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2.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3.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drawings/drawing4.xml" ContentType="application/vnd.openxmlformats-officedocument.drawing+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5.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drawings/drawing6.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7.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drawings/drawing8.xml" ContentType="application/vnd.openxmlformats-officedocument.drawing+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9.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drawings/drawing10.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drawings/drawing11.xml" ContentType="application/vnd.openxmlformats-officedocument.drawing+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drawings/drawing12.xml" ContentType="application/vnd.openxmlformats-officedocument.drawing+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drawings/drawing13.xml" ContentType="application/vnd.openxmlformats-officedocument.drawing+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drawings/drawing14.xml" ContentType="application/vnd.openxmlformats-officedocument.drawing+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drawings/drawing15.xml" ContentType="application/vnd.openxmlformats-officedocument.drawing+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drawings/drawing16.xml" ContentType="application/vnd.openxmlformats-officedocument.drawing+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drawings/drawing17.xml" ContentType="application/vnd.openxmlformats-officedocument.drawing+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drawings/drawing18.xml" ContentType="application/vnd.openxmlformats-officedocument.drawing+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drawings/drawing19.xml" ContentType="application/vnd.openxmlformats-officedocument.drawing+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drawings/drawing20.xml" ContentType="application/vnd.openxmlformats-officedocument.drawing+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drawings/drawing21.xml" ContentType="application/vnd.openxmlformats-officedocument.drawing+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drawings/drawing22.xml" ContentType="application/vnd.openxmlformats-officedocument.drawing+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drawings/drawing23.xml" ContentType="application/vnd.openxmlformats-officedocument.drawing+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24.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drawings/drawing25.xml" ContentType="application/vnd.openxmlformats-officedocument.drawing+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drawings/drawing26.xml" ContentType="application/vnd.openxmlformats-officedocument.drawing+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drawings/drawing27.xml" ContentType="application/vnd.openxmlformats-officedocument.drawing+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drawings/drawing28.xml" ContentType="application/vnd.openxmlformats-officedocument.drawing+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drawings/drawing29.xml" ContentType="application/vnd.openxmlformats-officedocument.drawing+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drawings/drawing30.xml" ContentType="application/vnd.openxmlformats-officedocument.drawing+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https://txhhs-my.sharepoint.com/personal/rose_nelson_hhs_texas_gov/Documents/Documents 1/Tool Revisions 2017 to 2020/Cooper Consultants Tool Revisions Kellye Prosise/PHCFCCAS Revisions 2024/Revised Tools/Posted Versions to Alfedo 02_07_2024/"/>
    </mc:Choice>
  </mc:AlternateContent>
  <xr:revisionPtr revIDLastSave="0" documentId="13_ncr:81_{AD0B16AE-0634-4452-B880-0DADD6439DB7}" xr6:coauthVersionLast="47" xr6:coauthVersionMax="47" xr10:uidLastSave="{00000000-0000-0000-0000-000000000000}"/>
  <bookViews>
    <workbookView xWindow="-110" yWindow="-110" windowWidth="19420" windowHeight="10420" tabRatio="849" xr2:uid="{00000000-000D-0000-FFFF-FFFF00000000}"/>
  </bookViews>
  <sheets>
    <sheet name="Monitoring Workbook" sheetId="1" r:id="rId1"/>
    <sheet name="IWP01" sheetId="2" r:id="rId2"/>
    <sheet name="IWP02" sheetId="3" r:id="rId3"/>
    <sheet name="IWP03" sheetId="4" r:id="rId4"/>
    <sheet name="IWP04" sheetId="5" r:id="rId5"/>
    <sheet name="IWP05" sheetId="6" r:id="rId6"/>
    <sheet name="IWP06" sheetId="7" r:id="rId7"/>
    <sheet name="IWP07" sheetId="8" r:id="rId8"/>
    <sheet name="IWP08" sheetId="9" r:id="rId9"/>
    <sheet name="IWP09" sheetId="10" r:id="rId10"/>
    <sheet name="IWP10" sheetId="11" r:id="rId11"/>
    <sheet name="IWP11" sheetId="12" r:id="rId12"/>
    <sheet name="IWP12" sheetId="13" r:id="rId13"/>
    <sheet name="IWP13" sheetId="14" r:id="rId14"/>
    <sheet name="IWP14" sheetId="15" r:id="rId15"/>
    <sheet name="IWP15" sheetId="16" r:id="rId16"/>
    <sheet name="IWP16" sheetId="17" r:id="rId17"/>
    <sheet name="IWP17" sheetId="18" r:id="rId18"/>
    <sheet name="IWP18" sheetId="19" r:id="rId19"/>
    <sheet name="IWP19" sheetId="20" r:id="rId20"/>
    <sheet name="IWP20" sheetId="21" r:id="rId21"/>
    <sheet name="IWP21" sheetId="22" r:id="rId22"/>
    <sheet name="IWP22" sheetId="23" r:id="rId23"/>
    <sheet name="IWP23" sheetId="24" r:id="rId24"/>
    <sheet name="IWP24" sheetId="25" r:id="rId25"/>
    <sheet name="IWP25" sheetId="26" r:id="rId26"/>
    <sheet name="IWP26" sheetId="27" r:id="rId27"/>
    <sheet name="IWP27" sheetId="28" r:id="rId28"/>
    <sheet name="IWP28" sheetId="29" r:id="rId29"/>
    <sheet name="IWP29" sheetId="30" r:id="rId30"/>
    <sheet name="IWP30" sheetId="31" r:id="rId31"/>
    <sheet name="Personal Care 3 Facility Chklst" sheetId="32" state="hidden" r:id="rId32"/>
    <sheet name="ALRC Indiv Fund Summary (Print)" sheetId="33" r:id="rId33"/>
    <sheet name="Unlic. Empl. Reqs. (Print)" sheetId="34" r:id="rId34"/>
    <sheet name="Instructions_ALRC Reimbursement" sheetId="35" r:id="rId35"/>
    <sheet name="ALRC Reimbursement" sheetId="36" r:id="rId36"/>
    <sheet name="Instructions_OHR Reimbursement" sheetId="37" state="hidden" r:id="rId37"/>
    <sheet name="OHR Reimbursement" sheetId="38" state="hidden" r:id="rId38"/>
    <sheet name="ALRC Compliance Summary (Print)" sheetId="39" r:id="rId39"/>
    <sheet name="OHR Compliance Summary (Print)" sheetId="40" state="hidden" r:id="rId40"/>
    <sheet name="Demand for Pmt Notice (Print)" sheetId="41" r:id="rId41"/>
    <sheet name="Samples (Print)" sheetId="42" r:id="rId42"/>
    <sheet name="Notes (Print)" sheetId="43" r:id="rId43"/>
    <sheet name="Data" sheetId="44" state="hidden" r:id="rId44"/>
  </sheets>
  <definedNames>
    <definedName name="AfcAuthToMngMoney" localSheetId="32">'ALRC Indiv Fund Summary (Print)'!$B$10:$H$14</definedName>
    <definedName name="ALRCOverallTotal" localSheetId="38">'ALRC Compliance Summary (Print)'!$I$35</definedName>
    <definedName name="ALRCTotalDueDADS" localSheetId="38">'ALRC Compliance Summary (Print)'!$I$38</definedName>
    <definedName name="ALRCTotalNo" localSheetId="38">'ALRC Compliance Summary (Print)'!$H$35</definedName>
    <definedName name="ALRCTotalYes" localSheetId="38">'ALRC Compliance Summary (Print)'!$G$35</definedName>
    <definedName name="BedroomOccupancy" localSheetId="31">'Personal Care 3 Facility Chklst'!$A$24:$F$53</definedName>
    <definedName name="BnkChgsFcltyChcIndvTrstFndAcct" localSheetId="32">'ALRC Indiv Fund Summary (Print)'!$B$88:$M$102</definedName>
    <definedName name="BnkChgsPldTrstFndAcct" localSheetId="32">'ALRC Indiv Fund Summary (Print)'!$B$72:$M$86</definedName>
    <definedName name="CBAALcontractNumber">'Monitoring Workbook'!$C$8</definedName>
    <definedName name="CBAOHRcontractNumber">'Monitoring Workbook'!$H$7</definedName>
    <definedName name="CCADRCcontractNumber">'Monitoring Workbook'!$C$7</definedName>
    <definedName name="Checks_And_Deposits">'Monitoring Workbook'!$A$251:$O$294</definedName>
    <definedName name="ClientID" localSheetId="1">'IWP01'!$T$2</definedName>
    <definedName name="ClientID" localSheetId="2">'IWP02'!$T$2</definedName>
    <definedName name="ClientID" localSheetId="3">'IWP03'!$T$2</definedName>
    <definedName name="ClientID" localSheetId="4">'IWP04'!$T$2</definedName>
    <definedName name="ClientID" localSheetId="5">'IWP05'!$T$2</definedName>
    <definedName name="ClientID" localSheetId="6">'IWP06'!$T$2</definedName>
    <definedName name="ClientID" localSheetId="7">'IWP07'!$T$2</definedName>
    <definedName name="ClientID" localSheetId="8">'IWP08'!$T$2</definedName>
    <definedName name="ClientID" localSheetId="9">'IWP09'!$T$2</definedName>
    <definedName name="ClientID" localSheetId="10">'IWP10'!$T$2</definedName>
    <definedName name="ClientID" localSheetId="11">'IWP11'!$T$2</definedName>
    <definedName name="ClientID" localSheetId="12">'IWP12'!$T$2</definedName>
    <definedName name="ClientID" localSheetId="13">'IWP13'!$T$2</definedName>
    <definedName name="ClientID" localSheetId="14">'IWP14'!$T$2</definedName>
    <definedName name="ClientID" localSheetId="15">'IWP15'!$T$2</definedName>
    <definedName name="ClientID" localSheetId="16">'IWP16'!$T$2</definedName>
    <definedName name="ClientID" localSheetId="17">'IWP17'!$T$2</definedName>
    <definedName name="ClientID" localSheetId="18">'IWP18'!$T$2</definedName>
    <definedName name="ClientID" localSheetId="19">'IWP19'!$T$2</definedName>
    <definedName name="ClientID" localSheetId="20">'IWP20'!$T$2</definedName>
    <definedName name="ClientID" localSheetId="21">'IWP21'!$T$2</definedName>
    <definedName name="ClientID" localSheetId="22">'IWP22'!$T$2</definedName>
    <definedName name="ClientID" localSheetId="23">'IWP23'!$T$2</definedName>
    <definedName name="ClientID" localSheetId="24">'IWP24'!$T$2</definedName>
    <definedName name="ClientID" localSheetId="25">'IWP25'!$T$2</definedName>
    <definedName name="ClientID" localSheetId="26">'IWP26'!$T$2</definedName>
    <definedName name="ClientID" localSheetId="27">'IWP27'!$T$2</definedName>
    <definedName name="ClientID" localSheetId="28">'IWP28'!$T$2</definedName>
    <definedName name="ClientID" localSheetId="29">'IWP29'!$T$2</definedName>
    <definedName name="ClientID" localSheetId="30">'IWP30'!$T$2</definedName>
    <definedName name="CompletedByFirstName" localSheetId="1">'IWP01'!$D$4</definedName>
    <definedName name="CompletedByFirstName" localSheetId="2">'IWP02'!$D$4</definedName>
    <definedName name="CompletedByFirstName" localSheetId="3">'IWP03'!$D$4</definedName>
    <definedName name="CompletedByFirstName" localSheetId="4">'IWP04'!$D$4</definedName>
    <definedName name="CompletedByFirstName" localSheetId="5">'IWP05'!$D$4</definedName>
    <definedName name="CompletedByFirstName" localSheetId="6">'IWP06'!$D$4</definedName>
    <definedName name="CompletedByFirstName" localSheetId="7">'IWP07'!$D$4</definedName>
    <definedName name="CompletedByFirstName" localSheetId="8">'IWP08'!$D$4</definedName>
    <definedName name="CompletedByFirstName" localSheetId="9">'IWP09'!$D$4</definedName>
    <definedName name="CompletedByFirstName" localSheetId="10">'IWP10'!$D$4</definedName>
    <definedName name="CompletedByFirstName" localSheetId="11">'IWP11'!$D$4</definedName>
    <definedName name="CompletedByFirstName" localSheetId="12">'IWP12'!$D$4</definedName>
    <definedName name="CompletedByFirstName" localSheetId="13">'IWP13'!$D$4</definedName>
    <definedName name="CompletedByFirstName" localSheetId="14">'IWP14'!$D$4</definedName>
    <definedName name="CompletedByFirstName" localSheetId="15">'IWP15'!$D$4</definedName>
    <definedName name="CompletedByFirstName" localSheetId="16">'IWP16'!$D$4</definedName>
    <definedName name="CompletedByFirstName" localSheetId="17">'IWP17'!$D$4</definedName>
    <definedName name="CompletedByFirstName" localSheetId="18">'IWP18'!$D$4</definedName>
    <definedName name="CompletedByFirstName" localSheetId="19">'IWP19'!$D$4</definedName>
    <definedName name="CompletedByFirstName" localSheetId="20">'IWP20'!$D$4</definedName>
    <definedName name="CompletedByFirstName" localSheetId="21">'IWP21'!$D$4</definedName>
    <definedName name="CompletedByFirstName" localSheetId="22">'IWP22'!$D$4</definedName>
    <definedName name="CompletedByFirstName" localSheetId="23">'IWP23'!$D$4</definedName>
    <definedName name="CompletedByFirstName" localSheetId="24">'IWP24'!$D$4</definedName>
    <definedName name="CompletedByFirstName" localSheetId="25">'IWP25'!$D$4</definedName>
    <definedName name="CompletedByFirstName" localSheetId="26">'IWP26'!$D$4</definedName>
    <definedName name="CompletedByFirstName" localSheetId="27">'IWP27'!$D$4</definedName>
    <definedName name="CompletedByFirstName" localSheetId="28">'IWP28'!$D$4</definedName>
    <definedName name="CompletedByFirstName" localSheetId="29">'IWP29'!$D$4</definedName>
    <definedName name="CompletedByFirstName" localSheetId="30">'IWP30'!$D$4</definedName>
    <definedName name="CompletedByFirstName">'Monitoring Workbook'!$B$5</definedName>
    <definedName name="CompletedByLastName" localSheetId="1">'IWP01'!$D$3</definedName>
    <definedName name="CompletedByLastName" localSheetId="2">'IWP02'!$D$3</definedName>
    <definedName name="CompletedByLastName" localSheetId="3">'IWP03'!$D$3</definedName>
    <definedName name="CompletedByLastName" localSheetId="4">'IWP04'!$D$3</definedName>
    <definedName name="CompletedByLastName" localSheetId="5">'IWP05'!$D$3</definedName>
    <definedName name="CompletedByLastName" localSheetId="6">'IWP06'!$D$3</definedName>
    <definedName name="CompletedByLastName" localSheetId="7">'IWP07'!$D$3</definedName>
    <definedName name="CompletedByLastName" localSheetId="8">'IWP08'!$D$3</definedName>
    <definedName name="CompletedByLastName" localSheetId="9">'IWP09'!$D$3</definedName>
    <definedName name="CompletedByLastName" localSheetId="10">'IWP10'!$D$3</definedName>
    <definedName name="CompletedByLastName" localSheetId="11">'IWP11'!$D$3</definedName>
    <definedName name="CompletedByLastName" localSheetId="12">'IWP12'!$D$3</definedName>
    <definedName name="CompletedByLastName" localSheetId="13">'IWP13'!$D$3</definedName>
    <definedName name="CompletedByLastName" localSheetId="14">'IWP14'!$D$3</definedName>
    <definedName name="CompletedByLastName" localSheetId="15">'IWP15'!$D$3</definedName>
    <definedName name="CompletedByLastName" localSheetId="16">'IWP16'!$D$3</definedName>
    <definedName name="CompletedByLastName" localSheetId="17">'IWP17'!$D$3</definedName>
    <definedName name="CompletedByLastName" localSheetId="18">'IWP18'!$D$3</definedName>
    <definedName name="CompletedByLastName" localSheetId="19">'IWP19'!$D$3</definedName>
    <definedName name="CompletedByLastName" localSheetId="20">'IWP20'!$D$3</definedName>
    <definedName name="CompletedByLastName" localSheetId="21">'IWP21'!$D$3</definedName>
    <definedName name="CompletedByLastName" localSheetId="22">'IWP22'!$D$3</definedName>
    <definedName name="CompletedByLastName" localSheetId="23">'IWP23'!$D$3</definedName>
    <definedName name="CompletedByLastName" localSheetId="24">'IWP24'!$D$3</definedName>
    <definedName name="CompletedByLastName" localSheetId="25">'IWP25'!$D$3</definedName>
    <definedName name="CompletedByLastName" localSheetId="26">'IWP26'!$D$3</definedName>
    <definedName name="CompletedByLastName" localSheetId="27">'IWP27'!$D$3</definedName>
    <definedName name="CompletedByLastName" localSheetId="28">'IWP28'!$D$3</definedName>
    <definedName name="CompletedByLastName" localSheetId="29">'IWP29'!$D$3</definedName>
    <definedName name="CompletedByLastName" localSheetId="30">'IWP30'!$D$3</definedName>
    <definedName name="CompletedByLastName">'Monitoring Workbook'!$B$4</definedName>
    <definedName name="ContractNumber" localSheetId="1">'IWP01'!$B$2</definedName>
    <definedName name="ContractNumber" localSheetId="2">'IWP02'!$B$2</definedName>
    <definedName name="ContractNumber" localSheetId="3">'IWP03'!$B$2</definedName>
    <definedName name="ContractNumber" localSheetId="4">'IWP04'!$B$2</definedName>
    <definedName name="ContractNumber" localSheetId="5">'IWP05'!$B$2</definedName>
    <definedName name="ContractNumber" localSheetId="6">'IWP06'!$B$2</definedName>
    <definedName name="ContractNumber" localSheetId="7">'IWP07'!$B$2</definedName>
    <definedName name="ContractNumber" localSheetId="8">'IWP08'!$B$2</definedName>
    <definedName name="ContractNumber" localSheetId="9">'IWP09'!$B$2</definedName>
    <definedName name="ContractNumber" localSheetId="10">'IWP10'!$B$2</definedName>
    <definedName name="ContractNumber" localSheetId="11">'IWP11'!$B$2</definedName>
    <definedName name="ContractNumber" localSheetId="12">'IWP12'!$B$2</definedName>
    <definedName name="ContractNumber" localSheetId="13">'IWP13'!$B$2</definedName>
    <definedName name="ContractNumber" localSheetId="14">'IWP14'!$B$2</definedName>
    <definedName name="ContractNumber" localSheetId="15">'IWP15'!$B$2</definedName>
    <definedName name="ContractNumber" localSheetId="16">'IWP16'!$B$2</definedName>
    <definedName name="ContractNumber" localSheetId="17">'IWP17'!$B$2</definedName>
    <definedName name="ContractNumber" localSheetId="18">'IWP18'!$B$2</definedName>
    <definedName name="ContractNumber" localSheetId="19">'IWP19'!$B$2</definedName>
    <definedName name="ContractNumber" localSheetId="20">'IWP20'!$B$2</definedName>
    <definedName name="ContractNumber" localSheetId="21">'IWP21'!$B$2</definedName>
    <definedName name="ContractNumber" localSheetId="22">'IWP22'!$B$2</definedName>
    <definedName name="ContractNumber" localSheetId="23">'IWP23'!$B$2</definedName>
    <definedName name="ContractNumber" localSheetId="24">'IWP24'!$B$2</definedName>
    <definedName name="ContractNumber" localSheetId="25">'IWP25'!$B$2</definedName>
    <definedName name="ContractNumber" localSheetId="26">'IWP26'!$B$2</definedName>
    <definedName name="ContractNumber" localSheetId="27">'IWP27'!$B$2</definedName>
    <definedName name="ContractNumber" localSheetId="28">'IWP28'!$B$2</definedName>
    <definedName name="ContractNumber" localSheetId="29">'IWP29'!$B$2</definedName>
    <definedName name="ContractNumber" localSheetId="30">'IWP30'!$B$2</definedName>
    <definedName name="ContractNumbers" localSheetId="43">Data!$A$6:$B$9</definedName>
    <definedName name="ContractType" localSheetId="1">'IWP01'!$D$2</definedName>
    <definedName name="ContractType" localSheetId="2">'IWP02'!$D$2</definedName>
    <definedName name="ContractType" localSheetId="3">'IWP03'!$D$2</definedName>
    <definedName name="ContractType" localSheetId="4">'IWP04'!$D$2</definedName>
    <definedName name="ContractType" localSheetId="5">'IWP05'!$D$2</definedName>
    <definedName name="ContractType" localSheetId="6">'IWP06'!$D$2</definedName>
    <definedName name="ContractType" localSheetId="7">'IWP07'!$D$2</definedName>
    <definedName name="ContractType" localSheetId="8">'IWP08'!$D$2</definedName>
    <definedName name="ContractType" localSheetId="9">'IWP09'!$D$2</definedName>
    <definedName name="ContractType" localSheetId="10">'IWP10'!$D$2</definedName>
    <definedName name="ContractType" localSheetId="11">'IWP11'!$D$2</definedName>
    <definedName name="ContractType" localSheetId="12">'IWP12'!$D$2</definedName>
    <definedName name="ContractType" localSheetId="13">'IWP13'!$D$2</definedName>
    <definedName name="ContractType" localSheetId="14">'IWP14'!$D$2</definedName>
    <definedName name="ContractType" localSheetId="15">'IWP15'!$D$2</definedName>
    <definedName name="ContractType" localSheetId="16">'IWP16'!$D$2</definedName>
    <definedName name="ContractType" localSheetId="17">'IWP17'!$D$2</definedName>
    <definedName name="ContractType" localSheetId="18">'IWP18'!$D$2</definedName>
    <definedName name="ContractType" localSheetId="19">'IWP19'!$D$2</definedName>
    <definedName name="ContractType" localSheetId="20">'IWP20'!$D$2</definedName>
    <definedName name="ContractType" localSheetId="21">'IWP21'!$D$2</definedName>
    <definedName name="ContractType" localSheetId="22">'IWP22'!$D$2</definedName>
    <definedName name="ContractType" localSheetId="23">'IWP23'!$D$2</definedName>
    <definedName name="ContractType" localSheetId="24">'IWP24'!$D$2</definedName>
    <definedName name="ContractType" localSheetId="25">'IWP25'!$D$2</definedName>
    <definedName name="ContractType" localSheetId="26">'IWP26'!$D$2</definedName>
    <definedName name="ContractType" localSheetId="27">'IWP27'!$D$2</definedName>
    <definedName name="ContractType" localSheetId="28">'IWP28'!$D$2</definedName>
    <definedName name="ContractType" localSheetId="29">'IWP29'!$D$2</definedName>
    <definedName name="ContractType" localSheetId="30">'IWP30'!$D$2</definedName>
    <definedName name="CoPyRfndCrdtDueHsptlzdIndv" localSheetId="32">'ALRC Indiv Fund Summary (Print)'!$B$236:$J$250</definedName>
    <definedName name="DateCompleted" localSheetId="1">'IWP01'!$H$4</definedName>
    <definedName name="DateCompleted" localSheetId="2">'IWP02'!$H$4</definedName>
    <definedName name="DateCompleted" localSheetId="3">'IWP03'!$H$4</definedName>
    <definedName name="DateCompleted" localSheetId="4">'IWP04'!$H$4</definedName>
    <definedName name="DateCompleted" localSheetId="5">'IWP05'!$H$4</definedName>
    <definedName name="DateCompleted" localSheetId="6">'IWP06'!$H$4</definedName>
    <definedName name="DateCompleted" localSheetId="7">'IWP07'!$H$4</definedName>
    <definedName name="DateCompleted" localSheetId="8">'IWP08'!$H$4</definedName>
    <definedName name="DateCompleted" localSheetId="9">'IWP09'!$H$4</definedName>
    <definedName name="DateCompleted" localSheetId="10">'IWP10'!$H$4</definedName>
    <definedName name="DateCompleted" localSheetId="11">'IWP11'!$H$4</definedName>
    <definedName name="DateCompleted" localSheetId="12">'IWP12'!$H$4</definedName>
    <definedName name="DateCompleted" localSheetId="13">'IWP13'!$H$4</definedName>
    <definedName name="DateCompleted" localSheetId="14">'IWP14'!$H$4</definedName>
    <definedName name="DateCompleted" localSheetId="15">'IWP15'!$H$4</definedName>
    <definedName name="DateCompleted" localSheetId="16">'IWP16'!$H$4</definedName>
    <definedName name="DateCompleted" localSheetId="17">'IWP17'!$H$4</definedName>
    <definedName name="DateCompleted" localSheetId="18">'IWP18'!$H$4</definedName>
    <definedName name="DateCompleted" localSheetId="19">'IWP19'!$H$4</definedName>
    <definedName name="DateCompleted" localSheetId="20">'IWP20'!$H$4</definedName>
    <definedName name="DateCompleted" localSheetId="21">'IWP21'!$H$4</definedName>
    <definedName name="DateCompleted" localSheetId="22">'IWP22'!$H$4</definedName>
    <definedName name="DateCompleted" localSheetId="23">'IWP23'!$H$4</definedName>
    <definedName name="DateCompleted" localSheetId="24">'IWP24'!$H$4</definedName>
    <definedName name="DateCompleted" localSheetId="25">'IWP25'!$H$4</definedName>
    <definedName name="DateCompleted" localSheetId="26">'IWP26'!$H$4</definedName>
    <definedName name="DateCompleted" localSheetId="27">'IWP27'!$H$4</definedName>
    <definedName name="DateCompleted" localSheetId="28">'IWP28'!$H$4</definedName>
    <definedName name="DateCompleted" localSheetId="29">'IWP29'!$H$4</definedName>
    <definedName name="DateCompleted" localSheetId="30">'IWP30'!$H$4</definedName>
    <definedName name="DateOfEntrance">'Monitoring Workbook'!$C$5</definedName>
    <definedName name="DateOfExit">'Monitoring Workbook'!$E$5</definedName>
    <definedName name="DateOfRevisedExit">'Monitoring Workbook'!$G$5</definedName>
    <definedName name="Deposits_In_Transit">'Monitoring Workbook'!$A$298:$L$327</definedName>
    <definedName name="DpstsIndvTrstFndOrPtyCshAcct" localSheetId="32">'ALRC Indiv Fund Summary (Print)'!$B$120:$J$134</definedName>
    <definedName name="DpstsPldTrstFndAcct" localSheetId="32">'ALRC Indiv Fund Summary (Print)'!$B$104:$J$118</definedName>
    <definedName name="FiscalReviewFirstMonth" localSheetId="1">'IWP01'!$K$2</definedName>
    <definedName name="FiscalReviewFirstMonth" localSheetId="2">'IWP02'!$K$2</definedName>
    <definedName name="FiscalReviewFirstMonth" localSheetId="3">'IWP03'!$K$2</definedName>
    <definedName name="FiscalReviewFirstMonth" localSheetId="4">'IWP04'!$K$2</definedName>
    <definedName name="FiscalReviewFirstMonth" localSheetId="5">'IWP05'!$K$2</definedName>
    <definedName name="FiscalReviewFirstMonth" localSheetId="6">'IWP06'!$K$2</definedName>
    <definedName name="FiscalReviewFirstMonth" localSheetId="7">'IWP07'!$K$2</definedName>
    <definedName name="FiscalReviewFirstMonth" localSheetId="8">'IWP08'!$K$2</definedName>
    <definedName name="FiscalReviewFirstMonth" localSheetId="9">'IWP09'!$K$2</definedName>
    <definedName name="FiscalReviewFirstMonth" localSheetId="10">'IWP10'!$K$2</definedName>
    <definedName name="FiscalReviewFirstMonth" localSheetId="11">'IWP11'!$K$2</definedName>
    <definedName name="FiscalReviewFirstMonth" localSheetId="12">'IWP12'!$K$2</definedName>
    <definedName name="FiscalReviewFirstMonth" localSheetId="13">'IWP13'!$K$2</definedName>
    <definedName name="FiscalReviewFirstMonth" localSheetId="14">'IWP14'!$K$2</definedName>
    <definedName name="FiscalReviewFirstMonth" localSheetId="15">'IWP15'!$K$2</definedName>
    <definedName name="FiscalReviewFirstMonth" localSheetId="16">'IWP16'!$K$2</definedName>
    <definedName name="FiscalReviewFirstMonth" localSheetId="17">'IWP17'!$K$2</definedName>
    <definedName name="FiscalReviewFirstMonth" localSheetId="18">'IWP18'!$K$2</definedName>
    <definedName name="FiscalReviewFirstMonth" localSheetId="19">'IWP19'!$K$2</definedName>
    <definedName name="FiscalReviewFirstMonth" localSheetId="20">'IWP20'!$K$2</definedName>
    <definedName name="FiscalReviewFirstMonth" localSheetId="21">'IWP21'!$K$2</definedName>
    <definedName name="FiscalReviewFirstMonth" localSheetId="22">'IWP22'!$K$2</definedName>
    <definedName name="FiscalReviewFirstMonth" localSheetId="23">'IWP23'!$K$2</definedName>
    <definedName name="FiscalReviewFirstMonth" localSheetId="24">'IWP24'!$K$2</definedName>
    <definedName name="FiscalReviewFirstMonth" localSheetId="25">'IWP25'!$K$2</definedName>
    <definedName name="FiscalReviewFirstMonth" localSheetId="26">'IWP26'!$K$2</definedName>
    <definedName name="FiscalReviewFirstMonth" localSheetId="27">'IWP27'!$K$2</definedName>
    <definedName name="FiscalReviewFirstMonth" localSheetId="28">'IWP28'!$K$2</definedName>
    <definedName name="FiscalReviewFirstMonth" localSheetId="29">'IWP29'!$K$2</definedName>
    <definedName name="FiscalReviewFirstMonth" localSheetId="30">'IWP30'!$K$2</definedName>
    <definedName name="FiscalReviewFirstMonth">#REF!</definedName>
    <definedName name="FiscalReviewSecondMonth" localSheetId="1">'IWP01'!$M$2</definedName>
    <definedName name="FiscalReviewSecondMonth" localSheetId="2">'IWP02'!$M$2</definedName>
    <definedName name="FiscalReviewSecondMonth" localSheetId="3">'IWP03'!$M$2</definedName>
    <definedName name="FiscalReviewSecondMonth" localSheetId="4">'IWP04'!$M$2</definedName>
    <definedName name="FiscalReviewSecondMonth" localSheetId="5">'IWP05'!$M$2</definedName>
    <definedName name="FiscalReviewSecondMonth" localSheetId="6">'IWP06'!$M$2</definedName>
    <definedName name="FiscalReviewSecondMonth" localSheetId="7">'IWP07'!$M$2</definedName>
    <definedName name="FiscalReviewSecondMonth" localSheetId="8">'IWP08'!$M$2</definedName>
    <definedName name="FiscalReviewSecondMonth" localSheetId="9">'IWP09'!$M$2</definedName>
    <definedName name="FiscalReviewSecondMonth" localSheetId="10">'IWP10'!$M$2</definedName>
    <definedName name="FiscalReviewSecondMonth" localSheetId="11">'IWP11'!$M$2</definedName>
    <definedName name="FiscalReviewSecondMonth" localSheetId="12">'IWP12'!$M$2</definedName>
    <definedName name="FiscalReviewSecondMonth" localSheetId="13">'IWP13'!$M$2</definedName>
    <definedName name="FiscalReviewSecondMonth" localSheetId="14">'IWP14'!$M$2</definedName>
    <definedName name="FiscalReviewSecondMonth" localSheetId="15">'IWP15'!$M$2</definedName>
    <definedName name="FiscalReviewSecondMonth" localSheetId="16">'IWP16'!$M$2</definedName>
    <definedName name="FiscalReviewSecondMonth" localSheetId="17">'IWP17'!$M$2</definedName>
    <definedName name="FiscalReviewSecondMonth" localSheetId="18">'IWP18'!$M$2</definedName>
    <definedName name="FiscalReviewSecondMonth" localSheetId="19">'IWP19'!$M$2</definedName>
    <definedName name="FiscalReviewSecondMonth" localSheetId="20">'IWP20'!$M$2</definedName>
    <definedName name="FiscalReviewSecondMonth" localSheetId="21">'IWP21'!$M$2</definedName>
    <definedName name="FiscalReviewSecondMonth" localSheetId="22">'IWP22'!$M$2</definedName>
    <definedName name="FiscalReviewSecondMonth" localSheetId="23">'IWP23'!$M$2</definedName>
    <definedName name="FiscalReviewSecondMonth" localSheetId="24">'IWP24'!$M$2</definedName>
    <definedName name="FiscalReviewSecondMonth" localSheetId="25">'IWP25'!$M$2</definedName>
    <definedName name="FiscalReviewSecondMonth" localSheetId="26">'IWP26'!$M$2</definedName>
    <definedName name="FiscalReviewSecondMonth" localSheetId="27">'IWP27'!$M$2</definedName>
    <definedName name="FiscalReviewSecondMonth" localSheetId="28">'IWP28'!$M$2</definedName>
    <definedName name="FiscalReviewSecondMonth" localSheetId="29">'IWP29'!$M$2</definedName>
    <definedName name="FiscalReviewSecondMonth" localSheetId="30">'IWP30'!$M$2</definedName>
    <definedName name="FiscalReviewSecondMonth">#REF!</definedName>
    <definedName name="IndvPtyCshFndRcncltn" localSheetId="32">'ALRC Indiv Fund Summary (Print)'!$B$20:$J$34</definedName>
    <definedName name="IndvTrstFndRcncltn" localSheetId="32">'ALRC Indiv Fund Summary (Print)'!$B$40:$J$54</definedName>
    <definedName name="MeetsBilledSettingRequirements" localSheetId="31">'Personal Care 3 Facility Chklst'!$L$48</definedName>
    <definedName name="MINVALDBL">-99999.99</definedName>
    <definedName name="MonitoringPeriodBeginDate">'Samples (Print)'!$B$2</definedName>
    <definedName name="MonitoringPeriodEndDate">'Samples (Print)'!$D$2</definedName>
    <definedName name="MonWkBkChecksAndDeposits" localSheetId="0">'Monitoring Workbook'!$A$277:$O$306</definedName>
    <definedName name="MonWkBkDpstsInTrans" localSheetId="0">'Monitoring Workbook'!$A$310:$L$339</definedName>
    <definedName name="NameOfLegalEntity">'Monitoring Workbook'!$A$2</definedName>
    <definedName name="NumberDayStaff" localSheetId="31">'Personal Care 3 Facility Chklst'!$L$41</definedName>
    <definedName name="NumberEveningStaff" localSheetId="31">'Personal Care 3 Facility Chklst'!$L$42</definedName>
    <definedName name="NumberNightStaff" localSheetId="31">'Personal Care 3 Facility Chklst'!$L$43</definedName>
    <definedName name="NumberResidents" localSheetId="31">'Personal Care 3 Facility Chklst'!$L$39</definedName>
    <definedName name="OHROverallTotal" localSheetId="39">'OHR Compliance Summary (Print)'!$I$36</definedName>
    <definedName name="OHRTotalDueDADS" localSheetId="39">'OHR Compliance Summary (Print)'!$G$38</definedName>
    <definedName name="OHRTotalNo" localSheetId="39">'OHR Compliance Summary (Print)'!$H$36</definedName>
    <definedName name="OHRTotalYes" localSheetId="39">'OHR Compliance Summary (Print)'!$G$36</definedName>
    <definedName name="OverallScore" localSheetId="38">'ALRC Compliance Summary (Print)'!$J$35</definedName>
    <definedName name="OverallScore" localSheetId="39">'OHR Compliance Summary (Print)'!$J$36</definedName>
    <definedName name="OvrCollRmBdCoPayBdHld" localSheetId="32">'ALRC Indiv Fund Summary (Print)'!$B$220:$J$234</definedName>
    <definedName name="PercentageSingleBedrooms" localSheetId="31">'Personal Care 3 Facility Chklst'!$F$58</definedName>
    <definedName name="PldPtyCshFndRcncltn" localSheetId="32">'ALRC Indiv Fund Summary (Print)'!$B$16:$D$17</definedName>
    <definedName name="PldTrstFndAcctRcncltn" localSheetId="32">'ALRC Indiv Fund Summary (Print)'!$B$36:$D$37</definedName>
    <definedName name="_xlnm.Print_Area" localSheetId="35">'ALRC Reimbursement'!$A$1:$AP$9</definedName>
    <definedName name="_xlnm.Print_Area" localSheetId="1">'IWP01'!$A$1:$S$370</definedName>
    <definedName name="_xlnm.Print_Area" localSheetId="2">'IWP02'!$A$1:$S$370</definedName>
    <definedName name="_xlnm.Print_Area" localSheetId="3">'IWP03'!$A$1:$S$370</definedName>
    <definedName name="_xlnm.Print_Area" localSheetId="4">'IWP04'!$A$1:$S$370</definedName>
    <definedName name="_xlnm.Print_Area" localSheetId="5">'IWP05'!$A$1:$S$370</definedName>
    <definedName name="_xlnm.Print_Area" localSheetId="6">'IWP06'!$A$1:$S$370</definedName>
    <definedName name="_xlnm.Print_Area" localSheetId="7">'IWP07'!$A$1:$S$370</definedName>
    <definedName name="_xlnm.Print_Area" localSheetId="8">'IWP08'!$A$1:$S$370</definedName>
    <definedName name="_xlnm.Print_Area" localSheetId="9">'IWP09'!$A$1:$S$370</definedName>
    <definedName name="_xlnm.Print_Area" localSheetId="10">'IWP10'!$A$1:$S$370</definedName>
    <definedName name="_xlnm.Print_Area" localSheetId="11">'IWP11'!$A$1:$S$370</definedName>
    <definedName name="_xlnm.Print_Area" localSheetId="12">'IWP12'!$A$1:$S$370</definedName>
    <definedName name="_xlnm.Print_Area" localSheetId="13">'IWP13'!$A$1:$S$370</definedName>
    <definedName name="_xlnm.Print_Area" localSheetId="14">'IWP14'!$A$1:$S$370</definedName>
    <definedName name="_xlnm.Print_Area" localSheetId="15">'IWP15'!$A$1:$S$370</definedName>
    <definedName name="_xlnm.Print_Area" localSheetId="16">'IWP16'!$A$1:$S$370</definedName>
    <definedName name="_xlnm.Print_Area" localSheetId="17">'IWP17'!$A$1:$S$370</definedName>
    <definedName name="_xlnm.Print_Area" localSheetId="18">'IWP18'!$A$1:$S$370</definedName>
    <definedName name="_xlnm.Print_Area" localSheetId="19">'IWP19'!$A$1:$S$370</definedName>
    <definedName name="_xlnm.Print_Area" localSheetId="20">'IWP20'!$A$1:$S$370</definedName>
    <definedName name="_xlnm.Print_Area" localSheetId="21">'IWP21'!$A$1:$S$370</definedName>
    <definedName name="_xlnm.Print_Area" localSheetId="22">'IWP22'!$A$1:$S$370</definedName>
    <definedName name="_xlnm.Print_Area" localSheetId="23">'IWP23'!$A$1:$S$370</definedName>
    <definedName name="_xlnm.Print_Area" localSheetId="24">'IWP24'!$A$1:$S$370</definedName>
    <definedName name="_xlnm.Print_Area" localSheetId="25">'IWP25'!$A$1:$S$370</definedName>
    <definedName name="_xlnm.Print_Area" localSheetId="26">'IWP26'!$A$1:$S$370</definedName>
    <definedName name="_xlnm.Print_Area" localSheetId="27">'IWP27'!$A$1:$S$370</definedName>
    <definedName name="_xlnm.Print_Area" localSheetId="28">'IWP28'!$A$1:$S$370</definedName>
    <definedName name="_xlnm.Print_Area" localSheetId="29">'IWP29'!$A$1:$S$370</definedName>
    <definedName name="_xlnm.Print_Area" localSheetId="30">'IWP30'!$A$1:$S$370</definedName>
    <definedName name="_xlnm.Print_Area" localSheetId="42">'Notes (Print)'!$A$1:$L$30</definedName>
    <definedName name="_xlnm.Print_Area" localSheetId="31">'Personal Care 3 Facility Chklst'!$A$1:$L$58</definedName>
    <definedName name="_xlnm.Print_Titles" localSheetId="32">'ALRC Indiv Fund Summary (Print)'!$1:$7</definedName>
    <definedName name="_xlnm.Print_Titles" localSheetId="35">'ALRC Reimbursement'!$1:$5</definedName>
    <definedName name="_xlnm.Print_Titles" localSheetId="40">'Demand for Pmt Notice (Print)'!$1:$5</definedName>
    <definedName name="_xlnm.Print_Titles" localSheetId="1">'IWP01'!$1:$4</definedName>
    <definedName name="_xlnm.Print_Titles" localSheetId="2">'IWP02'!$1:$4</definedName>
    <definedName name="_xlnm.Print_Titles" localSheetId="3">'IWP03'!$1:$4</definedName>
    <definedName name="_xlnm.Print_Titles" localSheetId="4">'IWP04'!$1:$4</definedName>
    <definedName name="_xlnm.Print_Titles" localSheetId="5">'IWP05'!$1:$4</definedName>
    <definedName name="_xlnm.Print_Titles" localSheetId="6">'IWP06'!$1:$4</definedName>
    <definedName name="_xlnm.Print_Titles" localSheetId="7">'IWP07'!$1:$4</definedName>
    <definedName name="_xlnm.Print_Titles" localSheetId="8">'IWP08'!$1:$4</definedName>
    <definedName name="_xlnm.Print_Titles" localSheetId="9">'IWP09'!$1:$4</definedName>
    <definedName name="_xlnm.Print_Titles" localSheetId="10">'IWP10'!$1:$4</definedName>
    <definedName name="_xlnm.Print_Titles" localSheetId="11">'IWP11'!$1:$4</definedName>
    <definedName name="_xlnm.Print_Titles" localSheetId="12">'IWP12'!$1:$4</definedName>
    <definedName name="_xlnm.Print_Titles" localSheetId="13">'IWP13'!$1:$4</definedName>
    <definedName name="_xlnm.Print_Titles" localSheetId="14">'IWP14'!$1:$4</definedName>
    <definedName name="_xlnm.Print_Titles" localSheetId="15">'IWP15'!$1:$4</definedName>
    <definedName name="_xlnm.Print_Titles" localSheetId="16">'IWP16'!$1:$4</definedName>
    <definedName name="_xlnm.Print_Titles" localSheetId="17">'IWP17'!$1:$4</definedName>
    <definedName name="_xlnm.Print_Titles" localSheetId="18">'IWP18'!$1:$4</definedName>
    <definedName name="_xlnm.Print_Titles" localSheetId="19">'IWP19'!$1:$4</definedName>
    <definedName name="_xlnm.Print_Titles" localSheetId="20">'IWP20'!$1:$4</definedName>
    <definedName name="_xlnm.Print_Titles" localSheetId="21">'IWP21'!$1:$4</definedName>
    <definedName name="_xlnm.Print_Titles" localSheetId="22">'IWP22'!$1:$4</definedName>
    <definedName name="_xlnm.Print_Titles" localSheetId="23">'IWP23'!$1:$4</definedName>
    <definedName name="_xlnm.Print_Titles" localSheetId="24">'IWP24'!$1:$4</definedName>
    <definedName name="_xlnm.Print_Titles" localSheetId="25">'IWP25'!$1:$4</definedName>
    <definedName name="_xlnm.Print_Titles" localSheetId="26">'IWP26'!$1:$4</definedName>
    <definedName name="_xlnm.Print_Titles" localSheetId="27">'IWP27'!$1:$4</definedName>
    <definedName name="_xlnm.Print_Titles" localSheetId="28">'IWP28'!$1:$4</definedName>
    <definedName name="_xlnm.Print_Titles" localSheetId="29">'IWP29'!$1:$4</definedName>
    <definedName name="_xlnm.Print_Titles" localSheetId="30">'IWP30'!$1:$4</definedName>
    <definedName name="_xlnm.Print_Titles" localSheetId="0">'Monitoring Workbook'!$1:$9</definedName>
    <definedName name="_xlnm.Print_Titles" localSheetId="31">'Personal Care 3 Facility Chklst'!$1:$10</definedName>
    <definedName name="_xlnm.Print_Titles" localSheetId="33">'Unlic. Empl. Reqs. (Print)'!$1:$8</definedName>
    <definedName name="PrrtdIntPldTrstFndAcct" localSheetId="32">'ALRC Indiv Fund Summary (Print)'!$B$56:$M$70</definedName>
    <definedName name="Res2StaffRatioDay" localSheetId="31">'Personal Care 3 Facility Chklst'!$L$45</definedName>
    <definedName name="Res2StaffRatioEvening" localSheetId="31">'Personal Care 3 Facility Chklst'!$L$46</definedName>
    <definedName name="Res2StaffRatioNight" localSheetId="31">'Personal Care 3 Facility Chklst'!$L$47</definedName>
    <definedName name="Resulta" localSheetId="31">'Personal Care 3 Facility Chklst'!$I$12</definedName>
    <definedName name="Resultb" localSheetId="31">'Personal Care 3 Facility Chklst'!$I$13</definedName>
    <definedName name="Resultc">'Personal Care 3 Facility Chklst'!$I$14</definedName>
    <definedName name="ReviewLevel">'Monitoring Workbook'!$G$2</definedName>
    <definedName name="ReviewPeriodBeginDate" localSheetId="1">'IWP01'!$G$2</definedName>
    <definedName name="ReviewPeriodBeginDate" localSheetId="2">'IWP02'!$G$2</definedName>
    <definedName name="ReviewPeriodBeginDate" localSheetId="3">'IWP03'!$G$2</definedName>
    <definedName name="ReviewPeriodBeginDate" localSheetId="4">'IWP04'!$G$2</definedName>
    <definedName name="ReviewPeriodBeginDate" localSheetId="5">'IWP05'!$G$2</definedName>
    <definedName name="ReviewPeriodBeginDate" localSheetId="6">'IWP06'!$G$2</definedName>
    <definedName name="ReviewPeriodBeginDate" localSheetId="7">'IWP07'!$G$2</definedName>
    <definedName name="ReviewPeriodBeginDate" localSheetId="8">'IWP08'!$G$2</definedName>
    <definedName name="ReviewPeriodBeginDate" localSheetId="9">'IWP09'!$G$2</definedName>
    <definedName name="ReviewPeriodBeginDate" localSheetId="10">'IWP10'!$G$2</definedName>
    <definedName name="ReviewPeriodBeginDate" localSheetId="11">'IWP11'!$G$2</definedName>
    <definedName name="ReviewPeriodBeginDate" localSheetId="12">'IWP12'!$G$2</definedName>
    <definedName name="ReviewPeriodBeginDate" localSheetId="13">'IWP13'!$G$2</definedName>
    <definedName name="ReviewPeriodBeginDate" localSheetId="14">'IWP14'!$G$2</definedName>
    <definedName name="ReviewPeriodBeginDate" localSheetId="15">'IWP15'!$G$2</definedName>
    <definedName name="ReviewPeriodBeginDate" localSheetId="16">'IWP16'!$G$2</definedName>
    <definedName name="ReviewPeriodBeginDate" localSheetId="17">'IWP17'!$G$2</definedName>
    <definedName name="ReviewPeriodBeginDate" localSheetId="18">'IWP18'!$G$2</definedName>
    <definedName name="ReviewPeriodBeginDate" localSheetId="19">'IWP19'!$G$2</definedName>
    <definedName name="ReviewPeriodBeginDate" localSheetId="20">'IWP20'!$G$2</definedName>
    <definedName name="ReviewPeriodBeginDate" localSheetId="21">'IWP21'!$G$2</definedName>
    <definedName name="ReviewPeriodBeginDate" localSheetId="22">'IWP22'!$G$2</definedName>
    <definedName name="ReviewPeriodBeginDate" localSheetId="23">'IWP23'!$G$2</definedName>
    <definedName name="ReviewPeriodBeginDate" localSheetId="24">'IWP24'!$G$2</definedName>
    <definedName name="ReviewPeriodBeginDate" localSheetId="25">'IWP25'!$G$2</definedName>
    <definedName name="ReviewPeriodBeginDate" localSheetId="26">'IWP26'!$G$2</definedName>
    <definedName name="ReviewPeriodBeginDate" localSheetId="27">'IWP27'!$G$2</definedName>
    <definedName name="ReviewPeriodBeginDate" localSheetId="28">'IWP28'!$G$2</definedName>
    <definedName name="ReviewPeriodBeginDate" localSheetId="29">'IWP29'!$G$2</definedName>
    <definedName name="ReviewPeriodBeginDate" localSheetId="30">'IWP30'!$G$2</definedName>
    <definedName name="ReviewPeriodEndDate" localSheetId="1">'IWP01'!$I$2</definedName>
    <definedName name="ReviewPeriodEndDate" localSheetId="2">'IWP02'!$I$2</definedName>
    <definedName name="ReviewPeriodEndDate" localSheetId="3">'IWP03'!$I$2</definedName>
    <definedName name="ReviewPeriodEndDate" localSheetId="4">'IWP04'!$I$2</definedName>
    <definedName name="ReviewPeriodEndDate" localSheetId="5">'IWP05'!$I$2</definedName>
    <definedName name="ReviewPeriodEndDate" localSheetId="6">'IWP06'!$I$2</definedName>
    <definedName name="ReviewPeriodEndDate" localSheetId="7">'IWP07'!$I$2</definedName>
    <definedName name="ReviewPeriodEndDate" localSheetId="8">'IWP08'!$I$2</definedName>
    <definedName name="ReviewPeriodEndDate" localSheetId="9">'IWP09'!$I$2</definedName>
    <definedName name="ReviewPeriodEndDate" localSheetId="10">'IWP10'!$I$2</definedName>
    <definedName name="ReviewPeriodEndDate" localSheetId="11">'IWP11'!$I$2</definedName>
    <definedName name="ReviewPeriodEndDate" localSheetId="12">'IWP12'!$I$2</definedName>
    <definedName name="ReviewPeriodEndDate" localSheetId="13">'IWP13'!$I$2</definedName>
    <definedName name="ReviewPeriodEndDate" localSheetId="14">'IWP14'!$I$2</definedName>
    <definedName name="ReviewPeriodEndDate" localSheetId="15">'IWP15'!$I$2</definedName>
    <definedName name="ReviewPeriodEndDate" localSheetId="16">'IWP16'!$I$2</definedName>
    <definedName name="ReviewPeriodEndDate" localSheetId="17">'IWP17'!$I$2</definedName>
    <definedName name="ReviewPeriodEndDate" localSheetId="18">'IWP18'!$I$2</definedName>
    <definedName name="ReviewPeriodEndDate" localSheetId="19">'IWP19'!$I$2</definedName>
    <definedName name="ReviewPeriodEndDate" localSheetId="20">'IWP20'!$I$2</definedName>
    <definedName name="ReviewPeriodEndDate" localSheetId="21">'IWP21'!$I$2</definedName>
    <definedName name="ReviewPeriodEndDate" localSheetId="22">'IWP22'!$I$2</definedName>
    <definedName name="ReviewPeriodEndDate" localSheetId="23">'IWP23'!$I$2</definedName>
    <definedName name="ReviewPeriodEndDate" localSheetId="24">'IWP24'!$I$2</definedName>
    <definedName name="ReviewPeriodEndDate" localSheetId="25">'IWP25'!$I$2</definedName>
    <definedName name="ReviewPeriodEndDate" localSheetId="26">'IWP26'!$I$2</definedName>
    <definedName name="ReviewPeriodEndDate" localSheetId="27">'IWP27'!$I$2</definedName>
    <definedName name="ReviewPeriodEndDate" localSheetId="28">'IWP28'!$I$2</definedName>
    <definedName name="ReviewPeriodEndDate" localSheetId="29">'IWP29'!$I$2</definedName>
    <definedName name="ReviewPeriodEndDate" localSheetId="30">'IWP30'!$I$2</definedName>
    <definedName name="ReviewType">'Monitoring Workbook'!$I$2</definedName>
    <definedName name="SampleNumber" localSheetId="1">'IWP01'!$A$2</definedName>
    <definedName name="SampleNumber" localSheetId="2">'IWP02'!$A$2</definedName>
    <definedName name="SampleNumber" localSheetId="3">'IWP03'!$A$2</definedName>
    <definedName name="SampleNumber" localSheetId="4">'IWP04'!$A$2</definedName>
    <definedName name="SampleNumber" localSheetId="5">'IWP05'!$A$2</definedName>
    <definedName name="SampleNumber" localSheetId="6">'IWP06'!$A$2</definedName>
    <definedName name="SampleNumber" localSheetId="7">'IWP07'!$A$2</definedName>
    <definedName name="SampleNumber" localSheetId="8">'IWP08'!$A$2</definedName>
    <definedName name="SampleNumber" localSheetId="9">'IWP09'!$A$2</definedName>
    <definedName name="SampleNumber" localSheetId="10">'IWP10'!$A$2</definedName>
    <definedName name="SampleNumber" localSheetId="11">'IWP11'!$A$2</definedName>
    <definedName name="SampleNumber" localSheetId="12">'IWP12'!$A$2</definedName>
    <definedName name="SampleNumber" localSheetId="13">'IWP13'!$A$2</definedName>
    <definedName name="SampleNumber" localSheetId="14">'IWP14'!$A$2</definedName>
    <definedName name="SampleNumber" localSheetId="15">'IWP15'!$A$2</definedName>
    <definedName name="SampleNumber" localSheetId="16">'IWP16'!$A$2</definedName>
    <definedName name="SampleNumber" localSheetId="17">'IWP17'!$A$2</definedName>
    <definedName name="SampleNumber" localSheetId="18">'IWP18'!$A$2</definedName>
    <definedName name="SampleNumber" localSheetId="19">'IWP19'!$A$2</definedName>
    <definedName name="SampleNumber" localSheetId="20">'IWP20'!$A$2</definedName>
    <definedName name="SampleNumber" localSheetId="21">'IWP21'!$A$2</definedName>
    <definedName name="SampleNumber" localSheetId="22">'IWP22'!$A$2</definedName>
    <definedName name="SampleNumber" localSheetId="23">'IWP23'!$A$2</definedName>
    <definedName name="SampleNumber" localSheetId="24">'IWP24'!$A$2</definedName>
    <definedName name="SampleNumber" localSheetId="25">'IWP25'!$A$2</definedName>
    <definedName name="SampleNumber" localSheetId="26">'IWP26'!$A$2</definedName>
    <definedName name="SampleNumber" localSheetId="27">'IWP27'!$A$2</definedName>
    <definedName name="SampleNumber" localSheetId="28">'IWP28'!$A$2</definedName>
    <definedName name="SampleNumber" localSheetId="29">'IWP29'!$A$2</definedName>
    <definedName name="SampleNumber" localSheetId="30">'IWP30'!$A$2</definedName>
    <definedName name="SingleCare3Facility">'Monitoring Workbook'!$E$2</definedName>
    <definedName name="SpreadsheetInfo" localSheetId="43">Data!$A$2:$C$3</definedName>
    <definedName name="Standard_I_1">'Monitoring Workbook'!$J$12</definedName>
    <definedName name="Standard_I_2a">'Monitoring Workbook'!$J$18</definedName>
    <definedName name="Standard_I_2a_Comments">'Monitoring Workbook'!$B$24</definedName>
    <definedName name="Standard_I_2b">'Monitoring Workbook'!$J$27</definedName>
    <definedName name="Standard_I_2b_Comments">'Monitoring Workbook'!$B$31</definedName>
    <definedName name="Standard_I_3">'Monitoring Workbook'!$J$34</definedName>
    <definedName name="Standard_I_3b">'Monitoring Workbook'!$J$41</definedName>
    <definedName name="Standard_I_4">'Monitoring Workbook'!$J$50</definedName>
    <definedName name="Standard_I_5">'Monitoring Workbook'!$J$53</definedName>
    <definedName name="Standard_I_6">'Monitoring Workbook'!$J$58</definedName>
    <definedName name="Standard_I_7">'Monitoring Workbook'!$J$64</definedName>
    <definedName name="Standard_I_8">'Monitoring Workbook'!$J$68</definedName>
    <definedName name="Standard_I_9">'Monitoring Workbook'!$J$71</definedName>
    <definedName name="Standard_I_Comments">'Monitoring Workbook'!$B$73</definedName>
    <definedName name="Standard_I_Total_No">'Monitoring Workbook'!$I$74</definedName>
    <definedName name="Standard_I_Total_Yes">'Monitoring Workbook'!$G$74</definedName>
    <definedName name="Standard_II_1_Comments">'Monitoring Workbook'!$B$88</definedName>
    <definedName name="Standard_II_1_Number_No">'Monitoring Workbook'!$I$89</definedName>
    <definedName name="Standard_II_1_Number_Yes">'Monitoring Workbook'!$G$89</definedName>
    <definedName name="Standard_II_2_Comments">'Monitoring Workbook'!$B$102</definedName>
    <definedName name="Standard_II_2_Number_No">'Monitoring Workbook'!$I$103</definedName>
    <definedName name="Standard_II_2_Number_Yes">'Monitoring Workbook'!$G$103</definedName>
    <definedName name="Standard_II_Total_No">'Monitoring Workbook'!$I$105</definedName>
    <definedName name="Standard_II_Total_Yes">'Monitoring Workbook'!$G$105</definedName>
    <definedName name="Standard_III_1_Comments">'Monitoring Workbook'!$B$121</definedName>
    <definedName name="Standard_III_2_Comments">'Monitoring Workbook'!$B$135</definedName>
    <definedName name="Standard_III_2_Number_No">'Monitoring Workbook'!$I$136</definedName>
    <definedName name="Standard_III_2_Number_Yes">'Monitoring Workbook'!$G$136</definedName>
    <definedName name="Standard_III_I_Number_No">'Monitoring Workbook'!$I$122</definedName>
    <definedName name="Standard_III_I_Number_Yes">'Monitoring Workbook'!$G$122</definedName>
    <definedName name="Standard_III_Total_No">'Monitoring Workbook'!$I$138</definedName>
    <definedName name="Standard_III_Total_Yes">'Monitoring Workbook'!$G$138</definedName>
    <definedName name="Standard_IV_1_Comments">'Monitoring Workbook'!$B$153</definedName>
    <definedName name="Standard_IV_1_Number_No">'Monitoring Workbook'!$I$154</definedName>
    <definedName name="Standard_IV_1_Number_Yes">'Monitoring Workbook'!$G$154</definedName>
    <definedName name="Standard_IV_2_Comments">'Monitoring Workbook'!$B$167</definedName>
    <definedName name="Standard_IV_2_Number_No">'Monitoring Workbook'!$I$168</definedName>
    <definedName name="Standard_IV_2_Number_Yes">'Monitoring Workbook'!$G$168</definedName>
    <definedName name="Standard_IV_3_Comments">'Monitoring Workbook'!$B$181</definedName>
    <definedName name="Standard_IV_3_Number_No">'Monitoring Workbook'!$I$182</definedName>
    <definedName name="Standard_IV_3_Number_Yes">'Monitoring Workbook'!$G$182</definedName>
    <definedName name="Standard_IV_4_Comments">'Monitoring Workbook'!$B$195</definedName>
    <definedName name="Standard_IV_4_Number_No">'Monitoring Workbook'!$I$196</definedName>
    <definedName name="Standard_IV_4_Number_Yes">'Monitoring Workbook'!$G$196</definedName>
    <definedName name="Standard_IV_Total_No">'Monitoring Workbook'!$I$198</definedName>
    <definedName name="Standard_IV_Total_Yes">'Monitoring Workbook'!$G$198</definedName>
    <definedName name="Standard_IX_1_Comments">'Monitoring Workbook'!$B$414</definedName>
    <definedName name="Standard_IX_Total_No">'Monitoring Workbook'!$I$415</definedName>
    <definedName name="Standard_IX_Total_Yes">'Monitoring Workbook'!$G$415</definedName>
    <definedName name="Standard_V_I_Comments">'Monitoring Workbook'!$B$213</definedName>
    <definedName name="Standard_V_Total_No">'Monitoring Workbook'!$I$214</definedName>
    <definedName name="Standard_V_Total_Yes">'Monitoring Workbook'!$G$214</definedName>
    <definedName name="Standard_VI_1">'Monitoring Workbook'!$I$239</definedName>
    <definedName name="Standard_VI_1_Comments">'Monitoring Workbook'!$B$242</definedName>
    <definedName name="Standard_VI_1_NotCalc">'Monitoring Workbook'!$I$217</definedName>
    <definedName name="Standard_VI_1f">'Monitoring Workbook'!$I$215</definedName>
    <definedName name="Standard_VII_1_Comments">'Monitoring Workbook'!$B$257</definedName>
    <definedName name="Standard_VII_Total_No">'Monitoring Workbook'!$I$258</definedName>
    <definedName name="Standard_VII_Total_Yes">'Monitoring Workbook'!$G$258</definedName>
    <definedName name="Standard_VIII">'Monitoring Workbook'!$I$398</definedName>
    <definedName name="Standard_VIII_1_Comments">'Monitoring Workbook'!$B$398</definedName>
    <definedName name="Standard_VIII_1a_NotCalc">'Monitoring Workbook'!$I$262</definedName>
    <definedName name="Standard_VIII_1b_NotCalc">'Monitoring Workbook'!$I$265</definedName>
    <definedName name="Standard_X_1_Comments">'Monitoring Workbook'!$B$431</definedName>
    <definedName name="Standard_X_1_Number_No">'Monitoring Workbook'!$I$432</definedName>
    <definedName name="Standard_X_1_Number_Yes">'Monitoring Workbook'!$G$432</definedName>
    <definedName name="Standard_X_2_Comments">'Monitoring Workbook'!$B$445</definedName>
    <definedName name="Standard_X_2_Number_No">'Monitoring Workbook'!$I$446</definedName>
    <definedName name="Standard_X_2_Number_Yes">'Monitoring Workbook'!$G$446</definedName>
    <definedName name="Standard_X_3_Comments">'Monitoring Workbook'!$B$459</definedName>
    <definedName name="Standard_X_3_Number_No">'Monitoring Workbook'!$I$460</definedName>
    <definedName name="Standard_X_3_Number_Yes">'Monitoring Workbook'!$G$460</definedName>
    <definedName name="Standard_X_4_Comments">'Monitoring Workbook'!$B$473</definedName>
    <definedName name="Standard_X_4_Number_No">'Monitoring Workbook'!$I$474</definedName>
    <definedName name="Standard_X_4_Number_Yes">'Monitoring Workbook'!$G$474</definedName>
    <definedName name="Standard_X_5_Comments">'Monitoring Workbook'!$B$487</definedName>
    <definedName name="Standard_X_5_Number_No">'Monitoring Workbook'!$I$488</definedName>
    <definedName name="Standard_X_5_Number_Yes">'Monitoring Workbook'!$G$488</definedName>
    <definedName name="Standard_X_6_Comments">'Monitoring Workbook'!$B$501</definedName>
    <definedName name="Standard_X_6_Number_No">'Monitoring Workbook'!$I$502</definedName>
    <definedName name="Standard_X_6_Number_Yes">'Monitoring Workbook'!$G$502</definedName>
    <definedName name="Standard_X_Total_No">'Monitoring Workbook'!$I$504</definedName>
    <definedName name="Standard_X_Total_Yes">'Monitoring Workbook'!$G$504</definedName>
    <definedName name="Standard_XI_1_Comments">'Monitoring Workbook'!$B$519</definedName>
    <definedName name="Standard_XI_1_Number_No">'Monitoring Workbook'!$I$520</definedName>
    <definedName name="Standard_XI_1_Number_Yes">'Monitoring Workbook'!$G$520</definedName>
    <definedName name="Standard_XI_2_Comments">'Monitoring Workbook'!$A$535</definedName>
    <definedName name="Standard_XI_2_Number_No">'Monitoring Workbook'!$I$535</definedName>
    <definedName name="Standard_XI_2_Number_Yes">'Monitoring Workbook'!$G$535</definedName>
    <definedName name="Standard_XI_3_Comments">'Monitoring Workbook'!$B$549</definedName>
    <definedName name="Standard_XI_3_Number_No">'Monitoring Workbook'!$I$550</definedName>
    <definedName name="Standard_XI_3_Number_Yes">'Monitoring Workbook'!$G$550</definedName>
    <definedName name="Standard_XI_4_Comments">'Monitoring Workbook'!$B$563</definedName>
    <definedName name="Standard_XI_4_Number_No">'Monitoring Workbook'!$I$564</definedName>
    <definedName name="Standard_XI_4_Number_Yes">'Monitoring Workbook'!$G$564</definedName>
    <definedName name="Standard_XI_5_Comments">'Monitoring Workbook'!$A$579</definedName>
    <definedName name="Standard_XI_5_Number_No">'Monitoring Workbook'!$I$578</definedName>
    <definedName name="Standard_XI_5_Number_Yes">'Monitoring Workbook'!$G$578</definedName>
    <definedName name="Standard_XI_Total_No">'Monitoring Workbook'!$I$580</definedName>
    <definedName name="Standard_XI_Total_Yes">'Monitoring Workbook'!$G$580</definedName>
    <definedName name="Std_VI_1_AdjustedBal">'Monitoring Workbook'!$J$231</definedName>
    <definedName name="Std_VI_1_Adjustments">'Monitoring Workbook'!$J$230</definedName>
    <definedName name="Std_VI_1_BalPettyCashLog">'Monitoring Workbook'!$J$229</definedName>
    <definedName name="Std_VI_1_CashOnHandDate">'Monitoring Workbook'!$E$227</definedName>
    <definedName name="Std_VI_1_CoinsTotal">'Monitoring Workbook'!$C$235</definedName>
    <definedName name="Std_VI_1_CurrencyTotal">'Monitoring Workbook'!$F$235</definedName>
    <definedName name="Std_VI_1_Dimes">'Monitoring Workbook'!$C$231</definedName>
    <definedName name="Std_VI_1_Dollars">'Monitoring Workbook'!$C$234</definedName>
    <definedName name="Std_VI_1_Fifties">'Monitoring Workbook'!$F$233</definedName>
    <definedName name="Std_VI_1_Fives">'Monitoring Workbook'!$F$230</definedName>
    <definedName name="Std_VI_1_HalfDollars">'Monitoring Workbook'!$C$233</definedName>
    <definedName name="Std_VI_1_Nickels">'Monitoring Workbook'!$C$230</definedName>
    <definedName name="Std_VI_1_Ones">'Monitoring Workbook'!$F$229</definedName>
    <definedName name="Std_VI_1_OtherCurrency">'Monitoring Workbook'!$F$234</definedName>
    <definedName name="Std_VI_1_Pennies">'Monitoring Workbook'!$C$229</definedName>
    <definedName name="Std_VI_1_PettyCashOnHand">'Monitoring Workbook'!$J$233</definedName>
    <definedName name="Std_VI_1_PettyCashOverShort">'Monitoring Workbook'!$J$234</definedName>
    <definedName name="Std_VI_1_Quarters">'Monitoring Workbook'!$C$232</definedName>
    <definedName name="Std_VI_1_Tens">'Monitoring Workbook'!$F$231</definedName>
    <definedName name="Std_VI_1_Twenties">'Monitoring Workbook'!$F$232</definedName>
    <definedName name="Std_VI_I_1m">'Monitoring Workbook'!$J$235</definedName>
    <definedName name="Std_VIII_1m">'Monitoring Workbook'!$I$389</definedName>
    <definedName name="Std_VIII_1n">'Monitoring Workbook'!$I$390</definedName>
    <definedName name="Std_VIII_AcctOverShort">'Monitoring Workbook'!$I$388</definedName>
    <definedName name="Std_VIII_AdjBalPerBank">'Monitoring Workbook'!$I$379</definedName>
    <definedName name="Std_VIII_AdjBalPerBooks">'Monitoring Workbook'!$I$387</definedName>
    <definedName name="Std_VIII_BalPerBooks">'Monitoring Workbook'!$I$383</definedName>
    <definedName name="Std_VIII_BalPerBooksDate">'Monitoring Workbook'!$G$383</definedName>
    <definedName name="Std_VIII_BankStmtBalance">'Monitoring Workbook'!$I$376</definedName>
    <definedName name="Std_VIII_BankStmtDate">'Monitoring Workbook'!$F$376</definedName>
    <definedName name="Std_VIII_NSFchecks">'Monitoring Workbook'!$I$386</definedName>
    <definedName name="Std_VIII_RecptsForDsbmnts">'Monitoring Workbook'!$I$385</definedName>
    <definedName name="Std_VIII_TotalDepositsInTransit">'Monitoring Workbook'!$K$340</definedName>
    <definedName name="Std_VIII_TotalOutstandingChecks">'Monitoring Workbook'!$N$307</definedName>
    <definedName name="Std_VIII_TotPtyCashOnHand">'Monitoring Workbook'!$I$380</definedName>
    <definedName name="Std_VIII_TotPtyCashOnHandDate">'Monitoring Workbook'!$F$380</definedName>
    <definedName name="Std_VIII_TrustFundTrialBalance">'Monitoring Workbook'!$H$374</definedName>
    <definedName name="Std_VIII_UnApplEarnedInt">'Monitoring Workbook'!$I$384</definedName>
    <definedName name="Std_XI4_Qual_E" localSheetId="1">'IWP01'!$O$349:$O$354</definedName>
    <definedName name="Std_XI4_Qual_E" localSheetId="2">'IWP02'!$O$349:$O$354</definedName>
    <definedName name="Std_XI4_Qual_E" localSheetId="3">'IWP03'!$O$349:$O$354</definedName>
    <definedName name="Std_XI4_Qual_E" localSheetId="4">'IWP04'!$O$349:$O$354</definedName>
    <definedName name="Std_XI4_Qual_E" localSheetId="5">'IWP05'!$O$349:$O$354</definedName>
    <definedName name="Std_XI4_Qual_E" localSheetId="6">'IWP06'!$O$349:$O$354</definedName>
    <definedName name="Std_XI4_Qual_E" localSheetId="7">'IWP07'!$O$349:$O$354</definedName>
    <definedName name="Std_XI4_Qual_E" localSheetId="8">'IWP08'!$O$349:$O$354</definedName>
    <definedName name="Std_XI4_Qual_E" localSheetId="9">'IWP09'!$O$349:$O$354</definedName>
    <definedName name="Std_XI4_Qual_E" localSheetId="10">'IWP10'!$O$349:$O$354</definedName>
    <definedName name="Std_XI4_Qual_E" localSheetId="11">'IWP11'!$O$349:$O$354</definedName>
    <definedName name="Std_XI4_Qual_E" localSheetId="12">'IWP12'!$O$349:$O$354</definedName>
    <definedName name="Std_XI4_Qual_E" localSheetId="13">'IWP13'!$O$349:$O$354</definedName>
    <definedName name="Std_XI4_Qual_E" localSheetId="14">'IWP14'!$O$349:$O$354</definedName>
    <definedName name="Std_XI4_Qual_E" localSheetId="15">'IWP15'!$O$349:$O$354</definedName>
    <definedName name="Std_XI4_Qual_E" localSheetId="16">'IWP16'!$O$349:$O$354</definedName>
    <definedName name="Std_XI4_Qual_E" localSheetId="17">'IWP17'!$O$349:$O$354</definedName>
    <definedName name="Std_XI4_Qual_E" localSheetId="18">'IWP18'!$O$349:$O$354</definedName>
    <definedName name="Std_XI4_Qual_E" localSheetId="19">'IWP19'!$O$349:$O$354</definedName>
    <definedName name="Std_XI4_Qual_E" localSheetId="20">'IWP20'!$O$349:$O$354</definedName>
    <definedName name="Std_XI4_Qual_E" localSheetId="21">'IWP21'!$O$349:$O$354</definedName>
    <definedName name="Std_XI4_Qual_E" localSheetId="22">'IWP22'!$O$349:$O$354</definedName>
    <definedName name="Std_XI4_Qual_E" localSheetId="23">'IWP23'!$O$349:$O$354</definedName>
    <definedName name="Std_XI4_Qual_E" localSheetId="24">'IWP24'!$O$349:$O$354</definedName>
    <definedName name="Std_XI4_Qual_E" localSheetId="25">'IWP25'!$O$349:$O$354</definedName>
    <definedName name="Std_XI4_Qual_E" localSheetId="26">'IWP26'!$O$349:$O$354</definedName>
    <definedName name="Std_XI4_Qual_E" localSheetId="27">'IWP27'!$O$349:$O$354</definedName>
    <definedName name="Std_XI4_Qual_E" localSheetId="28">'IWP28'!$O$349:$O$354</definedName>
    <definedName name="Std_XI4_Qual_E" localSheetId="29">'IWP29'!$O$349:$O$354</definedName>
    <definedName name="Std_XI4_Qual_E" localSheetId="30">'IWP30'!$O$349:$O$354</definedName>
    <definedName name="Std10dot1" localSheetId="1">'IWP01'!$J$146</definedName>
    <definedName name="Std10dot1" localSheetId="2">'IWP02'!$J$146</definedName>
    <definedName name="Std10dot1" localSheetId="3">'IWP03'!$J$146</definedName>
    <definedName name="Std10dot1" localSheetId="4">'IWP04'!$J$146</definedName>
    <definedName name="Std10dot1" localSheetId="5">'IWP05'!$J$146</definedName>
    <definedName name="Std10dot1" localSheetId="6">'IWP06'!$J$146</definedName>
    <definedName name="Std10dot1" localSheetId="7">'IWP07'!$J$146</definedName>
    <definedName name="Std10dot1" localSheetId="8">'IWP08'!$J$146</definedName>
    <definedName name="Std10dot1" localSheetId="9">'IWP09'!$J$146</definedName>
    <definedName name="Std10dot1" localSheetId="10">'IWP10'!$J$146</definedName>
    <definedName name="Std10dot1" localSheetId="11">'IWP11'!$J$146</definedName>
    <definedName name="Std10dot1" localSheetId="12">'IWP12'!$J$146</definedName>
    <definedName name="Std10dot1" localSheetId="13">'IWP13'!$J$146</definedName>
    <definedName name="Std10dot1" localSheetId="14">'IWP14'!$J$146</definedName>
    <definedName name="Std10dot1" localSheetId="15">'IWP15'!$J$146</definedName>
    <definedName name="Std10dot1" localSheetId="16">'IWP16'!$J$146</definedName>
    <definedName name="Std10dot1" localSheetId="17">'IWP17'!$J$146</definedName>
    <definedName name="Std10dot1" localSheetId="18">'IWP18'!$J$146</definedName>
    <definedName name="Std10dot1" localSheetId="19">'IWP19'!$J$146</definedName>
    <definedName name="Std10dot1" localSheetId="20">'IWP20'!$J$146</definedName>
    <definedName name="Std10dot1" localSheetId="21">'IWP21'!$J$146</definedName>
    <definedName name="Std10dot1" localSheetId="22">'IWP22'!$J$146</definedName>
    <definedName name="Std10dot1" localSheetId="23">'IWP23'!$J$146</definedName>
    <definedName name="Std10dot1" localSheetId="24">'IWP24'!$J$146</definedName>
    <definedName name="Std10dot1" localSheetId="25">'IWP25'!$J$146</definedName>
    <definedName name="Std10dot1" localSheetId="26">'IWP26'!$J$146</definedName>
    <definedName name="Std10dot1" localSheetId="27">'IWP27'!$J$146</definedName>
    <definedName name="Std10dot1" localSheetId="28">'IWP28'!$J$146</definedName>
    <definedName name="Std10dot1" localSheetId="29">'IWP29'!$J$146</definedName>
    <definedName name="Std10dot1" localSheetId="30">'IWP30'!$J$146</definedName>
    <definedName name="Std10dot1">#REF!</definedName>
    <definedName name="Std10dot1Date1" localSheetId="1">'IWP01'!$D$144</definedName>
    <definedName name="Std10dot1Date1" localSheetId="2">'IWP02'!$D$144</definedName>
    <definedName name="Std10dot1Date1" localSheetId="3">'IWP03'!$D$144</definedName>
    <definedName name="Std10dot1Date1" localSheetId="4">'IWP04'!$D$144</definedName>
    <definedName name="Std10dot1Date1" localSheetId="5">'IWP05'!$D$144</definedName>
    <definedName name="Std10dot1Date1" localSheetId="6">'IWP06'!$D$144</definedName>
    <definedName name="Std10dot1Date1" localSheetId="7">'IWP07'!$D$144</definedName>
    <definedName name="Std10dot1Date1" localSheetId="8">'IWP08'!$D$144</definedName>
    <definedName name="Std10dot1Date1" localSheetId="9">'IWP09'!$D$144</definedName>
    <definedName name="Std10dot1Date1" localSheetId="10">'IWP10'!$D$144</definedName>
    <definedName name="Std10dot1Date1" localSheetId="11">'IWP11'!$D$144</definedName>
    <definedName name="Std10dot1Date1" localSheetId="12">'IWP12'!$D$144</definedName>
    <definedName name="Std10dot1Date1" localSheetId="13">'IWP13'!$D$144</definedName>
    <definedName name="Std10dot1Date1" localSheetId="14">'IWP14'!$D$144</definedName>
    <definedName name="Std10dot1Date1" localSheetId="15">'IWP15'!$D$144</definedName>
    <definedName name="Std10dot1Date1" localSheetId="16">'IWP16'!$D$144</definedName>
    <definedName name="Std10dot1Date1" localSheetId="17">'IWP17'!$D$144</definedName>
    <definedName name="Std10dot1Date1" localSheetId="18">'IWP18'!$D$144</definedName>
    <definedName name="Std10dot1Date1" localSheetId="19">'IWP19'!$D$144</definedName>
    <definedName name="Std10dot1Date1" localSheetId="20">'IWP20'!$D$144</definedName>
    <definedName name="Std10dot1Date1" localSheetId="21">'IWP21'!$D$144</definedName>
    <definedName name="Std10dot1Date1" localSheetId="22">'IWP22'!$D$144</definedName>
    <definedName name="Std10dot1Date1" localSheetId="23">'IWP23'!$D$144</definedName>
    <definedName name="Std10dot1Date1" localSheetId="24">'IWP24'!$D$144</definedName>
    <definedName name="Std10dot1Date1" localSheetId="25">'IWP25'!$D$144</definedName>
    <definedName name="Std10dot1Date1" localSheetId="26">'IWP26'!$D$144</definedName>
    <definedName name="Std10dot1Date1" localSheetId="27">'IWP27'!$D$144</definedName>
    <definedName name="Std10dot1Date1" localSheetId="28">'IWP28'!$D$144</definedName>
    <definedName name="Std10dot1Date1" localSheetId="29">'IWP29'!$D$144</definedName>
    <definedName name="Std10dot1Date1" localSheetId="30">'IWP30'!$D$144</definedName>
    <definedName name="Std10dot1Date2" localSheetId="1">'IWP01'!$I$144</definedName>
    <definedName name="Std10dot1Date2" localSheetId="2">'IWP02'!$I$144</definedName>
    <definedName name="Std10dot1Date2" localSheetId="3">'IWP03'!$I$144</definedName>
    <definedName name="Std10dot1Date2" localSheetId="4">'IWP04'!$I$144</definedName>
    <definedName name="Std10dot1Date2" localSheetId="5">'IWP05'!$I$144</definedName>
    <definedName name="Std10dot1Date2" localSheetId="6">'IWP06'!$I$144</definedName>
    <definedName name="Std10dot1Date2" localSheetId="7">'IWP07'!$I$144</definedName>
    <definedName name="Std10dot1Date2" localSheetId="8">'IWP08'!$I$144</definedName>
    <definedName name="Std10dot1Date2" localSheetId="9">'IWP09'!$I$144</definedName>
    <definedName name="Std10dot1Date2" localSheetId="10">'IWP10'!$I$144</definedName>
    <definedName name="Std10dot1Date2" localSheetId="11">'IWP11'!$I$144</definedName>
    <definedName name="Std10dot1Date2" localSheetId="12">'IWP12'!$I$144</definedName>
    <definedName name="Std10dot1Date2" localSheetId="13">'IWP13'!$I$144</definedName>
    <definedName name="Std10dot1Date2" localSheetId="14">'IWP14'!$I$144</definedName>
    <definedName name="Std10dot1Date2" localSheetId="15">'IWP15'!$I$144</definedName>
    <definedName name="Std10dot1Date2" localSheetId="16">'IWP16'!$I$144</definedName>
    <definedName name="Std10dot1Date2" localSheetId="17">'IWP17'!$I$144</definedName>
    <definedName name="Std10dot1Date2" localSheetId="18">'IWP18'!$I$144</definedName>
    <definedName name="Std10dot1Date2" localSheetId="19">'IWP19'!$I$144</definedName>
    <definedName name="Std10dot1Date2" localSheetId="20">'IWP20'!$I$144</definedName>
    <definedName name="Std10dot1Date2" localSheetId="21">'IWP21'!$I$144</definedName>
    <definedName name="Std10dot1Date2" localSheetId="22">'IWP22'!$I$144</definedName>
    <definedName name="Std10dot1Date2" localSheetId="23">'IWP23'!$I$144</definedName>
    <definedName name="Std10dot1Date2" localSheetId="24">'IWP24'!$I$144</definedName>
    <definedName name="Std10dot1Date2" localSheetId="25">'IWP25'!$I$144</definedName>
    <definedName name="Std10dot1Date2" localSheetId="26">'IWP26'!$I$144</definedName>
    <definedName name="Std10dot1Date2" localSheetId="27">'IWP27'!$I$144</definedName>
    <definedName name="Std10dot1Date2" localSheetId="28">'IWP28'!$I$144</definedName>
    <definedName name="Std10dot1Date2" localSheetId="29">'IWP29'!$I$144</definedName>
    <definedName name="Std10dot1Date2" localSheetId="30">'IWP30'!$I$144</definedName>
    <definedName name="Std10dot1NotCalc" localSheetId="1">'IWP01'!$J$140</definedName>
    <definedName name="Std10dot1NotCalc" localSheetId="2">'IWP02'!$J$140</definedName>
    <definedName name="Std10dot1NotCalc" localSheetId="3">'IWP03'!$J$140</definedName>
    <definedName name="Std10dot1NotCalc" localSheetId="4">'IWP04'!$J$140</definedName>
    <definedName name="Std10dot1NotCalc" localSheetId="5">'IWP05'!$J$140</definedName>
    <definedName name="Std10dot1NotCalc" localSheetId="6">'IWP06'!$J$140</definedName>
    <definedName name="Std10dot1NotCalc" localSheetId="7">'IWP07'!$J$140</definedName>
    <definedName name="Std10dot1NotCalc" localSheetId="8">'IWP08'!$J$140</definedName>
    <definedName name="Std10dot1NotCalc" localSheetId="9">'IWP09'!$J$140</definedName>
    <definedName name="Std10dot1NotCalc" localSheetId="10">'IWP10'!$J$140</definedName>
    <definedName name="Std10dot1NotCalc" localSheetId="11">'IWP11'!$J$140</definedName>
    <definedName name="Std10dot1NotCalc" localSheetId="12">'IWP12'!$J$140</definedName>
    <definedName name="Std10dot1NotCalc" localSheetId="13">'IWP13'!$J$140</definedName>
    <definedName name="Std10dot1NotCalc" localSheetId="14">'IWP14'!$J$140</definedName>
    <definedName name="Std10dot1NotCalc" localSheetId="15">'IWP15'!$J$140</definedName>
    <definedName name="Std10dot1NotCalc" localSheetId="16">'IWP16'!$J$140</definedName>
    <definedName name="Std10dot1NotCalc" localSheetId="17">'IWP17'!$J$140</definedName>
    <definedName name="Std10dot1NotCalc" localSheetId="18">'IWP18'!$J$140</definedName>
    <definedName name="Std10dot1NotCalc" localSheetId="19">'IWP19'!$J$140</definedName>
    <definedName name="Std10dot1NotCalc" localSheetId="20">'IWP20'!$J$140</definedName>
    <definedName name="Std10dot1NotCalc" localSheetId="21">'IWP21'!$J$140</definedName>
    <definedName name="Std10dot1NotCalc" localSheetId="22">'IWP22'!$J$140</definedName>
    <definedName name="Std10dot1NotCalc" localSheetId="23">'IWP23'!$J$140</definedName>
    <definedName name="Std10dot1NotCalc" localSheetId="24">'IWP24'!$J$140</definedName>
    <definedName name="Std10dot1NotCalc" localSheetId="25">'IWP25'!$J$140</definedName>
    <definedName name="Std10dot1NotCalc" localSheetId="26">'IWP26'!$J$140</definedName>
    <definedName name="Std10dot1NotCalc" localSheetId="27">'IWP27'!$J$140</definedName>
    <definedName name="Std10dot1NotCalc" localSheetId="28">'IWP28'!$J$140</definedName>
    <definedName name="Std10dot1NotCalc" localSheetId="29">'IWP29'!$J$140</definedName>
    <definedName name="Std10dot1NotCalc" localSheetId="30">'IWP30'!$J$140</definedName>
    <definedName name="Std10dot1NotCalc">#REF!</definedName>
    <definedName name="Std10dot1TotalAmt1" localSheetId="1">'IWP01'!$D$145</definedName>
    <definedName name="Std10dot1TotalAmt1" localSheetId="2">'IWP02'!$D$145</definedName>
    <definedName name="Std10dot1TotalAmt1" localSheetId="3">'IWP03'!$D$145</definedName>
    <definedName name="Std10dot1TotalAmt1" localSheetId="4">'IWP04'!$D$145</definedName>
    <definedName name="Std10dot1TotalAmt1" localSheetId="5">'IWP05'!$D$145</definedName>
    <definedName name="Std10dot1TotalAmt1" localSheetId="6">'IWP06'!$D$145</definedName>
    <definedName name="Std10dot1TotalAmt1" localSheetId="7">'IWP07'!$D$145</definedName>
    <definedName name="Std10dot1TotalAmt1" localSheetId="8">'IWP08'!$D$145</definedName>
    <definedName name="Std10dot1TotalAmt1" localSheetId="9">'IWP09'!$D$145</definedName>
    <definedName name="Std10dot1TotalAmt1" localSheetId="10">'IWP10'!$D$145</definedName>
    <definedName name="Std10dot1TotalAmt1" localSheetId="11">'IWP11'!$D$145</definedName>
    <definedName name="Std10dot1TotalAmt1" localSheetId="12">'IWP12'!$D$145</definedName>
    <definedName name="Std10dot1TotalAmt1" localSheetId="13">'IWP13'!$D$145</definedName>
    <definedName name="Std10dot1TotalAmt1" localSheetId="14">'IWP14'!$D$145</definedName>
    <definedName name="Std10dot1TotalAmt1" localSheetId="15">'IWP15'!$D$145</definedName>
    <definedName name="Std10dot1TotalAmt1" localSheetId="16">'IWP16'!$D$145</definedName>
    <definedName name="Std10dot1TotalAmt1" localSheetId="17">'IWP17'!$D$145</definedName>
    <definedName name="Std10dot1TotalAmt1" localSheetId="18">'IWP18'!$D$145</definedName>
    <definedName name="Std10dot1TotalAmt1" localSheetId="19">'IWP19'!$D$145</definedName>
    <definedName name="Std10dot1TotalAmt1" localSheetId="20">'IWP20'!$D$145</definedName>
    <definedName name="Std10dot1TotalAmt1" localSheetId="21">'IWP21'!$D$145</definedName>
    <definedName name="Std10dot1TotalAmt1" localSheetId="22">'IWP22'!$D$145</definedName>
    <definedName name="Std10dot1TotalAmt1" localSheetId="23">'IWP23'!$D$145</definedName>
    <definedName name="Std10dot1TotalAmt1" localSheetId="24">'IWP24'!$D$145</definedName>
    <definedName name="Std10dot1TotalAmt1" localSheetId="25">'IWP25'!$D$145</definedName>
    <definedName name="Std10dot1TotalAmt1" localSheetId="26">'IWP26'!$D$145</definedName>
    <definedName name="Std10dot1TotalAmt1" localSheetId="27">'IWP27'!$D$145</definedName>
    <definedName name="Std10dot1TotalAmt1" localSheetId="28">'IWP28'!$D$145</definedName>
    <definedName name="Std10dot1TotalAmt1" localSheetId="29">'IWP29'!$D$145</definedName>
    <definedName name="Std10dot1TotalAmt1" localSheetId="30">'IWP30'!$D$145</definedName>
    <definedName name="Std10dot1TotalAmt1">#REF!</definedName>
    <definedName name="Std10dot1TotalAmt2" localSheetId="1">'IWP01'!$I$145</definedName>
    <definedName name="Std10dot1TotalAmt2" localSheetId="2">'IWP02'!$I$145</definedName>
    <definedName name="Std10dot1TotalAmt2" localSheetId="3">'IWP03'!$I$145</definedName>
    <definedName name="Std10dot1TotalAmt2" localSheetId="4">'IWP04'!$I$145</definedName>
    <definedName name="Std10dot1TotalAmt2" localSheetId="5">'IWP05'!$I$145</definedName>
    <definedName name="Std10dot1TotalAmt2" localSheetId="6">'IWP06'!$I$145</definedName>
    <definedName name="Std10dot1TotalAmt2" localSheetId="7">'IWP07'!$I$145</definedName>
    <definedName name="Std10dot1TotalAmt2" localSheetId="8">'IWP08'!$I$145</definedName>
    <definedName name="Std10dot1TotalAmt2" localSheetId="9">'IWP09'!$I$145</definedName>
    <definedName name="Std10dot1TotalAmt2" localSheetId="10">'IWP10'!$I$145</definedName>
    <definedName name="Std10dot1TotalAmt2" localSheetId="11">'IWP11'!$I$145</definedName>
    <definedName name="Std10dot1TotalAmt2" localSheetId="12">'IWP12'!$I$145</definedName>
    <definedName name="Std10dot1TotalAmt2" localSheetId="13">'IWP13'!$I$145</definedName>
    <definedName name="Std10dot1TotalAmt2" localSheetId="14">'IWP14'!$I$145</definedName>
    <definedName name="Std10dot1TotalAmt2" localSheetId="15">'IWP15'!$I$145</definedName>
    <definedName name="Std10dot1TotalAmt2" localSheetId="16">'IWP16'!$I$145</definedName>
    <definedName name="Std10dot1TotalAmt2" localSheetId="17">'IWP17'!$I$145</definedName>
    <definedName name="Std10dot1TotalAmt2" localSheetId="18">'IWP18'!$I$145</definedName>
    <definedName name="Std10dot1TotalAmt2" localSheetId="19">'IWP19'!$I$145</definedName>
    <definedName name="Std10dot1TotalAmt2" localSheetId="20">'IWP20'!$I$145</definedName>
    <definedName name="Std10dot1TotalAmt2" localSheetId="21">'IWP21'!$I$145</definedName>
    <definedName name="Std10dot1TotalAmt2" localSheetId="22">'IWP22'!$I$145</definedName>
    <definedName name="Std10dot1TotalAmt2" localSheetId="23">'IWP23'!$I$145</definedName>
    <definedName name="Std10dot1TotalAmt2" localSheetId="24">'IWP24'!$I$145</definedName>
    <definedName name="Std10dot1TotalAmt2" localSheetId="25">'IWP25'!$I$145</definedName>
    <definedName name="Std10dot1TotalAmt2" localSheetId="26">'IWP26'!$I$145</definedName>
    <definedName name="Std10dot1TotalAmt2" localSheetId="27">'IWP27'!$I$145</definedName>
    <definedName name="Std10dot1TotalAmt2" localSheetId="28">'IWP28'!$I$145</definedName>
    <definedName name="Std10dot1TotalAmt2" localSheetId="29">'IWP29'!$I$145</definedName>
    <definedName name="Std10dot1TotalAmt2" localSheetId="30">'IWP30'!$I$145</definedName>
    <definedName name="Std10dot1TotalAmt2">#REF!</definedName>
    <definedName name="Std10dot2" localSheetId="1">'IWP01'!$J$158</definedName>
    <definedName name="Std10dot2" localSheetId="2">'IWP02'!$J$158</definedName>
    <definedName name="Std10dot2" localSheetId="3">'IWP03'!$J$158</definedName>
    <definedName name="Std10dot2" localSheetId="4">'IWP04'!$J$158</definedName>
    <definedName name="Std10dot2" localSheetId="5">'IWP05'!$J$158</definedName>
    <definedName name="Std10dot2" localSheetId="6">'IWP06'!$J$158</definedName>
    <definedName name="Std10dot2" localSheetId="7">'IWP07'!$J$158</definedName>
    <definedName name="Std10dot2" localSheetId="8">'IWP08'!$J$158</definedName>
    <definedName name="Std10dot2" localSheetId="9">'IWP09'!$J$158</definedName>
    <definedName name="Std10dot2" localSheetId="10">'IWP10'!$J$158</definedName>
    <definedName name="Std10dot2" localSheetId="11">'IWP11'!$J$158</definedName>
    <definedName name="Std10dot2" localSheetId="12">'IWP12'!$J$158</definedName>
    <definedName name="Std10dot2" localSheetId="13">'IWP13'!$J$158</definedName>
    <definedName name="Std10dot2" localSheetId="14">'IWP14'!$J$158</definedName>
    <definedName name="Std10dot2" localSheetId="15">'IWP15'!$J$158</definedName>
    <definedName name="Std10dot2" localSheetId="16">'IWP16'!$J$158</definedName>
    <definedName name="Std10dot2" localSheetId="17">'IWP17'!$J$158</definedName>
    <definedName name="Std10dot2" localSheetId="18">'IWP18'!$J$158</definedName>
    <definedName name="Std10dot2" localSheetId="19">'IWP19'!$J$158</definedName>
    <definedName name="Std10dot2" localSheetId="20">'IWP20'!$J$158</definedName>
    <definedName name="Std10dot2" localSheetId="21">'IWP21'!$J$158</definedName>
    <definedName name="Std10dot2" localSheetId="22">'IWP22'!$J$158</definedName>
    <definedName name="Std10dot2" localSheetId="23">'IWP23'!$J$158</definedName>
    <definedName name="Std10dot2" localSheetId="24">'IWP24'!$J$158</definedName>
    <definedName name="Std10dot2" localSheetId="25">'IWP25'!$J$158</definedName>
    <definedName name="Std10dot2" localSheetId="26">'IWP26'!$J$158</definedName>
    <definedName name="Std10dot2" localSheetId="27">'IWP27'!$J$158</definedName>
    <definedName name="Std10dot2" localSheetId="28">'IWP28'!$J$158</definedName>
    <definedName name="Std10dot2" localSheetId="29">'IWP29'!$J$158</definedName>
    <definedName name="Std10dot2" localSheetId="30">'IWP30'!$J$158</definedName>
    <definedName name="Std10dot2">#REF!</definedName>
    <definedName name="Std10dot2BankChgs1" localSheetId="1">'IWP01'!$D$157</definedName>
    <definedName name="Std10dot2BankChgs1" localSheetId="2">'IWP02'!$D$157</definedName>
    <definedName name="Std10dot2BankChgs1" localSheetId="3">'IWP03'!$D$157</definedName>
    <definedName name="Std10dot2BankChgs1" localSheetId="4">'IWP04'!$D$157</definedName>
    <definedName name="Std10dot2BankChgs1" localSheetId="5">'IWP05'!$D$157</definedName>
    <definedName name="Std10dot2BankChgs1" localSheetId="6">'IWP06'!$D$157</definedName>
    <definedName name="Std10dot2BankChgs1" localSheetId="7">'IWP07'!$D$157</definedName>
    <definedName name="Std10dot2BankChgs1" localSheetId="8">'IWP08'!$D$157</definedName>
    <definedName name="Std10dot2BankChgs1" localSheetId="9">'IWP09'!$D$157</definedName>
    <definedName name="Std10dot2BankChgs1" localSheetId="10">'IWP10'!$D$157</definedName>
    <definedName name="Std10dot2BankChgs1" localSheetId="11">'IWP11'!$D$157</definedName>
    <definedName name="Std10dot2BankChgs1" localSheetId="12">'IWP12'!$D$157</definedName>
    <definedName name="Std10dot2BankChgs1" localSheetId="13">'IWP13'!$D$157</definedName>
    <definedName name="Std10dot2BankChgs1" localSheetId="14">'IWP14'!$D$157</definedName>
    <definedName name="Std10dot2BankChgs1" localSheetId="15">'IWP15'!$D$157</definedName>
    <definedName name="Std10dot2BankChgs1" localSheetId="16">'IWP16'!$D$157</definedName>
    <definedName name="Std10dot2BankChgs1" localSheetId="17">'IWP17'!$D$157</definedName>
    <definedName name="Std10dot2BankChgs1" localSheetId="18">'IWP18'!$D$157</definedName>
    <definedName name="Std10dot2BankChgs1" localSheetId="19">'IWP19'!$D$157</definedName>
    <definedName name="Std10dot2BankChgs1" localSheetId="20">'IWP20'!$D$157</definedName>
    <definedName name="Std10dot2BankChgs1" localSheetId="21">'IWP21'!$D$157</definedName>
    <definedName name="Std10dot2BankChgs1" localSheetId="22">'IWP22'!$D$157</definedName>
    <definedName name="Std10dot2BankChgs1" localSheetId="23">'IWP23'!$D$157</definedName>
    <definedName name="Std10dot2BankChgs1" localSheetId="24">'IWP24'!$D$157</definedName>
    <definedName name="Std10dot2BankChgs1" localSheetId="25">'IWP25'!$D$157</definedName>
    <definedName name="Std10dot2BankChgs1" localSheetId="26">'IWP26'!$D$157</definedName>
    <definedName name="Std10dot2BankChgs1" localSheetId="27">'IWP27'!$D$157</definedName>
    <definedName name="Std10dot2BankChgs1" localSheetId="28">'IWP28'!$D$157</definedName>
    <definedName name="Std10dot2BankChgs1" localSheetId="29">'IWP29'!$D$157</definedName>
    <definedName name="Std10dot2BankChgs1" localSheetId="30">'IWP30'!$D$157</definedName>
    <definedName name="Std10dot2BankChgs1">#REF!</definedName>
    <definedName name="Std10dot2BankChgs2" localSheetId="1">'IWP01'!$I$157</definedName>
    <definedName name="Std10dot2BankChgs2" localSheetId="2">'IWP02'!$I$157</definedName>
    <definedName name="Std10dot2BankChgs2" localSheetId="3">'IWP03'!$I$157</definedName>
    <definedName name="Std10dot2BankChgs2" localSheetId="4">'IWP04'!$I$157</definedName>
    <definedName name="Std10dot2BankChgs2" localSheetId="5">'IWP05'!$I$157</definedName>
    <definedName name="Std10dot2BankChgs2" localSheetId="6">'IWP06'!$I$157</definedName>
    <definedName name="Std10dot2BankChgs2" localSheetId="7">'IWP07'!$I$157</definedName>
    <definedName name="Std10dot2BankChgs2" localSheetId="8">'IWP08'!$I$157</definedName>
    <definedName name="Std10dot2BankChgs2" localSheetId="9">'IWP09'!$I$157</definedName>
    <definedName name="Std10dot2BankChgs2" localSheetId="10">'IWP10'!$I$157</definedName>
    <definedName name="Std10dot2BankChgs2" localSheetId="11">'IWP11'!$I$157</definedName>
    <definedName name="Std10dot2BankChgs2" localSheetId="12">'IWP12'!$I$157</definedName>
    <definedName name="Std10dot2BankChgs2" localSheetId="13">'IWP13'!$I$157</definedName>
    <definedName name="Std10dot2BankChgs2" localSheetId="14">'IWP14'!$I$157</definedName>
    <definedName name="Std10dot2BankChgs2" localSheetId="15">'IWP15'!$I$157</definedName>
    <definedName name="Std10dot2BankChgs2" localSheetId="16">'IWP16'!$I$157</definedName>
    <definedName name="Std10dot2BankChgs2" localSheetId="17">'IWP17'!$I$157</definedName>
    <definedName name="Std10dot2BankChgs2" localSheetId="18">'IWP18'!$I$157</definedName>
    <definedName name="Std10dot2BankChgs2" localSheetId="19">'IWP19'!$I$157</definedName>
    <definedName name="Std10dot2BankChgs2" localSheetId="20">'IWP20'!$I$157</definedName>
    <definedName name="Std10dot2BankChgs2" localSheetId="21">'IWP21'!$I$157</definedName>
    <definedName name="Std10dot2BankChgs2" localSheetId="22">'IWP22'!$I$157</definedName>
    <definedName name="Std10dot2BankChgs2" localSheetId="23">'IWP23'!$I$157</definedName>
    <definedName name="Std10dot2BankChgs2" localSheetId="24">'IWP24'!$I$157</definedName>
    <definedName name="Std10dot2BankChgs2" localSheetId="25">'IWP25'!$I$157</definedName>
    <definedName name="Std10dot2BankChgs2" localSheetId="26">'IWP26'!$I$157</definedName>
    <definedName name="Std10dot2BankChgs2" localSheetId="27">'IWP27'!$I$157</definedName>
    <definedName name="Std10dot2BankChgs2" localSheetId="28">'IWP28'!$I$157</definedName>
    <definedName name="Std10dot2BankChgs2" localSheetId="29">'IWP29'!$I$157</definedName>
    <definedName name="Std10dot2BankChgs2" localSheetId="30">'IWP30'!$I$157</definedName>
    <definedName name="Std10dot2BankChgs2">#REF!</definedName>
    <definedName name="Std10dot2Date1" localSheetId="1">'IWP01'!$D$156</definedName>
    <definedName name="Std10dot2Date1" localSheetId="2">'IWP02'!$D$156</definedName>
    <definedName name="Std10dot2Date1" localSheetId="3">'IWP03'!$D$156</definedName>
    <definedName name="Std10dot2Date1" localSheetId="4">'IWP04'!$D$156</definedName>
    <definedName name="Std10dot2Date1" localSheetId="5">'IWP05'!$D$156</definedName>
    <definedName name="Std10dot2Date1" localSheetId="6">'IWP06'!$D$156</definedName>
    <definedName name="Std10dot2Date1" localSheetId="7">'IWP07'!$D$156</definedName>
    <definedName name="Std10dot2Date1" localSheetId="8">'IWP08'!$D$156</definedName>
    <definedName name="Std10dot2Date1" localSheetId="9">'IWP09'!$D$156</definedName>
    <definedName name="Std10dot2Date1" localSheetId="10">'IWP10'!$D$156</definedName>
    <definedName name="Std10dot2Date1" localSheetId="11">'IWP11'!$D$156</definedName>
    <definedName name="Std10dot2Date1" localSheetId="12">'IWP12'!$D$156</definedName>
    <definedName name="Std10dot2Date1" localSheetId="13">'IWP13'!$D$156</definedName>
    <definedName name="Std10dot2Date1" localSheetId="14">'IWP14'!$D$156</definedName>
    <definedName name="Std10dot2Date1" localSheetId="15">'IWP15'!$D$156</definedName>
    <definedName name="Std10dot2Date1" localSheetId="16">'IWP16'!$D$156</definedName>
    <definedName name="Std10dot2Date1" localSheetId="17">'IWP17'!$D$156</definedName>
    <definedName name="Std10dot2Date1" localSheetId="18">'IWP18'!$D$156</definedName>
    <definedName name="Std10dot2Date1" localSheetId="19">'IWP19'!$D$156</definedName>
    <definedName name="Std10dot2Date1" localSheetId="20">'IWP20'!$D$156</definedName>
    <definedName name="Std10dot2Date1" localSheetId="21">'IWP21'!$D$156</definedName>
    <definedName name="Std10dot2Date1" localSheetId="22">'IWP22'!$D$156</definedName>
    <definedName name="Std10dot2Date1" localSheetId="23">'IWP23'!$D$156</definedName>
    <definedName name="Std10dot2Date1" localSheetId="24">'IWP24'!$D$156</definedName>
    <definedName name="Std10dot2Date1" localSheetId="25">'IWP25'!$D$156</definedName>
    <definedName name="Std10dot2Date1" localSheetId="26">'IWP26'!$D$156</definedName>
    <definedName name="Std10dot2Date1" localSheetId="27">'IWP27'!$D$156</definedName>
    <definedName name="Std10dot2Date1" localSheetId="28">'IWP28'!$D$156</definedName>
    <definedName name="Std10dot2Date1" localSheetId="29">'IWP29'!$D$156</definedName>
    <definedName name="Std10dot2Date1" localSheetId="30">'IWP30'!$D$156</definedName>
    <definedName name="Std10dot2Date2" localSheetId="1">'IWP01'!$I$156</definedName>
    <definedName name="Std10dot2Date2" localSheetId="2">'IWP02'!$I$156</definedName>
    <definedName name="Std10dot2Date2" localSheetId="3">'IWP03'!$I$156</definedName>
    <definedName name="Std10dot2Date2" localSheetId="4">'IWP04'!$I$156</definedName>
    <definedName name="Std10dot2Date2" localSheetId="5">'IWP05'!$I$156</definedName>
    <definedName name="Std10dot2Date2" localSheetId="6">'IWP06'!$I$156</definedName>
    <definedName name="Std10dot2Date2" localSheetId="7">'IWP07'!$I$156</definedName>
    <definedName name="Std10dot2Date2" localSheetId="8">'IWP08'!$I$156</definedName>
    <definedName name="Std10dot2Date2" localSheetId="9">'IWP09'!$I$156</definedName>
    <definedName name="Std10dot2Date2" localSheetId="10">'IWP10'!$I$156</definedName>
    <definedName name="Std10dot2Date2" localSheetId="11">'IWP11'!$I$156</definedName>
    <definedName name="Std10dot2Date2" localSheetId="12">'IWP12'!$I$156</definedName>
    <definedName name="Std10dot2Date2" localSheetId="13">'IWP13'!$I$156</definedName>
    <definedName name="Std10dot2Date2" localSheetId="14">'IWP14'!$I$156</definedName>
    <definedName name="Std10dot2Date2" localSheetId="15">'IWP15'!$I$156</definedName>
    <definedName name="Std10dot2Date2" localSheetId="16">'IWP16'!$I$156</definedName>
    <definedName name="Std10dot2Date2" localSheetId="17">'IWP17'!$I$156</definedName>
    <definedName name="Std10dot2Date2" localSheetId="18">'IWP18'!$I$156</definedName>
    <definedName name="Std10dot2Date2" localSheetId="19">'IWP19'!$I$156</definedName>
    <definedName name="Std10dot2Date2" localSheetId="20">'IWP20'!$I$156</definedName>
    <definedName name="Std10dot2Date2" localSheetId="21">'IWP21'!$I$156</definedName>
    <definedName name="Std10dot2Date2" localSheetId="22">'IWP22'!$I$156</definedName>
    <definedName name="Std10dot2Date2" localSheetId="23">'IWP23'!$I$156</definedName>
    <definedName name="Std10dot2Date2" localSheetId="24">'IWP24'!$I$156</definedName>
    <definedName name="Std10dot2Date2" localSheetId="25">'IWP25'!$I$156</definedName>
    <definedName name="Std10dot2Date2" localSheetId="26">'IWP26'!$I$156</definedName>
    <definedName name="Std10dot2Date2" localSheetId="27">'IWP27'!$I$156</definedName>
    <definedName name="Std10dot2Date2" localSheetId="28">'IWP28'!$I$156</definedName>
    <definedName name="Std10dot2Date2" localSheetId="29">'IWP29'!$I$156</definedName>
    <definedName name="Std10dot2Date2" localSheetId="30">'IWP30'!$I$156</definedName>
    <definedName name="Std10dot2NotCalc" localSheetId="1">'IWP01'!$J$149</definedName>
    <definedName name="Std10dot2NotCalc" localSheetId="2">'IWP02'!$J$149</definedName>
    <definedName name="Std10dot2NotCalc" localSheetId="3">'IWP03'!$J$149</definedName>
    <definedName name="Std10dot2NotCalc" localSheetId="4">'IWP04'!$J$149</definedName>
    <definedName name="Std10dot2NotCalc" localSheetId="5">'IWP05'!$J$149</definedName>
    <definedName name="Std10dot2NotCalc" localSheetId="6">'IWP06'!$J$149</definedName>
    <definedName name="Std10dot2NotCalc" localSheetId="7">'IWP07'!$J$149</definedName>
    <definedName name="Std10dot2NotCalc" localSheetId="8">'IWP08'!$J$149</definedName>
    <definedName name="Std10dot2NotCalc" localSheetId="9">'IWP09'!$J$149</definedName>
    <definedName name="Std10dot2NotCalc" localSheetId="10">'IWP10'!$J$149</definedName>
    <definedName name="Std10dot2NotCalc" localSheetId="11">'IWP11'!$J$149</definedName>
    <definedName name="Std10dot2NotCalc" localSheetId="12">'IWP12'!$J$149</definedName>
    <definedName name="Std10dot2NotCalc" localSheetId="13">'IWP13'!$J$149</definedName>
    <definedName name="Std10dot2NotCalc" localSheetId="14">'IWP14'!$J$149</definedName>
    <definedName name="Std10dot2NotCalc" localSheetId="15">'IWP15'!$J$149</definedName>
    <definedName name="Std10dot2NotCalc" localSheetId="16">'IWP16'!$J$149</definedName>
    <definedName name="Std10dot2NotCalc" localSheetId="17">'IWP17'!$J$149</definedName>
    <definedName name="Std10dot2NotCalc" localSheetId="18">'IWP18'!$J$149</definedName>
    <definedName name="Std10dot2NotCalc" localSheetId="19">'IWP19'!$J$149</definedName>
    <definedName name="Std10dot2NotCalc" localSheetId="20">'IWP20'!$J$149</definedName>
    <definedName name="Std10dot2NotCalc" localSheetId="21">'IWP21'!$J$149</definedName>
    <definedName name="Std10dot2NotCalc" localSheetId="22">'IWP22'!$J$149</definedName>
    <definedName name="Std10dot2NotCalc" localSheetId="23">'IWP23'!$J$149</definedName>
    <definedName name="Std10dot2NotCalc" localSheetId="24">'IWP24'!$J$149</definedName>
    <definedName name="Std10dot2NotCalc" localSheetId="25">'IWP25'!$J$149</definedName>
    <definedName name="Std10dot2NotCalc" localSheetId="26">'IWP26'!$J$149</definedName>
    <definedName name="Std10dot2NotCalc" localSheetId="27">'IWP27'!$J$149</definedName>
    <definedName name="Std10dot2NotCalc" localSheetId="28">'IWP28'!$J$149</definedName>
    <definedName name="Std10dot2NotCalc" localSheetId="29">'IWP29'!$J$149</definedName>
    <definedName name="Std10dot2NotCalc" localSheetId="30">'IWP30'!$J$149</definedName>
    <definedName name="Std10dot2NotCalc">#REF!</definedName>
    <definedName name="Std10dot3" localSheetId="1">'IWP01'!$J$182</definedName>
    <definedName name="Std10dot3" localSheetId="2">'IWP02'!$J$182</definedName>
    <definedName name="Std10dot3" localSheetId="3">'IWP03'!$J$182</definedName>
    <definedName name="Std10dot3" localSheetId="4">'IWP04'!$J$182</definedName>
    <definedName name="Std10dot3" localSheetId="5">'IWP05'!$J$182</definedName>
    <definedName name="Std10dot3" localSheetId="6">'IWP06'!$J$182</definedName>
    <definedName name="Std10dot3" localSheetId="7">'IWP07'!$J$182</definedName>
    <definedName name="Std10dot3" localSheetId="8">'IWP08'!$J$182</definedName>
    <definedName name="Std10dot3" localSheetId="9">'IWP09'!$J$182</definedName>
    <definedName name="Std10dot3" localSheetId="10">'IWP10'!$J$182</definedName>
    <definedName name="Std10dot3" localSheetId="11">'IWP11'!$J$182</definedName>
    <definedName name="Std10dot3" localSheetId="12">'IWP12'!$J$182</definedName>
    <definedName name="Std10dot3" localSheetId="13">'IWP13'!$J$182</definedName>
    <definedName name="Std10dot3" localSheetId="14">'IWP14'!$J$182</definedName>
    <definedName name="Std10dot3" localSheetId="15">'IWP15'!$J$182</definedName>
    <definedName name="Std10dot3" localSheetId="16">'IWP16'!$J$182</definedName>
    <definedName name="Std10dot3" localSheetId="17">'IWP17'!$J$182</definedName>
    <definedName name="Std10dot3" localSheetId="18">'IWP18'!$J$182</definedName>
    <definedName name="Std10dot3" localSheetId="19">'IWP19'!$J$182</definedName>
    <definedName name="Std10dot3" localSheetId="20">'IWP20'!$J$182</definedName>
    <definedName name="Std10dot3" localSheetId="21">'IWP21'!$J$182</definedName>
    <definedName name="Std10dot3" localSheetId="22">'IWP22'!$J$182</definedName>
    <definedName name="Std10dot3" localSheetId="23">'IWP23'!$J$182</definedName>
    <definedName name="Std10dot3" localSheetId="24">'IWP24'!$J$182</definedName>
    <definedName name="Std10dot3" localSheetId="25">'IWP25'!$J$182</definedName>
    <definedName name="Std10dot3" localSheetId="26">'IWP26'!$J$182</definedName>
    <definedName name="Std10dot3" localSheetId="27">'IWP27'!$J$182</definedName>
    <definedName name="Std10dot3" localSheetId="28">'IWP28'!$J$182</definedName>
    <definedName name="Std10dot3" localSheetId="29">'IWP29'!$J$182</definedName>
    <definedName name="Std10dot3" localSheetId="30">'IWP30'!$J$182</definedName>
    <definedName name="Std10dot3">#REF!</definedName>
    <definedName name="Std10dot3Deposits" localSheetId="1">'IWP01'!$A$172:$K$181</definedName>
    <definedName name="Std10dot3Deposits" localSheetId="2">'IWP02'!$A$172:$K$181</definedName>
    <definedName name="Std10dot3Deposits" localSheetId="3">'IWP03'!$A$172:$K$181</definedName>
    <definedName name="Std10dot3Deposits" localSheetId="4">'IWP04'!$A$172:$K$181</definedName>
    <definedName name="Std10dot3Deposits" localSheetId="5">'IWP05'!$A$172:$K$181</definedName>
    <definedName name="Std10dot3Deposits" localSheetId="6">'IWP06'!$A$172:$K$181</definedName>
    <definedName name="Std10dot3Deposits" localSheetId="7">'IWP07'!$A$172:$K$181</definedName>
    <definedName name="Std10dot3Deposits" localSheetId="8">'IWP08'!$A$172:$K$181</definedName>
    <definedName name="Std10dot3Deposits" localSheetId="9">'IWP09'!$A$172:$K$181</definedName>
    <definedName name="Std10dot3Deposits" localSheetId="10">'IWP10'!$A$172:$K$181</definedName>
    <definedName name="Std10dot3Deposits" localSheetId="11">'IWP11'!$A$172:$K$181</definedName>
    <definedName name="Std10dot3Deposits" localSheetId="12">'IWP12'!$A$172:$K$181</definedName>
    <definedName name="Std10dot3Deposits" localSheetId="13">'IWP13'!$A$172:$K$181</definedName>
    <definedName name="Std10dot3Deposits" localSheetId="14">'IWP14'!$A$172:$K$181</definedName>
    <definedName name="Std10dot3Deposits" localSheetId="15">'IWP15'!$A$172:$K$181</definedName>
    <definedName name="Std10dot3Deposits" localSheetId="16">'IWP16'!$A$172:$K$181</definedName>
    <definedName name="Std10dot3Deposits" localSheetId="17">'IWP17'!$A$172:$K$181</definedName>
    <definedName name="Std10dot3Deposits" localSheetId="18">'IWP18'!$A$172:$K$181</definedName>
    <definedName name="Std10dot3Deposits" localSheetId="19">'IWP19'!$A$172:$K$181</definedName>
    <definedName name="Std10dot3Deposits" localSheetId="20">'IWP20'!$A$172:$K$181</definedName>
    <definedName name="Std10dot3Deposits" localSheetId="21">'IWP21'!$A$172:$K$181</definedName>
    <definedName name="Std10dot3Deposits" localSheetId="22">'IWP22'!$A$172:$K$181</definedName>
    <definedName name="Std10dot3Deposits" localSheetId="23">'IWP23'!$A$172:$K$181</definedName>
    <definedName name="Std10dot3Deposits" localSheetId="24">'IWP24'!$A$172:$K$181</definedName>
    <definedName name="Std10dot3Deposits" localSheetId="25">'IWP25'!$A$172:$K$181</definedName>
    <definedName name="Std10dot3Deposits" localSheetId="26">'IWP26'!$A$172:$K$181</definedName>
    <definedName name="Std10dot3Deposits" localSheetId="27">'IWP27'!$A$172:$K$181</definedName>
    <definedName name="Std10dot3Deposits" localSheetId="28">'IWP28'!$A$172:$K$181</definedName>
    <definedName name="Std10dot3Deposits" localSheetId="29">'IWP29'!$A$172:$K$181</definedName>
    <definedName name="Std10dot3Deposits" localSheetId="30">'IWP30'!$A$172:$K$181</definedName>
    <definedName name="Std10dot3NotCalc" localSheetId="1">'IWP01'!$J$162</definedName>
    <definedName name="Std10dot3NotCalc" localSheetId="2">'IWP02'!$J$162</definedName>
    <definedName name="Std10dot3NotCalc" localSheetId="3">'IWP03'!$J$162</definedName>
    <definedName name="Std10dot3NotCalc" localSheetId="4">'IWP04'!$J$162</definedName>
    <definedName name="Std10dot3NotCalc" localSheetId="5">'IWP05'!$J$162</definedName>
    <definedName name="Std10dot3NotCalc" localSheetId="6">'IWP06'!$J$162</definedName>
    <definedName name="Std10dot3NotCalc" localSheetId="7">'IWP07'!$J$162</definedName>
    <definedName name="Std10dot3NotCalc" localSheetId="8">'IWP08'!$J$162</definedName>
    <definedName name="Std10dot3NotCalc" localSheetId="9">'IWP09'!$J$162</definedName>
    <definedName name="Std10dot3NotCalc" localSheetId="10">'IWP10'!$J$162</definedName>
    <definedName name="Std10dot3NotCalc" localSheetId="11">'IWP11'!$J$162</definedName>
    <definedName name="Std10dot3NotCalc" localSheetId="12">'IWP12'!$J$162</definedName>
    <definedName name="Std10dot3NotCalc" localSheetId="13">'IWP13'!$J$162</definedName>
    <definedName name="Std10dot3NotCalc" localSheetId="14">'IWP14'!$J$162</definedName>
    <definedName name="Std10dot3NotCalc" localSheetId="15">'IWP15'!$J$162</definedName>
    <definedName name="Std10dot3NotCalc" localSheetId="16">'IWP16'!$J$162</definedName>
    <definedName name="Std10dot3NotCalc" localSheetId="17">'IWP17'!$J$162</definedName>
    <definedName name="Std10dot3NotCalc" localSheetId="18">'IWP18'!$J$162</definedName>
    <definedName name="Std10dot3NotCalc" localSheetId="19">'IWP19'!$J$162</definedName>
    <definedName name="Std10dot3NotCalc" localSheetId="20">'IWP20'!$J$162</definedName>
    <definedName name="Std10dot3NotCalc" localSheetId="21">'IWP21'!$J$162</definedName>
    <definedName name="Std10dot3NotCalc" localSheetId="22">'IWP22'!$J$162</definedName>
    <definedName name="Std10dot3NotCalc" localSheetId="23">'IWP23'!$J$162</definedName>
    <definedName name="Std10dot3NotCalc" localSheetId="24">'IWP24'!$J$162</definedName>
    <definedName name="Std10dot3NotCalc" localSheetId="25">'IWP25'!$J$162</definedName>
    <definedName name="Std10dot3NotCalc" localSheetId="26">'IWP26'!$J$162</definedName>
    <definedName name="Std10dot3NotCalc" localSheetId="27">'IWP27'!$J$162</definedName>
    <definedName name="Std10dot3NotCalc" localSheetId="28">'IWP28'!$J$162</definedName>
    <definedName name="Std10dot3NotCalc" localSheetId="29">'IWP29'!$J$162</definedName>
    <definedName name="Std10dot3NotCalc" localSheetId="30">'IWP30'!$J$162</definedName>
    <definedName name="Std10dot3NotCalc">#REF!</definedName>
    <definedName name="Std10dot4" localSheetId="1">'IWP01'!$J$216</definedName>
    <definedName name="Std10dot4" localSheetId="2">'IWP02'!$J$216</definedName>
    <definedName name="Std10dot4" localSheetId="3">'IWP03'!$J$216</definedName>
    <definedName name="Std10dot4" localSheetId="4">'IWP04'!$J$216</definedName>
    <definedName name="Std10dot4" localSheetId="5">'IWP05'!$J$216</definedName>
    <definedName name="Std10dot4" localSheetId="6">'IWP06'!$J$216</definedName>
    <definedName name="Std10dot4" localSheetId="7">'IWP07'!$J$216</definedName>
    <definedName name="Std10dot4" localSheetId="8">'IWP08'!$J$216</definedName>
    <definedName name="Std10dot4" localSheetId="9">'IWP09'!$J$216</definedName>
    <definedName name="Std10dot4" localSheetId="10">'IWP10'!$J$216</definedName>
    <definedName name="Std10dot4" localSheetId="11">'IWP11'!$J$216</definedName>
    <definedName name="Std10dot4" localSheetId="12">'IWP12'!$J$216</definedName>
    <definedName name="Std10dot4" localSheetId="13">'IWP13'!$J$216</definedName>
    <definedName name="Std10dot4" localSheetId="14">'IWP14'!$J$216</definedName>
    <definedName name="Std10dot4" localSheetId="15">'IWP15'!$J$216</definedName>
    <definedName name="Std10dot4" localSheetId="16">'IWP16'!$J$216</definedName>
    <definedName name="Std10dot4" localSheetId="17">'IWP17'!$J$216</definedName>
    <definedName name="Std10dot4" localSheetId="18">'IWP18'!$J$216</definedName>
    <definedName name="Std10dot4" localSheetId="19">'IWP19'!$J$216</definedName>
    <definedName name="Std10dot4" localSheetId="20">'IWP20'!$J$216</definedName>
    <definedName name="Std10dot4" localSheetId="21">'IWP21'!$J$216</definedName>
    <definedName name="Std10dot4" localSheetId="22">'IWP22'!$J$216</definedName>
    <definedName name="Std10dot4" localSheetId="23">'IWP23'!$J$216</definedName>
    <definedName name="Std10dot4" localSheetId="24">'IWP24'!$J$216</definedName>
    <definedName name="Std10dot4" localSheetId="25">'IWP25'!$J$216</definedName>
    <definedName name="Std10dot4" localSheetId="26">'IWP26'!$J$216</definedName>
    <definedName name="Std10dot4" localSheetId="27">'IWP27'!$J$216</definedName>
    <definedName name="Std10dot4" localSheetId="28">'IWP28'!$J$216</definedName>
    <definedName name="Std10dot4" localSheetId="29">'IWP29'!$J$216</definedName>
    <definedName name="Std10dot4" localSheetId="30">'IWP30'!$J$216</definedName>
    <definedName name="Std10dot4">#REF!</definedName>
    <definedName name="Std10dot4NotCalc" localSheetId="1">'IWP01'!$J$186</definedName>
    <definedName name="Std10dot4NotCalc" localSheetId="2">'IWP02'!$J$186</definedName>
    <definedName name="Std10dot4NotCalc" localSheetId="3">'IWP03'!$J$186</definedName>
    <definedName name="Std10dot4NotCalc" localSheetId="4">'IWP04'!$J$186</definedName>
    <definedName name="Std10dot4NotCalc" localSheetId="5">'IWP05'!$J$186</definedName>
    <definedName name="Std10dot4NotCalc" localSheetId="6">'IWP06'!$J$186</definedName>
    <definedName name="Std10dot4NotCalc" localSheetId="7">'IWP07'!$J$186</definedName>
    <definedName name="Std10dot4NotCalc" localSheetId="8">'IWP08'!$J$186</definedName>
    <definedName name="Std10dot4NotCalc" localSheetId="9">'IWP09'!$J$186</definedName>
    <definedName name="Std10dot4NotCalc" localSheetId="10">'IWP10'!$J$186</definedName>
    <definedName name="Std10dot4NotCalc" localSheetId="11">'IWP11'!$J$186</definedName>
    <definedName name="Std10dot4NotCalc" localSheetId="12">'IWP12'!$J$186</definedName>
    <definedName name="Std10dot4NotCalc" localSheetId="13">'IWP13'!$J$186</definedName>
    <definedName name="Std10dot4NotCalc" localSheetId="14">'IWP14'!$J$186</definedName>
    <definedName name="Std10dot4NotCalc" localSheetId="15">'IWP15'!$J$186</definedName>
    <definedName name="Std10dot4NotCalc" localSheetId="16">'IWP16'!$J$186</definedName>
    <definedName name="Std10dot4NotCalc" localSheetId="17">'IWP17'!$J$186</definedName>
    <definedName name="Std10dot4NotCalc" localSheetId="18">'IWP18'!$J$186</definedName>
    <definedName name="Std10dot4NotCalc" localSheetId="19">'IWP19'!$J$186</definedName>
    <definedName name="Std10dot4NotCalc" localSheetId="20">'IWP20'!$J$186</definedName>
    <definedName name="Std10dot4NotCalc" localSheetId="21">'IWP21'!$J$186</definedName>
    <definedName name="Std10dot4NotCalc" localSheetId="22">'IWP22'!$J$186</definedName>
    <definedName name="Std10dot4NotCalc" localSheetId="23">'IWP23'!$J$186</definedName>
    <definedName name="Std10dot4NotCalc" localSheetId="24">'IWP24'!$J$186</definedName>
    <definedName name="Std10dot4NotCalc" localSheetId="25">'IWP25'!$J$186</definedName>
    <definedName name="Std10dot4NotCalc" localSheetId="26">'IWP26'!$J$186</definedName>
    <definedName name="Std10dot4NotCalc" localSheetId="27">'IWP27'!$J$186</definedName>
    <definedName name="Std10dot4NotCalc" localSheetId="28">'IWP28'!$J$186</definedName>
    <definedName name="Std10dot4NotCalc" localSheetId="29">'IWP29'!$J$186</definedName>
    <definedName name="Std10dot4NotCalc" localSheetId="30">'IWP30'!$J$186</definedName>
    <definedName name="Std10dot4NotCalc">#REF!</definedName>
    <definedName name="Std10dot4Withdrawals" localSheetId="1">'IWP01'!$A$196:$K$215</definedName>
    <definedName name="Std10dot4Withdrawals" localSheetId="2">'IWP02'!$A$196:$K$215</definedName>
    <definedName name="Std10dot4Withdrawals" localSheetId="3">'IWP03'!$A$196:$K$215</definedName>
    <definedName name="Std10dot4Withdrawals" localSheetId="4">'IWP04'!$A$196:$K$215</definedName>
    <definedName name="Std10dot4Withdrawals" localSheetId="5">'IWP05'!$A$196:$K$215</definedName>
    <definedName name="Std10dot4Withdrawals" localSheetId="6">'IWP06'!$A$196:$K$215</definedName>
    <definedName name="Std10dot4Withdrawals" localSheetId="7">'IWP07'!$A$196:$K$215</definedName>
    <definedName name="Std10dot4Withdrawals" localSheetId="8">'IWP08'!$A$196:$K$215</definedName>
    <definedName name="Std10dot4Withdrawals" localSheetId="9">'IWP09'!$A$196:$K$215</definedName>
    <definedName name="Std10dot4Withdrawals" localSheetId="10">'IWP10'!$A$196:$K$215</definedName>
    <definedName name="Std10dot4Withdrawals" localSheetId="11">'IWP11'!$A$196:$K$215</definedName>
    <definedName name="Std10dot4Withdrawals" localSheetId="12">'IWP12'!$A$196:$K$215</definedName>
    <definedName name="Std10dot4Withdrawals" localSheetId="13">'IWP13'!$A$196:$K$215</definedName>
    <definedName name="Std10dot4Withdrawals" localSheetId="14">'IWP14'!$A$196:$K$215</definedName>
    <definedName name="Std10dot4Withdrawals" localSheetId="15">'IWP15'!$A$196:$K$215</definedName>
    <definedName name="Std10dot4Withdrawals" localSheetId="16">'IWP16'!$A$196:$K$215</definedName>
    <definedName name="Std10dot4Withdrawals" localSheetId="17">'IWP17'!$A$196:$K$215</definedName>
    <definedName name="Std10dot4Withdrawals" localSheetId="18">'IWP18'!$A$196:$K$215</definedName>
    <definedName name="Std10dot4Withdrawals" localSheetId="19">'IWP19'!$A$196:$K$215</definedName>
    <definedName name="Std10dot4Withdrawals" localSheetId="20">'IWP20'!$A$196:$K$215</definedName>
    <definedName name="Std10dot4Withdrawals" localSheetId="21">'IWP21'!$A$196:$K$215</definedName>
    <definedName name="Std10dot4Withdrawals" localSheetId="22">'IWP22'!$A$196:$K$215</definedName>
    <definedName name="Std10dot4Withdrawals" localSheetId="23">'IWP23'!$A$196:$K$215</definedName>
    <definedName name="Std10dot4Withdrawals" localSheetId="24">'IWP24'!$A$196:$K$215</definedName>
    <definedName name="Std10dot4Withdrawals" localSheetId="25">'IWP25'!$A$196:$K$215</definedName>
    <definedName name="Std10dot4Withdrawals" localSheetId="26">'IWP26'!$A$196:$K$215</definedName>
    <definedName name="Std10dot4Withdrawals" localSheetId="27">'IWP27'!$A$196:$K$215</definedName>
    <definedName name="Std10dot4Withdrawals" localSheetId="28">'IWP28'!$A$196:$K$215</definedName>
    <definedName name="Std10dot4Withdrawals" localSheetId="29">'IWP29'!$A$196:$K$215</definedName>
    <definedName name="Std10dot4Withdrawals" localSheetId="30">'IWP30'!$A$196:$K$215</definedName>
    <definedName name="Std10dot5" localSheetId="1">'IWP01'!$J$235</definedName>
    <definedName name="Std10dot5" localSheetId="2">'IWP02'!$J$235</definedName>
    <definedName name="Std10dot5" localSheetId="3">'IWP03'!$J$235</definedName>
    <definedName name="Std10dot5" localSheetId="4">'IWP04'!$J$235</definedName>
    <definedName name="Std10dot5" localSheetId="5">'IWP05'!$J$235</definedName>
    <definedName name="Std10dot5" localSheetId="6">'IWP06'!$J$235</definedName>
    <definedName name="Std10dot5" localSheetId="7">'IWP07'!$J$235</definedName>
    <definedName name="Std10dot5" localSheetId="8">'IWP08'!$J$235</definedName>
    <definedName name="Std10dot5" localSheetId="9">'IWP09'!$J$235</definedName>
    <definedName name="Std10dot5" localSheetId="10">'IWP10'!$J$235</definedName>
    <definedName name="Std10dot5" localSheetId="11">'IWP11'!$J$235</definedName>
    <definedName name="Std10dot5" localSheetId="12">'IWP12'!$J$235</definedName>
    <definedName name="Std10dot5" localSheetId="13">'IWP13'!$J$235</definedName>
    <definedName name="Std10dot5" localSheetId="14">'IWP14'!$J$235</definedName>
    <definedName name="Std10dot5" localSheetId="15">'IWP15'!$J$235</definedName>
    <definedName name="Std10dot5" localSheetId="16">'IWP16'!$J$235</definedName>
    <definedName name="Std10dot5" localSheetId="17">'IWP17'!$J$235</definedName>
    <definedName name="Std10dot5" localSheetId="18">'IWP18'!$J$235</definedName>
    <definedName name="Std10dot5" localSheetId="19">'IWP19'!$J$235</definedName>
    <definedName name="Std10dot5" localSheetId="20">'IWP20'!$J$235</definedName>
    <definedName name="Std10dot5" localSheetId="21">'IWP21'!$J$235</definedName>
    <definedName name="Std10dot5" localSheetId="22">'IWP22'!$J$235</definedName>
    <definedName name="Std10dot5" localSheetId="23">'IWP23'!$J$235</definedName>
    <definedName name="Std10dot5" localSheetId="24">'IWP24'!$J$235</definedName>
    <definedName name="Std10dot5" localSheetId="25">'IWP25'!$J$235</definedName>
    <definedName name="Std10dot5" localSheetId="26">'IWP26'!$J$235</definedName>
    <definedName name="Std10dot5" localSheetId="27">'IWP27'!$J$235</definedName>
    <definedName name="Std10dot5" localSheetId="28">'IWP28'!$J$235</definedName>
    <definedName name="Std10dot5" localSheetId="29">'IWP29'!$J$235</definedName>
    <definedName name="Std10dot5" localSheetId="30">'IWP30'!$J$235</definedName>
    <definedName name="Std10dot5">#REF!</definedName>
    <definedName name="Std10dot5Withdrawals" localSheetId="1">'IWP01'!$A$225:$K$234</definedName>
    <definedName name="Std10dot5Withdrawals" localSheetId="2">'IWP02'!$A$225:$K$234</definedName>
    <definedName name="Std10dot5Withdrawals" localSheetId="3">'IWP03'!$A$225:$K$234</definedName>
    <definedName name="Std10dot5Withdrawals" localSheetId="4">'IWP04'!$A$225:$K$234</definedName>
    <definedName name="Std10dot5Withdrawals" localSheetId="5">'IWP05'!$A$225:$K$234</definedName>
    <definedName name="Std10dot5Withdrawals" localSheetId="6">'IWP06'!$A$225:$K$234</definedName>
    <definedName name="Std10dot5Withdrawals" localSheetId="7">'IWP07'!$A$225:$K$234</definedName>
    <definedName name="Std10dot5Withdrawals" localSheetId="8">'IWP08'!$A$225:$K$234</definedName>
    <definedName name="Std10dot5Withdrawals" localSheetId="9">'IWP09'!$A$225:$K$234</definedName>
    <definedName name="Std10dot5Withdrawals" localSheetId="10">'IWP10'!$A$225:$K$234</definedName>
    <definedName name="Std10dot5Withdrawals" localSheetId="11">'IWP11'!$A$225:$K$234</definedName>
    <definedName name="Std10dot5Withdrawals" localSheetId="12">'IWP12'!$A$225:$K$234</definedName>
    <definedName name="Std10dot5Withdrawals" localSheetId="13">'IWP13'!$A$225:$K$234</definedName>
    <definedName name="Std10dot5Withdrawals" localSheetId="14">'IWP14'!$A$225:$K$234</definedName>
    <definedName name="Std10dot5Withdrawals" localSheetId="15">'IWP15'!$A$225:$K$234</definedName>
    <definedName name="Std10dot5Withdrawals" localSheetId="16">'IWP16'!$A$225:$K$234</definedName>
    <definedName name="Std10dot5Withdrawals" localSheetId="17">'IWP17'!$A$225:$K$234</definedName>
    <definedName name="Std10dot5Withdrawals" localSheetId="18">'IWP18'!$A$225:$K$234</definedName>
    <definedName name="Std10dot5Withdrawals" localSheetId="19">'IWP19'!$A$225:$K$234</definedName>
    <definedName name="Std10dot5Withdrawals" localSheetId="20">'IWP20'!$A$225:$K$234</definedName>
    <definedName name="Std10dot5Withdrawals" localSheetId="21">'IWP21'!$A$225:$K$234</definedName>
    <definedName name="Std10dot5Withdrawals" localSheetId="22">'IWP22'!$A$225:$K$234</definedName>
    <definedName name="Std10dot5Withdrawals" localSheetId="23">'IWP23'!$A$225:$K$234</definedName>
    <definedName name="Std10dot5Withdrawals" localSheetId="24">'IWP24'!$A$225:$K$234</definedName>
    <definedName name="Std10dot5Withdrawals" localSheetId="25">'IWP25'!$A$225:$K$234</definedName>
    <definedName name="Std10dot5Withdrawals" localSheetId="26">'IWP26'!$A$225:$K$234</definedName>
    <definedName name="Std10dot5Withdrawals" localSheetId="27">'IWP27'!$A$225:$K$234</definedName>
    <definedName name="Std10dot5Withdrawals" localSheetId="28">'IWP28'!$A$225:$K$234</definedName>
    <definedName name="Std10dot5Withdrawals" localSheetId="29">'IWP29'!$A$225:$K$234</definedName>
    <definedName name="Std10dot5Withdrawals" localSheetId="30">'IWP30'!$A$225:$K$234</definedName>
    <definedName name="Std10dot6" localSheetId="1">'IWP01'!$J$246</definedName>
    <definedName name="Std10dot6" localSheetId="2">'IWP02'!$J$246</definedName>
    <definedName name="Std10dot6" localSheetId="3">'IWP03'!$J$246</definedName>
    <definedName name="Std10dot6" localSheetId="4">'IWP04'!$J$246</definedName>
    <definedName name="Std10dot6" localSheetId="5">'IWP05'!$J$246</definedName>
    <definedName name="Std10dot6" localSheetId="6">'IWP06'!$J$246</definedName>
    <definedName name="Std10dot6" localSheetId="7">'IWP07'!$J$246</definedName>
    <definedName name="Std10dot6" localSheetId="8">'IWP08'!$J$246</definedName>
    <definedName name="Std10dot6" localSheetId="9">'IWP09'!$J$246</definedName>
    <definedName name="Std10dot6" localSheetId="10">'IWP10'!$J$246</definedName>
    <definedName name="Std10dot6" localSheetId="11">'IWP11'!$J$246</definedName>
    <definedName name="Std10dot6" localSheetId="12">'IWP12'!$J$246</definedName>
    <definedName name="Std10dot6" localSheetId="13">'IWP13'!$J$246</definedName>
    <definedName name="Std10dot6" localSheetId="14">'IWP14'!$J$246</definedName>
    <definedName name="Std10dot6" localSheetId="15">'IWP15'!$J$246</definedName>
    <definedName name="Std10dot6" localSheetId="16">'IWP16'!$J$246</definedName>
    <definedName name="Std10dot6" localSheetId="17">'IWP17'!$J$246</definedName>
    <definedName name="Std10dot6" localSheetId="18">'IWP18'!$J$246</definedName>
    <definedName name="Std10dot6" localSheetId="19">'IWP19'!$J$246</definedName>
    <definedName name="Std10dot6" localSheetId="20">'IWP20'!$J$246</definedName>
    <definedName name="Std10dot6" localSheetId="21">'IWP21'!$J$246</definedName>
    <definedName name="Std10dot6" localSheetId="22">'IWP22'!$J$246</definedName>
    <definedName name="Std10dot6" localSheetId="23">'IWP23'!$J$246</definedName>
    <definedName name="Std10dot6" localSheetId="24">'IWP24'!$J$246</definedName>
    <definedName name="Std10dot6" localSheetId="25">'IWP25'!$J$246</definedName>
    <definedName name="Std10dot6" localSheetId="26">'IWP26'!$J$246</definedName>
    <definedName name="Std10dot6" localSheetId="27">'IWP27'!$J$246</definedName>
    <definedName name="Std10dot6" localSheetId="28">'IWP28'!$J$246</definedName>
    <definedName name="Std10dot6" localSheetId="29">'IWP29'!$J$246</definedName>
    <definedName name="Std10dot6" localSheetId="30">'IWP30'!$J$246</definedName>
    <definedName name="Std10dot6">#REF!</definedName>
    <definedName name="Std10dot6a" localSheetId="1">'IWP01'!$J$243</definedName>
    <definedName name="Std10dot6a" localSheetId="2">'IWP02'!$J$243</definedName>
    <definedName name="Std10dot6a" localSheetId="3">'IWP03'!$J$243</definedName>
    <definedName name="Std10dot6a" localSheetId="4">'IWP04'!$J$243</definedName>
    <definedName name="Std10dot6a" localSheetId="5">'IWP05'!$J$243</definedName>
    <definedName name="Std10dot6a" localSheetId="6">'IWP06'!$J$243</definedName>
    <definedName name="Std10dot6a" localSheetId="7">'IWP07'!$J$243</definedName>
    <definedName name="Std10dot6a" localSheetId="8">'IWP08'!$J$243</definedName>
    <definedName name="Std10dot6a" localSheetId="9">'IWP09'!$J$243</definedName>
    <definedName name="Std10dot6a" localSheetId="10">'IWP10'!$J$243</definedName>
    <definedName name="Std10dot6a" localSheetId="11">'IWP11'!$J$243</definedName>
    <definedName name="Std10dot6a" localSheetId="12">'IWP12'!$J$243</definedName>
    <definedName name="Std10dot6a" localSheetId="13">'IWP13'!$J$243</definedName>
    <definedName name="Std10dot6a" localSheetId="14">'IWP14'!$J$243</definedName>
    <definedName name="Std10dot6a" localSheetId="15">'IWP15'!$J$243</definedName>
    <definedName name="Std10dot6a" localSheetId="16">'IWP16'!$J$243</definedName>
    <definedName name="Std10dot6a" localSheetId="17">'IWP17'!$J$243</definedName>
    <definedName name="Std10dot6a" localSheetId="18">'IWP18'!$J$243</definedName>
    <definedName name="Std10dot6a" localSheetId="19">'IWP19'!$J$243</definedName>
    <definedName name="Std10dot6a" localSheetId="20">'IWP20'!$J$243</definedName>
    <definedName name="Std10dot6a" localSheetId="21">'IWP21'!$J$243</definedName>
    <definedName name="Std10dot6a" localSheetId="22">'IWP22'!$J$243</definedName>
    <definedName name="Std10dot6a" localSheetId="23">'IWP23'!$J$243</definedName>
    <definedName name="Std10dot6a" localSheetId="24">'IWP24'!$J$243</definedName>
    <definedName name="Std10dot6a" localSheetId="25">'IWP25'!$J$243</definedName>
    <definedName name="Std10dot6a" localSheetId="26">'IWP26'!$J$243</definedName>
    <definedName name="Std10dot6a" localSheetId="27">'IWP27'!$J$243</definedName>
    <definedName name="Std10dot6a" localSheetId="28">'IWP28'!$J$243</definedName>
    <definedName name="Std10dot6a" localSheetId="29">'IWP29'!$J$243</definedName>
    <definedName name="Std10dot6a" localSheetId="30">'IWP30'!$J$243</definedName>
    <definedName name="Std10dot6a">#REF!</definedName>
    <definedName name="Std10dot6AmtRfnd" localSheetId="1">'IWP01'!$J$242</definedName>
    <definedName name="Std10dot6AmtRfnd" localSheetId="2">'IWP02'!$J$242</definedName>
    <definedName name="Std10dot6AmtRfnd" localSheetId="3">'IWP03'!$J$242</definedName>
    <definedName name="Std10dot6AmtRfnd" localSheetId="4">'IWP04'!$J$242</definedName>
    <definedName name="Std10dot6AmtRfnd" localSheetId="5">'IWP05'!$J$242</definedName>
    <definedName name="Std10dot6AmtRfnd" localSheetId="6">'IWP06'!$J$242</definedName>
    <definedName name="Std10dot6AmtRfnd" localSheetId="7">'IWP07'!$J$242</definedName>
    <definedName name="Std10dot6AmtRfnd" localSheetId="8">'IWP08'!$J$242</definedName>
    <definedName name="Std10dot6AmtRfnd" localSheetId="9">'IWP09'!$J$242</definedName>
    <definedName name="Std10dot6AmtRfnd" localSheetId="10">'IWP10'!$J$242</definedName>
    <definedName name="Std10dot6AmtRfnd" localSheetId="11">'IWP11'!$J$242</definedName>
    <definedName name="Std10dot6AmtRfnd" localSheetId="12">'IWP12'!$J$242</definedName>
    <definedName name="Std10dot6AmtRfnd" localSheetId="13">'IWP13'!$J$242</definedName>
    <definedName name="Std10dot6AmtRfnd" localSheetId="14">'IWP14'!$J$242</definedName>
    <definedName name="Std10dot6AmtRfnd" localSheetId="15">'IWP15'!$J$242</definedName>
    <definedName name="Std10dot6AmtRfnd" localSheetId="16">'IWP16'!$J$242</definedName>
    <definedName name="Std10dot6AmtRfnd" localSheetId="17">'IWP17'!$J$242</definedName>
    <definedName name="Std10dot6AmtRfnd" localSheetId="18">'IWP18'!$J$242</definedName>
    <definedName name="Std10dot6AmtRfnd" localSheetId="19">'IWP19'!$J$242</definedName>
    <definedName name="Std10dot6AmtRfnd" localSheetId="20">'IWP20'!$J$242</definedName>
    <definedName name="Std10dot6AmtRfnd" localSheetId="21">'IWP21'!$J$242</definedName>
    <definedName name="Std10dot6AmtRfnd" localSheetId="22">'IWP22'!$J$242</definedName>
    <definedName name="Std10dot6AmtRfnd" localSheetId="23">'IWP23'!$J$242</definedName>
    <definedName name="Std10dot6AmtRfnd" localSheetId="24">'IWP24'!$J$242</definedName>
    <definedName name="Std10dot6AmtRfnd" localSheetId="25">'IWP25'!$J$242</definedName>
    <definedName name="Std10dot6AmtRfnd" localSheetId="26">'IWP26'!$J$242</definedName>
    <definedName name="Std10dot6AmtRfnd" localSheetId="27">'IWP27'!$J$242</definedName>
    <definedName name="Std10dot6AmtRfnd" localSheetId="28">'IWP28'!$J$242</definedName>
    <definedName name="Std10dot6AmtRfnd" localSheetId="29">'IWP29'!$J$242</definedName>
    <definedName name="Std10dot6AmtRfnd" localSheetId="30">'IWP30'!$J$242</definedName>
    <definedName name="Std10dot6AmtRfnd">#REF!</definedName>
    <definedName name="Std10dot6b" localSheetId="1">'IWP01'!$J$244</definedName>
    <definedName name="Std10dot6b" localSheetId="2">'IWP02'!$J$244</definedName>
    <definedName name="Std10dot6b" localSheetId="3">'IWP03'!$J$244</definedName>
    <definedName name="Std10dot6b" localSheetId="4">'IWP04'!$J$244</definedName>
    <definedName name="Std10dot6b" localSheetId="5">'IWP05'!$J$244</definedName>
    <definedName name="Std10dot6b" localSheetId="6">'IWP06'!$J$244</definedName>
    <definedName name="Std10dot6b" localSheetId="7">'IWP07'!$J$244</definedName>
    <definedName name="Std10dot6b" localSheetId="8">'IWP08'!$J$244</definedName>
    <definedName name="Std10dot6b" localSheetId="9">'IWP09'!$J$244</definedName>
    <definedName name="Std10dot6b" localSheetId="10">'IWP10'!$J$244</definedName>
    <definedName name="Std10dot6b" localSheetId="11">'IWP11'!$J$244</definedName>
    <definedName name="Std10dot6b" localSheetId="12">'IWP12'!$J$244</definedName>
    <definedName name="Std10dot6b" localSheetId="13">'IWP13'!$J$244</definedName>
    <definedName name="Std10dot6b" localSheetId="14">'IWP14'!$J$244</definedName>
    <definedName name="Std10dot6b" localSheetId="15">'IWP15'!$J$244</definedName>
    <definedName name="Std10dot6b" localSheetId="16">'IWP16'!$J$244</definedName>
    <definedName name="Std10dot6b" localSheetId="17">'IWP17'!$J$244</definedName>
    <definedName name="Std10dot6b" localSheetId="18">'IWP18'!$J$244</definedName>
    <definedName name="Std10dot6b" localSheetId="19">'IWP19'!$J$244</definedName>
    <definedName name="Std10dot6b" localSheetId="20">'IWP20'!$J$244</definedName>
    <definedName name="Std10dot6b" localSheetId="21">'IWP21'!$J$244</definedName>
    <definedName name="Std10dot6b" localSheetId="22">'IWP22'!$J$244</definedName>
    <definedName name="Std10dot6b" localSheetId="23">'IWP23'!$J$244</definedName>
    <definedName name="Std10dot6b" localSheetId="24">'IWP24'!$J$244</definedName>
    <definedName name="Std10dot6b" localSheetId="25">'IWP25'!$J$244</definedName>
    <definedName name="Std10dot6b" localSheetId="26">'IWP26'!$J$244</definedName>
    <definedName name="Std10dot6b" localSheetId="27">'IWP27'!$J$244</definedName>
    <definedName name="Std10dot6b" localSheetId="28">'IWP28'!$J$244</definedName>
    <definedName name="Std10dot6b" localSheetId="29">'IWP29'!$J$244</definedName>
    <definedName name="Std10dot6b" localSheetId="30">'IWP30'!$J$244</definedName>
    <definedName name="Std10dot6b">#REF!</definedName>
    <definedName name="Std10dot6c" localSheetId="1">'IWP01'!$J$245</definedName>
    <definedName name="Std10dot6c" localSheetId="2">'IWP02'!$J$245</definedName>
    <definedName name="Std10dot6c" localSheetId="3">'IWP03'!$J$245</definedName>
    <definedName name="Std10dot6c" localSheetId="4">'IWP04'!$J$245</definedName>
    <definedName name="Std10dot6c" localSheetId="5">'IWP05'!$J$245</definedName>
    <definedName name="Std10dot6c" localSheetId="6">'IWP06'!$J$245</definedName>
    <definedName name="Std10dot6c" localSheetId="7">'IWP07'!$J$245</definedName>
    <definedName name="Std10dot6c" localSheetId="8">'IWP08'!$J$245</definedName>
    <definedName name="Std10dot6c" localSheetId="9">'IWP09'!$J$245</definedName>
    <definedName name="Std10dot6c" localSheetId="10">'IWP10'!$J$245</definedName>
    <definedName name="Std10dot6c" localSheetId="11">'IWP11'!$J$245</definedName>
    <definedName name="Std10dot6c" localSheetId="12">'IWP12'!$J$245</definedName>
    <definedName name="Std10dot6c" localSheetId="13">'IWP13'!$J$245</definedName>
    <definedName name="Std10dot6c" localSheetId="14">'IWP14'!$J$245</definedName>
    <definedName name="Std10dot6c" localSheetId="15">'IWP15'!$J$245</definedName>
    <definedName name="Std10dot6c" localSheetId="16">'IWP16'!$J$245</definedName>
    <definedName name="Std10dot6c" localSheetId="17">'IWP17'!$J$245</definedName>
    <definedName name="Std10dot6c" localSheetId="18">'IWP18'!$J$245</definedName>
    <definedName name="Std10dot6c" localSheetId="19">'IWP19'!$J$245</definedName>
    <definedName name="Std10dot6c" localSheetId="20">'IWP20'!$J$245</definedName>
    <definedName name="Std10dot6c" localSheetId="21">'IWP21'!$J$245</definedName>
    <definedName name="Std10dot6c" localSheetId="22">'IWP22'!$J$245</definedName>
    <definedName name="Std10dot6c" localSheetId="23">'IWP23'!$J$245</definedName>
    <definedName name="Std10dot6c" localSheetId="24">'IWP24'!$J$245</definedName>
    <definedName name="Std10dot6c" localSheetId="25">'IWP25'!$J$245</definedName>
    <definedName name="Std10dot6c" localSheetId="26">'IWP26'!$J$245</definedName>
    <definedName name="Std10dot6c" localSheetId="27">'IWP27'!$J$245</definedName>
    <definedName name="Std10dot6c" localSheetId="28">'IWP28'!$J$245</definedName>
    <definedName name="Std10dot6c" localSheetId="29">'IWP29'!$J$245</definedName>
    <definedName name="Std10dot6c" localSheetId="30">'IWP30'!$J$245</definedName>
    <definedName name="Std10dot6c">#REF!</definedName>
    <definedName name="Std10dot6DateOfDeathDischarge" localSheetId="1">'IWP01'!$A$242</definedName>
    <definedName name="Std10dot6DateOfDeathDischarge" localSheetId="2">'IWP02'!$A$242</definedName>
    <definedName name="Std10dot6DateOfDeathDischarge" localSheetId="3">'IWP03'!$A$242</definedName>
    <definedName name="Std10dot6DateOfDeathDischarge" localSheetId="4">'IWP04'!$A$242</definedName>
    <definedName name="Std10dot6DateOfDeathDischarge" localSheetId="5">'IWP05'!$A$242</definedName>
    <definedName name="Std10dot6DateOfDeathDischarge" localSheetId="6">'IWP06'!$A$242</definedName>
    <definedName name="Std10dot6DateOfDeathDischarge" localSheetId="7">'IWP07'!$A$242</definedName>
    <definedName name="Std10dot6DateOfDeathDischarge" localSheetId="8">'IWP08'!$A$242</definedName>
    <definedName name="Std10dot6DateOfDeathDischarge" localSheetId="9">'IWP09'!$A$242</definedName>
    <definedName name="Std10dot6DateOfDeathDischarge" localSheetId="10">'IWP10'!$A$242</definedName>
    <definedName name="Std10dot6DateOfDeathDischarge" localSheetId="11">'IWP11'!$A$242</definedName>
    <definedName name="Std10dot6DateOfDeathDischarge" localSheetId="12">'IWP12'!$A$242</definedName>
    <definedName name="Std10dot6DateOfDeathDischarge" localSheetId="13">'IWP13'!$A$242</definedName>
    <definedName name="Std10dot6DateOfDeathDischarge" localSheetId="14">'IWP14'!$A$242</definedName>
    <definedName name="Std10dot6DateOfDeathDischarge" localSheetId="15">'IWP15'!$A$242</definedName>
    <definedName name="Std10dot6DateOfDeathDischarge" localSheetId="16">'IWP16'!$A$242</definedName>
    <definedName name="Std10dot6DateOfDeathDischarge" localSheetId="17">'IWP17'!$A$242</definedName>
    <definedName name="Std10dot6DateOfDeathDischarge" localSheetId="18">'IWP18'!$A$242</definedName>
    <definedName name="Std10dot6DateOfDeathDischarge" localSheetId="19">'IWP19'!$A$242</definedName>
    <definedName name="Std10dot6DateOfDeathDischarge" localSheetId="20">'IWP20'!$A$242</definedName>
    <definedName name="Std10dot6DateOfDeathDischarge" localSheetId="21">'IWP21'!$A$242</definedName>
    <definedName name="Std10dot6DateOfDeathDischarge" localSheetId="22">'IWP22'!$A$242</definedName>
    <definedName name="Std10dot6DateOfDeathDischarge" localSheetId="23">'IWP23'!$A$242</definedName>
    <definedName name="Std10dot6DateOfDeathDischarge" localSheetId="24">'IWP24'!$A$242</definedName>
    <definedName name="Std10dot6DateOfDeathDischarge" localSheetId="25">'IWP25'!$A$242</definedName>
    <definedName name="Std10dot6DateOfDeathDischarge" localSheetId="26">'IWP26'!$A$242</definedName>
    <definedName name="Std10dot6DateOfDeathDischarge" localSheetId="27">'IWP27'!$A$242</definedName>
    <definedName name="Std10dot6DateOfDeathDischarge" localSheetId="28">'IWP28'!$A$242</definedName>
    <definedName name="Std10dot6DateOfDeathDischarge" localSheetId="29">'IWP29'!$A$242</definedName>
    <definedName name="Std10dot6DateOfDeathDischarge" localSheetId="30">'IWP30'!$A$242</definedName>
    <definedName name="Std10dot6DateOfDeathDischarge">#REF!</definedName>
    <definedName name="Std10dot6DateOfRefund" localSheetId="1">'IWP01'!$R$242</definedName>
    <definedName name="Std10dot6DateOfRefund" localSheetId="2">'IWP02'!$R$242</definedName>
    <definedName name="Std10dot6DateOfRefund" localSheetId="3">'IWP03'!$R$242</definedName>
    <definedName name="Std10dot6DateOfRefund" localSheetId="4">'IWP04'!$R$242</definedName>
    <definedName name="Std10dot6DateOfRefund" localSheetId="5">'IWP05'!$R$242</definedName>
    <definedName name="Std10dot6DateOfRefund" localSheetId="6">'IWP06'!$R$242</definedName>
    <definedName name="Std10dot6DateOfRefund" localSheetId="7">'IWP07'!$R$242</definedName>
    <definedName name="Std10dot6DateOfRefund" localSheetId="8">'IWP08'!$R$242</definedName>
    <definedName name="Std10dot6DateOfRefund" localSheetId="9">'IWP09'!$R$242</definedName>
    <definedName name="Std10dot6DateOfRefund" localSheetId="10">'IWP10'!$R$242</definedName>
    <definedName name="Std10dot6DateOfRefund" localSheetId="11">'IWP11'!$R$242</definedName>
    <definedName name="Std10dot6DateOfRefund" localSheetId="12">'IWP12'!$R$242</definedName>
    <definedName name="Std10dot6DateOfRefund" localSheetId="13">'IWP13'!$R$242</definedName>
    <definedName name="Std10dot6DateOfRefund" localSheetId="14">'IWP14'!$R$242</definedName>
    <definedName name="Std10dot6DateOfRefund" localSheetId="15">'IWP15'!$R$242</definedName>
    <definedName name="Std10dot6DateOfRefund" localSheetId="16">'IWP16'!$R$242</definedName>
    <definedName name="Std10dot6DateOfRefund" localSheetId="17">'IWP17'!$R$242</definedName>
    <definedName name="Std10dot6DateOfRefund" localSheetId="18">'IWP18'!$R$242</definedName>
    <definedName name="Std10dot6DateOfRefund" localSheetId="19">'IWP19'!$R$242</definedName>
    <definedName name="Std10dot6DateOfRefund" localSheetId="20">'IWP20'!$R$242</definedName>
    <definedName name="Std10dot6DateOfRefund" localSheetId="21">'IWP21'!$R$242</definedName>
    <definedName name="Std10dot6DateOfRefund" localSheetId="22">'IWP22'!$R$242</definedName>
    <definedName name="Std10dot6DateOfRefund" localSheetId="23">'IWP23'!$R$242</definedName>
    <definedName name="Std10dot6DateOfRefund" localSheetId="24">'IWP24'!$R$242</definedName>
    <definedName name="Std10dot6DateOfRefund" localSheetId="25">'IWP25'!$R$242</definedName>
    <definedName name="Std10dot6DateOfRefund" localSheetId="26">'IWP26'!$R$242</definedName>
    <definedName name="Std10dot6DateOfRefund" localSheetId="27">'IWP27'!$R$242</definedName>
    <definedName name="Std10dot6DateOfRefund" localSheetId="28">'IWP28'!$R$242</definedName>
    <definedName name="Std10dot6DateOfRefund" localSheetId="29">'IWP29'!$R$242</definedName>
    <definedName name="Std10dot6DateOfRefund" localSheetId="30">'IWP30'!$R$242</definedName>
    <definedName name="Std10dot6DateOfRefund">#REF!</definedName>
    <definedName name="Std10dot6DminusE" localSheetId="1">'IWP01'!$L$242</definedName>
    <definedName name="Std10dot6DminusE" localSheetId="2">'IWP02'!$L$242</definedName>
    <definedName name="Std10dot6DminusE" localSheetId="3">'IWP03'!$L$242</definedName>
    <definedName name="Std10dot6DminusE" localSheetId="4">'IWP04'!$L$242</definedName>
    <definedName name="Std10dot6DminusE" localSheetId="5">'IWP05'!$L$242</definedName>
    <definedName name="Std10dot6DminusE" localSheetId="6">'IWP06'!$L$242</definedName>
    <definedName name="Std10dot6DminusE" localSheetId="7">'IWP07'!$L$242</definedName>
    <definedName name="Std10dot6DminusE" localSheetId="8">'IWP08'!$L$242</definedName>
    <definedName name="Std10dot6DminusE" localSheetId="9">'IWP09'!$L$242</definedName>
    <definedName name="Std10dot6DminusE" localSheetId="10">'IWP10'!$L$242</definedName>
    <definedName name="Std10dot6DminusE" localSheetId="11">'IWP11'!$L$242</definedName>
    <definedName name="Std10dot6DminusE" localSheetId="12">'IWP12'!$L$242</definedName>
    <definedName name="Std10dot6DminusE" localSheetId="13">'IWP13'!$L$242</definedName>
    <definedName name="Std10dot6DminusE" localSheetId="14">'IWP14'!$L$242</definedName>
    <definedName name="Std10dot6DminusE" localSheetId="15">'IWP15'!$L$242</definedName>
    <definedName name="Std10dot6DminusE" localSheetId="16">'IWP16'!$L$242</definedName>
    <definedName name="Std10dot6DminusE" localSheetId="17">'IWP17'!$L$242</definedName>
    <definedName name="Std10dot6DminusE" localSheetId="18">'IWP18'!$L$242</definedName>
    <definedName name="Std10dot6DminusE" localSheetId="19">'IWP19'!$L$242</definedName>
    <definedName name="Std10dot6DminusE" localSheetId="20">'IWP20'!$L$242</definedName>
    <definedName name="Std10dot6DminusE" localSheetId="21">'IWP21'!$L$242</definedName>
    <definedName name="Std10dot6DminusE" localSheetId="22">'IWP22'!$L$242</definedName>
    <definedName name="Std10dot6DminusE" localSheetId="23">'IWP23'!$L$242</definedName>
    <definedName name="Std10dot6DminusE" localSheetId="24">'IWP24'!$L$242</definedName>
    <definedName name="Std10dot6DminusE" localSheetId="25">'IWP25'!$L$242</definedName>
    <definedName name="Std10dot6DminusE" localSheetId="26">'IWP26'!$L$242</definedName>
    <definedName name="Std10dot6DminusE" localSheetId="27">'IWP27'!$L$242</definedName>
    <definedName name="Std10dot6DminusE" localSheetId="28">'IWP28'!$L$242</definedName>
    <definedName name="Std10dot6DminusE" localSheetId="29">'IWP29'!$L$242</definedName>
    <definedName name="Std10dot6DminusE" localSheetId="30">'IWP30'!$L$242</definedName>
    <definedName name="Std10dot6DminusE">#REF!</definedName>
    <definedName name="Std10dot6DthDschg" localSheetId="1">'IWP01'!$B$242</definedName>
    <definedName name="Std10dot6DthDschg" localSheetId="2">'IWP02'!$B$242</definedName>
    <definedName name="Std10dot6DthDschg" localSheetId="3">'IWP03'!$B$242</definedName>
    <definedName name="Std10dot6DthDschg" localSheetId="4">'IWP04'!$B$242</definedName>
    <definedName name="Std10dot6DthDschg" localSheetId="5">'IWP05'!$B$242</definedName>
    <definedName name="Std10dot6DthDschg" localSheetId="6">'IWP06'!$B$242</definedName>
    <definedName name="Std10dot6DthDschg" localSheetId="7">'IWP07'!$B$242</definedName>
    <definedName name="Std10dot6DthDschg" localSheetId="8">'IWP08'!$B$242</definedName>
    <definedName name="Std10dot6DthDschg" localSheetId="9">'IWP09'!$B$242</definedName>
    <definedName name="Std10dot6DthDschg" localSheetId="10">'IWP10'!$B$242</definedName>
    <definedName name="Std10dot6DthDschg" localSheetId="11">'IWP11'!$B$242</definedName>
    <definedName name="Std10dot6DthDschg" localSheetId="12">'IWP12'!$B$242</definedName>
    <definedName name="Std10dot6DthDschg" localSheetId="13">'IWP13'!$B$242</definedName>
    <definedName name="Std10dot6DthDschg" localSheetId="14">'IWP14'!$B$242</definedName>
    <definedName name="Std10dot6DthDschg" localSheetId="15">'IWP15'!$B$242</definedName>
    <definedName name="Std10dot6DthDschg" localSheetId="16">'IWP16'!$B$242</definedName>
    <definedName name="Std10dot6DthDschg" localSheetId="17">'IWP17'!$B$242</definedName>
    <definedName name="Std10dot6DthDschg" localSheetId="18">'IWP18'!$B$242</definedName>
    <definedName name="Std10dot6DthDschg" localSheetId="19">'IWP19'!$B$242</definedName>
    <definedName name="Std10dot6DthDschg" localSheetId="20">'IWP20'!$B$242</definedName>
    <definedName name="Std10dot6DthDschg" localSheetId="21">'IWP21'!$B$242</definedName>
    <definedName name="Std10dot6DthDschg" localSheetId="22">'IWP22'!$B$242</definedName>
    <definedName name="Std10dot6DthDschg" localSheetId="23">'IWP23'!$B$242</definedName>
    <definedName name="Std10dot6DthDschg" localSheetId="24">'IWP24'!$B$242</definedName>
    <definedName name="Std10dot6DthDschg" localSheetId="25">'IWP25'!$B$242</definedName>
    <definedName name="Std10dot6DthDschg" localSheetId="26">'IWP26'!$B$242</definedName>
    <definedName name="Std10dot6DthDschg" localSheetId="27">'IWP27'!$B$242</definedName>
    <definedName name="Std10dot6DthDschg" localSheetId="28">'IWP28'!$B$242</definedName>
    <definedName name="Std10dot6DthDschg" localSheetId="29">'IWP29'!$B$242</definedName>
    <definedName name="Std10dot6DthDschg" localSheetId="30">'IWP30'!$B$242</definedName>
    <definedName name="Std10dot6DthDschg">#REF!</definedName>
    <definedName name="Std10dot6FirstName" localSheetId="1">'IWP01'!$P$242</definedName>
    <definedName name="Std10dot6FirstName" localSheetId="2">'IWP02'!$P$242</definedName>
    <definedName name="Std10dot6FirstName" localSheetId="3">'IWP03'!$P$242</definedName>
    <definedName name="Std10dot6FirstName" localSheetId="4">'IWP04'!$P$242</definedName>
    <definedName name="Std10dot6FirstName" localSheetId="5">'IWP05'!$P$242</definedName>
    <definedName name="Std10dot6FirstName" localSheetId="6">'IWP06'!$P$242</definedName>
    <definedName name="Std10dot6FirstName" localSheetId="7">'IWP07'!$P$242</definedName>
    <definedName name="Std10dot6FirstName" localSheetId="8">'IWP08'!$P$242</definedName>
    <definedName name="Std10dot6FirstName" localSheetId="9">'IWP09'!$P$242</definedName>
    <definedName name="Std10dot6FirstName" localSheetId="10">'IWP10'!$P$242</definedName>
    <definedName name="Std10dot6FirstName" localSheetId="11">'IWP11'!$P$242</definedName>
    <definedName name="Std10dot6FirstName" localSheetId="12">'IWP12'!$P$242</definedName>
    <definedName name="Std10dot6FirstName" localSheetId="13">'IWP13'!$P$242</definedName>
    <definedName name="Std10dot6FirstName" localSheetId="14">'IWP14'!$P$242</definedName>
    <definedName name="Std10dot6FirstName" localSheetId="15">'IWP15'!$P$242</definedName>
    <definedName name="Std10dot6FirstName" localSheetId="16">'IWP16'!$P$242</definedName>
    <definedName name="Std10dot6FirstName" localSheetId="17">'IWP17'!$P$242</definedName>
    <definedName name="Std10dot6FirstName" localSheetId="18">'IWP18'!$P$242</definedName>
    <definedName name="Std10dot6FirstName" localSheetId="19">'IWP19'!$P$242</definedName>
    <definedName name="Std10dot6FirstName" localSheetId="20">'IWP20'!$P$242</definedName>
    <definedName name="Std10dot6FirstName" localSheetId="21">'IWP21'!$P$242</definedName>
    <definedName name="Std10dot6FirstName" localSheetId="22">'IWP22'!$P$242</definedName>
    <definedName name="Std10dot6FirstName" localSheetId="23">'IWP23'!$P$242</definedName>
    <definedName name="Std10dot6FirstName" localSheetId="24">'IWP24'!$P$242</definedName>
    <definedName name="Std10dot6FirstName" localSheetId="25">'IWP25'!$P$242</definedName>
    <definedName name="Std10dot6FirstName" localSheetId="26">'IWP26'!$P$242</definedName>
    <definedName name="Std10dot6FirstName" localSheetId="27">'IWP27'!$P$242</definedName>
    <definedName name="Std10dot6FirstName" localSheetId="28">'IWP28'!$P$242</definedName>
    <definedName name="Std10dot6FirstName" localSheetId="29">'IWP29'!$P$242</definedName>
    <definedName name="Std10dot6FirstName" localSheetId="30">'IWP30'!$P$242</definedName>
    <definedName name="Std10dot6FirstName">#REF!</definedName>
    <definedName name="Std10dot6IndvPtyCshAmtDue" localSheetId="1">'IWP01'!$F$242</definedName>
    <definedName name="Std10dot6IndvPtyCshAmtDue" localSheetId="2">'IWP02'!$F$242</definedName>
    <definedName name="Std10dot6IndvPtyCshAmtDue" localSheetId="3">'IWP03'!$F$242</definedName>
    <definedName name="Std10dot6IndvPtyCshAmtDue" localSheetId="4">'IWP04'!$F$242</definedName>
    <definedName name="Std10dot6IndvPtyCshAmtDue" localSheetId="5">'IWP05'!$F$242</definedName>
    <definedName name="Std10dot6IndvPtyCshAmtDue" localSheetId="6">'IWP06'!$F$242</definedName>
    <definedName name="Std10dot6IndvPtyCshAmtDue" localSheetId="7">'IWP07'!$F$242</definedName>
    <definedName name="Std10dot6IndvPtyCshAmtDue" localSheetId="8">'IWP08'!$F$242</definedName>
    <definedName name="Std10dot6IndvPtyCshAmtDue" localSheetId="9">'IWP09'!$F$242</definedName>
    <definedName name="Std10dot6IndvPtyCshAmtDue" localSheetId="10">'IWP10'!$F$242</definedName>
    <definedName name="Std10dot6IndvPtyCshAmtDue" localSheetId="11">'IWP11'!$F$242</definedName>
    <definedName name="Std10dot6IndvPtyCshAmtDue" localSheetId="12">'IWP12'!$F$242</definedName>
    <definedName name="Std10dot6IndvPtyCshAmtDue" localSheetId="13">'IWP13'!$F$242</definedName>
    <definedName name="Std10dot6IndvPtyCshAmtDue" localSheetId="14">'IWP14'!$F$242</definedName>
    <definedName name="Std10dot6IndvPtyCshAmtDue" localSheetId="15">'IWP15'!$F$242</definedName>
    <definedName name="Std10dot6IndvPtyCshAmtDue" localSheetId="16">'IWP16'!$F$242</definedName>
    <definedName name="Std10dot6IndvPtyCshAmtDue" localSheetId="17">'IWP17'!$F$242</definedName>
    <definedName name="Std10dot6IndvPtyCshAmtDue" localSheetId="18">'IWP18'!$F$242</definedName>
    <definedName name="Std10dot6IndvPtyCshAmtDue" localSheetId="19">'IWP19'!$F$242</definedName>
    <definedName name="Std10dot6IndvPtyCshAmtDue" localSheetId="20">'IWP20'!$F$242</definedName>
    <definedName name="Std10dot6IndvPtyCshAmtDue" localSheetId="21">'IWP21'!$F$242</definedName>
    <definedName name="Std10dot6IndvPtyCshAmtDue" localSheetId="22">'IWP22'!$F$242</definedName>
    <definedName name="Std10dot6IndvPtyCshAmtDue" localSheetId="23">'IWP23'!$F$242</definedName>
    <definedName name="Std10dot6IndvPtyCshAmtDue" localSheetId="24">'IWP24'!$F$242</definedName>
    <definedName name="Std10dot6IndvPtyCshAmtDue" localSheetId="25">'IWP25'!$F$242</definedName>
    <definedName name="Std10dot6IndvPtyCshAmtDue" localSheetId="26">'IWP26'!$F$242</definedName>
    <definedName name="Std10dot6IndvPtyCshAmtDue" localSheetId="27">'IWP27'!$F$242</definedName>
    <definedName name="Std10dot6IndvPtyCshAmtDue" localSheetId="28">'IWP28'!$F$242</definedName>
    <definedName name="Std10dot6IndvPtyCshAmtDue" localSheetId="29">'IWP29'!$F$242</definedName>
    <definedName name="Std10dot6IndvPtyCshAmtDue" localSheetId="30">'IWP30'!$F$242</definedName>
    <definedName name="Std10dot6IndvPtyCshAmtDue">#REF!</definedName>
    <definedName name="Std10dot6LastName" localSheetId="1">'IWP01'!$N$242</definedName>
    <definedName name="Std10dot6LastName" localSheetId="2">'IWP02'!$N$242</definedName>
    <definedName name="Std10dot6LastName" localSheetId="3">'IWP03'!$N$242</definedName>
    <definedName name="Std10dot6LastName" localSheetId="4">'IWP04'!$N$242</definedName>
    <definedName name="Std10dot6LastName" localSheetId="5">'IWP05'!$N$242</definedName>
    <definedName name="Std10dot6LastName" localSheetId="6">'IWP06'!$N$242</definedName>
    <definedName name="Std10dot6LastName" localSheetId="7">'IWP07'!$N$242</definedName>
    <definedName name="Std10dot6LastName" localSheetId="8">'IWP08'!$N$242</definedName>
    <definedName name="Std10dot6LastName" localSheetId="9">'IWP09'!$N$242</definedName>
    <definedName name="Std10dot6LastName" localSheetId="10">'IWP10'!$N$242</definedName>
    <definedName name="Std10dot6LastName" localSheetId="11">'IWP11'!$N$242</definedName>
    <definedName name="Std10dot6LastName" localSheetId="12">'IWP12'!$N$242</definedName>
    <definedName name="Std10dot6LastName" localSheetId="13">'IWP13'!$N$242</definedName>
    <definedName name="Std10dot6LastName" localSheetId="14">'IWP14'!$N$242</definedName>
    <definedName name="Std10dot6LastName" localSheetId="15">'IWP15'!$N$242</definedName>
    <definedName name="Std10dot6LastName" localSheetId="16">'IWP16'!$N$242</definedName>
    <definedName name="Std10dot6LastName" localSheetId="17">'IWP17'!$N$242</definedName>
    <definedName name="Std10dot6LastName" localSheetId="18">'IWP18'!$N$242</definedName>
    <definedName name="Std10dot6LastName" localSheetId="19">'IWP19'!$N$242</definedName>
    <definedName name="Std10dot6LastName" localSheetId="20">'IWP20'!$N$242</definedName>
    <definedName name="Std10dot6LastName" localSheetId="21">'IWP21'!$N$242</definedName>
    <definedName name="Std10dot6LastName" localSheetId="22">'IWP22'!$N$242</definedName>
    <definedName name="Std10dot6LastName" localSheetId="23">'IWP23'!$N$242</definedName>
    <definedName name="Std10dot6LastName" localSheetId="24">'IWP24'!$N$242</definedName>
    <definedName name="Std10dot6LastName" localSheetId="25">'IWP25'!$N$242</definedName>
    <definedName name="Std10dot6LastName" localSheetId="26">'IWP26'!$N$242</definedName>
    <definedName name="Std10dot6LastName" localSheetId="27">'IWP27'!$N$242</definedName>
    <definedName name="Std10dot6LastName" localSheetId="28">'IWP28'!$N$242</definedName>
    <definedName name="Std10dot6LastName" localSheetId="29">'IWP29'!$N$242</definedName>
    <definedName name="Std10dot6LastName" localSheetId="30">'IWP30'!$N$242</definedName>
    <definedName name="Std10dot6LastName">#REF!</definedName>
    <definedName name="Std10dot6NotCalc" localSheetId="1">'IWP01'!$J$238</definedName>
    <definedName name="Std10dot6NotCalc" localSheetId="2">'IWP02'!$J$238</definedName>
    <definedName name="Std10dot6NotCalc" localSheetId="3">'IWP03'!$J$238</definedName>
    <definedName name="Std10dot6NotCalc" localSheetId="4">'IWP04'!$J$238</definedName>
    <definedName name="Std10dot6NotCalc" localSheetId="5">'IWP05'!$J$238</definedName>
    <definedName name="Std10dot6NotCalc" localSheetId="6">'IWP06'!$J$238</definedName>
    <definedName name="Std10dot6NotCalc" localSheetId="7">'IWP07'!$J$238</definedName>
    <definedName name="Std10dot6NotCalc" localSheetId="8">'IWP08'!$J$238</definedName>
    <definedName name="Std10dot6NotCalc" localSheetId="9">'IWP09'!$J$238</definedName>
    <definedName name="Std10dot6NotCalc" localSheetId="10">'IWP10'!$J$238</definedName>
    <definedName name="Std10dot6NotCalc" localSheetId="11">'IWP11'!$J$238</definedName>
    <definedName name="Std10dot6NotCalc" localSheetId="12">'IWP12'!$J$238</definedName>
    <definedName name="Std10dot6NotCalc" localSheetId="13">'IWP13'!$J$238</definedName>
    <definedName name="Std10dot6NotCalc" localSheetId="14">'IWP14'!$J$238</definedName>
    <definedName name="Std10dot6NotCalc" localSheetId="15">'IWP15'!$J$238</definedName>
    <definedName name="Std10dot6NotCalc" localSheetId="16">'IWP16'!$J$238</definedName>
    <definedName name="Std10dot6NotCalc" localSheetId="17">'IWP17'!$J$238</definedName>
    <definedName name="Std10dot6NotCalc" localSheetId="18">'IWP18'!$J$238</definedName>
    <definedName name="Std10dot6NotCalc" localSheetId="19">'IWP19'!$J$238</definedName>
    <definedName name="Std10dot6NotCalc" localSheetId="20">'IWP20'!$J$238</definedName>
    <definedName name="Std10dot6NotCalc" localSheetId="21">'IWP21'!$J$238</definedName>
    <definedName name="Std10dot6NotCalc" localSheetId="22">'IWP22'!$J$238</definedName>
    <definedName name="Std10dot6NotCalc" localSheetId="23">'IWP23'!$J$238</definedName>
    <definedName name="Std10dot6NotCalc" localSheetId="24">'IWP24'!$J$238</definedName>
    <definedName name="Std10dot6NotCalc" localSheetId="25">'IWP25'!$J$238</definedName>
    <definedName name="Std10dot6NotCalc" localSheetId="26">'IWP26'!$J$238</definedName>
    <definedName name="Std10dot6NotCalc" localSheetId="27">'IWP27'!$J$238</definedName>
    <definedName name="Std10dot6NotCalc" localSheetId="28">'IWP28'!$J$238</definedName>
    <definedName name="Std10dot6NotCalc" localSheetId="29">'IWP29'!$J$238</definedName>
    <definedName name="Std10dot6NotCalc" localSheetId="30">'IWP30'!$J$238</definedName>
    <definedName name="Std10dot6NotCalc">#REF!</definedName>
    <definedName name="Std10dot6TotRfndDue" localSheetId="1">'IWP01'!$H$242</definedName>
    <definedName name="Std10dot6TotRfndDue" localSheetId="2">'IWP02'!$H$242</definedName>
    <definedName name="Std10dot6TotRfndDue" localSheetId="3">'IWP03'!$H$242</definedName>
    <definedName name="Std10dot6TotRfndDue" localSheetId="4">'IWP04'!$H$242</definedName>
    <definedName name="Std10dot6TotRfndDue" localSheetId="5">'IWP05'!$H$242</definedName>
    <definedName name="Std10dot6TotRfndDue" localSheetId="6">'IWP06'!$H$242</definedName>
    <definedName name="Std10dot6TotRfndDue" localSheetId="7">'IWP07'!$H$242</definedName>
    <definedName name="Std10dot6TotRfndDue" localSheetId="8">'IWP08'!$H$242</definedName>
    <definedName name="Std10dot6TotRfndDue" localSheetId="9">'IWP09'!$H$242</definedName>
    <definedName name="Std10dot6TotRfndDue" localSheetId="10">'IWP10'!$H$242</definedName>
    <definedName name="Std10dot6TotRfndDue" localSheetId="11">'IWP11'!$H$242</definedName>
    <definedName name="Std10dot6TotRfndDue" localSheetId="12">'IWP12'!$H$242</definedName>
    <definedName name="Std10dot6TotRfndDue" localSheetId="13">'IWP13'!$H$242</definedName>
    <definedName name="Std10dot6TotRfndDue" localSheetId="14">'IWP14'!$H$242</definedName>
    <definedName name="Std10dot6TotRfndDue" localSheetId="15">'IWP15'!$H$242</definedName>
    <definedName name="Std10dot6TotRfndDue" localSheetId="16">'IWP16'!$H$242</definedName>
    <definedName name="Std10dot6TotRfndDue" localSheetId="17">'IWP17'!$H$242</definedName>
    <definedName name="Std10dot6TotRfndDue" localSheetId="18">'IWP18'!$H$242</definedName>
    <definedName name="Std10dot6TotRfndDue" localSheetId="19">'IWP19'!$H$242</definedName>
    <definedName name="Std10dot6TotRfndDue" localSheetId="20">'IWP20'!$H$242</definedName>
    <definedName name="Std10dot6TotRfndDue" localSheetId="21">'IWP21'!$H$242</definedName>
    <definedName name="Std10dot6TotRfndDue" localSheetId="22">'IWP22'!$H$242</definedName>
    <definedName name="Std10dot6TotRfndDue" localSheetId="23">'IWP23'!$H$242</definedName>
    <definedName name="Std10dot6TotRfndDue" localSheetId="24">'IWP24'!$H$242</definedName>
    <definedName name="Std10dot6TotRfndDue" localSheetId="25">'IWP25'!$H$242</definedName>
    <definedName name="Std10dot6TotRfndDue" localSheetId="26">'IWP26'!$H$242</definedName>
    <definedName name="Std10dot6TotRfndDue" localSheetId="27">'IWP27'!$H$242</definedName>
    <definedName name="Std10dot6TotRfndDue" localSheetId="28">'IWP28'!$H$242</definedName>
    <definedName name="Std10dot6TotRfndDue" localSheetId="29">'IWP29'!$H$242</definedName>
    <definedName name="Std10dot6TotRfndDue" localSheetId="30">'IWP30'!$H$242</definedName>
    <definedName name="Std10dot6TotRfndDue">#REF!</definedName>
    <definedName name="Std10dot6TrustFundAmtDue" localSheetId="1">'IWP01'!$D$242</definedName>
    <definedName name="Std10dot6TrustFundAmtDue" localSheetId="2">'IWP02'!$D$242</definedName>
    <definedName name="Std10dot6TrustFundAmtDue" localSheetId="3">'IWP03'!$D$242</definedName>
    <definedName name="Std10dot6TrustFundAmtDue" localSheetId="4">'IWP04'!$D$242</definedName>
    <definedName name="Std10dot6TrustFundAmtDue" localSheetId="5">'IWP05'!$D$242</definedName>
    <definedName name="Std10dot6TrustFundAmtDue" localSheetId="6">'IWP06'!$D$242</definedName>
    <definedName name="Std10dot6TrustFundAmtDue" localSheetId="7">'IWP07'!$D$242</definedName>
    <definedName name="Std10dot6TrustFundAmtDue" localSheetId="8">'IWP08'!$D$242</definedName>
    <definedName name="Std10dot6TrustFundAmtDue" localSheetId="9">'IWP09'!$D$242</definedName>
    <definedName name="Std10dot6TrustFundAmtDue" localSheetId="10">'IWP10'!$D$242</definedName>
    <definedName name="Std10dot6TrustFundAmtDue" localSheetId="11">'IWP11'!$D$242</definedName>
    <definedName name="Std10dot6TrustFundAmtDue" localSheetId="12">'IWP12'!$D$242</definedName>
    <definedName name="Std10dot6TrustFundAmtDue" localSheetId="13">'IWP13'!$D$242</definedName>
    <definedName name="Std10dot6TrustFundAmtDue" localSheetId="14">'IWP14'!$D$242</definedName>
    <definedName name="Std10dot6TrustFundAmtDue" localSheetId="15">'IWP15'!$D$242</definedName>
    <definedName name="Std10dot6TrustFundAmtDue" localSheetId="16">'IWP16'!$D$242</definedName>
    <definedName name="Std10dot6TrustFundAmtDue" localSheetId="17">'IWP17'!$D$242</definedName>
    <definedName name="Std10dot6TrustFundAmtDue" localSheetId="18">'IWP18'!$D$242</definedName>
    <definedName name="Std10dot6TrustFundAmtDue" localSheetId="19">'IWP19'!$D$242</definedName>
    <definedName name="Std10dot6TrustFundAmtDue" localSheetId="20">'IWP20'!$D$242</definedName>
    <definedName name="Std10dot6TrustFundAmtDue" localSheetId="21">'IWP21'!$D$242</definedName>
    <definedName name="Std10dot6TrustFundAmtDue" localSheetId="22">'IWP22'!$D$242</definedName>
    <definedName name="Std10dot6TrustFundAmtDue" localSheetId="23">'IWP23'!$D$242</definedName>
    <definedName name="Std10dot6TrustFundAmtDue" localSheetId="24">'IWP24'!$D$242</definedName>
    <definedName name="Std10dot6TrustFundAmtDue" localSheetId="25">'IWP25'!$D$242</definedName>
    <definedName name="Std10dot6TrustFundAmtDue" localSheetId="26">'IWP26'!$D$242</definedName>
    <definedName name="Std10dot6TrustFundAmtDue" localSheetId="27">'IWP27'!$D$242</definedName>
    <definedName name="Std10dot6TrustFundAmtDue" localSheetId="28">'IWP28'!$D$242</definedName>
    <definedName name="Std10dot6TrustFundAmtDue" localSheetId="29">'IWP29'!$D$242</definedName>
    <definedName name="Std10dot6TrustFundAmtDue" localSheetId="30">'IWP30'!$D$242</definedName>
    <definedName name="Std10dot6TrustFundAmtDue">#REF!</definedName>
    <definedName name="Std10Score" localSheetId="38">'ALRC Compliance Summary (Print)'!$J$31</definedName>
    <definedName name="Std11dot1" localSheetId="1">'IWP01'!$J$326</definedName>
    <definedName name="Std11dot1" localSheetId="2">'IWP02'!$J$326</definedName>
    <definedName name="Std11dot1" localSheetId="3">'IWP03'!$J$326</definedName>
    <definedName name="Std11dot1" localSheetId="4">'IWP04'!$J$326</definedName>
    <definedName name="Std11dot1" localSheetId="5">'IWP05'!$J$326</definedName>
    <definedName name="Std11dot1" localSheetId="6">'IWP06'!$J$326</definedName>
    <definedName name="Std11dot1" localSheetId="7">'IWP07'!$J$326</definedName>
    <definedName name="Std11dot1" localSheetId="8">'IWP08'!$J$326</definedName>
    <definedName name="Std11dot1" localSheetId="9">'IWP09'!$J$326</definedName>
    <definedName name="Std11dot1" localSheetId="10">'IWP10'!$J$326</definedName>
    <definedName name="Std11dot1" localSheetId="11">'IWP11'!$J$326</definedName>
    <definedName name="Std11dot1" localSheetId="12">'IWP12'!$J$326</definedName>
    <definedName name="Std11dot1" localSheetId="13">'IWP13'!$J$326</definedName>
    <definedName name="Std11dot1" localSheetId="14">'IWP14'!$J$326</definedName>
    <definedName name="Std11dot1" localSheetId="15">'IWP15'!$J$326</definedName>
    <definedName name="Std11dot1" localSheetId="16">'IWP16'!$J$326</definedName>
    <definedName name="Std11dot1" localSheetId="17">'IWP17'!$J$326</definedName>
    <definedName name="Std11dot1" localSheetId="18">'IWP18'!$J$326</definedName>
    <definedName name="Std11dot1" localSheetId="19">'IWP19'!$J$326</definedName>
    <definedName name="Std11dot1" localSheetId="20">'IWP20'!$J$326</definedName>
    <definedName name="Std11dot1" localSheetId="21">'IWP21'!$J$326</definedName>
    <definedName name="Std11dot1" localSheetId="22">'IWP22'!$J$326</definedName>
    <definedName name="Std11dot1" localSheetId="23">'IWP23'!$J$326</definedName>
    <definedName name="Std11dot1" localSheetId="24">'IWP24'!$J$326</definedName>
    <definedName name="Std11dot1" localSheetId="25">'IWP25'!$J$326</definedName>
    <definedName name="Std11dot1" localSheetId="26">'IWP26'!$J$326</definedName>
    <definedName name="Std11dot1" localSheetId="27">'IWP27'!$J$326</definedName>
    <definedName name="Std11dot1" localSheetId="28">'IWP28'!$J$326</definedName>
    <definedName name="Std11dot1" localSheetId="29">'IWP29'!$J$326</definedName>
    <definedName name="Std11dot1" localSheetId="30">'IWP30'!$J$326</definedName>
    <definedName name="Std11dot1">#REF!</definedName>
    <definedName name="Std11dot1a" localSheetId="1">'IWP01'!$J$304</definedName>
    <definedName name="Std11dot1a" localSheetId="2">'IWP02'!$J$304</definedName>
    <definedName name="Std11dot1a" localSheetId="3">'IWP03'!$J$304</definedName>
    <definedName name="Std11dot1a" localSheetId="4">'IWP04'!$J$304</definedName>
    <definedName name="Std11dot1a" localSheetId="5">'IWP05'!$J$304</definedName>
    <definedName name="Std11dot1a" localSheetId="6">'IWP06'!$J$304</definedName>
    <definedName name="Std11dot1a" localSheetId="7">'IWP07'!$J$304</definedName>
    <definedName name="Std11dot1a" localSheetId="8">'IWP08'!$J$304</definedName>
    <definedName name="Std11dot1a" localSheetId="9">'IWP09'!$J$304</definedName>
    <definedName name="Std11dot1a" localSheetId="10">'IWP10'!$J$304</definedName>
    <definedName name="Std11dot1a" localSheetId="11">'IWP11'!$J$304</definedName>
    <definedName name="Std11dot1a" localSheetId="12">'IWP12'!$J$304</definedName>
    <definedName name="Std11dot1a" localSheetId="13">'IWP13'!$J$304</definedName>
    <definedName name="Std11dot1a" localSheetId="14">'IWP14'!$J$304</definedName>
    <definedName name="Std11dot1a" localSheetId="15">'IWP15'!$J$304</definedName>
    <definedName name="Std11dot1a" localSheetId="16">'IWP16'!$J$304</definedName>
    <definedName name="Std11dot1a" localSheetId="17">'IWP17'!$J$304</definedName>
    <definedName name="Std11dot1a" localSheetId="18">'IWP18'!$J$304</definedName>
    <definedName name="Std11dot1a" localSheetId="19">'IWP19'!$J$304</definedName>
    <definedName name="Std11dot1a" localSheetId="20">'IWP20'!$J$304</definedName>
    <definedName name="Std11dot1a" localSheetId="21">'IWP21'!$J$304</definedName>
    <definedName name="Std11dot1a" localSheetId="22">'IWP22'!$J$304</definedName>
    <definedName name="Std11dot1a" localSheetId="23">'IWP23'!$J$304</definedName>
    <definedName name="Std11dot1a" localSheetId="24">'IWP24'!$J$304</definedName>
    <definedName name="Std11dot1a" localSheetId="25">'IWP25'!$J$304</definedName>
    <definedName name="Std11dot1a" localSheetId="26">'IWP26'!$J$304</definedName>
    <definedName name="Std11dot1a" localSheetId="27">'IWP27'!$J$304</definedName>
    <definedName name="Std11dot1a" localSheetId="28">'IWP28'!$J$304</definedName>
    <definedName name="Std11dot1a" localSheetId="29">'IWP29'!$J$304</definedName>
    <definedName name="Std11dot1a" localSheetId="30">'IWP30'!$J$304</definedName>
    <definedName name="Std11dot1a">#REF!</definedName>
    <definedName name="Std11dot1aNotCalc" localSheetId="1">'IWP01'!$J$251</definedName>
    <definedName name="Std11dot1aNotCalc" localSheetId="2">'IWP02'!$J$251</definedName>
    <definedName name="Std11dot1aNotCalc" localSheetId="3">'IWP03'!$J$251</definedName>
    <definedName name="Std11dot1aNotCalc" localSheetId="4">'IWP04'!$J$251</definedName>
    <definedName name="Std11dot1aNotCalc" localSheetId="5">'IWP05'!$J$251</definedName>
    <definedName name="Std11dot1aNotCalc" localSheetId="6">'IWP06'!$J$251</definedName>
    <definedName name="Std11dot1aNotCalc" localSheetId="7">'IWP07'!$J$251</definedName>
    <definedName name="Std11dot1aNotCalc" localSheetId="8">'IWP08'!$J$251</definedName>
    <definedName name="Std11dot1aNotCalc" localSheetId="9">'IWP09'!$J$251</definedName>
    <definedName name="Std11dot1aNotCalc" localSheetId="10">'IWP10'!$J$251</definedName>
    <definedName name="Std11dot1aNotCalc" localSheetId="11">'IWP11'!$J$251</definedName>
    <definedName name="Std11dot1aNotCalc" localSheetId="12">'IWP12'!$J$251</definedName>
    <definedName name="Std11dot1aNotCalc" localSheetId="13">'IWP13'!$J$251</definedName>
    <definedName name="Std11dot1aNotCalc" localSheetId="14">'IWP14'!$J$251</definedName>
    <definedName name="Std11dot1aNotCalc" localSheetId="15">'IWP15'!$J$251</definedName>
    <definedName name="Std11dot1aNotCalc" localSheetId="16">'IWP16'!$J$251</definedName>
    <definedName name="Std11dot1aNotCalc" localSheetId="17">'IWP17'!$J$251</definedName>
    <definedName name="Std11dot1aNotCalc" localSheetId="18">'IWP18'!$J$251</definedName>
    <definedName name="Std11dot1aNotCalc" localSheetId="19">'IWP19'!$J$251</definedName>
    <definedName name="Std11dot1aNotCalc" localSheetId="20">'IWP20'!$J$251</definedName>
    <definedName name="Std11dot1aNotCalc" localSheetId="21">'IWP21'!$J$251</definedName>
    <definedName name="Std11dot1aNotCalc" localSheetId="22">'IWP22'!$J$251</definedName>
    <definedName name="Std11dot1aNotCalc" localSheetId="23">'IWP23'!$J$251</definedName>
    <definedName name="Std11dot1aNotCalc" localSheetId="24">'IWP24'!$J$251</definedName>
    <definedName name="Std11dot1aNotCalc" localSheetId="25">'IWP25'!$J$251</definedName>
    <definedName name="Std11dot1aNotCalc" localSheetId="26">'IWP26'!$J$251</definedName>
    <definedName name="Std11dot1aNotCalc" localSheetId="27">'IWP27'!$J$251</definedName>
    <definedName name="Std11dot1aNotCalc" localSheetId="28">'IWP28'!$J$251</definedName>
    <definedName name="Std11dot1aNotCalc" localSheetId="29">'IWP29'!$J$251</definedName>
    <definedName name="Std11dot1aNotCalc" localSheetId="30">'IWP30'!$J$251</definedName>
    <definedName name="Std11dot1aNotCalc">#REF!</definedName>
    <definedName name="Std11dot1AptGrandFthr" localSheetId="1">'IWP01'!$J$286</definedName>
    <definedName name="Std11dot1AptGrandFthr" localSheetId="2">'IWP02'!$J$286</definedName>
    <definedName name="Std11dot1AptGrandFthr" localSheetId="3">'IWP03'!$J$286</definedName>
    <definedName name="Std11dot1AptGrandFthr" localSheetId="4">'IWP04'!$J$286</definedName>
    <definedName name="Std11dot1AptGrandFthr" localSheetId="5">'IWP05'!$J$286</definedName>
    <definedName name="Std11dot1AptGrandFthr" localSheetId="6">'IWP06'!$J$286</definedName>
    <definedName name="Std11dot1AptGrandFthr" localSheetId="7">'IWP07'!$J$286</definedName>
    <definedName name="Std11dot1AptGrandFthr" localSheetId="8">'IWP08'!$J$286</definedName>
    <definedName name="Std11dot1AptGrandFthr" localSheetId="9">'IWP09'!$J$286</definedName>
    <definedName name="Std11dot1AptGrandFthr" localSheetId="10">'IWP10'!$J$286</definedName>
    <definedName name="Std11dot1AptGrandFthr" localSheetId="11">'IWP11'!$J$286</definedName>
    <definedName name="Std11dot1AptGrandFthr" localSheetId="12">'IWP12'!$J$286</definedName>
    <definedName name="Std11dot1AptGrandFthr" localSheetId="13">'IWP13'!$J$286</definedName>
    <definedName name="Std11dot1AptGrandFthr" localSheetId="14">'IWP14'!$J$286</definedName>
    <definedName name="Std11dot1AptGrandFthr" localSheetId="15">'IWP15'!$J$286</definedName>
    <definedName name="Std11dot1AptGrandFthr" localSheetId="16">'IWP16'!$J$286</definedName>
    <definedName name="Std11dot1AptGrandFthr" localSheetId="17">'IWP17'!$J$286</definedName>
    <definedName name="Std11dot1AptGrandFthr" localSheetId="18">'IWP18'!$J$286</definedName>
    <definedName name="Std11dot1AptGrandFthr" localSheetId="19">'IWP19'!$J$286</definedName>
    <definedName name="Std11dot1AptGrandFthr" localSheetId="20">'IWP20'!$J$286</definedName>
    <definedName name="Std11dot1AptGrandFthr" localSheetId="21">'IWP21'!$J$286</definedName>
    <definedName name="Std11dot1AptGrandFthr" localSheetId="22">'IWP22'!$J$286</definedName>
    <definedName name="Std11dot1AptGrandFthr" localSheetId="23">'IWP23'!$J$286</definedName>
    <definedName name="Std11dot1AptGrandFthr" localSheetId="24">'IWP24'!$J$286</definedName>
    <definedName name="Std11dot1AptGrandFthr" localSheetId="25">'IWP25'!$J$286</definedName>
    <definedName name="Std11dot1AptGrandFthr" localSheetId="26">'IWP26'!$J$286</definedName>
    <definedName name="Std11dot1AptGrandFthr" localSheetId="27">'IWP27'!$J$286</definedName>
    <definedName name="Std11dot1AptGrandFthr" localSheetId="28">'IWP28'!$J$286</definedName>
    <definedName name="Std11dot1AptGrandFthr" localSheetId="29">'IWP29'!$J$286</definedName>
    <definedName name="Std11dot1AptGrandFthr" localSheetId="30">'IWP30'!$J$286</definedName>
    <definedName name="Std11dot1AptGrandFthr">#REF!</definedName>
    <definedName name="Std11dot1b" localSheetId="1">'IWP01'!$J$305</definedName>
    <definedName name="Std11dot1b" localSheetId="2">'IWP02'!$J$305</definedName>
    <definedName name="Std11dot1b" localSheetId="3">'IWP03'!$J$305</definedName>
    <definedName name="Std11dot1b" localSheetId="4">'IWP04'!$J$305</definedName>
    <definedName name="Std11dot1b" localSheetId="5">'IWP05'!$J$305</definedName>
    <definedName name="Std11dot1b" localSheetId="6">'IWP06'!$J$305</definedName>
    <definedName name="Std11dot1b" localSheetId="7">'IWP07'!$J$305</definedName>
    <definedName name="Std11dot1b" localSheetId="8">'IWP08'!$J$305</definedName>
    <definedName name="Std11dot1b" localSheetId="9">'IWP09'!$J$305</definedName>
    <definedName name="Std11dot1b" localSheetId="10">'IWP10'!$J$305</definedName>
    <definedName name="Std11dot1b" localSheetId="11">'IWP11'!$J$305</definedName>
    <definedName name="Std11dot1b" localSheetId="12">'IWP12'!$J$305</definedName>
    <definedName name="Std11dot1b" localSheetId="13">'IWP13'!$J$305</definedName>
    <definedName name="Std11dot1b" localSheetId="14">'IWP14'!$J$305</definedName>
    <definedName name="Std11dot1b" localSheetId="15">'IWP15'!$J$305</definedName>
    <definedName name="Std11dot1b" localSheetId="16">'IWP16'!$J$305</definedName>
    <definedName name="Std11dot1b" localSheetId="17">'IWP17'!$J$305</definedName>
    <definedName name="Std11dot1b" localSheetId="18">'IWP18'!$J$305</definedName>
    <definedName name="Std11dot1b" localSheetId="19">'IWP19'!$J$305</definedName>
    <definedName name="Std11dot1b" localSheetId="20">'IWP20'!$J$305</definedName>
    <definedName name="Std11dot1b" localSheetId="21">'IWP21'!$J$305</definedName>
    <definedName name="Std11dot1b" localSheetId="22">'IWP22'!$J$305</definedName>
    <definedName name="Std11dot1b" localSheetId="23">'IWP23'!$J$305</definedName>
    <definedName name="Std11dot1b" localSheetId="24">'IWP24'!$J$305</definedName>
    <definedName name="Std11dot1b" localSheetId="25">'IWP25'!$J$305</definedName>
    <definedName name="Std11dot1b" localSheetId="26">'IWP26'!$J$305</definedName>
    <definedName name="Std11dot1b" localSheetId="27">'IWP27'!$J$305</definedName>
    <definedName name="Std11dot1b" localSheetId="28">'IWP28'!$J$305</definedName>
    <definedName name="Std11dot1b" localSheetId="29">'IWP29'!$J$305</definedName>
    <definedName name="Std11dot1b" localSheetId="30">'IWP30'!$J$305</definedName>
    <definedName name="Std11dot1b">#REF!</definedName>
    <definedName name="Std11dot1BathSink" localSheetId="1">'IWP01'!$F$283</definedName>
    <definedName name="Std11dot1BathSink" localSheetId="2">'IWP02'!$F$283</definedName>
    <definedName name="Std11dot1BathSink" localSheetId="3">'IWP03'!$F$283</definedName>
    <definedName name="Std11dot1BathSink" localSheetId="4">'IWP04'!$F$283</definedName>
    <definedName name="Std11dot1BathSink" localSheetId="5">'IWP05'!$F$283</definedName>
    <definedName name="Std11dot1BathSink" localSheetId="6">'IWP06'!$F$283</definedName>
    <definedName name="Std11dot1BathSink" localSheetId="7">'IWP07'!$F$283</definedName>
    <definedName name="Std11dot1BathSink" localSheetId="8">'IWP08'!$F$283</definedName>
    <definedName name="Std11dot1BathSink" localSheetId="9">'IWP09'!$F$283</definedName>
    <definedName name="Std11dot1BathSink" localSheetId="10">'IWP10'!$F$283</definedName>
    <definedName name="Std11dot1BathSink" localSheetId="11">'IWP11'!$F$283</definedName>
    <definedName name="Std11dot1BathSink" localSheetId="12">'IWP12'!$F$283</definedName>
    <definedName name="Std11dot1BathSink" localSheetId="13">'IWP13'!$F$283</definedName>
    <definedName name="Std11dot1BathSink" localSheetId="14">'IWP14'!$F$283</definedName>
    <definedName name="Std11dot1BathSink" localSheetId="15">'IWP15'!$F$283</definedName>
    <definedName name="Std11dot1BathSink" localSheetId="16">'IWP16'!$F$283</definedName>
    <definedName name="Std11dot1BathSink" localSheetId="17">'IWP17'!$F$283</definedName>
    <definedName name="Std11dot1BathSink" localSheetId="18">'IWP18'!$F$283</definedName>
    <definedName name="Std11dot1BathSink" localSheetId="19">'IWP19'!$F$283</definedName>
    <definedName name="Std11dot1BathSink" localSheetId="20">'IWP20'!$F$283</definedName>
    <definedName name="Std11dot1BathSink" localSheetId="21">'IWP21'!$F$283</definedName>
    <definedName name="Std11dot1BathSink" localSheetId="22">'IWP22'!$F$283</definedName>
    <definedName name="Std11dot1BathSink" localSheetId="23">'IWP23'!$F$283</definedName>
    <definedName name="Std11dot1BathSink" localSheetId="24">'IWP24'!$F$283</definedName>
    <definedName name="Std11dot1BathSink" localSheetId="25">'IWP25'!$F$283</definedName>
    <definedName name="Std11dot1BathSink" localSheetId="26">'IWP26'!$F$283</definedName>
    <definedName name="Std11dot1BathSink" localSheetId="27">'IWP27'!$F$283</definedName>
    <definedName name="Std11dot1BathSink" localSheetId="28">'IWP28'!$F$283</definedName>
    <definedName name="Std11dot1BathSink" localSheetId="29">'IWP29'!$F$283</definedName>
    <definedName name="Std11dot1BathSink" localSheetId="30">'IWP30'!$F$283</definedName>
    <definedName name="Std11dot1BathSink">#REF!</definedName>
    <definedName name="Std11dot1BdrmLength" localSheetId="1">'IWP01'!$H$275</definedName>
    <definedName name="Std11dot1BdrmLength" localSheetId="2">'IWP02'!$H$275</definedName>
    <definedName name="Std11dot1BdrmLength" localSheetId="3">'IWP03'!$H$275</definedName>
    <definedName name="Std11dot1BdrmLength" localSheetId="4">'IWP04'!$H$275</definedName>
    <definedName name="Std11dot1BdrmLength" localSheetId="5">'IWP05'!$H$275</definedName>
    <definedName name="Std11dot1BdrmLength" localSheetId="6">'IWP06'!$H$275</definedName>
    <definedName name="Std11dot1BdrmLength" localSheetId="7">'IWP07'!$H$275</definedName>
    <definedName name="Std11dot1BdrmLength" localSheetId="8">'IWP08'!$H$275</definedName>
    <definedName name="Std11dot1BdrmLength" localSheetId="9">'IWP09'!$H$275</definedName>
    <definedName name="Std11dot1BdrmLength" localSheetId="10">'IWP10'!$H$275</definedName>
    <definedName name="Std11dot1BdrmLength" localSheetId="11">'IWP11'!$H$275</definedName>
    <definedName name="Std11dot1BdrmLength" localSheetId="12">'IWP12'!$H$275</definedName>
    <definedName name="Std11dot1BdrmLength" localSheetId="13">'IWP13'!$H$275</definedName>
    <definedName name="Std11dot1BdrmLength" localSheetId="14">'IWP14'!$H$275</definedName>
    <definedName name="Std11dot1BdrmLength" localSheetId="15">'IWP15'!$H$275</definedName>
    <definedName name="Std11dot1BdrmLength" localSheetId="16">'IWP16'!$H$275</definedName>
    <definedName name="Std11dot1BdrmLength" localSheetId="17">'IWP17'!$H$275</definedName>
    <definedName name="Std11dot1BdrmLength" localSheetId="18">'IWP18'!$H$275</definedName>
    <definedName name="Std11dot1BdrmLength" localSheetId="19">'IWP19'!$H$275</definedName>
    <definedName name="Std11dot1BdrmLength" localSheetId="20">'IWP20'!$H$275</definedName>
    <definedName name="Std11dot1BdrmLength" localSheetId="21">'IWP21'!$H$275</definedName>
    <definedName name="Std11dot1BdrmLength" localSheetId="22">'IWP22'!$H$275</definedName>
    <definedName name="Std11dot1BdrmLength" localSheetId="23">'IWP23'!$H$275</definedName>
    <definedName name="Std11dot1BdrmLength" localSheetId="24">'IWP24'!$H$275</definedName>
    <definedName name="Std11dot1BdrmLength" localSheetId="25">'IWP25'!$H$275</definedName>
    <definedName name="Std11dot1BdrmLength" localSheetId="26">'IWP26'!$H$275</definedName>
    <definedName name="Std11dot1BdrmLength" localSheetId="27">'IWP27'!$H$275</definedName>
    <definedName name="Std11dot1BdrmLength" localSheetId="28">'IWP28'!$H$275</definedName>
    <definedName name="Std11dot1BdrmLength" localSheetId="29">'IWP29'!$H$275</definedName>
    <definedName name="Std11dot1BdrmLength" localSheetId="30">'IWP30'!$H$275</definedName>
    <definedName name="Std11dot1BdrmLength">#REF!</definedName>
    <definedName name="Std11dot1BdrmSqFt" localSheetId="1">'IWP01'!$I$275</definedName>
    <definedName name="Std11dot1BdrmSqFt" localSheetId="2">'IWP02'!$I$275</definedName>
    <definedName name="Std11dot1BdrmSqFt" localSheetId="3">'IWP03'!$I$275</definedName>
    <definedName name="Std11dot1BdrmSqFt" localSheetId="4">'IWP04'!$I$275</definedName>
    <definedName name="Std11dot1BdrmSqFt" localSheetId="5">'IWP05'!$I$275</definedName>
    <definedName name="Std11dot1BdrmSqFt" localSheetId="6">'IWP06'!$I$275</definedName>
    <definedName name="Std11dot1BdrmSqFt" localSheetId="7">'IWP07'!$I$275</definedName>
    <definedName name="Std11dot1BdrmSqFt" localSheetId="8">'IWP08'!$I$275</definedName>
    <definedName name="Std11dot1BdrmSqFt" localSheetId="9">'IWP09'!$I$275</definedName>
    <definedName name="Std11dot1BdrmSqFt" localSheetId="10">'IWP10'!$I$275</definedName>
    <definedName name="Std11dot1BdrmSqFt" localSheetId="11">'IWP11'!$I$275</definedName>
    <definedName name="Std11dot1BdrmSqFt" localSheetId="12">'IWP12'!$I$275</definedName>
    <definedName name="Std11dot1BdrmSqFt" localSheetId="13">'IWP13'!$I$275</definedName>
    <definedName name="Std11dot1BdrmSqFt" localSheetId="14">'IWP14'!$I$275</definedName>
    <definedName name="Std11dot1BdrmSqFt" localSheetId="15">'IWP15'!$I$275</definedName>
    <definedName name="Std11dot1BdrmSqFt" localSheetId="16">'IWP16'!$I$275</definedName>
    <definedName name="Std11dot1BdrmSqFt" localSheetId="17">'IWP17'!$I$275</definedName>
    <definedName name="Std11dot1BdrmSqFt" localSheetId="18">'IWP18'!$I$275</definedName>
    <definedName name="Std11dot1BdrmSqFt" localSheetId="19">'IWP19'!$I$275</definedName>
    <definedName name="Std11dot1BdrmSqFt" localSheetId="20">'IWP20'!$I$275</definedName>
    <definedName name="Std11dot1BdrmSqFt" localSheetId="21">'IWP21'!$I$275</definedName>
    <definedName name="Std11dot1BdrmSqFt" localSheetId="22">'IWP22'!$I$275</definedName>
    <definedName name="Std11dot1BdrmSqFt" localSheetId="23">'IWP23'!$I$275</definedName>
    <definedName name="Std11dot1BdrmSqFt" localSheetId="24">'IWP24'!$I$275</definedName>
    <definedName name="Std11dot1BdrmSqFt" localSheetId="25">'IWP25'!$I$275</definedName>
    <definedName name="Std11dot1BdrmSqFt" localSheetId="26">'IWP26'!$I$275</definedName>
    <definedName name="Std11dot1BdrmSqFt" localSheetId="27">'IWP27'!$I$275</definedName>
    <definedName name="Std11dot1BdrmSqFt" localSheetId="28">'IWP28'!$I$275</definedName>
    <definedName name="Std11dot1BdrmSqFt" localSheetId="29">'IWP29'!$I$275</definedName>
    <definedName name="Std11dot1BdrmSqFt" localSheetId="30">'IWP30'!$I$275</definedName>
    <definedName name="Std11dot1BdrmSqFt">#REF!</definedName>
    <definedName name="Std11dot1BdrmWidth" localSheetId="1">'IWP01'!$G$275</definedName>
    <definedName name="Std11dot1BdrmWidth" localSheetId="2">'IWP02'!$G$275</definedName>
    <definedName name="Std11dot1BdrmWidth" localSheetId="3">'IWP03'!$G$275</definedName>
    <definedName name="Std11dot1BdrmWidth" localSheetId="4">'IWP04'!$G$275</definedName>
    <definedName name="Std11dot1BdrmWidth" localSheetId="5">'IWP05'!$G$275</definedName>
    <definedName name="Std11dot1BdrmWidth" localSheetId="6">'IWP06'!$G$275</definedName>
    <definedName name="Std11dot1BdrmWidth" localSheetId="7">'IWP07'!$G$275</definedName>
    <definedName name="Std11dot1BdrmWidth" localSheetId="8">'IWP08'!$G$275</definedName>
    <definedName name="Std11dot1BdrmWidth" localSheetId="9">'IWP09'!$G$275</definedName>
    <definedName name="Std11dot1BdrmWidth" localSheetId="10">'IWP10'!$G$275</definedName>
    <definedName name="Std11dot1BdrmWidth" localSheetId="11">'IWP11'!$G$275</definedName>
    <definedName name="Std11dot1BdrmWidth" localSheetId="12">'IWP12'!$G$275</definedName>
    <definedName name="Std11dot1BdrmWidth" localSheetId="13">'IWP13'!$G$275</definedName>
    <definedName name="Std11dot1BdrmWidth" localSheetId="14">'IWP14'!$G$275</definedName>
    <definedName name="Std11dot1BdrmWidth" localSheetId="15">'IWP15'!$G$275</definedName>
    <definedName name="Std11dot1BdrmWidth" localSheetId="16">'IWP16'!$G$275</definedName>
    <definedName name="Std11dot1BdrmWidth" localSheetId="17">'IWP17'!$G$275</definedName>
    <definedName name="Std11dot1BdrmWidth" localSheetId="18">'IWP18'!$G$275</definedName>
    <definedName name="Std11dot1BdrmWidth" localSheetId="19">'IWP19'!$G$275</definedName>
    <definedName name="Std11dot1BdrmWidth" localSheetId="20">'IWP20'!$G$275</definedName>
    <definedName name="Std11dot1BdrmWidth" localSheetId="21">'IWP21'!$G$275</definedName>
    <definedName name="Std11dot1BdrmWidth" localSheetId="22">'IWP22'!$G$275</definedName>
    <definedName name="Std11dot1BdrmWidth" localSheetId="23">'IWP23'!$G$275</definedName>
    <definedName name="Std11dot1BdrmWidth" localSheetId="24">'IWP24'!$G$275</definedName>
    <definedName name="Std11dot1BdrmWidth" localSheetId="25">'IWP25'!$G$275</definedName>
    <definedName name="Std11dot1BdrmWidth" localSheetId="26">'IWP26'!$G$275</definedName>
    <definedName name="Std11dot1BdrmWidth" localSheetId="27">'IWP27'!$G$275</definedName>
    <definedName name="Std11dot1BdrmWidth" localSheetId="28">'IWP28'!$G$275</definedName>
    <definedName name="Std11dot1BdrmWidth" localSheetId="29">'IWP29'!$G$275</definedName>
    <definedName name="Std11dot1BdrmWidth" localSheetId="30">'IWP30'!$G$275</definedName>
    <definedName name="Std11dot1BdrmWidth">#REF!</definedName>
    <definedName name="Std11dot1bNotCalc" localSheetId="1">'IWP01'!$J$254</definedName>
    <definedName name="Std11dot1bNotCalc" localSheetId="2">'IWP02'!$J$254</definedName>
    <definedName name="Std11dot1bNotCalc" localSheetId="3">'IWP03'!$J$254</definedName>
    <definedName name="Std11dot1bNotCalc" localSheetId="4">'IWP04'!$J$254</definedName>
    <definedName name="Std11dot1bNotCalc" localSheetId="5">'IWP05'!$J$254</definedName>
    <definedName name="Std11dot1bNotCalc" localSheetId="6">'IWP06'!$J$254</definedName>
    <definedName name="Std11dot1bNotCalc" localSheetId="7">'IWP07'!$J$254</definedName>
    <definedName name="Std11dot1bNotCalc" localSheetId="8">'IWP08'!$J$254</definedName>
    <definedName name="Std11dot1bNotCalc" localSheetId="9">'IWP09'!$J$254</definedName>
    <definedName name="Std11dot1bNotCalc" localSheetId="10">'IWP10'!$J$254</definedName>
    <definedName name="Std11dot1bNotCalc" localSheetId="11">'IWP11'!$J$254</definedName>
    <definedName name="Std11dot1bNotCalc" localSheetId="12">'IWP12'!$J$254</definedName>
    <definedName name="Std11dot1bNotCalc" localSheetId="13">'IWP13'!$J$254</definedName>
    <definedName name="Std11dot1bNotCalc" localSheetId="14">'IWP14'!$J$254</definedName>
    <definedName name="Std11dot1bNotCalc" localSheetId="15">'IWP15'!$J$254</definedName>
    <definedName name="Std11dot1bNotCalc" localSheetId="16">'IWP16'!$J$254</definedName>
    <definedName name="Std11dot1bNotCalc" localSheetId="17">'IWP17'!$J$254</definedName>
    <definedName name="Std11dot1bNotCalc" localSheetId="18">'IWP18'!$J$254</definedName>
    <definedName name="Std11dot1bNotCalc" localSheetId="19">'IWP19'!$J$254</definedName>
    <definedName name="Std11dot1bNotCalc" localSheetId="20">'IWP20'!$J$254</definedName>
    <definedName name="Std11dot1bNotCalc" localSheetId="21">'IWP21'!$J$254</definedName>
    <definedName name="Std11dot1bNotCalc" localSheetId="22">'IWP22'!$J$254</definedName>
    <definedName name="Std11dot1bNotCalc" localSheetId="23">'IWP23'!$J$254</definedName>
    <definedName name="Std11dot1bNotCalc" localSheetId="24">'IWP24'!$J$254</definedName>
    <definedName name="Std11dot1bNotCalc" localSheetId="25">'IWP25'!$J$254</definedName>
    <definedName name="Std11dot1bNotCalc" localSheetId="26">'IWP26'!$J$254</definedName>
    <definedName name="Std11dot1bNotCalc" localSheetId="27">'IWP27'!$J$254</definedName>
    <definedName name="Std11dot1bNotCalc" localSheetId="28">'IWP28'!$J$254</definedName>
    <definedName name="Std11dot1bNotCalc" localSheetId="29">'IWP29'!$J$254</definedName>
    <definedName name="Std11dot1bNotCalc" localSheetId="30">'IWP30'!$J$254</definedName>
    <definedName name="Std11dot1bNotCalc">#REF!</definedName>
    <definedName name="Std11dot1c" localSheetId="1">'IWP01'!$J$306</definedName>
    <definedName name="Std11dot1c" localSheetId="2">'IWP02'!$J$306</definedName>
    <definedName name="Std11dot1c" localSheetId="3">'IWP03'!$J$306</definedName>
    <definedName name="Std11dot1c" localSheetId="4">'IWP04'!$J$306</definedName>
    <definedName name="Std11dot1c" localSheetId="5">'IWP05'!$J$306</definedName>
    <definedName name="Std11dot1c" localSheetId="6">'IWP06'!$J$306</definedName>
    <definedName name="Std11dot1c" localSheetId="7">'IWP07'!$J$306</definedName>
    <definedName name="Std11dot1c" localSheetId="8">'IWP08'!$J$306</definedName>
    <definedName name="Std11dot1c" localSheetId="9">'IWP09'!$J$306</definedName>
    <definedName name="Std11dot1c" localSheetId="10">'IWP10'!$J$306</definedName>
    <definedName name="Std11dot1c" localSheetId="11">'IWP11'!$J$306</definedName>
    <definedName name="Std11dot1c" localSheetId="12">'IWP12'!$J$306</definedName>
    <definedName name="Std11dot1c" localSheetId="13">'IWP13'!$J$306</definedName>
    <definedName name="Std11dot1c" localSheetId="14">'IWP14'!$J$306</definedName>
    <definedName name="Std11dot1c" localSheetId="15">'IWP15'!$J$306</definedName>
    <definedName name="Std11dot1c" localSheetId="16">'IWP16'!$J$306</definedName>
    <definedName name="Std11dot1c" localSheetId="17">'IWP17'!$J$306</definedName>
    <definedName name="Std11dot1c" localSheetId="18">'IWP18'!$J$306</definedName>
    <definedName name="Std11dot1c" localSheetId="19">'IWP19'!$J$306</definedName>
    <definedName name="Std11dot1c" localSheetId="20">'IWP20'!$J$306</definedName>
    <definedName name="Std11dot1c" localSheetId="21">'IWP21'!$J$306</definedName>
    <definedName name="Std11dot1c" localSheetId="22">'IWP22'!$J$306</definedName>
    <definedName name="Std11dot1c" localSheetId="23">'IWP23'!$J$306</definedName>
    <definedName name="Std11dot1c" localSheetId="24">'IWP24'!$J$306</definedName>
    <definedName name="Std11dot1c" localSheetId="25">'IWP25'!$J$306</definedName>
    <definedName name="Std11dot1c" localSheetId="26">'IWP26'!$J$306</definedName>
    <definedName name="Std11dot1c" localSheetId="27">'IWP27'!$J$306</definedName>
    <definedName name="Std11dot1c" localSheetId="28">'IWP28'!$J$306</definedName>
    <definedName name="Std11dot1c" localSheetId="29">'IWP29'!$J$306</definedName>
    <definedName name="Std11dot1c" localSheetId="30">'IWP30'!$J$306</definedName>
    <definedName name="Std11dot1c">#REF!</definedName>
    <definedName name="Std11dot1CalcValue" localSheetId="31">'Personal Care 3 Facility Chklst'!$L$48</definedName>
    <definedName name="Std11dot1cNotCalc" localSheetId="1">'IWP01'!$J$257</definedName>
    <definedName name="Std11dot1cNotCalc" localSheetId="2">'IWP02'!$J$257</definedName>
    <definedName name="Std11dot1cNotCalc" localSheetId="3">'IWP03'!$J$257</definedName>
    <definedName name="Std11dot1cNotCalc" localSheetId="4">'IWP04'!$J$257</definedName>
    <definedName name="Std11dot1cNotCalc" localSheetId="5">'IWP05'!$J$257</definedName>
    <definedName name="Std11dot1cNotCalc" localSheetId="6">'IWP06'!$J$257</definedName>
    <definedName name="Std11dot1cNotCalc" localSheetId="7">'IWP07'!$J$257</definedName>
    <definedName name="Std11dot1cNotCalc" localSheetId="8">'IWP08'!$J$257</definedName>
    <definedName name="Std11dot1cNotCalc" localSheetId="9">'IWP09'!$J$257</definedName>
    <definedName name="Std11dot1cNotCalc" localSheetId="10">'IWP10'!$J$257</definedName>
    <definedName name="Std11dot1cNotCalc" localSheetId="11">'IWP11'!$J$257</definedName>
    <definedName name="Std11dot1cNotCalc" localSheetId="12">'IWP12'!$J$257</definedName>
    <definedName name="Std11dot1cNotCalc" localSheetId="13">'IWP13'!$J$257</definedName>
    <definedName name="Std11dot1cNotCalc" localSheetId="14">'IWP14'!$J$257</definedName>
    <definedName name="Std11dot1cNotCalc" localSheetId="15">'IWP15'!$J$257</definedName>
    <definedName name="Std11dot1cNotCalc" localSheetId="16">'IWP16'!$J$257</definedName>
    <definedName name="Std11dot1cNotCalc" localSheetId="17">'IWP17'!$J$257</definedName>
    <definedName name="Std11dot1cNotCalc" localSheetId="18">'IWP18'!$J$257</definedName>
    <definedName name="Std11dot1cNotCalc" localSheetId="19">'IWP19'!$J$257</definedName>
    <definedName name="Std11dot1cNotCalc" localSheetId="20">'IWP20'!$J$257</definedName>
    <definedName name="Std11dot1cNotCalc" localSheetId="21">'IWP21'!$J$257</definedName>
    <definedName name="Std11dot1cNotCalc" localSheetId="22">'IWP22'!$J$257</definedName>
    <definedName name="Std11dot1cNotCalc" localSheetId="23">'IWP23'!$J$257</definedName>
    <definedName name="Std11dot1cNotCalc" localSheetId="24">'IWP24'!$J$257</definedName>
    <definedName name="Std11dot1cNotCalc" localSheetId="25">'IWP25'!$J$257</definedName>
    <definedName name="Std11dot1cNotCalc" localSheetId="26">'IWP26'!$J$257</definedName>
    <definedName name="Std11dot1cNotCalc" localSheetId="27">'IWP27'!$J$257</definedName>
    <definedName name="Std11dot1cNotCalc" localSheetId="28">'IWP28'!$J$257</definedName>
    <definedName name="Std11dot1cNotCalc" localSheetId="29">'IWP29'!$J$257</definedName>
    <definedName name="Std11dot1cNotCalc" localSheetId="30">'IWP30'!$J$257</definedName>
    <definedName name="Std11dot1cNotCalc">#REF!</definedName>
    <definedName name="Std11dot1CommonAreaCalculations" localSheetId="1">'IWP01'!$A$295:$K$299</definedName>
    <definedName name="Std11dot1CommonAreaCalculations" localSheetId="2">'IWP02'!$A$295:$K$299</definedName>
    <definedName name="Std11dot1CommonAreaCalculations" localSheetId="3">'IWP03'!$A$295:$K$299</definedName>
    <definedName name="Std11dot1CommonAreaCalculations" localSheetId="4">'IWP04'!$A$295:$K$299</definedName>
    <definedName name="Std11dot1CommonAreaCalculations" localSheetId="5">'IWP05'!$A$295:$K$299</definedName>
    <definedName name="Std11dot1CommonAreaCalculations" localSheetId="6">'IWP06'!$A$295:$K$299</definedName>
    <definedName name="Std11dot1CommonAreaCalculations" localSheetId="7">'IWP07'!$A$295:$K$299</definedName>
    <definedName name="Std11dot1CommonAreaCalculations" localSheetId="8">'IWP08'!$A$295:$K$299</definedName>
    <definedName name="Std11dot1CommonAreaCalculations" localSheetId="9">'IWP09'!$A$295:$K$299</definedName>
    <definedName name="Std11dot1CommonAreaCalculations" localSheetId="10">'IWP10'!$A$295:$K$299</definedName>
    <definedName name="Std11dot1CommonAreaCalculations" localSheetId="11">'IWP11'!$A$295:$K$299</definedName>
    <definedName name="Std11dot1CommonAreaCalculations" localSheetId="12">'IWP12'!$A$295:$K$299</definedName>
    <definedName name="Std11dot1CommonAreaCalculations" localSheetId="13">'IWP13'!$A$295:$K$299</definedName>
    <definedName name="Std11dot1CommonAreaCalculations" localSheetId="14">'IWP14'!$A$295:$K$299</definedName>
    <definedName name="Std11dot1CommonAreaCalculations" localSheetId="15">'IWP15'!$A$295:$K$299</definedName>
    <definedName name="Std11dot1CommonAreaCalculations" localSheetId="16">'IWP16'!$A$295:$K$299</definedName>
    <definedName name="Std11dot1CommonAreaCalculations" localSheetId="17">'IWP17'!$A$295:$K$299</definedName>
    <definedName name="Std11dot1CommonAreaCalculations" localSheetId="18">'IWP18'!$A$295:$K$299</definedName>
    <definedName name="Std11dot1CommonAreaCalculations" localSheetId="19">'IWP19'!$A$295:$K$299</definedName>
    <definedName name="Std11dot1CommonAreaCalculations" localSheetId="20">'IWP20'!$A$295:$K$299</definedName>
    <definedName name="Std11dot1CommonAreaCalculations" localSheetId="21">'IWP21'!$A$295:$K$299</definedName>
    <definedName name="Std11dot1CommonAreaCalculations" localSheetId="22">'IWP22'!$A$295:$K$299</definedName>
    <definedName name="Std11dot1CommonAreaCalculations" localSheetId="23">'IWP23'!$A$295:$K$299</definedName>
    <definedName name="Std11dot1CommonAreaCalculations" localSheetId="24">'IWP24'!$A$295:$K$299</definedName>
    <definedName name="Std11dot1CommonAreaCalculations" localSheetId="25">'IWP25'!$A$295:$K$299</definedName>
    <definedName name="Std11dot1CommonAreaCalculations" localSheetId="26">'IWP26'!$A$295:$K$299</definedName>
    <definedName name="Std11dot1CommonAreaCalculations" localSheetId="27">'IWP27'!$A$295:$K$299</definedName>
    <definedName name="Std11dot1CommonAreaCalculations" localSheetId="28">'IWP28'!$A$295:$K$299</definedName>
    <definedName name="Std11dot1CommonAreaCalculations" localSheetId="29">'IWP29'!$A$295:$K$299</definedName>
    <definedName name="Std11dot1CommonAreaCalculations" localSheetId="30">'IWP30'!$A$295:$K$299</definedName>
    <definedName name="Std11dot1CommonAreaSquareFootagePerResident" localSheetId="1">'IWP01'!$J$302</definedName>
    <definedName name="Std11dot1CommonAreaSquareFootagePerResident" localSheetId="2">'IWP02'!$J$302</definedName>
    <definedName name="Std11dot1CommonAreaSquareFootagePerResident" localSheetId="3">'IWP03'!$J$302</definedName>
    <definedName name="Std11dot1CommonAreaSquareFootagePerResident" localSheetId="4">'IWP04'!$J$302</definedName>
    <definedName name="Std11dot1CommonAreaSquareFootagePerResident" localSheetId="5">'IWP05'!$J$302</definedName>
    <definedName name="Std11dot1CommonAreaSquareFootagePerResident" localSheetId="6">'IWP06'!$J$302</definedName>
    <definedName name="Std11dot1CommonAreaSquareFootagePerResident" localSheetId="7">'IWP07'!$J$302</definedName>
    <definedName name="Std11dot1CommonAreaSquareFootagePerResident" localSheetId="8">'IWP08'!$J$302</definedName>
    <definedName name="Std11dot1CommonAreaSquareFootagePerResident" localSheetId="9">'IWP09'!$J$302</definedName>
    <definedName name="Std11dot1CommonAreaSquareFootagePerResident" localSheetId="10">'IWP10'!$J$302</definedName>
    <definedName name="Std11dot1CommonAreaSquareFootagePerResident" localSheetId="11">'IWP11'!$J$302</definedName>
    <definedName name="Std11dot1CommonAreaSquareFootagePerResident" localSheetId="12">'IWP12'!$J$302</definedName>
    <definedName name="Std11dot1CommonAreaSquareFootagePerResident" localSheetId="13">'IWP13'!$J$302</definedName>
    <definedName name="Std11dot1CommonAreaSquareFootagePerResident" localSheetId="14">'IWP14'!$J$302</definedName>
    <definedName name="Std11dot1CommonAreaSquareFootagePerResident" localSheetId="15">'IWP15'!$J$302</definedName>
    <definedName name="Std11dot1CommonAreaSquareFootagePerResident" localSheetId="16">'IWP16'!$J$302</definedName>
    <definedName name="Std11dot1CommonAreaSquareFootagePerResident" localSheetId="17">'IWP17'!$J$302</definedName>
    <definedName name="Std11dot1CommonAreaSquareFootagePerResident" localSheetId="18">'IWP18'!$J$302</definedName>
    <definedName name="Std11dot1CommonAreaSquareFootagePerResident" localSheetId="19">'IWP19'!$J$302</definedName>
    <definedName name="Std11dot1CommonAreaSquareFootagePerResident" localSheetId="20">'IWP20'!$J$302</definedName>
    <definedName name="Std11dot1CommonAreaSquareFootagePerResident" localSheetId="21">'IWP21'!$J$302</definedName>
    <definedName name="Std11dot1CommonAreaSquareFootagePerResident" localSheetId="22">'IWP22'!$J$302</definedName>
    <definedName name="Std11dot1CommonAreaSquareFootagePerResident" localSheetId="23">'IWP23'!$J$302</definedName>
    <definedName name="Std11dot1CommonAreaSquareFootagePerResident" localSheetId="24">'IWP24'!$J$302</definedName>
    <definedName name="Std11dot1CommonAreaSquareFootagePerResident" localSheetId="25">'IWP25'!$J$302</definedName>
    <definedName name="Std11dot1CommonAreaSquareFootagePerResident" localSheetId="26">'IWP26'!$J$302</definedName>
    <definedName name="Std11dot1CommonAreaSquareFootagePerResident" localSheetId="27">'IWP27'!$J$302</definedName>
    <definedName name="Std11dot1CommonAreaSquareFootagePerResident" localSheetId="28">'IWP28'!$J$302</definedName>
    <definedName name="Std11dot1CommonAreaSquareFootagePerResident" localSheetId="29">'IWP29'!$J$302</definedName>
    <definedName name="Std11dot1CommonAreaSquareFootagePerResident" localSheetId="30">'IWP30'!$J$302</definedName>
    <definedName name="Std11dot1CommonAreaSquareFootagePerResident">#REF!</definedName>
    <definedName name="Std11dot1d" localSheetId="1">'IWP01'!$J$307</definedName>
    <definedName name="Std11dot1d" localSheetId="2">'IWP02'!$J$307</definedName>
    <definedName name="Std11dot1d" localSheetId="3">'IWP03'!$J$307</definedName>
    <definedName name="Std11dot1d" localSheetId="4">'IWP04'!$J$307</definedName>
    <definedName name="Std11dot1d" localSheetId="5">'IWP05'!$J$307</definedName>
    <definedName name="Std11dot1d" localSheetId="6">'IWP06'!$J$307</definedName>
    <definedName name="Std11dot1d" localSheetId="7">'IWP07'!$J$307</definedName>
    <definedName name="Std11dot1d" localSheetId="8">'IWP08'!$J$307</definedName>
    <definedName name="Std11dot1d" localSheetId="9">'IWP09'!$J$307</definedName>
    <definedName name="Std11dot1d" localSheetId="10">'IWP10'!$J$307</definedName>
    <definedName name="Std11dot1d" localSheetId="11">'IWP11'!$J$307</definedName>
    <definedName name="Std11dot1d" localSheetId="12">'IWP12'!$J$307</definedName>
    <definedName name="Std11dot1d" localSheetId="13">'IWP13'!$J$307</definedName>
    <definedName name="Std11dot1d" localSheetId="14">'IWP14'!$J$307</definedName>
    <definedName name="Std11dot1d" localSheetId="15">'IWP15'!$J$307</definedName>
    <definedName name="Std11dot1d" localSheetId="16">'IWP16'!$J$307</definedName>
    <definedName name="Std11dot1d" localSheetId="17">'IWP17'!$J$307</definedName>
    <definedName name="Std11dot1d" localSheetId="18">'IWP18'!$J$307</definedName>
    <definedName name="Std11dot1d" localSheetId="19">'IWP19'!$J$307</definedName>
    <definedName name="Std11dot1d" localSheetId="20">'IWP20'!$J$307</definedName>
    <definedName name="Std11dot1d" localSheetId="21">'IWP21'!$J$307</definedName>
    <definedName name="Std11dot1d" localSheetId="22">'IWP22'!$J$307</definedName>
    <definedName name="Std11dot1d" localSheetId="23">'IWP23'!$J$307</definedName>
    <definedName name="Std11dot1d" localSheetId="24">'IWP24'!$J$307</definedName>
    <definedName name="Std11dot1d" localSheetId="25">'IWP25'!$J$307</definedName>
    <definedName name="Std11dot1d" localSheetId="26">'IWP26'!$J$307</definedName>
    <definedName name="Std11dot1d" localSheetId="27">'IWP27'!$J$307</definedName>
    <definedName name="Std11dot1d" localSheetId="28">'IWP28'!$J$307</definedName>
    <definedName name="Std11dot1d" localSheetId="29">'IWP29'!$J$307</definedName>
    <definedName name="Std11dot1d" localSheetId="30">'IWP30'!$J$307</definedName>
    <definedName name="Std11dot1d">#REF!</definedName>
    <definedName name="Std11dot1dNotCalc" localSheetId="1">'IWP01'!$J$260</definedName>
    <definedName name="Std11dot1dNotCalc" localSheetId="2">'IWP02'!$J$260</definedName>
    <definedName name="Std11dot1dNotCalc" localSheetId="3">'IWP03'!$J$260</definedName>
    <definedName name="Std11dot1dNotCalc" localSheetId="4">'IWP04'!$J$260</definedName>
    <definedName name="Std11dot1dNotCalc" localSheetId="5">'IWP05'!$J$260</definedName>
    <definedName name="Std11dot1dNotCalc" localSheetId="6">'IWP06'!$J$260</definedName>
    <definedName name="Std11dot1dNotCalc" localSheetId="7">'IWP07'!$J$260</definedName>
    <definedName name="Std11dot1dNotCalc" localSheetId="8">'IWP08'!$J$260</definedName>
    <definedName name="Std11dot1dNotCalc" localSheetId="9">'IWP09'!$J$260</definedName>
    <definedName name="Std11dot1dNotCalc" localSheetId="10">'IWP10'!$J$260</definedName>
    <definedName name="Std11dot1dNotCalc" localSheetId="11">'IWP11'!$J$260</definedName>
    <definedName name="Std11dot1dNotCalc" localSheetId="12">'IWP12'!$J$260</definedName>
    <definedName name="Std11dot1dNotCalc" localSheetId="13">'IWP13'!$J$260</definedName>
    <definedName name="Std11dot1dNotCalc" localSheetId="14">'IWP14'!$J$260</definedName>
    <definedName name="Std11dot1dNotCalc" localSheetId="15">'IWP15'!$J$260</definedName>
    <definedName name="Std11dot1dNotCalc" localSheetId="16">'IWP16'!$J$260</definedName>
    <definedName name="Std11dot1dNotCalc" localSheetId="17">'IWP17'!$J$260</definedName>
    <definedName name="Std11dot1dNotCalc" localSheetId="18">'IWP18'!$J$260</definedName>
    <definedName name="Std11dot1dNotCalc" localSheetId="19">'IWP19'!$J$260</definedName>
    <definedName name="Std11dot1dNotCalc" localSheetId="20">'IWP20'!$J$260</definedName>
    <definedName name="Std11dot1dNotCalc" localSheetId="21">'IWP21'!$J$260</definedName>
    <definedName name="Std11dot1dNotCalc" localSheetId="22">'IWP22'!$J$260</definedName>
    <definedName name="Std11dot1dNotCalc" localSheetId="23">'IWP23'!$J$260</definedName>
    <definedName name="Std11dot1dNotCalc" localSheetId="24">'IWP24'!$J$260</definedName>
    <definedName name="Std11dot1dNotCalc" localSheetId="25">'IWP25'!$J$260</definedName>
    <definedName name="Std11dot1dNotCalc" localSheetId="26">'IWP26'!$J$260</definedName>
    <definedName name="Std11dot1dNotCalc" localSheetId="27">'IWP27'!$J$260</definedName>
    <definedName name="Std11dot1dNotCalc" localSheetId="28">'IWP28'!$J$260</definedName>
    <definedName name="Std11dot1dNotCalc" localSheetId="29">'IWP29'!$J$260</definedName>
    <definedName name="Std11dot1dNotCalc" localSheetId="30">'IWP30'!$J$260</definedName>
    <definedName name="Std11dot1dNotCalc">#REF!</definedName>
    <definedName name="Std11dot1e" localSheetId="1">'IWP01'!$J$308</definedName>
    <definedName name="Std11dot1e" localSheetId="2">'IWP02'!$J$308</definedName>
    <definedName name="Std11dot1e" localSheetId="3">'IWP03'!$J$308</definedName>
    <definedName name="Std11dot1e" localSheetId="4">'IWP04'!$J$308</definedName>
    <definedName name="Std11dot1e" localSheetId="5">'IWP05'!$J$308</definedName>
    <definedName name="Std11dot1e" localSheetId="6">'IWP06'!$J$308</definedName>
    <definedName name="Std11dot1e" localSheetId="7">'IWP07'!$J$308</definedName>
    <definedName name="Std11dot1e" localSheetId="8">'IWP08'!$J$308</definedName>
    <definedName name="Std11dot1e" localSheetId="9">'IWP09'!$J$308</definedName>
    <definedName name="Std11dot1e" localSheetId="10">'IWP10'!$J$308</definedName>
    <definedName name="Std11dot1e" localSheetId="11">'IWP11'!$J$308</definedName>
    <definedName name="Std11dot1e" localSheetId="12">'IWP12'!$J$308</definedName>
    <definedName name="Std11dot1e" localSheetId="13">'IWP13'!$J$308</definedName>
    <definedName name="Std11dot1e" localSheetId="14">'IWP14'!$J$308</definedName>
    <definedName name="Std11dot1e" localSheetId="15">'IWP15'!$J$308</definedName>
    <definedName name="Std11dot1e" localSheetId="16">'IWP16'!$J$308</definedName>
    <definedName name="Std11dot1e" localSheetId="17">'IWP17'!$J$308</definedName>
    <definedName name="Std11dot1e" localSheetId="18">'IWP18'!$J$308</definedName>
    <definedName name="Std11dot1e" localSheetId="19">'IWP19'!$J$308</definedName>
    <definedName name="Std11dot1e" localSheetId="20">'IWP20'!$J$308</definedName>
    <definedName name="Std11dot1e" localSheetId="21">'IWP21'!$J$308</definedName>
    <definedName name="Std11dot1e" localSheetId="22">'IWP22'!$J$308</definedName>
    <definedName name="Std11dot1e" localSheetId="23">'IWP23'!$J$308</definedName>
    <definedName name="Std11dot1e" localSheetId="24">'IWP24'!$J$308</definedName>
    <definedName name="Std11dot1e" localSheetId="25">'IWP25'!$J$308</definedName>
    <definedName name="Std11dot1e" localSheetId="26">'IWP26'!$J$308</definedName>
    <definedName name="Std11dot1e" localSheetId="27">'IWP27'!$J$308</definedName>
    <definedName name="Std11dot1e" localSheetId="28">'IWP28'!$J$308</definedName>
    <definedName name="Std11dot1e" localSheetId="29">'IWP29'!$J$308</definedName>
    <definedName name="Std11dot1e" localSheetId="30">'IWP30'!$J$308</definedName>
    <definedName name="Std11dot1e">#REF!</definedName>
    <definedName name="Std11dot1eNotCalc" localSheetId="1">'IWP01'!$J$263</definedName>
    <definedName name="Std11dot1eNotCalc" localSheetId="2">'IWP02'!$J$263</definedName>
    <definedName name="Std11dot1eNotCalc" localSheetId="3">'IWP03'!$J$263</definedName>
    <definedName name="Std11dot1eNotCalc" localSheetId="4">'IWP04'!$J$263</definedName>
    <definedName name="Std11dot1eNotCalc" localSheetId="5">'IWP05'!$J$263</definedName>
    <definedName name="Std11dot1eNotCalc" localSheetId="6">'IWP06'!$J$263</definedName>
    <definedName name="Std11dot1eNotCalc" localSheetId="7">'IWP07'!$J$263</definedName>
    <definedName name="Std11dot1eNotCalc" localSheetId="8">'IWP08'!$J$263</definedName>
    <definedName name="Std11dot1eNotCalc" localSheetId="9">'IWP09'!$J$263</definedName>
    <definedName name="Std11dot1eNotCalc" localSheetId="10">'IWP10'!$J$263</definedName>
    <definedName name="Std11dot1eNotCalc" localSheetId="11">'IWP11'!$J$263</definedName>
    <definedName name="Std11dot1eNotCalc" localSheetId="12">'IWP12'!$J$263</definedName>
    <definedName name="Std11dot1eNotCalc" localSheetId="13">'IWP13'!$J$263</definedName>
    <definedName name="Std11dot1eNotCalc" localSheetId="14">'IWP14'!$J$263</definedName>
    <definedName name="Std11dot1eNotCalc" localSheetId="15">'IWP15'!$J$263</definedName>
    <definedName name="Std11dot1eNotCalc" localSheetId="16">'IWP16'!$J$263</definedName>
    <definedName name="Std11dot1eNotCalc" localSheetId="17">'IWP17'!$J$263</definedName>
    <definedName name="Std11dot1eNotCalc" localSheetId="18">'IWP18'!$J$263</definedName>
    <definedName name="Std11dot1eNotCalc" localSheetId="19">'IWP19'!$J$263</definedName>
    <definedName name="Std11dot1eNotCalc" localSheetId="20">'IWP20'!$J$263</definedName>
    <definedName name="Std11dot1eNotCalc" localSheetId="21">'IWP21'!$J$263</definedName>
    <definedName name="Std11dot1eNotCalc" localSheetId="22">'IWP22'!$J$263</definedName>
    <definedName name="Std11dot1eNotCalc" localSheetId="23">'IWP23'!$J$263</definedName>
    <definedName name="Std11dot1eNotCalc" localSheetId="24">'IWP24'!$J$263</definedName>
    <definedName name="Std11dot1eNotCalc" localSheetId="25">'IWP25'!$J$263</definedName>
    <definedName name="Std11dot1eNotCalc" localSheetId="26">'IWP26'!$J$263</definedName>
    <definedName name="Std11dot1eNotCalc" localSheetId="27">'IWP27'!$J$263</definedName>
    <definedName name="Std11dot1eNotCalc" localSheetId="28">'IWP28'!$J$263</definedName>
    <definedName name="Std11dot1eNotCalc" localSheetId="29">'IWP29'!$J$263</definedName>
    <definedName name="Std11dot1eNotCalc" localSheetId="30">'IWP30'!$J$263</definedName>
    <definedName name="Std11dot1eNotCalc">#REF!</definedName>
    <definedName name="Std11dot1f" localSheetId="1">'IWP01'!$J$309</definedName>
    <definedName name="Std11dot1f" localSheetId="2">'IWP02'!$J$309</definedName>
    <definedName name="Std11dot1f" localSheetId="3">'IWP03'!$J$309</definedName>
    <definedName name="Std11dot1f" localSheetId="4">'IWP04'!$J$309</definedName>
    <definedName name="Std11dot1f" localSheetId="5">'IWP05'!$J$309</definedName>
    <definedName name="Std11dot1f" localSheetId="6">'IWP06'!$J$309</definedName>
    <definedName name="Std11dot1f" localSheetId="7">'IWP07'!$J$309</definedName>
    <definedName name="Std11dot1f" localSheetId="8">'IWP08'!$J$309</definedName>
    <definedName name="Std11dot1f" localSheetId="9">'IWP09'!$J$309</definedName>
    <definedName name="Std11dot1f" localSheetId="10">'IWP10'!$J$309</definedName>
    <definedName name="Std11dot1f" localSheetId="11">'IWP11'!$J$309</definedName>
    <definedName name="Std11dot1f" localSheetId="12">'IWP12'!$J$309</definedName>
    <definedName name="Std11dot1f" localSheetId="13">'IWP13'!$J$309</definedName>
    <definedName name="Std11dot1f" localSheetId="14">'IWP14'!$J$309</definedName>
    <definedName name="Std11dot1f" localSheetId="15">'IWP15'!$J$309</definedName>
    <definedName name="Std11dot1f" localSheetId="16">'IWP16'!$J$309</definedName>
    <definedName name="Std11dot1f" localSheetId="17">'IWP17'!$J$309</definedName>
    <definedName name="Std11dot1f" localSheetId="18">'IWP18'!$J$309</definedName>
    <definedName name="Std11dot1f" localSheetId="19">'IWP19'!$J$309</definedName>
    <definedName name="Std11dot1f" localSheetId="20">'IWP20'!$J$309</definedName>
    <definedName name="Std11dot1f" localSheetId="21">'IWP21'!$J$309</definedName>
    <definedName name="Std11dot1f" localSheetId="22">'IWP22'!$J$309</definedName>
    <definedName name="Std11dot1f" localSheetId="23">'IWP23'!$J$309</definedName>
    <definedName name="Std11dot1f" localSheetId="24">'IWP24'!$J$309</definedName>
    <definedName name="Std11dot1f" localSheetId="25">'IWP25'!$J$309</definedName>
    <definedName name="Std11dot1f" localSheetId="26">'IWP26'!$J$309</definedName>
    <definedName name="Std11dot1f" localSheetId="27">'IWP27'!$J$309</definedName>
    <definedName name="Std11dot1f" localSheetId="28">'IWP28'!$J$309</definedName>
    <definedName name="Std11dot1f" localSheetId="29">'IWP29'!$J$309</definedName>
    <definedName name="Std11dot1f" localSheetId="30">'IWP30'!$J$309</definedName>
    <definedName name="Std11dot1f">#REF!</definedName>
    <definedName name="Std11dot1fNotCalc" localSheetId="1">'IWP01'!$J$266</definedName>
    <definedName name="Std11dot1fNotCalc" localSheetId="2">'IWP02'!$J$266</definedName>
    <definedName name="Std11dot1fNotCalc" localSheetId="3">'IWP03'!$J$266</definedName>
    <definedName name="Std11dot1fNotCalc" localSheetId="4">'IWP04'!$J$266</definedName>
    <definedName name="Std11dot1fNotCalc" localSheetId="5">'IWP05'!$J$266</definedName>
    <definedName name="Std11dot1fNotCalc" localSheetId="6">'IWP06'!$J$266</definedName>
    <definedName name="Std11dot1fNotCalc" localSheetId="7">'IWP07'!$J$266</definedName>
    <definedName name="Std11dot1fNotCalc" localSheetId="8">'IWP08'!$J$266</definedName>
    <definedName name="Std11dot1fNotCalc" localSheetId="9">'IWP09'!$J$266</definedName>
    <definedName name="Std11dot1fNotCalc" localSheetId="10">'IWP10'!$J$266</definedName>
    <definedName name="Std11dot1fNotCalc" localSheetId="11">'IWP11'!$J$266</definedName>
    <definedName name="Std11dot1fNotCalc" localSheetId="12">'IWP12'!$J$266</definedName>
    <definedName name="Std11dot1fNotCalc" localSheetId="13">'IWP13'!$J$266</definedName>
    <definedName name="Std11dot1fNotCalc" localSheetId="14">'IWP14'!$J$266</definedName>
    <definedName name="Std11dot1fNotCalc" localSheetId="15">'IWP15'!$J$266</definedName>
    <definedName name="Std11dot1fNotCalc" localSheetId="16">'IWP16'!$J$266</definedName>
    <definedName name="Std11dot1fNotCalc" localSheetId="17">'IWP17'!$J$266</definedName>
    <definedName name="Std11dot1fNotCalc" localSheetId="18">'IWP18'!$J$266</definedName>
    <definedName name="Std11dot1fNotCalc" localSheetId="19">'IWP19'!$J$266</definedName>
    <definedName name="Std11dot1fNotCalc" localSheetId="20">'IWP20'!$J$266</definedName>
    <definedName name="Std11dot1fNotCalc" localSheetId="21">'IWP21'!$J$266</definedName>
    <definedName name="Std11dot1fNotCalc" localSheetId="22">'IWP22'!$J$266</definedName>
    <definedName name="Std11dot1fNotCalc" localSheetId="23">'IWP23'!$J$266</definedName>
    <definedName name="Std11dot1fNotCalc" localSheetId="24">'IWP24'!$J$266</definedName>
    <definedName name="Std11dot1fNotCalc" localSheetId="25">'IWP25'!$J$266</definedName>
    <definedName name="Std11dot1fNotCalc" localSheetId="26">'IWP26'!$J$266</definedName>
    <definedName name="Std11dot1fNotCalc" localSheetId="27">'IWP27'!$J$266</definedName>
    <definedName name="Std11dot1fNotCalc" localSheetId="28">'IWP28'!$J$266</definedName>
    <definedName name="Std11dot1fNotCalc" localSheetId="29">'IWP29'!$J$266</definedName>
    <definedName name="Std11dot1fNotCalc" localSheetId="30">'IWP30'!$J$266</definedName>
    <definedName name="Std11dot1fNotCalc">#REF!</definedName>
    <definedName name="Std11dot1g" localSheetId="1">'IWP01'!$J$315</definedName>
    <definedName name="Std11dot1g" localSheetId="2">'IWP02'!$J$315</definedName>
    <definedName name="Std11dot1g" localSheetId="3">'IWP03'!$J$315</definedName>
    <definedName name="Std11dot1g" localSheetId="4">'IWP04'!$J$315</definedName>
    <definedName name="Std11dot1g" localSheetId="5">'IWP05'!$J$315</definedName>
    <definedName name="Std11dot1g" localSheetId="6">'IWP06'!$J$315</definedName>
    <definedName name="Std11dot1g" localSheetId="7">'IWP07'!$J$315</definedName>
    <definedName name="Std11dot1g" localSheetId="8">'IWP08'!$J$315</definedName>
    <definedName name="Std11dot1g" localSheetId="9">'IWP09'!$J$315</definedName>
    <definedName name="Std11dot1g" localSheetId="10">'IWP10'!$J$315</definedName>
    <definedName name="Std11dot1g" localSheetId="11">'IWP11'!$J$315</definedName>
    <definedName name="Std11dot1g" localSheetId="12">'IWP12'!$J$315</definedName>
    <definedName name="Std11dot1g" localSheetId="13">'IWP13'!$J$315</definedName>
    <definedName name="Std11dot1g" localSheetId="14">'IWP14'!$J$315</definedName>
    <definedName name="Std11dot1g" localSheetId="15">'IWP15'!$J$315</definedName>
    <definedName name="Std11dot1g" localSheetId="16">'IWP16'!$J$315</definedName>
    <definedName name="Std11dot1g" localSheetId="17">'IWP17'!$J$315</definedName>
    <definedName name="Std11dot1g" localSheetId="18">'IWP18'!$J$315</definedName>
    <definedName name="Std11dot1g" localSheetId="19">'IWP19'!$J$315</definedName>
    <definedName name="Std11dot1g" localSheetId="20">'IWP20'!$J$315</definedName>
    <definedName name="Std11dot1g" localSheetId="21">'IWP21'!$J$315</definedName>
    <definedName name="Std11dot1g" localSheetId="22">'IWP22'!$J$315</definedName>
    <definedName name="Std11dot1g" localSheetId="23">'IWP23'!$J$315</definedName>
    <definedName name="Std11dot1g" localSheetId="24">'IWP24'!$J$315</definedName>
    <definedName name="Std11dot1g" localSheetId="25">'IWP25'!$J$315</definedName>
    <definedName name="Std11dot1g" localSheetId="26">'IWP26'!$J$315</definedName>
    <definedName name="Std11dot1g" localSheetId="27">'IWP27'!$J$315</definedName>
    <definedName name="Std11dot1g" localSheetId="28">'IWP28'!$J$315</definedName>
    <definedName name="Std11dot1g" localSheetId="29">'IWP29'!$J$315</definedName>
    <definedName name="Std11dot1g" localSheetId="30">'IWP30'!$J$315</definedName>
    <definedName name="Std11dot1g">#REF!</definedName>
    <definedName name="Std11dot1h" localSheetId="1">'IWP01'!$J$316</definedName>
    <definedName name="Std11dot1h" localSheetId="2">'IWP02'!$J$316</definedName>
    <definedName name="Std11dot1h" localSheetId="3">'IWP03'!$J$316</definedName>
    <definedName name="Std11dot1h" localSheetId="4">'IWP04'!$J$316</definedName>
    <definedName name="Std11dot1h" localSheetId="5">'IWP05'!$J$316</definedName>
    <definedName name="Std11dot1h" localSheetId="6">'IWP06'!$J$316</definedName>
    <definedName name="Std11dot1h" localSheetId="7">'IWP07'!$J$316</definedName>
    <definedName name="Std11dot1h" localSheetId="8">'IWP08'!$J$316</definedName>
    <definedName name="Std11dot1h" localSheetId="9">'IWP09'!$J$316</definedName>
    <definedName name="Std11dot1h" localSheetId="10">'IWP10'!$J$316</definedName>
    <definedName name="Std11dot1h" localSheetId="11">'IWP11'!$J$316</definedName>
    <definedName name="Std11dot1h" localSheetId="12">'IWP12'!$J$316</definedName>
    <definedName name="Std11dot1h" localSheetId="13">'IWP13'!$J$316</definedName>
    <definedName name="Std11dot1h" localSheetId="14">'IWP14'!$J$316</definedName>
    <definedName name="Std11dot1h" localSheetId="15">'IWP15'!$J$316</definedName>
    <definedName name="Std11dot1h" localSheetId="16">'IWP16'!$J$316</definedName>
    <definedName name="Std11dot1h" localSheetId="17">'IWP17'!$J$316</definedName>
    <definedName name="Std11dot1h" localSheetId="18">'IWP18'!$J$316</definedName>
    <definedName name="Std11dot1h" localSheetId="19">'IWP19'!$J$316</definedName>
    <definedName name="Std11dot1h" localSheetId="20">'IWP20'!$J$316</definedName>
    <definedName name="Std11dot1h" localSheetId="21">'IWP21'!$J$316</definedName>
    <definedName name="Std11dot1h" localSheetId="22">'IWP22'!$J$316</definedName>
    <definedName name="Std11dot1h" localSheetId="23">'IWP23'!$J$316</definedName>
    <definedName name="Std11dot1h" localSheetId="24">'IWP24'!$J$316</definedName>
    <definedName name="Std11dot1h" localSheetId="25">'IWP25'!$J$316</definedName>
    <definedName name="Std11dot1h" localSheetId="26">'IWP26'!$J$316</definedName>
    <definedName name="Std11dot1h" localSheetId="27">'IWP27'!$J$316</definedName>
    <definedName name="Std11dot1h" localSheetId="28">'IWP28'!$J$316</definedName>
    <definedName name="Std11dot1h" localSheetId="29">'IWP29'!$J$316</definedName>
    <definedName name="Std11dot1h" localSheetId="30">'IWP30'!$J$316</definedName>
    <definedName name="Std11dot1h">#REF!</definedName>
    <definedName name="Std11dot1i" localSheetId="1">'IWP01'!$J$317</definedName>
    <definedName name="Std11dot1i" localSheetId="2">'IWP02'!$J$317</definedName>
    <definedName name="Std11dot1i" localSheetId="3">'IWP03'!$J$317</definedName>
    <definedName name="Std11dot1i" localSheetId="4">'IWP04'!$J$317</definedName>
    <definedName name="Std11dot1i" localSheetId="5">'IWP05'!$J$317</definedName>
    <definedName name="Std11dot1i" localSheetId="6">'IWP06'!$J$317</definedName>
    <definedName name="Std11dot1i" localSheetId="7">'IWP07'!$J$317</definedName>
    <definedName name="Std11dot1i" localSheetId="8">'IWP08'!$J$317</definedName>
    <definedName name="Std11dot1i" localSheetId="9">'IWP09'!$J$317</definedName>
    <definedName name="Std11dot1i" localSheetId="10">'IWP10'!$J$317</definedName>
    <definedName name="Std11dot1i" localSheetId="11">'IWP11'!$J$317</definedName>
    <definedName name="Std11dot1i" localSheetId="12">'IWP12'!$J$317</definedName>
    <definedName name="Std11dot1i" localSheetId="13">'IWP13'!$J$317</definedName>
    <definedName name="Std11dot1i" localSheetId="14">'IWP14'!$J$317</definedName>
    <definedName name="Std11dot1i" localSheetId="15">'IWP15'!$J$317</definedName>
    <definedName name="Std11dot1i" localSheetId="16">'IWP16'!$J$317</definedName>
    <definedName name="Std11dot1i" localSheetId="17">'IWP17'!$J$317</definedName>
    <definedName name="Std11dot1i" localSheetId="18">'IWP18'!$J$317</definedName>
    <definedName name="Std11dot1i" localSheetId="19">'IWP19'!$J$317</definedName>
    <definedName name="Std11dot1i" localSheetId="20">'IWP20'!$J$317</definedName>
    <definedName name="Std11dot1i" localSheetId="21">'IWP21'!$J$317</definedName>
    <definedName name="Std11dot1i" localSheetId="22">'IWP22'!$J$317</definedName>
    <definedName name="Std11dot1i" localSheetId="23">'IWP23'!$J$317</definedName>
    <definedName name="Std11dot1i" localSheetId="24">'IWP24'!$J$317</definedName>
    <definedName name="Std11dot1i" localSheetId="25">'IWP25'!$J$317</definedName>
    <definedName name="Std11dot1i" localSheetId="26">'IWP26'!$J$317</definedName>
    <definedName name="Std11dot1i" localSheetId="27">'IWP27'!$J$317</definedName>
    <definedName name="Std11dot1i" localSheetId="28">'IWP28'!$J$317</definedName>
    <definedName name="Std11dot1i" localSheetId="29">'IWP29'!$J$317</definedName>
    <definedName name="Std11dot1i" localSheetId="30">'IWP30'!$J$317</definedName>
    <definedName name="Std11dot1i">#REF!</definedName>
    <definedName name="Std11dot1j" localSheetId="1">'IWP01'!$J$318</definedName>
    <definedName name="Std11dot1j" localSheetId="2">'IWP02'!$J$318</definedName>
    <definedName name="Std11dot1j" localSheetId="3">'IWP03'!$J$318</definedName>
    <definedName name="Std11dot1j" localSheetId="4">'IWP04'!$J$318</definedName>
    <definedName name="Std11dot1j" localSheetId="5">'IWP05'!$J$318</definedName>
    <definedName name="Std11dot1j" localSheetId="6">'IWP06'!$J$318</definedName>
    <definedName name="Std11dot1j" localSheetId="7">'IWP07'!$J$318</definedName>
    <definedName name="Std11dot1j" localSheetId="8">'IWP08'!$J$318</definedName>
    <definedName name="Std11dot1j" localSheetId="9">'IWP09'!$J$318</definedName>
    <definedName name="Std11dot1j" localSheetId="10">'IWP10'!$J$318</definedName>
    <definedName name="Std11dot1j" localSheetId="11">'IWP11'!$J$318</definedName>
    <definedName name="Std11dot1j" localSheetId="12">'IWP12'!$J$318</definedName>
    <definedName name="Std11dot1j" localSheetId="13">'IWP13'!$J$318</definedName>
    <definedName name="Std11dot1j" localSheetId="14">'IWP14'!$J$318</definedName>
    <definedName name="Std11dot1j" localSheetId="15">'IWP15'!$J$318</definedName>
    <definedName name="Std11dot1j" localSheetId="16">'IWP16'!$J$318</definedName>
    <definedName name="Std11dot1j" localSheetId="17">'IWP17'!$J$318</definedName>
    <definedName name="Std11dot1j" localSheetId="18">'IWP18'!$J$318</definedName>
    <definedName name="Std11dot1j" localSheetId="19">'IWP19'!$J$318</definedName>
    <definedName name="Std11dot1j" localSheetId="20">'IWP20'!$J$318</definedName>
    <definedName name="Std11dot1j" localSheetId="21">'IWP21'!$J$318</definedName>
    <definedName name="Std11dot1j" localSheetId="22">'IWP22'!$J$318</definedName>
    <definedName name="Std11dot1j" localSheetId="23">'IWP23'!$J$318</definedName>
    <definedName name="Std11dot1j" localSheetId="24">'IWP24'!$J$318</definedName>
    <definedName name="Std11dot1j" localSheetId="25">'IWP25'!$J$318</definedName>
    <definedName name="Std11dot1j" localSheetId="26">'IWP26'!$J$318</definedName>
    <definedName name="Std11dot1j" localSheetId="27">'IWP27'!$J$318</definedName>
    <definedName name="Std11dot1j" localSheetId="28">'IWP28'!$J$318</definedName>
    <definedName name="Std11dot1j" localSheetId="29">'IWP29'!$J$318</definedName>
    <definedName name="Std11dot1j" localSheetId="30">'IWP30'!$J$318</definedName>
    <definedName name="Std11dot1j">#REF!</definedName>
    <definedName name="Std11dot1k" localSheetId="1">'IWP01'!$J$324</definedName>
    <definedName name="Std11dot1k" localSheetId="2">'IWP02'!$J$324</definedName>
    <definedName name="Std11dot1k" localSheetId="3">'IWP03'!$J$324</definedName>
    <definedName name="Std11dot1k" localSheetId="4">'IWP04'!$J$324</definedName>
    <definedName name="Std11dot1k" localSheetId="5">'IWP05'!$J$324</definedName>
    <definedName name="Std11dot1k" localSheetId="6">'IWP06'!$J$324</definedName>
    <definedName name="Std11dot1k" localSheetId="7">'IWP07'!$J$324</definedName>
    <definedName name="Std11dot1k" localSheetId="8">'IWP08'!$J$324</definedName>
    <definedName name="Std11dot1k" localSheetId="9">'IWP09'!$J$324</definedName>
    <definedName name="Std11dot1k" localSheetId="10">'IWP10'!$J$324</definedName>
    <definedName name="Std11dot1k" localSheetId="11">'IWP11'!$J$324</definedName>
    <definedName name="Std11dot1k" localSheetId="12">'IWP12'!$J$324</definedName>
    <definedName name="Std11dot1k" localSheetId="13">'IWP13'!$J$324</definedName>
    <definedName name="Std11dot1k" localSheetId="14">'IWP14'!$J$324</definedName>
    <definedName name="Std11dot1k" localSheetId="15">'IWP15'!$J$324</definedName>
    <definedName name="Std11dot1k" localSheetId="16">'IWP16'!$J$324</definedName>
    <definedName name="Std11dot1k" localSheetId="17">'IWP17'!$J$324</definedName>
    <definedName name="Std11dot1k" localSheetId="18">'IWP18'!$J$324</definedName>
    <definedName name="Std11dot1k" localSheetId="19">'IWP19'!$J$324</definedName>
    <definedName name="Std11dot1k" localSheetId="20">'IWP20'!$J$324</definedName>
    <definedName name="Std11dot1k" localSheetId="21">'IWP21'!$J$324</definedName>
    <definedName name="Std11dot1k" localSheetId="22">'IWP22'!$J$324</definedName>
    <definedName name="Std11dot1k" localSheetId="23">'IWP23'!$J$324</definedName>
    <definedName name="Std11dot1k" localSheetId="24">'IWP24'!$J$324</definedName>
    <definedName name="Std11dot1k" localSheetId="25">'IWP25'!$J$324</definedName>
    <definedName name="Std11dot1k" localSheetId="26">'IWP26'!$J$324</definedName>
    <definedName name="Std11dot1k" localSheetId="27">'IWP27'!$J$324</definedName>
    <definedName name="Std11dot1k" localSheetId="28">'IWP28'!$J$324</definedName>
    <definedName name="Std11dot1k" localSheetId="29">'IWP29'!$J$324</definedName>
    <definedName name="Std11dot1k" localSheetId="30">'IWP30'!$J$324</definedName>
    <definedName name="Std11dot1k">#REF!</definedName>
    <definedName name="Std11dot1KitchenLength" localSheetId="1">'IWP01'!$H$277</definedName>
    <definedName name="Std11dot1KitchenLength" localSheetId="2">'IWP02'!$H$277</definedName>
    <definedName name="Std11dot1KitchenLength" localSheetId="3">'IWP03'!$H$277</definedName>
    <definedName name="Std11dot1KitchenLength" localSheetId="4">'IWP04'!$H$277</definedName>
    <definedName name="Std11dot1KitchenLength" localSheetId="5">'IWP05'!$H$277</definedName>
    <definedName name="Std11dot1KitchenLength" localSheetId="6">'IWP06'!$H$277</definedName>
    <definedName name="Std11dot1KitchenLength" localSheetId="7">'IWP07'!$H$277</definedName>
    <definedName name="Std11dot1KitchenLength" localSheetId="8">'IWP08'!$H$277</definedName>
    <definedName name="Std11dot1KitchenLength" localSheetId="9">'IWP09'!$H$277</definedName>
    <definedName name="Std11dot1KitchenLength" localSheetId="10">'IWP10'!$H$277</definedName>
    <definedName name="Std11dot1KitchenLength" localSheetId="11">'IWP11'!$H$277</definedName>
    <definedName name="Std11dot1KitchenLength" localSheetId="12">'IWP12'!$H$277</definedName>
    <definedName name="Std11dot1KitchenLength" localSheetId="13">'IWP13'!$H$277</definedName>
    <definedName name="Std11dot1KitchenLength" localSheetId="14">'IWP14'!$H$277</definedName>
    <definedName name="Std11dot1KitchenLength" localSheetId="15">'IWP15'!$H$277</definedName>
    <definedName name="Std11dot1KitchenLength" localSheetId="16">'IWP16'!$H$277</definedName>
    <definedName name="Std11dot1KitchenLength" localSheetId="17">'IWP17'!$H$277</definedName>
    <definedName name="Std11dot1KitchenLength" localSheetId="18">'IWP18'!$H$277</definedName>
    <definedName name="Std11dot1KitchenLength" localSheetId="19">'IWP19'!$H$277</definedName>
    <definedName name="Std11dot1KitchenLength" localSheetId="20">'IWP20'!$H$277</definedName>
    <definedName name="Std11dot1KitchenLength" localSheetId="21">'IWP21'!$H$277</definedName>
    <definedName name="Std11dot1KitchenLength" localSheetId="22">'IWP22'!$H$277</definedName>
    <definedName name="Std11dot1KitchenLength" localSheetId="23">'IWP23'!$H$277</definedName>
    <definedName name="Std11dot1KitchenLength" localSheetId="24">'IWP24'!$H$277</definedName>
    <definedName name="Std11dot1KitchenLength" localSheetId="25">'IWP25'!$H$277</definedName>
    <definedName name="Std11dot1KitchenLength" localSheetId="26">'IWP26'!$H$277</definedName>
    <definedName name="Std11dot1KitchenLength" localSheetId="27">'IWP27'!$H$277</definedName>
    <definedName name="Std11dot1KitchenLength" localSheetId="28">'IWP28'!$H$277</definedName>
    <definedName name="Std11dot1KitchenLength" localSheetId="29">'IWP29'!$H$277</definedName>
    <definedName name="Std11dot1KitchenLength" localSheetId="30">'IWP30'!$H$277</definedName>
    <definedName name="Std11dot1KitchenLength">#REF!</definedName>
    <definedName name="Std11dot1KitchenSink" localSheetId="1">'IWP01'!$F$278</definedName>
    <definedName name="Std11dot1KitchenSink" localSheetId="2">'IWP02'!$F$278</definedName>
    <definedName name="Std11dot1KitchenSink" localSheetId="3">'IWP03'!$F$278</definedName>
    <definedName name="Std11dot1KitchenSink" localSheetId="4">'IWP04'!$F$278</definedName>
    <definedName name="Std11dot1KitchenSink" localSheetId="5">'IWP05'!$F$278</definedName>
    <definedName name="Std11dot1KitchenSink" localSheetId="6">'IWP06'!$F$278</definedName>
    <definedName name="Std11dot1KitchenSink" localSheetId="7">'IWP07'!$F$278</definedName>
    <definedName name="Std11dot1KitchenSink" localSheetId="8">'IWP08'!$F$278</definedName>
    <definedName name="Std11dot1KitchenSink" localSheetId="9">'IWP09'!$F$278</definedName>
    <definedName name="Std11dot1KitchenSink" localSheetId="10">'IWP10'!$F$278</definedName>
    <definedName name="Std11dot1KitchenSink" localSheetId="11">'IWP11'!$F$278</definedName>
    <definedName name="Std11dot1KitchenSink" localSheetId="12">'IWP12'!$F$278</definedName>
    <definedName name="Std11dot1KitchenSink" localSheetId="13">'IWP13'!$F$278</definedName>
    <definedName name="Std11dot1KitchenSink" localSheetId="14">'IWP14'!$F$278</definedName>
    <definedName name="Std11dot1KitchenSink" localSheetId="15">'IWP15'!$F$278</definedName>
    <definedName name="Std11dot1KitchenSink" localSheetId="16">'IWP16'!$F$278</definedName>
    <definedName name="Std11dot1KitchenSink" localSheetId="17">'IWP17'!$F$278</definedName>
    <definedName name="Std11dot1KitchenSink" localSheetId="18">'IWP18'!$F$278</definedName>
    <definedName name="Std11dot1KitchenSink" localSheetId="19">'IWP19'!$F$278</definedName>
    <definedName name="Std11dot1KitchenSink" localSheetId="20">'IWP20'!$F$278</definedName>
    <definedName name="Std11dot1KitchenSink" localSheetId="21">'IWP21'!$F$278</definedName>
    <definedName name="Std11dot1KitchenSink" localSheetId="22">'IWP22'!$F$278</definedName>
    <definedName name="Std11dot1KitchenSink" localSheetId="23">'IWP23'!$F$278</definedName>
    <definedName name="Std11dot1KitchenSink" localSheetId="24">'IWP24'!$F$278</definedName>
    <definedName name="Std11dot1KitchenSink" localSheetId="25">'IWP25'!$F$278</definedName>
    <definedName name="Std11dot1KitchenSink" localSheetId="26">'IWP26'!$F$278</definedName>
    <definedName name="Std11dot1KitchenSink" localSheetId="27">'IWP27'!$F$278</definedName>
    <definedName name="Std11dot1KitchenSink" localSheetId="28">'IWP28'!$F$278</definedName>
    <definedName name="Std11dot1KitchenSink" localSheetId="29">'IWP29'!$F$278</definedName>
    <definedName name="Std11dot1KitchenSink" localSheetId="30">'IWP30'!$F$278</definedName>
    <definedName name="Std11dot1KitchenSink">#REF!</definedName>
    <definedName name="Std11dot1KitchenSqFt" localSheetId="1">'IWP01'!$I$277</definedName>
    <definedName name="Std11dot1KitchenSqFt" localSheetId="2">'IWP02'!$I$277</definedName>
    <definedName name="Std11dot1KitchenSqFt" localSheetId="3">'IWP03'!$I$277</definedName>
    <definedName name="Std11dot1KitchenSqFt" localSheetId="4">'IWP04'!$I$277</definedName>
    <definedName name="Std11dot1KitchenSqFt" localSheetId="5">'IWP05'!$I$277</definedName>
    <definedName name="Std11dot1KitchenSqFt" localSheetId="6">'IWP06'!$I$277</definedName>
    <definedName name="Std11dot1KitchenSqFt" localSheetId="7">'IWP07'!$I$277</definedName>
    <definedName name="Std11dot1KitchenSqFt" localSheetId="8">'IWP08'!$I$277</definedName>
    <definedName name="Std11dot1KitchenSqFt" localSheetId="9">'IWP09'!$I$277</definedName>
    <definedName name="Std11dot1KitchenSqFt" localSheetId="10">'IWP10'!$I$277</definedName>
    <definedName name="Std11dot1KitchenSqFt" localSheetId="11">'IWP11'!$I$277</definedName>
    <definedName name="Std11dot1KitchenSqFt" localSheetId="12">'IWP12'!$I$277</definedName>
    <definedName name="Std11dot1KitchenSqFt" localSheetId="13">'IWP13'!$I$277</definedName>
    <definedName name="Std11dot1KitchenSqFt" localSheetId="14">'IWP14'!$I$277</definedName>
    <definedName name="Std11dot1KitchenSqFt" localSheetId="15">'IWP15'!$I$277</definedName>
    <definedName name="Std11dot1KitchenSqFt" localSheetId="16">'IWP16'!$I$277</definedName>
    <definedName name="Std11dot1KitchenSqFt" localSheetId="17">'IWP17'!$I$277</definedName>
    <definedName name="Std11dot1KitchenSqFt" localSheetId="18">'IWP18'!$I$277</definedName>
    <definedName name="Std11dot1KitchenSqFt" localSheetId="19">'IWP19'!$I$277</definedName>
    <definedName name="Std11dot1KitchenSqFt" localSheetId="20">'IWP20'!$I$277</definedName>
    <definedName name="Std11dot1KitchenSqFt" localSheetId="21">'IWP21'!$I$277</definedName>
    <definedName name="Std11dot1KitchenSqFt" localSheetId="22">'IWP22'!$I$277</definedName>
    <definedName name="Std11dot1KitchenSqFt" localSheetId="23">'IWP23'!$I$277</definedName>
    <definedName name="Std11dot1KitchenSqFt" localSheetId="24">'IWP24'!$I$277</definedName>
    <definedName name="Std11dot1KitchenSqFt" localSheetId="25">'IWP25'!$I$277</definedName>
    <definedName name="Std11dot1KitchenSqFt" localSheetId="26">'IWP26'!$I$277</definedName>
    <definedName name="Std11dot1KitchenSqFt" localSheetId="27">'IWP27'!$I$277</definedName>
    <definedName name="Std11dot1KitchenSqFt" localSheetId="28">'IWP28'!$I$277</definedName>
    <definedName name="Std11dot1KitchenSqFt" localSheetId="29">'IWP29'!$I$277</definedName>
    <definedName name="Std11dot1KitchenSqFt" localSheetId="30">'IWP30'!$I$277</definedName>
    <definedName name="Std11dot1KitchenSqFt">#REF!</definedName>
    <definedName name="Std11dot1KitchenWidth" localSheetId="1">'IWP01'!$G$277</definedName>
    <definedName name="Std11dot1KitchenWidth" localSheetId="2">'IWP02'!$G$277</definedName>
    <definedName name="Std11dot1KitchenWidth" localSheetId="3">'IWP03'!$G$277</definedName>
    <definedName name="Std11dot1KitchenWidth" localSheetId="4">'IWP04'!$G$277</definedName>
    <definedName name="Std11dot1KitchenWidth" localSheetId="5">'IWP05'!$G$277</definedName>
    <definedName name="Std11dot1KitchenWidth" localSheetId="6">'IWP06'!$G$277</definedName>
    <definedName name="Std11dot1KitchenWidth" localSheetId="7">'IWP07'!$G$277</definedName>
    <definedName name="Std11dot1KitchenWidth" localSheetId="8">'IWP08'!$G$277</definedName>
    <definedName name="Std11dot1KitchenWidth" localSheetId="9">'IWP09'!$G$277</definedName>
    <definedName name="Std11dot1KitchenWidth" localSheetId="10">'IWP10'!$G$277</definedName>
    <definedName name="Std11dot1KitchenWidth" localSheetId="11">'IWP11'!$G$277</definedName>
    <definedName name="Std11dot1KitchenWidth" localSheetId="12">'IWP12'!$G$277</definedName>
    <definedName name="Std11dot1KitchenWidth" localSheetId="13">'IWP13'!$G$277</definedName>
    <definedName name="Std11dot1KitchenWidth" localSheetId="14">'IWP14'!$G$277</definedName>
    <definedName name="Std11dot1KitchenWidth" localSheetId="15">'IWP15'!$G$277</definedName>
    <definedName name="Std11dot1KitchenWidth" localSheetId="16">'IWP16'!$G$277</definedName>
    <definedName name="Std11dot1KitchenWidth" localSheetId="17">'IWP17'!$G$277</definedName>
    <definedName name="Std11dot1KitchenWidth" localSheetId="18">'IWP18'!$G$277</definedName>
    <definedName name="Std11dot1KitchenWidth" localSheetId="19">'IWP19'!$G$277</definedName>
    <definedName name="Std11dot1KitchenWidth" localSheetId="20">'IWP20'!$G$277</definedName>
    <definedName name="Std11dot1KitchenWidth" localSheetId="21">'IWP21'!$G$277</definedName>
    <definedName name="Std11dot1KitchenWidth" localSheetId="22">'IWP22'!$G$277</definedName>
    <definedName name="Std11dot1KitchenWidth" localSheetId="23">'IWP23'!$G$277</definedName>
    <definedName name="Std11dot1KitchenWidth" localSheetId="24">'IWP24'!$G$277</definedName>
    <definedName name="Std11dot1KitchenWidth" localSheetId="25">'IWP25'!$G$277</definedName>
    <definedName name="Std11dot1KitchenWidth" localSheetId="26">'IWP26'!$G$277</definedName>
    <definedName name="Std11dot1KitchenWidth" localSheetId="27">'IWP27'!$G$277</definedName>
    <definedName name="Std11dot1KitchenWidth" localSheetId="28">'IWP28'!$G$277</definedName>
    <definedName name="Std11dot1KitchenWidth" localSheetId="29">'IWP29'!$G$277</definedName>
    <definedName name="Std11dot1KitchenWidth" localSheetId="30">'IWP30'!$G$277</definedName>
    <definedName name="Std11dot1KitchenWidth">#REF!</definedName>
    <definedName name="Std11dot1LicensedCapacity" localSheetId="1">'IWP01'!$J$301</definedName>
    <definedName name="Std11dot1LicensedCapacity" localSheetId="2">'IWP02'!$J$301</definedName>
    <definedName name="Std11dot1LicensedCapacity" localSheetId="3">'IWP03'!$J$301</definedName>
    <definedName name="Std11dot1LicensedCapacity" localSheetId="4">'IWP04'!$J$301</definedName>
    <definedName name="Std11dot1LicensedCapacity" localSheetId="5">'IWP05'!$J$301</definedName>
    <definedName name="Std11dot1LicensedCapacity" localSheetId="6">'IWP06'!$J$301</definedName>
    <definedName name="Std11dot1LicensedCapacity" localSheetId="7">'IWP07'!$J$301</definedName>
    <definedName name="Std11dot1LicensedCapacity" localSheetId="8">'IWP08'!$J$301</definedName>
    <definedName name="Std11dot1LicensedCapacity" localSheetId="9">'IWP09'!$J$301</definedName>
    <definedName name="Std11dot1LicensedCapacity" localSheetId="10">'IWP10'!$J$301</definedName>
    <definedName name="Std11dot1LicensedCapacity" localSheetId="11">'IWP11'!$J$301</definedName>
    <definedName name="Std11dot1LicensedCapacity" localSheetId="12">'IWP12'!$J$301</definedName>
    <definedName name="Std11dot1LicensedCapacity" localSheetId="13">'IWP13'!$J$301</definedName>
    <definedName name="Std11dot1LicensedCapacity" localSheetId="14">'IWP14'!$J$301</definedName>
    <definedName name="Std11dot1LicensedCapacity" localSheetId="15">'IWP15'!$J$301</definedName>
    <definedName name="Std11dot1LicensedCapacity" localSheetId="16">'IWP16'!$J$301</definedName>
    <definedName name="Std11dot1LicensedCapacity" localSheetId="17">'IWP17'!$J$301</definedName>
    <definedName name="Std11dot1LicensedCapacity" localSheetId="18">'IWP18'!$J$301</definedName>
    <definedName name="Std11dot1LicensedCapacity" localSheetId="19">'IWP19'!$J$301</definedName>
    <definedName name="Std11dot1LicensedCapacity" localSheetId="20">'IWP20'!$J$301</definedName>
    <definedName name="Std11dot1LicensedCapacity" localSheetId="21">'IWP21'!$J$301</definedName>
    <definedName name="Std11dot1LicensedCapacity" localSheetId="22">'IWP22'!$J$301</definedName>
    <definedName name="Std11dot1LicensedCapacity" localSheetId="23">'IWP23'!$J$301</definedName>
    <definedName name="Std11dot1LicensedCapacity" localSheetId="24">'IWP24'!$J$301</definedName>
    <definedName name="Std11dot1LicensedCapacity" localSheetId="25">'IWP25'!$J$301</definedName>
    <definedName name="Std11dot1LicensedCapacity" localSheetId="26">'IWP26'!$J$301</definedName>
    <definedName name="Std11dot1LicensedCapacity" localSheetId="27">'IWP27'!$J$301</definedName>
    <definedName name="Std11dot1LicensedCapacity" localSheetId="28">'IWP28'!$J$301</definedName>
    <definedName name="Std11dot1LicensedCapacity" localSheetId="29">'IWP29'!$J$301</definedName>
    <definedName name="Std11dot1LicensedCapacity" localSheetId="30">'IWP30'!$J$301</definedName>
    <definedName name="Std11dot1LicensedCapacity">#REF!</definedName>
    <definedName name="Std11dot1LivingLength" localSheetId="1">'IWP01'!$H$274</definedName>
    <definedName name="Std11dot1LivingLength" localSheetId="2">'IWP02'!$H$274</definedName>
    <definedName name="Std11dot1LivingLength" localSheetId="3">'IWP03'!$H$274</definedName>
    <definedName name="Std11dot1LivingLength" localSheetId="4">'IWP04'!$H$274</definedName>
    <definedName name="Std11dot1LivingLength" localSheetId="5">'IWP05'!$H$274</definedName>
    <definedName name="Std11dot1LivingLength" localSheetId="6">'IWP06'!$H$274</definedName>
    <definedName name="Std11dot1LivingLength" localSheetId="7">'IWP07'!$H$274</definedName>
    <definedName name="Std11dot1LivingLength" localSheetId="8">'IWP08'!$H$274</definedName>
    <definedName name="Std11dot1LivingLength" localSheetId="9">'IWP09'!$H$274</definedName>
    <definedName name="Std11dot1LivingLength" localSheetId="10">'IWP10'!$H$274</definedName>
    <definedName name="Std11dot1LivingLength" localSheetId="11">'IWP11'!$H$274</definedName>
    <definedName name="Std11dot1LivingLength" localSheetId="12">'IWP12'!$H$274</definedName>
    <definedName name="Std11dot1LivingLength" localSheetId="13">'IWP13'!$H$274</definedName>
    <definedName name="Std11dot1LivingLength" localSheetId="14">'IWP14'!$H$274</definedName>
    <definedName name="Std11dot1LivingLength" localSheetId="15">'IWP15'!$H$274</definedName>
    <definedName name="Std11dot1LivingLength" localSheetId="16">'IWP16'!$H$274</definedName>
    <definedName name="Std11dot1LivingLength" localSheetId="17">'IWP17'!$H$274</definedName>
    <definedName name="Std11dot1LivingLength" localSheetId="18">'IWP18'!$H$274</definedName>
    <definedName name="Std11dot1LivingLength" localSheetId="19">'IWP19'!$H$274</definedName>
    <definedName name="Std11dot1LivingLength" localSheetId="20">'IWP20'!$H$274</definedName>
    <definedName name="Std11dot1LivingLength" localSheetId="21">'IWP21'!$H$274</definedName>
    <definedName name="Std11dot1LivingLength" localSheetId="22">'IWP22'!$H$274</definedName>
    <definedName name="Std11dot1LivingLength" localSheetId="23">'IWP23'!$H$274</definedName>
    <definedName name="Std11dot1LivingLength" localSheetId="24">'IWP24'!$H$274</definedName>
    <definedName name="Std11dot1LivingLength" localSheetId="25">'IWP25'!$H$274</definedName>
    <definedName name="Std11dot1LivingLength" localSheetId="26">'IWP26'!$H$274</definedName>
    <definedName name="Std11dot1LivingLength" localSheetId="27">'IWP27'!$H$274</definedName>
    <definedName name="Std11dot1LivingLength" localSheetId="28">'IWP28'!$H$274</definedName>
    <definedName name="Std11dot1LivingLength" localSheetId="29">'IWP29'!$H$274</definedName>
    <definedName name="Std11dot1LivingLength" localSheetId="30">'IWP30'!$H$274</definedName>
    <definedName name="Std11dot1LivingLength">#REF!</definedName>
    <definedName name="Std11dot1LivingSqFt" localSheetId="1">'IWP01'!$I$274</definedName>
    <definedName name="Std11dot1LivingSqFt" localSheetId="2">'IWP02'!$I$274</definedName>
    <definedName name="Std11dot1LivingSqFt" localSheetId="3">'IWP03'!$I$274</definedName>
    <definedName name="Std11dot1LivingSqFt" localSheetId="4">'IWP04'!$I$274</definedName>
    <definedName name="Std11dot1LivingSqFt" localSheetId="5">'IWP05'!$I$274</definedName>
    <definedName name="Std11dot1LivingSqFt" localSheetId="6">'IWP06'!$I$274</definedName>
    <definedName name="Std11dot1LivingSqFt" localSheetId="7">'IWP07'!$I$274</definedName>
    <definedName name="Std11dot1LivingSqFt" localSheetId="8">'IWP08'!$I$274</definedName>
    <definedName name="Std11dot1LivingSqFt" localSheetId="9">'IWP09'!$I$274</definedName>
    <definedName name="Std11dot1LivingSqFt" localSheetId="10">'IWP10'!$I$274</definedName>
    <definedName name="Std11dot1LivingSqFt" localSheetId="11">'IWP11'!$I$274</definedName>
    <definedName name="Std11dot1LivingSqFt" localSheetId="12">'IWP12'!$I$274</definedName>
    <definedName name="Std11dot1LivingSqFt" localSheetId="13">'IWP13'!$I$274</definedName>
    <definedName name="Std11dot1LivingSqFt" localSheetId="14">'IWP14'!$I$274</definedName>
    <definedName name="Std11dot1LivingSqFt" localSheetId="15">'IWP15'!$I$274</definedName>
    <definedName name="Std11dot1LivingSqFt" localSheetId="16">'IWP16'!$I$274</definedName>
    <definedName name="Std11dot1LivingSqFt" localSheetId="17">'IWP17'!$I$274</definedName>
    <definedName name="Std11dot1LivingSqFt" localSheetId="18">'IWP18'!$I$274</definedName>
    <definedName name="Std11dot1LivingSqFt" localSheetId="19">'IWP19'!$I$274</definedName>
    <definedName name="Std11dot1LivingSqFt" localSheetId="20">'IWP20'!$I$274</definedName>
    <definedName name="Std11dot1LivingSqFt" localSheetId="21">'IWP21'!$I$274</definedName>
    <definedName name="Std11dot1LivingSqFt" localSheetId="22">'IWP22'!$I$274</definedName>
    <definedName name="Std11dot1LivingSqFt" localSheetId="23">'IWP23'!$I$274</definedName>
    <definedName name="Std11dot1LivingSqFt" localSheetId="24">'IWP24'!$I$274</definedName>
    <definedName name="Std11dot1LivingSqFt" localSheetId="25">'IWP25'!$I$274</definedName>
    <definedName name="Std11dot1LivingSqFt" localSheetId="26">'IWP26'!$I$274</definedName>
    <definedName name="Std11dot1LivingSqFt" localSheetId="27">'IWP27'!$I$274</definedName>
    <definedName name="Std11dot1LivingSqFt" localSheetId="28">'IWP28'!$I$274</definedName>
    <definedName name="Std11dot1LivingSqFt" localSheetId="29">'IWP29'!$I$274</definedName>
    <definedName name="Std11dot1LivingSqFt" localSheetId="30">'IWP30'!$I$274</definedName>
    <definedName name="Std11dot1LivingSqFt">#REF!</definedName>
    <definedName name="Std11dot1LivingWidth" localSheetId="1">'IWP01'!$G$274</definedName>
    <definedName name="Std11dot1LivingWidth" localSheetId="2">'IWP02'!$G$274</definedName>
    <definedName name="Std11dot1LivingWidth" localSheetId="3">'IWP03'!$G$274</definedName>
    <definedName name="Std11dot1LivingWidth" localSheetId="4">'IWP04'!$G$274</definedName>
    <definedName name="Std11dot1LivingWidth" localSheetId="5">'IWP05'!$G$274</definedName>
    <definedName name="Std11dot1LivingWidth" localSheetId="6">'IWP06'!$G$274</definedName>
    <definedName name="Std11dot1LivingWidth" localSheetId="7">'IWP07'!$G$274</definedName>
    <definedName name="Std11dot1LivingWidth" localSheetId="8">'IWP08'!$G$274</definedName>
    <definedName name="Std11dot1LivingWidth" localSheetId="9">'IWP09'!$G$274</definedName>
    <definedName name="Std11dot1LivingWidth" localSheetId="10">'IWP10'!$G$274</definedName>
    <definedName name="Std11dot1LivingWidth" localSheetId="11">'IWP11'!$G$274</definedName>
    <definedName name="Std11dot1LivingWidth" localSheetId="12">'IWP12'!$G$274</definedName>
    <definedName name="Std11dot1LivingWidth" localSheetId="13">'IWP13'!$G$274</definedName>
    <definedName name="Std11dot1LivingWidth" localSheetId="14">'IWP14'!$G$274</definedName>
    <definedName name="Std11dot1LivingWidth" localSheetId="15">'IWP15'!$G$274</definedName>
    <definedName name="Std11dot1LivingWidth" localSheetId="16">'IWP16'!$G$274</definedName>
    <definedName name="Std11dot1LivingWidth" localSheetId="17">'IWP17'!$G$274</definedName>
    <definedName name="Std11dot1LivingWidth" localSheetId="18">'IWP18'!$G$274</definedName>
    <definedName name="Std11dot1LivingWidth" localSheetId="19">'IWP19'!$G$274</definedName>
    <definedName name="Std11dot1LivingWidth" localSheetId="20">'IWP20'!$G$274</definedName>
    <definedName name="Std11dot1LivingWidth" localSheetId="21">'IWP21'!$G$274</definedName>
    <definedName name="Std11dot1LivingWidth" localSheetId="22">'IWP22'!$G$274</definedName>
    <definedName name="Std11dot1LivingWidth" localSheetId="23">'IWP23'!$G$274</definedName>
    <definedName name="Std11dot1LivingWidth" localSheetId="24">'IWP24'!$G$274</definedName>
    <definedName name="Std11dot1LivingWidth" localSheetId="25">'IWP25'!$G$274</definedName>
    <definedName name="Std11dot1LivingWidth" localSheetId="26">'IWP26'!$G$274</definedName>
    <definedName name="Std11dot1LivingWidth" localSheetId="27">'IWP27'!$G$274</definedName>
    <definedName name="Std11dot1LivingWidth" localSheetId="28">'IWP28'!$G$274</definedName>
    <definedName name="Std11dot1LivingWidth" localSheetId="29">'IWP29'!$G$274</definedName>
    <definedName name="Std11dot1LivingWidth" localSheetId="30">'IWP30'!$G$274</definedName>
    <definedName name="Std11dot1LivingWidth">#REF!</definedName>
    <definedName name="Std11dot1PrivateBedSpace" localSheetId="1">'IWP01'!$F$275</definedName>
    <definedName name="Std11dot1PrivateBedSpace" localSheetId="2">'IWP02'!$F$275</definedName>
    <definedName name="Std11dot1PrivateBedSpace" localSheetId="3">'IWP03'!$F$275</definedName>
    <definedName name="Std11dot1PrivateBedSpace" localSheetId="4">'IWP04'!$F$275</definedName>
    <definedName name="Std11dot1PrivateBedSpace" localSheetId="5">'IWP05'!$F$275</definedName>
    <definedName name="Std11dot1PrivateBedSpace" localSheetId="6">'IWP06'!$F$275</definedName>
    <definedName name="Std11dot1PrivateBedSpace" localSheetId="7">'IWP07'!$F$275</definedName>
    <definedName name="Std11dot1PrivateBedSpace" localSheetId="8">'IWP08'!$F$275</definedName>
    <definedName name="Std11dot1PrivateBedSpace" localSheetId="9">'IWP09'!$F$275</definedName>
    <definedName name="Std11dot1PrivateBedSpace" localSheetId="10">'IWP10'!$F$275</definedName>
    <definedName name="Std11dot1PrivateBedSpace" localSheetId="11">'IWP11'!$F$275</definedName>
    <definedName name="Std11dot1PrivateBedSpace" localSheetId="12">'IWP12'!$F$275</definedName>
    <definedName name="Std11dot1PrivateBedSpace" localSheetId="13">'IWP13'!$F$275</definedName>
    <definedName name="Std11dot1PrivateBedSpace" localSheetId="14">'IWP14'!$F$275</definedName>
    <definedName name="Std11dot1PrivateBedSpace" localSheetId="15">'IWP15'!$F$275</definedName>
    <definedName name="Std11dot1PrivateBedSpace" localSheetId="16">'IWP16'!$F$275</definedName>
    <definedName name="Std11dot1PrivateBedSpace" localSheetId="17">'IWP17'!$F$275</definedName>
    <definedName name="Std11dot1PrivateBedSpace" localSheetId="18">'IWP18'!$F$275</definedName>
    <definedName name="Std11dot1PrivateBedSpace" localSheetId="19">'IWP19'!$F$275</definedName>
    <definedName name="Std11dot1PrivateBedSpace" localSheetId="20">'IWP20'!$F$275</definedName>
    <definedName name="Std11dot1PrivateBedSpace" localSheetId="21">'IWP21'!$F$275</definedName>
    <definedName name="Std11dot1PrivateBedSpace" localSheetId="22">'IWP22'!$F$275</definedName>
    <definedName name="Std11dot1PrivateBedSpace" localSheetId="23">'IWP23'!$F$275</definedName>
    <definedName name="Std11dot1PrivateBedSpace" localSheetId="24">'IWP24'!$F$275</definedName>
    <definedName name="Std11dot1PrivateBedSpace" localSheetId="25">'IWP25'!$F$275</definedName>
    <definedName name="Std11dot1PrivateBedSpace" localSheetId="26">'IWP26'!$F$275</definedName>
    <definedName name="Std11dot1PrivateBedSpace" localSheetId="27">'IWP27'!$F$275</definedName>
    <definedName name="Std11dot1PrivateBedSpace" localSheetId="28">'IWP28'!$F$275</definedName>
    <definedName name="Std11dot1PrivateBedSpace" localSheetId="29">'IWP29'!$F$275</definedName>
    <definedName name="Std11dot1PrivateBedSpace" localSheetId="30">'IWP30'!$F$275</definedName>
    <definedName name="Std11dot1PrivateBedSpace">#REF!</definedName>
    <definedName name="Std11dot1PrivateKitchenSpace" localSheetId="1">'IWP01'!$F$277</definedName>
    <definedName name="Std11dot1PrivateKitchenSpace" localSheetId="2">'IWP02'!$F$277</definedName>
    <definedName name="Std11dot1PrivateKitchenSpace" localSheetId="3">'IWP03'!$F$277</definedName>
    <definedName name="Std11dot1PrivateKitchenSpace" localSheetId="4">'IWP04'!$F$277</definedName>
    <definedName name="Std11dot1PrivateKitchenSpace" localSheetId="5">'IWP05'!$F$277</definedName>
    <definedName name="Std11dot1PrivateKitchenSpace" localSheetId="6">'IWP06'!$F$277</definedName>
    <definedName name="Std11dot1PrivateKitchenSpace" localSheetId="7">'IWP07'!$F$277</definedName>
    <definedName name="Std11dot1PrivateKitchenSpace" localSheetId="8">'IWP08'!$F$277</definedName>
    <definedName name="Std11dot1PrivateKitchenSpace" localSheetId="9">'IWP09'!$F$277</definedName>
    <definedName name="Std11dot1PrivateKitchenSpace" localSheetId="10">'IWP10'!$F$277</definedName>
    <definedName name="Std11dot1PrivateKitchenSpace" localSheetId="11">'IWP11'!$F$277</definedName>
    <definedName name="Std11dot1PrivateKitchenSpace" localSheetId="12">'IWP12'!$F$277</definedName>
    <definedName name="Std11dot1PrivateKitchenSpace" localSheetId="13">'IWP13'!$F$277</definedName>
    <definedName name="Std11dot1PrivateKitchenSpace" localSheetId="14">'IWP14'!$F$277</definedName>
    <definedName name="Std11dot1PrivateKitchenSpace" localSheetId="15">'IWP15'!$F$277</definedName>
    <definedName name="Std11dot1PrivateKitchenSpace" localSheetId="16">'IWP16'!$F$277</definedName>
    <definedName name="Std11dot1PrivateKitchenSpace" localSheetId="17">'IWP17'!$F$277</definedName>
    <definedName name="Std11dot1PrivateKitchenSpace" localSheetId="18">'IWP18'!$F$277</definedName>
    <definedName name="Std11dot1PrivateKitchenSpace" localSheetId="19">'IWP19'!$F$277</definedName>
    <definedName name="Std11dot1PrivateKitchenSpace" localSheetId="20">'IWP20'!$F$277</definedName>
    <definedName name="Std11dot1PrivateKitchenSpace" localSheetId="21">'IWP21'!$F$277</definedName>
    <definedName name="Std11dot1PrivateKitchenSpace" localSheetId="22">'IWP22'!$F$277</definedName>
    <definedName name="Std11dot1PrivateKitchenSpace" localSheetId="23">'IWP23'!$F$277</definedName>
    <definedName name="Std11dot1PrivateKitchenSpace" localSheetId="24">'IWP24'!$F$277</definedName>
    <definedName name="Std11dot1PrivateKitchenSpace" localSheetId="25">'IWP25'!$F$277</definedName>
    <definedName name="Std11dot1PrivateKitchenSpace" localSheetId="26">'IWP26'!$F$277</definedName>
    <definedName name="Std11dot1PrivateKitchenSpace" localSheetId="27">'IWP27'!$F$277</definedName>
    <definedName name="Std11dot1PrivateKitchenSpace" localSheetId="28">'IWP28'!$F$277</definedName>
    <definedName name="Std11dot1PrivateKitchenSpace" localSheetId="29">'IWP29'!$F$277</definedName>
    <definedName name="Std11dot1PrivateKitchenSpace" localSheetId="30">'IWP30'!$F$277</definedName>
    <definedName name="Std11dot1PrivateKitchenSpace">#REF!</definedName>
    <definedName name="Std11dot1PrivateLivingSpace" localSheetId="1">'IWP01'!$F$274</definedName>
    <definedName name="Std11dot1PrivateLivingSpace" localSheetId="2">'IWP02'!$F$274</definedName>
    <definedName name="Std11dot1PrivateLivingSpace" localSheetId="3">'IWP03'!$F$274</definedName>
    <definedName name="Std11dot1PrivateLivingSpace" localSheetId="4">'IWP04'!$F$274</definedName>
    <definedName name="Std11dot1PrivateLivingSpace" localSheetId="5">'IWP05'!$F$274</definedName>
    <definedName name="Std11dot1PrivateLivingSpace" localSheetId="6">'IWP06'!$F$274</definedName>
    <definedName name="Std11dot1PrivateLivingSpace" localSheetId="7">'IWP07'!$F$274</definedName>
    <definedName name="Std11dot1PrivateLivingSpace" localSheetId="8">'IWP08'!$F$274</definedName>
    <definedName name="Std11dot1PrivateLivingSpace" localSheetId="9">'IWP09'!$F$274</definedName>
    <definedName name="Std11dot1PrivateLivingSpace" localSheetId="10">'IWP10'!$F$274</definedName>
    <definedName name="Std11dot1PrivateLivingSpace" localSheetId="11">'IWP11'!$F$274</definedName>
    <definedName name="Std11dot1PrivateLivingSpace" localSheetId="12">'IWP12'!$F$274</definedName>
    <definedName name="Std11dot1PrivateLivingSpace" localSheetId="13">'IWP13'!$F$274</definedName>
    <definedName name="Std11dot1PrivateLivingSpace" localSheetId="14">'IWP14'!$F$274</definedName>
    <definedName name="Std11dot1PrivateLivingSpace" localSheetId="15">'IWP15'!$F$274</definedName>
    <definedName name="Std11dot1PrivateLivingSpace" localSheetId="16">'IWP16'!$F$274</definedName>
    <definedName name="Std11dot1PrivateLivingSpace" localSheetId="17">'IWP17'!$F$274</definedName>
    <definedName name="Std11dot1PrivateLivingSpace" localSheetId="18">'IWP18'!$F$274</definedName>
    <definedName name="Std11dot1PrivateLivingSpace" localSheetId="19">'IWP19'!$F$274</definedName>
    <definedName name="Std11dot1PrivateLivingSpace" localSheetId="20">'IWP20'!$F$274</definedName>
    <definedName name="Std11dot1PrivateLivingSpace" localSheetId="21">'IWP21'!$F$274</definedName>
    <definedName name="Std11dot1PrivateLivingSpace" localSheetId="22">'IWP22'!$F$274</definedName>
    <definedName name="Std11dot1PrivateLivingSpace" localSheetId="23">'IWP23'!$F$274</definedName>
    <definedName name="Std11dot1PrivateLivingSpace" localSheetId="24">'IWP24'!$F$274</definedName>
    <definedName name="Std11dot1PrivateLivingSpace" localSheetId="25">'IWP25'!$F$274</definedName>
    <definedName name="Std11dot1PrivateLivingSpace" localSheetId="26">'IWP26'!$F$274</definedName>
    <definedName name="Std11dot1PrivateLivingSpace" localSheetId="27">'IWP27'!$F$274</definedName>
    <definedName name="Std11dot1PrivateLivingSpace" localSheetId="28">'IWP28'!$F$274</definedName>
    <definedName name="Std11dot1PrivateLivingSpace" localSheetId="29">'IWP29'!$F$274</definedName>
    <definedName name="Std11dot1PrivateLivingSpace" localSheetId="30">'IWP30'!$F$274</definedName>
    <definedName name="Std11dot1PrivateLivingSpace">#REF!</definedName>
    <definedName name="Std11dot1PrivateSpaceSquareFootagePerResident" localSheetId="1">'IWP01'!$J$288</definedName>
    <definedName name="Std11dot1PrivateSpaceSquareFootagePerResident" localSheetId="2">'IWP02'!$J$288</definedName>
    <definedName name="Std11dot1PrivateSpaceSquareFootagePerResident" localSheetId="3">'IWP03'!$J$288</definedName>
    <definedName name="Std11dot1PrivateSpaceSquareFootagePerResident" localSheetId="4">'IWP04'!$J$288</definedName>
    <definedName name="Std11dot1PrivateSpaceSquareFootagePerResident" localSheetId="5">'IWP05'!$J$288</definedName>
    <definedName name="Std11dot1PrivateSpaceSquareFootagePerResident" localSheetId="6">'IWP06'!$J$288</definedName>
    <definedName name="Std11dot1PrivateSpaceSquareFootagePerResident" localSheetId="7">'IWP07'!$J$288</definedName>
    <definedName name="Std11dot1PrivateSpaceSquareFootagePerResident" localSheetId="8">'IWP08'!$J$288</definedName>
    <definedName name="Std11dot1PrivateSpaceSquareFootagePerResident" localSheetId="9">'IWP09'!$J$288</definedName>
    <definedName name="Std11dot1PrivateSpaceSquareFootagePerResident" localSheetId="10">'IWP10'!$J$288</definedName>
    <definedName name="Std11dot1PrivateSpaceSquareFootagePerResident" localSheetId="11">'IWP11'!$J$288</definedName>
    <definedName name="Std11dot1PrivateSpaceSquareFootagePerResident" localSheetId="12">'IWP12'!$J$288</definedName>
    <definedName name="Std11dot1PrivateSpaceSquareFootagePerResident" localSheetId="13">'IWP13'!$J$288</definedName>
    <definedName name="Std11dot1PrivateSpaceSquareFootagePerResident" localSheetId="14">'IWP14'!$J$288</definedName>
    <definedName name="Std11dot1PrivateSpaceSquareFootagePerResident" localSheetId="15">'IWP15'!$J$288</definedName>
    <definedName name="Std11dot1PrivateSpaceSquareFootagePerResident" localSheetId="16">'IWP16'!$J$288</definedName>
    <definedName name="Std11dot1PrivateSpaceSquareFootagePerResident" localSheetId="17">'IWP17'!$J$288</definedName>
    <definedName name="Std11dot1PrivateSpaceSquareFootagePerResident" localSheetId="18">'IWP18'!$J$288</definedName>
    <definedName name="Std11dot1PrivateSpaceSquareFootagePerResident" localSheetId="19">'IWP19'!$J$288</definedName>
    <definedName name="Std11dot1PrivateSpaceSquareFootagePerResident" localSheetId="20">'IWP20'!$J$288</definedName>
    <definedName name="Std11dot1PrivateSpaceSquareFootagePerResident" localSheetId="21">'IWP21'!$J$288</definedName>
    <definedName name="Std11dot1PrivateSpaceSquareFootagePerResident" localSheetId="22">'IWP22'!$J$288</definedName>
    <definedName name="Std11dot1PrivateSpaceSquareFootagePerResident" localSheetId="23">'IWP23'!$J$288</definedName>
    <definedName name="Std11dot1PrivateSpaceSquareFootagePerResident" localSheetId="24">'IWP24'!$J$288</definedName>
    <definedName name="Std11dot1PrivateSpaceSquareFootagePerResident" localSheetId="25">'IWP25'!$J$288</definedName>
    <definedName name="Std11dot1PrivateSpaceSquareFootagePerResident" localSheetId="26">'IWP26'!$J$288</definedName>
    <definedName name="Std11dot1PrivateSpaceSquareFootagePerResident" localSheetId="27">'IWP27'!$J$288</definedName>
    <definedName name="Std11dot1PrivateSpaceSquareFootagePerResident" localSheetId="28">'IWP28'!$J$288</definedName>
    <definedName name="Std11dot1PrivateSpaceSquareFootagePerResident" localSheetId="29">'IWP29'!$J$288</definedName>
    <definedName name="Std11dot1PrivateSpaceSquareFootagePerResident" localSheetId="30">'IWP30'!$J$288</definedName>
    <definedName name="Std11dot1PrivateSpaceSquareFootagePerResident">#REF!</definedName>
    <definedName name="Std11dot1PrivateStorageSpace" localSheetId="1">'IWP01'!$F$276</definedName>
    <definedName name="Std11dot1PrivateStorageSpace" localSheetId="2">'IWP02'!$F$276</definedName>
    <definedName name="Std11dot1PrivateStorageSpace" localSheetId="3">'IWP03'!$F$276</definedName>
    <definedName name="Std11dot1PrivateStorageSpace" localSheetId="4">'IWP04'!$F$276</definedName>
    <definedName name="Std11dot1PrivateStorageSpace" localSheetId="5">'IWP05'!$F$276</definedName>
    <definedName name="Std11dot1PrivateStorageSpace" localSheetId="6">'IWP06'!$F$276</definedName>
    <definedName name="Std11dot1PrivateStorageSpace" localSheetId="7">'IWP07'!$F$276</definedName>
    <definedName name="Std11dot1PrivateStorageSpace" localSheetId="8">'IWP08'!$F$276</definedName>
    <definedName name="Std11dot1PrivateStorageSpace" localSheetId="9">'IWP09'!$F$276</definedName>
    <definedName name="Std11dot1PrivateStorageSpace" localSheetId="10">'IWP10'!$F$276</definedName>
    <definedName name="Std11dot1PrivateStorageSpace" localSheetId="11">'IWP11'!$F$276</definedName>
    <definedName name="Std11dot1PrivateStorageSpace" localSheetId="12">'IWP12'!$F$276</definedName>
    <definedName name="Std11dot1PrivateStorageSpace" localSheetId="13">'IWP13'!$F$276</definedName>
    <definedName name="Std11dot1PrivateStorageSpace" localSheetId="14">'IWP14'!$F$276</definedName>
    <definedName name="Std11dot1PrivateStorageSpace" localSheetId="15">'IWP15'!$F$276</definedName>
    <definedName name="Std11dot1PrivateStorageSpace" localSheetId="16">'IWP16'!$F$276</definedName>
    <definedName name="Std11dot1PrivateStorageSpace" localSheetId="17">'IWP17'!$F$276</definedName>
    <definedName name="Std11dot1PrivateStorageSpace" localSheetId="18">'IWP18'!$F$276</definedName>
    <definedName name="Std11dot1PrivateStorageSpace" localSheetId="19">'IWP19'!$F$276</definedName>
    <definedName name="Std11dot1PrivateStorageSpace" localSheetId="20">'IWP20'!$F$276</definedName>
    <definedName name="Std11dot1PrivateStorageSpace" localSheetId="21">'IWP21'!$F$276</definedName>
    <definedName name="Std11dot1PrivateStorageSpace" localSheetId="22">'IWP22'!$F$276</definedName>
    <definedName name="Std11dot1PrivateStorageSpace" localSheetId="23">'IWP23'!$F$276</definedName>
    <definedName name="Std11dot1PrivateStorageSpace" localSheetId="24">'IWP24'!$F$276</definedName>
    <definedName name="Std11dot1PrivateStorageSpace" localSheetId="25">'IWP25'!$F$276</definedName>
    <definedName name="Std11dot1PrivateStorageSpace" localSheetId="26">'IWP26'!$F$276</definedName>
    <definedName name="Std11dot1PrivateStorageSpace" localSheetId="27">'IWP27'!$F$276</definedName>
    <definedName name="Std11dot1PrivateStorageSpace" localSheetId="28">'IWP28'!$F$276</definedName>
    <definedName name="Std11dot1PrivateStorageSpace" localSheetId="29">'IWP29'!$F$276</definedName>
    <definedName name="Std11dot1PrivateStorageSpace" localSheetId="30">'IWP30'!$F$276</definedName>
    <definedName name="Std11dot1PrivateStorageSpace">#REF!</definedName>
    <definedName name="Std11dot1Refrigerator" localSheetId="1">'IWP01'!$F$279</definedName>
    <definedName name="Std11dot1Refrigerator" localSheetId="2">'IWP02'!$F$279</definedName>
    <definedName name="Std11dot1Refrigerator" localSheetId="3">'IWP03'!$F$279</definedName>
    <definedName name="Std11dot1Refrigerator" localSheetId="4">'IWP04'!$F$279</definedName>
    <definedName name="Std11dot1Refrigerator" localSheetId="5">'IWP05'!$F$279</definedName>
    <definedName name="Std11dot1Refrigerator" localSheetId="6">'IWP06'!$F$279</definedName>
    <definedName name="Std11dot1Refrigerator" localSheetId="7">'IWP07'!$F$279</definedName>
    <definedName name="Std11dot1Refrigerator" localSheetId="8">'IWP08'!$F$279</definedName>
    <definedName name="Std11dot1Refrigerator" localSheetId="9">'IWP09'!$F$279</definedName>
    <definedName name="Std11dot1Refrigerator" localSheetId="10">'IWP10'!$F$279</definedName>
    <definedName name="Std11dot1Refrigerator" localSheetId="11">'IWP11'!$F$279</definedName>
    <definedName name="Std11dot1Refrigerator" localSheetId="12">'IWP12'!$F$279</definedName>
    <definedName name="Std11dot1Refrigerator" localSheetId="13">'IWP13'!$F$279</definedName>
    <definedName name="Std11dot1Refrigerator" localSheetId="14">'IWP14'!$F$279</definedName>
    <definedName name="Std11dot1Refrigerator" localSheetId="15">'IWP15'!$F$279</definedName>
    <definedName name="Std11dot1Refrigerator" localSheetId="16">'IWP16'!$F$279</definedName>
    <definedName name="Std11dot1Refrigerator" localSheetId="17">'IWP17'!$F$279</definedName>
    <definedName name="Std11dot1Refrigerator" localSheetId="18">'IWP18'!$F$279</definedName>
    <definedName name="Std11dot1Refrigerator" localSheetId="19">'IWP19'!$F$279</definedName>
    <definedName name="Std11dot1Refrigerator" localSheetId="20">'IWP20'!$F$279</definedName>
    <definedName name="Std11dot1Refrigerator" localSheetId="21">'IWP21'!$F$279</definedName>
    <definedName name="Std11dot1Refrigerator" localSheetId="22">'IWP22'!$F$279</definedName>
    <definedName name="Std11dot1Refrigerator" localSheetId="23">'IWP23'!$F$279</definedName>
    <definedName name="Std11dot1Refrigerator" localSheetId="24">'IWP24'!$F$279</definedName>
    <definedName name="Std11dot1Refrigerator" localSheetId="25">'IWP25'!$F$279</definedName>
    <definedName name="Std11dot1Refrigerator" localSheetId="26">'IWP26'!$F$279</definedName>
    <definedName name="Std11dot1Refrigerator" localSheetId="27">'IWP27'!$F$279</definedName>
    <definedName name="Std11dot1Refrigerator" localSheetId="28">'IWP28'!$F$279</definedName>
    <definedName name="Std11dot1Refrigerator" localSheetId="29">'IWP29'!$F$279</definedName>
    <definedName name="Std11dot1Refrigerator" localSheetId="30">'IWP30'!$F$279</definedName>
    <definedName name="Std11dot1Refrigerator">#REF!</definedName>
    <definedName name="Std11dot1SeparateBath" localSheetId="1">'IWP01'!$F$281</definedName>
    <definedName name="Std11dot1SeparateBath" localSheetId="2">'IWP02'!$F$281</definedName>
    <definedName name="Std11dot1SeparateBath" localSheetId="3">'IWP03'!$F$281</definedName>
    <definedName name="Std11dot1SeparateBath" localSheetId="4">'IWP04'!$F$281</definedName>
    <definedName name="Std11dot1SeparateBath" localSheetId="5">'IWP05'!$F$281</definedName>
    <definedName name="Std11dot1SeparateBath" localSheetId="6">'IWP06'!$F$281</definedName>
    <definedName name="Std11dot1SeparateBath" localSheetId="7">'IWP07'!$F$281</definedName>
    <definedName name="Std11dot1SeparateBath" localSheetId="8">'IWP08'!$F$281</definedName>
    <definedName name="Std11dot1SeparateBath" localSheetId="9">'IWP09'!$F$281</definedName>
    <definedName name="Std11dot1SeparateBath" localSheetId="10">'IWP10'!$F$281</definedName>
    <definedName name="Std11dot1SeparateBath" localSheetId="11">'IWP11'!$F$281</definedName>
    <definedName name="Std11dot1SeparateBath" localSheetId="12">'IWP12'!$F$281</definedName>
    <definedName name="Std11dot1SeparateBath" localSheetId="13">'IWP13'!$F$281</definedName>
    <definedName name="Std11dot1SeparateBath" localSheetId="14">'IWP14'!$F$281</definedName>
    <definedName name="Std11dot1SeparateBath" localSheetId="15">'IWP15'!$F$281</definedName>
    <definedName name="Std11dot1SeparateBath" localSheetId="16">'IWP16'!$F$281</definedName>
    <definedName name="Std11dot1SeparateBath" localSheetId="17">'IWP17'!$F$281</definedName>
    <definedName name="Std11dot1SeparateBath" localSheetId="18">'IWP18'!$F$281</definedName>
    <definedName name="Std11dot1SeparateBath" localSheetId="19">'IWP19'!$F$281</definedName>
    <definedName name="Std11dot1SeparateBath" localSheetId="20">'IWP20'!$F$281</definedName>
    <definedName name="Std11dot1SeparateBath" localSheetId="21">'IWP21'!$F$281</definedName>
    <definedName name="Std11dot1SeparateBath" localSheetId="22">'IWP22'!$F$281</definedName>
    <definedName name="Std11dot1SeparateBath" localSheetId="23">'IWP23'!$F$281</definedName>
    <definedName name="Std11dot1SeparateBath" localSheetId="24">'IWP24'!$F$281</definedName>
    <definedName name="Std11dot1SeparateBath" localSheetId="25">'IWP25'!$F$281</definedName>
    <definedName name="Std11dot1SeparateBath" localSheetId="26">'IWP26'!$F$281</definedName>
    <definedName name="Std11dot1SeparateBath" localSheetId="27">'IWP27'!$F$281</definedName>
    <definedName name="Std11dot1SeparateBath" localSheetId="28">'IWP28'!$F$281</definedName>
    <definedName name="Std11dot1SeparateBath" localSheetId="29">'IWP29'!$F$281</definedName>
    <definedName name="Std11dot1SeparateBath" localSheetId="30">'IWP30'!$F$281</definedName>
    <definedName name="Std11dot1SeparateBath">#REF!</definedName>
    <definedName name="Std11dot1ShowerTubAccessible" localSheetId="1">'IWP01'!$F$284</definedName>
    <definedName name="Std11dot1ShowerTubAccessible" localSheetId="2">'IWP02'!$F$284</definedName>
    <definedName name="Std11dot1ShowerTubAccessible" localSheetId="3">'IWP03'!$F$284</definedName>
    <definedName name="Std11dot1ShowerTubAccessible" localSheetId="4">'IWP04'!$F$284</definedName>
    <definedName name="Std11dot1ShowerTubAccessible" localSheetId="5">'IWP05'!$F$284</definedName>
    <definedName name="Std11dot1ShowerTubAccessible" localSheetId="6">'IWP06'!$F$284</definedName>
    <definedName name="Std11dot1ShowerTubAccessible" localSheetId="7">'IWP07'!$F$284</definedName>
    <definedName name="Std11dot1ShowerTubAccessible" localSheetId="8">'IWP08'!$F$284</definedName>
    <definedName name="Std11dot1ShowerTubAccessible" localSheetId="9">'IWP09'!$F$284</definedName>
    <definedName name="Std11dot1ShowerTubAccessible" localSheetId="10">'IWP10'!$F$284</definedName>
    <definedName name="Std11dot1ShowerTubAccessible" localSheetId="11">'IWP11'!$F$284</definedName>
    <definedName name="Std11dot1ShowerTubAccessible" localSheetId="12">'IWP12'!$F$284</definedName>
    <definedName name="Std11dot1ShowerTubAccessible" localSheetId="13">'IWP13'!$F$284</definedName>
    <definedName name="Std11dot1ShowerTubAccessible" localSheetId="14">'IWP14'!$F$284</definedName>
    <definedName name="Std11dot1ShowerTubAccessible" localSheetId="15">'IWP15'!$F$284</definedName>
    <definedName name="Std11dot1ShowerTubAccessible" localSheetId="16">'IWP16'!$F$284</definedName>
    <definedName name="Std11dot1ShowerTubAccessible" localSheetId="17">'IWP17'!$F$284</definedName>
    <definedName name="Std11dot1ShowerTubAccessible" localSheetId="18">'IWP18'!$F$284</definedName>
    <definedName name="Std11dot1ShowerTubAccessible" localSheetId="19">'IWP19'!$F$284</definedName>
    <definedName name="Std11dot1ShowerTubAccessible" localSheetId="20">'IWP20'!$F$284</definedName>
    <definedName name="Std11dot1ShowerTubAccessible" localSheetId="21">'IWP21'!$F$284</definedName>
    <definedName name="Std11dot1ShowerTubAccessible" localSheetId="22">'IWP22'!$F$284</definedName>
    <definedName name="Std11dot1ShowerTubAccessible" localSheetId="23">'IWP23'!$F$284</definedName>
    <definedName name="Std11dot1ShowerTubAccessible" localSheetId="24">'IWP24'!$F$284</definedName>
    <definedName name="Std11dot1ShowerTubAccessible" localSheetId="25">'IWP25'!$F$284</definedName>
    <definedName name="Std11dot1ShowerTubAccessible" localSheetId="26">'IWP26'!$F$284</definedName>
    <definedName name="Std11dot1ShowerTubAccessible" localSheetId="27">'IWP27'!$F$284</definedName>
    <definedName name="Std11dot1ShowerTubAccessible" localSheetId="28">'IWP28'!$F$284</definedName>
    <definedName name="Std11dot1ShowerTubAccessible" localSheetId="29">'IWP29'!$F$284</definedName>
    <definedName name="Std11dot1ShowerTubAccessible" localSheetId="30">'IWP30'!$F$284</definedName>
    <definedName name="Std11dot1ShowerTubAccessible">#REF!</definedName>
    <definedName name="Std11dot1StorageLength" localSheetId="1">'IWP01'!$H$276</definedName>
    <definedName name="Std11dot1StorageLength" localSheetId="2">'IWP02'!$H$276</definedName>
    <definedName name="Std11dot1StorageLength" localSheetId="3">'IWP03'!$H$276</definedName>
    <definedName name="Std11dot1StorageLength" localSheetId="4">'IWP04'!$H$276</definedName>
    <definedName name="Std11dot1StorageLength" localSheetId="5">'IWP05'!$H$276</definedName>
    <definedName name="Std11dot1StorageLength" localSheetId="6">'IWP06'!$H$276</definedName>
    <definedName name="Std11dot1StorageLength" localSheetId="7">'IWP07'!$H$276</definedName>
    <definedName name="Std11dot1StorageLength" localSheetId="8">'IWP08'!$H$276</definedName>
    <definedName name="Std11dot1StorageLength" localSheetId="9">'IWP09'!$H$276</definedName>
    <definedName name="Std11dot1StorageLength" localSheetId="10">'IWP10'!$H$276</definedName>
    <definedName name="Std11dot1StorageLength" localSheetId="11">'IWP11'!$H$276</definedName>
    <definedName name="Std11dot1StorageLength" localSheetId="12">'IWP12'!$H$276</definedName>
    <definedName name="Std11dot1StorageLength" localSheetId="13">'IWP13'!$H$276</definedName>
    <definedName name="Std11dot1StorageLength" localSheetId="14">'IWP14'!$H$276</definedName>
    <definedName name="Std11dot1StorageLength" localSheetId="15">'IWP15'!$H$276</definedName>
    <definedName name="Std11dot1StorageLength" localSheetId="16">'IWP16'!$H$276</definedName>
    <definedName name="Std11dot1StorageLength" localSheetId="17">'IWP17'!$H$276</definedName>
    <definedName name="Std11dot1StorageLength" localSheetId="18">'IWP18'!$H$276</definedName>
    <definedName name="Std11dot1StorageLength" localSheetId="19">'IWP19'!$H$276</definedName>
    <definedName name="Std11dot1StorageLength" localSheetId="20">'IWP20'!$H$276</definedName>
    <definedName name="Std11dot1StorageLength" localSheetId="21">'IWP21'!$H$276</definedName>
    <definedName name="Std11dot1StorageLength" localSheetId="22">'IWP22'!$H$276</definedName>
    <definedName name="Std11dot1StorageLength" localSheetId="23">'IWP23'!$H$276</definedName>
    <definedName name="Std11dot1StorageLength" localSheetId="24">'IWP24'!$H$276</definedName>
    <definedName name="Std11dot1StorageLength" localSheetId="25">'IWP25'!$H$276</definedName>
    <definedName name="Std11dot1StorageLength" localSheetId="26">'IWP26'!$H$276</definedName>
    <definedName name="Std11dot1StorageLength" localSheetId="27">'IWP27'!$H$276</definedName>
    <definedName name="Std11dot1StorageLength" localSheetId="28">'IWP28'!$H$276</definedName>
    <definedName name="Std11dot1StorageLength" localSheetId="29">'IWP29'!$H$276</definedName>
    <definedName name="Std11dot1StorageLength" localSheetId="30">'IWP30'!$H$276</definedName>
    <definedName name="Std11dot1StorageLength">#REF!</definedName>
    <definedName name="Std11dot1StorageSqFt" localSheetId="1">'IWP01'!$I$276</definedName>
    <definedName name="Std11dot1StorageSqFt" localSheetId="2">'IWP02'!$I$276</definedName>
    <definedName name="Std11dot1StorageSqFt" localSheetId="3">'IWP03'!$I$276</definedName>
    <definedName name="Std11dot1StorageSqFt" localSheetId="4">'IWP04'!$I$276</definedName>
    <definedName name="Std11dot1StorageSqFt" localSheetId="5">'IWP05'!$I$276</definedName>
    <definedName name="Std11dot1StorageSqFt" localSheetId="6">'IWP06'!$I$276</definedName>
    <definedName name="Std11dot1StorageSqFt" localSheetId="7">'IWP07'!$I$276</definedName>
    <definedName name="Std11dot1StorageSqFt" localSheetId="8">'IWP08'!$I$276</definedName>
    <definedName name="Std11dot1StorageSqFt" localSheetId="9">'IWP09'!$I$276</definedName>
    <definedName name="Std11dot1StorageSqFt" localSheetId="10">'IWP10'!$I$276</definedName>
    <definedName name="Std11dot1StorageSqFt" localSheetId="11">'IWP11'!$I$276</definedName>
    <definedName name="Std11dot1StorageSqFt" localSheetId="12">'IWP12'!$I$276</definedName>
    <definedName name="Std11dot1StorageSqFt" localSheetId="13">'IWP13'!$I$276</definedName>
    <definedName name="Std11dot1StorageSqFt" localSheetId="14">'IWP14'!$I$276</definedName>
    <definedName name="Std11dot1StorageSqFt" localSheetId="15">'IWP15'!$I$276</definedName>
    <definedName name="Std11dot1StorageSqFt" localSheetId="16">'IWP16'!$I$276</definedName>
    <definedName name="Std11dot1StorageSqFt" localSheetId="17">'IWP17'!$I$276</definedName>
    <definedName name="Std11dot1StorageSqFt" localSheetId="18">'IWP18'!$I$276</definedName>
    <definedName name="Std11dot1StorageSqFt" localSheetId="19">'IWP19'!$I$276</definedName>
    <definedName name="Std11dot1StorageSqFt" localSheetId="20">'IWP20'!$I$276</definedName>
    <definedName name="Std11dot1StorageSqFt" localSheetId="21">'IWP21'!$I$276</definedName>
    <definedName name="Std11dot1StorageSqFt" localSheetId="22">'IWP22'!$I$276</definedName>
    <definedName name="Std11dot1StorageSqFt" localSheetId="23">'IWP23'!$I$276</definedName>
    <definedName name="Std11dot1StorageSqFt" localSheetId="24">'IWP24'!$I$276</definedName>
    <definedName name="Std11dot1StorageSqFt" localSheetId="25">'IWP25'!$I$276</definedName>
    <definedName name="Std11dot1StorageSqFt" localSheetId="26">'IWP26'!$I$276</definedName>
    <definedName name="Std11dot1StorageSqFt" localSheetId="27">'IWP27'!$I$276</definedName>
    <definedName name="Std11dot1StorageSqFt" localSheetId="28">'IWP28'!$I$276</definedName>
    <definedName name="Std11dot1StorageSqFt" localSheetId="29">'IWP29'!$I$276</definedName>
    <definedName name="Std11dot1StorageSqFt" localSheetId="30">'IWP30'!$I$276</definedName>
    <definedName name="Std11dot1StorageSqFt">#REF!</definedName>
    <definedName name="Std11dot1StorageWidth" localSheetId="1">'IWP01'!$G$276</definedName>
    <definedName name="Std11dot1StorageWidth" localSheetId="2">'IWP02'!$G$276</definedName>
    <definedName name="Std11dot1StorageWidth" localSheetId="3">'IWP03'!$G$276</definedName>
    <definedName name="Std11dot1StorageWidth" localSheetId="4">'IWP04'!$G$276</definedName>
    <definedName name="Std11dot1StorageWidth" localSheetId="5">'IWP05'!$G$276</definedName>
    <definedName name="Std11dot1StorageWidth" localSheetId="6">'IWP06'!$G$276</definedName>
    <definedName name="Std11dot1StorageWidth" localSheetId="7">'IWP07'!$G$276</definedName>
    <definedName name="Std11dot1StorageWidth" localSheetId="8">'IWP08'!$G$276</definedName>
    <definedName name="Std11dot1StorageWidth" localSheetId="9">'IWP09'!$G$276</definedName>
    <definedName name="Std11dot1StorageWidth" localSheetId="10">'IWP10'!$G$276</definedName>
    <definedName name="Std11dot1StorageWidth" localSheetId="11">'IWP11'!$G$276</definedName>
    <definedName name="Std11dot1StorageWidth" localSheetId="12">'IWP12'!$G$276</definedName>
    <definedName name="Std11dot1StorageWidth" localSheetId="13">'IWP13'!$G$276</definedName>
    <definedName name="Std11dot1StorageWidth" localSheetId="14">'IWP14'!$G$276</definedName>
    <definedName name="Std11dot1StorageWidth" localSheetId="15">'IWP15'!$G$276</definedName>
    <definedName name="Std11dot1StorageWidth" localSheetId="16">'IWP16'!$G$276</definedName>
    <definedName name="Std11dot1StorageWidth" localSheetId="17">'IWP17'!$G$276</definedName>
    <definedName name="Std11dot1StorageWidth" localSheetId="18">'IWP18'!$G$276</definedName>
    <definedName name="Std11dot1StorageWidth" localSheetId="19">'IWP19'!$G$276</definedName>
    <definedName name="Std11dot1StorageWidth" localSheetId="20">'IWP20'!$G$276</definedName>
    <definedName name="Std11dot1StorageWidth" localSheetId="21">'IWP21'!$G$276</definedName>
    <definedName name="Std11dot1StorageWidth" localSheetId="22">'IWP22'!$G$276</definedName>
    <definedName name="Std11dot1StorageWidth" localSheetId="23">'IWP23'!$G$276</definedName>
    <definedName name="Std11dot1StorageWidth" localSheetId="24">'IWP24'!$G$276</definedName>
    <definedName name="Std11dot1StorageWidth" localSheetId="25">'IWP25'!$G$276</definedName>
    <definedName name="Std11dot1StorageWidth" localSheetId="26">'IWP26'!$G$276</definedName>
    <definedName name="Std11dot1StorageWidth" localSheetId="27">'IWP27'!$G$276</definedName>
    <definedName name="Std11dot1StorageWidth" localSheetId="28">'IWP28'!$G$276</definedName>
    <definedName name="Std11dot1StorageWidth" localSheetId="29">'IWP29'!$G$276</definedName>
    <definedName name="Std11dot1StorageWidth" localSheetId="30">'IWP30'!$G$276</definedName>
    <definedName name="Std11dot1StorageWidth">#REF!</definedName>
    <definedName name="Std11dot1StoveMicrowave" localSheetId="1">'IWP01'!$F$280</definedName>
    <definedName name="Std11dot1StoveMicrowave" localSheetId="2">'IWP02'!$F$280</definedName>
    <definedName name="Std11dot1StoveMicrowave" localSheetId="3">'IWP03'!$F$280</definedName>
    <definedName name="Std11dot1StoveMicrowave" localSheetId="4">'IWP04'!$F$280</definedName>
    <definedName name="Std11dot1StoveMicrowave" localSheetId="5">'IWP05'!$F$280</definedName>
    <definedName name="Std11dot1StoveMicrowave" localSheetId="6">'IWP06'!$F$280</definedName>
    <definedName name="Std11dot1StoveMicrowave" localSheetId="7">'IWP07'!$F$280</definedName>
    <definedName name="Std11dot1StoveMicrowave" localSheetId="8">'IWP08'!$F$280</definedName>
    <definedName name="Std11dot1StoveMicrowave" localSheetId="9">'IWP09'!$F$280</definedName>
    <definedName name="Std11dot1StoveMicrowave" localSheetId="10">'IWP10'!$F$280</definedName>
    <definedName name="Std11dot1StoveMicrowave" localSheetId="11">'IWP11'!$F$280</definedName>
    <definedName name="Std11dot1StoveMicrowave" localSheetId="12">'IWP12'!$F$280</definedName>
    <definedName name="Std11dot1StoveMicrowave" localSheetId="13">'IWP13'!$F$280</definedName>
    <definedName name="Std11dot1StoveMicrowave" localSheetId="14">'IWP14'!$F$280</definedName>
    <definedName name="Std11dot1StoveMicrowave" localSheetId="15">'IWP15'!$F$280</definedName>
    <definedName name="Std11dot1StoveMicrowave" localSheetId="16">'IWP16'!$F$280</definedName>
    <definedName name="Std11dot1StoveMicrowave" localSheetId="17">'IWP17'!$F$280</definedName>
    <definedName name="Std11dot1StoveMicrowave" localSheetId="18">'IWP18'!$F$280</definedName>
    <definedName name="Std11dot1StoveMicrowave" localSheetId="19">'IWP19'!$F$280</definedName>
    <definedName name="Std11dot1StoveMicrowave" localSheetId="20">'IWP20'!$F$280</definedName>
    <definedName name="Std11dot1StoveMicrowave" localSheetId="21">'IWP21'!$F$280</definedName>
    <definedName name="Std11dot1StoveMicrowave" localSheetId="22">'IWP22'!$F$280</definedName>
    <definedName name="Std11dot1StoveMicrowave" localSheetId="23">'IWP23'!$F$280</definedName>
    <definedName name="Std11dot1StoveMicrowave" localSheetId="24">'IWP24'!$F$280</definedName>
    <definedName name="Std11dot1StoveMicrowave" localSheetId="25">'IWP25'!$F$280</definedName>
    <definedName name="Std11dot1StoveMicrowave" localSheetId="26">'IWP26'!$F$280</definedName>
    <definedName name="Std11dot1StoveMicrowave" localSheetId="27">'IWP27'!$F$280</definedName>
    <definedName name="Std11dot1StoveMicrowave" localSheetId="28">'IWP28'!$F$280</definedName>
    <definedName name="Std11dot1StoveMicrowave" localSheetId="29">'IWP29'!$F$280</definedName>
    <definedName name="Std11dot1StoveMicrowave" localSheetId="30">'IWP30'!$F$280</definedName>
    <definedName name="Std11dot1StoveMicrowave">#REF!</definedName>
    <definedName name="Std11dot1Toilet" localSheetId="1">'IWP01'!$F$282</definedName>
    <definedName name="Std11dot1Toilet" localSheetId="2">'IWP02'!$F$282</definedName>
    <definedName name="Std11dot1Toilet" localSheetId="3">'IWP03'!$F$282</definedName>
    <definedName name="Std11dot1Toilet" localSheetId="4">'IWP04'!$F$282</definedName>
    <definedName name="Std11dot1Toilet" localSheetId="5">'IWP05'!$F$282</definedName>
    <definedName name="Std11dot1Toilet" localSheetId="6">'IWP06'!$F$282</definedName>
    <definedName name="Std11dot1Toilet" localSheetId="7">'IWP07'!$F$282</definedName>
    <definedName name="Std11dot1Toilet" localSheetId="8">'IWP08'!$F$282</definedName>
    <definedName name="Std11dot1Toilet" localSheetId="9">'IWP09'!$F$282</definedName>
    <definedName name="Std11dot1Toilet" localSheetId="10">'IWP10'!$F$282</definedName>
    <definedName name="Std11dot1Toilet" localSheetId="11">'IWP11'!$F$282</definedName>
    <definedName name="Std11dot1Toilet" localSheetId="12">'IWP12'!$F$282</definedName>
    <definedName name="Std11dot1Toilet" localSheetId="13">'IWP13'!$F$282</definedName>
    <definedName name="Std11dot1Toilet" localSheetId="14">'IWP14'!$F$282</definedName>
    <definedName name="Std11dot1Toilet" localSheetId="15">'IWP15'!$F$282</definedName>
    <definedName name="Std11dot1Toilet" localSheetId="16">'IWP16'!$F$282</definedName>
    <definedName name="Std11dot1Toilet" localSheetId="17">'IWP17'!$F$282</definedName>
    <definedName name="Std11dot1Toilet" localSheetId="18">'IWP18'!$F$282</definedName>
    <definedName name="Std11dot1Toilet" localSheetId="19">'IWP19'!$F$282</definedName>
    <definedName name="Std11dot1Toilet" localSheetId="20">'IWP20'!$F$282</definedName>
    <definedName name="Std11dot1Toilet" localSheetId="21">'IWP21'!$F$282</definedName>
    <definedName name="Std11dot1Toilet" localSheetId="22">'IWP22'!$F$282</definedName>
    <definedName name="Std11dot1Toilet" localSheetId="23">'IWP23'!$F$282</definedName>
    <definedName name="Std11dot1Toilet" localSheetId="24">'IWP24'!$F$282</definedName>
    <definedName name="Std11dot1Toilet" localSheetId="25">'IWP25'!$F$282</definedName>
    <definedName name="Std11dot1Toilet" localSheetId="26">'IWP26'!$F$282</definedName>
    <definedName name="Std11dot1Toilet" localSheetId="27">'IWP27'!$F$282</definedName>
    <definedName name="Std11dot1Toilet" localSheetId="28">'IWP28'!$F$282</definedName>
    <definedName name="Std11dot1Toilet" localSheetId="29">'IWP29'!$F$282</definedName>
    <definedName name="Std11dot1Toilet" localSheetId="30">'IWP30'!$F$282</definedName>
    <definedName name="Std11dot1TotalPrivateSpace" localSheetId="1">'IWP01'!$J$285</definedName>
    <definedName name="Std11dot1TotalPrivateSpace" localSheetId="2">'IWP02'!$J$285</definedName>
    <definedName name="Std11dot1TotalPrivateSpace" localSheetId="3">'IWP03'!$J$285</definedName>
    <definedName name="Std11dot1TotalPrivateSpace" localSheetId="4">'IWP04'!$J$285</definedName>
    <definedName name="Std11dot1TotalPrivateSpace" localSheetId="5">'IWP05'!$J$285</definedName>
    <definedName name="Std11dot1TotalPrivateSpace" localSheetId="6">'IWP06'!$J$285</definedName>
    <definedName name="Std11dot1TotalPrivateSpace" localSheetId="7">'IWP07'!$J$285</definedName>
    <definedName name="Std11dot1TotalPrivateSpace" localSheetId="8">'IWP08'!$J$285</definedName>
    <definedName name="Std11dot1TotalPrivateSpace" localSheetId="9">'IWP09'!$J$285</definedName>
    <definedName name="Std11dot1TotalPrivateSpace" localSheetId="10">'IWP10'!$J$285</definedName>
    <definedName name="Std11dot1TotalPrivateSpace" localSheetId="11">'IWP11'!$J$285</definedName>
    <definedName name="Std11dot1TotalPrivateSpace" localSheetId="12">'IWP12'!$J$285</definedName>
    <definedName name="Std11dot1TotalPrivateSpace" localSheetId="13">'IWP13'!$J$285</definedName>
    <definedName name="Std11dot1TotalPrivateSpace" localSheetId="14">'IWP14'!$J$285</definedName>
    <definedName name="Std11dot1TotalPrivateSpace" localSheetId="15">'IWP15'!$J$285</definedName>
    <definedName name="Std11dot1TotalPrivateSpace" localSheetId="16">'IWP16'!$J$285</definedName>
    <definedName name="Std11dot1TotalPrivateSpace" localSheetId="17">'IWP17'!$J$285</definedName>
    <definedName name="Std11dot1TotalPrivateSpace" localSheetId="18">'IWP18'!$J$285</definedName>
    <definedName name="Std11dot1TotalPrivateSpace" localSheetId="19">'IWP19'!$J$285</definedName>
    <definedName name="Std11dot1TotalPrivateSpace" localSheetId="20">'IWP20'!$J$285</definedName>
    <definedName name="Std11dot1TotalPrivateSpace" localSheetId="21">'IWP21'!$J$285</definedName>
    <definedName name="Std11dot1TotalPrivateSpace" localSheetId="22">'IWP22'!$J$285</definedName>
    <definedName name="Std11dot1TotalPrivateSpace" localSheetId="23">'IWP23'!$J$285</definedName>
    <definedName name="Std11dot1TotalPrivateSpace" localSheetId="24">'IWP24'!$J$285</definedName>
    <definedName name="Std11dot1TotalPrivateSpace" localSheetId="25">'IWP25'!$J$285</definedName>
    <definedName name="Std11dot1TotalPrivateSpace" localSheetId="26">'IWP26'!$J$285</definedName>
    <definedName name="Std11dot1TotalPrivateSpace" localSheetId="27">'IWP27'!$J$285</definedName>
    <definedName name="Std11dot1TotalPrivateSpace" localSheetId="28">'IWP28'!$J$285</definedName>
    <definedName name="Std11dot1TotalPrivateSpace" localSheetId="29">'IWP29'!$J$285</definedName>
    <definedName name="Std11dot1TotalPrivateSpace" localSheetId="30">'IWP30'!$J$285</definedName>
    <definedName name="Std11dot1TotalPrivateSpace">#REF!</definedName>
    <definedName name="Std11dot1TotalSquareFootagePerResident" localSheetId="1">'IWP01'!$J$292</definedName>
    <definedName name="Std11dot1TotalSquareFootagePerResident" localSheetId="2">'IWP02'!$J$292</definedName>
    <definedName name="Std11dot1TotalSquareFootagePerResident" localSheetId="3">'IWP03'!$J$292</definedName>
    <definedName name="Std11dot1TotalSquareFootagePerResident" localSheetId="4">'IWP04'!$J$292</definedName>
    <definedName name="Std11dot1TotalSquareFootagePerResident" localSheetId="5">'IWP05'!$J$292</definedName>
    <definedName name="Std11dot1TotalSquareFootagePerResident" localSheetId="6">'IWP06'!$J$292</definedName>
    <definedName name="Std11dot1TotalSquareFootagePerResident" localSheetId="7">'IWP07'!$J$292</definedName>
    <definedName name="Std11dot1TotalSquareFootagePerResident" localSheetId="8">'IWP08'!$J$292</definedName>
    <definedName name="Std11dot1TotalSquareFootagePerResident" localSheetId="9">'IWP09'!$J$292</definedName>
    <definedName name="Std11dot1TotalSquareFootagePerResident" localSheetId="10">'IWP10'!$J$292</definedName>
    <definedName name="Std11dot1TotalSquareFootagePerResident" localSheetId="11">'IWP11'!$J$292</definedName>
    <definedName name="Std11dot1TotalSquareFootagePerResident" localSheetId="12">'IWP12'!$J$292</definedName>
    <definedName name="Std11dot1TotalSquareFootagePerResident" localSheetId="13">'IWP13'!$J$292</definedName>
    <definedName name="Std11dot1TotalSquareFootagePerResident" localSheetId="14">'IWP14'!$J$292</definedName>
    <definedName name="Std11dot1TotalSquareFootagePerResident" localSheetId="15">'IWP15'!$J$292</definedName>
    <definedName name="Std11dot1TotalSquareFootagePerResident" localSheetId="16">'IWP16'!$J$292</definedName>
    <definedName name="Std11dot1TotalSquareFootagePerResident" localSheetId="17">'IWP17'!$J$292</definedName>
    <definedName name="Std11dot1TotalSquareFootagePerResident" localSheetId="18">'IWP18'!$J$292</definedName>
    <definedName name="Std11dot1TotalSquareFootagePerResident" localSheetId="19">'IWP19'!$J$292</definedName>
    <definedName name="Std11dot1TotalSquareFootagePerResident" localSheetId="20">'IWP20'!$J$292</definedName>
    <definedName name="Std11dot1TotalSquareFootagePerResident" localSheetId="21">'IWP21'!$J$292</definedName>
    <definedName name="Std11dot1TotalSquareFootagePerResident" localSheetId="22">'IWP22'!$J$292</definedName>
    <definedName name="Std11dot1TotalSquareFootagePerResident" localSheetId="23">'IWP23'!$J$292</definedName>
    <definedName name="Std11dot1TotalSquareFootagePerResident" localSheetId="24">'IWP24'!$J$292</definedName>
    <definedName name="Std11dot1TotalSquareFootagePerResident" localSheetId="25">'IWP25'!$J$292</definedName>
    <definedName name="Std11dot1TotalSquareFootagePerResident" localSheetId="26">'IWP26'!$J$292</definedName>
    <definedName name="Std11dot1TotalSquareFootagePerResident" localSheetId="27">'IWP27'!$J$292</definedName>
    <definedName name="Std11dot1TotalSquareFootagePerResident" localSheetId="28">'IWP28'!$J$292</definedName>
    <definedName name="Std11dot1TotalSquareFootagePerResident" localSheetId="29">'IWP29'!$J$292</definedName>
    <definedName name="Std11dot1TotalSquareFootagePerResident" localSheetId="30">'IWP30'!$J$292</definedName>
    <definedName name="Std11dot1TotalSquareFootagePerResident">#REF!</definedName>
    <definedName name="Std11dot1UseableCommonAreaSquareFootage" localSheetId="1">'IWP01'!$J$300</definedName>
    <definedName name="Std11dot1UseableCommonAreaSquareFootage" localSheetId="2">'IWP02'!$J$300</definedName>
    <definedName name="Std11dot1UseableCommonAreaSquareFootage" localSheetId="3">'IWP03'!$J$300</definedName>
    <definedName name="Std11dot1UseableCommonAreaSquareFootage" localSheetId="4">'IWP04'!$J$300</definedName>
    <definedName name="Std11dot1UseableCommonAreaSquareFootage" localSheetId="5">'IWP05'!$J$300</definedName>
    <definedName name="Std11dot1UseableCommonAreaSquareFootage" localSheetId="6">'IWP06'!$J$300</definedName>
    <definedName name="Std11dot1UseableCommonAreaSquareFootage" localSheetId="7">'IWP07'!$J$300</definedName>
    <definedName name="Std11dot1UseableCommonAreaSquareFootage" localSheetId="8">'IWP08'!$J$300</definedName>
    <definedName name="Std11dot1UseableCommonAreaSquareFootage" localSheetId="9">'IWP09'!$J$300</definedName>
    <definedName name="Std11dot1UseableCommonAreaSquareFootage" localSheetId="10">'IWP10'!$J$300</definedName>
    <definedName name="Std11dot1UseableCommonAreaSquareFootage" localSheetId="11">'IWP11'!$J$300</definedName>
    <definedName name="Std11dot1UseableCommonAreaSquareFootage" localSheetId="12">'IWP12'!$J$300</definedName>
    <definedName name="Std11dot1UseableCommonAreaSquareFootage" localSheetId="13">'IWP13'!$J$300</definedName>
    <definedName name="Std11dot1UseableCommonAreaSquareFootage" localSheetId="14">'IWP14'!$J$300</definedName>
    <definedName name="Std11dot1UseableCommonAreaSquareFootage" localSheetId="15">'IWP15'!$J$300</definedName>
    <definedName name="Std11dot1UseableCommonAreaSquareFootage" localSheetId="16">'IWP16'!$J$300</definedName>
    <definedName name="Std11dot1UseableCommonAreaSquareFootage" localSheetId="17">'IWP17'!$J$300</definedName>
    <definedName name="Std11dot1UseableCommonAreaSquareFootage" localSheetId="18">'IWP18'!$J$300</definedName>
    <definedName name="Std11dot1UseableCommonAreaSquareFootage" localSheetId="19">'IWP19'!$J$300</definedName>
    <definedName name="Std11dot1UseableCommonAreaSquareFootage" localSheetId="20">'IWP20'!$J$300</definedName>
    <definedName name="Std11dot1UseableCommonAreaSquareFootage" localSheetId="21">'IWP21'!$J$300</definedName>
    <definedName name="Std11dot1UseableCommonAreaSquareFootage" localSheetId="22">'IWP22'!$J$300</definedName>
    <definedName name="Std11dot1UseableCommonAreaSquareFootage" localSheetId="23">'IWP23'!$J$300</definedName>
    <definedName name="Std11dot1UseableCommonAreaSquareFootage" localSheetId="24">'IWP24'!$J$300</definedName>
    <definedName name="Std11dot1UseableCommonAreaSquareFootage" localSheetId="25">'IWP25'!$J$300</definedName>
    <definedName name="Std11dot1UseableCommonAreaSquareFootage" localSheetId="26">'IWP26'!$J$300</definedName>
    <definedName name="Std11dot1UseableCommonAreaSquareFootage" localSheetId="27">'IWP27'!$J$300</definedName>
    <definedName name="Std11dot1UseableCommonAreaSquareFootage" localSheetId="28">'IWP28'!$J$300</definedName>
    <definedName name="Std11dot1UseableCommonAreaSquareFootage" localSheetId="29">'IWP29'!$J$300</definedName>
    <definedName name="Std11dot1UseableCommonAreaSquareFootage" localSheetId="30">'IWP30'!$J$300</definedName>
    <definedName name="Std11dot1UseableCommonAreaSquareFootage">#REF!</definedName>
    <definedName name="Std11dot2" localSheetId="1">'IWP01'!$J$329</definedName>
    <definedName name="Std11dot2" localSheetId="2">'IWP02'!$J$329</definedName>
    <definedName name="Std11dot2" localSheetId="3">'IWP03'!$J$329</definedName>
    <definedName name="Std11dot2" localSheetId="4">'IWP04'!$J$329</definedName>
    <definedName name="Std11dot2" localSheetId="5">'IWP05'!$J$329</definedName>
    <definedName name="Std11dot2" localSheetId="6">'IWP06'!$J$329</definedName>
    <definedName name="Std11dot2" localSheetId="7">'IWP07'!$J$329</definedName>
    <definedName name="Std11dot2" localSheetId="8">'IWP08'!$J$329</definedName>
    <definedName name="Std11dot2" localSheetId="9">'IWP09'!$J$329</definedName>
    <definedName name="Std11dot2" localSheetId="10">'IWP10'!$J$329</definedName>
    <definedName name="Std11dot2" localSheetId="11">'IWP11'!$J$329</definedName>
    <definedName name="Std11dot2" localSheetId="12">'IWP12'!$J$329</definedName>
    <definedName name="Std11dot2" localSheetId="13">'IWP13'!$J$329</definedName>
    <definedName name="Std11dot2" localSheetId="14">'IWP14'!$J$329</definedName>
    <definedName name="Std11dot2" localSheetId="15">'IWP15'!$J$329</definedName>
    <definedName name="Std11dot2" localSheetId="16">'IWP16'!$J$329</definedName>
    <definedName name="Std11dot2" localSheetId="17">'IWP17'!$J$329</definedName>
    <definedName name="Std11dot2" localSheetId="18">'IWP18'!$J$329</definedName>
    <definedName name="Std11dot2" localSheetId="19">'IWP19'!$J$329</definedName>
    <definedName name="Std11dot2" localSheetId="20">'IWP20'!$J$329</definedName>
    <definedName name="Std11dot2" localSheetId="21">'IWP21'!$J$329</definedName>
    <definedName name="Std11dot2" localSheetId="22">'IWP22'!$J$329</definedName>
    <definedName name="Std11dot2" localSheetId="23">'IWP23'!$J$329</definedName>
    <definedName name="Std11dot2" localSheetId="24">'IWP24'!$J$329</definedName>
    <definedName name="Std11dot2" localSheetId="25">'IWP25'!$J$329</definedName>
    <definedName name="Std11dot2" localSheetId="26">'IWP26'!$J$329</definedName>
    <definedName name="Std11dot2" localSheetId="27">'IWP27'!$J$329</definedName>
    <definedName name="Std11dot2" localSheetId="28">'IWP28'!$J$329</definedName>
    <definedName name="Std11dot2" localSheetId="29">'IWP29'!$J$329</definedName>
    <definedName name="Std11dot2" localSheetId="30">'IWP30'!$J$329</definedName>
    <definedName name="Std11dot2">#REF!</definedName>
    <definedName name="Std11dot3" localSheetId="1">'IWP01'!$J$337</definedName>
    <definedName name="Std11dot3" localSheetId="2">'IWP02'!$J$337</definedName>
    <definedName name="Std11dot3" localSheetId="3">'IWP03'!$J$337</definedName>
    <definedName name="Std11dot3" localSheetId="4">'IWP04'!$J$337</definedName>
    <definedName name="Std11dot3" localSheetId="5">'IWP05'!$J$337</definedName>
    <definedName name="Std11dot3" localSheetId="6">'IWP06'!$J$337</definedName>
    <definedName name="Std11dot3" localSheetId="7">'IWP07'!$J$337</definedName>
    <definedName name="Std11dot3" localSheetId="8">'IWP08'!$J$337</definedName>
    <definedName name="Std11dot3" localSheetId="9">'IWP09'!$J$337</definedName>
    <definedName name="Std11dot3" localSheetId="10">'IWP10'!$J$337</definedName>
    <definedName name="Std11dot3" localSheetId="11">'IWP11'!$J$337</definedName>
    <definedName name="Std11dot3" localSheetId="12">'IWP12'!$J$337</definedName>
    <definedName name="Std11dot3" localSheetId="13">'IWP13'!$J$337</definedName>
    <definedName name="Std11dot3" localSheetId="14">'IWP14'!$J$337</definedName>
    <definedName name="Std11dot3" localSheetId="15">'IWP15'!$J$337</definedName>
    <definedName name="Std11dot3" localSheetId="16">'IWP16'!$J$337</definedName>
    <definedName name="Std11dot3" localSheetId="17">'IWP17'!$J$337</definedName>
    <definedName name="Std11dot3" localSheetId="18">'IWP18'!$J$337</definedName>
    <definedName name="Std11dot3" localSheetId="19">'IWP19'!$J$337</definedName>
    <definedName name="Std11dot3" localSheetId="20">'IWP20'!$J$337</definedName>
    <definedName name="Std11dot3" localSheetId="21">'IWP21'!$J$337</definedName>
    <definedName name="Std11dot3" localSheetId="22">'IWP22'!$J$337</definedName>
    <definedName name="Std11dot3" localSheetId="23">'IWP23'!$J$337</definedName>
    <definedName name="Std11dot3" localSheetId="24">'IWP24'!$J$337</definedName>
    <definedName name="Std11dot3" localSheetId="25">'IWP25'!$J$337</definedName>
    <definedName name="Std11dot3" localSheetId="26">'IWP26'!$J$337</definedName>
    <definedName name="Std11dot3" localSheetId="27">'IWP27'!$J$337</definedName>
    <definedName name="Std11dot3" localSheetId="28">'IWP28'!$J$337</definedName>
    <definedName name="Std11dot3" localSheetId="29">'IWP29'!$J$337</definedName>
    <definedName name="Std11dot3" localSheetId="30">'IWP30'!$J$337</definedName>
    <definedName name="Std11dot3">#REF!</definedName>
    <definedName name="Std11dot4" localSheetId="1">'IWP01'!$J$355</definedName>
    <definedName name="Std11dot4" localSheetId="2">'IWP02'!$J$355</definedName>
    <definedName name="Std11dot4" localSheetId="3">'IWP03'!$J$355</definedName>
    <definedName name="Std11dot4" localSheetId="4">'IWP04'!$J$355</definedName>
    <definedName name="Std11dot4" localSheetId="5">'IWP05'!$J$355</definedName>
    <definedName name="Std11dot4" localSheetId="6">'IWP06'!$J$355</definedName>
    <definedName name="Std11dot4" localSheetId="7">'IWP07'!$J$355</definedName>
    <definedName name="Std11dot4" localSheetId="8">'IWP08'!$J$355</definedName>
    <definedName name="Std11dot4" localSheetId="9">'IWP09'!$J$355</definedName>
    <definedName name="Std11dot4" localSheetId="10">'IWP10'!$J$355</definedName>
    <definedName name="Std11dot4" localSheetId="11">'IWP11'!$J$355</definedName>
    <definedName name="Std11dot4" localSheetId="12">'IWP12'!$J$355</definedName>
    <definedName name="Std11dot4" localSheetId="13">'IWP13'!$J$355</definedName>
    <definedName name="Std11dot4" localSheetId="14">'IWP14'!$J$355</definedName>
    <definedName name="Std11dot4" localSheetId="15">'IWP15'!$J$355</definedName>
    <definedName name="Std11dot4" localSheetId="16">'IWP16'!$J$355</definedName>
    <definedName name="Std11dot4" localSheetId="17">'IWP17'!$J$355</definedName>
    <definedName name="Std11dot4" localSheetId="18">'IWP18'!$J$355</definedName>
    <definedName name="Std11dot4" localSheetId="19">'IWP19'!$J$355</definedName>
    <definedName name="Std11dot4" localSheetId="20">'IWP20'!$J$355</definedName>
    <definedName name="Std11dot4" localSheetId="21">'IWP21'!$J$355</definedName>
    <definedName name="Std11dot4" localSheetId="22">'IWP22'!$J$355</definedName>
    <definedName name="Std11dot4" localSheetId="23">'IWP23'!$J$355</definedName>
    <definedName name="Std11dot4" localSheetId="24">'IWP24'!$J$355</definedName>
    <definedName name="Std11dot4" localSheetId="25">'IWP25'!$J$355</definedName>
    <definedName name="Std11dot4" localSheetId="26">'IWP26'!$J$355</definedName>
    <definedName name="Std11dot4" localSheetId="27">'IWP27'!$J$355</definedName>
    <definedName name="Std11dot4" localSheetId="28">'IWP28'!$J$355</definedName>
    <definedName name="Std11dot4" localSheetId="29">'IWP29'!$J$355</definedName>
    <definedName name="Std11dot4" localSheetId="30">'IWP30'!$J$355</definedName>
    <definedName name="Std11dot4">#REF!</definedName>
    <definedName name="Std11dot4Hospitalization" localSheetId="1">'IWP01'!$A$349:$N$354</definedName>
    <definedName name="Std11dot4Hospitalization" localSheetId="2">'IWP02'!$A$349:$N$354</definedName>
    <definedName name="Std11dot4Hospitalization" localSheetId="3">'IWP03'!$A$349:$N$354</definedName>
    <definedName name="Std11dot4Hospitalization" localSheetId="4">'IWP04'!$A$349:$N$354</definedName>
    <definedName name="Std11dot4Hospitalization" localSheetId="5">'IWP05'!$A$349:$N$354</definedName>
    <definedName name="Std11dot4Hospitalization" localSheetId="6">'IWP06'!$A$349:$N$354</definedName>
    <definedName name="Std11dot4Hospitalization" localSheetId="7">'IWP07'!$A$349:$N$354</definedName>
    <definedName name="Std11dot4Hospitalization" localSheetId="8">'IWP08'!$A$349:$N$354</definedName>
    <definedName name="Std11dot4Hospitalization" localSheetId="9">'IWP09'!$A$349:$N$354</definedName>
    <definedName name="Std11dot4Hospitalization" localSheetId="10">'IWP10'!$A$349:$N$354</definedName>
    <definedName name="Std11dot4Hospitalization" localSheetId="11">'IWP11'!$A$349:$N$354</definedName>
    <definedName name="Std11dot4Hospitalization" localSheetId="12">'IWP12'!$A$349:$N$354</definedName>
    <definedName name="Std11dot4Hospitalization" localSheetId="13">'IWP13'!$A$349:$N$354</definedName>
    <definedName name="Std11dot4Hospitalization" localSheetId="14">'IWP14'!$A$349:$N$354</definedName>
    <definedName name="Std11dot4Hospitalization" localSheetId="15">'IWP15'!$A$349:$N$354</definedName>
    <definedName name="Std11dot4Hospitalization" localSheetId="16">'IWP16'!$A$349:$N$354</definedName>
    <definedName name="Std11dot4Hospitalization" localSheetId="17">'IWP17'!$A$349:$N$354</definedName>
    <definedName name="Std11dot4Hospitalization" localSheetId="18">'IWP18'!$A$349:$N$354</definedName>
    <definedName name="Std11dot4Hospitalization" localSheetId="19">'IWP19'!$A$349:$N$354</definedName>
    <definedName name="Std11dot4Hospitalization" localSheetId="20">'IWP20'!$A$349:$N$354</definedName>
    <definedName name="Std11dot4Hospitalization" localSheetId="21">'IWP21'!$A$349:$N$354</definedName>
    <definedName name="Std11dot4Hospitalization" localSheetId="22">'IWP22'!$A$349:$N$354</definedName>
    <definedName name="Std11dot4Hospitalization" localSheetId="23">'IWP23'!$A$349:$N$354</definedName>
    <definedName name="Std11dot4Hospitalization" localSheetId="24">'IWP24'!$A$349:$N$354</definedName>
    <definedName name="Std11dot4Hospitalization" localSheetId="25">'IWP25'!$A$349:$N$354</definedName>
    <definedName name="Std11dot4Hospitalization" localSheetId="26">'IWP26'!$A$349:$N$354</definedName>
    <definedName name="Std11dot4Hospitalization" localSheetId="27">'IWP27'!$A$349:$N$354</definedName>
    <definedName name="Std11dot4Hospitalization" localSheetId="28">'IWP28'!$A$349:$N$354</definedName>
    <definedName name="Std11dot4Hospitalization" localSheetId="29">'IWP29'!$A$349:$N$354</definedName>
    <definedName name="Std11dot4Hospitalization" localSheetId="30">'IWP30'!$A$349:$N$354</definedName>
    <definedName name="Std11dot5" localSheetId="1">'IWP01'!$J$369</definedName>
    <definedName name="Std11dot5" localSheetId="2">'IWP02'!$J$369</definedName>
    <definedName name="Std11dot5" localSheetId="3">'IWP03'!$J$369</definedName>
    <definedName name="Std11dot5" localSheetId="4">'IWP04'!$J$369</definedName>
    <definedName name="Std11dot5" localSheetId="5">'IWP05'!$J$369</definedName>
    <definedName name="Std11dot5" localSheetId="6">'IWP06'!$J$369</definedName>
    <definedName name="Std11dot5" localSheetId="7">'IWP07'!$J$369</definedName>
    <definedName name="Std11dot5" localSheetId="8">'IWP08'!$J$369</definedName>
    <definedName name="Std11dot5" localSheetId="9">'IWP09'!$J$369</definedName>
    <definedName name="Std11dot5" localSheetId="10">'IWP10'!$J$369</definedName>
    <definedName name="Std11dot5" localSheetId="11">'IWP11'!$J$369</definedName>
    <definedName name="Std11dot5" localSheetId="12">'IWP12'!$J$369</definedName>
    <definedName name="Std11dot5" localSheetId="13">'IWP13'!$J$369</definedName>
    <definedName name="Std11dot5" localSheetId="14">'IWP14'!$J$369</definedName>
    <definedName name="Std11dot5" localSheetId="15">'IWP15'!$J$369</definedName>
    <definedName name="Std11dot5" localSheetId="16">'IWP16'!$J$369</definedName>
    <definedName name="Std11dot5" localSheetId="17">'IWP17'!$J$369</definedName>
    <definedName name="Std11dot5" localSheetId="18">'IWP18'!$J$369</definedName>
    <definedName name="Std11dot5" localSheetId="19">'IWP19'!$J$369</definedName>
    <definedName name="Std11dot5" localSheetId="20">'IWP20'!$J$369</definedName>
    <definedName name="Std11dot5" localSheetId="21">'IWP21'!$J$369</definedName>
    <definedName name="Std11dot5" localSheetId="22">'IWP22'!$J$369</definedName>
    <definedName name="Std11dot5" localSheetId="23">'IWP23'!$J$369</definedName>
    <definedName name="Std11dot5" localSheetId="24">'IWP24'!$J$369</definedName>
    <definedName name="Std11dot5" localSheetId="25">'IWP25'!$J$369</definedName>
    <definedName name="Std11dot5" localSheetId="26">'IWP26'!$J$369</definedName>
    <definedName name="Std11dot5" localSheetId="27">'IWP27'!$J$369</definedName>
    <definedName name="Std11dot5" localSheetId="28">'IWP28'!$J$369</definedName>
    <definedName name="Std11dot5" localSheetId="29">'IWP29'!$J$369</definedName>
    <definedName name="Std11dot5" localSheetId="30">'IWP30'!$J$369</definedName>
    <definedName name="Std11dot5">#REF!</definedName>
    <definedName name="Std11dot5a" localSheetId="1">'IWP01'!$J$364</definedName>
    <definedName name="Std11dot5a" localSheetId="2">'IWP02'!$J$364</definedName>
    <definedName name="Std11dot5a" localSheetId="3">'IWP03'!$J$364</definedName>
    <definedName name="Std11dot5a" localSheetId="4">'IWP04'!$J$364</definedName>
    <definedName name="Std11dot5a" localSheetId="5">'IWP05'!$J$364</definedName>
    <definedName name="Std11dot5a" localSheetId="6">'IWP06'!$J$364</definedName>
    <definedName name="Std11dot5a" localSheetId="7">'IWP07'!$J$364</definedName>
    <definedName name="Std11dot5a" localSheetId="8">'IWP08'!$J$364</definedName>
    <definedName name="Std11dot5a" localSheetId="9">'IWP09'!$J$364</definedName>
    <definedName name="Std11dot5a" localSheetId="10">'IWP10'!$J$364</definedName>
    <definedName name="Std11dot5a" localSheetId="11">'IWP11'!$J$364</definedName>
    <definedName name="Std11dot5a" localSheetId="12">'IWP12'!$J$364</definedName>
    <definedName name="Std11dot5a" localSheetId="13">'IWP13'!$J$364</definedName>
    <definedName name="Std11dot5a" localSheetId="14">'IWP14'!$J$364</definedName>
    <definedName name="Std11dot5a" localSheetId="15">'IWP15'!$J$364</definedName>
    <definedName name="Std11dot5a" localSheetId="16">'IWP16'!$J$364</definedName>
    <definedName name="Std11dot5a" localSheetId="17">'IWP17'!$J$364</definedName>
    <definedName name="Std11dot5a" localSheetId="18">'IWP18'!$J$364</definedName>
    <definedName name="Std11dot5a" localSheetId="19">'IWP19'!$J$364</definedName>
    <definedName name="Std11dot5a" localSheetId="20">'IWP20'!$J$364</definedName>
    <definedName name="Std11dot5a" localSheetId="21">'IWP21'!$J$364</definedName>
    <definedName name="Std11dot5a" localSheetId="22">'IWP22'!$J$364</definedName>
    <definedName name="Std11dot5a" localSheetId="23">'IWP23'!$J$364</definedName>
    <definedName name="Std11dot5a" localSheetId="24">'IWP24'!$J$364</definedName>
    <definedName name="Std11dot5a" localSheetId="25">'IWP25'!$J$364</definedName>
    <definedName name="Std11dot5a" localSheetId="26">'IWP26'!$J$364</definedName>
    <definedName name="Std11dot5a" localSheetId="27">'IWP27'!$J$364</definedName>
    <definedName name="Std11dot5a" localSheetId="28">'IWP28'!$J$364</definedName>
    <definedName name="Std11dot5a" localSheetId="29">'IWP29'!$J$364</definedName>
    <definedName name="Std11dot5a" localSheetId="30">'IWP30'!$J$364</definedName>
    <definedName name="Std11dot5a">#REF!</definedName>
    <definedName name="Std11dot5b" localSheetId="1">'IWP01'!$J$365</definedName>
    <definedName name="Std11dot5b" localSheetId="2">'IWP02'!$J$365</definedName>
    <definedName name="Std11dot5b" localSheetId="3">'IWP03'!$J$365</definedName>
    <definedName name="Std11dot5b" localSheetId="4">'IWP04'!$J$365</definedName>
    <definedName name="Std11dot5b" localSheetId="5">'IWP05'!$J$365</definedName>
    <definedName name="Std11dot5b" localSheetId="6">'IWP06'!$J$365</definedName>
    <definedName name="Std11dot5b" localSheetId="7">'IWP07'!$J$365</definedName>
    <definedName name="Std11dot5b" localSheetId="8">'IWP08'!$J$365</definedName>
    <definedName name="Std11dot5b" localSheetId="9">'IWP09'!$J$365</definedName>
    <definedName name="Std11dot5b" localSheetId="10">'IWP10'!$J$365</definedName>
    <definedName name="Std11dot5b" localSheetId="11">'IWP11'!$J$365</definedName>
    <definedName name="Std11dot5b" localSheetId="12">'IWP12'!$J$365</definedName>
    <definedName name="Std11dot5b" localSheetId="13">'IWP13'!$J$365</definedName>
    <definedName name="Std11dot5b" localSheetId="14">'IWP14'!$J$365</definedName>
    <definedName name="Std11dot5b" localSheetId="15">'IWP15'!$J$365</definedName>
    <definedName name="Std11dot5b" localSheetId="16">'IWP16'!$J$365</definedName>
    <definedName name="Std11dot5b" localSheetId="17">'IWP17'!$J$365</definedName>
    <definedName name="Std11dot5b" localSheetId="18">'IWP18'!$J$365</definedName>
    <definedName name="Std11dot5b" localSheetId="19">'IWP19'!$J$365</definedName>
    <definedName name="Std11dot5b" localSheetId="20">'IWP20'!$J$365</definedName>
    <definedName name="Std11dot5b" localSheetId="21">'IWP21'!$J$365</definedName>
    <definedName name="Std11dot5b" localSheetId="22">'IWP22'!$J$365</definedName>
    <definedName name="Std11dot5b" localSheetId="23">'IWP23'!$J$365</definedName>
    <definedName name="Std11dot5b" localSheetId="24">'IWP24'!$J$365</definedName>
    <definedName name="Std11dot5b" localSheetId="25">'IWP25'!$J$365</definedName>
    <definedName name="Std11dot5b" localSheetId="26">'IWP26'!$J$365</definedName>
    <definedName name="Std11dot5b" localSheetId="27">'IWP27'!$J$365</definedName>
    <definedName name="Std11dot5b" localSheetId="28">'IWP28'!$J$365</definedName>
    <definedName name="Std11dot5b" localSheetId="29">'IWP29'!$J$365</definedName>
    <definedName name="Std11dot5b" localSheetId="30">'IWP30'!$J$365</definedName>
    <definedName name="Std11dot5b">#REF!</definedName>
    <definedName name="Std11dot5ci" localSheetId="1">'IWP01'!$J$366</definedName>
    <definedName name="Std11dot5ci" localSheetId="2">'IWP02'!$J$366</definedName>
    <definedName name="Std11dot5ci" localSheetId="3">'IWP03'!$J$366</definedName>
    <definedName name="Std11dot5ci" localSheetId="4">'IWP04'!$J$366</definedName>
    <definedName name="Std11dot5ci" localSheetId="5">'IWP05'!$J$366</definedName>
    <definedName name="Std11dot5ci" localSheetId="6">'IWP06'!$J$366</definedName>
    <definedName name="Std11dot5ci" localSheetId="7">'IWP07'!$J$366</definedName>
    <definedName name="Std11dot5ci" localSheetId="8">'IWP08'!$J$366</definedName>
    <definedName name="Std11dot5ci" localSheetId="9">'IWP09'!$J$366</definedName>
    <definedName name="Std11dot5ci" localSheetId="10">'IWP10'!$J$366</definedName>
    <definedName name="Std11dot5ci" localSheetId="11">'IWP11'!$J$366</definedName>
    <definedName name="Std11dot5ci" localSheetId="12">'IWP12'!$J$366</definedName>
    <definedName name="Std11dot5ci" localSheetId="13">'IWP13'!$J$366</definedName>
    <definedName name="Std11dot5ci" localSheetId="14">'IWP14'!$J$366</definedName>
    <definedName name="Std11dot5ci" localSheetId="15">'IWP15'!$J$366</definedName>
    <definedName name="Std11dot5ci" localSheetId="16">'IWP16'!$J$366</definedName>
    <definedName name="Std11dot5ci" localSheetId="17">'IWP17'!$J$366</definedName>
    <definedName name="Std11dot5ci" localSheetId="18">'IWP18'!$J$366</definedName>
    <definedName name="Std11dot5ci" localSheetId="19">'IWP19'!$J$366</definedName>
    <definedName name="Std11dot5ci" localSheetId="20">'IWP20'!$J$366</definedName>
    <definedName name="Std11dot5ci" localSheetId="21">'IWP21'!$J$366</definedName>
    <definedName name="Std11dot5ci" localSheetId="22">'IWP22'!$J$366</definedName>
    <definedName name="Std11dot5ci" localSheetId="23">'IWP23'!$J$366</definedName>
    <definedName name="Std11dot5ci" localSheetId="24">'IWP24'!$J$366</definedName>
    <definedName name="Std11dot5ci" localSheetId="25">'IWP25'!$J$366</definedName>
    <definedName name="Std11dot5ci" localSheetId="26">'IWP26'!$J$366</definedName>
    <definedName name="Std11dot5ci" localSheetId="27">'IWP27'!$J$366</definedName>
    <definedName name="Std11dot5ci" localSheetId="28">'IWP28'!$J$366</definedName>
    <definedName name="Std11dot5ci" localSheetId="29">'IWP29'!$J$366</definedName>
    <definedName name="Std11dot5ci" localSheetId="30">'IWP30'!$J$366</definedName>
    <definedName name="Std11dot5ci">#REF!</definedName>
    <definedName name="Std11dot5cii" localSheetId="1">'IWP01'!$J$368</definedName>
    <definedName name="Std11dot5cii" localSheetId="2">'IWP02'!$J$368</definedName>
    <definedName name="Std11dot5cii" localSheetId="3">'IWP03'!$J$368</definedName>
    <definedName name="Std11dot5cii" localSheetId="4">'IWP04'!$J$368</definedName>
    <definedName name="Std11dot5cii" localSheetId="5">'IWP05'!$J$368</definedName>
    <definedName name="Std11dot5cii" localSheetId="6">'IWP06'!$J$368</definedName>
    <definedName name="Std11dot5cii" localSheetId="7">'IWP07'!$J$368</definedName>
    <definedName name="Std11dot5cii" localSheetId="8">'IWP08'!$J$368</definedName>
    <definedName name="Std11dot5cii" localSheetId="9">'IWP09'!$J$368</definedName>
    <definedName name="Std11dot5cii" localSheetId="10">'IWP10'!$J$368</definedName>
    <definedName name="Std11dot5cii" localSheetId="11">'IWP11'!$J$368</definedName>
    <definedName name="Std11dot5cii" localSheetId="12">'IWP12'!$J$368</definedName>
    <definedName name="Std11dot5cii" localSheetId="13">'IWP13'!$J$368</definedName>
    <definedName name="Std11dot5cii" localSheetId="14">'IWP14'!$J$368</definedName>
    <definedName name="Std11dot5cii" localSheetId="15">'IWP15'!$J$368</definedName>
    <definedName name="Std11dot5cii" localSheetId="16">'IWP16'!$J$368</definedName>
    <definedName name="Std11dot5cii" localSheetId="17">'IWP17'!$J$368</definedName>
    <definedName name="Std11dot5cii" localSheetId="18">'IWP18'!$J$368</definedName>
    <definedName name="Std11dot5cii" localSheetId="19">'IWP19'!$J$368</definedName>
    <definedName name="Std11dot5cii" localSheetId="20">'IWP20'!$J$368</definedName>
    <definedName name="Std11dot5cii" localSheetId="21">'IWP21'!$J$368</definedName>
    <definedName name="Std11dot5cii" localSheetId="22">'IWP22'!$J$368</definedName>
    <definedName name="Std11dot5cii" localSheetId="23">'IWP23'!$J$368</definedName>
    <definedName name="Std11dot5cii" localSheetId="24">'IWP24'!$J$368</definedName>
    <definedName name="Std11dot5cii" localSheetId="25">'IWP25'!$J$368</definedName>
    <definedName name="Std11dot5cii" localSheetId="26">'IWP26'!$J$368</definedName>
    <definedName name="Std11dot5cii" localSheetId="27">'IWP27'!$J$368</definedName>
    <definedName name="Std11dot5cii" localSheetId="28">'IWP28'!$J$368</definedName>
    <definedName name="Std11dot5cii" localSheetId="29">'IWP29'!$J$368</definedName>
    <definedName name="Std11dot5cii" localSheetId="30">'IWP30'!$J$368</definedName>
    <definedName name="Std11dot5cii">#REF!</definedName>
    <definedName name="Std11Score" localSheetId="38">'ALRC Compliance Summary (Print)'!$J$33</definedName>
    <definedName name="Std1Score" localSheetId="38">'ALRC Compliance Summary (Print)'!$J$13</definedName>
    <definedName name="Std2Score" localSheetId="38">'ALRC Compliance Summary (Print)'!$J$15</definedName>
    <definedName name="Std3dot1" localSheetId="1">'IWP01'!$K$17</definedName>
    <definedName name="Std3dot1" localSheetId="2">'IWP02'!$K$17</definedName>
    <definedName name="Std3dot1" localSheetId="3">'IWP03'!$K$17</definedName>
    <definedName name="Std3dot1" localSheetId="4">'IWP04'!$K$17</definedName>
    <definedName name="Std3dot1" localSheetId="5">'IWP05'!$K$17</definedName>
    <definedName name="Std3dot1" localSheetId="6">'IWP06'!$K$17</definedName>
    <definedName name="Std3dot1" localSheetId="7">'IWP07'!$K$17</definedName>
    <definedName name="Std3dot1" localSheetId="8">'IWP08'!$K$17</definedName>
    <definedName name="Std3dot1" localSheetId="9">'IWP09'!$K$17</definedName>
    <definedName name="Std3dot1" localSheetId="10">'IWP10'!$K$17</definedName>
    <definedName name="Std3dot1" localSheetId="11">'IWP11'!$K$17</definedName>
    <definedName name="Std3dot1" localSheetId="12">'IWP12'!$K$17</definedName>
    <definedName name="Std3dot1" localSheetId="13">'IWP13'!$K$17</definedName>
    <definedName name="Std3dot1" localSheetId="14">'IWP14'!$K$17</definedName>
    <definedName name="Std3dot1" localSheetId="15">'IWP15'!$K$17</definedName>
    <definedName name="Std3dot1" localSheetId="16">'IWP16'!$K$17</definedName>
    <definedName name="Std3dot1" localSheetId="17">'IWP17'!$K$17</definedName>
    <definedName name="Std3dot1" localSheetId="18">'IWP18'!$K$17</definedName>
    <definedName name="Std3dot1" localSheetId="19">'IWP19'!$K$17</definedName>
    <definedName name="Std3dot1" localSheetId="20">'IWP20'!$K$17</definedName>
    <definedName name="Std3dot1" localSheetId="21">'IWP21'!$K$17</definedName>
    <definedName name="Std3dot1" localSheetId="22">'IWP22'!$K$17</definedName>
    <definedName name="Std3dot1" localSheetId="23">'IWP23'!$K$17</definedName>
    <definedName name="Std3dot1" localSheetId="24">'IWP24'!$K$17</definedName>
    <definedName name="Std3dot1" localSheetId="25">'IWP25'!$K$17</definedName>
    <definedName name="Std3dot1" localSheetId="26">'IWP26'!$K$17</definedName>
    <definedName name="Std3dot1" localSheetId="27">'IWP27'!$K$17</definedName>
    <definedName name="Std3dot1" localSheetId="28">'IWP28'!$K$17</definedName>
    <definedName name="Std3dot1" localSheetId="29">'IWP29'!$K$17</definedName>
    <definedName name="Std3dot1" localSheetId="30">'IWP30'!$K$17</definedName>
    <definedName name="Std3dot1a" localSheetId="1">'IWP01'!$K$12</definedName>
    <definedName name="Std3dot1a" localSheetId="2">'IWP02'!$K$12</definedName>
    <definedName name="Std3dot1a" localSheetId="3">'IWP03'!$K$12</definedName>
    <definedName name="Std3dot1a" localSheetId="4">'IWP04'!$K$12</definedName>
    <definedName name="Std3dot1a" localSheetId="5">'IWP05'!$K$12</definedName>
    <definedName name="Std3dot1a" localSheetId="6">'IWP06'!$K$12</definedName>
    <definedName name="Std3dot1a" localSheetId="7">'IWP07'!$K$12</definedName>
    <definedName name="Std3dot1a" localSheetId="8">'IWP08'!$K$12</definedName>
    <definedName name="Std3dot1a" localSheetId="9">'IWP09'!$K$12</definedName>
    <definedName name="Std3dot1a" localSheetId="10">'IWP10'!$K$12</definedName>
    <definedName name="Std3dot1a" localSheetId="11">'IWP11'!$K$12</definedName>
    <definedName name="Std3dot1a" localSheetId="12">'IWP12'!$K$12</definedName>
    <definedName name="Std3dot1a" localSheetId="13">'IWP13'!$K$12</definedName>
    <definedName name="Std3dot1a" localSheetId="14">'IWP14'!$K$12</definedName>
    <definedName name="Std3dot1a" localSheetId="15">'IWP15'!$K$12</definedName>
    <definedName name="Std3dot1a" localSheetId="16">'IWP16'!$K$12</definedName>
    <definedName name="Std3dot1a" localSheetId="17">'IWP17'!$K$12</definedName>
    <definedName name="Std3dot1a" localSheetId="18">'IWP18'!$K$12</definedName>
    <definedName name="Std3dot1a" localSheetId="19">'IWP19'!$K$12</definedName>
    <definedName name="Std3dot1a" localSheetId="20">'IWP20'!$K$12</definedName>
    <definedName name="Std3dot1a" localSheetId="21">'IWP21'!$K$12</definedName>
    <definedName name="Std3dot1a" localSheetId="22">'IWP22'!$K$12</definedName>
    <definedName name="Std3dot1a" localSheetId="23">'IWP23'!$K$12</definedName>
    <definedName name="Std3dot1a" localSheetId="24">'IWP24'!$K$12</definedName>
    <definedName name="Std3dot1a" localSheetId="25">'IWP25'!$K$12</definedName>
    <definedName name="Std3dot1a" localSheetId="26">'IWP26'!$K$12</definedName>
    <definedName name="Std3dot1a" localSheetId="27">'IWP27'!$K$12</definedName>
    <definedName name="Std3dot1a" localSheetId="28">'IWP28'!$K$12</definedName>
    <definedName name="Std3dot1a" localSheetId="29">'IWP29'!$K$12</definedName>
    <definedName name="Std3dot1a" localSheetId="30">'IWP30'!$K$12</definedName>
    <definedName name="Std3dot1b" localSheetId="1">'IWP01'!$K$14</definedName>
    <definedName name="Std3dot1b" localSheetId="2">'IWP02'!$K$14</definedName>
    <definedName name="Std3dot1b" localSheetId="3">'IWP03'!$K$14</definedName>
    <definedName name="Std3dot1b" localSheetId="4">'IWP04'!$K$14</definedName>
    <definedName name="Std3dot1b" localSheetId="5">'IWP05'!$K$14</definedName>
    <definedName name="Std3dot1b" localSheetId="6">'IWP06'!$K$14</definedName>
    <definedName name="Std3dot1b" localSheetId="7">'IWP07'!$K$14</definedName>
    <definedName name="Std3dot1b" localSheetId="8">'IWP08'!$K$14</definedName>
    <definedName name="Std3dot1b" localSheetId="9">'IWP09'!$K$14</definedName>
    <definedName name="Std3dot1b" localSheetId="10">'IWP10'!$K$14</definedName>
    <definedName name="Std3dot1b" localSheetId="11">'IWP11'!$K$14</definedName>
    <definedName name="Std3dot1b" localSheetId="12">'IWP12'!$K$14</definedName>
    <definedName name="Std3dot1b" localSheetId="13">'IWP13'!$K$14</definedName>
    <definedName name="Std3dot1b" localSheetId="14">'IWP14'!$K$14</definedName>
    <definedName name="Std3dot1b" localSheetId="15">'IWP15'!$K$14</definedName>
    <definedName name="Std3dot1b" localSheetId="16">'IWP16'!$K$14</definedName>
    <definedName name="Std3dot1b" localSheetId="17">'IWP17'!$K$14</definedName>
    <definedName name="Std3dot1b" localSheetId="18">'IWP18'!$K$14</definedName>
    <definedName name="Std3dot1b" localSheetId="19">'IWP19'!$K$14</definedName>
    <definedName name="Std3dot1b" localSheetId="20">'IWP20'!$K$14</definedName>
    <definedName name="Std3dot1b" localSheetId="21">'IWP21'!$K$14</definedName>
    <definedName name="Std3dot1b" localSheetId="22">'IWP22'!$K$14</definedName>
    <definedName name="Std3dot1b" localSheetId="23">'IWP23'!$K$14</definedName>
    <definedName name="Std3dot1b" localSheetId="24">'IWP24'!$K$14</definedName>
    <definedName name="Std3dot1b" localSheetId="25">'IWP25'!$K$14</definedName>
    <definedName name="Std3dot1b" localSheetId="26">'IWP26'!$K$14</definedName>
    <definedName name="Std3dot1b" localSheetId="27">'IWP27'!$K$14</definedName>
    <definedName name="Std3dot1b" localSheetId="28">'IWP28'!$K$14</definedName>
    <definedName name="Std3dot1b" localSheetId="29">'IWP29'!$K$14</definedName>
    <definedName name="Std3dot1b" localSheetId="30">'IWP30'!$K$14</definedName>
    <definedName name="Std3dot1c" localSheetId="1">'IWP01'!$K$15</definedName>
    <definedName name="Std3dot1c" localSheetId="2">'IWP02'!$K$15</definedName>
    <definedName name="Std3dot1c" localSheetId="3">'IWP03'!$K$15</definedName>
    <definedName name="Std3dot1c" localSheetId="4">'IWP04'!$K$15</definedName>
    <definedName name="Std3dot1c" localSheetId="5">'IWP05'!$K$15</definedName>
    <definedName name="Std3dot1c" localSheetId="6">'IWP06'!$K$15</definedName>
    <definedName name="Std3dot1c" localSheetId="7">'IWP07'!$K$15</definedName>
    <definedName name="Std3dot1c" localSheetId="8">'IWP08'!$K$15</definedName>
    <definedName name="Std3dot1c" localSheetId="9">'IWP09'!$K$15</definedName>
    <definedName name="Std3dot1c" localSheetId="10">'IWP10'!$K$15</definedName>
    <definedName name="Std3dot1c" localSheetId="11">'IWP11'!$K$15</definedName>
    <definedName name="Std3dot1c" localSheetId="12">'IWP12'!$K$15</definedName>
    <definedName name="Std3dot1c" localSheetId="13">'IWP13'!$K$15</definedName>
    <definedName name="Std3dot1c" localSheetId="14">'IWP14'!$K$15</definedName>
    <definedName name="Std3dot1c" localSheetId="15">'IWP15'!$K$15</definedName>
    <definedName name="Std3dot1c" localSheetId="16">'IWP16'!$K$15</definedName>
    <definedName name="Std3dot1c" localSheetId="17">'IWP17'!$K$15</definedName>
    <definedName name="Std3dot1c" localSheetId="18">'IWP18'!$K$15</definedName>
    <definedName name="Std3dot1c" localSheetId="19">'IWP19'!$K$15</definedName>
    <definedName name="Std3dot1c" localSheetId="20">'IWP20'!$K$15</definedName>
    <definedName name="Std3dot1c" localSheetId="21">'IWP21'!$K$15</definedName>
    <definedName name="Std3dot1c" localSheetId="22">'IWP22'!$K$15</definedName>
    <definedName name="Std3dot1c" localSheetId="23">'IWP23'!$K$15</definedName>
    <definedName name="Std3dot1c" localSheetId="24">'IWP24'!$K$15</definedName>
    <definedName name="Std3dot1c" localSheetId="25">'IWP25'!$K$15</definedName>
    <definedName name="Std3dot1c" localSheetId="26">'IWP26'!$K$15</definedName>
    <definedName name="Std3dot1c" localSheetId="27">'IWP27'!$K$15</definedName>
    <definedName name="Std3dot1c" localSheetId="28">'IWP28'!$K$15</definedName>
    <definedName name="Std3dot1c" localSheetId="29">'IWP29'!$K$15</definedName>
    <definedName name="Std3dot1c" localSheetId="30">'IWP30'!$K$15</definedName>
    <definedName name="Std3dot1DateOfAdmission" localSheetId="1">'IWP01'!$K$10</definedName>
    <definedName name="Std3dot1DateOfAdmission" localSheetId="2">'IWP02'!$K$10</definedName>
    <definedName name="Std3dot1DateOfAdmission" localSheetId="3">'IWP03'!$K$10</definedName>
    <definedName name="Std3dot1DateOfAdmission" localSheetId="4">'IWP04'!$K$10</definedName>
    <definedName name="Std3dot1DateOfAdmission" localSheetId="5">'IWP05'!$K$10</definedName>
    <definedName name="Std3dot1DateOfAdmission" localSheetId="6">'IWP06'!$K$10</definedName>
    <definedName name="Std3dot1DateOfAdmission" localSheetId="7">'IWP07'!$K$10</definedName>
    <definedName name="Std3dot1DateOfAdmission" localSheetId="8">'IWP08'!$K$10</definedName>
    <definedName name="Std3dot1DateOfAdmission" localSheetId="9">'IWP09'!$K$10</definedName>
    <definedName name="Std3dot1DateOfAdmission" localSheetId="10">'IWP10'!$K$10</definedName>
    <definedName name="Std3dot1DateOfAdmission" localSheetId="11">'IWP11'!$K$10</definedName>
    <definedName name="Std3dot1DateOfAdmission" localSheetId="12">'IWP12'!$K$10</definedName>
    <definedName name="Std3dot1DateOfAdmission" localSheetId="13">'IWP13'!$K$10</definedName>
    <definedName name="Std3dot1DateOfAdmission" localSheetId="14">'IWP14'!$K$10</definedName>
    <definedName name="Std3dot1DateOfAdmission" localSheetId="15">'IWP15'!$K$10</definedName>
    <definedName name="Std3dot1DateOfAdmission" localSheetId="16">'IWP16'!$K$10</definedName>
    <definedName name="Std3dot1DateOfAdmission" localSheetId="17">'IWP17'!$K$10</definedName>
    <definedName name="Std3dot1DateOfAdmission" localSheetId="18">'IWP18'!$K$10</definedName>
    <definedName name="Std3dot1DateOfAdmission" localSheetId="19">'IWP19'!$K$10</definedName>
    <definedName name="Std3dot1DateOfAdmission" localSheetId="20">'IWP20'!$K$10</definedName>
    <definedName name="Std3dot1DateOfAdmission" localSheetId="21">'IWP21'!$K$10</definedName>
    <definedName name="Std3dot1DateOfAdmission" localSheetId="22">'IWP22'!$K$10</definedName>
    <definedName name="Std3dot1DateOfAdmission" localSheetId="23">'IWP23'!$K$10</definedName>
    <definedName name="Std3dot1DateOfAdmission" localSheetId="24">'IWP24'!$K$10</definedName>
    <definedName name="Std3dot1DateOfAdmission" localSheetId="25">'IWP25'!$K$10</definedName>
    <definedName name="Std3dot1DateOfAdmission" localSheetId="26">'IWP26'!$K$10</definedName>
    <definedName name="Std3dot1DateOfAdmission" localSheetId="27">'IWP27'!$K$10</definedName>
    <definedName name="Std3dot1DateOfAdmission" localSheetId="28">'IWP28'!$K$10</definedName>
    <definedName name="Std3dot1DateOfAdmission" localSheetId="29">'IWP29'!$K$10</definedName>
    <definedName name="Std3dot1DateOfAdmission" localSheetId="30">'IWP30'!$K$10</definedName>
    <definedName name="Std3dot1DateofHASP" localSheetId="1">'IWP01'!$K$11</definedName>
    <definedName name="Std3dot1DateofHASP" localSheetId="2">'IWP02'!$K$11</definedName>
    <definedName name="Std3dot1DateofHASP" localSheetId="3">'IWP03'!$K$11</definedName>
    <definedName name="Std3dot1DateofHASP" localSheetId="4">'IWP04'!$K$11</definedName>
    <definedName name="Std3dot1DateofHASP" localSheetId="5">'IWP05'!$K$11</definedName>
    <definedName name="Std3dot1DateofHASP" localSheetId="6">'IWP06'!$K$11</definedName>
    <definedName name="Std3dot1DateofHASP" localSheetId="7">'IWP07'!$K$11</definedName>
    <definedName name="Std3dot1DateofHASP" localSheetId="8">'IWP08'!$K$11</definedName>
    <definedName name="Std3dot1DateofHASP" localSheetId="9">'IWP09'!$K$11</definedName>
    <definedName name="Std3dot1DateofHASP" localSheetId="10">'IWP10'!$K$11</definedName>
    <definedName name="Std3dot1DateofHASP" localSheetId="11">'IWP11'!$K$11</definedName>
    <definedName name="Std3dot1DateofHASP" localSheetId="12">'IWP12'!$K$11</definedName>
    <definedName name="Std3dot1DateofHASP" localSheetId="13">'IWP13'!$K$11</definedName>
    <definedName name="Std3dot1DateofHASP" localSheetId="14">'IWP14'!$K$11</definedName>
    <definedName name="Std3dot1DateofHASP" localSheetId="15">'IWP15'!$K$11</definedName>
    <definedName name="Std3dot1DateofHASP" localSheetId="16">'IWP16'!$K$11</definedName>
    <definedName name="Std3dot1DateofHASP" localSheetId="17">'IWP17'!$K$11</definedName>
    <definedName name="Std3dot1DateofHASP" localSheetId="18">'IWP18'!$K$11</definedName>
    <definedName name="Std3dot1DateofHASP" localSheetId="19">'IWP19'!$K$11</definedName>
    <definedName name="Std3dot1DateofHASP" localSheetId="20">'IWP20'!$K$11</definedName>
    <definedName name="Std3dot1DateofHASP" localSheetId="21">'IWP21'!$K$11</definedName>
    <definedName name="Std3dot1DateofHASP" localSheetId="22">'IWP22'!$K$11</definedName>
    <definedName name="Std3dot1DateofHASP" localSheetId="23">'IWP23'!$K$11</definedName>
    <definedName name="Std3dot1DateofHASP" localSheetId="24">'IWP24'!$K$11</definedName>
    <definedName name="Std3dot1DateofHASP" localSheetId="25">'IWP25'!$K$11</definedName>
    <definedName name="Std3dot1DateofHASP" localSheetId="26">'IWP26'!$K$11</definedName>
    <definedName name="Std3dot1DateofHASP" localSheetId="27">'IWP27'!$K$11</definedName>
    <definedName name="Std3dot1DateofHASP" localSheetId="28">'IWP28'!$K$11</definedName>
    <definedName name="Std3dot1DateofHASP" localSheetId="29">'IWP29'!$K$11</definedName>
    <definedName name="Std3dot1DateofHASP" localSheetId="30">'IWP30'!$K$11</definedName>
    <definedName name="Std3dot2" localSheetId="1">'IWP01'!$K$30</definedName>
    <definedName name="Std3dot2" localSheetId="2">'IWP02'!$K$30</definedName>
    <definedName name="Std3dot2" localSheetId="3">'IWP03'!$K$30</definedName>
    <definedName name="Std3dot2" localSheetId="4">'IWP04'!$K$30</definedName>
    <definedName name="Std3dot2" localSheetId="5">'IWP05'!$K$30</definedName>
    <definedName name="Std3dot2" localSheetId="6">'IWP06'!$K$30</definedName>
    <definedName name="Std3dot2" localSheetId="7">'IWP07'!$K$30</definedName>
    <definedName name="Std3dot2" localSheetId="8">'IWP08'!$K$30</definedName>
    <definedName name="Std3dot2" localSheetId="9">'IWP09'!$K$30</definedName>
    <definedName name="Std3dot2" localSheetId="10">'IWP10'!$K$30</definedName>
    <definedName name="Std3dot2" localSheetId="11">'IWP11'!$K$30</definedName>
    <definedName name="Std3dot2" localSheetId="12">'IWP12'!$K$30</definedName>
    <definedName name="Std3dot2" localSheetId="13">'IWP13'!$K$30</definedName>
    <definedName name="Std3dot2" localSheetId="14">'IWP14'!$K$30</definedName>
    <definedName name="Std3dot2" localSheetId="15">'IWP15'!$K$30</definedName>
    <definedName name="Std3dot2" localSheetId="16">'IWP16'!$K$30</definedName>
    <definedName name="Std3dot2" localSheetId="17">'IWP17'!$K$30</definedName>
    <definedName name="Std3dot2" localSheetId="18">'IWP18'!$K$30</definedName>
    <definedName name="Std3dot2" localSheetId="19">'IWP19'!$K$30</definedName>
    <definedName name="Std3dot2" localSheetId="20">'IWP20'!$K$30</definedName>
    <definedName name="Std3dot2" localSheetId="21">'IWP21'!$K$30</definedName>
    <definedName name="Std3dot2" localSheetId="22">'IWP22'!$K$30</definedName>
    <definedName name="Std3dot2" localSheetId="23">'IWP23'!$K$30</definedName>
    <definedName name="Std3dot2" localSheetId="24">'IWP24'!$K$30</definedName>
    <definedName name="Std3dot2" localSheetId="25">'IWP25'!$K$30</definedName>
    <definedName name="Std3dot2" localSheetId="26">'IWP26'!$K$30</definedName>
    <definedName name="Std3dot2" localSheetId="27">'IWP27'!$K$30</definedName>
    <definedName name="Std3dot2" localSheetId="28">'IWP28'!$K$30</definedName>
    <definedName name="Std3dot2" localSheetId="29">'IWP29'!$K$30</definedName>
    <definedName name="Std3dot2" localSheetId="30">'IWP30'!$K$30</definedName>
    <definedName name="Std3dot2a" localSheetId="1">'IWP01'!$K$21</definedName>
    <definedName name="Std3dot2a" localSheetId="2">'IWP02'!$K$21</definedName>
    <definedName name="Std3dot2a" localSheetId="3">'IWP03'!$K$21</definedName>
    <definedName name="Std3dot2a" localSheetId="4">'IWP04'!$K$21</definedName>
    <definedName name="Std3dot2a" localSheetId="5">'IWP05'!$K$21</definedName>
    <definedName name="Std3dot2a" localSheetId="6">'IWP06'!$K$21</definedName>
    <definedName name="Std3dot2a" localSheetId="7">'IWP07'!$K$21</definedName>
    <definedName name="Std3dot2a" localSheetId="8">'IWP08'!$K$21</definedName>
    <definedName name="Std3dot2a" localSheetId="9">'IWP09'!$K$21</definedName>
    <definedName name="Std3dot2a" localSheetId="10">'IWP10'!$K$21</definedName>
    <definedName name="Std3dot2a" localSheetId="11">'IWP11'!$K$21</definedName>
    <definedName name="Std3dot2a" localSheetId="12">'IWP12'!$K$21</definedName>
    <definedName name="Std3dot2a" localSheetId="13">'IWP13'!$K$21</definedName>
    <definedName name="Std3dot2a" localSheetId="14">'IWP14'!$K$21</definedName>
    <definedName name="Std3dot2a" localSheetId="15">'IWP15'!$K$21</definedName>
    <definedName name="Std3dot2a" localSheetId="16">'IWP16'!$K$21</definedName>
    <definedName name="Std3dot2a" localSheetId="17">'IWP17'!$K$21</definedName>
    <definedName name="Std3dot2a" localSheetId="18">'IWP18'!$K$21</definedName>
    <definedName name="Std3dot2a" localSheetId="19">'IWP19'!$K$21</definedName>
    <definedName name="Std3dot2a" localSheetId="20">'IWP20'!$K$21</definedName>
    <definedName name="Std3dot2a" localSheetId="21">'IWP21'!$K$21</definedName>
    <definedName name="Std3dot2a" localSheetId="22">'IWP22'!$K$21</definedName>
    <definedName name="Std3dot2a" localSheetId="23">'IWP23'!$K$21</definedName>
    <definedName name="Std3dot2a" localSheetId="24">'IWP24'!$K$21</definedName>
    <definedName name="Std3dot2a" localSheetId="25">'IWP25'!$K$21</definedName>
    <definedName name="Std3dot2a" localSheetId="26">'IWP26'!$K$21</definedName>
    <definedName name="Std3dot2a" localSheetId="27">'IWP27'!$K$21</definedName>
    <definedName name="Std3dot2a" localSheetId="28">'IWP28'!$K$21</definedName>
    <definedName name="Std3dot2a" localSheetId="29">'IWP29'!$K$21</definedName>
    <definedName name="Std3dot2a" localSheetId="30">'IWP30'!$K$21</definedName>
    <definedName name="Std3dot2b" localSheetId="1">'IWP01'!$K$23</definedName>
    <definedName name="Std3dot2b" localSheetId="2">'IWP02'!$K$23</definedName>
    <definedName name="Std3dot2b" localSheetId="3">'IWP03'!$K$23</definedName>
    <definedName name="Std3dot2b" localSheetId="4">'IWP04'!$K$23</definedName>
    <definedName name="Std3dot2b" localSheetId="5">'IWP05'!$K$23</definedName>
    <definedName name="Std3dot2b" localSheetId="6">'IWP06'!$K$23</definedName>
    <definedName name="Std3dot2b" localSheetId="7">'IWP07'!$K$23</definedName>
    <definedName name="Std3dot2b" localSheetId="8">'IWP08'!$K$23</definedName>
    <definedName name="Std3dot2b" localSheetId="9">'IWP09'!$K$23</definedName>
    <definedName name="Std3dot2b" localSheetId="10">'IWP10'!$K$23</definedName>
    <definedName name="Std3dot2b" localSheetId="11">'IWP11'!$K$23</definedName>
    <definedName name="Std3dot2b" localSheetId="12">'IWP12'!$K$23</definedName>
    <definedName name="Std3dot2b" localSheetId="13">'IWP13'!$K$23</definedName>
    <definedName name="Std3dot2b" localSheetId="14">'IWP14'!$K$23</definedName>
    <definedName name="Std3dot2b" localSheetId="15">'IWP15'!$K$23</definedName>
    <definedName name="Std3dot2b" localSheetId="16">'IWP16'!$K$23</definedName>
    <definedName name="Std3dot2b" localSheetId="17">'IWP17'!$K$23</definedName>
    <definedName name="Std3dot2b" localSheetId="18">'IWP18'!$K$23</definedName>
    <definedName name="Std3dot2b" localSheetId="19">'IWP19'!$K$23</definedName>
    <definedName name="Std3dot2b" localSheetId="20">'IWP20'!$K$23</definedName>
    <definedName name="Std3dot2b" localSheetId="21">'IWP21'!$K$23</definedName>
    <definedName name="Std3dot2b" localSheetId="22">'IWP22'!$K$23</definedName>
    <definedName name="Std3dot2b" localSheetId="23">'IWP23'!$K$23</definedName>
    <definedName name="Std3dot2b" localSheetId="24">'IWP24'!$K$23</definedName>
    <definedName name="Std3dot2b" localSheetId="25">'IWP25'!$K$23</definedName>
    <definedName name="Std3dot2b" localSheetId="26">'IWP26'!$K$23</definedName>
    <definedName name="Std3dot2b" localSheetId="27">'IWP27'!$K$23</definedName>
    <definedName name="Std3dot2b" localSheetId="28">'IWP28'!$K$23</definedName>
    <definedName name="Std3dot2b" localSheetId="29">'IWP29'!$K$23</definedName>
    <definedName name="Std3dot2b" localSheetId="30">'IWP30'!$K$23</definedName>
    <definedName name="Std3dot2c" localSheetId="1">'IWP01'!$K$29</definedName>
    <definedName name="Std3dot2c" localSheetId="2">'IWP02'!$K$29</definedName>
    <definedName name="Std3dot2c" localSheetId="3">'IWP03'!$K$29</definedName>
    <definedName name="Std3dot2c" localSheetId="4">'IWP04'!$K$29</definedName>
    <definedName name="Std3dot2c" localSheetId="5">'IWP05'!$K$29</definedName>
    <definedName name="Std3dot2c" localSheetId="6">'IWP06'!$K$29</definedName>
    <definedName name="Std3dot2c" localSheetId="7">'IWP07'!$K$29</definedName>
    <definedName name="Std3dot2c" localSheetId="8">'IWP08'!$K$29</definedName>
    <definedName name="Std3dot2c" localSheetId="9">'IWP09'!$K$29</definedName>
    <definedName name="Std3dot2c" localSheetId="10">'IWP10'!$K$29</definedName>
    <definedName name="Std3dot2c" localSheetId="11">'IWP11'!$K$29</definedName>
    <definedName name="Std3dot2c" localSheetId="12">'IWP12'!$K$29</definedName>
    <definedName name="Std3dot2c" localSheetId="13">'IWP13'!$K$29</definedName>
    <definedName name="Std3dot2c" localSheetId="14">'IWP14'!$K$29</definedName>
    <definedName name="Std3dot2c" localSheetId="15">'IWP15'!$K$29</definedName>
    <definedName name="Std3dot2c" localSheetId="16">'IWP16'!$K$29</definedName>
    <definedName name="Std3dot2c" localSheetId="17">'IWP17'!$K$29</definedName>
    <definedName name="Std3dot2c" localSheetId="18">'IWP18'!$K$29</definedName>
    <definedName name="Std3dot2c" localSheetId="19">'IWP19'!$K$29</definedName>
    <definedName name="Std3dot2c" localSheetId="20">'IWP20'!$K$29</definedName>
    <definedName name="Std3dot2c" localSheetId="21">'IWP21'!$K$29</definedName>
    <definedName name="Std3dot2c" localSheetId="22">'IWP22'!$K$29</definedName>
    <definedName name="Std3dot2c" localSheetId="23">'IWP23'!$K$29</definedName>
    <definedName name="Std3dot2c" localSheetId="24">'IWP24'!$K$29</definedName>
    <definedName name="Std3dot2c" localSheetId="25">'IWP25'!$K$29</definedName>
    <definedName name="Std3dot2c" localSheetId="26">'IWP26'!$K$29</definedName>
    <definedName name="Std3dot2c" localSheetId="27">'IWP27'!$K$29</definedName>
    <definedName name="Std3dot2c" localSheetId="28">'IWP28'!$K$29</definedName>
    <definedName name="Std3dot2c" localSheetId="29">'IWP29'!$K$29</definedName>
    <definedName name="Std3dot2c" localSheetId="30">'IWP30'!$K$29</definedName>
    <definedName name="Std3NotCalc" localSheetId="1">'IWP01'!$K$7</definedName>
    <definedName name="Std3NotCalc" localSheetId="2">'IWP02'!$K$7</definedName>
    <definedName name="Std3NotCalc" localSheetId="3">'IWP03'!$K$7</definedName>
    <definedName name="Std3NotCalc" localSheetId="4">'IWP04'!$K$7</definedName>
    <definedName name="Std3NotCalc" localSheetId="5">'IWP05'!$K$7</definedName>
    <definedName name="Std3NotCalc" localSheetId="6">'IWP06'!$K$7</definedName>
    <definedName name="Std3NotCalc" localSheetId="7">'IWP07'!$K$7</definedName>
    <definedName name="Std3NotCalc" localSheetId="8">'IWP08'!$K$7</definedName>
    <definedName name="Std3NotCalc" localSheetId="9">'IWP09'!$K$7</definedName>
    <definedName name="Std3NotCalc" localSheetId="10">'IWP10'!$K$7</definedName>
    <definedName name="Std3NotCalc" localSheetId="11">'IWP11'!$K$7</definedName>
    <definedName name="Std3NotCalc" localSheetId="12">'IWP12'!$K$7</definedName>
    <definedName name="Std3NotCalc" localSheetId="13">'IWP13'!$K$7</definedName>
    <definedName name="Std3NotCalc" localSheetId="14">'IWP14'!$K$7</definedName>
    <definedName name="Std3NotCalc" localSheetId="15">'IWP15'!$K$7</definedName>
    <definedName name="Std3NotCalc" localSheetId="16">'IWP16'!$K$7</definedName>
    <definedName name="Std3NotCalc" localSheetId="17">'IWP17'!$K$7</definedName>
    <definedName name="Std3NotCalc" localSheetId="18">'IWP18'!$K$7</definedName>
    <definedName name="Std3NotCalc" localSheetId="19">'IWP19'!$K$7</definedName>
    <definedName name="Std3NotCalc" localSheetId="20">'IWP20'!$K$7</definedName>
    <definedName name="Std3NotCalc" localSheetId="21">'IWP21'!$K$7</definedName>
    <definedName name="Std3NotCalc" localSheetId="22">'IWP22'!$K$7</definedName>
    <definedName name="Std3NotCalc" localSheetId="23">'IWP23'!$K$7</definedName>
    <definedName name="Std3NotCalc" localSheetId="24">'IWP24'!$K$7</definedName>
    <definedName name="Std3NotCalc" localSheetId="25">'IWP25'!$K$7</definedName>
    <definedName name="Std3NotCalc" localSheetId="26">'IWP26'!$K$7</definedName>
    <definedName name="Std3NotCalc" localSheetId="27">'IWP27'!$K$7</definedName>
    <definedName name="Std3NotCalc" localSheetId="28">'IWP28'!$K$7</definedName>
    <definedName name="Std3NotCalc" localSheetId="29">'IWP29'!$K$7</definedName>
    <definedName name="Std3NotCalc" localSheetId="30">'IWP30'!$K$7</definedName>
    <definedName name="Std3Score" localSheetId="38">'ALRC Compliance Summary (Print)'!$J$17</definedName>
    <definedName name="Std4dot1" localSheetId="1">'IWP01'!$J$38</definedName>
    <definedName name="Std4dot1" localSheetId="2">'IWP02'!$J$38</definedName>
    <definedName name="Std4dot1" localSheetId="3">'IWP03'!$J$38</definedName>
    <definedName name="Std4dot1" localSheetId="4">'IWP04'!$J$38</definedName>
    <definedName name="Std4dot1" localSheetId="5">'IWP05'!$J$38</definedName>
    <definedName name="Std4dot1" localSheetId="6">'IWP06'!$J$38</definedName>
    <definedName name="Std4dot1" localSheetId="7">'IWP07'!$J$38</definedName>
    <definedName name="Std4dot1" localSheetId="8">'IWP08'!$J$38</definedName>
    <definedName name="Std4dot1" localSheetId="9">'IWP09'!$J$38</definedName>
    <definedName name="Std4dot1" localSheetId="10">'IWP10'!$J$38</definedName>
    <definedName name="Std4dot1" localSheetId="11">'IWP11'!$J$38</definedName>
    <definedName name="Std4dot1" localSheetId="12">'IWP12'!$J$38</definedName>
    <definedName name="Std4dot1" localSheetId="13">'IWP13'!$J$38</definedName>
    <definedName name="Std4dot1" localSheetId="14">'IWP14'!$J$38</definedName>
    <definedName name="Std4dot1" localSheetId="15">'IWP15'!$J$38</definedName>
    <definedName name="Std4dot1" localSheetId="16">'IWP16'!$J$38</definedName>
    <definedName name="Std4dot1" localSheetId="17">'IWP17'!$J$38</definedName>
    <definedName name="Std4dot1" localSheetId="18">'IWP18'!$J$38</definedName>
    <definedName name="Std4dot1" localSheetId="19">'IWP19'!$J$38</definedName>
    <definedName name="Std4dot1" localSheetId="20">'IWP20'!$J$38</definedName>
    <definedName name="Std4dot1" localSheetId="21">'IWP21'!$J$38</definedName>
    <definedName name="Std4dot1" localSheetId="22">'IWP22'!$J$38</definedName>
    <definedName name="Std4dot1" localSheetId="23">'IWP23'!$J$38</definedName>
    <definedName name="Std4dot1" localSheetId="24">'IWP24'!$J$38</definedName>
    <definedName name="Std4dot1" localSheetId="25">'IWP25'!$J$38</definedName>
    <definedName name="Std4dot1" localSheetId="26">'IWP26'!$J$38</definedName>
    <definedName name="Std4dot1" localSheetId="27">'IWP27'!$J$38</definedName>
    <definedName name="Std4dot1" localSheetId="28">'IWP28'!$J$38</definedName>
    <definedName name="Std4dot1" localSheetId="29">'IWP29'!$J$38</definedName>
    <definedName name="Std4dot1" localSheetId="30">'IWP30'!$J$38</definedName>
    <definedName name="Std4dot1Month1" localSheetId="1">'IWP01'!$B$37</definedName>
    <definedName name="Std4dot1Month1" localSheetId="2">'IWP02'!$B$37</definedName>
    <definedName name="Std4dot1Month1" localSheetId="3">'IWP03'!$B$37</definedName>
    <definedName name="Std4dot1Month1" localSheetId="4">'IWP04'!$B$37</definedName>
    <definedName name="Std4dot1Month1" localSheetId="5">'IWP05'!$B$37</definedName>
    <definedName name="Std4dot1Month1" localSheetId="6">'IWP06'!$B$37</definedName>
    <definedName name="Std4dot1Month1" localSheetId="7">'IWP07'!$B$37</definedName>
    <definedName name="Std4dot1Month1" localSheetId="8">'IWP08'!$B$37</definedName>
    <definedName name="Std4dot1Month1" localSheetId="9">'IWP09'!$B$37</definedName>
    <definedName name="Std4dot1Month1" localSheetId="10">'IWP10'!$B$37</definedName>
    <definedName name="Std4dot1Month1" localSheetId="11">'IWP11'!$B$37</definedName>
    <definedName name="Std4dot1Month1" localSheetId="12">'IWP12'!$B$37</definedName>
    <definedName name="Std4dot1Month1" localSheetId="13">'IWP13'!$B$37</definedName>
    <definedName name="Std4dot1Month1" localSheetId="14">'IWP14'!$B$37</definedName>
    <definedName name="Std4dot1Month1" localSheetId="15">'IWP15'!$B$37</definedName>
    <definedName name="Std4dot1Month1" localSheetId="16">'IWP16'!$B$37</definedName>
    <definedName name="Std4dot1Month1" localSheetId="17">'IWP17'!$B$37</definedName>
    <definedName name="Std4dot1Month1" localSheetId="18">'IWP18'!$B$37</definedName>
    <definedName name="Std4dot1Month1" localSheetId="19">'IWP19'!$B$37</definedName>
    <definedName name="Std4dot1Month1" localSheetId="20">'IWP20'!$B$37</definedName>
    <definedName name="Std4dot1Month1" localSheetId="21">'IWP21'!$B$37</definedName>
    <definedName name="Std4dot1Month1" localSheetId="22">'IWP22'!$B$37</definedName>
    <definedName name="Std4dot1Month1" localSheetId="23">'IWP23'!$B$37</definedName>
    <definedName name="Std4dot1Month1" localSheetId="24">'IWP24'!$B$37</definedName>
    <definedName name="Std4dot1Month1" localSheetId="25">'IWP25'!$B$37</definedName>
    <definedName name="Std4dot1Month1" localSheetId="26">'IWP26'!$B$37</definedName>
    <definedName name="Std4dot1Month1" localSheetId="27">'IWP27'!$B$37</definedName>
    <definedName name="Std4dot1Month1" localSheetId="28">'IWP28'!$B$37</definedName>
    <definedName name="Std4dot1Month1" localSheetId="29">'IWP29'!$B$37</definedName>
    <definedName name="Std4dot1Month1" localSheetId="30">'IWP30'!$B$37</definedName>
    <definedName name="Std4dot1Month1Date" localSheetId="1">'IWP01'!$D$37</definedName>
    <definedName name="Std4dot1Month1Date" localSheetId="2">'IWP02'!$D$37</definedName>
    <definedName name="Std4dot1Month1Date" localSheetId="3">'IWP03'!$D$37</definedName>
    <definedName name="Std4dot1Month1Date" localSheetId="4">'IWP04'!$D$37</definedName>
    <definedName name="Std4dot1Month1Date" localSheetId="5">'IWP05'!$D$37</definedName>
    <definedName name="Std4dot1Month1Date" localSheetId="6">'IWP06'!$D$37</definedName>
    <definedName name="Std4dot1Month1Date" localSheetId="7">'IWP07'!$D$37</definedName>
    <definedName name="Std4dot1Month1Date" localSheetId="8">'IWP08'!$D$37</definedName>
    <definedName name="Std4dot1Month1Date" localSheetId="9">'IWP09'!$D$37</definedName>
    <definedName name="Std4dot1Month1Date" localSheetId="10">'IWP10'!$D$37</definedName>
    <definedName name="Std4dot1Month1Date" localSheetId="11">'IWP11'!$D$37</definedName>
    <definedName name="Std4dot1Month1Date" localSheetId="12">'IWP12'!$D$37</definedName>
    <definedName name="Std4dot1Month1Date" localSheetId="13">'IWP13'!$D$37</definedName>
    <definedName name="Std4dot1Month1Date" localSheetId="14">'IWP14'!$D$37</definedName>
    <definedName name="Std4dot1Month1Date" localSheetId="15">'IWP15'!$D$37</definedName>
    <definedName name="Std4dot1Month1Date" localSheetId="16">'IWP16'!$D$37</definedName>
    <definedName name="Std4dot1Month1Date" localSheetId="17">'IWP17'!$D$37</definedName>
    <definedName name="Std4dot1Month1Date" localSheetId="18">'IWP18'!$D$37</definedName>
    <definedName name="Std4dot1Month1Date" localSheetId="19">'IWP19'!$D$37</definedName>
    <definedName name="Std4dot1Month1Date" localSheetId="20">'IWP20'!$D$37</definedName>
    <definedName name="Std4dot1Month1Date" localSheetId="21">'IWP21'!$D$37</definedName>
    <definedName name="Std4dot1Month1Date" localSheetId="22">'IWP22'!$D$37</definedName>
    <definedName name="Std4dot1Month1Date" localSheetId="23">'IWP23'!$D$37</definedName>
    <definedName name="Std4dot1Month1Date" localSheetId="24">'IWP24'!$D$37</definedName>
    <definedName name="Std4dot1Month1Date" localSheetId="25">'IWP25'!$D$37</definedName>
    <definedName name="Std4dot1Month1Date" localSheetId="26">'IWP26'!$D$37</definedName>
    <definedName name="Std4dot1Month1Date" localSheetId="27">'IWP27'!$D$37</definedName>
    <definedName name="Std4dot1Month1Date" localSheetId="28">'IWP28'!$D$37</definedName>
    <definedName name="Std4dot1Month1Date" localSheetId="29">'IWP29'!$D$37</definedName>
    <definedName name="Std4dot1Month1Date" localSheetId="30">'IWP30'!$D$37</definedName>
    <definedName name="Std4dot1Month2" localSheetId="1">'IWP01'!$G$37</definedName>
    <definedName name="Std4dot1Month2" localSheetId="2">'IWP02'!$G$37</definedName>
    <definedName name="Std4dot1Month2" localSheetId="3">'IWP03'!$G$37</definedName>
    <definedName name="Std4dot1Month2" localSheetId="4">'IWP04'!$G$37</definedName>
    <definedName name="Std4dot1Month2" localSheetId="5">'IWP05'!$G$37</definedName>
    <definedName name="Std4dot1Month2" localSheetId="6">'IWP06'!$G$37</definedName>
    <definedName name="Std4dot1Month2" localSheetId="7">'IWP07'!$G$37</definedName>
    <definedName name="Std4dot1Month2" localSheetId="8">'IWP08'!$G$37</definedName>
    <definedName name="Std4dot1Month2" localSheetId="9">'IWP09'!$G$37</definedName>
    <definedName name="Std4dot1Month2" localSheetId="10">'IWP10'!$G$37</definedName>
    <definedName name="Std4dot1Month2" localSheetId="11">'IWP11'!$G$37</definedName>
    <definedName name="Std4dot1Month2" localSheetId="12">'IWP12'!$G$37</definedName>
    <definedName name="Std4dot1Month2" localSheetId="13">'IWP13'!$G$37</definedName>
    <definedName name="Std4dot1Month2" localSheetId="14">'IWP14'!$G$37</definedName>
    <definedName name="Std4dot1Month2" localSheetId="15">'IWP15'!$G$37</definedName>
    <definedName name="Std4dot1Month2" localSheetId="16">'IWP16'!$G$37</definedName>
    <definedName name="Std4dot1Month2" localSheetId="17">'IWP17'!$G$37</definedName>
    <definedName name="Std4dot1Month2" localSheetId="18">'IWP18'!$G$37</definedName>
    <definedName name="Std4dot1Month2" localSheetId="19">'IWP19'!$G$37</definedName>
    <definedName name="Std4dot1Month2" localSheetId="20">'IWP20'!$G$37</definedName>
    <definedName name="Std4dot1Month2" localSheetId="21">'IWP21'!$G$37</definedName>
    <definedName name="Std4dot1Month2" localSheetId="22">'IWP22'!$G$37</definedName>
    <definedName name="Std4dot1Month2" localSheetId="23">'IWP23'!$G$37</definedName>
    <definedName name="Std4dot1Month2" localSheetId="24">'IWP24'!$G$37</definedName>
    <definedName name="Std4dot1Month2" localSheetId="25">'IWP25'!$G$37</definedName>
    <definedName name="Std4dot1Month2" localSheetId="26">'IWP26'!$G$37</definedName>
    <definedName name="Std4dot1Month2" localSheetId="27">'IWP27'!$G$37</definedName>
    <definedName name="Std4dot1Month2" localSheetId="28">'IWP28'!$G$37</definedName>
    <definedName name="Std4dot1Month2" localSheetId="29">'IWP29'!$G$37</definedName>
    <definedName name="Std4dot1Month2" localSheetId="30">'IWP30'!$G$37</definedName>
    <definedName name="Std4dot1Month2Date" localSheetId="1">'IWP01'!$I$37</definedName>
    <definedName name="Std4dot1Month2Date" localSheetId="2">'IWP02'!$I$37</definedName>
    <definedName name="Std4dot1Month2Date" localSheetId="3">'IWP03'!$I$37</definedName>
    <definedName name="Std4dot1Month2Date" localSheetId="4">'IWP04'!$I$37</definedName>
    <definedName name="Std4dot1Month2Date" localSheetId="5">'IWP05'!$I$37</definedName>
    <definedName name="Std4dot1Month2Date" localSheetId="6">'IWP06'!$I$37</definedName>
    <definedName name="Std4dot1Month2Date" localSheetId="7">'IWP07'!$I$37</definedName>
    <definedName name="Std4dot1Month2Date" localSheetId="8">'IWP08'!$I$37</definedName>
    <definedName name="Std4dot1Month2Date" localSheetId="9">'IWP09'!$I$37</definedName>
    <definedName name="Std4dot1Month2Date" localSheetId="10">'IWP10'!$I$37</definedName>
    <definedName name="Std4dot1Month2Date" localSheetId="11">'IWP11'!$I$37</definedName>
    <definedName name="Std4dot1Month2Date" localSheetId="12">'IWP12'!$I$37</definedName>
    <definedName name="Std4dot1Month2Date" localSheetId="13">'IWP13'!$I$37</definedName>
    <definedName name="Std4dot1Month2Date" localSheetId="14">'IWP14'!$I$37</definedName>
    <definedName name="Std4dot1Month2Date" localSheetId="15">'IWP15'!$I$37</definedName>
    <definedName name="Std4dot1Month2Date" localSheetId="16">'IWP16'!$I$37</definedName>
    <definedName name="Std4dot1Month2Date" localSheetId="17">'IWP17'!$I$37</definedName>
    <definedName name="Std4dot1Month2Date" localSheetId="18">'IWP18'!$I$37</definedName>
    <definedName name="Std4dot1Month2Date" localSheetId="19">'IWP19'!$I$37</definedName>
    <definedName name="Std4dot1Month2Date" localSheetId="20">'IWP20'!$I$37</definedName>
    <definedName name="Std4dot1Month2Date" localSheetId="21">'IWP21'!$I$37</definedName>
    <definedName name="Std4dot1Month2Date" localSheetId="22">'IWP22'!$I$37</definedName>
    <definedName name="Std4dot1Month2Date" localSheetId="23">'IWP23'!$I$37</definedName>
    <definedName name="Std4dot1Month2Date" localSheetId="24">'IWP24'!$I$37</definedName>
    <definedName name="Std4dot1Month2Date" localSheetId="25">'IWP25'!$I$37</definedName>
    <definedName name="Std4dot1Month2Date" localSheetId="26">'IWP26'!$I$37</definedName>
    <definedName name="Std4dot1Month2Date" localSheetId="27">'IWP27'!$I$37</definedName>
    <definedName name="Std4dot1Month2Date" localSheetId="28">'IWP28'!$I$37</definedName>
    <definedName name="Std4dot1Month2Date" localSheetId="29">'IWP29'!$I$37</definedName>
    <definedName name="Std4dot1Month2Date" localSheetId="30">'IWP30'!$I$37</definedName>
    <definedName name="Std4dot2" localSheetId="1">'IWP01'!$J$51</definedName>
    <definedName name="Std4dot2" localSheetId="2">'IWP02'!$J$51</definedName>
    <definedName name="Std4dot2" localSheetId="3">'IWP03'!$J$51</definedName>
    <definedName name="Std4dot2" localSheetId="4">'IWP04'!$J$51</definedName>
    <definedName name="Std4dot2" localSheetId="5">'IWP05'!$J$51</definedName>
    <definedName name="Std4dot2" localSheetId="6">'IWP06'!$J$51</definedName>
    <definedName name="Std4dot2" localSheetId="7">'IWP07'!$J$51</definedName>
    <definedName name="Std4dot2" localSheetId="8">'IWP08'!$J$51</definedName>
    <definedName name="Std4dot2" localSheetId="9">'IWP09'!$J$51</definedName>
    <definedName name="Std4dot2" localSheetId="10">'IWP10'!$J$51</definedName>
    <definedName name="Std4dot2" localSheetId="11">'IWP11'!$J$51</definedName>
    <definedName name="Std4dot2" localSheetId="12">'IWP12'!$J$51</definedName>
    <definedName name="Std4dot2" localSheetId="13">'IWP13'!$J$51</definedName>
    <definedName name="Std4dot2" localSheetId="14">'IWP14'!$J$51</definedName>
    <definedName name="Std4dot2" localSheetId="15">'IWP15'!$J$51</definedName>
    <definedName name="Std4dot2" localSheetId="16">'IWP16'!$J$51</definedName>
    <definedName name="Std4dot2" localSheetId="17">'IWP17'!$J$51</definedName>
    <definedName name="Std4dot2" localSheetId="18">'IWP18'!$J$51</definedName>
    <definedName name="Std4dot2" localSheetId="19">'IWP19'!$J$51</definedName>
    <definedName name="Std4dot2" localSheetId="20">'IWP20'!$J$51</definedName>
    <definedName name="Std4dot2" localSheetId="21">'IWP21'!$J$51</definedName>
    <definedName name="Std4dot2" localSheetId="22">'IWP22'!$J$51</definedName>
    <definedName name="Std4dot2" localSheetId="23">'IWP23'!$J$51</definedName>
    <definedName name="Std4dot2" localSheetId="24">'IWP24'!$J$51</definedName>
    <definedName name="Std4dot2" localSheetId="25">'IWP25'!$J$51</definedName>
    <definedName name="Std4dot2" localSheetId="26">'IWP26'!$J$51</definedName>
    <definedName name="Std4dot2" localSheetId="27">'IWP27'!$J$51</definedName>
    <definedName name="Std4dot2" localSheetId="28">'IWP28'!$J$51</definedName>
    <definedName name="Std4dot2" localSheetId="29">'IWP29'!$J$51</definedName>
    <definedName name="Std4dot2" localSheetId="30">'IWP30'!$J$51</definedName>
    <definedName name="Std4dot2Dates" localSheetId="1">'IWP01'!$A$47:$K$50</definedName>
    <definedName name="Std4dot2Dates" localSheetId="2">'IWP02'!$A$47:$K$50</definedName>
    <definedName name="Std4dot2Dates" localSheetId="3">'IWP03'!$A$47:$K$50</definedName>
    <definedName name="Std4dot2Dates" localSheetId="4">'IWP04'!$A$47:$K$50</definedName>
    <definedName name="Std4dot2Dates" localSheetId="5">'IWP05'!$A$47:$K$50</definedName>
    <definedName name="Std4dot2Dates" localSheetId="6">'IWP06'!$A$47:$K$50</definedName>
    <definedName name="Std4dot2Dates" localSheetId="7">'IWP07'!$A$47:$K$50</definedName>
    <definedName name="Std4dot2Dates" localSheetId="8">'IWP08'!$A$47:$K$50</definedName>
    <definedName name="Std4dot2Dates" localSheetId="9">'IWP09'!$A$47:$K$50</definedName>
    <definedName name="Std4dot2Dates" localSheetId="10">'IWP10'!$A$47:$K$50</definedName>
    <definedName name="Std4dot2Dates" localSheetId="11">'IWP11'!$A$47:$K$50</definedName>
    <definedName name="Std4dot2Dates" localSheetId="12">'IWP12'!$A$47:$K$50</definedName>
    <definedName name="Std4dot2Dates" localSheetId="13">'IWP13'!$A$47:$K$50</definedName>
    <definedName name="Std4dot2Dates" localSheetId="14">'IWP14'!$A$47:$K$50</definedName>
    <definedName name="Std4dot2Dates" localSheetId="15">'IWP15'!$A$47:$K$50</definedName>
    <definedName name="Std4dot2Dates" localSheetId="16">'IWP16'!$A$47:$K$50</definedName>
    <definedName name="Std4dot2Dates" localSheetId="17">'IWP17'!$A$47:$K$50</definedName>
    <definedName name="Std4dot2Dates" localSheetId="18">'IWP18'!$A$47:$K$50</definedName>
    <definedName name="Std4dot2Dates" localSheetId="19">'IWP19'!$A$47:$K$50</definedName>
    <definedName name="Std4dot2Dates" localSheetId="20">'IWP20'!$A$47:$K$50</definedName>
    <definedName name="Std4dot2Dates" localSheetId="21">'IWP21'!$A$47:$K$50</definedName>
    <definedName name="Std4dot2Dates" localSheetId="22">'IWP22'!$A$47:$K$50</definedName>
    <definedName name="Std4dot2Dates" localSheetId="23">'IWP23'!$A$47:$K$50</definedName>
    <definedName name="Std4dot2Dates" localSheetId="24">'IWP24'!$A$47:$K$50</definedName>
    <definedName name="Std4dot2Dates" localSheetId="25">'IWP25'!$A$47:$K$50</definedName>
    <definedName name="Std4dot2Dates" localSheetId="26">'IWP26'!$A$47:$K$50</definedName>
    <definedName name="Std4dot2Dates" localSheetId="27">'IWP27'!$A$47:$K$50</definedName>
    <definedName name="Std4dot2Dates" localSheetId="28">'IWP28'!$A$47:$K$50</definedName>
    <definedName name="Std4dot2Dates" localSheetId="29">'IWP29'!$A$47:$K$50</definedName>
    <definedName name="Std4dot2Dates" localSheetId="30">'IWP30'!$A$47:$K$50</definedName>
    <definedName name="Std4dot2NotCalc" localSheetId="1">'IWP01'!$J$41</definedName>
    <definedName name="Std4dot2NotCalc" localSheetId="2">'IWP02'!$J$41</definedName>
    <definedName name="Std4dot2NotCalc" localSheetId="3">'IWP03'!$J$41</definedName>
    <definedName name="Std4dot2NotCalc" localSheetId="4">'IWP04'!$J$41</definedName>
    <definedName name="Std4dot2NotCalc" localSheetId="5">'IWP05'!$J$41</definedName>
    <definedName name="Std4dot2NotCalc" localSheetId="6">'IWP06'!$J$41</definedName>
    <definedName name="Std4dot2NotCalc" localSheetId="7">'IWP07'!$J$41</definedName>
    <definedName name="Std4dot2NotCalc" localSheetId="8">'IWP08'!$J$41</definedName>
    <definedName name="Std4dot2NotCalc" localSheetId="9">'IWP09'!$J$41</definedName>
    <definedName name="Std4dot2NotCalc" localSheetId="10">'IWP10'!$J$41</definedName>
    <definedName name="Std4dot2NotCalc" localSheetId="11">'IWP11'!$J$41</definedName>
    <definedName name="Std4dot2NotCalc" localSheetId="12">'IWP12'!$J$41</definedName>
    <definedName name="Std4dot2NotCalc" localSheetId="13">'IWP13'!$J$41</definedName>
    <definedName name="Std4dot2NotCalc" localSheetId="14">'IWP14'!$J$41</definedName>
    <definedName name="Std4dot2NotCalc" localSheetId="15">'IWP15'!$J$41</definedName>
    <definedName name="Std4dot2NotCalc" localSheetId="16">'IWP16'!$J$41</definedName>
    <definedName name="Std4dot2NotCalc" localSheetId="17">'IWP17'!$J$41</definedName>
    <definedName name="Std4dot2NotCalc" localSheetId="18">'IWP18'!$J$41</definedName>
    <definedName name="Std4dot2NotCalc" localSheetId="19">'IWP19'!$J$41</definedName>
    <definedName name="Std4dot2NotCalc" localSheetId="20">'IWP20'!$J$41</definedName>
    <definedName name="Std4dot2NotCalc" localSheetId="21">'IWP21'!$J$41</definedName>
    <definedName name="Std4dot2NotCalc" localSheetId="22">'IWP22'!$J$41</definedName>
    <definedName name="Std4dot2NotCalc" localSheetId="23">'IWP23'!$J$41</definedName>
    <definedName name="Std4dot2NotCalc" localSheetId="24">'IWP24'!$J$41</definedName>
    <definedName name="Std4dot2NotCalc" localSheetId="25">'IWP25'!$J$41</definedName>
    <definedName name="Std4dot2NotCalc" localSheetId="26">'IWP26'!$J$41</definedName>
    <definedName name="Std4dot2NotCalc" localSheetId="27">'IWP27'!$J$41</definedName>
    <definedName name="Std4dot2NotCalc" localSheetId="28">'IWP28'!$J$41</definedName>
    <definedName name="Std4dot2NotCalc" localSheetId="29">'IWP29'!$J$41</definedName>
    <definedName name="Std4dot2NotCalc" localSheetId="30">'IWP30'!$J$41</definedName>
    <definedName name="Std4dot3" localSheetId="1">'IWP01'!$J$53</definedName>
    <definedName name="Std4dot3" localSheetId="2">'IWP02'!$J$53</definedName>
    <definedName name="Std4dot3" localSheetId="3">'IWP03'!$J$53</definedName>
    <definedName name="Std4dot3" localSheetId="4">'IWP04'!$J$53</definedName>
    <definedName name="Std4dot3" localSheetId="5">'IWP05'!$J$53</definedName>
    <definedName name="Std4dot3" localSheetId="6">'IWP06'!$J$53</definedName>
    <definedName name="Std4dot3" localSheetId="7">'IWP07'!$J$53</definedName>
    <definedName name="Std4dot3" localSheetId="8">'IWP08'!$J$53</definedName>
    <definedName name="Std4dot3" localSheetId="9">'IWP09'!$J$53</definedName>
    <definedName name="Std4dot3" localSheetId="10">'IWP10'!$J$53</definedName>
    <definedName name="Std4dot3" localSheetId="11">'IWP11'!$J$53</definedName>
    <definedName name="Std4dot3" localSheetId="12">'IWP12'!$J$53</definedName>
    <definedName name="Std4dot3" localSheetId="13">'IWP13'!$J$53</definedName>
    <definedName name="Std4dot3" localSheetId="14">'IWP14'!$J$53</definedName>
    <definedName name="Std4dot3" localSheetId="15">'IWP15'!$J$53</definedName>
    <definedName name="Std4dot3" localSheetId="16">'IWP16'!$J$53</definedName>
    <definedName name="Std4dot3" localSheetId="17">'IWP17'!$J$53</definedName>
    <definedName name="Std4dot3" localSheetId="18">'IWP18'!$J$53</definedName>
    <definedName name="Std4dot3" localSheetId="19">'IWP19'!$J$53</definedName>
    <definedName name="Std4dot3" localSheetId="20">'IWP20'!$J$53</definedName>
    <definedName name="Std4dot3" localSheetId="21">'IWP21'!$J$53</definedName>
    <definedName name="Std4dot3" localSheetId="22">'IWP22'!$J$53</definedName>
    <definedName name="Std4dot3" localSheetId="23">'IWP23'!$J$53</definedName>
    <definedName name="Std4dot3" localSheetId="24">'IWP24'!$J$53</definedName>
    <definedName name="Std4dot3" localSheetId="25">'IWP25'!$J$53</definedName>
    <definedName name="Std4dot3" localSheetId="26">'IWP26'!$J$53</definedName>
    <definedName name="Std4dot3" localSheetId="27">'IWP27'!$J$53</definedName>
    <definedName name="Std4dot3" localSheetId="28">'IWP28'!$J$53</definedName>
    <definedName name="Std4dot3" localSheetId="29">'IWP29'!$J$53</definedName>
    <definedName name="Std4dot3" localSheetId="30">'IWP30'!$J$53</definedName>
    <definedName name="Std4dot4" localSheetId="1">'IWP01'!$J$56</definedName>
    <definedName name="Std4dot4" localSheetId="2">'IWP02'!$J$56</definedName>
    <definedName name="Std4dot4" localSheetId="3">'IWP03'!$J$56</definedName>
    <definedName name="Std4dot4" localSheetId="4">'IWP04'!$J$56</definedName>
    <definedName name="Std4dot4" localSheetId="5">'IWP05'!$J$56</definedName>
    <definedName name="Std4dot4" localSheetId="6">'IWP06'!$J$56</definedName>
    <definedName name="Std4dot4" localSheetId="7">'IWP07'!$J$56</definedName>
    <definedName name="Std4dot4" localSheetId="8">'IWP08'!$J$56</definedName>
    <definedName name="Std4dot4" localSheetId="9">'IWP09'!$J$56</definedName>
    <definedName name="Std4dot4" localSheetId="10">'IWP10'!$J$56</definedName>
    <definedName name="Std4dot4" localSheetId="11">'IWP11'!$J$56</definedName>
    <definedName name="Std4dot4" localSheetId="12">'IWP12'!$J$56</definedName>
    <definedName name="Std4dot4" localSheetId="13">'IWP13'!$J$56</definedName>
    <definedName name="Std4dot4" localSheetId="14">'IWP14'!$J$56</definedName>
    <definedName name="Std4dot4" localSheetId="15">'IWP15'!$J$56</definedName>
    <definedName name="Std4dot4" localSheetId="16">'IWP16'!$J$56</definedName>
    <definedName name="Std4dot4" localSheetId="17">'IWP17'!$J$56</definedName>
    <definedName name="Std4dot4" localSheetId="18">'IWP18'!$J$56</definedName>
    <definedName name="Std4dot4" localSheetId="19">'IWP19'!$J$56</definedName>
    <definedName name="Std4dot4" localSheetId="20">'IWP20'!$J$56</definedName>
    <definedName name="Std4dot4" localSheetId="21">'IWP21'!$J$56</definedName>
    <definedName name="Std4dot4" localSheetId="22">'IWP22'!$J$56</definedName>
    <definedName name="Std4dot4" localSheetId="23">'IWP23'!$J$56</definedName>
    <definedName name="Std4dot4" localSheetId="24">'IWP24'!$J$56</definedName>
    <definedName name="Std4dot4" localSheetId="25">'IWP25'!$J$56</definedName>
    <definedName name="Std4dot4" localSheetId="26">'IWP26'!$J$56</definedName>
    <definedName name="Std4dot4" localSheetId="27">'IWP27'!$J$56</definedName>
    <definedName name="Std4dot4" localSheetId="28">'IWP28'!$J$56</definedName>
    <definedName name="Std4dot4" localSheetId="29">'IWP29'!$J$56</definedName>
    <definedName name="Std4dot4" localSheetId="30">'IWP30'!$J$56</definedName>
    <definedName name="Std4Score" localSheetId="38">'ALRC Compliance Summary (Print)'!$J$19</definedName>
    <definedName name="Std5dot1" localSheetId="1">'IWP01'!$K$63</definedName>
    <definedName name="Std5dot1" localSheetId="2">'IWP02'!$K$63</definedName>
    <definedName name="Std5dot1" localSheetId="3">'IWP03'!$K$63</definedName>
    <definedName name="Std5dot1" localSheetId="4">'IWP04'!$K$63</definedName>
    <definedName name="Std5dot1" localSheetId="5">'IWP05'!$K$63</definedName>
    <definedName name="Std5dot1" localSheetId="6">'IWP06'!$K$63</definedName>
    <definedName name="Std5dot1" localSheetId="7">'IWP07'!$K$63</definedName>
    <definedName name="Std5dot1" localSheetId="8">'IWP08'!$K$63</definedName>
    <definedName name="Std5dot1" localSheetId="9">'IWP09'!$K$63</definedName>
    <definedName name="Std5dot1" localSheetId="10">'IWP10'!$K$63</definedName>
    <definedName name="Std5dot1" localSheetId="11">'IWP11'!$K$63</definedName>
    <definedName name="Std5dot1" localSheetId="12">'IWP12'!$K$63</definedName>
    <definedName name="Std5dot1" localSheetId="13">'IWP13'!$K$63</definedName>
    <definedName name="Std5dot1" localSheetId="14">'IWP14'!$K$63</definedName>
    <definedName name="Std5dot1" localSheetId="15">'IWP15'!$K$63</definedName>
    <definedName name="Std5dot1" localSheetId="16">'IWP16'!$K$63</definedName>
    <definedName name="Std5dot1" localSheetId="17">'IWP17'!$K$63</definedName>
    <definedName name="Std5dot1" localSheetId="18">'IWP18'!$K$63</definedName>
    <definedName name="Std5dot1" localSheetId="19">'IWP19'!$K$63</definedName>
    <definedName name="Std5dot1" localSheetId="20">'IWP20'!$K$63</definedName>
    <definedName name="Std5dot1" localSheetId="21">'IWP21'!$K$63</definedName>
    <definedName name="Std5dot1" localSheetId="22">'IWP22'!$K$63</definedName>
    <definedName name="Std5dot1" localSheetId="23">'IWP23'!$K$63</definedName>
    <definedName name="Std5dot1" localSheetId="24">'IWP24'!$K$63</definedName>
    <definedName name="Std5dot1" localSheetId="25">'IWP25'!$K$63</definedName>
    <definedName name="Std5dot1" localSheetId="26">'IWP26'!$K$63</definedName>
    <definedName name="Std5dot1" localSheetId="27">'IWP27'!$K$63</definedName>
    <definedName name="Std5dot1" localSheetId="28">'IWP28'!$K$63</definedName>
    <definedName name="Std5dot1" localSheetId="29">'IWP29'!$K$63</definedName>
    <definedName name="Std5dot1" localSheetId="30">'IWP30'!$K$63</definedName>
    <definedName name="Std5dot1">#REF!</definedName>
    <definedName name="Std5NotCalc" localSheetId="1">'IWP01'!$K$61</definedName>
    <definedName name="Std5NotCalc" localSheetId="2">'IWP02'!$K$61</definedName>
    <definedName name="Std5NotCalc" localSheetId="3">'IWP03'!$K$61</definedName>
    <definedName name="Std5NotCalc" localSheetId="4">'IWP04'!$K$61</definedName>
    <definedName name="Std5NotCalc" localSheetId="5">'IWP05'!$K$61</definedName>
    <definedName name="Std5NotCalc" localSheetId="6">'IWP06'!$K$61</definedName>
    <definedName name="Std5NotCalc" localSheetId="7">'IWP07'!$K$61</definedName>
    <definedName name="Std5NotCalc" localSheetId="8">'IWP08'!$K$61</definedName>
    <definedName name="Std5NotCalc" localSheetId="9">'IWP09'!$K$61</definedName>
    <definedName name="Std5NotCalc" localSheetId="10">'IWP10'!$K$61</definedName>
    <definedName name="Std5NotCalc" localSheetId="11">'IWP11'!$K$61</definedName>
    <definedName name="Std5NotCalc" localSheetId="12">'IWP12'!$K$61</definedName>
    <definedName name="Std5NotCalc" localSheetId="13">'IWP13'!$K$61</definedName>
    <definedName name="Std5NotCalc" localSheetId="14">'IWP14'!$K$61</definedName>
    <definedName name="Std5NotCalc" localSheetId="15">'IWP15'!$K$61</definedName>
    <definedName name="Std5NotCalc" localSheetId="16">'IWP16'!$K$61</definedName>
    <definedName name="Std5NotCalc" localSheetId="17">'IWP17'!$K$61</definedName>
    <definedName name="Std5NotCalc" localSheetId="18">'IWP18'!$K$61</definedName>
    <definedName name="Std5NotCalc" localSheetId="19">'IWP19'!$K$61</definedName>
    <definedName name="Std5NotCalc" localSheetId="20">'IWP20'!$K$61</definedName>
    <definedName name="Std5NotCalc" localSheetId="21">'IWP21'!$K$61</definedName>
    <definedName name="Std5NotCalc" localSheetId="22">'IWP22'!$K$61</definedName>
    <definedName name="Std5NotCalc" localSheetId="23">'IWP23'!$K$61</definedName>
    <definedName name="Std5NotCalc" localSheetId="24">'IWP24'!$K$61</definedName>
    <definedName name="Std5NotCalc" localSheetId="25">'IWP25'!$K$61</definedName>
    <definedName name="Std5NotCalc" localSheetId="26">'IWP26'!$K$61</definedName>
    <definedName name="Std5NotCalc" localSheetId="27">'IWP27'!$K$61</definedName>
    <definedName name="Std5NotCalc" localSheetId="28">'IWP28'!$K$61</definedName>
    <definedName name="Std5NotCalc" localSheetId="29">'IWP29'!$K$61</definedName>
    <definedName name="Std5NotCalc" localSheetId="30">'IWP30'!$K$61</definedName>
    <definedName name="Std5NotCalc">#REF!</definedName>
    <definedName name="Std5Score" localSheetId="38">'ALRC Compliance Summary (Print)'!$J$21</definedName>
    <definedName name="Std6dot1NotCalc">'Monitoring Workbook'!$I$217</definedName>
    <definedName name="Std6Score" localSheetId="38">'ALRC Compliance Summary (Print)'!$J$23</definedName>
    <definedName name="Std7dot1" localSheetId="1">'IWP01'!$K$86</definedName>
    <definedName name="Std7dot1" localSheetId="2">'IWP02'!$K$86</definedName>
    <definedName name="Std7dot1" localSheetId="3">'IWP03'!$K$86</definedName>
    <definedName name="Std7dot1" localSheetId="4">'IWP04'!$K$86</definedName>
    <definedName name="Std7dot1" localSheetId="5">'IWP05'!$K$86</definedName>
    <definedName name="Std7dot1" localSheetId="6">'IWP06'!$K$86</definedName>
    <definedName name="Std7dot1" localSheetId="7">'IWP07'!$K$86</definedName>
    <definedName name="Std7dot1" localSheetId="8">'IWP08'!$K$86</definedName>
    <definedName name="Std7dot1" localSheetId="9">'IWP09'!$K$86</definedName>
    <definedName name="Std7dot1" localSheetId="10">'IWP10'!$K$86</definedName>
    <definedName name="Std7dot1" localSheetId="11">'IWP11'!$K$86</definedName>
    <definedName name="Std7dot1" localSheetId="12">'IWP12'!$K$86</definedName>
    <definedName name="Std7dot1" localSheetId="13">'IWP13'!$K$86</definedName>
    <definedName name="Std7dot1" localSheetId="14">'IWP14'!$K$86</definedName>
    <definedName name="Std7dot1" localSheetId="15">'IWP15'!$K$86</definedName>
    <definedName name="Std7dot1" localSheetId="16">'IWP16'!$K$86</definedName>
    <definedName name="Std7dot1" localSheetId="17">'IWP17'!$K$86</definedName>
    <definedName name="Std7dot1" localSheetId="18">'IWP18'!$K$86</definedName>
    <definedName name="Std7dot1" localSheetId="19">'IWP19'!$K$86</definedName>
    <definedName name="Std7dot1" localSheetId="20">'IWP20'!$K$86</definedName>
    <definedName name="Std7dot1" localSheetId="21">'IWP21'!$K$86</definedName>
    <definedName name="Std7dot1" localSheetId="22">'IWP22'!$K$86</definedName>
    <definedName name="Std7dot1" localSheetId="23">'IWP23'!$K$86</definedName>
    <definedName name="Std7dot1" localSheetId="24">'IWP24'!$K$86</definedName>
    <definedName name="Std7dot1" localSheetId="25">'IWP25'!$K$86</definedName>
    <definedName name="Std7dot1" localSheetId="26">'IWP26'!$K$86</definedName>
    <definedName name="Std7dot1" localSheetId="27">'IWP27'!$K$86</definedName>
    <definedName name="Std7dot1" localSheetId="28">'IWP28'!$K$86</definedName>
    <definedName name="Std7dot1" localSheetId="29">'IWP29'!$K$86</definedName>
    <definedName name="Std7dot1" localSheetId="30">'IWP30'!$K$86</definedName>
    <definedName name="Std7dot1">#REF!</definedName>
    <definedName name="Std7dot1AdjBal" localSheetId="1">'IWP01'!$F$82</definedName>
    <definedName name="Std7dot1AdjBal" localSheetId="2">'IWP02'!$F$82</definedName>
    <definedName name="Std7dot1AdjBal" localSheetId="3">'IWP03'!$F$82</definedName>
    <definedName name="Std7dot1AdjBal" localSheetId="4">'IWP04'!$F$82</definedName>
    <definedName name="Std7dot1AdjBal" localSheetId="5">'IWP05'!$F$82</definedName>
    <definedName name="Std7dot1AdjBal" localSheetId="6">'IWP06'!$F$82</definedName>
    <definedName name="Std7dot1AdjBal" localSheetId="7">'IWP07'!$F$82</definedName>
    <definedName name="Std7dot1AdjBal" localSheetId="8">'IWP08'!$F$82</definedName>
    <definedName name="Std7dot1AdjBal" localSheetId="9">'IWP09'!$F$82</definedName>
    <definedName name="Std7dot1AdjBal" localSheetId="10">'IWP10'!$F$82</definedName>
    <definedName name="Std7dot1AdjBal" localSheetId="11">'IWP11'!$F$82</definedName>
    <definedName name="Std7dot1AdjBal" localSheetId="12">'IWP12'!$F$82</definedName>
    <definedName name="Std7dot1AdjBal" localSheetId="13">'IWP13'!$F$82</definedName>
    <definedName name="Std7dot1AdjBal" localSheetId="14">'IWP14'!$F$82</definedName>
    <definedName name="Std7dot1AdjBal" localSheetId="15">'IWP15'!$F$82</definedName>
    <definedName name="Std7dot1AdjBal" localSheetId="16">'IWP16'!$F$82</definedName>
    <definedName name="Std7dot1AdjBal" localSheetId="17">'IWP17'!$F$82</definedName>
    <definedName name="Std7dot1AdjBal" localSheetId="18">'IWP18'!$F$82</definedName>
    <definedName name="Std7dot1AdjBal" localSheetId="19">'IWP19'!$F$82</definedName>
    <definedName name="Std7dot1AdjBal" localSheetId="20">'IWP20'!$F$82</definedName>
    <definedName name="Std7dot1AdjBal" localSheetId="21">'IWP21'!$F$82</definedName>
    <definedName name="Std7dot1AdjBal" localSheetId="22">'IWP22'!$F$82</definedName>
    <definedName name="Std7dot1AdjBal" localSheetId="23">'IWP23'!$F$82</definedName>
    <definedName name="Std7dot1AdjBal" localSheetId="24">'IWP24'!$F$82</definedName>
    <definedName name="Std7dot1AdjBal" localSheetId="25">'IWP25'!$F$82</definedName>
    <definedName name="Std7dot1AdjBal" localSheetId="26">'IWP26'!$F$82</definedName>
    <definedName name="Std7dot1AdjBal" localSheetId="27">'IWP27'!$F$82</definedName>
    <definedName name="Std7dot1AdjBal" localSheetId="28">'IWP28'!$F$82</definedName>
    <definedName name="Std7dot1AdjBal" localSheetId="29">'IWP29'!$F$82</definedName>
    <definedName name="Std7dot1AdjBal" localSheetId="30">'IWP30'!$F$82</definedName>
    <definedName name="Std7dot1AdjBal">#REF!</definedName>
    <definedName name="Std7dot1BalPerCshLog" localSheetId="1">'IWP01'!$F$80</definedName>
    <definedName name="Std7dot1BalPerCshLog" localSheetId="2">'IWP02'!$F$80</definedName>
    <definedName name="Std7dot1BalPerCshLog" localSheetId="3">'IWP03'!$F$80</definedName>
    <definedName name="Std7dot1BalPerCshLog" localSheetId="4">'IWP04'!$F$80</definedName>
    <definedName name="Std7dot1BalPerCshLog" localSheetId="5">'IWP05'!$F$80</definedName>
    <definedName name="Std7dot1BalPerCshLog" localSheetId="6">'IWP06'!$F$80</definedName>
    <definedName name="Std7dot1BalPerCshLog" localSheetId="7">'IWP07'!$F$80</definedName>
    <definedName name="Std7dot1BalPerCshLog" localSheetId="8">'IWP08'!$F$80</definedName>
    <definedName name="Std7dot1BalPerCshLog" localSheetId="9">'IWP09'!$F$80</definedName>
    <definedName name="Std7dot1BalPerCshLog" localSheetId="10">'IWP10'!$F$80</definedName>
    <definedName name="Std7dot1BalPerCshLog" localSheetId="11">'IWP11'!$F$80</definedName>
    <definedName name="Std7dot1BalPerCshLog" localSheetId="12">'IWP12'!$F$80</definedName>
    <definedName name="Std7dot1BalPerCshLog" localSheetId="13">'IWP13'!$F$80</definedName>
    <definedName name="Std7dot1BalPerCshLog" localSheetId="14">'IWP14'!$F$80</definedName>
    <definedName name="Std7dot1BalPerCshLog" localSheetId="15">'IWP15'!$F$80</definedName>
    <definedName name="Std7dot1BalPerCshLog" localSheetId="16">'IWP16'!$F$80</definedName>
    <definedName name="Std7dot1BalPerCshLog" localSheetId="17">'IWP17'!$F$80</definedName>
    <definedName name="Std7dot1BalPerCshLog" localSheetId="18">'IWP18'!$F$80</definedName>
    <definedName name="Std7dot1BalPerCshLog" localSheetId="19">'IWP19'!$F$80</definedName>
    <definedName name="Std7dot1BalPerCshLog" localSheetId="20">'IWP20'!$F$80</definedName>
    <definedName name="Std7dot1BalPerCshLog" localSheetId="21">'IWP21'!$F$80</definedName>
    <definedName name="Std7dot1BalPerCshLog" localSheetId="22">'IWP22'!$F$80</definedName>
    <definedName name="Std7dot1BalPerCshLog" localSheetId="23">'IWP23'!$F$80</definedName>
    <definedName name="Std7dot1BalPerCshLog" localSheetId="24">'IWP24'!$F$80</definedName>
    <definedName name="Std7dot1BalPerCshLog" localSheetId="25">'IWP25'!$F$80</definedName>
    <definedName name="Std7dot1BalPerCshLog" localSheetId="26">'IWP26'!$F$80</definedName>
    <definedName name="Std7dot1BalPerCshLog" localSheetId="27">'IWP27'!$F$80</definedName>
    <definedName name="Std7dot1BalPerCshLog" localSheetId="28">'IWP28'!$F$80</definedName>
    <definedName name="Std7dot1BalPerCshLog" localSheetId="29">'IWP29'!$F$80</definedName>
    <definedName name="Std7dot1BalPerCshLog" localSheetId="30">'IWP30'!$F$80</definedName>
    <definedName name="Std7dot1BalPerCshLog">#REF!</definedName>
    <definedName name="Std7dot1CshOnHand" localSheetId="1">'IWP01'!$F$83</definedName>
    <definedName name="Std7dot1CshOnHand" localSheetId="2">'IWP02'!$F$83</definedName>
    <definedName name="Std7dot1CshOnHand" localSheetId="3">'IWP03'!$F$83</definedName>
    <definedName name="Std7dot1CshOnHand" localSheetId="4">'IWP04'!$F$83</definedName>
    <definedName name="Std7dot1CshOnHand" localSheetId="5">'IWP05'!$F$83</definedName>
    <definedName name="Std7dot1CshOnHand" localSheetId="6">'IWP06'!$F$83</definedName>
    <definedName name="Std7dot1CshOnHand" localSheetId="7">'IWP07'!$F$83</definedName>
    <definedName name="Std7dot1CshOnHand" localSheetId="8">'IWP08'!$F$83</definedName>
    <definedName name="Std7dot1CshOnHand" localSheetId="9">'IWP09'!$F$83</definedName>
    <definedName name="Std7dot1CshOnHand" localSheetId="10">'IWP10'!$F$83</definedName>
    <definedName name="Std7dot1CshOnHand" localSheetId="11">'IWP11'!$F$83</definedName>
    <definedName name="Std7dot1CshOnHand" localSheetId="12">'IWP12'!$F$83</definedName>
    <definedName name="Std7dot1CshOnHand" localSheetId="13">'IWP13'!$F$83</definedName>
    <definedName name="Std7dot1CshOnHand" localSheetId="14">'IWP14'!$F$83</definedName>
    <definedName name="Std7dot1CshOnHand" localSheetId="15">'IWP15'!$F$83</definedName>
    <definedName name="Std7dot1CshOnHand" localSheetId="16">'IWP16'!$F$83</definedName>
    <definedName name="Std7dot1CshOnHand" localSheetId="17">'IWP17'!$F$83</definedName>
    <definedName name="Std7dot1CshOnHand" localSheetId="18">'IWP18'!$F$83</definedName>
    <definedName name="Std7dot1CshOnHand" localSheetId="19">'IWP19'!$F$83</definedName>
    <definedName name="Std7dot1CshOnHand" localSheetId="20">'IWP20'!$F$83</definedName>
    <definedName name="Std7dot1CshOnHand" localSheetId="21">'IWP21'!$F$83</definedName>
    <definedName name="Std7dot1CshOnHand" localSheetId="22">'IWP22'!$F$83</definedName>
    <definedName name="Std7dot1CshOnHand" localSheetId="23">'IWP23'!$F$83</definedName>
    <definedName name="Std7dot1CshOnHand" localSheetId="24">'IWP24'!$F$83</definedName>
    <definedName name="Std7dot1CshOnHand" localSheetId="25">'IWP25'!$F$83</definedName>
    <definedName name="Std7dot1CshOnHand" localSheetId="26">'IWP26'!$F$83</definedName>
    <definedName name="Std7dot1CshOnHand" localSheetId="27">'IWP27'!$F$83</definedName>
    <definedName name="Std7dot1CshOnHand" localSheetId="28">'IWP28'!$F$83</definedName>
    <definedName name="Std7dot1CshOnHand" localSheetId="29">'IWP29'!$F$83</definedName>
    <definedName name="Std7dot1CshOnHand" localSheetId="30">'IWP30'!$F$83</definedName>
    <definedName name="Std7dot1CshOnHand">#REF!</definedName>
    <definedName name="Std7dot1LessAdj" localSheetId="1">'IWP01'!$F$81</definedName>
    <definedName name="Std7dot1LessAdj" localSheetId="2">'IWP02'!$F$81</definedName>
    <definedName name="Std7dot1LessAdj" localSheetId="3">'IWP03'!$F$81</definedName>
    <definedName name="Std7dot1LessAdj" localSheetId="4">'IWP04'!$F$81</definedName>
    <definedName name="Std7dot1LessAdj" localSheetId="5">'IWP05'!$F$81</definedName>
    <definedName name="Std7dot1LessAdj" localSheetId="6">'IWP06'!$F$81</definedName>
    <definedName name="Std7dot1LessAdj" localSheetId="7">'IWP07'!$F$81</definedName>
    <definedName name="Std7dot1LessAdj" localSheetId="8">'IWP08'!$F$81</definedName>
    <definedName name="Std7dot1LessAdj" localSheetId="9">'IWP09'!$F$81</definedName>
    <definedName name="Std7dot1LessAdj" localSheetId="10">'IWP10'!$F$81</definedName>
    <definedName name="Std7dot1LessAdj" localSheetId="11">'IWP11'!$F$81</definedName>
    <definedName name="Std7dot1LessAdj" localSheetId="12">'IWP12'!$F$81</definedName>
    <definedName name="Std7dot1LessAdj" localSheetId="13">'IWP13'!$F$81</definedName>
    <definedName name="Std7dot1LessAdj" localSheetId="14">'IWP14'!$F$81</definedName>
    <definedName name="Std7dot1LessAdj" localSheetId="15">'IWP15'!$F$81</definedName>
    <definedName name="Std7dot1LessAdj" localSheetId="16">'IWP16'!$F$81</definedName>
    <definedName name="Std7dot1LessAdj" localSheetId="17">'IWP17'!$F$81</definedName>
    <definedName name="Std7dot1LessAdj" localSheetId="18">'IWP18'!$F$81</definedName>
    <definedName name="Std7dot1LessAdj" localSheetId="19">'IWP19'!$F$81</definedName>
    <definedName name="Std7dot1LessAdj" localSheetId="20">'IWP20'!$F$81</definedName>
    <definedName name="Std7dot1LessAdj" localSheetId="21">'IWP21'!$F$81</definedName>
    <definedName name="Std7dot1LessAdj" localSheetId="22">'IWP22'!$F$81</definedName>
    <definedName name="Std7dot1LessAdj" localSheetId="23">'IWP23'!$F$81</definedName>
    <definedName name="Std7dot1LessAdj" localSheetId="24">'IWP24'!$F$81</definedName>
    <definedName name="Std7dot1LessAdj" localSheetId="25">'IWP25'!$F$81</definedName>
    <definedName name="Std7dot1LessAdj" localSheetId="26">'IWP26'!$F$81</definedName>
    <definedName name="Std7dot1LessAdj" localSheetId="27">'IWP27'!$F$81</definedName>
    <definedName name="Std7dot1LessAdj" localSheetId="28">'IWP28'!$F$81</definedName>
    <definedName name="Std7dot1LessAdj" localSheetId="29">'IWP29'!$F$81</definedName>
    <definedName name="Std7dot1LessAdj" localSheetId="30">'IWP30'!$F$81</definedName>
    <definedName name="Std7dot1LessAdj">#REF!</definedName>
    <definedName name="Std7dot1NotCalc" localSheetId="1">'IWP01'!$K$68</definedName>
    <definedName name="Std7dot1NotCalc" localSheetId="2">'IWP02'!$K$68</definedName>
    <definedName name="Std7dot1NotCalc" localSheetId="3">'IWP03'!$K$68</definedName>
    <definedName name="Std7dot1NotCalc" localSheetId="4">'IWP04'!$K$68</definedName>
    <definedName name="Std7dot1NotCalc" localSheetId="5">'IWP05'!$K$68</definedName>
    <definedName name="Std7dot1NotCalc" localSheetId="6">'IWP06'!$K$68</definedName>
    <definedName name="Std7dot1NotCalc" localSheetId="7">'IWP07'!$K$68</definedName>
    <definedName name="Std7dot1NotCalc" localSheetId="8">'IWP08'!$K$68</definedName>
    <definedName name="Std7dot1NotCalc" localSheetId="9">'IWP09'!$K$68</definedName>
    <definedName name="Std7dot1NotCalc" localSheetId="10">'IWP10'!$K$68</definedName>
    <definedName name="Std7dot1NotCalc" localSheetId="11">'IWP11'!$K$68</definedName>
    <definedName name="Std7dot1NotCalc" localSheetId="12">'IWP12'!$K$68</definedName>
    <definedName name="Std7dot1NotCalc" localSheetId="13">'IWP13'!$K$68</definedName>
    <definedName name="Std7dot1NotCalc" localSheetId="14">'IWP14'!$K$68</definedName>
    <definedName name="Std7dot1NotCalc" localSheetId="15">'IWP15'!$K$68</definedName>
    <definedName name="Std7dot1NotCalc" localSheetId="16">'IWP16'!$K$68</definedName>
    <definedName name="Std7dot1NotCalc" localSheetId="17">'IWP17'!$K$68</definedName>
    <definedName name="Std7dot1NotCalc" localSheetId="18">'IWP18'!$K$68</definedName>
    <definedName name="Std7dot1NotCalc" localSheetId="19">'IWP19'!$K$68</definedName>
    <definedName name="Std7dot1NotCalc" localSheetId="20">'IWP20'!$K$68</definedName>
    <definedName name="Std7dot1NotCalc" localSheetId="21">'IWP21'!$K$68</definedName>
    <definedName name="Std7dot1NotCalc" localSheetId="22">'IWP22'!$K$68</definedName>
    <definedName name="Std7dot1NotCalc" localSheetId="23">'IWP23'!$K$68</definedName>
    <definedName name="Std7dot1NotCalc" localSheetId="24">'IWP24'!$K$68</definedName>
    <definedName name="Std7dot1NotCalc" localSheetId="25">'IWP25'!$K$68</definedName>
    <definedName name="Std7dot1NotCalc" localSheetId="26">'IWP26'!$K$68</definedName>
    <definedName name="Std7dot1NotCalc" localSheetId="27">'IWP27'!$K$68</definedName>
    <definedName name="Std7dot1NotCalc" localSheetId="28">'IWP28'!$K$68</definedName>
    <definedName name="Std7dot1NotCalc" localSheetId="29">'IWP29'!$K$68</definedName>
    <definedName name="Std7dot1NotCalc" localSheetId="30">'IWP30'!$K$68</definedName>
    <definedName name="Std7dot1NotCalc">#REF!</definedName>
    <definedName name="Std7dot1OvrShrtCorr" localSheetId="1">'IWP01'!$E$85</definedName>
    <definedName name="Std7dot1OvrShrtCorr" localSheetId="2">'IWP02'!$E$85</definedName>
    <definedName name="Std7dot1OvrShrtCorr" localSheetId="3">'IWP03'!$E$85</definedName>
    <definedName name="Std7dot1OvrShrtCorr" localSheetId="4">'IWP04'!$E$85</definedName>
    <definedName name="Std7dot1OvrShrtCorr" localSheetId="5">'IWP05'!$E$85</definedName>
    <definedName name="Std7dot1OvrShrtCorr" localSheetId="6">'IWP06'!$E$85</definedName>
    <definedName name="Std7dot1OvrShrtCorr" localSheetId="7">'IWP07'!$E$85</definedName>
    <definedName name="Std7dot1OvrShrtCorr" localSheetId="8">'IWP08'!$E$85</definedName>
    <definedName name="Std7dot1OvrShrtCorr" localSheetId="9">'IWP09'!$E$85</definedName>
    <definedName name="Std7dot1OvrShrtCorr" localSheetId="10">'IWP10'!$E$85</definedName>
    <definedName name="Std7dot1OvrShrtCorr" localSheetId="11">'IWP11'!$E$85</definedName>
    <definedName name="Std7dot1OvrShrtCorr" localSheetId="12">'IWP12'!$E$85</definedName>
    <definedName name="Std7dot1OvrShrtCorr" localSheetId="13">'IWP13'!$E$85</definedName>
    <definedName name="Std7dot1OvrShrtCorr" localSheetId="14">'IWP14'!$E$85</definedName>
    <definedName name="Std7dot1OvrShrtCorr" localSheetId="15">'IWP15'!$E$85</definedName>
    <definedName name="Std7dot1OvrShrtCorr" localSheetId="16">'IWP16'!$E$85</definedName>
    <definedName name="Std7dot1OvrShrtCorr" localSheetId="17">'IWP17'!$E$85</definedName>
    <definedName name="Std7dot1OvrShrtCorr" localSheetId="18">'IWP18'!$E$85</definedName>
    <definedName name="Std7dot1OvrShrtCorr" localSheetId="19">'IWP19'!$E$85</definedName>
    <definedName name="Std7dot1OvrShrtCorr" localSheetId="20">'IWP20'!$E$85</definedName>
    <definedName name="Std7dot1OvrShrtCorr" localSheetId="21">'IWP21'!$E$85</definedName>
    <definedName name="Std7dot1OvrShrtCorr" localSheetId="22">'IWP22'!$E$85</definedName>
    <definedName name="Std7dot1OvrShrtCorr" localSheetId="23">'IWP23'!$E$85</definedName>
    <definedName name="Std7dot1OvrShrtCorr" localSheetId="24">'IWP24'!$E$85</definedName>
    <definedName name="Std7dot1OvrShrtCorr" localSheetId="25">'IWP25'!$E$85</definedName>
    <definedName name="Std7dot1OvrShrtCorr" localSheetId="26">'IWP26'!$E$85</definedName>
    <definedName name="Std7dot1OvrShrtCorr" localSheetId="27">'IWP27'!$E$85</definedName>
    <definedName name="Std7dot1OvrShrtCorr" localSheetId="28">'IWP28'!$E$85</definedName>
    <definedName name="Std7dot1OvrShrtCorr" localSheetId="29">'IWP29'!$E$85</definedName>
    <definedName name="Std7dot1OvrShrtCorr" localSheetId="30">'IWP30'!$E$85</definedName>
    <definedName name="Std7dot1OvrShrtCorr">#REF!</definedName>
    <definedName name="Std7dot1PtyCshOvrShrt" localSheetId="1">'IWP01'!$F$84</definedName>
    <definedName name="Std7dot1PtyCshOvrShrt" localSheetId="2">'IWP02'!$F$84</definedName>
    <definedName name="Std7dot1PtyCshOvrShrt" localSheetId="3">'IWP03'!$F$84</definedName>
    <definedName name="Std7dot1PtyCshOvrShrt" localSheetId="4">'IWP04'!$F$84</definedName>
    <definedName name="Std7dot1PtyCshOvrShrt" localSheetId="5">'IWP05'!$F$84</definedName>
    <definedName name="Std7dot1PtyCshOvrShrt" localSheetId="6">'IWP06'!$F$84</definedName>
    <definedName name="Std7dot1PtyCshOvrShrt" localSheetId="7">'IWP07'!$F$84</definedName>
    <definedName name="Std7dot1PtyCshOvrShrt" localSheetId="8">'IWP08'!$F$84</definedName>
    <definedName name="Std7dot1PtyCshOvrShrt" localSheetId="9">'IWP09'!$F$84</definedName>
    <definedName name="Std7dot1PtyCshOvrShrt" localSheetId="10">'IWP10'!$F$84</definedName>
    <definedName name="Std7dot1PtyCshOvrShrt" localSheetId="11">'IWP11'!$F$84</definedName>
    <definedName name="Std7dot1PtyCshOvrShrt" localSheetId="12">'IWP12'!$F$84</definedName>
    <definedName name="Std7dot1PtyCshOvrShrt" localSheetId="13">'IWP13'!$F$84</definedName>
    <definedName name="Std7dot1PtyCshOvrShrt" localSheetId="14">'IWP14'!$F$84</definedName>
    <definedName name="Std7dot1PtyCshOvrShrt" localSheetId="15">'IWP15'!$F$84</definedName>
    <definedName name="Std7dot1PtyCshOvrShrt" localSheetId="16">'IWP16'!$F$84</definedName>
    <definedName name="Std7dot1PtyCshOvrShrt" localSheetId="17">'IWP17'!$F$84</definedName>
    <definedName name="Std7dot1PtyCshOvrShrt" localSheetId="18">'IWP18'!$F$84</definedName>
    <definedName name="Std7dot1PtyCshOvrShrt" localSheetId="19">'IWP19'!$F$84</definedName>
    <definedName name="Std7dot1PtyCshOvrShrt" localSheetId="20">'IWP20'!$F$84</definedName>
    <definedName name="Std7dot1PtyCshOvrShrt" localSheetId="21">'IWP21'!$F$84</definedName>
    <definedName name="Std7dot1PtyCshOvrShrt" localSheetId="22">'IWP22'!$F$84</definedName>
    <definedName name="Std7dot1PtyCshOvrShrt" localSheetId="23">'IWP23'!$F$84</definedName>
    <definedName name="Std7dot1PtyCshOvrShrt" localSheetId="24">'IWP24'!$F$84</definedName>
    <definedName name="Std7dot1PtyCshOvrShrt" localSheetId="25">'IWP25'!$F$84</definedName>
    <definedName name="Std7dot1PtyCshOvrShrt" localSheetId="26">'IWP26'!$F$84</definedName>
    <definedName name="Std7dot1PtyCshOvrShrt" localSheetId="27">'IWP27'!$F$84</definedName>
    <definedName name="Std7dot1PtyCshOvrShrt" localSheetId="28">'IWP28'!$F$84</definedName>
    <definedName name="Std7dot1PtyCshOvrShrt" localSheetId="29">'IWP29'!$F$84</definedName>
    <definedName name="Std7dot1PtyCshOvrShrt" localSheetId="30">'IWP30'!$F$84</definedName>
    <definedName name="Std7dot1PtyCshOvrShrt">#REF!</definedName>
    <definedName name="Std7Score" localSheetId="38">'ALRC Compliance Summary (Print)'!$J$25</definedName>
    <definedName name="Std8Score" localSheetId="38">'ALRC Compliance Summary (Print)'!$J$27</definedName>
    <definedName name="Std9AdjBalPerBank" localSheetId="1">'IWP01'!$K$107</definedName>
    <definedName name="Std9AdjBalPerBank" localSheetId="2">'IWP02'!$K$107</definedName>
    <definedName name="Std9AdjBalPerBank" localSheetId="3">'IWP03'!$K$107</definedName>
    <definedName name="Std9AdjBalPerBank" localSheetId="4">'IWP04'!$K$107</definedName>
    <definedName name="Std9AdjBalPerBank" localSheetId="5">'IWP05'!$K$107</definedName>
    <definedName name="Std9AdjBalPerBank" localSheetId="6">'IWP06'!$K$107</definedName>
    <definedName name="Std9AdjBalPerBank" localSheetId="7">'IWP07'!$K$107</definedName>
    <definedName name="Std9AdjBalPerBank" localSheetId="8">'IWP08'!$K$107</definedName>
    <definedName name="Std9AdjBalPerBank" localSheetId="9">'IWP09'!$K$107</definedName>
    <definedName name="Std9AdjBalPerBank" localSheetId="10">'IWP10'!$K$107</definedName>
    <definedName name="Std9AdjBalPerBank" localSheetId="11">'IWP11'!$K$107</definedName>
    <definedName name="Std9AdjBalPerBank" localSheetId="12">'IWP12'!$K$107</definedName>
    <definedName name="Std9AdjBalPerBank" localSheetId="13">'IWP13'!$K$107</definedName>
    <definedName name="Std9AdjBalPerBank" localSheetId="14">'IWP14'!$K$107</definedName>
    <definedName name="Std9AdjBalPerBank" localSheetId="15">'IWP15'!$K$107</definedName>
    <definedName name="Std9AdjBalPerBank" localSheetId="16">'IWP16'!$K$107</definedName>
    <definedName name="Std9AdjBalPerBank" localSheetId="17">'IWP17'!$K$107</definedName>
    <definedName name="Std9AdjBalPerBank" localSheetId="18">'IWP18'!$K$107</definedName>
    <definedName name="Std9AdjBalPerBank" localSheetId="19">'IWP19'!$K$107</definedName>
    <definedName name="Std9AdjBalPerBank" localSheetId="20">'IWP20'!$K$107</definedName>
    <definedName name="Std9AdjBalPerBank" localSheetId="21">'IWP21'!$K$107</definedName>
    <definedName name="Std9AdjBalPerBank" localSheetId="22">'IWP22'!$K$107</definedName>
    <definedName name="Std9AdjBalPerBank" localSheetId="23">'IWP23'!$K$107</definedName>
    <definedName name="Std9AdjBalPerBank" localSheetId="24">'IWP24'!$K$107</definedName>
    <definedName name="Std9AdjBalPerBank" localSheetId="25">'IWP25'!$K$107</definedName>
    <definedName name="Std9AdjBalPerBank" localSheetId="26">'IWP26'!$K$107</definedName>
    <definedName name="Std9AdjBalPerBank" localSheetId="27">'IWP27'!$K$107</definedName>
    <definedName name="Std9AdjBalPerBank" localSheetId="28">'IWP28'!$K$107</definedName>
    <definedName name="Std9AdjBalPerBank" localSheetId="29">'IWP29'!$K$107</definedName>
    <definedName name="Std9AdjBalPerBank" localSheetId="30">'IWP30'!$K$107</definedName>
    <definedName name="Std9AdjBalPerBank">#REF!</definedName>
    <definedName name="Std9AdjBalPerBks" localSheetId="1">'IWP01'!$K$115</definedName>
    <definedName name="Std9AdjBalPerBks" localSheetId="2">'IWP02'!$K$115</definedName>
    <definedName name="Std9AdjBalPerBks" localSheetId="3">'IWP03'!$K$115</definedName>
    <definedName name="Std9AdjBalPerBks" localSheetId="4">'IWP04'!$K$115</definedName>
    <definedName name="Std9AdjBalPerBks" localSheetId="5">'IWP05'!$K$115</definedName>
    <definedName name="Std9AdjBalPerBks" localSheetId="6">'IWP06'!$K$115</definedName>
    <definedName name="Std9AdjBalPerBks" localSheetId="7">'IWP07'!$K$115</definedName>
    <definedName name="Std9AdjBalPerBks" localSheetId="8">'IWP08'!$K$115</definedName>
    <definedName name="Std9AdjBalPerBks" localSheetId="9">'IWP09'!$K$115</definedName>
    <definedName name="Std9AdjBalPerBks" localSheetId="10">'IWP10'!$K$115</definedName>
    <definedName name="Std9AdjBalPerBks" localSheetId="11">'IWP11'!$K$115</definedName>
    <definedName name="Std9AdjBalPerBks" localSheetId="12">'IWP12'!$K$115</definedName>
    <definedName name="Std9AdjBalPerBks" localSheetId="13">'IWP13'!$K$115</definedName>
    <definedName name="Std9AdjBalPerBks" localSheetId="14">'IWP14'!$K$115</definedName>
    <definedName name="Std9AdjBalPerBks" localSheetId="15">'IWP15'!$K$115</definedName>
    <definedName name="Std9AdjBalPerBks" localSheetId="16">'IWP16'!$K$115</definedName>
    <definedName name="Std9AdjBalPerBks" localSheetId="17">'IWP17'!$K$115</definedName>
    <definedName name="Std9AdjBalPerBks" localSheetId="18">'IWP18'!$K$115</definedName>
    <definedName name="Std9AdjBalPerBks" localSheetId="19">'IWP19'!$K$115</definedName>
    <definedName name="Std9AdjBalPerBks" localSheetId="20">'IWP20'!$K$115</definedName>
    <definedName name="Std9AdjBalPerBks" localSheetId="21">'IWP21'!$K$115</definedName>
    <definedName name="Std9AdjBalPerBks" localSheetId="22">'IWP22'!$K$115</definedName>
    <definedName name="Std9AdjBalPerBks" localSheetId="23">'IWP23'!$K$115</definedName>
    <definedName name="Std9AdjBalPerBks" localSheetId="24">'IWP24'!$K$115</definedName>
    <definedName name="Std9AdjBalPerBks" localSheetId="25">'IWP25'!$K$115</definedName>
    <definedName name="Std9AdjBalPerBks" localSheetId="26">'IWP26'!$K$115</definedName>
    <definedName name="Std9AdjBalPerBks" localSheetId="27">'IWP27'!$K$115</definedName>
    <definedName name="Std9AdjBalPerBks" localSheetId="28">'IWP28'!$K$115</definedName>
    <definedName name="Std9AdjBalPerBks" localSheetId="29">'IWP29'!$K$115</definedName>
    <definedName name="Std9AdjBalPerBks" localSheetId="30">'IWP30'!$K$115</definedName>
    <definedName name="Std9AdjBalPerBks">#REF!</definedName>
    <definedName name="Std9BalPerBks" localSheetId="1">'IWP01'!$K$111</definedName>
    <definedName name="Std9BalPerBks" localSheetId="2">'IWP02'!$K$111</definedName>
    <definedName name="Std9BalPerBks" localSheetId="3">'IWP03'!$K$111</definedName>
    <definedName name="Std9BalPerBks" localSheetId="4">'IWP04'!$K$111</definedName>
    <definedName name="Std9BalPerBks" localSheetId="5">'IWP05'!$K$111</definedName>
    <definedName name="Std9BalPerBks" localSheetId="6">'IWP06'!$K$111</definedName>
    <definedName name="Std9BalPerBks" localSheetId="7">'IWP07'!$K$111</definedName>
    <definedName name="Std9BalPerBks" localSheetId="8">'IWP08'!$K$111</definedName>
    <definedName name="Std9BalPerBks" localSheetId="9">'IWP09'!$K$111</definedName>
    <definedName name="Std9BalPerBks" localSheetId="10">'IWP10'!$K$111</definedName>
    <definedName name="Std9BalPerBks" localSheetId="11">'IWP11'!$K$111</definedName>
    <definedName name="Std9BalPerBks" localSheetId="12">'IWP12'!$K$111</definedName>
    <definedName name="Std9BalPerBks" localSheetId="13">'IWP13'!$K$111</definedName>
    <definedName name="Std9BalPerBks" localSheetId="14">'IWP14'!$K$111</definedName>
    <definedName name="Std9BalPerBks" localSheetId="15">'IWP15'!$K$111</definedName>
    <definedName name="Std9BalPerBks" localSheetId="16">'IWP16'!$K$111</definedName>
    <definedName name="Std9BalPerBks" localSheetId="17">'IWP17'!$K$111</definedName>
    <definedName name="Std9BalPerBks" localSheetId="18">'IWP18'!$K$111</definedName>
    <definedName name="Std9BalPerBks" localSheetId="19">'IWP19'!$K$111</definedName>
    <definedName name="Std9BalPerBks" localSheetId="20">'IWP20'!$K$111</definedName>
    <definedName name="Std9BalPerBks" localSheetId="21">'IWP21'!$K$111</definedName>
    <definedName name="Std9BalPerBks" localSheetId="22">'IWP22'!$K$111</definedName>
    <definedName name="Std9BalPerBks" localSheetId="23">'IWP23'!$K$111</definedName>
    <definedName name="Std9BalPerBks" localSheetId="24">'IWP24'!$K$111</definedName>
    <definedName name="Std9BalPerBks" localSheetId="25">'IWP25'!$K$111</definedName>
    <definedName name="Std9BalPerBks" localSheetId="26">'IWP26'!$K$111</definedName>
    <definedName name="Std9BalPerBks" localSheetId="27">'IWP27'!$K$111</definedName>
    <definedName name="Std9BalPerBks" localSheetId="28">'IWP28'!$K$111</definedName>
    <definedName name="Std9BalPerBks" localSheetId="29">'IWP29'!$K$111</definedName>
    <definedName name="Std9BalPerBks" localSheetId="30">'IWP30'!$K$111</definedName>
    <definedName name="Std9BalPerBks">#REF!</definedName>
    <definedName name="Std9BalPerBksDt" localSheetId="1">'IWP01'!$G$111</definedName>
    <definedName name="Std9BalPerBksDt" localSheetId="2">'IWP02'!$G$111</definedName>
    <definedName name="Std9BalPerBksDt" localSheetId="3">'IWP03'!$G$111</definedName>
    <definedName name="Std9BalPerBksDt" localSheetId="4">'IWP04'!$G$111</definedName>
    <definedName name="Std9BalPerBksDt" localSheetId="5">'IWP05'!$G$111</definedName>
    <definedName name="Std9BalPerBksDt" localSheetId="6">'IWP06'!$G$111</definedName>
    <definedName name="Std9BalPerBksDt" localSheetId="7">'IWP07'!$G$111</definedName>
    <definedName name="Std9BalPerBksDt" localSheetId="8">'IWP08'!$G$111</definedName>
    <definedName name="Std9BalPerBksDt" localSheetId="9">'IWP09'!$G$111</definedName>
    <definedName name="Std9BalPerBksDt" localSheetId="10">'IWP10'!$G$111</definedName>
    <definedName name="Std9BalPerBksDt" localSheetId="11">'IWP11'!$G$111</definedName>
    <definedName name="Std9BalPerBksDt" localSheetId="12">'IWP12'!$G$111</definedName>
    <definedName name="Std9BalPerBksDt" localSheetId="13">'IWP13'!$G$111</definedName>
    <definedName name="Std9BalPerBksDt" localSheetId="14">'IWP14'!$G$111</definedName>
    <definedName name="Std9BalPerBksDt" localSheetId="15">'IWP15'!$G$111</definedName>
    <definedName name="Std9BalPerBksDt" localSheetId="16">'IWP16'!$G$111</definedName>
    <definedName name="Std9BalPerBksDt" localSheetId="17">'IWP17'!$G$111</definedName>
    <definedName name="Std9BalPerBksDt" localSheetId="18">'IWP18'!$G$111</definedName>
    <definedName name="Std9BalPerBksDt" localSheetId="19">'IWP19'!$G$111</definedName>
    <definedName name="Std9BalPerBksDt" localSheetId="20">'IWP20'!$G$111</definedName>
    <definedName name="Std9BalPerBksDt" localSheetId="21">'IWP21'!$G$111</definedName>
    <definedName name="Std9BalPerBksDt" localSheetId="22">'IWP22'!$G$111</definedName>
    <definedName name="Std9BalPerBksDt" localSheetId="23">'IWP23'!$G$111</definedName>
    <definedName name="Std9BalPerBksDt" localSheetId="24">'IWP24'!$G$111</definedName>
    <definedName name="Std9BalPerBksDt" localSheetId="25">'IWP25'!$G$111</definedName>
    <definedName name="Std9BalPerBksDt" localSheetId="26">'IWP26'!$G$111</definedName>
    <definedName name="Std9BalPerBksDt" localSheetId="27">'IWP27'!$G$111</definedName>
    <definedName name="Std9BalPerBksDt" localSheetId="28">'IWP28'!$G$111</definedName>
    <definedName name="Std9BalPerBksDt" localSheetId="29">'IWP29'!$G$111</definedName>
    <definedName name="Std9BalPerBksDt" localSheetId="30">'IWP30'!$G$111</definedName>
    <definedName name="Std9BalPerBksDt">#REF!</definedName>
    <definedName name="Std9BalPerBnkStmt" localSheetId="1">'IWP01'!$K$104</definedName>
    <definedName name="Std9BalPerBnkStmt" localSheetId="2">'IWP02'!$K$104</definedName>
    <definedName name="Std9BalPerBnkStmt" localSheetId="3">'IWP03'!$K$104</definedName>
    <definedName name="Std9BalPerBnkStmt" localSheetId="4">'IWP04'!$K$104</definedName>
    <definedName name="Std9BalPerBnkStmt" localSheetId="5">'IWP05'!$K$104</definedName>
    <definedName name="Std9BalPerBnkStmt" localSheetId="6">'IWP06'!$K$104</definedName>
    <definedName name="Std9BalPerBnkStmt" localSheetId="7">'IWP07'!$K$104</definedName>
    <definedName name="Std9BalPerBnkStmt" localSheetId="8">'IWP08'!$K$104</definedName>
    <definedName name="Std9BalPerBnkStmt" localSheetId="9">'IWP09'!$K$104</definedName>
    <definedName name="Std9BalPerBnkStmt" localSheetId="10">'IWP10'!$K$104</definedName>
    <definedName name="Std9BalPerBnkStmt" localSheetId="11">'IWP11'!$K$104</definedName>
    <definedName name="Std9BalPerBnkStmt" localSheetId="12">'IWP12'!$K$104</definedName>
    <definedName name="Std9BalPerBnkStmt" localSheetId="13">'IWP13'!$K$104</definedName>
    <definedName name="Std9BalPerBnkStmt" localSheetId="14">'IWP14'!$K$104</definedName>
    <definedName name="Std9BalPerBnkStmt" localSheetId="15">'IWP15'!$K$104</definedName>
    <definedName name="Std9BalPerBnkStmt" localSheetId="16">'IWP16'!$K$104</definedName>
    <definedName name="Std9BalPerBnkStmt" localSheetId="17">'IWP17'!$K$104</definedName>
    <definedName name="Std9BalPerBnkStmt" localSheetId="18">'IWP18'!$K$104</definedName>
    <definedName name="Std9BalPerBnkStmt" localSheetId="19">'IWP19'!$K$104</definedName>
    <definedName name="Std9BalPerBnkStmt" localSheetId="20">'IWP20'!$K$104</definedName>
    <definedName name="Std9BalPerBnkStmt" localSheetId="21">'IWP21'!$K$104</definedName>
    <definedName name="Std9BalPerBnkStmt" localSheetId="22">'IWP22'!$K$104</definedName>
    <definedName name="Std9BalPerBnkStmt" localSheetId="23">'IWP23'!$K$104</definedName>
    <definedName name="Std9BalPerBnkStmt" localSheetId="24">'IWP24'!$K$104</definedName>
    <definedName name="Std9BalPerBnkStmt" localSheetId="25">'IWP25'!$K$104</definedName>
    <definedName name="Std9BalPerBnkStmt" localSheetId="26">'IWP26'!$K$104</definedName>
    <definedName name="Std9BalPerBnkStmt" localSheetId="27">'IWP27'!$K$104</definedName>
    <definedName name="Std9BalPerBnkStmt" localSheetId="28">'IWP28'!$K$104</definedName>
    <definedName name="Std9BalPerBnkStmt" localSheetId="29">'IWP29'!$K$104</definedName>
    <definedName name="Std9BalPerBnkStmt" localSheetId="30">'IWP30'!$K$104</definedName>
    <definedName name="Std9BalPerBnkStmt">#REF!</definedName>
    <definedName name="Std9BalPerBnkStmtDt" localSheetId="1">'IWP01'!$F$104</definedName>
    <definedName name="Std9BalPerBnkStmtDt" localSheetId="2">'IWP02'!$F$104</definedName>
    <definedName name="Std9BalPerBnkStmtDt" localSheetId="3">'IWP03'!$F$104</definedName>
    <definedName name="Std9BalPerBnkStmtDt" localSheetId="4">'IWP04'!$F$104</definedName>
    <definedName name="Std9BalPerBnkStmtDt" localSheetId="5">'IWP05'!$F$104</definedName>
    <definedName name="Std9BalPerBnkStmtDt" localSheetId="6">'IWP06'!$F$104</definedName>
    <definedName name="Std9BalPerBnkStmtDt" localSheetId="7">'IWP07'!$F$104</definedName>
    <definedName name="Std9BalPerBnkStmtDt" localSheetId="8">'IWP08'!$F$104</definedName>
    <definedName name="Std9BalPerBnkStmtDt" localSheetId="9">'IWP09'!$F$104</definedName>
    <definedName name="Std9BalPerBnkStmtDt" localSheetId="10">'IWP10'!$F$104</definedName>
    <definedName name="Std9BalPerBnkStmtDt" localSheetId="11">'IWP11'!$F$104</definedName>
    <definedName name="Std9BalPerBnkStmtDt" localSheetId="12">'IWP12'!$F$104</definedName>
    <definedName name="Std9BalPerBnkStmtDt" localSheetId="13">'IWP13'!$F$104</definedName>
    <definedName name="Std9BalPerBnkStmtDt" localSheetId="14">'IWP14'!$F$104</definedName>
    <definedName name="Std9BalPerBnkStmtDt" localSheetId="15">'IWP15'!$F$104</definedName>
    <definedName name="Std9BalPerBnkStmtDt" localSheetId="16">'IWP16'!$F$104</definedName>
    <definedName name="Std9BalPerBnkStmtDt" localSheetId="17">'IWP17'!$F$104</definedName>
    <definedName name="Std9BalPerBnkStmtDt" localSheetId="18">'IWP18'!$F$104</definedName>
    <definedName name="Std9BalPerBnkStmtDt" localSheetId="19">'IWP19'!$F$104</definedName>
    <definedName name="Std9BalPerBnkStmtDt" localSheetId="20">'IWP20'!$F$104</definedName>
    <definedName name="Std9BalPerBnkStmtDt" localSheetId="21">'IWP21'!$F$104</definedName>
    <definedName name="Std9BalPerBnkStmtDt" localSheetId="22">'IWP22'!$F$104</definedName>
    <definedName name="Std9BalPerBnkStmtDt" localSheetId="23">'IWP23'!$F$104</definedName>
    <definedName name="Std9BalPerBnkStmtDt" localSheetId="24">'IWP24'!$F$104</definedName>
    <definedName name="Std9BalPerBnkStmtDt" localSheetId="25">'IWP25'!$F$104</definedName>
    <definedName name="Std9BalPerBnkStmtDt" localSheetId="26">'IWP26'!$F$104</definedName>
    <definedName name="Std9BalPerBnkStmtDt" localSheetId="27">'IWP27'!$F$104</definedName>
    <definedName name="Std9BalPerBnkStmtDt" localSheetId="28">'IWP28'!$F$104</definedName>
    <definedName name="Std9BalPerBnkStmtDt" localSheetId="29">'IWP29'!$F$104</definedName>
    <definedName name="Std9BalPerBnkStmtDt" localSheetId="30">'IWP30'!$F$104</definedName>
    <definedName name="Std9BalPerBnkStmtDt">#REF!</definedName>
    <definedName name="Std9dot1" localSheetId="1">'IWP01'!$J$132</definedName>
    <definedName name="Std9dot1" localSheetId="2">'IWP02'!$J$132</definedName>
    <definedName name="Std9dot1" localSheetId="3">'IWP03'!$J$132</definedName>
    <definedName name="Std9dot1" localSheetId="4">'IWP04'!$J$132</definedName>
    <definedName name="Std9dot1" localSheetId="5">'IWP05'!$J$132</definedName>
    <definedName name="Std9dot1" localSheetId="6">'IWP06'!$J$132</definedName>
    <definedName name="Std9dot1" localSheetId="7">'IWP07'!$J$132</definedName>
    <definedName name="Std9dot1" localSheetId="8">'IWP08'!$J$132</definedName>
    <definedName name="Std9dot1" localSheetId="9">'IWP09'!$J$132</definedName>
    <definedName name="Std9dot1" localSheetId="10">'IWP10'!$J$132</definedName>
    <definedName name="Std9dot1" localSheetId="11">'IWP11'!$J$132</definedName>
    <definedName name="Std9dot1" localSheetId="12">'IWP12'!$J$132</definedName>
    <definedName name="Std9dot1" localSheetId="13">'IWP13'!$J$132</definedName>
    <definedName name="Std9dot1" localSheetId="14">'IWP14'!$J$132</definedName>
    <definedName name="Std9dot1" localSheetId="15">'IWP15'!$J$132</definedName>
    <definedName name="Std9dot1" localSheetId="16">'IWP16'!$J$132</definedName>
    <definedName name="Std9dot1" localSheetId="17">'IWP17'!$J$132</definedName>
    <definedName name="Std9dot1" localSheetId="18">'IWP18'!$J$132</definedName>
    <definedName name="Std9dot1" localSheetId="19">'IWP19'!$J$132</definedName>
    <definedName name="Std9dot1" localSheetId="20">'IWP20'!$J$132</definedName>
    <definedName name="Std9dot1" localSheetId="21">'IWP21'!$J$132</definedName>
    <definedName name="Std9dot1" localSheetId="22">'IWP22'!$J$132</definedName>
    <definedName name="Std9dot1" localSheetId="23">'IWP23'!$J$132</definedName>
    <definedName name="Std9dot1" localSheetId="24">'IWP24'!$J$132</definedName>
    <definedName name="Std9dot1" localSheetId="25">'IWP25'!$J$132</definedName>
    <definedName name="Std9dot1" localSheetId="26">'IWP26'!$J$132</definedName>
    <definedName name="Std9dot1" localSheetId="27">'IWP27'!$J$132</definedName>
    <definedName name="Std9dot1" localSheetId="28">'IWP28'!$J$132</definedName>
    <definedName name="Std9dot1" localSheetId="29">'IWP29'!$J$132</definedName>
    <definedName name="Std9dot1" localSheetId="30">'IWP30'!$J$132</definedName>
    <definedName name="Std9dot1">#REF!</definedName>
    <definedName name="Std9dot1aNotCalc" localSheetId="1">'IWP01'!$K$91</definedName>
    <definedName name="Std9dot1aNotCalc" localSheetId="2">'IWP02'!$K$91</definedName>
    <definedName name="Std9dot1aNotCalc" localSheetId="3">'IWP03'!$K$91</definedName>
    <definedName name="Std9dot1aNotCalc" localSheetId="4">'IWP04'!$K$91</definedName>
    <definedName name="Std9dot1aNotCalc" localSheetId="5">'IWP05'!$K$91</definedName>
    <definedName name="Std9dot1aNotCalc" localSheetId="6">'IWP06'!$K$91</definedName>
    <definedName name="Std9dot1aNotCalc" localSheetId="7">'IWP07'!$K$91</definedName>
    <definedName name="Std9dot1aNotCalc" localSheetId="8">'IWP08'!$K$91</definedName>
    <definedName name="Std9dot1aNotCalc" localSheetId="9">'IWP09'!$K$91</definedName>
    <definedName name="Std9dot1aNotCalc" localSheetId="10">'IWP10'!$K$91</definedName>
    <definedName name="Std9dot1aNotCalc" localSheetId="11">'IWP11'!$K$91</definedName>
    <definedName name="Std9dot1aNotCalc" localSheetId="12">'IWP12'!$K$91</definedName>
    <definedName name="Std9dot1aNotCalc" localSheetId="13">'IWP13'!$K$91</definedName>
    <definedName name="Std9dot1aNotCalc" localSheetId="14">'IWP14'!$K$91</definedName>
    <definedName name="Std9dot1aNotCalc" localSheetId="15">'IWP15'!$K$91</definedName>
    <definedName name="Std9dot1aNotCalc" localSheetId="16">'IWP16'!$K$91</definedName>
    <definedName name="Std9dot1aNotCalc" localSheetId="17">'IWP17'!$K$91</definedName>
    <definedName name="Std9dot1aNotCalc" localSheetId="18">'IWP18'!$K$91</definedName>
    <definedName name="Std9dot1aNotCalc" localSheetId="19">'IWP19'!$K$91</definedName>
    <definedName name="Std9dot1aNotCalc" localSheetId="20">'IWP20'!$K$91</definedName>
    <definedName name="Std9dot1aNotCalc" localSheetId="21">'IWP21'!$K$91</definedName>
    <definedName name="Std9dot1aNotCalc" localSheetId="22">'IWP22'!$K$91</definedName>
    <definedName name="Std9dot1aNotCalc" localSheetId="23">'IWP23'!$K$91</definedName>
    <definedName name="Std9dot1aNotCalc" localSheetId="24">'IWP24'!$K$91</definedName>
    <definedName name="Std9dot1aNotCalc" localSheetId="25">'IWP25'!$K$91</definedName>
    <definedName name="Std9dot1aNotCalc" localSheetId="26">'IWP26'!$K$91</definedName>
    <definedName name="Std9dot1aNotCalc" localSheetId="27">'IWP27'!$K$91</definedName>
    <definedName name="Std9dot1aNotCalc" localSheetId="28">'IWP28'!$K$91</definedName>
    <definedName name="Std9dot1aNotCalc" localSheetId="29">'IWP29'!$K$91</definedName>
    <definedName name="Std9dot1aNotCalc" localSheetId="30">'IWP30'!$K$91</definedName>
    <definedName name="Std9dot1aNotCalc">#REF!</definedName>
    <definedName name="Std9dot1bNotCalc" localSheetId="1">'IWP01'!$K$94</definedName>
    <definedName name="Std9dot1bNotCalc" localSheetId="2">'IWP02'!$K$94</definedName>
    <definedName name="Std9dot1bNotCalc" localSheetId="3">'IWP03'!$K$94</definedName>
    <definedName name="Std9dot1bNotCalc" localSheetId="4">'IWP04'!$K$94</definedName>
    <definedName name="Std9dot1bNotCalc" localSheetId="5">'IWP05'!$K$94</definedName>
    <definedName name="Std9dot1bNotCalc" localSheetId="6">'IWP06'!$K$94</definedName>
    <definedName name="Std9dot1bNotCalc" localSheetId="7">'IWP07'!$K$94</definedName>
    <definedName name="Std9dot1bNotCalc" localSheetId="8">'IWP08'!$K$94</definedName>
    <definedName name="Std9dot1bNotCalc" localSheetId="9">'IWP09'!$K$94</definedName>
    <definedName name="Std9dot1bNotCalc" localSheetId="10">'IWP10'!$K$94</definedName>
    <definedName name="Std9dot1bNotCalc" localSheetId="11">'IWP11'!$K$94</definedName>
    <definedName name="Std9dot1bNotCalc" localSheetId="12">'IWP12'!$K$94</definedName>
    <definedName name="Std9dot1bNotCalc" localSheetId="13">'IWP13'!$K$94</definedName>
    <definedName name="Std9dot1bNotCalc" localSheetId="14">'IWP14'!$K$94</definedName>
    <definedName name="Std9dot1bNotCalc" localSheetId="15">'IWP15'!$K$94</definedName>
    <definedName name="Std9dot1bNotCalc" localSheetId="16">'IWP16'!$K$94</definedName>
    <definedName name="Std9dot1bNotCalc" localSheetId="17">'IWP17'!$K$94</definedName>
    <definedName name="Std9dot1bNotCalc" localSheetId="18">'IWP18'!$K$94</definedName>
    <definedName name="Std9dot1bNotCalc" localSheetId="19">'IWP19'!$K$94</definedName>
    <definedName name="Std9dot1bNotCalc" localSheetId="20">'IWP20'!$K$94</definedName>
    <definedName name="Std9dot1bNotCalc" localSheetId="21">'IWP21'!$K$94</definedName>
    <definedName name="Std9dot1bNotCalc" localSheetId="22">'IWP22'!$K$94</definedName>
    <definedName name="Std9dot1bNotCalc" localSheetId="23">'IWP23'!$K$94</definedName>
    <definedName name="Std9dot1bNotCalc" localSheetId="24">'IWP24'!$K$94</definedName>
    <definedName name="Std9dot1bNotCalc" localSheetId="25">'IWP25'!$K$94</definedName>
    <definedName name="Std9dot1bNotCalc" localSheetId="26">'IWP26'!$K$94</definedName>
    <definedName name="Std9dot1bNotCalc" localSheetId="27">'IWP27'!$K$94</definedName>
    <definedName name="Std9dot1bNotCalc" localSheetId="28">'IWP28'!$K$94</definedName>
    <definedName name="Std9dot1bNotCalc" localSheetId="29">'IWP29'!$K$94</definedName>
    <definedName name="Std9dot1bNotCalc" localSheetId="30">'IWP30'!$K$94</definedName>
    <definedName name="Std9dot1bNotCalc">#REF!</definedName>
    <definedName name="Std9dot1DepositsInTransit" localSheetId="1">'IWP01'!$I$121:$K$130</definedName>
    <definedName name="Std9dot1DepositsInTransit" localSheetId="2">'IWP02'!$I$121:$K$130</definedName>
    <definedName name="Std9dot1DepositsInTransit" localSheetId="3">'IWP03'!$I$121:$K$130</definedName>
    <definedName name="Std9dot1DepositsInTransit" localSheetId="4">'IWP04'!$I$121:$K$130</definedName>
    <definedName name="Std9dot1DepositsInTransit" localSheetId="5">'IWP05'!$I$121:$K$130</definedName>
    <definedName name="Std9dot1DepositsInTransit" localSheetId="6">'IWP06'!$I$121:$K$130</definedName>
    <definedName name="Std9dot1DepositsInTransit" localSheetId="7">'IWP07'!$I$121:$K$130</definedName>
    <definedName name="Std9dot1DepositsInTransit" localSheetId="8">'IWP08'!$I$121:$K$130</definedName>
    <definedName name="Std9dot1DepositsInTransit" localSheetId="9">'IWP09'!$I$121:$K$130</definedName>
    <definedName name="Std9dot1DepositsInTransit" localSheetId="10">'IWP10'!$I$121:$K$130</definedName>
    <definedName name="Std9dot1DepositsInTransit" localSheetId="11">'IWP11'!$I$121:$K$130</definedName>
    <definedName name="Std9dot1DepositsInTransit" localSheetId="12">'IWP12'!$I$121:$K$130</definedName>
    <definedName name="Std9dot1DepositsInTransit" localSheetId="13">'IWP13'!$I$121:$K$130</definedName>
    <definedName name="Std9dot1DepositsInTransit" localSheetId="14">'IWP14'!$I$121:$K$130</definedName>
    <definedName name="Std9dot1DepositsInTransit" localSheetId="15">'IWP15'!$I$121:$K$130</definedName>
    <definedName name="Std9dot1DepositsInTransit" localSheetId="16">'IWP16'!$I$121:$K$130</definedName>
    <definedName name="Std9dot1DepositsInTransit" localSheetId="17">'IWP17'!$I$121:$K$130</definedName>
    <definedName name="Std9dot1DepositsInTransit" localSheetId="18">'IWP18'!$I$121:$K$130</definedName>
    <definedName name="Std9dot1DepositsInTransit" localSheetId="19">'IWP19'!$I$121:$K$130</definedName>
    <definedName name="Std9dot1DepositsInTransit" localSheetId="20">'IWP20'!$I$121:$K$130</definedName>
    <definedName name="Std9dot1DepositsInTransit" localSheetId="21">'IWP21'!$I$121:$K$130</definedName>
    <definedName name="Std9dot1DepositsInTransit" localSheetId="22">'IWP22'!$I$121:$K$130</definedName>
    <definedName name="Std9dot1DepositsInTransit" localSheetId="23">'IWP23'!$I$121:$K$130</definedName>
    <definedName name="Std9dot1DepositsInTransit" localSheetId="24">'IWP24'!$I$121:$K$130</definedName>
    <definedName name="Std9dot1DepositsInTransit" localSheetId="25">'IWP25'!$I$121:$K$130</definedName>
    <definedName name="Std9dot1DepositsInTransit" localSheetId="26">'IWP26'!$I$121:$K$130</definedName>
    <definedName name="Std9dot1DepositsInTransit" localSheetId="27">'IWP27'!$I$121:$K$130</definedName>
    <definedName name="Std9dot1DepositsInTransit" localSheetId="28">'IWP28'!$I$121:$K$130</definedName>
    <definedName name="Std9dot1DepositsInTransit" localSheetId="29">'IWP29'!$I$121:$K$130</definedName>
    <definedName name="Std9dot1DepositsInTransit" localSheetId="30">'IWP30'!$I$121:$K$130</definedName>
    <definedName name="Std9dot1OutstandingChecks" localSheetId="1">'IWP01'!$A$121:$H$130</definedName>
    <definedName name="Std9dot1OutstandingChecks" localSheetId="2">'IWP02'!$A$121:$H$130</definedName>
    <definedName name="Std9dot1OutstandingChecks" localSheetId="3">'IWP03'!$A$121:$H$130</definedName>
    <definedName name="Std9dot1OutstandingChecks" localSheetId="4">'IWP04'!$A$121:$H$130</definedName>
    <definedName name="Std9dot1OutstandingChecks" localSheetId="5">'IWP05'!$A$121:$H$130</definedName>
    <definedName name="Std9dot1OutstandingChecks" localSheetId="6">'IWP06'!$A$121:$H$130</definedName>
    <definedName name="Std9dot1OutstandingChecks" localSheetId="7">'IWP07'!$A$121:$H$130</definedName>
    <definedName name="Std9dot1OutstandingChecks" localSheetId="8">'IWP08'!$A$121:$H$130</definedName>
    <definedName name="Std9dot1OutstandingChecks" localSheetId="9">'IWP09'!$A$121:$H$130</definedName>
    <definedName name="Std9dot1OutstandingChecks" localSheetId="10">'IWP10'!$A$121:$H$130</definedName>
    <definedName name="Std9dot1OutstandingChecks" localSheetId="11">'IWP11'!$A$121:$H$130</definedName>
    <definedName name="Std9dot1OutstandingChecks" localSheetId="12">'IWP12'!$A$121:$H$130</definedName>
    <definedName name="Std9dot1OutstandingChecks" localSheetId="13">'IWP13'!$A$121:$H$130</definedName>
    <definedName name="Std9dot1OutstandingChecks" localSheetId="14">'IWP14'!$A$121:$H$130</definedName>
    <definedName name="Std9dot1OutstandingChecks" localSheetId="15">'IWP15'!$A$121:$H$130</definedName>
    <definedName name="Std9dot1OutstandingChecks" localSheetId="16">'IWP16'!$A$121:$H$130</definedName>
    <definedName name="Std9dot1OutstandingChecks" localSheetId="17">'IWP17'!$A$121:$H$130</definedName>
    <definedName name="Std9dot1OutstandingChecks" localSheetId="18">'IWP18'!$A$121:$H$130</definedName>
    <definedName name="Std9dot1OutstandingChecks" localSheetId="19">'IWP19'!$A$121:$H$130</definedName>
    <definedName name="Std9dot1OutstandingChecks" localSheetId="20">'IWP20'!$A$121:$H$130</definedName>
    <definedName name="Std9dot1OutstandingChecks" localSheetId="21">'IWP21'!$A$121:$H$130</definedName>
    <definedName name="Std9dot1OutstandingChecks" localSheetId="22">'IWP22'!$A$121:$H$130</definedName>
    <definedName name="Std9dot1OutstandingChecks" localSheetId="23">'IWP23'!$A$121:$H$130</definedName>
    <definedName name="Std9dot1OutstandingChecks" localSheetId="24">'IWP24'!$A$121:$H$130</definedName>
    <definedName name="Std9dot1OutstandingChecks" localSheetId="25">'IWP25'!$A$121:$H$130</definedName>
    <definedName name="Std9dot1OutstandingChecks" localSheetId="26">'IWP26'!$A$121:$H$130</definedName>
    <definedName name="Std9dot1OutstandingChecks" localSheetId="27">'IWP27'!$A$121:$H$130</definedName>
    <definedName name="Std9dot1OutstandingChecks" localSheetId="28">'IWP28'!$A$121:$H$130</definedName>
    <definedName name="Std9dot1OutstandingChecks" localSheetId="29">'IWP29'!$A$121:$H$130</definedName>
    <definedName name="Std9dot1OutstandingChecks" localSheetId="30">'IWP30'!$A$121:$H$130</definedName>
    <definedName name="Std9NsfChks" localSheetId="1">'IWP01'!$K$114</definedName>
    <definedName name="Std9NsfChks" localSheetId="2">'IWP02'!$K$114</definedName>
    <definedName name="Std9NsfChks" localSheetId="3">'IWP03'!$K$114</definedName>
    <definedName name="Std9NsfChks" localSheetId="4">'IWP04'!$K$114</definedName>
    <definedName name="Std9NsfChks" localSheetId="5">'IWP05'!$K$114</definedName>
    <definedName name="Std9NsfChks" localSheetId="6">'IWP06'!$K$114</definedName>
    <definedName name="Std9NsfChks" localSheetId="7">'IWP07'!$K$114</definedName>
    <definedName name="Std9NsfChks" localSheetId="8">'IWP08'!$K$114</definedName>
    <definedName name="Std9NsfChks" localSheetId="9">'IWP09'!$K$114</definedName>
    <definedName name="Std9NsfChks" localSheetId="10">'IWP10'!$K$114</definedName>
    <definedName name="Std9NsfChks" localSheetId="11">'IWP11'!$K$114</definedName>
    <definedName name="Std9NsfChks" localSheetId="12">'IWP12'!$K$114</definedName>
    <definedName name="Std9NsfChks" localSheetId="13">'IWP13'!$K$114</definedName>
    <definedName name="Std9NsfChks" localSheetId="14">'IWP14'!$K$114</definedName>
    <definedName name="Std9NsfChks" localSheetId="15">'IWP15'!$K$114</definedName>
    <definedName name="Std9NsfChks" localSheetId="16">'IWP16'!$K$114</definedName>
    <definedName name="Std9NsfChks" localSheetId="17">'IWP17'!$K$114</definedName>
    <definedName name="Std9NsfChks" localSheetId="18">'IWP18'!$K$114</definedName>
    <definedName name="Std9NsfChks" localSheetId="19">'IWP19'!$K$114</definedName>
    <definedName name="Std9NsfChks" localSheetId="20">'IWP20'!$K$114</definedName>
    <definedName name="Std9NsfChks" localSheetId="21">'IWP21'!$K$114</definedName>
    <definedName name="Std9NsfChks" localSheetId="22">'IWP22'!$K$114</definedName>
    <definedName name="Std9NsfChks" localSheetId="23">'IWP23'!$K$114</definedName>
    <definedName name="Std9NsfChks" localSheetId="24">'IWP24'!$K$114</definedName>
    <definedName name="Std9NsfChks" localSheetId="25">'IWP25'!$K$114</definedName>
    <definedName name="Std9NsfChks" localSheetId="26">'IWP26'!$K$114</definedName>
    <definedName name="Std9NsfChks" localSheetId="27">'IWP27'!$K$114</definedName>
    <definedName name="Std9NsfChks" localSheetId="28">'IWP28'!$K$114</definedName>
    <definedName name="Std9NsfChks" localSheetId="29">'IWP29'!$K$114</definedName>
    <definedName name="Std9NsfChks" localSheetId="30">'IWP30'!$K$114</definedName>
    <definedName name="Std9NsfChks">#REF!</definedName>
    <definedName name="Std9OvrShrtCorrctd" localSheetId="1">'IWP01'!$J$117</definedName>
    <definedName name="Std9OvrShrtCorrctd" localSheetId="2">'IWP02'!$J$117</definedName>
    <definedName name="Std9OvrShrtCorrctd" localSheetId="3">'IWP03'!$J$117</definedName>
    <definedName name="Std9OvrShrtCorrctd" localSheetId="4">'IWP04'!$J$117</definedName>
    <definedName name="Std9OvrShrtCorrctd" localSheetId="5">'IWP05'!$J$117</definedName>
    <definedName name="Std9OvrShrtCorrctd" localSheetId="6">'IWP06'!$J$117</definedName>
    <definedName name="Std9OvrShrtCorrctd" localSheetId="7">'IWP07'!$J$117</definedName>
    <definedName name="Std9OvrShrtCorrctd" localSheetId="8">'IWP08'!$J$117</definedName>
    <definedName name="Std9OvrShrtCorrctd" localSheetId="9">'IWP09'!$J$117</definedName>
    <definedName name="Std9OvrShrtCorrctd" localSheetId="10">'IWP10'!$J$117</definedName>
    <definedName name="Std9OvrShrtCorrctd" localSheetId="11">'IWP11'!$J$117</definedName>
    <definedName name="Std9OvrShrtCorrctd" localSheetId="12">'IWP12'!$J$117</definedName>
    <definedName name="Std9OvrShrtCorrctd" localSheetId="13">'IWP13'!$J$117</definedName>
    <definedName name="Std9OvrShrtCorrctd" localSheetId="14">'IWP14'!$J$117</definedName>
    <definedName name="Std9OvrShrtCorrctd" localSheetId="15">'IWP15'!$J$117</definedName>
    <definedName name="Std9OvrShrtCorrctd" localSheetId="16">'IWP16'!$J$117</definedName>
    <definedName name="Std9OvrShrtCorrctd" localSheetId="17">'IWP17'!$J$117</definedName>
    <definedName name="Std9OvrShrtCorrctd" localSheetId="18">'IWP18'!$J$117</definedName>
    <definedName name="Std9OvrShrtCorrctd" localSheetId="19">'IWP19'!$J$117</definedName>
    <definedName name="Std9OvrShrtCorrctd" localSheetId="20">'IWP20'!$J$117</definedName>
    <definedName name="Std9OvrShrtCorrctd" localSheetId="21">'IWP21'!$J$117</definedName>
    <definedName name="Std9OvrShrtCorrctd" localSheetId="22">'IWP22'!$J$117</definedName>
    <definedName name="Std9OvrShrtCorrctd" localSheetId="23">'IWP23'!$J$117</definedName>
    <definedName name="Std9OvrShrtCorrctd" localSheetId="24">'IWP24'!$J$117</definedName>
    <definedName name="Std9OvrShrtCorrctd" localSheetId="25">'IWP25'!$J$117</definedName>
    <definedName name="Std9OvrShrtCorrctd" localSheetId="26">'IWP26'!$J$117</definedName>
    <definedName name="Std9OvrShrtCorrctd" localSheetId="27">'IWP27'!$J$117</definedName>
    <definedName name="Std9OvrShrtCorrctd" localSheetId="28">'IWP28'!$J$117</definedName>
    <definedName name="Std9OvrShrtCorrctd" localSheetId="29">'IWP29'!$J$117</definedName>
    <definedName name="Std9OvrShrtCorrctd" localSheetId="30">'IWP30'!$J$117</definedName>
    <definedName name="Std9OvrShrtCorrctd">#REF!</definedName>
    <definedName name="Std9Score" localSheetId="38">'ALRC Compliance Summary (Print)'!$J$29</definedName>
    <definedName name="Std9ShrtUnreimbSvcChg" localSheetId="1">'IWP01'!$J$118</definedName>
    <definedName name="Std9ShrtUnreimbSvcChg" localSheetId="2">'IWP02'!$J$118</definedName>
    <definedName name="Std9ShrtUnreimbSvcChg" localSheetId="3">'IWP03'!$J$118</definedName>
    <definedName name="Std9ShrtUnreimbSvcChg" localSheetId="4">'IWP04'!$J$118</definedName>
    <definedName name="Std9ShrtUnreimbSvcChg" localSheetId="5">'IWP05'!$J$118</definedName>
    <definedName name="Std9ShrtUnreimbSvcChg" localSheetId="6">'IWP06'!$J$118</definedName>
    <definedName name="Std9ShrtUnreimbSvcChg" localSheetId="7">'IWP07'!$J$118</definedName>
    <definedName name="Std9ShrtUnreimbSvcChg" localSheetId="8">'IWP08'!$J$118</definedName>
    <definedName name="Std9ShrtUnreimbSvcChg" localSheetId="9">'IWP09'!$J$118</definedName>
    <definedName name="Std9ShrtUnreimbSvcChg" localSheetId="10">'IWP10'!$J$118</definedName>
    <definedName name="Std9ShrtUnreimbSvcChg" localSheetId="11">'IWP11'!$J$118</definedName>
    <definedName name="Std9ShrtUnreimbSvcChg" localSheetId="12">'IWP12'!$J$118</definedName>
    <definedName name="Std9ShrtUnreimbSvcChg" localSheetId="13">'IWP13'!$J$118</definedName>
    <definedName name="Std9ShrtUnreimbSvcChg" localSheetId="14">'IWP14'!$J$118</definedName>
    <definedName name="Std9ShrtUnreimbSvcChg" localSheetId="15">'IWP15'!$J$118</definedName>
    <definedName name="Std9ShrtUnreimbSvcChg" localSheetId="16">'IWP16'!$J$118</definedName>
    <definedName name="Std9ShrtUnreimbSvcChg" localSheetId="17">'IWP17'!$J$118</definedName>
    <definedName name="Std9ShrtUnreimbSvcChg" localSheetId="18">'IWP18'!$J$118</definedName>
    <definedName name="Std9ShrtUnreimbSvcChg" localSheetId="19">'IWP19'!$J$118</definedName>
    <definedName name="Std9ShrtUnreimbSvcChg" localSheetId="20">'IWP20'!$J$118</definedName>
    <definedName name="Std9ShrtUnreimbSvcChg" localSheetId="21">'IWP21'!$J$118</definedName>
    <definedName name="Std9ShrtUnreimbSvcChg" localSheetId="22">'IWP22'!$J$118</definedName>
    <definedName name="Std9ShrtUnreimbSvcChg" localSheetId="23">'IWP23'!$J$118</definedName>
    <definedName name="Std9ShrtUnreimbSvcChg" localSheetId="24">'IWP24'!$J$118</definedName>
    <definedName name="Std9ShrtUnreimbSvcChg" localSheetId="25">'IWP25'!$J$118</definedName>
    <definedName name="Std9ShrtUnreimbSvcChg" localSheetId="26">'IWP26'!$J$118</definedName>
    <definedName name="Std9ShrtUnreimbSvcChg" localSheetId="27">'IWP27'!$J$118</definedName>
    <definedName name="Std9ShrtUnreimbSvcChg" localSheetId="28">'IWP28'!$J$118</definedName>
    <definedName name="Std9ShrtUnreimbSvcChg" localSheetId="29">'IWP29'!$J$118</definedName>
    <definedName name="Std9ShrtUnreimbSvcChg" localSheetId="30">'IWP30'!$J$118</definedName>
    <definedName name="Std9ShrtUnreimbSvcChg">#REF!</definedName>
    <definedName name="Std9TotCshBnkAndHnd" localSheetId="1">'IWP01'!$K$110</definedName>
    <definedName name="Std9TotCshBnkAndHnd" localSheetId="2">'IWP02'!$K$110</definedName>
    <definedName name="Std9TotCshBnkAndHnd" localSheetId="3">'IWP03'!$K$110</definedName>
    <definedName name="Std9TotCshBnkAndHnd" localSheetId="4">'IWP04'!$K$110</definedName>
    <definedName name="Std9TotCshBnkAndHnd" localSheetId="5">'IWP05'!$K$110</definedName>
    <definedName name="Std9TotCshBnkAndHnd" localSheetId="6">'IWP06'!$K$110</definedName>
    <definedName name="Std9TotCshBnkAndHnd" localSheetId="7">'IWP07'!$K$110</definedName>
    <definedName name="Std9TotCshBnkAndHnd" localSheetId="8">'IWP08'!$K$110</definedName>
    <definedName name="Std9TotCshBnkAndHnd" localSheetId="9">'IWP09'!$K$110</definedName>
    <definedName name="Std9TotCshBnkAndHnd" localSheetId="10">'IWP10'!$K$110</definedName>
    <definedName name="Std9TotCshBnkAndHnd" localSheetId="11">'IWP11'!$K$110</definedName>
    <definedName name="Std9TotCshBnkAndHnd" localSheetId="12">'IWP12'!$K$110</definedName>
    <definedName name="Std9TotCshBnkAndHnd" localSheetId="13">'IWP13'!$K$110</definedName>
    <definedName name="Std9TotCshBnkAndHnd" localSheetId="14">'IWP14'!$K$110</definedName>
    <definedName name="Std9TotCshBnkAndHnd" localSheetId="15">'IWP15'!$K$110</definedName>
    <definedName name="Std9TotCshBnkAndHnd" localSheetId="16">'IWP16'!$K$110</definedName>
    <definedName name="Std9TotCshBnkAndHnd" localSheetId="17">'IWP17'!$K$110</definedName>
    <definedName name="Std9TotCshBnkAndHnd" localSheetId="18">'IWP18'!$K$110</definedName>
    <definedName name="Std9TotCshBnkAndHnd" localSheetId="19">'IWP19'!$K$110</definedName>
    <definedName name="Std9TotCshBnkAndHnd" localSheetId="20">'IWP20'!$K$110</definedName>
    <definedName name="Std9TotCshBnkAndHnd" localSheetId="21">'IWP21'!$K$110</definedName>
    <definedName name="Std9TotCshBnkAndHnd" localSheetId="22">'IWP22'!$K$110</definedName>
    <definedName name="Std9TotCshBnkAndHnd" localSheetId="23">'IWP23'!$K$110</definedName>
    <definedName name="Std9TotCshBnkAndHnd" localSheetId="24">'IWP24'!$K$110</definedName>
    <definedName name="Std9TotCshBnkAndHnd" localSheetId="25">'IWP25'!$K$110</definedName>
    <definedName name="Std9TotCshBnkAndHnd" localSheetId="26">'IWP26'!$K$110</definedName>
    <definedName name="Std9TotCshBnkAndHnd" localSheetId="27">'IWP27'!$K$110</definedName>
    <definedName name="Std9TotCshBnkAndHnd" localSheetId="28">'IWP28'!$K$110</definedName>
    <definedName name="Std9TotCshBnkAndHnd" localSheetId="29">'IWP29'!$K$110</definedName>
    <definedName name="Std9TotCshBnkAndHnd" localSheetId="30">'IWP30'!$K$110</definedName>
    <definedName name="Std9TotCshBnkAndHnd">#REF!</definedName>
    <definedName name="Std9TotDepsInTrans" localSheetId="1">'IWP01'!$J$131</definedName>
    <definedName name="Std9TotDepsInTrans" localSheetId="2">'IWP02'!$J$131</definedName>
    <definedName name="Std9TotDepsInTrans" localSheetId="3">'IWP03'!$J$131</definedName>
    <definedName name="Std9TotDepsInTrans" localSheetId="4">'IWP04'!$J$131</definedName>
    <definedName name="Std9TotDepsInTrans" localSheetId="5">'IWP05'!$J$131</definedName>
    <definedName name="Std9TotDepsInTrans" localSheetId="6">'IWP06'!$J$131</definedName>
    <definedName name="Std9TotDepsInTrans" localSheetId="7">'IWP07'!$J$131</definedName>
    <definedName name="Std9TotDepsInTrans" localSheetId="8">'IWP08'!$J$131</definedName>
    <definedName name="Std9TotDepsInTrans" localSheetId="9">'IWP09'!$J$131</definedName>
    <definedName name="Std9TotDepsInTrans" localSheetId="10">'IWP10'!$J$131</definedName>
    <definedName name="Std9TotDepsInTrans" localSheetId="11">'IWP11'!$J$131</definedName>
    <definedName name="Std9TotDepsInTrans" localSheetId="12">'IWP12'!$J$131</definedName>
    <definedName name="Std9TotDepsInTrans" localSheetId="13">'IWP13'!$J$131</definedName>
    <definedName name="Std9TotDepsInTrans" localSheetId="14">'IWP14'!$J$131</definedName>
    <definedName name="Std9TotDepsInTrans" localSheetId="15">'IWP15'!$J$131</definedName>
    <definedName name="Std9TotDepsInTrans" localSheetId="16">'IWP16'!$J$131</definedName>
    <definedName name="Std9TotDepsInTrans" localSheetId="17">'IWP17'!$J$131</definedName>
    <definedName name="Std9TotDepsInTrans" localSheetId="18">'IWP18'!$J$131</definedName>
    <definedName name="Std9TotDepsInTrans" localSheetId="19">'IWP19'!$J$131</definedName>
    <definedName name="Std9TotDepsInTrans" localSheetId="20">'IWP20'!$J$131</definedName>
    <definedName name="Std9TotDepsInTrans" localSheetId="21">'IWP21'!$J$131</definedName>
    <definedName name="Std9TotDepsInTrans" localSheetId="22">'IWP22'!$J$131</definedName>
    <definedName name="Std9TotDepsInTrans" localSheetId="23">'IWP23'!$J$131</definedName>
    <definedName name="Std9TotDepsInTrans" localSheetId="24">'IWP24'!$J$131</definedName>
    <definedName name="Std9TotDepsInTrans" localSheetId="25">'IWP25'!$J$131</definedName>
    <definedName name="Std9TotDepsInTrans" localSheetId="26">'IWP26'!$J$131</definedName>
    <definedName name="Std9TotDepsInTrans" localSheetId="27">'IWP27'!$J$131</definedName>
    <definedName name="Std9TotDepsInTrans" localSheetId="28">'IWP28'!$J$131</definedName>
    <definedName name="Std9TotDepsInTrans" localSheetId="29">'IWP29'!$J$131</definedName>
    <definedName name="Std9TotDepsInTrans" localSheetId="30">'IWP30'!$J$131</definedName>
    <definedName name="Std9TotDepsInTrans">#REF!</definedName>
    <definedName name="Std9TotOutsChks" localSheetId="1">'IWP01'!$G$131</definedName>
    <definedName name="Std9TotOutsChks" localSheetId="2">'IWP02'!$G$131</definedName>
    <definedName name="Std9TotOutsChks" localSheetId="3">'IWP03'!$G$131</definedName>
    <definedName name="Std9TotOutsChks" localSheetId="4">'IWP04'!$G$131</definedName>
    <definedName name="Std9TotOutsChks" localSheetId="5">'IWP05'!$G$131</definedName>
    <definedName name="Std9TotOutsChks" localSheetId="6">'IWP06'!$G$131</definedName>
    <definedName name="Std9TotOutsChks" localSheetId="7">'IWP07'!$G$131</definedName>
    <definedName name="Std9TotOutsChks" localSheetId="8">'IWP08'!$G$131</definedName>
    <definedName name="Std9TotOutsChks" localSheetId="9">'IWP09'!$G$131</definedName>
    <definedName name="Std9TotOutsChks" localSheetId="10">'IWP10'!$G$131</definedName>
    <definedName name="Std9TotOutsChks" localSheetId="11">'IWP11'!$G$131</definedName>
    <definedName name="Std9TotOutsChks" localSheetId="12">'IWP12'!$G$131</definedName>
    <definedName name="Std9TotOutsChks" localSheetId="13">'IWP13'!$G$131</definedName>
    <definedName name="Std9TotOutsChks" localSheetId="14">'IWP14'!$G$131</definedName>
    <definedName name="Std9TotOutsChks" localSheetId="15">'IWP15'!$G$131</definedName>
    <definedName name="Std9TotOutsChks" localSheetId="16">'IWP16'!$G$131</definedName>
    <definedName name="Std9TotOutsChks" localSheetId="17">'IWP17'!$G$131</definedName>
    <definedName name="Std9TotOutsChks" localSheetId="18">'IWP18'!$G$131</definedName>
    <definedName name="Std9TotOutsChks" localSheetId="19">'IWP19'!$G$131</definedName>
    <definedName name="Std9TotOutsChks" localSheetId="20">'IWP20'!$G$131</definedName>
    <definedName name="Std9TotOutsChks" localSheetId="21">'IWP21'!$G$131</definedName>
    <definedName name="Std9TotOutsChks" localSheetId="22">'IWP22'!$G$131</definedName>
    <definedName name="Std9TotOutsChks" localSheetId="23">'IWP23'!$G$131</definedName>
    <definedName name="Std9TotOutsChks" localSheetId="24">'IWP24'!$G$131</definedName>
    <definedName name="Std9TotOutsChks" localSheetId="25">'IWP25'!$G$131</definedName>
    <definedName name="Std9TotOutsChks" localSheetId="26">'IWP26'!$G$131</definedName>
    <definedName name="Std9TotOutsChks" localSheetId="27">'IWP27'!$G$131</definedName>
    <definedName name="Std9TotOutsChks" localSheetId="28">'IWP28'!$G$131</definedName>
    <definedName name="Std9TotOutsChks" localSheetId="29">'IWP29'!$G$131</definedName>
    <definedName name="Std9TotOutsChks" localSheetId="30">'IWP30'!$G$131</definedName>
    <definedName name="Std9TotOutsChks">#REF!</definedName>
    <definedName name="Std9TotPtyCshIndv" localSheetId="1">'IWP01'!$K$108</definedName>
    <definedName name="Std9TotPtyCshIndv" localSheetId="2">'IWP02'!$K$108</definedName>
    <definedName name="Std9TotPtyCshIndv" localSheetId="3">'IWP03'!$K$108</definedName>
    <definedName name="Std9TotPtyCshIndv" localSheetId="4">'IWP04'!$K$108</definedName>
    <definedName name="Std9TotPtyCshIndv" localSheetId="5">'IWP05'!$K$108</definedName>
    <definedName name="Std9TotPtyCshIndv" localSheetId="6">'IWP06'!$K$108</definedName>
    <definedName name="Std9TotPtyCshIndv" localSheetId="7">'IWP07'!$K$108</definedName>
    <definedName name="Std9TotPtyCshIndv" localSheetId="8">'IWP08'!$K$108</definedName>
    <definedName name="Std9TotPtyCshIndv" localSheetId="9">'IWP09'!$K$108</definedName>
    <definedName name="Std9TotPtyCshIndv" localSheetId="10">'IWP10'!$K$108</definedName>
    <definedName name="Std9TotPtyCshIndv" localSheetId="11">'IWP11'!$K$108</definedName>
    <definedName name="Std9TotPtyCshIndv" localSheetId="12">'IWP12'!$K$108</definedName>
    <definedName name="Std9TotPtyCshIndv" localSheetId="13">'IWP13'!$K$108</definedName>
    <definedName name="Std9TotPtyCshIndv" localSheetId="14">'IWP14'!$K$108</definedName>
    <definedName name="Std9TotPtyCshIndv" localSheetId="15">'IWP15'!$K$108</definedName>
    <definedName name="Std9TotPtyCshIndv" localSheetId="16">'IWP16'!$K$108</definedName>
    <definedName name="Std9TotPtyCshIndv" localSheetId="17">'IWP17'!$K$108</definedName>
    <definedName name="Std9TotPtyCshIndv" localSheetId="18">'IWP18'!$K$108</definedName>
    <definedName name="Std9TotPtyCshIndv" localSheetId="19">'IWP19'!$K$108</definedName>
    <definedName name="Std9TotPtyCshIndv" localSheetId="20">'IWP20'!$K$108</definedName>
    <definedName name="Std9TotPtyCshIndv" localSheetId="21">'IWP21'!$K$108</definedName>
    <definedName name="Std9TotPtyCshIndv" localSheetId="22">'IWP22'!$K$108</definedName>
    <definedName name="Std9TotPtyCshIndv" localSheetId="23">'IWP23'!$K$108</definedName>
    <definedName name="Std9TotPtyCshIndv" localSheetId="24">'IWP24'!$K$108</definedName>
    <definedName name="Std9TotPtyCshIndv" localSheetId="25">'IWP25'!$K$108</definedName>
    <definedName name="Std9TotPtyCshIndv" localSheetId="26">'IWP26'!$K$108</definedName>
    <definedName name="Std9TotPtyCshIndv" localSheetId="27">'IWP27'!$K$108</definedName>
    <definedName name="Std9TotPtyCshIndv" localSheetId="28">'IWP28'!$K$108</definedName>
    <definedName name="Std9TotPtyCshIndv" localSheetId="29">'IWP29'!$K$108</definedName>
    <definedName name="Std9TotPtyCshIndv" localSheetId="30">'IWP30'!$K$108</definedName>
    <definedName name="Std9TotPtyCshIndv">#REF!</definedName>
    <definedName name="Std9TotPtyCshIndvDt" localSheetId="1">'IWP01'!$G$108</definedName>
    <definedName name="Std9TotPtyCshIndvDt" localSheetId="2">'IWP02'!$G$108</definedName>
    <definedName name="Std9TotPtyCshIndvDt" localSheetId="3">'IWP03'!$G$108</definedName>
    <definedName name="Std9TotPtyCshIndvDt" localSheetId="4">'IWP04'!$G$108</definedName>
    <definedName name="Std9TotPtyCshIndvDt" localSheetId="5">'IWP05'!$G$108</definedName>
    <definedName name="Std9TotPtyCshIndvDt" localSheetId="6">'IWP06'!$G$108</definedName>
    <definedName name="Std9TotPtyCshIndvDt" localSheetId="7">'IWP07'!$G$108</definedName>
    <definedName name="Std9TotPtyCshIndvDt" localSheetId="8">'IWP08'!$G$108</definedName>
    <definedName name="Std9TotPtyCshIndvDt" localSheetId="9">'IWP09'!$G$108</definedName>
    <definedName name="Std9TotPtyCshIndvDt" localSheetId="10">'IWP10'!$G$108</definedName>
    <definedName name="Std9TotPtyCshIndvDt" localSheetId="11">'IWP11'!$G$108</definedName>
    <definedName name="Std9TotPtyCshIndvDt" localSheetId="12">'IWP12'!$G$108</definedName>
    <definedName name="Std9TotPtyCshIndvDt" localSheetId="13">'IWP13'!$G$108</definedName>
    <definedName name="Std9TotPtyCshIndvDt" localSheetId="14">'IWP14'!$G$108</definedName>
    <definedName name="Std9TotPtyCshIndvDt" localSheetId="15">'IWP15'!$G$108</definedName>
    <definedName name="Std9TotPtyCshIndvDt" localSheetId="16">'IWP16'!$G$108</definedName>
    <definedName name="Std9TotPtyCshIndvDt" localSheetId="17">'IWP17'!$G$108</definedName>
    <definedName name="Std9TotPtyCshIndvDt" localSheetId="18">'IWP18'!$G$108</definedName>
    <definedName name="Std9TotPtyCshIndvDt" localSheetId="19">'IWP19'!$G$108</definedName>
    <definedName name="Std9TotPtyCshIndvDt" localSheetId="20">'IWP20'!$G$108</definedName>
    <definedName name="Std9TotPtyCshIndvDt" localSheetId="21">'IWP21'!$G$108</definedName>
    <definedName name="Std9TotPtyCshIndvDt" localSheetId="22">'IWP22'!$G$108</definedName>
    <definedName name="Std9TotPtyCshIndvDt" localSheetId="23">'IWP23'!$G$108</definedName>
    <definedName name="Std9TotPtyCshIndvDt" localSheetId="24">'IWP24'!$G$108</definedName>
    <definedName name="Std9TotPtyCshIndvDt" localSheetId="25">'IWP25'!$G$108</definedName>
    <definedName name="Std9TotPtyCshIndvDt" localSheetId="26">'IWP26'!$G$108</definedName>
    <definedName name="Std9TotPtyCshIndvDt" localSheetId="27">'IWP27'!$G$108</definedName>
    <definedName name="Std9TotPtyCshIndvDt" localSheetId="28">'IWP28'!$G$108</definedName>
    <definedName name="Std9TotPtyCshIndvDt" localSheetId="29">'IWP29'!$G$108</definedName>
    <definedName name="Std9TotPtyCshIndvDt" localSheetId="30">'IWP30'!$G$108</definedName>
    <definedName name="Std9TotPtyCshIndvDt">#REF!</definedName>
    <definedName name="Std9TrstFndAcctOvrShrt" localSheetId="1">'IWP01'!$K$116</definedName>
    <definedName name="Std9TrstFndAcctOvrShrt" localSheetId="2">'IWP02'!$K$116</definedName>
    <definedName name="Std9TrstFndAcctOvrShrt" localSheetId="3">'IWP03'!$K$116</definedName>
    <definedName name="Std9TrstFndAcctOvrShrt" localSheetId="4">'IWP04'!$K$116</definedName>
    <definedName name="Std9TrstFndAcctOvrShrt" localSheetId="5">'IWP05'!$K$116</definedName>
    <definedName name="Std9TrstFndAcctOvrShrt" localSheetId="6">'IWP06'!$K$116</definedName>
    <definedName name="Std9TrstFndAcctOvrShrt" localSheetId="7">'IWP07'!$K$116</definedName>
    <definedName name="Std9TrstFndAcctOvrShrt" localSheetId="8">'IWP08'!$K$116</definedName>
    <definedName name="Std9TrstFndAcctOvrShrt" localSheetId="9">'IWP09'!$K$116</definedName>
    <definedName name="Std9TrstFndAcctOvrShrt" localSheetId="10">'IWP10'!$K$116</definedName>
    <definedName name="Std9TrstFndAcctOvrShrt" localSheetId="11">'IWP11'!$K$116</definedName>
    <definedName name="Std9TrstFndAcctOvrShrt" localSheetId="12">'IWP12'!$K$116</definedName>
    <definedName name="Std9TrstFndAcctOvrShrt" localSheetId="13">'IWP13'!$K$116</definedName>
    <definedName name="Std9TrstFndAcctOvrShrt" localSheetId="14">'IWP14'!$K$116</definedName>
    <definedName name="Std9TrstFndAcctOvrShrt" localSheetId="15">'IWP15'!$K$116</definedName>
    <definedName name="Std9TrstFndAcctOvrShrt" localSheetId="16">'IWP16'!$K$116</definedName>
    <definedName name="Std9TrstFndAcctOvrShrt" localSheetId="17">'IWP17'!$K$116</definedName>
    <definedName name="Std9TrstFndAcctOvrShrt" localSheetId="18">'IWP18'!$K$116</definedName>
    <definedName name="Std9TrstFndAcctOvrShrt" localSheetId="19">'IWP19'!$K$116</definedName>
    <definedName name="Std9TrstFndAcctOvrShrt" localSheetId="20">'IWP20'!$K$116</definedName>
    <definedName name="Std9TrstFndAcctOvrShrt" localSheetId="21">'IWP21'!$K$116</definedName>
    <definedName name="Std9TrstFndAcctOvrShrt" localSheetId="22">'IWP22'!$K$116</definedName>
    <definedName name="Std9TrstFndAcctOvrShrt" localSheetId="23">'IWP23'!$K$116</definedName>
    <definedName name="Std9TrstFndAcctOvrShrt" localSheetId="24">'IWP24'!$K$116</definedName>
    <definedName name="Std9TrstFndAcctOvrShrt" localSheetId="25">'IWP25'!$K$116</definedName>
    <definedName name="Std9TrstFndAcctOvrShrt" localSheetId="26">'IWP26'!$K$116</definedName>
    <definedName name="Std9TrstFndAcctOvrShrt" localSheetId="27">'IWP27'!$K$116</definedName>
    <definedName name="Std9TrstFndAcctOvrShrt" localSheetId="28">'IWP28'!$K$116</definedName>
    <definedName name="Std9TrstFndAcctOvrShrt" localSheetId="29">'IWP29'!$K$116</definedName>
    <definedName name="Std9TrstFndAcctOvrShrt" localSheetId="30">'IWP30'!$K$116</definedName>
    <definedName name="Std9TrstFndAcctOvrShrt">#REF!</definedName>
    <definedName name="Std9UnapplErndInt" localSheetId="1">'IWP01'!$K$112</definedName>
    <definedName name="Std9UnapplErndInt" localSheetId="2">'IWP02'!$K$112</definedName>
    <definedName name="Std9UnapplErndInt" localSheetId="3">'IWP03'!$K$112</definedName>
    <definedName name="Std9UnapplErndInt" localSheetId="4">'IWP04'!$K$112</definedName>
    <definedName name="Std9UnapplErndInt" localSheetId="5">'IWP05'!$K$112</definedName>
    <definedName name="Std9UnapplErndInt" localSheetId="6">'IWP06'!$K$112</definedName>
    <definedName name="Std9UnapplErndInt" localSheetId="7">'IWP07'!$K$112</definedName>
    <definedName name="Std9UnapplErndInt" localSheetId="8">'IWP08'!$K$112</definedName>
    <definedName name="Std9UnapplErndInt" localSheetId="9">'IWP09'!$K$112</definedName>
    <definedName name="Std9UnapplErndInt" localSheetId="10">'IWP10'!$K$112</definedName>
    <definedName name="Std9UnapplErndInt" localSheetId="11">'IWP11'!$K$112</definedName>
    <definedName name="Std9UnapplErndInt" localSheetId="12">'IWP12'!$K$112</definedName>
    <definedName name="Std9UnapplErndInt" localSheetId="13">'IWP13'!$K$112</definedName>
    <definedName name="Std9UnapplErndInt" localSheetId="14">'IWP14'!$K$112</definedName>
    <definedName name="Std9UnapplErndInt" localSheetId="15">'IWP15'!$K$112</definedName>
    <definedName name="Std9UnapplErndInt" localSheetId="16">'IWP16'!$K$112</definedName>
    <definedName name="Std9UnapplErndInt" localSheetId="17">'IWP17'!$K$112</definedName>
    <definedName name="Std9UnapplErndInt" localSheetId="18">'IWP18'!$K$112</definedName>
    <definedName name="Std9UnapplErndInt" localSheetId="19">'IWP19'!$K$112</definedName>
    <definedName name="Std9UnapplErndInt" localSheetId="20">'IWP20'!$K$112</definedName>
    <definedName name="Std9UnapplErndInt" localSheetId="21">'IWP21'!$K$112</definedName>
    <definedName name="Std9UnapplErndInt" localSheetId="22">'IWP22'!$K$112</definedName>
    <definedName name="Std9UnapplErndInt" localSheetId="23">'IWP23'!$K$112</definedName>
    <definedName name="Std9UnapplErndInt" localSheetId="24">'IWP24'!$K$112</definedName>
    <definedName name="Std9UnapplErndInt" localSheetId="25">'IWP25'!$K$112</definedName>
    <definedName name="Std9UnapplErndInt" localSheetId="26">'IWP26'!$K$112</definedName>
    <definedName name="Std9UnapplErndInt" localSheetId="27">'IWP27'!$K$112</definedName>
    <definedName name="Std9UnapplErndInt" localSheetId="28">'IWP28'!$K$112</definedName>
    <definedName name="Std9UnapplErndInt" localSheetId="29">'IWP29'!$K$112</definedName>
    <definedName name="Std9UnapplErndInt" localSheetId="30">'IWP30'!$K$112</definedName>
    <definedName name="Std9UnapplErndInt">#REF!</definedName>
    <definedName name="Std9UnpstdRcptDsbrsmts" localSheetId="1">'IWP01'!$K$113</definedName>
    <definedName name="Std9UnpstdRcptDsbrsmts" localSheetId="2">'IWP02'!$K$113</definedName>
    <definedName name="Std9UnpstdRcptDsbrsmts" localSheetId="3">'IWP03'!$K$113</definedName>
    <definedName name="Std9UnpstdRcptDsbrsmts" localSheetId="4">'IWP04'!$K$113</definedName>
    <definedName name="Std9UnpstdRcptDsbrsmts" localSheetId="5">'IWP05'!$K$113</definedName>
    <definedName name="Std9UnpstdRcptDsbrsmts" localSheetId="6">'IWP06'!$K$113</definedName>
    <definedName name="Std9UnpstdRcptDsbrsmts" localSheetId="7">'IWP07'!$K$113</definedName>
    <definedName name="Std9UnpstdRcptDsbrsmts" localSheetId="8">'IWP08'!$K$113</definedName>
    <definedName name="Std9UnpstdRcptDsbrsmts" localSheetId="9">'IWP09'!$K$113</definedName>
    <definedName name="Std9UnpstdRcptDsbrsmts" localSheetId="10">'IWP10'!$K$113</definedName>
    <definedName name="Std9UnpstdRcptDsbrsmts" localSheetId="11">'IWP11'!$K$113</definedName>
    <definedName name="Std9UnpstdRcptDsbrsmts" localSheetId="12">'IWP12'!$K$113</definedName>
    <definedName name="Std9UnpstdRcptDsbrsmts" localSheetId="13">'IWP13'!$K$113</definedName>
    <definedName name="Std9UnpstdRcptDsbrsmts" localSheetId="14">'IWP14'!$K$113</definedName>
    <definedName name="Std9UnpstdRcptDsbrsmts" localSheetId="15">'IWP15'!$K$113</definedName>
    <definedName name="Std9UnpstdRcptDsbrsmts" localSheetId="16">'IWP16'!$K$113</definedName>
    <definedName name="Std9UnpstdRcptDsbrsmts" localSheetId="17">'IWP17'!$K$113</definedName>
    <definedName name="Std9UnpstdRcptDsbrsmts" localSheetId="18">'IWP18'!$K$113</definedName>
    <definedName name="Std9UnpstdRcptDsbrsmts" localSheetId="19">'IWP19'!$K$113</definedName>
    <definedName name="Std9UnpstdRcptDsbrsmts" localSheetId="20">'IWP20'!$K$113</definedName>
    <definedName name="Std9UnpstdRcptDsbrsmts" localSheetId="21">'IWP21'!$K$113</definedName>
    <definedName name="Std9UnpstdRcptDsbrsmts" localSheetId="22">'IWP22'!$K$113</definedName>
    <definedName name="Std9UnpstdRcptDsbrsmts" localSheetId="23">'IWP23'!$K$113</definedName>
    <definedName name="Std9UnpstdRcptDsbrsmts" localSheetId="24">'IWP24'!$K$113</definedName>
    <definedName name="Std9UnpstdRcptDsbrsmts" localSheetId="25">'IWP25'!$K$113</definedName>
    <definedName name="Std9UnpstdRcptDsbrsmts" localSheetId="26">'IWP26'!$K$113</definedName>
    <definedName name="Std9UnpstdRcptDsbrsmts" localSheetId="27">'IWP27'!$K$113</definedName>
    <definedName name="Std9UnpstdRcptDsbrsmts" localSheetId="28">'IWP28'!$K$113</definedName>
    <definedName name="Std9UnpstdRcptDsbrsmts" localSheetId="29">'IWP29'!$K$113</definedName>
    <definedName name="Std9UnpstdRcptDsbrsmts" localSheetId="30">'IWP30'!$K$113</definedName>
    <definedName name="Std9UnpstdRcptDsbrsmts">#REF!</definedName>
    <definedName name="TotalBedrooms" localSheetId="31">'Personal Care 3 Facility Chklst'!$F$57</definedName>
    <definedName name="TotalCBAAL" localSheetId="35">'ALRC Reimbursement'!#REF!</definedName>
    <definedName name="TotalCBAOHR" localSheetId="37">'OHR Reimbursement'!#REF!</definedName>
    <definedName name="TotalCCADRC" localSheetId="35">'ALRC Reimbursement'!#REF!</definedName>
    <definedName name="TotalDouble" localSheetId="31">'Personal Care 3 Facility Chklst'!$E$56</definedName>
    <definedName name="TotalDueCBAAL" localSheetId="40">'Demand for Pmt Notice (Print)'!$H$9</definedName>
    <definedName name="TotalDueCBAOHR" localSheetId="40">'Demand for Pmt Notice (Print)'!$H$10</definedName>
    <definedName name="TotalDueCCADRC" localSheetId="40">'Demand for Pmt Notice (Print)'!$H$8</definedName>
    <definedName name="TotalOther" localSheetId="31">'Personal Care 3 Facility Chklst'!$F$56</definedName>
    <definedName name="TotalSingle" localSheetId="31">'Personal Care 3 Facility Chklst'!$D$56</definedName>
    <definedName name="TrstFndRfndDcsdOrDschdIndv" localSheetId="32">'ALRC Indiv Fund Summary (Print)'!$B$200:$J$217</definedName>
    <definedName name="TrstFndTrialBals" localSheetId="0">'Monitoring Workbook'!$A$344:$J$373</definedName>
    <definedName name="Trust_Fund_Trial_Balances">'Monitoring Workbook'!$A$332:$J$361</definedName>
    <definedName name="UnallwblWthdrwls" localSheetId="32">'ALRC Indiv Fund Summary (Print)'!$B$169:$J$198</definedName>
    <definedName name="UnauthUndocWthdrwls" localSheetId="32">'ALRC Indiv Fund Summary (Print)'!$B$137:$J$166</definedName>
    <definedName name="UnlicEmplReqs" localSheetId="33">'Unlic. Empl. Reqs. (Print)'!$B$20:$I$49</definedName>
    <definedName name="UnsdRmBdPrrtdCoPyDueDcsdDschdIndv" localSheetId="32">'ALRC Indiv Fund Summary (Print)'!$B$253:$J$267</definedName>
    <definedName name="XaroAfcAuthToMngMoney" localSheetId="43">Data!$A$148:$H$153</definedName>
    <definedName name="XaroAlrcReimbTotals" localSheetId="43">Data!$A$695:$D$696</definedName>
    <definedName name="XaroBnkChgsIndvTrstFnd" localSheetId="43">Data!$A$298:$F$328</definedName>
    <definedName name="XaroBnkChgsPldTrstFnd" localSheetId="43">Data!$A$265:$F$295</definedName>
    <definedName name="XaroComplianceSummaries" localSheetId="43">Data!$A$703:$S$704</definedName>
    <definedName name="XaroCoPyCrdtDueHspIdv" localSheetId="43">Data!$A$595:$D$625</definedName>
    <definedName name="XaroDpstsPldTrstFndAcct" localSheetId="43">Data!$A$331:$D$361</definedName>
    <definedName name="XaroDpstTstFdOrCshAct" localSheetId="43">Data!$A$364:$D$394</definedName>
    <definedName name="XaroIndvPtyCshFndRcncltn" localSheetId="43">Data!$A$161:$D$191</definedName>
    <definedName name="XaroIndvTrstFndRcncltn" localSheetId="43">Data!$A$199:$D$229</definedName>
    <definedName name="XaroIwpData" localSheetId="43">Data!$A$707:$FH$737</definedName>
    <definedName name="XaroIwpStd10dot3Deposits" localSheetId="43">Data!$A$1769:$E$2069</definedName>
    <definedName name="XaroIwpStd10dot4Wthdrwls" localSheetId="43">Data!$A$2072:$E$2672</definedName>
    <definedName name="XaroIwpStd10dot5Wthdrwls" localSheetId="43">Data!$A$2675:$D$2975</definedName>
    <definedName name="XaroIwpStd11dot1CmnArClc" localSheetId="43">Data!$A$2978:$E$3128</definedName>
    <definedName name="XaroIwpStd11dot4Hosptlztn" localSheetId="43">Data!$A$3131:$J$3311</definedName>
    <definedName name="XaroIwpStd4dot2Dates" localSheetId="43">Data!$A$740:$C$860</definedName>
    <definedName name="XaroIwpStd9dot1DptsTrns" localSheetId="43">Data!$A$1466:$C$1766</definedName>
    <definedName name="XaroIwpStd9dot1OutstChks" localSheetId="43">Data!$A$863:$D$1463</definedName>
    <definedName name="XaroMonitoringWbk1" localSheetId="43">Data!$A$12:$FY$13</definedName>
    <definedName name="XaroMonWbkChksDpsts" localSheetId="43">Data!$A$16:$C$106</definedName>
    <definedName name="XaroMonWbkDpstsInTrns" localSheetId="43">Data!$D$16:$E$106</definedName>
    <definedName name="XaroMonWbkTrFndTrlBls" localSheetId="43">Data!$F$16:$G$106</definedName>
    <definedName name="XaroOhrReimbTotals" localSheetId="43">Data!$A$699:$C$700</definedName>
    <definedName name="XaroOvrCollRmbdCpyBdHld" localSheetId="43">Data!$A$562:$D$592</definedName>
    <definedName name="XaroPldPtyCshFndRcncltn" localSheetId="43">Data!$A$156:$C$158</definedName>
    <definedName name="XaroPldTrstFndAcctRcltn" localSheetId="43">Data!$A$194:$C$196</definedName>
    <definedName name="XaroPrrtdIntPldTrstFnd" localSheetId="43">Data!$A$232:$F$262</definedName>
    <definedName name="XaroPrsnCr3FcltyBdOcpncy" localSheetId="43">Data!$A$113:$C$143</definedName>
    <definedName name="XaroPrsnCr3FcltyChklst" localSheetId="43">Data!$A$109:$P$110</definedName>
    <definedName name="XaroTstFndRfdDscDschIdv" localSheetId="43">Data!$A$523:$D$559</definedName>
    <definedName name="XaroUnallwblWthdrwls" localSheetId="43">Data!$A$460:$D$520</definedName>
    <definedName name="XaroUnauthUndocWthdrwls" localSheetId="43">Data!$A$397:$D$457</definedName>
    <definedName name="XaroUnlicEmplReqs" localSheetId="43">Data!$A$662:$L$692</definedName>
    <definedName name="XaroUnsdrmbdpdcpyduedschdidv" localSheetId="43">Data!$A$628:$D$658</definedName>
    <definedName name="Z_15DD4F60_D491_4D73_A014_FE6349F17583_.wvu.Cols" localSheetId="1" hidden="1">'IWP01'!$T:$T</definedName>
    <definedName name="Z_15DD4F60_D491_4D73_A014_FE6349F17583_.wvu.Cols" localSheetId="2" hidden="1">'IWP02'!$T:$T</definedName>
    <definedName name="Z_15DD4F60_D491_4D73_A014_FE6349F17583_.wvu.Cols" localSheetId="3" hidden="1">'IWP03'!$T:$T</definedName>
    <definedName name="Z_15DD4F60_D491_4D73_A014_FE6349F17583_.wvu.Cols" localSheetId="4" hidden="1">'IWP04'!$T:$T</definedName>
    <definedName name="Z_15DD4F60_D491_4D73_A014_FE6349F17583_.wvu.Cols" localSheetId="5" hidden="1">'IWP05'!$T:$T</definedName>
    <definedName name="Z_15DD4F60_D491_4D73_A014_FE6349F17583_.wvu.Cols" localSheetId="6" hidden="1">'IWP06'!$T:$T</definedName>
    <definedName name="Z_15DD4F60_D491_4D73_A014_FE6349F17583_.wvu.Cols" localSheetId="7" hidden="1">'IWP07'!$T:$T</definedName>
    <definedName name="Z_15DD4F60_D491_4D73_A014_FE6349F17583_.wvu.Cols" localSheetId="8" hidden="1">'IWP08'!$T:$T</definedName>
    <definedName name="Z_15DD4F60_D491_4D73_A014_FE6349F17583_.wvu.Cols" localSheetId="9" hidden="1">'IWP09'!$T:$T</definedName>
    <definedName name="Z_15DD4F60_D491_4D73_A014_FE6349F17583_.wvu.Cols" localSheetId="10" hidden="1">'IWP10'!$T:$T</definedName>
    <definedName name="Z_15DD4F60_D491_4D73_A014_FE6349F17583_.wvu.Cols" localSheetId="11" hidden="1">'IWP11'!$T:$T</definedName>
    <definedName name="Z_15DD4F60_D491_4D73_A014_FE6349F17583_.wvu.Cols" localSheetId="12" hidden="1">'IWP12'!$T:$T</definedName>
    <definedName name="Z_15DD4F60_D491_4D73_A014_FE6349F17583_.wvu.Cols" localSheetId="13" hidden="1">'IWP13'!$T:$T</definedName>
    <definedName name="Z_15DD4F60_D491_4D73_A014_FE6349F17583_.wvu.Cols" localSheetId="14" hidden="1">'IWP14'!$T:$T</definedName>
    <definedName name="Z_15DD4F60_D491_4D73_A014_FE6349F17583_.wvu.Cols" localSheetId="15" hidden="1">'IWP15'!$T:$T</definedName>
    <definedName name="Z_15DD4F60_D491_4D73_A014_FE6349F17583_.wvu.Cols" localSheetId="16" hidden="1">'IWP16'!$T:$T</definedName>
    <definedName name="Z_15DD4F60_D491_4D73_A014_FE6349F17583_.wvu.Cols" localSheetId="17" hidden="1">'IWP17'!$T:$T</definedName>
    <definedName name="Z_15DD4F60_D491_4D73_A014_FE6349F17583_.wvu.Cols" localSheetId="18" hidden="1">'IWP18'!$T:$T</definedName>
    <definedName name="Z_15DD4F60_D491_4D73_A014_FE6349F17583_.wvu.Cols" localSheetId="19" hidden="1">'IWP19'!$T:$T</definedName>
    <definedName name="Z_15DD4F60_D491_4D73_A014_FE6349F17583_.wvu.Cols" localSheetId="20" hidden="1">'IWP20'!$T:$T</definedName>
    <definedName name="Z_15DD4F60_D491_4D73_A014_FE6349F17583_.wvu.Cols" localSheetId="21" hidden="1">'IWP21'!$T:$T</definedName>
    <definedName name="Z_15DD4F60_D491_4D73_A014_FE6349F17583_.wvu.Cols" localSheetId="22" hidden="1">'IWP22'!$T:$T</definedName>
    <definedName name="Z_15DD4F60_D491_4D73_A014_FE6349F17583_.wvu.Cols" localSheetId="23" hidden="1">'IWP23'!$T:$T</definedName>
    <definedName name="Z_15DD4F60_D491_4D73_A014_FE6349F17583_.wvu.Cols" localSheetId="24" hidden="1">'IWP24'!$T:$T</definedName>
    <definedName name="Z_15DD4F60_D491_4D73_A014_FE6349F17583_.wvu.Cols" localSheetId="25" hidden="1">'IWP25'!$T:$T</definedName>
    <definedName name="Z_15DD4F60_D491_4D73_A014_FE6349F17583_.wvu.Cols" localSheetId="26" hidden="1">'IWP26'!$T:$T</definedName>
    <definedName name="Z_15DD4F60_D491_4D73_A014_FE6349F17583_.wvu.Cols" localSheetId="27" hidden="1">'IWP27'!$T:$T</definedName>
    <definedName name="Z_15DD4F60_D491_4D73_A014_FE6349F17583_.wvu.Cols" localSheetId="28" hidden="1">'IWP28'!$T:$T</definedName>
    <definedName name="Z_15DD4F60_D491_4D73_A014_FE6349F17583_.wvu.Cols" localSheetId="29" hidden="1">'IWP29'!$T:$T</definedName>
    <definedName name="Z_15DD4F60_D491_4D73_A014_FE6349F17583_.wvu.Cols" localSheetId="30" hidden="1">'IWP30'!$T:$T</definedName>
    <definedName name="Z_15DD4F60_D491_4D73_A014_FE6349F17583_.wvu.PrintArea" localSheetId="35" hidden="1">'ALRC Reimbursement'!$A$1:$AP$9</definedName>
    <definedName name="Z_15DD4F60_D491_4D73_A014_FE6349F17583_.wvu.PrintArea" localSheetId="1" hidden="1">'IWP01'!$A$1:$S$370</definedName>
    <definedName name="Z_15DD4F60_D491_4D73_A014_FE6349F17583_.wvu.PrintArea" localSheetId="2" hidden="1">'IWP02'!$A$1:$S$370</definedName>
    <definedName name="Z_15DD4F60_D491_4D73_A014_FE6349F17583_.wvu.PrintArea" localSheetId="3" hidden="1">'IWP03'!$A$1:$S$370</definedName>
    <definedName name="Z_15DD4F60_D491_4D73_A014_FE6349F17583_.wvu.PrintArea" localSheetId="4" hidden="1">'IWP04'!$A$1:$S$370</definedName>
    <definedName name="Z_15DD4F60_D491_4D73_A014_FE6349F17583_.wvu.PrintArea" localSheetId="5" hidden="1">'IWP05'!$A$1:$S$370</definedName>
    <definedName name="Z_15DD4F60_D491_4D73_A014_FE6349F17583_.wvu.PrintArea" localSheetId="6" hidden="1">'IWP06'!$A$1:$S$370</definedName>
    <definedName name="Z_15DD4F60_D491_4D73_A014_FE6349F17583_.wvu.PrintArea" localSheetId="7" hidden="1">'IWP07'!$A$1:$S$370</definedName>
    <definedName name="Z_15DD4F60_D491_4D73_A014_FE6349F17583_.wvu.PrintArea" localSheetId="8" hidden="1">'IWP08'!$A$1:$S$370</definedName>
    <definedName name="Z_15DD4F60_D491_4D73_A014_FE6349F17583_.wvu.PrintArea" localSheetId="9" hidden="1">'IWP09'!$A$1:$S$370</definedName>
    <definedName name="Z_15DD4F60_D491_4D73_A014_FE6349F17583_.wvu.PrintArea" localSheetId="10" hidden="1">'IWP10'!$A$1:$S$370</definedName>
    <definedName name="Z_15DD4F60_D491_4D73_A014_FE6349F17583_.wvu.PrintArea" localSheetId="11" hidden="1">'IWP11'!$A$1:$S$370</definedName>
    <definedName name="Z_15DD4F60_D491_4D73_A014_FE6349F17583_.wvu.PrintArea" localSheetId="12" hidden="1">'IWP12'!$A$1:$S$370</definedName>
    <definedName name="Z_15DD4F60_D491_4D73_A014_FE6349F17583_.wvu.PrintArea" localSheetId="13" hidden="1">'IWP13'!$A$1:$S$370</definedName>
    <definedName name="Z_15DD4F60_D491_4D73_A014_FE6349F17583_.wvu.PrintArea" localSheetId="14" hidden="1">'IWP14'!$A$1:$S$370</definedName>
    <definedName name="Z_15DD4F60_D491_4D73_A014_FE6349F17583_.wvu.PrintArea" localSheetId="15" hidden="1">'IWP15'!$A$1:$S$370</definedName>
    <definedName name="Z_15DD4F60_D491_4D73_A014_FE6349F17583_.wvu.PrintArea" localSheetId="16" hidden="1">'IWP16'!$A$1:$S$370</definedName>
    <definedName name="Z_15DD4F60_D491_4D73_A014_FE6349F17583_.wvu.PrintArea" localSheetId="17" hidden="1">'IWP17'!$A$1:$S$370</definedName>
    <definedName name="Z_15DD4F60_D491_4D73_A014_FE6349F17583_.wvu.PrintArea" localSheetId="18" hidden="1">'IWP18'!$A$1:$S$370</definedName>
    <definedName name="Z_15DD4F60_D491_4D73_A014_FE6349F17583_.wvu.PrintArea" localSheetId="19" hidden="1">'IWP19'!$A$1:$S$370</definedName>
    <definedName name="Z_15DD4F60_D491_4D73_A014_FE6349F17583_.wvu.PrintArea" localSheetId="20" hidden="1">'IWP20'!$A$1:$S$370</definedName>
    <definedName name="Z_15DD4F60_D491_4D73_A014_FE6349F17583_.wvu.PrintArea" localSheetId="21" hidden="1">'IWP21'!$A$1:$S$370</definedName>
    <definedName name="Z_15DD4F60_D491_4D73_A014_FE6349F17583_.wvu.PrintArea" localSheetId="22" hidden="1">'IWP22'!$A$1:$S$370</definedName>
    <definedName name="Z_15DD4F60_D491_4D73_A014_FE6349F17583_.wvu.PrintArea" localSheetId="23" hidden="1">'IWP23'!$A$1:$S$370</definedName>
    <definedName name="Z_15DD4F60_D491_4D73_A014_FE6349F17583_.wvu.PrintArea" localSheetId="24" hidden="1">'IWP24'!$A$1:$S$370</definedName>
    <definedName name="Z_15DD4F60_D491_4D73_A014_FE6349F17583_.wvu.PrintArea" localSheetId="25" hidden="1">'IWP25'!$A$1:$S$370</definedName>
    <definedName name="Z_15DD4F60_D491_4D73_A014_FE6349F17583_.wvu.PrintArea" localSheetId="26" hidden="1">'IWP26'!$A$1:$S$370</definedName>
    <definedName name="Z_15DD4F60_D491_4D73_A014_FE6349F17583_.wvu.PrintArea" localSheetId="27" hidden="1">'IWP27'!$A$1:$S$370</definedName>
    <definedName name="Z_15DD4F60_D491_4D73_A014_FE6349F17583_.wvu.PrintArea" localSheetId="28" hidden="1">'IWP28'!$A$1:$S$370</definedName>
    <definedName name="Z_15DD4F60_D491_4D73_A014_FE6349F17583_.wvu.PrintArea" localSheetId="29" hidden="1">'IWP29'!$A$1:$S$370</definedName>
    <definedName name="Z_15DD4F60_D491_4D73_A014_FE6349F17583_.wvu.PrintArea" localSheetId="30" hidden="1">'IWP30'!$A$1:$S$370</definedName>
    <definedName name="Z_15DD4F60_D491_4D73_A014_FE6349F17583_.wvu.PrintArea" localSheetId="31" hidden="1">'Personal Care 3 Facility Chklst'!$A$1:$L$58</definedName>
    <definedName name="Z_15DD4F60_D491_4D73_A014_FE6349F17583_.wvu.PrintTitles" localSheetId="32" hidden="1">'ALRC Indiv Fund Summary (Print)'!$1:$7</definedName>
    <definedName name="Z_15DD4F60_D491_4D73_A014_FE6349F17583_.wvu.PrintTitles" localSheetId="35" hidden="1">'ALRC Reimbursement'!$1:$5</definedName>
    <definedName name="Z_15DD4F60_D491_4D73_A014_FE6349F17583_.wvu.PrintTitles" localSheetId="40" hidden="1">'Demand for Pmt Notice (Print)'!$1:$5</definedName>
    <definedName name="Z_15DD4F60_D491_4D73_A014_FE6349F17583_.wvu.PrintTitles" localSheetId="1" hidden="1">'IWP01'!$1:$4</definedName>
    <definedName name="Z_15DD4F60_D491_4D73_A014_FE6349F17583_.wvu.PrintTitles" localSheetId="2" hidden="1">'IWP02'!$1:$4</definedName>
    <definedName name="Z_15DD4F60_D491_4D73_A014_FE6349F17583_.wvu.PrintTitles" localSheetId="3" hidden="1">'IWP03'!$1:$4</definedName>
    <definedName name="Z_15DD4F60_D491_4D73_A014_FE6349F17583_.wvu.PrintTitles" localSheetId="4" hidden="1">'IWP04'!$1:$4</definedName>
    <definedName name="Z_15DD4F60_D491_4D73_A014_FE6349F17583_.wvu.PrintTitles" localSheetId="5" hidden="1">'IWP05'!$1:$4</definedName>
    <definedName name="Z_15DD4F60_D491_4D73_A014_FE6349F17583_.wvu.PrintTitles" localSheetId="6" hidden="1">'IWP06'!$1:$4</definedName>
    <definedName name="Z_15DD4F60_D491_4D73_A014_FE6349F17583_.wvu.PrintTitles" localSheetId="7" hidden="1">'IWP07'!$1:$4</definedName>
    <definedName name="Z_15DD4F60_D491_4D73_A014_FE6349F17583_.wvu.PrintTitles" localSheetId="8" hidden="1">'IWP08'!$1:$4</definedName>
    <definedName name="Z_15DD4F60_D491_4D73_A014_FE6349F17583_.wvu.PrintTitles" localSheetId="9" hidden="1">'IWP09'!$1:$4</definedName>
    <definedName name="Z_15DD4F60_D491_4D73_A014_FE6349F17583_.wvu.PrintTitles" localSheetId="10" hidden="1">'IWP10'!$1:$4</definedName>
    <definedName name="Z_15DD4F60_D491_4D73_A014_FE6349F17583_.wvu.PrintTitles" localSheetId="11" hidden="1">'IWP11'!$1:$4</definedName>
    <definedName name="Z_15DD4F60_D491_4D73_A014_FE6349F17583_.wvu.PrintTitles" localSheetId="12" hidden="1">'IWP12'!$1:$4</definedName>
    <definedName name="Z_15DD4F60_D491_4D73_A014_FE6349F17583_.wvu.PrintTitles" localSheetId="13" hidden="1">'IWP13'!$1:$4</definedName>
    <definedName name="Z_15DD4F60_D491_4D73_A014_FE6349F17583_.wvu.PrintTitles" localSheetId="14" hidden="1">'IWP14'!$1:$4</definedName>
    <definedName name="Z_15DD4F60_D491_4D73_A014_FE6349F17583_.wvu.PrintTitles" localSheetId="15" hidden="1">'IWP15'!$1:$4</definedName>
    <definedName name="Z_15DD4F60_D491_4D73_A014_FE6349F17583_.wvu.PrintTitles" localSheetId="16" hidden="1">'IWP16'!$1:$4</definedName>
    <definedName name="Z_15DD4F60_D491_4D73_A014_FE6349F17583_.wvu.PrintTitles" localSheetId="17" hidden="1">'IWP17'!$1:$4</definedName>
    <definedName name="Z_15DD4F60_D491_4D73_A014_FE6349F17583_.wvu.PrintTitles" localSheetId="18" hidden="1">'IWP18'!$1:$4</definedName>
    <definedName name="Z_15DD4F60_D491_4D73_A014_FE6349F17583_.wvu.PrintTitles" localSheetId="19" hidden="1">'IWP19'!$1:$4</definedName>
    <definedName name="Z_15DD4F60_D491_4D73_A014_FE6349F17583_.wvu.PrintTitles" localSheetId="20" hidden="1">'IWP20'!$1:$4</definedName>
    <definedName name="Z_15DD4F60_D491_4D73_A014_FE6349F17583_.wvu.PrintTitles" localSheetId="21" hidden="1">'IWP21'!$1:$4</definedName>
    <definedName name="Z_15DD4F60_D491_4D73_A014_FE6349F17583_.wvu.PrintTitles" localSheetId="22" hidden="1">'IWP22'!$1:$4</definedName>
    <definedName name="Z_15DD4F60_D491_4D73_A014_FE6349F17583_.wvu.PrintTitles" localSheetId="23" hidden="1">'IWP23'!$1:$4</definedName>
    <definedName name="Z_15DD4F60_D491_4D73_A014_FE6349F17583_.wvu.PrintTitles" localSheetId="24" hidden="1">'IWP24'!$1:$4</definedName>
    <definedName name="Z_15DD4F60_D491_4D73_A014_FE6349F17583_.wvu.PrintTitles" localSheetId="25" hidden="1">'IWP25'!$1:$4</definedName>
    <definedName name="Z_15DD4F60_D491_4D73_A014_FE6349F17583_.wvu.PrintTitles" localSheetId="26" hidden="1">'IWP26'!$1:$4</definedName>
    <definedName name="Z_15DD4F60_D491_4D73_A014_FE6349F17583_.wvu.PrintTitles" localSheetId="27" hidden="1">'IWP27'!$1:$4</definedName>
    <definedName name="Z_15DD4F60_D491_4D73_A014_FE6349F17583_.wvu.PrintTitles" localSheetId="28" hidden="1">'IWP28'!$1:$4</definedName>
    <definedName name="Z_15DD4F60_D491_4D73_A014_FE6349F17583_.wvu.PrintTitles" localSheetId="29" hidden="1">'IWP29'!$1:$4</definedName>
    <definedName name="Z_15DD4F60_D491_4D73_A014_FE6349F17583_.wvu.PrintTitles" localSheetId="30" hidden="1">'IWP30'!$1:$4</definedName>
    <definedName name="Z_15DD4F60_D491_4D73_A014_FE6349F17583_.wvu.PrintTitles" localSheetId="0" hidden="1">'Monitoring Workbook'!$1:$9</definedName>
    <definedName name="Z_15DD4F60_D491_4D73_A014_FE6349F17583_.wvu.PrintTitles" localSheetId="31" hidden="1">'Personal Care 3 Facility Chklst'!$1:$10</definedName>
    <definedName name="Z_15DD4F60_D491_4D73_A014_FE6349F17583_.wvu.PrintTitles" localSheetId="33" hidden="1">'Unlic. Empl. Reqs. (Print)'!$1:$8</definedName>
    <definedName name="Z_5C7A2EDE_CAF2_41B7_8EBC_2EB35225299B_.wvu.Cols" localSheetId="1" hidden="1">'IWP01'!$T:$T</definedName>
    <definedName name="Z_5C7A2EDE_CAF2_41B7_8EBC_2EB35225299B_.wvu.Cols" localSheetId="2" hidden="1">'IWP02'!$T:$T</definedName>
    <definedName name="Z_5C7A2EDE_CAF2_41B7_8EBC_2EB35225299B_.wvu.Cols" localSheetId="3" hidden="1">'IWP03'!$T:$T</definedName>
    <definedName name="Z_5C7A2EDE_CAF2_41B7_8EBC_2EB35225299B_.wvu.Cols" localSheetId="4" hidden="1">'IWP04'!$T:$T</definedName>
    <definedName name="Z_5C7A2EDE_CAF2_41B7_8EBC_2EB35225299B_.wvu.Cols" localSheetId="5" hidden="1">'IWP05'!$T:$T</definedName>
    <definedName name="Z_5C7A2EDE_CAF2_41B7_8EBC_2EB35225299B_.wvu.Cols" localSheetId="6" hidden="1">'IWP06'!$T:$T</definedName>
    <definedName name="Z_5C7A2EDE_CAF2_41B7_8EBC_2EB35225299B_.wvu.Cols" localSheetId="7" hidden="1">'IWP07'!$T:$T</definedName>
    <definedName name="Z_5C7A2EDE_CAF2_41B7_8EBC_2EB35225299B_.wvu.Cols" localSheetId="8" hidden="1">'IWP08'!$T:$T</definedName>
    <definedName name="Z_5C7A2EDE_CAF2_41B7_8EBC_2EB35225299B_.wvu.Cols" localSheetId="9" hidden="1">'IWP09'!$T:$T</definedName>
    <definedName name="Z_5C7A2EDE_CAF2_41B7_8EBC_2EB35225299B_.wvu.Cols" localSheetId="10" hidden="1">'IWP10'!$T:$T</definedName>
    <definedName name="Z_5C7A2EDE_CAF2_41B7_8EBC_2EB35225299B_.wvu.Cols" localSheetId="11" hidden="1">'IWP11'!$T:$T</definedName>
    <definedName name="Z_5C7A2EDE_CAF2_41B7_8EBC_2EB35225299B_.wvu.Cols" localSheetId="12" hidden="1">'IWP12'!$T:$T</definedName>
    <definedName name="Z_5C7A2EDE_CAF2_41B7_8EBC_2EB35225299B_.wvu.Cols" localSheetId="13" hidden="1">'IWP13'!$T:$T</definedName>
    <definedName name="Z_5C7A2EDE_CAF2_41B7_8EBC_2EB35225299B_.wvu.Cols" localSheetId="14" hidden="1">'IWP14'!$T:$T</definedName>
    <definedName name="Z_5C7A2EDE_CAF2_41B7_8EBC_2EB35225299B_.wvu.Cols" localSheetId="15" hidden="1">'IWP15'!$T:$T</definedName>
    <definedName name="Z_5C7A2EDE_CAF2_41B7_8EBC_2EB35225299B_.wvu.Cols" localSheetId="16" hidden="1">'IWP16'!$T:$T</definedName>
    <definedName name="Z_5C7A2EDE_CAF2_41B7_8EBC_2EB35225299B_.wvu.Cols" localSheetId="17" hidden="1">'IWP17'!$T:$T</definedName>
    <definedName name="Z_5C7A2EDE_CAF2_41B7_8EBC_2EB35225299B_.wvu.Cols" localSheetId="18" hidden="1">'IWP18'!$T:$T</definedName>
    <definedName name="Z_5C7A2EDE_CAF2_41B7_8EBC_2EB35225299B_.wvu.Cols" localSheetId="19" hidden="1">'IWP19'!$T:$T</definedName>
    <definedName name="Z_5C7A2EDE_CAF2_41B7_8EBC_2EB35225299B_.wvu.Cols" localSheetId="20" hidden="1">'IWP20'!$T:$T</definedName>
    <definedName name="Z_5C7A2EDE_CAF2_41B7_8EBC_2EB35225299B_.wvu.Cols" localSheetId="21" hidden="1">'IWP21'!$T:$T</definedName>
    <definedName name="Z_5C7A2EDE_CAF2_41B7_8EBC_2EB35225299B_.wvu.Cols" localSheetId="22" hidden="1">'IWP22'!$T:$T</definedName>
    <definedName name="Z_5C7A2EDE_CAF2_41B7_8EBC_2EB35225299B_.wvu.Cols" localSheetId="23" hidden="1">'IWP23'!$T:$T</definedName>
    <definedName name="Z_5C7A2EDE_CAF2_41B7_8EBC_2EB35225299B_.wvu.Cols" localSheetId="24" hidden="1">'IWP24'!$T:$T</definedName>
    <definedName name="Z_5C7A2EDE_CAF2_41B7_8EBC_2EB35225299B_.wvu.Cols" localSheetId="25" hidden="1">'IWP25'!$T:$T</definedName>
    <definedName name="Z_5C7A2EDE_CAF2_41B7_8EBC_2EB35225299B_.wvu.Cols" localSheetId="26" hidden="1">'IWP26'!$T:$T</definedName>
    <definedName name="Z_5C7A2EDE_CAF2_41B7_8EBC_2EB35225299B_.wvu.Cols" localSheetId="27" hidden="1">'IWP27'!$T:$T</definedName>
    <definedName name="Z_5C7A2EDE_CAF2_41B7_8EBC_2EB35225299B_.wvu.Cols" localSheetId="28" hidden="1">'IWP28'!$T:$T</definedName>
    <definedName name="Z_5C7A2EDE_CAF2_41B7_8EBC_2EB35225299B_.wvu.Cols" localSheetId="29" hidden="1">'IWP29'!$T:$T</definedName>
    <definedName name="Z_5C7A2EDE_CAF2_41B7_8EBC_2EB35225299B_.wvu.Cols" localSheetId="30" hidden="1">'IWP30'!$T:$T</definedName>
    <definedName name="Z_5C7A2EDE_CAF2_41B7_8EBC_2EB35225299B_.wvu.PrintArea" localSheetId="35" hidden="1">'ALRC Reimbursement'!$A$1:$AP$9</definedName>
    <definedName name="Z_5C7A2EDE_CAF2_41B7_8EBC_2EB35225299B_.wvu.PrintArea" localSheetId="1" hidden="1">'IWP01'!$A$1:$S$370</definedName>
    <definedName name="Z_5C7A2EDE_CAF2_41B7_8EBC_2EB35225299B_.wvu.PrintArea" localSheetId="2" hidden="1">'IWP02'!$A$1:$S$370</definedName>
    <definedName name="Z_5C7A2EDE_CAF2_41B7_8EBC_2EB35225299B_.wvu.PrintArea" localSheetId="3" hidden="1">'IWP03'!$A$1:$S$370</definedName>
    <definedName name="Z_5C7A2EDE_CAF2_41B7_8EBC_2EB35225299B_.wvu.PrintArea" localSheetId="4" hidden="1">'IWP04'!$A$1:$S$370</definedName>
    <definedName name="Z_5C7A2EDE_CAF2_41B7_8EBC_2EB35225299B_.wvu.PrintArea" localSheetId="5" hidden="1">'IWP05'!$A$1:$S$370</definedName>
    <definedName name="Z_5C7A2EDE_CAF2_41B7_8EBC_2EB35225299B_.wvu.PrintArea" localSheetId="6" hidden="1">'IWP06'!$A$1:$S$370</definedName>
    <definedName name="Z_5C7A2EDE_CAF2_41B7_8EBC_2EB35225299B_.wvu.PrintArea" localSheetId="7" hidden="1">'IWP07'!$A$1:$S$370</definedName>
    <definedName name="Z_5C7A2EDE_CAF2_41B7_8EBC_2EB35225299B_.wvu.PrintArea" localSheetId="8" hidden="1">'IWP08'!$A$1:$S$370</definedName>
    <definedName name="Z_5C7A2EDE_CAF2_41B7_8EBC_2EB35225299B_.wvu.PrintArea" localSheetId="9" hidden="1">'IWP09'!$A$1:$S$370</definedName>
    <definedName name="Z_5C7A2EDE_CAF2_41B7_8EBC_2EB35225299B_.wvu.PrintArea" localSheetId="10" hidden="1">'IWP10'!$A$1:$S$370</definedName>
    <definedName name="Z_5C7A2EDE_CAF2_41B7_8EBC_2EB35225299B_.wvu.PrintArea" localSheetId="11" hidden="1">'IWP11'!$A$1:$S$370</definedName>
    <definedName name="Z_5C7A2EDE_CAF2_41B7_8EBC_2EB35225299B_.wvu.PrintArea" localSheetId="12" hidden="1">'IWP12'!$A$1:$S$370</definedName>
    <definedName name="Z_5C7A2EDE_CAF2_41B7_8EBC_2EB35225299B_.wvu.PrintArea" localSheetId="13" hidden="1">'IWP13'!$A$1:$S$370</definedName>
    <definedName name="Z_5C7A2EDE_CAF2_41B7_8EBC_2EB35225299B_.wvu.PrintArea" localSheetId="14" hidden="1">'IWP14'!$A$1:$S$370</definedName>
    <definedName name="Z_5C7A2EDE_CAF2_41B7_8EBC_2EB35225299B_.wvu.PrintArea" localSheetId="15" hidden="1">'IWP15'!$A$1:$S$370</definedName>
    <definedName name="Z_5C7A2EDE_CAF2_41B7_8EBC_2EB35225299B_.wvu.PrintArea" localSheetId="16" hidden="1">'IWP16'!$A$1:$S$370</definedName>
    <definedName name="Z_5C7A2EDE_CAF2_41B7_8EBC_2EB35225299B_.wvu.PrintArea" localSheetId="17" hidden="1">'IWP17'!$A$1:$S$370</definedName>
    <definedName name="Z_5C7A2EDE_CAF2_41B7_8EBC_2EB35225299B_.wvu.PrintArea" localSheetId="18" hidden="1">'IWP18'!$A$1:$S$370</definedName>
    <definedName name="Z_5C7A2EDE_CAF2_41B7_8EBC_2EB35225299B_.wvu.PrintArea" localSheetId="19" hidden="1">'IWP19'!$A$1:$S$370</definedName>
    <definedName name="Z_5C7A2EDE_CAF2_41B7_8EBC_2EB35225299B_.wvu.PrintArea" localSheetId="20" hidden="1">'IWP20'!$A$1:$S$370</definedName>
    <definedName name="Z_5C7A2EDE_CAF2_41B7_8EBC_2EB35225299B_.wvu.PrintArea" localSheetId="21" hidden="1">'IWP21'!$A$1:$S$370</definedName>
    <definedName name="Z_5C7A2EDE_CAF2_41B7_8EBC_2EB35225299B_.wvu.PrintArea" localSheetId="22" hidden="1">'IWP22'!$A$1:$S$370</definedName>
    <definedName name="Z_5C7A2EDE_CAF2_41B7_8EBC_2EB35225299B_.wvu.PrintArea" localSheetId="23" hidden="1">'IWP23'!$A$1:$S$370</definedName>
    <definedName name="Z_5C7A2EDE_CAF2_41B7_8EBC_2EB35225299B_.wvu.PrintArea" localSheetId="24" hidden="1">'IWP24'!$A$1:$S$370</definedName>
    <definedName name="Z_5C7A2EDE_CAF2_41B7_8EBC_2EB35225299B_.wvu.PrintArea" localSheetId="25" hidden="1">'IWP25'!$A$1:$S$370</definedName>
    <definedName name="Z_5C7A2EDE_CAF2_41B7_8EBC_2EB35225299B_.wvu.PrintArea" localSheetId="26" hidden="1">'IWP26'!$A$1:$S$370</definedName>
    <definedName name="Z_5C7A2EDE_CAF2_41B7_8EBC_2EB35225299B_.wvu.PrintArea" localSheetId="27" hidden="1">'IWP27'!$A$1:$S$370</definedName>
    <definedName name="Z_5C7A2EDE_CAF2_41B7_8EBC_2EB35225299B_.wvu.PrintArea" localSheetId="28" hidden="1">'IWP28'!$A$1:$S$370</definedName>
    <definedName name="Z_5C7A2EDE_CAF2_41B7_8EBC_2EB35225299B_.wvu.PrintArea" localSheetId="29" hidden="1">'IWP29'!$A$1:$S$370</definedName>
    <definedName name="Z_5C7A2EDE_CAF2_41B7_8EBC_2EB35225299B_.wvu.PrintArea" localSheetId="30" hidden="1">'IWP30'!$A$1:$S$370</definedName>
    <definedName name="Z_5C7A2EDE_CAF2_41B7_8EBC_2EB35225299B_.wvu.PrintArea" localSheetId="31" hidden="1">'Personal Care 3 Facility Chklst'!$A$1:$L$58</definedName>
    <definedName name="Z_5C7A2EDE_CAF2_41B7_8EBC_2EB35225299B_.wvu.PrintTitles" localSheetId="32" hidden="1">'ALRC Indiv Fund Summary (Print)'!$1:$7</definedName>
    <definedName name="Z_5C7A2EDE_CAF2_41B7_8EBC_2EB35225299B_.wvu.PrintTitles" localSheetId="35" hidden="1">'ALRC Reimbursement'!$1:$5</definedName>
    <definedName name="Z_5C7A2EDE_CAF2_41B7_8EBC_2EB35225299B_.wvu.PrintTitles" localSheetId="40" hidden="1">'Demand for Pmt Notice (Print)'!$1:$5</definedName>
    <definedName name="Z_5C7A2EDE_CAF2_41B7_8EBC_2EB35225299B_.wvu.PrintTitles" localSheetId="1" hidden="1">'IWP01'!$1:$4</definedName>
    <definedName name="Z_5C7A2EDE_CAF2_41B7_8EBC_2EB35225299B_.wvu.PrintTitles" localSheetId="2" hidden="1">'IWP02'!$1:$4</definedName>
    <definedName name="Z_5C7A2EDE_CAF2_41B7_8EBC_2EB35225299B_.wvu.PrintTitles" localSheetId="3" hidden="1">'IWP03'!$1:$4</definedName>
    <definedName name="Z_5C7A2EDE_CAF2_41B7_8EBC_2EB35225299B_.wvu.PrintTitles" localSheetId="4" hidden="1">'IWP04'!$1:$4</definedName>
    <definedName name="Z_5C7A2EDE_CAF2_41B7_8EBC_2EB35225299B_.wvu.PrintTitles" localSheetId="5" hidden="1">'IWP05'!$1:$4</definedName>
    <definedName name="Z_5C7A2EDE_CAF2_41B7_8EBC_2EB35225299B_.wvu.PrintTitles" localSheetId="6" hidden="1">'IWP06'!$1:$4</definedName>
    <definedName name="Z_5C7A2EDE_CAF2_41B7_8EBC_2EB35225299B_.wvu.PrintTitles" localSheetId="7" hidden="1">'IWP07'!$1:$4</definedName>
    <definedName name="Z_5C7A2EDE_CAF2_41B7_8EBC_2EB35225299B_.wvu.PrintTitles" localSheetId="8" hidden="1">'IWP08'!$1:$4</definedName>
    <definedName name="Z_5C7A2EDE_CAF2_41B7_8EBC_2EB35225299B_.wvu.PrintTitles" localSheetId="9" hidden="1">'IWP09'!$1:$4</definedName>
    <definedName name="Z_5C7A2EDE_CAF2_41B7_8EBC_2EB35225299B_.wvu.PrintTitles" localSheetId="10" hidden="1">'IWP10'!$1:$4</definedName>
    <definedName name="Z_5C7A2EDE_CAF2_41B7_8EBC_2EB35225299B_.wvu.PrintTitles" localSheetId="11" hidden="1">'IWP11'!$1:$4</definedName>
    <definedName name="Z_5C7A2EDE_CAF2_41B7_8EBC_2EB35225299B_.wvu.PrintTitles" localSheetId="12" hidden="1">'IWP12'!$1:$4</definedName>
    <definedName name="Z_5C7A2EDE_CAF2_41B7_8EBC_2EB35225299B_.wvu.PrintTitles" localSheetId="13" hidden="1">'IWP13'!$1:$4</definedName>
    <definedName name="Z_5C7A2EDE_CAF2_41B7_8EBC_2EB35225299B_.wvu.PrintTitles" localSheetId="14" hidden="1">'IWP14'!$1:$4</definedName>
    <definedName name="Z_5C7A2EDE_CAF2_41B7_8EBC_2EB35225299B_.wvu.PrintTitles" localSheetId="15" hidden="1">'IWP15'!$1:$4</definedName>
    <definedName name="Z_5C7A2EDE_CAF2_41B7_8EBC_2EB35225299B_.wvu.PrintTitles" localSheetId="16" hidden="1">'IWP16'!$1:$4</definedName>
    <definedName name="Z_5C7A2EDE_CAF2_41B7_8EBC_2EB35225299B_.wvu.PrintTitles" localSheetId="17" hidden="1">'IWP17'!$1:$4</definedName>
    <definedName name="Z_5C7A2EDE_CAF2_41B7_8EBC_2EB35225299B_.wvu.PrintTitles" localSheetId="18" hidden="1">'IWP18'!$1:$4</definedName>
    <definedName name="Z_5C7A2EDE_CAF2_41B7_8EBC_2EB35225299B_.wvu.PrintTitles" localSheetId="19" hidden="1">'IWP19'!$1:$4</definedName>
    <definedName name="Z_5C7A2EDE_CAF2_41B7_8EBC_2EB35225299B_.wvu.PrintTitles" localSheetId="20" hidden="1">'IWP20'!$1:$4</definedName>
    <definedName name="Z_5C7A2EDE_CAF2_41B7_8EBC_2EB35225299B_.wvu.PrintTitles" localSheetId="21" hidden="1">'IWP21'!$1:$4</definedName>
    <definedName name="Z_5C7A2EDE_CAF2_41B7_8EBC_2EB35225299B_.wvu.PrintTitles" localSheetId="22" hidden="1">'IWP22'!$1:$4</definedName>
    <definedName name="Z_5C7A2EDE_CAF2_41B7_8EBC_2EB35225299B_.wvu.PrintTitles" localSheetId="23" hidden="1">'IWP23'!$1:$4</definedName>
    <definedName name="Z_5C7A2EDE_CAF2_41B7_8EBC_2EB35225299B_.wvu.PrintTitles" localSheetId="24" hidden="1">'IWP24'!$1:$4</definedName>
    <definedName name="Z_5C7A2EDE_CAF2_41B7_8EBC_2EB35225299B_.wvu.PrintTitles" localSheetId="25" hidden="1">'IWP25'!$1:$4</definedName>
    <definedName name="Z_5C7A2EDE_CAF2_41B7_8EBC_2EB35225299B_.wvu.PrintTitles" localSheetId="26" hidden="1">'IWP26'!$1:$4</definedName>
    <definedName name="Z_5C7A2EDE_CAF2_41B7_8EBC_2EB35225299B_.wvu.PrintTitles" localSheetId="27" hidden="1">'IWP27'!$1:$4</definedName>
    <definedName name="Z_5C7A2EDE_CAF2_41B7_8EBC_2EB35225299B_.wvu.PrintTitles" localSheetId="28" hidden="1">'IWP28'!$1:$4</definedName>
    <definedName name="Z_5C7A2EDE_CAF2_41B7_8EBC_2EB35225299B_.wvu.PrintTitles" localSheetId="29" hidden="1">'IWP29'!$1:$4</definedName>
    <definedName name="Z_5C7A2EDE_CAF2_41B7_8EBC_2EB35225299B_.wvu.PrintTitles" localSheetId="30" hidden="1">'IWP30'!$1:$4</definedName>
    <definedName name="Z_5C7A2EDE_CAF2_41B7_8EBC_2EB35225299B_.wvu.PrintTitles" localSheetId="0" hidden="1">'Monitoring Workbook'!$1:$9</definedName>
    <definedName name="Z_5C7A2EDE_CAF2_41B7_8EBC_2EB35225299B_.wvu.PrintTitles" localSheetId="31" hidden="1">'Personal Care 3 Facility Chklst'!$1:$10</definedName>
    <definedName name="Z_5C7A2EDE_CAF2_41B7_8EBC_2EB35225299B_.wvu.PrintTitles" localSheetId="33" hidden="1">'Unlic. Empl. Reqs. (Print)'!$1:$8</definedName>
    <definedName name="Z_965C3FE4_50BF_43C0_B1D0_366B904E9BAB_.wvu.Cols" localSheetId="1" hidden="1">'IWP01'!$T:$T</definedName>
    <definedName name="Z_965C3FE4_50BF_43C0_B1D0_366B904E9BAB_.wvu.Cols" localSheetId="2" hidden="1">'IWP02'!$T:$T</definedName>
    <definedName name="Z_965C3FE4_50BF_43C0_B1D0_366B904E9BAB_.wvu.Cols" localSheetId="3" hidden="1">'IWP03'!$T:$T</definedName>
    <definedName name="Z_965C3FE4_50BF_43C0_B1D0_366B904E9BAB_.wvu.Cols" localSheetId="4" hidden="1">'IWP04'!$T:$T</definedName>
    <definedName name="Z_965C3FE4_50BF_43C0_B1D0_366B904E9BAB_.wvu.Cols" localSheetId="5" hidden="1">'IWP05'!$T:$T</definedName>
    <definedName name="Z_965C3FE4_50BF_43C0_B1D0_366B904E9BAB_.wvu.Cols" localSheetId="6" hidden="1">'IWP06'!$T:$T</definedName>
    <definedName name="Z_965C3FE4_50BF_43C0_B1D0_366B904E9BAB_.wvu.Cols" localSheetId="7" hidden="1">'IWP07'!$T:$T</definedName>
    <definedName name="Z_965C3FE4_50BF_43C0_B1D0_366B904E9BAB_.wvu.Cols" localSheetId="8" hidden="1">'IWP08'!$T:$T</definedName>
    <definedName name="Z_965C3FE4_50BF_43C0_B1D0_366B904E9BAB_.wvu.Cols" localSheetId="9" hidden="1">'IWP09'!$T:$T</definedName>
    <definedName name="Z_965C3FE4_50BF_43C0_B1D0_366B904E9BAB_.wvu.Cols" localSheetId="10" hidden="1">'IWP10'!$T:$T</definedName>
    <definedName name="Z_965C3FE4_50BF_43C0_B1D0_366B904E9BAB_.wvu.Cols" localSheetId="11" hidden="1">'IWP11'!$T:$T</definedName>
    <definedName name="Z_965C3FE4_50BF_43C0_B1D0_366B904E9BAB_.wvu.Cols" localSheetId="12" hidden="1">'IWP12'!$T:$T</definedName>
    <definedName name="Z_965C3FE4_50BF_43C0_B1D0_366B904E9BAB_.wvu.Cols" localSheetId="13" hidden="1">'IWP13'!$T:$T</definedName>
    <definedName name="Z_965C3FE4_50BF_43C0_B1D0_366B904E9BAB_.wvu.Cols" localSheetId="14" hidden="1">'IWP14'!$T:$T</definedName>
    <definedName name="Z_965C3FE4_50BF_43C0_B1D0_366B904E9BAB_.wvu.Cols" localSheetId="15" hidden="1">'IWP15'!$T:$T</definedName>
    <definedName name="Z_965C3FE4_50BF_43C0_B1D0_366B904E9BAB_.wvu.Cols" localSheetId="16" hidden="1">'IWP16'!$T:$T</definedName>
    <definedName name="Z_965C3FE4_50BF_43C0_B1D0_366B904E9BAB_.wvu.Cols" localSheetId="17" hidden="1">'IWP17'!$T:$T</definedName>
    <definedName name="Z_965C3FE4_50BF_43C0_B1D0_366B904E9BAB_.wvu.Cols" localSheetId="18" hidden="1">'IWP18'!$T:$T</definedName>
    <definedName name="Z_965C3FE4_50BF_43C0_B1D0_366B904E9BAB_.wvu.Cols" localSheetId="19" hidden="1">'IWP19'!$T:$T</definedName>
    <definedName name="Z_965C3FE4_50BF_43C0_B1D0_366B904E9BAB_.wvu.Cols" localSheetId="20" hidden="1">'IWP20'!$T:$T</definedName>
    <definedName name="Z_965C3FE4_50BF_43C0_B1D0_366B904E9BAB_.wvu.Cols" localSheetId="21" hidden="1">'IWP21'!$T:$T</definedName>
    <definedName name="Z_965C3FE4_50BF_43C0_B1D0_366B904E9BAB_.wvu.Cols" localSheetId="22" hidden="1">'IWP22'!$T:$T</definedName>
    <definedName name="Z_965C3FE4_50BF_43C0_B1D0_366B904E9BAB_.wvu.Cols" localSheetId="23" hidden="1">'IWP23'!$T:$T</definedName>
    <definedName name="Z_965C3FE4_50BF_43C0_B1D0_366B904E9BAB_.wvu.Cols" localSheetId="24" hidden="1">'IWP24'!$T:$T</definedName>
    <definedName name="Z_965C3FE4_50BF_43C0_B1D0_366B904E9BAB_.wvu.Cols" localSheetId="25" hidden="1">'IWP25'!$T:$T</definedName>
    <definedName name="Z_965C3FE4_50BF_43C0_B1D0_366B904E9BAB_.wvu.Cols" localSheetId="26" hidden="1">'IWP26'!$T:$T</definedName>
    <definedName name="Z_965C3FE4_50BF_43C0_B1D0_366B904E9BAB_.wvu.Cols" localSheetId="27" hidden="1">'IWP27'!$T:$T</definedName>
    <definedName name="Z_965C3FE4_50BF_43C0_B1D0_366B904E9BAB_.wvu.Cols" localSheetId="28" hidden="1">'IWP28'!$T:$T</definedName>
    <definedName name="Z_965C3FE4_50BF_43C0_B1D0_366B904E9BAB_.wvu.Cols" localSheetId="29" hidden="1">'IWP29'!$T:$T</definedName>
    <definedName name="Z_965C3FE4_50BF_43C0_B1D0_366B904E9BAB_.wvu.Cols" localSheetId="30" hidden="1">'IWP30'!$T:$T</definedName>
    <definedName name="Z_965C3FE4_50BF_43C0_B1D0_366B904E9BAB_.wvu.PrintArea" localSheetId="35" hidden="1">'ALRC Reimbursement'!$A$1:$AP$9</definedName>
    <definedName name="Z_965C3FE4_50BF_43C0_B1D0_366B904E9BAB_.wvu.PrintArea" localSheetId="1" hidden="1">'IWP01'!$A$1:$S$370</definedName>
    <definedName name="Z_965C3FE4_50BF_43C0_B1D0_366B904E9BAB_.wvu.PrintArea" localSheetId="2" hidden="1">'IWP02'!$A$1:$S$370</definedName>
    <definedName name="Z_965C3FE4_50BF_43C0_B1D0_366B904E9BAB_.wvu.PrintArea" localSheetId="3" hidden="1">'IWP03'!$A$1:$S$370</definedName>
    <definedName name="Z_965C3FE4_50BF_43C0_B1D0_366B904E9BAB_.wvu.PrintArea" localSheetId="4" hidden="1">'IWP04'!$A$1:$S$370</definedName>
    <definedName name="Z_965C3FE4_50BF_43C0_B1D0_366B904E9BAB_.wvu.PrintArea" localSheetId="5" hidden="1">'IWP05'!$A$1:$S$370</definedName>
    <definedName name="Z_965C3FE4_50BF_43C0_B1D0_366B904E9BAB_.wvu.PrintArea" localSheetId="6" hidden="1">'IWP06'!$A$1:$S$370</definedName>
    <definedName name="Z_965C3FE4_50BF_43C0_B1D0_366B904E9BAB_.wvu.PrintArea" localSheetId="7" hidden="1">'IWP07'!$A$1:$S$370</definedName>
    <definedName name="Z_965C3FE4_50BF_43C0_B1D0_366B904E9BAB_.wvu.PrintArea" localSheetId="8" hidden="1">'IWP08'!$A$1:$S$370</definedName>
    <definedName name="Z_965C3FE4_50BF_43C0_B1D0_366B904E9BAB_.wvu.PrintArea" localSheetId="9" hidden="1">'IWP09'!$A$1:$S$370</definedName>
    <definedName name="Z_965C3FE4_50BF_43C0_B1D0_366B904E9BAB_.wvu.PrintArea" localSheetId="10" hidden="1">'IWP10'!$A$1:$S$370</definedName>
    <definedName name="Z_965C3FE4_50BF_43C0_B1D0_366B904E9BAB_.wvu.PrintArea" localSheetId="11" hidden="1">'IWP11'!$A$1:$S$370</definedName>
    <definedName name="Z_965C3FE4_50BF_43C0_B1D0_366B904E9BAB_.wvu.PrintArea" localSheetId="12" hidden="1">'IWP12'!$A$1:$S$370</definedName>
    <definedName name="Z_965C3FE4_50BF_43C0_B1D0_366B904E9BAB_.wvu.PrintArea" localSheetId="13" hidden="1">'IWP13'!$A$1:$S$370</definedName>
    <definedName name="Z_965C3FE4_50BF_43C0_B1D0_366B904E9BAB_.wvu.PrintArea" localSheetId="14" hidden="1">'IWP14'!$A$1:$S$370</definedName>
    <definedName name="Z_965C3FE4_50BF_43C0_B1D0_366B904E9BAB_.wvu.PrintArea" localSheetId="15" hidden="1">'IWP15'!$A$1:$S$370</definedName>
    <definedName name="Z_965C3FE4_50BF_43C0_B1D0_366B904E9BAB_.wvu.PrintArea" localSheetId="16" hidden="1">'IWP16'!$A$1:$S$370</definedName>
    <definedName name="Z_965C3FE4_50BF_43C0_B1D0_366B904E9BAB_.wvu.PrintArea" localSheetId="17" hidden="1">'IWP17'!$A$1:$S$370</definedName>
    <definedName name="Z_965C3FE4_50BF_43C0_B1D0_366B904E9BAB_.wvu.PrintArea" localSheetId="18" hidden="1">'IWP18'!$A$1:$S$370</definedName>
    <definedName name="Z_965C3FE4_50BF_43C0_B1D0_366B904E9BAB_.wvu.PrintArea" localSheetId="19" hidden="1">'IWP19'!$A$1:$S$370</definedName>
    <definedName name="Z_965C3FE4_50BF_43C0_B1D0_366B904E9BAB_.wvu.PrintArea" localSheetId="20" hidden="1">'IWP20'!$A$1:$S$370</definedName>
    <definedName name="Z_965C3FE4_50BF_43C0_B1D0_366B904E9BAB_.wvu.PrintArea" localSheetId="21" hidden="1">'IWP21'!$A$1:$S$370</definedName>
    <definedName name="Z_965C3FE4_50BF_43C0_B1D0_366B904E9BAB_.wvu.PrintArea" localSheetId="22" hidden="1">'IWP22'!$A$1:$S$370</definedName>
    <definedName name="Z_965C3FE4_50BF_43C0_B1D0_366B904E9BAB_.wvu.PrintArea" localSheetId="23" hidden="1">'IWP23'!$A$1:$S$370</definedName>
    <definedName name="Z_965C3FE4_50BF_43C0_B1D0_366B904E9BAB_.wvu.PrintArea" localSheetId="24" hidden="1">'IWP24'!$A$1:$S$370</definedName>
    <definedName name="Z_965C3FE4_50BF_43C0_B1D0_366B904E9BAB_.wvu.PrintArea" localSheetId="25" hidden="1">'IWP25'!$A$1:$S$370</definedName>
    <definedName name="Z_965C3FE4_50BF_43C0_B1D0_366B904E9BAB_.wvu.PrintArea" localSheetId="26" hidden="1">'IWP26'!$A$1:$S$370</definedName>
    <definedName name="Z_965C3FE4_50BF_43C0_B1D0_366B904E9BAB_.wvu.PrintArea" localSheetId="27" hidden="1">'IWP27'!$A$1:$S$370</definedName>
    <definedName name="Z_965C3FE4_50BF_43C0_B1D0_366B904E9BAB_.wvu.PrintArea" localSheetId="28" hidden="1">'IWP28'!$A$1:$S$370</definedName>
    <definedName name="Z_965C3FE4_50BF_43C0_B1D0_366B904E9BAB_.wvu.PrintArea" localSheetId="29" hidden="1">'IWP29'!$A$1:$S$370</definedName>
    <definedName name="Z_965C3FE4_50BF_43C0_B1D0_366B904E9BAB_.wvu.PrintArea" localSheetId="30" hidden="1">'IWP30'!$A$1:$S$370</definedName>
    <definedName name="Z_965C3FE4_50BF_43C0_B1D0_366B904E9BAB_.wvu.PrintArea" localSheetId="31" hidden="1">'Personal Care 3 Facility Chklst'!$A$1:$L$58</definedName>
    <definedName name="Z_965C3FE4_50BF_43C0_B1D0_366B904E9BAB_.wvu.PrintTitles" localSheetId="32" hidden="1">'ALRC Indiv Fund Summary (Print)'!$1:$7</definedName>
    <definedName name="Z_965C3FE4_50BF_43C0_B1D0_366B904E9BAB_.wvu.PrintTitles" localSheetId="35" hidden="1">'ALRC Reimbursement'!$1:$5</definedName>
    <definedName name="Z_965C3FE4_50BF_43C0_B1D0_366B904E9BAB_.wvu.PrintTitles" localSheetId="40" hidden="1">'Demand for Pmt Notice (Print)'!$1:$5</definedName>
    <definedName name="Z_965C3FE4_50BF_43C0_B1D0_366B904E9BAB_.wvu.PrintTitles" localSheetId="1" hidden="1">'IWP01'!$1:$4</definedName>
    <definedName name="Z_965C3FE4_50BF_43C0_B1D0_366B904E9BAB_.wvu.PrintTitles" localSheetId="2" hidden="1">'IWP02'!$1:$4</definedName>
    <definedName name="Z_965C3FE4_50BF_43C0_B1D0_366B904E9BAB_.wvu.PrintTitles" localSheetId="3" hidden="1">'IWP03'!$1:$4</definedName>
    <definedName name="Z_965C3FE4_50BF_43C0_B1D0_366B904E9BAB_.wvu.PrintTitles" localSheetId="4" hidden="1">'IWP04'!$1:$4</definedName>
    <definedName name="Z_965C3FE4_50BF_43C0_B1D0_366B904E9BAB_.wvu.PrintTitles" localSheetId="5" hidden="1">'IWP05'!$1:$4</definedName>
    <definedName name="Z_965C3FE4_50BF_43C0_B1D0_366B904E9BAB_.wvu.PrintTitles" localSheetId="6" hidden="1">'IWP06'!$1:$4</definedName>
    <definedName name="Z_965C3FE4_50BF_43C0_B1D0_366B904E9BAB_.wvu.PrintTitles" localSheetId="7" hidden="1">'IWP07'!$1:$4</definedName>
    <definedName name="Z_965C3FE4_50BF_43C0_B1D0_366B904E9BAB_.wvu.PrintTitles" localSheetId="8" hidden="1">'IWP08'!$1:$4</definedName>
    <definedName name="Z_965C3FE4_50BF_43C0_B1D0_366B904E9BAB_.wvu.PrintTitles" localSheetId="9" hidden="1">'IWP09'!$1:$4</definedName>
    <definedName name="Z_965C3FE4_50BF_43C0_B1D0_366B904E9BAB_.wvu.PrintTitles" localSheetId="10" hidden="1">'IWP10'!$1:$4</definedName>
    <definedName name="Z_965C3FE4_50BF_43C0_B1D0_366B904E9BAB_.wvu.PrintTitles" localSheetId="11" hidden="1">'IWP11'!$1:$4</definedName>
    <definedName name="Z_965C3FE4_50BF_43C0_B1D0_366B904E9BAB_.wvu.PrintTitles" localSheetId="12" hidden="1">'IWP12'!$1:$4</definedName>
    <definedName name="Z_965C3FE4_50BF_43C0_B1D0_366B904E9BAB_.wvu.PrintTitles" localSheetId="13" hidden="1">'IWP13'!$1:$4</definedName>
    <definedName name="Z_965C3FE4_50BF_43C0_B1D0_366B904E9BAB_.wvu.PrintTitles" localSheetId="14" hidden="1">'IWP14'!$1:$4</definedName>
    <definedName name="Z_965C3FE4_50BF_43C0_B1D0_366B904E9BAB_.wvu.PrintTitles" localSheetId="15" hidden="1">'IWP15'!$1:$4</definedName>
    <definedName name="Z_965C3FE4_50BF_43C0_B1D0_366B904E9BAB_.wvu.PrintTitles" localSheetId="16" hidden="1">'IWP16'!$1:$4</definedName>
    <definedName name="Z_965C3FE4_50BF_43C0_B1D0_366B904E9BAB_.wvu.PrintTitles" localSheetId="17" hidden="1">'IWP17'!$1:$4</definedName>
    <definedName name="Z_965C3FE4_50BF_43C0_B1D0_366B904E9BAB_.wvu.PrintTitles" localSheetId="18" hidden="1">'IWP18'!$1:$4</definedName>
    <definedName name="Z_965C3FE4_50BF_43C0_B1D0_366B904E9BAB_.wvu.PrintTitles" localSheetId="19" hidden="1">'IWP19'!$1:$4</definedName>
    <definedName name="Z_965C3FE4_50BF_43C0_B1D0_366B904E9BAB_.wvu.PrintTitles" localSheetId="20" hidden="1">'IWP20'!$1:$4</definedName>
    <definedName name="Z_965C3FE4_50BF_43C0_B1D0_366B904E9BAB_.wvu.PrintTitles" localSheetId="21" hidden="1">'IWP21'!$1:$4</definedName>
    <definedName name="Z_965C3FE4_50BF_43C0_B1D0_366B904E9BAB_.wvu.PrintTitles" localSheetId="22" hidden="1">'IWP22'!$1:$4</definedName>
    <definedName name="Z_965C3FE4_50BF_43C0_B1D0_366B904E9BAB_.wvu.PrintTitles" localSheetId="23" hidden="1">'IWP23'!$1:$4</definedName>
    <definedName name="Z_965C3FE4_50BF_43C0_B1D0_366B904E9BAB_.wvu.PrintTitles" localSheetId="24" hidden="1">'IWP24'!$1:$4</definedName>
    <definedName name="Z_965C3FE4_50BF_43C0_B1D0_366B904E9BAB_.wvu.PrintTitles" localSheetId="25" hidden="1">'IWP25'!$1:$4</definedName>
    <definedName name="Z_965C3FE4_50BF_43C0_B1D0_366B904E9BAB_.wvu.PrintTitles" localSheetId="26" hidden="1">'IWP26'!$1:$4</definedName>
    <definedName name="Z_965C3FE4_50BF_43C0_B1D0_366B904E9BAB_.wvu.PrintTitles" localSheetId="27" hidden="1">'IWP27'!$1:$4</definedName>
    <definedName name="Z_965C3FE4_50BF_43C0_B1D0_366B904E9BAB_.wvu.PrintTitles" localSheetId="28" hidden="1">'IWP28'!$1:$4</definedName>
    <definedName name="Z_965C3FE4_50BF_43C0_B1D0_366B904E9BAB_.wvu.PrintTitles" localSheetId="29" hidden="1">'IWP29'!$1:$4</definedName>
    <definedName name="Z_965C3FE4_50BF_43C0_B1D0_366B904E9BAB_.wvu.PrintTitles" localSheetId="30" hidden="1">'IWP30'!$1:$4</definedName>
    <definedName name="Z_965C3FE4_50BF_43C0_B1D0_366B904E9BAB_.wvu.PrintTitles" localSheetId="0" hidden="1">'Monitoring Workbook'!$1:$9</definedName>
    <definedName name="Z_965C3FE4_50BF_43C0_B1D0_366B904E9BAB_.wvu.PrintTitles" localSheetId="31" hidden="1">'Personal Care 3 Facility Chklst'!$1:$10</definedName>
    <definedName name="Z_965C3FE4_50BF_43C0_B1D0_366B904E9BAB_.wvu.PrintTitles" localSheetId="33" hidden="1">'Unlic. Empl. Reqs. (Print)'!$1:$8</definedName>
    <definedName name="Z_A81B7E59_6D30_48F0_895B_EADA4D6F68AC_.wvu.Cols" localSheetId="1" hidden="1">'IWP01'!$T:$T</definedName>
    <definedName name="Z_A81B7E59_6D30_48F0_895B_EADA4D6F68AC_.wvu.Cols" localSheetId="2" hidden="1">'IWP02'!$T:$T</definedName>
    <definedName name="Z_A81B7E59_6D30_48F0_895B_EADA4D6F68AC_.wvu.Cols" localSheetId="3" hidden="1">'IWP03'!$T:$T</definedName>
    <definedName name="Z_A81B7E59_6D30_48F0_895B_EADA4D6F68AC_.wvu.Cols" localSheetId="4" hidden="1">'IWP04'!$T:$T</definedName>
    <definedName name="Z_A81B7E59_6D30_48F0_895B_EADA4D6F68AC_.wvu.Cols" localSheetId="5" hidden="1">'IWP05'!$T:$T</definedName>
    <definedName name="Z_A81B7E59_6D30_48F0_895B_EADA4D6F68AC_.wvu.Cols" localSheetId="6" hidden="1">'IWP06'!$T:$T</definedName>
    <definedName name="Z_A81B7E59_6D30_48F0_895B_EADA4D6F68AC_.wvu.Cols" localSheetId="7" hidden="1">'IWP07'!$T:$T</definedName>
    <definedName name="Z_A81B7E59_6D30_48F0_895B_EADA4D6F68AC_.wvu.Cols" localSheetId="8" hidden="1">'IWP08'!$T:$T</definedName>
    <definedName name="Z_A81B7E59_6D30_48F0_895B_EADA4D6F68AC_.wvu.Cols" localSheetId="9" hidden="1">'IWP09'!$T:$T</definedName>
    <definedName name="Z_A81B7E59_6D30_48F0_895B_EADA4D6F68AC_.wvu.Cols" localSheetId="10" hidden="1">'IWP10'!$T:$T</definedName>
    <definedName name="Z_A81B7E59_6D30_48F0_895B_EADA4D6F68AC_.wvu.Cols" localSheetId="11" hidden="1">'IWP11'!$T:$T</definedName>
    <definedName name="Z_A81B7E59_6D30_48F0_895B_EADA4D6F68AC_.wvu.Cols" localSheetId="12" hidden="1">'IWP12'!$T:$T</definedName>
    <definedName name="Z_A81B7E59_6D30_48F0_895B_EADA4D6F68AC_.wvu.Cols" localSheetId="13" hidden="1">'IWP13'!$T:$T</definedName>
    <definedName name="Z_A81B7E59_6D30_48F0_895B_EADA4D6F68AC_.wvu.Cols" localSheetId="14" hidden="1">'IWP14'!$T:$T</definedName>
    <definedName name="Z_A81B7E59_6D30_48F0_895B_EADA4D6F68AC_.wvu.Cols" localSheetId="15" hidden="1">'IWP15'!$T:$T</definedName>
    <definedName name="Z_A81B7E59_6D30_48F0_895B_EADA4D6F68AC_.wvu.Cols" localSheetId="16" hidden="1">'IWP16'!$T:$T</definedName>
    <definedName name="Z_A81B7E59_6D30_48F0_895B_EADA4D6F68AC_.wvu.Cols" localSheetId="17" hidden="1">'IWP17'!$T:$T</definedName>
    <definedName name="Z_A81B7E59_6D30_48F0_895B_EADA4D6F68AC_.wvu.Cols" localSheetId="18" hidden="1">'IWP18'!$T:$T</definedName>
    <definedName name="Z_A81B7E59_6D30_48F0_895B_EADA4D6F68AC_.wvu.Cols" localSheetId="19" hidden="1">'IWP19'!$T:$T</definedName>
    <definedName name="Z_A81B7E59_6D30_48F0_895B_EADA4D6F68AC_.wvu.Cols" localSheetId="20" hidden="1">'IWP20'!$T:$T</definedName>
    <definedName name="Z_A81B7E59_6D30_48F0_895B_EADA4D6F68AC_.wvu.Cols" localSheetId="21" hidden="1">'IWP21'!$T:$T</definedName>
    <definedName name="Z_A81B7E59_6D30_48F0_895B_EADA4D6F68AC_.wvu.Cols" localSheetId="22" hidden="1">'IWP22'!$T:$T</definedName>
    <definedName name="Z_A81B7E59_6D30_48F0_895B_EADA4D6F68AC_.wvu.Cols" localSheetId="23" hidden="1">'IWP23'!$T:$T</definedName>
    <definedName name="Z_A81B7E59_6D30_48F0_895B_EADA4D6F68AC_.wvu.Cols" localSheetId="24" hidden="1">'IWP24'!$T:$T</definedName>
    <definedName name="Z_A81B7E59_6D30_48F0_895B_EADA4D6F68AC_.wvu.Cols" localSheetId="25" hidden="1">'IWP25'!$T:$T</definedName>
    <definedName name="Z_A81B7E59_6D30_48F0_895B_EADA4D6F68AC_.wvu.Cols" localSheetId="26" hidden="1">'IWP26'!$T:$T</definedName>
    <definedName name="Z_A81B7E59_6D30_48F0_895B_EADA4D6F68AC_.wvu.Cols" localSheetId="27" hidden="1">'IWP27'!$T:$T</definedName>
    <definedName name="Z_A81B7E59_6D30_48F0_895B_EADA4D6F68AC_.wvu.Cols" localSheetId="28" hidden="1">'IWP28'!$T:$T</definedName>
    <definedName name="Z_A81B7E59_6D30_48F0_895B_EADA4D6F68AC_.wvu.Cols" localSheetId="29" hidden="1">'IWP29'!$T:$T</definedName>
    <definedName name="Z_A81B7E59_6D30_48F0_895B_EADA4D6F68AC_.wvu.Cols" localSheetId="30" hidden="1">'IWP30'!$T:$T</definedName>
    <definedName name="Z_A81B7E59_6D30_48F0_895B_EADA4D6F68AC_.wvu.PrintArea" localSheetId="35" hidden="1">'ALRC Reimbursement'!$A$1:$AP$9</definedName>
    <definedName name="Z_A81B7E59_6D30_48F0_895B_EADA4D6F68AC_.wvu.PrintArea" localSheetId="1" hidden="1">'IWP01'!$A$1:$S$370</definedName>
    <definedName name="Z_A81B7E59_6D30_48F0_895B_EADA4D6F68AC_.wvu.PrintArea" localSheetId="2" hidden="1">'IWP02'!$A$1:$S$370</definedName>
    <definedName name="Z_A81B7E59_6D30_48F0_895B_EADA4D6F68AC_.wvu.PrintArea" localSheetId="3" hidden="1">'IWP03'!$A$1:$S$370</definedName>
    <definedName name="Z_A81B7E59_6D30_48F0_895B_EADA4D6F68AC_.wvu.PrintArea" localSheetId="4" hidden="1">'IWP04'!$A$1:$S$370</definedName>
    <definedName name="Z_A81B7E59_6D30_48F0_895B_EADA4D6F68AC_.wvu.PrintArea" localSheetId="5" hidden="1">'IWP05'!$A$1:$S$370</definedName>
    <definedName name="Z_A81B7E59_6D30_48F0_895B_EADA4D6F68AC_.wvu.PrintArea" localSheetId="6" hidden="1">'IWP06'!$A$1:$S$370</definedName>
    <definedName name="Z_A81B7E59_6D30_48F0_895B_EADA4D6F68AC_.wvu.PrintArea" localSheetId="7" hidden="1">'IWP07'!$A$1:$S$370</definedName>
    <definedName name="Z_A81B7E59_6D30_48F0_895B_EADA4D6F68AC_.wvu.PrintArea" localSheetId="8" hidden="1">'IWP08'!$A$1:$S$370</definedName>
    <definedName name="Z_A81B7E59_6D30_48F0_895B_EADA4D6F68AC_.wvu.PrintArea" localSheetId="9" hidden="1">'IWP09'!$A$1:$S$370</definedName>
    <definedName name="Z_A81B7E59_6D30_48F0_895B_EADA4D6F68AC_.wvu.PrintArea" localSheetId="10" hidden="1">'IWP10'!$A$1:$S$370</definedName>
    <definedName name="Z_A81B7E59_6D30_48F0_895B_EADA4D6F68AC_.wvu.PrintArea" localSheetId="11" hidden="1">'IWP11'!$A$1:$S$370</definedName>
    <definedName name="Z_A81B7E59_6D30_48F0_895B_EADA4D6F68AC_.wvu.PrintArea" localSheetId="12" hidden="1">'IWP12'!$A$1:$S$370</definedName>
    <definedName name="Z_A81B7E59_6D30_48F0_895B_EADA4D6F68AC_.wvu.PrintArea" localSheetId="13" hidden="1">'IWP13'!$A$1:$S$370</definedName>
    <definedName name="Z_A81B7E59_6D30_48F0_895B_EADA4D6F68AC_.wvu.PrintArea" localSheetId="14" hidden="1">'IWP14'!$A$1:$S$370</definedName>
    <definedName name="Z_A81B7E59_6D30_48F0_895B_EADA4D6F68AC_.wvu.PrintArea" localSheetId="15" hidden="1">'IWP15'!$A$1:$S$370</definedName>
    <definedName name="Z_A81B7E59_6D30_48F0_895B_EADA4D6F68AC_.wvu.PrintArea" localSheetId="16" hidden="1">'IWP16'!$A$1:$S$370</definedName>
    <definedName name="Z_A81B7E59_6D30_48F0_895B_EADA4D6F68AC_.wvu.PrintArea" localSheetId="17" hidden="1">'IWP17'!$A$1:$S$370</definedName>
    <definedName name="Z_A81B7E59_6D30_48F0_895B_EADA4D6F68AC_.wvu.PrintArea" localSheetId="18" hidden="1">'IWP18'!$A$1:$S$370</definedName>
    <definedName name="Z_A81B7E59_6D30_48F0_895B_EADA4D6F68AC_.wvu.PrintArea" localSheetId="19" hidden="1">'IWP19'!$A$1:$S$370</definedName>
    <definedName name="Z_A81B7E59_6D30_48F0_895B_EADA4D6F68AC_.wvu.PrintArea" localSheetId="20" hidden="1">'IWP20'!$A$1:$S$370</definedName>
    <definedName name="Z_A81B7E59_6D30_48F0_895B_EADA4D6F68AC_.wvu.PrintArea" localSheetId="21" hidden="1">'IWP21'!$A$1:$S$370</definedName>
    <definedName name="Z_A81B7E59_6D30_48F0_895B_EADA4D6F68AC_.wvu.PrintArea" localSheetId="22" hidden="1">'IWP22'!$A$1:$S$370</definedName>
    <definedName name="Z_A81B7E59_6D30_48F0_895B_EADA4D6F68AC_.wvu.PrintArea" localSheetId="23" hidden="1">'IWP23'!$A$1:$S$370</definedName>
    <definedName name="Z_A81B7E59_6D30_48F0_895B_EADA4D6F68AC_.wvu.PrintArea" localSheetId="24" hidden="1">'IWP24'!$A$1:$S$370</definedName>
    <definedName name="Z_A81B7E59_6D30_48F0_895B_EADA4D6F68AC_.wvu.PrintArea" localSheetId="25" hidden="1">'IWP25'!$A$1:$S$370</definedName>
    <definedName name="Z_A81B7E59_6D30_48F0_895B_EADA4D6F68AC_.wvu.PrintArea" localSheetId="26" hidden="1">'IWP26'!$A$1:$S$370</definedName>
    <definedName name="Z_A81B7E59_6D30_48F0_895B_EADA4D6F68AC_.wvu.PrintArea" localSheetId="27" hidden="1">'IWP27'!$A$1:$S$370</definedName>
    <definedName name="Z_A81B7E59_6D30_48F0_895B_EADA4D6F68AC_.wvu.PrintArea" localSheetId="28" hidden="1">'IWP28'!$A$1:$S$370</definedName>
    <definedName name="Z_A81B7E59_6D30_48F0_895B_EADA4D6F68AC_.wvu.PrintArea" localSheetId="29" hidden="1">'IWP29'!$A$1:$S$370</definedName>
    <definedName name="Z_A81B7E59_6D30_48F0_895B_EADA4D6F68AC_.wvu.PrintArea" localSheetId="30" hidden="1">'IWP30'!$A$1:$S$370</definedName>
    <definedName name="Z_A81B7E59_6D30_48F0_895B_EADA4D6F68AC_.wvu.PrintArea" localSheetId="42" hidden="1">'Notes (Print)'!$A$1:$L$30</definedName>
    <definedName name="Z_A81B7E59_6D30_48F0_895B_EADA4D6F68AC_.wvu.PrintArea" localSheetId="31" hidden="1">'Personal Care 3 Facility Chklst'!$A$1:$L$58</definedName>
    <definedName name="Z_A81B7E59_6D30_48F0_895B_EADA4D6F68AC_.wvu.PrintTitles" localSheetId="32" hidden="1">'ALRC Indiv Fund Summary (Print)'!$1:$7</definedName>
    <definedName name="Z_A81B7E59_6D30_48F0_895B_EADA4D6F68AC_.wvu.PrintTitles" localSheetId="35" hidden="1">'ALRC Reimbursement'!$1:$5</definedName>
    <definedName name="Z_A81B7E59_6D30_48F0_895B_EADA4D6F68AC_.wvu.PrintTitles" localSheetId="40" hidden="1">'Demand for Pmt Notice (Print)'!$1:$5</definedName>
    <definedName name="Z_A81B7E59_6D30_48F0_895B_EADA4D6F68AC_.wvu.PrintTitles" localSheetId="1" hidden="1">'IWP01'!$1:$4</definedName>
    <definedName name="Z_A81B7E59_6D30_48F0_895B_EADA4D6F68AC_.wvu.PrintTitles" localSheetId="2" hidden="1">'IWP02'!$1:$4</definedName>
    <definedName name="Z_A81B7E59_6D30_48F0_895B_EADA4D6F68AC_.wvu.PrintTitles" localSheetId="3" hidden="1">'IWP03'!$1:$4</definedName>
    <definedName name="Z_A81B7E59_6D30_48F0_895B_EADA4D6F68AC_.wvu.PrintTitles" localSheetId="4" hidden="1">'IWP04'!$1:$4</definedName>
    <definedName name="Z_A81B7E59_6D30_48F0_895B_EADA4D6F68AC_.wvu.PrintTitles" localSheetId="5" hidden="1">'IWP05'!$1:$4</definedName>
    <definedName name="Z_A81B7E59_6D30_48F0_895B_EADA4D6F68AC_.wvu.PrintTitles" localSheetId="6" hidden="1">'IWP06'!$1:$4</definedName>
    <definedName name="Z_A81B7E59_6D30_48F0_895B_EADA4D6F68AC_.wvu.PrintTitles" localSheetId="7" hidden="1">'IWP07'!$1:$4</definedName>
    <definedName name="Z_A81B7E59_6D30_48F0_895B_EADA4D6F68AC_.wvu.PrintTitles" localSheetId="8" hidden="1">'IWP08'!$1:$4</definedName>
    <definedName name="Z_A81B7E59_6D30_48F0_895B_EADA4D6F68AC_.wvu.PrintTitles" localSheetId="9" hidden="1">'IWP09'!$1:$4</definedName>
    <definedName name="Z_A81B7E59_6D30_48F0_895B_EADA4D6F68AC_.wvu.PrintTitles" localSheetId="10" hidden="1">'IWP10'!$1:$4</definedName>
    <definedName name="Z_A81B7E59_6D30_48F0_895B_EADA4D6F68AC_.wvu.PrintTitles" localSheetId="11" hidden="1">'IWP11'!$1:$4</definedName>
    <definedName name="Z_A81B7E59_6D30_48F0_895B_EADA4D6F68AC_.wvu.PrintTitles" localSheetId="12" hidden="1">'IWP12'!$1:$4</definedName>
    <definedName name="Z_A81B7E59_6D30_48F0_895B_EADA4D6F68AC_.wvu.PrintTitles" localSheetId="13" hidden="1">'IWP13'!$1:$4</definedName>
    <definedName name="Z_A81B7E59_6D30_48F0_895B_EADA4D6F68AC_.wvu.PrintTitles" localSheetId="14" hidden="1">'IWP14'!$1:$4</definedName>
    <definedName name="Z_A81B7E59_6D30_48F0_895B_EADA4D6F68AC_.wvu.PrintTitles" localSheetId="15" hidden="1">'IWP15'!$1:$4</definedName>
    <definedName name="Z_A81B7E59_6D30_48F0_895B_EADA4D6F68AC_.wvu.PrintTitles" localSheetId="16" hidden="1">'IWP16'!$1:$4</definedName>
    <definedName name="Z_A81B7E59_6D30_48F0_895B_EADA4D6F68AC_.wvu.PrintTitles" localSheetId="17" hidden="1">'IWP17'!$1:$4</definedName>
    <definedName name="Z_A81B7E59_6D30_48F0_895B_EADA4D6F68AC_.wvu.PrintTitles" localSheetId="18" hidden="1">'IWP18'!$1:$4</definedName>
    <definedName name="Z_A81B7E59_6D30_48F0_895B_EADA4D6F68AC_.wvu.PrintTitles" localSheetId="19" hidden="1">'IWP19'!$1:$4</definedName>
    <definedName name="Z_A81B7E59_6D30_48F0_895B_EADA4D6F68AC_.wvu.PrintTitles" localSheetId="20" hidden="1">'IWP20'!$1:$4</definedName>
    <definedName name="Z_A81B7E59_6D30_48F0_895B_EADA4D6F68AC_.wvu.PrintTitles" localSheetId="21" hidden="1">'IWP21'!$1:$4</definedName>
    <definedName name="Z_A81B7E59_6D30_48F0_895B_EADA4D6F68AC_.wvu.PrintTitles" localSheetId="22" hidden="1">'IWP22'!$1:$4</definedName>
    <definedName name="Z_A81B7E59_6D30_48F0_895B_EADA4D6F68AC_.wvu.PrintTitles" localSheetId="23" hidden="1">'IWP23'!$1:$4</definedName>
    <definedName name="Z_A81B7E59_6D30_48F0_895B_EADA4D6F68AC_.wvu.PrintTitles" localSheetId="24" hidden="1">'IWP24'!$1:$4</definedName>
    <definedName name="Z_A81B7E59_6D30_48F0_895B_EADA4D6F68AC_.wvu.PrintTitles" localSheetId="25" hidden="1">'IWP25'!$1:$4</definedName>
    <definedName name="Z_A81B7E59_6D30_48F0_895B_EADA4D6F68AC_.wvu.PrintTitles" localSheetId="26" hidden="1">'IWP26'!$1:$4</definedName>
    <definedName name="Z_A81B7E59_6D30_48F0_895B_EADA4D6F68AC_.wvu.PrintTitles" localSheetId="27" hidden="1">'IWP27'!$1:$4</definedName>
    <definedName name="Z_A81B7E59_6D30_48F0_895B_EADA4D6F68AC_.wvu.PrintTitles" localSheetId="28" hidden="1">'IWP28'!$1:$4</definedName>
    <definedName name="Z_A81B7E59_6D30_48F0_895B_EADA4D6F68AC_.wvu.PrintTitles" localSheetId="29" hidden="1">'IWP29'!$1:$4</definedName>
    <definedName name="Z_A81B7E59_6D30_48F0_895B_EADA4D6F68AC_.wvu.PrintTitles" localSheetId="30" hidden="1">'IWP30'!$1:$4</definedName>
    <definedName name="Z_A81B7E59_6D30_48F0_895B_EADA4D6F68AC_.wvu.PrintTitles" localSheetId="0" hidden="1">'Monitoring Workbook'!$1:$9</definedName>
    <definedName name="Z_A81B7E59_6D30_48F0_895B_EADA4D6F68AC_.wvu.PrintTitles" localSheetId="31" hidden="1">'Personal Care 3 Facility Chklst'!$1:$10</definedName>
    <definedName name="Z_A81B7E59_6D30_48F0_895B_EADA4D6F68AC_.wvu.PrintTitles" localSheetId="33" hidden="1">'Unlic. Empl. Reqs. (Print)'!$1:$8</definedName>
    <definedName name="Z_A81B7E59_6D30_48F0_895B_EADA4D6F68AC_.wvu.Rows" localSheetId="38" hidden="1">'ALRC Compliance Summary (Print)'!$8:$8</definedName>
    <definedName name="Z_A81B7E59_6D30_48F0_895B_EADA4D6F68AC_.wvu.Rows" localSheetId="40" hidden="1">'Demand for Pmt Notice (Print)'!$9:$10</definedName>
    <definedName name="Z_A81B7E59_6D30_48F0_895B_EADA4D6F68AC_.wvu.Rows" localSheetId="1" hidden="1">'IWP01'!$15:$16,'IWP01'!$253:$258</definedName>
    <definedName name="Z_A81B7E59_6D30_48F0_895B_EADA4D6F68AC_.wvu.Rows" localSheetId="2" hidden="1">'IWP02'!$15:$16,'IWP02'!$253:$258</definedName>
    <definedName name="Z_A81B7E59_6D30_48F0_895B_EADA4D6F68AC_.wvu.Rows" localSheetId="3" hidden="1">'IWP03'!$15:$16,'IWP03'!$253:$258</definedName>
    <definedName name="Z_A81B7E59_6D30_48F0_895B_EADA4D6F68AC_.wvu.Rows" localSheetId="4" hidden="1">'IWP04'!$15:$16,'IWP04'!$253:$258</definedName>
    <definedName name="Z_A81B7E59_6D30_48F0_895B_EADA4D6F68AC_.wvu.Rows" localSheetId="5" hidden="1">'IWP05'!$15:$16,'IWP05'!$253:$258</definedName>
    <definedName name="Z_A81B7E59_6D30_48F0_895B_EADA4D6F68AC_.wvu.Rows" localSheetId="6" hidden="1">'IWP06'!$15:$16,'IWP06'!$253:$258</definedName>
    <definedName name="Z_A81B7E59_6D30_48F0_895B_EADA4D6F68AC_.wvu.Rows" localSheetId="7" hidden="1">'IWP07'!$15:$16,'IWP07'!$253:$258</definedName>
    <definedName name="Z_A81B7E59_6D30_48F0_895B_EADA4D6F68AC_.wvu.Rows" localSheetId="8" hidden="1">'IWP08'!$15:$16,'IWP08'!$253:$258</definedName>
    <definedName name="Z_A81B7E59_6D30_48F0_895B_EADA4D6F68AC_.wvu.Rows" localSheetId="9" hidden="1">'IWP09'!$15:$16,'IWP09'!$253:$258</definedName>
    <definedName name="Z_A81B7E59_6D30_48F0_895B_EADA4D6F68AC_.wvu.Rows" localSheetId="10" hidden="1">'IWP10'!$15:$16,'IWP10'!$253:$258</definedName>
    <definedName name="Z_A81B7E59_6D30_48F0_895B_EADA4D6F68AC_.wvu.Rows" localSheetId="11" hidden="1">'IWP11'!$15:$16,'IWP11'!$253:$258</definedName>
    <definedName name="Z_A81B7E59_6D30_48F0_895B_EADA4D6F68AC_.wvu.Rows" localSheetId="12" hidden="1">'IWP12'!$15:$16,'IWP12'!$253:$258</definedName>
    <definedName name="Z_A81B7E59_6D30_48F0_895B_EADA4D6F68AC_.wvu.Rows" localSheetId="13" hidden="1">'IWP13'!$15:$16,'IWP13'!$253:$258</definedName>
    <definedName name="Z_A81B7E59_6D30_48F0_895B_EADA4D6F68AC_.wvu.Rows" localSheetId="14" hidden="1">'IWP14'!$15:$16,'IWP14'!$253:$258</definedName>
    <definedName name="Z_A81B7E59_6D30_48F0_895B_EADA4D6F68AC_.wvu.Rows" localSheetId="15" hidden="1">'IWP15'!$15:$16,'IWP15'!$253:$258</definedName>
    <definedName name="Z_A81B7E59_6D30_48F0_895B_EADA4D6F68AC_.wvu.Rows" localSheetId="16" hidden="1">'IWP16'!$15:$16,'IWP16'!$253:$258</definedName>
    <definedName name="Z_A81B7E59_6D30_48F0_895B_EADA4D6F68AC_.wvu.Rows" localSheetId="17" hidden="1">'IWP17'!$15:$16,'IWP17'!$253:$258</definedName>
    <definedName name="Z_A81B7E59_6D30_48F0_895B_EADA4D6F68AC_.wvu.Rows" localSheetId="18" hidden="1">'IWP18'!$15:$16,'IWP18'!$253:$258</definedName>
    <definedName name="Z_A81B7E59_6D30_48F0_895B_EADA4D6F68AC_.wvu.Rows" localSheetId="19" hidden="1">'IWP19'!$15:$16,'IWP19'!$253:$258</definedName>
    <definedName name="Z_A81B7E59_6D30_48F0_895B_EADA4D6F68AC_.wvu.Rows" localSheetId="20" hidden="1">'IWP20'!$15:$16,'IWP20'!$253:$258</definedName>
    <definedName name="Z_A81B7E59_6D30_48F0_895B_EADA4D6F68AC_.wvu.Rows" localSheetId="21" hidden="1">'IWP21'!$15:$16,'IWP21'!$253:$258</definedName>
    <definedName name="Z_A81B7E59_6D30_48F0_895B_EADA4D6F68AC_.wvu.Rows" localSheetId="22" hidden="1">'IWP22'!$15:$16,'IWP22'!$253:$258</definedName>
    <definedName name="Z_A81B7E59_6D30_48F0_895B_EADA4D6F68AC_.wvu.Rows" localSheetId="23" hidden="1">'IWP23'!$15:$16,'IWP23'!$253:$258</definedName>
    <definedName name="Z_A81B7E59_6D30_48F0_895B_EADA4D6F68AC_.wvu.Rows" localSheetId="24" hidden="1">'IWP24'!$15:$16,'IWP24'!$253:$258</definedName>
    <definedName name="Z_A81B7E59_6D30_48F0_895B_EADA4D6F68AC_.wvu.Rows" localSheetId="25" hidden="1">'IWP25'!$15:$16,'IWP25'!$253:$258</definedName>
    <definedName name="Z_A81B7E59_6D30_48F0_895B_EADA4D6F68AC_.wvu.Rows" localSheetId="26" hidden="1">'IWP26'!$15:$16,'IWP26'!$253:$258</definedName>
    <definedName name="Z_A81B7E59_6D30_48F0_895B_EADA4D6F68AC_.wvu.Rows" localSheetId="27" hidden="1">'IWP27'!$15:$16,'IWP27'!$253:$258</definedName>
    <definedName name="Z_A81B7E59_6D30_48F0_895B_EADA4D6F68AC_.wvu.Rows" localSheetId="28" hidden="1">'IWP28'!$15:$16,'IWP28'!$253:$258</definedName>
    <definedName name="Z_A81B7E59_6D30_48F0_895B_EADA4D6F68AC_.wvu.Rows" localSheetId="29" hidden="1">'IWP29'!$15:$16,'IWP29'!$253:$258</definedName>
    <definedName name="Z_A81B7E59_6D30_48F0_895B_EADA4D6F68AC_.wvu.Rows" localSheetId="30" hidden="1">'IWP30'!$15:$16,'IWP30'!$253:$258</definedName>
    <definedName name="Z_A81B7E59_6D30_48F0_895B_EADA4D6F68AC_.wvu.Rows" localSheetId="42" hidden="1">'Notes (Print)'!$8:$8</definedName>
    <definedName name="Z_A81B7E59_6D30_48F0_895B_EADA4D6F68AC_.wvu.Rows" localSheetId="39" hidden="1">'OHR Compliance Summary (Print)'!$8:$8</definedName>
    <definedName name="Z_A81B7E59_6D30_48F0_895B_EADA4D6F68AC_.wvu.Rows" localSheetId="31" hidden="1">'Personal Care 3 Facility Chklst'!$9:$10</definedName>
    <definedName name="Z_A81B7E59_6D30_48F0_895B_EADA4D6F68AC_.wvu.Rows" localSheetId="33" hidden="1">'Unlic. Empl. Reqs. (Print)'!$8:$8</definedName>
    <definedName name="Z_A9399441_FD69_4FCC_BF3B_6E447DD9FB6A_.wvu.Cols" localSheetId="1" hidden="1">'IWP01'!$T:$T</definedName>
    <definedName name="Z_A9399441_FD69_4FCC_BF3B_6E447DD9FB6A_.wvu.Cols" localSheetId="2" hidden="1">'IWP02'!$T:$T</definedName>
    <definedName name="Z_A9399441_FD69_4FCC_BF3B_6E447DD9FB6A_.wvu.Cols" localSheetId="3" hidden="1">'IWP03'!$T:$T</definedName>
    <definedName name="Z_A9399441_FD69_4FCC_BF3B_6E447DD9FB6A_.wvu.Cols" localSheetId="4" hidden="1">'IWP04'!$T:$T</definedName>
    <definedName name="Z_A9399441_FD69_4FCC_BF3B_6E447DD9FB6A_.wvu.Cols" localSheetId="5" hidden="1">'IWP05'!$T:$T</definedName>
    <definedName name="Z_A9399441_FD69_4FCC_BF3B_6E447DD9FB6A_.wvu.Cols" localSheetId="6" hidden="1">'IWP06'!$T:$T</definedName>
    <definedName name="Z_A9399441_FD69_4FCC_BF3B_6E447DD9FB6A_.wvu.Cols" localSheetId="7" hidden="1">'IWP07'!$T:$T</definedName>
    <definedName name="Z_A9399441_FD69_4FCC_BF3B_6E447DD9FB6A_.wvu.Cols" localSheetId="8" hidden="1">'IWP08'!$T:$T</definedName>
    <definedName name="Z_A9399441_FD69_4FCC_BF3B_6E447DD9FB6A_.wvu.Cols" localSheetId="9" hidden="1">'IWP09'!$T:$T</definedName>
    <definedName name="Z_A9399441_FD69_4FCC_BF3B_6E447DD9FB6A_.wvu.Cols" localSheetId="10" hidden="1">'IWP10'!$T:$T</definedName>
    <definedName name="Z_A9399441_FD69_4FCC_BF3B_6E447DD9FB6A_.wvu.Cols" localSheetId="11" hidden="1">'IWP11'!$T:$T</definedName>
    <definedName name="Z_A9399441_FD69_4FCC_BF3B_6E447DD9FB6A_.wvu.Cols" localSheetId="12" hidden="1">'IWP12'!$T:$T</definedName>
    <definedName name="Z_A9399441_FD69_4FCC_BF3B_6E447DD9FB6A_.wvu.Cols" localSheetId="13" hidden="1">'IWP13'!$T:$T</definedName>
    <definedName name="Z_A9399441_FD69_4FCC_BF3B_6E447DD9FB6A_.wvu.Cols" localSheetId="14" hidden="1">'IWP14'!$T:$T</definedName>
    <definedName name="Z_A9399441_FD69_4FCC_BF3B_6E447DD9FB6A_.wvu.Cols" localSheetId="15" hidden="1">'IWP15'!$T:$T</definedName>
    <definedName name="Z_A9399441_FD69_4FCC_BF3B_6E447DD9FB6A_.wvu.Cols" localSheetId="16" hidden="1">'IWP16'!$T:$T</definedName>
    <definedName name="Z_A9399441_FD69_4FCC_BF3B_6E447DD9FB6A_.wvu.Cols" localSheetId="17" hidden="1">'IWP17'!$T:$T</definedName>
    <definedName name="Z_A9399441_FD69_4FCC_BF3B_6E447DD9FB6A_.wvu.Cols" localSheetId="18" hidden="1">'IWP18'!$T:$T</definedName>
    <definedName name="Z_A9399441_FD69_4FCC_BF3B_6E447DD9FB6A_.wvu.Cols" localSheetId="19" hidden="1">'IWP19'!$T:$T</definedName>
    <definedName name="Z_A9399441_FD69_4FCC_BF3B_6E447DD9FB6A_.wvu.Cols" localSheetId="20" hidden="1">'IWP20'!$T:$T</definedName>
    <definedName name="Z_A9399441_FD69_4FCC_BF3B_6E447DD9FB6A_.wvu.Cols" localSheetId="21" hidden="1">'IWP21'!$T:$T</definedName>
    <definedName name="Z_A9399441_FD69_4FCC_BF3B_6E447DD9FB6A_.wvu.Cols" localSheetId="22" hidden="1">'IWP22'!$T:$T</definedName>
    <definedName name="Z_A9399441_FD69_4FCC_BF3B_6E447DD9FB6A_.wvu.Cols" localSheetId="23" hidden="1">'IWP23'!$T:$T</definedName>
    <definedName name="Z_A9399441_FD69_4FCC_BF3B_6E447DD9FB6A_.wvu.Cols" localSheetId="24" hidden="1">'IWP24'!$T:$T</definedName>
    <definedName name="Z_A9399441_FD69_4FCC_BF3B_6E447DD9FB6A_.wvu.Cols" localSheetId="25" hidden="1">'IWP25'!$T:$T</definedName>
    <definedName name="Z_A9399441_FD69_4FCC_BF3B_6E447DD9FB6A_.wvu.Cols" localSheetId="26" hidden="1">'IWP26'!$T:$T</definedName>
    <definedName name="Z_A9399441_FD69_4FCC_BF3B_6E447DD9FB6A_.wvu.Cols" localSheetId="27" hidden="1">'IWP27'!$T:$T</definedName>
    <definedName name="Z_A9399441_FD69_4FCC_BF3B_6E447DD9FB6A_.wvu.Cols" localSheetId="28" hidden="1">'IWP28'!$T:$T</definedName>
    <definedName name="Z_A9399441_FD69_4FCC_BF3B_6E447DD9FB6A_.wvu.Cols" localSheetId="29" hidden="1">'IWP29'!$T:$T</definedName>
    <definedName name="Z_A9399441_FD69_4FCC_BF3B_6E447DD9FB6A_.wvu.Cols" localSheetId="30" hidden="1">'IWP30'!$T:$T</definedName>
    <definedName name="Z_A9399441_FD69_4FCC_BF3B_6E447DD9FB6A_.wvu.PrintArea" localSheetId="35" hidden="1">'ALRC Reimbursement'!$A$1:$AP$9</definedName>
    <definedName name="Z_A9399441_FD69_4FCC_BF3B_6E447DD9FB6A_.wvu.PrintArea" localSheetId="1" hidden="1">'IWP01'!$A$1:$S$370</definedName>
    <definedName name="Z_A9399441_FD69_4FCC_BF3B_6E447DD9FB6A_.wvu.PrintArea" localSheetId="2" hidden="1">'IWP02'!$A$1:$S$370</definedName>
    <definedName name="Z_A9399441_FD69_4FCC_BF3B_6E447DD9FB6A_.wvu.PrintArea" localSheetId="3" hidden="1">'IWP03'!$A$1:$S$370</definedName>
    <definedName name="Z_A9399441_FD69_4FCC_BF3B_6E447DD9FB6A_.wvu.PrintArea" localSheetId="4" hidden="1">'IWP04'!$A$1:$S$370</definedName>
    <definedName name="Z_A9399441_FD69_4FCC_BF3B_6E447DD9FB6A_.wvu.PrintArea" localSheetId="5" hidden="1">'IWP05'!$A$1:$S$370</definedName>
    <definedName name="Z_A9399441_FD69_4FCC_BF3B_6E447DD9FB6A_.wvu.PrintArea" localSheetId="6" hidden="1">'IWP06'!$A$1:$S$370</definedName>
    <definedName name="Z_A9399441_FD69_4FCC_BF3B_6E447DD9FB6A_.wvu.PrintArea" localSheetId="7" hidden="1">'IWP07'!$A$1:$S$370</definedName>
    <definedName name="Z_A9399441_FD69_4FCC_BF3B_6E447DD9FB6A_.wvu.PrintArea" localSheetId="8" hidden="1">'IWP08'!$A$1:$S$370</definedName>
    <definedName name="Z_A9399441_FD69_4FCC_BF3B_6E447DD9FB6A_.wvu.PrintArea" localSheetId="9" hidden="1">'IWP09'!$A$1:$S$370</definedName>
    <definedName name="Z_A9399441_FD69_4FCC_BF3B_6E447DD9FB6A_.wvu.PrintArea" localSheetId="10" hidden="1">'IWP10'!$A$1:$S$370</definedName>
    <definedName name="Z_A9399441_FD69_4FCC_BF3B_6E447DD9FB6A_.wvu.PrintArea" localSheetId="11" hidden="1">'IWP11'!$A$1:$S$370</definedName>
    <definedName name="Z_A9399441_FD69_4FCC_BF3B_6E447DD9FB6A_.wvu.PrintArea" localSheetId="12" hidden="1">'IWP12'!$A$1:$S$370</definedName>
    <definedName name="Z_A9399441_FD69_4FCC_BF3B_6E447DD9FB6A_.wvu.PrintArea" localSheetId="13" hidden="1">'IWP13'!$A$1:$S$370</definedName>
    <definedName name="Z_A9399441_FD69_4FCC_BF3B_6E447DD9FB6A_.wvu.PrintArea" localSheetId="14" hidden="1">'IWP14'!$A$1:$S$370</definedName>
    <definedName name="Z_A9399441_FD69_4FCC_BF3B_6E447DD9FB6A_.wvu.PrintArea" localSheetId="15" hidden="1">'IWP15'!$A$1:$S$370</definedName>
    <definedName name="Z_A9399441_FD69_4FCC_BF3B_6E447DD9FB6A_.wvu.PrintArea" localSheetId="16" hidden="1">'IWP16'!$A$1:$S$370</definedName>
    <definedName name="Z_A9399441_FD69_4FCC_BF3B_6E447DD9FB6A_.wvu.PrintArea" localSheetId="17" hidden="1">'IWP17'!$A$1:$S$370</definedName>
    <definedName name="Z_A9399441_FD69_4FCC_BF3B_6E447DD9FB6A_.wvu.PrintArea" localSheetId="18" hidden="1">'IWP18'!$A$1:$S$370</definedName>
    <definedName name="Z_A9399441_FD69_4FCC_BF3B_6E447DD9FB6A_.wvu.PrintArea" localSheetId="19" hidden="1">'IWP19'!$A$1:$S$370</definedName>
    <definedName name="Z_A9399441_FD69_4FCC_BF3B_6E447DD9FB6A_.wvu.PrintArea" localSheetId="20" hidden="1">'IWP20'!$A$1:$S$370</definedName>
    <definedName name="Z_A9399441_FD69_4FCC_BF3B_6E447DD9FB6A_.wvu.PrintArea" localSheetId="21" hidden="1">'IWP21'!$A$1:$S$370</definedName>
    <definedName name="Z_A9399441_FD69_4FCC_BF3B_6E447DD9FB6A_.wvu.PrintArea" localSheetId="22" hidden="1">'IWP22'!$A$1:$S$370</definedName>
    <definedName name="Z_A9399441_FD69_4FCC_BF3B_6E447DD9FB6A_.wvu.PrintArea" localSheetId="23" hidden="1">'IWP23'!$A$1:$S$370</definedName>
    <definedName name="Z_A9399441_FD69_4FCC_BF3B_6E447DD9FB6A_.wvu.PrintArea" localSheetId="24" hidden="1">'IWP24'!$A$1:$S$370</definedName>
    <definedName name="Z_A9399441_FD69_4FCC_BF3B_6E447DD9FB6A_.wvu.PrintArea" localSheetId="25" hidden="1">'IWP25'!$A$1:$S$370</definedName>
    <definedName name="Z_A9399441_FD69_4FCC_BF3B_6E447DD9FB6A_.wvu.PrintArea" localSheetId="26" hidden="1">'IWP26'!$A$1:$S$370</definedName>
    <definedName name="Z_A9399441_FD69_4FCC_BF3B_6E447DD9FB6A_.wvu.PrintArea" localSheetId="27" hidden="1">'IWP27'!$A$1:$S$370</definedName>
    <definedName name="Z_A9399441_FD69_4FCC_BF3B_6E447DD9FB6A_.wvu.PrintArea" localSheetId="28" hidden="1">'IWP28'!$A$1:$S$370</definedName>
    <definedName name="Z_A9399441_FD69_4FCC_BF3B_6E447DD9FB6A_.wvu.PrintArea" localSheetId="29" hidden="1">'IWP29'!$A$1:$S$370</definedName>
    <definedName name="Z_A9399441_FD69_4FCC_BF3B_6E447DD9FB6A_.wvu.PrintArea" localSheetId="30" hidden="1">'IWP30'!$A$1:$S$370</definedName>
    <definedName name="Z_A9399441_FD69_4FCC_BF3B_6E447DD9FB6A_.wvu.PrintArea" localSheetId="42" hidden="1">'Notes (Print)'!$A$1:$L$30</definedName>
    <definedName name="Z_A9399441_FD69_4FCC_BF3B_6E447DD9FB6A_.wvu.PrintArea" localSheetId="31" hidden="1">'Personal Care 3 Facility Chklst'!$A$1:$L$58</definedName>
    <definedName name="Z_A9399441_FD69_4FCC_BF3B_6E447DD9FB6A_.wvu.PrintTitles" localSheetId="32" hidden="1">'ALRC Indiv Fund Summary (Print)'!$1:$7</definedName>
    <definedName name="Z_A9399441_FD69_4FCC_BF3B_6E447DD9FB6A_.wvu.PrintTitles" localSheetId="35" hidden="1">'ALRC Reimbursement'!$1:$5</definedName>
    <definedName name="Z_A9399441_FD69_4FCC_BF3B_6E447DD9FB6A_.wvu.PrintTitles" localSheetId="40" hidden="1">'Demand for Pmt Notice (Print)'!$1:$5</definedName>
    <definedName name="Z_A9399441_FD69_4FCC_BF3B_6E447DD9FB6A_.wvu.PrintTitles" localSheetId="1" hidden="1">'IWP01'!$1:$4</definedName>
    <definedName name="Z_A9399441_FD69_4FCC_BF3B_6E447DD9FB6A_.wvu.PrintTitles" localSheetId="2" hidden="1">'IWP02'!$1:$4</definedName>
    <definedName name="Z_A9399441_FD69_4FCC_BF3B_6E447DD9FB6A_.wvu.PrintTitles" localSheetId="3" hidden="1">'IWP03'!$1:$4</definedName>
    <definedName name="Z_A9399441_FD69_4FCC_BF3B_6E447DD9FB6A_.wvu.PrintTitles" localSheetId="4" hidden="1">'IWP04'!$1:$4</definedName>
    <definedName name="Z_A9399441_FD69_4FCC_BF3B_6E447DD9FB6A_.wvu.PrintTitles" localSheetId="5" hidden="1">'IWP05'!$1:$4</definedName>
    <definedName name="Z_A9399441_FD69_4FCC_BF3B_6E447DD9FB6A_.wvu.PrintTitles" localSheetId="6" hidden="1">'IWP06'!$1:$4</definedName>
    <definedName name="Z_A9399441_FD69_4FCC_BF3B_6E447DD9FB6A_.wvu.PrintTitles" localSheetId="7" hidden="1">'IWP07'!$1:$4</definedName>
    <definedName name="Z_A9399441_FD69_4FCC_BF3B_6E447DD9FB6A_.wvu.PrintTitles" localSheetId="8" hidden="1">'IWP08'!$1:$4</definedName>
    <definedName name="Z_A9399441_FD69_4FCC_BF3B_6E447DD9FB6A_.wvu.PrintTitles" localSheetId="9" hidden="1">'IWP09'!$1:$4</definedName>
    <definedName name="Z_A9399441_FD69_4FCC_BF3B_6E447DD9FB6A_.wvu.PrintTitles" localSheetId="10" hidden="1">'IWP10'!$1:$4</definedName>
    <definedName name="Z_A9399441_FD69_4FCC_BF3B_6E447DD9FB6A_.wvu.PrintTitles" localSheetId="11" hidden="1">'IWP11'!$1:$4</definedName>
    <definedName name="Z_A9399441_FD69_4FCC_BF3B_6E447DD9FB6A_.wvu.PrintTitles" localSheetId="12" hidden="1">'IWP12'!$1:$4</definedName>
    <definedName name="Z_A9399441_FD69_4FCC_BF3B_6E447DD9FB6A_.wvu.PrintTitles" localSheetId="13" hidden="1">'IWP13'!$1:$4</definedName>
    <definedName name="Z_A9399441_FD69_4FCC_BF3B_6E447DD9FB6A_.wvu.PrintTitles" localSheetId="14" hidden="1">'IWP14'!$1:$4</definedName>
    <definedName name="Z_A9399441_FD69_4FCC_BF3B_6E447DD9FB6A_.wvu.PrintTitles" localSheetId="15" hidden="1">'IWP15'!$1:$4</definedName>
    <definedName name="Z_A9399441_FD69_4FCC_BF3B_6E447DD9FB6A_.wvu.PrintTitles" localSheetId="16" hidden="1">'IWP16'!$1:$4</definedName>
    <definedName name="Z_A9399441_FD69_4FCC_BF3B_6E447DD9FB6A_.wvu.PrintTitles" localSheetId="17" hidden="1">'IWP17'!$1:$4</definedName>
    <definedName name="Z_A9399441_FD69_4FCC_BF3B_6E447DD9FB6A_.wvu.PrintTitles" localSheetId="18" hidden="1">'IWP18'!$1:$4</definedName>
    <definedName name="Z_A9399441_FD69_4FCC_BF3B_6E447DD9FB6A_.wvu.PrintTitles" localSheetId="19" hidden="1">'IWP19'!$1:$4</definedName>
    <definedName name="Z_A9399441_FD69_4FCC_BF3B_6E447DD9FB6A_.wvu.PrintTitles" localSheetId="20" hidden="1">'IWP20'!$1:$4</definedName>
    <definedName name="Z_A9399441_FD69_4FCC_BF3B_6E447DD9FB6A_.wvu.PrintTitles" localSheetId="21" hidden="1">'IWP21'!$1:$4</definedName>
    <definedName name="Z_A9399441_FD69_4FCC_BF3B_6E447DD9FB6A_.wvu.PrintTitles" localSheetId="22" hidden="1">'IWP22'!$1:$4</definedName>
    <definedName name="Z_A9399441_FD69_4FCC_BF3B_6E447DD9FB6A_.wvu.PrintTitles" localSheetId="23" hidden="1">'IWP23'!$1:$4</definedName>
    <definedName name="Z_A9399441_FD69_4FCC_BF3B_6E447DD9FB6A_.wvu.PrintTitles" localSheetId="24" hidden="1">'IWP24'!$1:$4</definedName>
    <definedName name="Z_A9399441_FD69_4FCC_BF3B_6E447DD9FB6A_.wvu.PrintTitles" localSheetId="25" hidden="1">'IWP25'!$1:$4</definedName>
    <definedName name="Z_A9399441_FD69_4FCC_BF3B_6E447DD9FB6A_.wvu.PrintTitles" localSheetId="26" hidden="1">'IWP26'!$1:$4</definedName>
    <definedName name="Z_A9399441_FD69_4FCC_BF3B_6E447DD9FB6A_.wvu.PrintTitles" localSheetId="27" hidden="1">'IWP27'!$1:$4</definedName>
    <definedName name="Z_A9399441_FD69_4FCC_BF3B_6E447DD9FB6A_.wvu.PrintTitles" localSheetId="28" hidden="1">'IWP28'!$1:$4</definedName>
    <definedName name="Z_A9399441_FD69_4FCC_BF3B_6E447DD9FB6A_.wvu.PrintTitles" localSheetId="29" hidden="1">'IWP29'!$1:$4</definedName>
    <definedName name="Z_A9399441_FD69_4FCC_BF3B_6E447DD9FB6A_.wvu.PrintTitles" localSheetId="30" hidden="1">'IWP30'!$1:$4</definedName>
    <definedName name="Z_A9399441_FD69_4FCC_BF3B_6E447DD9FB6A_.wvu.PrintTitles" localSheetId="0" hidden="1">'Monitoring Workbook'!$1:$9</definedName>
    <definedName name="Z_A9399441_FD69_4FCC_BF3B_6E447DD9FB6A_.wvu.PrintTitles" localSheetId="31" hidden="1">'Personal Care 3 Facility Chklst'!$1:$10</definedName>
    <definedName name="Z_A9399441_FD69_4FCC_BF3B_6E447DD9FB6A_.wvu.PrintTitles" localSheetId="33" hidden="1">'Unlic. Empl. Reqs. (Print)'!$1:$8</definedName>
    <definedName name="Z_A9399441_FD69_4FCC_BF3B_6E447DD9FB6A_.wvu.Rows" localSheetId="32" hidden="1">'ALRC Indiv Fund Summary (Print)'!#REF!</definedName>
    <definedName name="Z_A9399441_FD69_4FCC_BF3B_6E447DD9FB6A_.wvu.Rows" localSheetId="39" hidden="1">'OHR Compliance Summary (Print)'!$8:$8</definedName>
    <definedName name="Z_A9399441_FD69_4FCC_BF3B_6E447DD9FB6A_.wvu.Rows" localSheetId="31" hidden="1">'Personal Care 3 Facility Chklst'!$9:$10</definedName>
    <definedName name="Z_B2091B36_14EA_49EC_93AF_D5AA205EF0C1_.wvu.Cols" localSheetId="1" hidden="1">'IWP01'!$T:$T</definedName>
    <definedName name="Z_B2091B36_14EA_49EC_93AF_D5AA205EF0C1_.wvu.Cols" localSheetId="2" hidden="1">'IWP02'!$T:$T</definedName>
    <definedName name="Z_B2091B36_14EA_49EC_93AF_D5AA205EF0C1_.wvu.Cols" localSheetId="3" hidden="1">'IWP03'!$T:$T</definedName>
    <definedName name="Z_B2091B36_14EA_49EC_93AF_D5AA205EF0C1_.wvu.Cols" localSheetId="4" hidden="1">'IWP04'!$T:$T</definedName>
    <definedName name="Z_B2091B36_14EA_49EC_93AF_D5AA205EF0C1_.wvu.Cols" localSheetId="5" hidden="1">'IWP05'!$T:$T</definedName>
    <definedName name="Z_B2091B36_14EA_49EC_93AF_D5AA205EF0C1_.wvu.Cols" localSheetId="6" hidden="1">'IWP06'!$T:$T</definedName>
    <definedName name="Z_B2091B36_14EA_49EC_93AF_D5AA205EF0C1_.wvu.Cols" localSheetId="7" hidden="1">'IWP07'!$T:$T</definedName>
    <definedName name="Z_B2091B36_14EA_49EC_93AF_D5AA205EF0C1_.wvu.Cols" localSheetId="8" hidden="1">'IWP08'!$T:$T</definedName>
    <definedName name="Z_B2091B36_14EA_49EC_93AF_D5AA205EF0C1_.wvu.Cols" localSheetId="9" hidden="1">'IWP09'!$T:$T</definedName>
    <definedName name="Z_B2091B36_14EA_49EC_93AF_D5AA205EF0C1_.wvu.Cols" localSheetId="10" hidden="1">'IWP10'!$T:$T</definedName>
    <definedName name="Z_B2091B36_14EA_49EC_93AF_D5AA205EF0C1_.wvu.Cols" localSheetId="11" hidden="1">'IWP11'!$T:$T</definedName>
    <definedName name="Z_B2091B36_14EA_49EC_93AF_D5AA205EF0C1_.wvu.Cols" localSheetId="12" hidden="1">'IWP12'!$T:$T</definedName>
    <definedName name="Z_B2091B36_14EA_49EC_93AF_D5AA205EF0C1_.wvu.Cols" localSheetId="13" hidden="1">'IWP13'!$T:$T</definedName>
    <definedName name="Z_B2091B36_14EA_49EC_93AF_D5AA205EF0C1_.wvu.Cols" localSheetId="14" hidden="1">'IWP14'!$T:$T</definedName>
    <definedName name="Z_B2091B36_14EA_49EC_93AF_D5AA205EF0C1_.wvu.Cols" localSheetId="15" hidden="1">'IWP15'!$T:$T</definedName>
    <definedName name="Z_B2091B36_14EA_49EC_93AF_D5AA205EF0C1_.wvu.Cols" localSheetId="16" hidden="1">'IWP16'!$T:$T</definedName>
    <definedName name="Z_B2091B36_14EA_49EC_93AF_D5AA205EF0C1_.wvu.Cols" localSheetId="17" hidden="1">'IWP17'!$T:$T</definedName>
    <definedName name="Z_B2091B36_14EA_49EC_93AF_D5AA205EF0C1_.wvu.Cols" localSheetId="18" hidden="1">'IWP18'!$T:$T</definedName>
    <definedName name="Z_B2091B36_14EA_49EC_93AF_D5AA205EF0C1_.wvu.Cols" localSheetId="19" hidden="1">'IWP19'!$T:$T</definedName>
    <definedName name="Z_B2091B36_14EA_49EC_93AF_D5AA205EF0C1_.wvu.Cols" localSheetId="20" hidden="1">'IWP20'!$T:$T</definedName>
    <definedName name="Z_B2091B36_14EA_49EC_93AF_D5AA205EF0C1_.wvu.Cols" localSheetId="21" hidden="1">'IWP21'!$T:$T</definedName>
    <definedName name="Z_B2091B36_14EA_49EC_93AF_D5AA205EF0C1_.wvu.Cols" localSheetId="22" hidden="1">'IWP22'!$T:$T</definedName>
    <definedName name="Z_B2091B36_14EA_49EC_93AF_D5AA205EF0C1_.wvu.Cols" localSheetId="23" hidden="1">'IWP23'!$T:$T</definedName>
    <definedName name="Z_B2091B36_14EA_49EC_93AF_D5AA205EF0C1_.wvu.Cols" localSheetId="24" hidden="1">'IWP24'!$T:$T</definedName>
    <definedName name="Z_B2091B36_14EA_49EC_93AF_D5AA205EF0C1_.wvu.Cols" localSheetId="25" hidden="1">'IWP25'!$T:$T</definedName>
    <definedName name="Z_B2091B36_14EA_49EC_93AF_D5AA205EF0C1_.wvu.Cols" localSheetId="26" hidden="1">'IWP26'!$T:$T</definedName>
    <definedName name="Z_B2091B36_14EA_49EC_93AF_D5AA205EF0C1_.wvu.Cols" localSheetId="27" hidden="1">'IWP27'!$T:$T</definedName>
    <definedName name="Z_B2091B36_14EA_49EC_93AF_D5AA205EF0C1_.wvu.Cols" localSheetId="28" hidden="1">'IWP28'!$T:$T</definedName>
    <definedName name="Z_B2091B36_14EA_49EC_93AF_D5AA205EF0C1_.wvu.Cols" localSheetId="29" hidden="1">'IWP29'!$T:$T</definedName>
    <definedName name="Z_B2091B36_14EA_49EC_93AF_D5AA205EF0C1_.wvu.Cols" localSheetId="30" hidden="1">'IWP30'!$T:$T</definedName>
    <definedName name="Z_B2091B36_14EA_49EC_93AF_D5AA205EF0C1_.wvu.PrintArea" localSheetId="35" hidden="1">'ALRC Reimbursement'!$A$1:$AP$9</definedName>
    <definedName name="Z_B2091B36_14EA_49EC_93AF_D5AA205EF0C1_.wvu.PrintArea" localSheetId="1" hidden="1">'IWP01'!$A$1:$S$370</definedName>
    <definedName name="Z_B2091B36_14EA_49EC_93AF_D5AA205EF0C1_.wvu.PrintArea" localSheetId="2" hidden="1">'IWP02'!$A$1:$S$370</definedName>
    <definedName name="Z_B2091B36_14EA_49EC_93AF_D5AA205EF0C1_.wvu.PrintArea" localSheetId="3" hidden="1">'IWP03'!$A$1:$S$370</definedName>
    <definedName name="Z_B2091B36_14EA_49EC_93AF_D5AA205EF0C1_.wvu.PrintArea" localSheetId="4" hidden="1">'IWP04'!$A$1:$S$370</definedName>
    <definedName name="Z_B2091B36_14EA_49EC_93AF_D5AA205EF0C1_.wvu.PrintArea" localSheetId="5" hidden="1">'IWP05'!$A$1:$S$370</definedName>
    <definedName name="Z_B2091B36_14EA_49EC_93AF_D5AA205EF0C1_.wvu.PrintArea" localSheetId="6" hidden="1">'IWP06'!$A$1:$S$370</definedName>
    <definedName name="Z_B2091B36_14EA_49EC_93AF_D5AA205EF0C1_.wvu.PrintArea" localSheetId="7" hidden="1">'IWP07'!$A$1:$S$370</definedName>
    <definedName name="Z_B2091B36_14EA_49EC_93AF_D5AA205EF0C1_.wvu.PrintArea" localSheetId="8" hidden="1">'IWP08'!$A$1:$S$370</definedName>
    <definedName name="Z_B2091B36_14EA_49EC_93AF_D5AA205EF0C1_.wvu.PrintArea" localSheetId="9" hidden="1">'IWP09'!$A$1:$S$370</definedName>
    <definedName name="Z_B2091B36_14EA_49EC_93AF_D5AA205EF0C1_.wvu.PrintArea" localSheetId="10" hidden="1">'IWP10'!$A$1:$S$370</definedName>
    <definedName name="Z_B2091B36_14EA_49EC_93AF_D5AA205EF0C1_.wvu.PrintArea" localSheetId="11" hidden="1">'IWP11'!$A$1:$S$370</definedName>
    <definedName name="Z_B2091B36_14EA_49EC_93AF_D5AA205EF0C1_.wvu.PrintArea" localSheetId="12" hidden="1">'IWP12'!$A$1:$S$370</definedName>
    <definedName name="Z_B2091B36_14EA_49EC_93AF_D5AA205EF0C1_.wvu.PrintArea" localSheetId="13" hidden="1">'IWP13'!$A$1:$S$370</definedName>
    <definedName name="Z_B2091B36_14EA_49EC_93AF_D5AA205EF0C1_.wvu.PrintArea" localSheetId="14" hidden="1">'IWP14'!$A$1:$S$370</definedName>
    <definedName name="Z_B2091B36_14EA_49EC_93AF_D5AA205EF0C1_.wvu.PrintArea" localSheetId="15" hidden="1">'IWP15'!$A$1:$S$370</definedName>
    <definedName name="Z_B2091B36_14EA_49EC_93AF_D5AA205EF0C1_.wvu.PrintArea" localSheetId="16" hidden="1">'IWP16'!$A$1:$S$370</definedName>
    <definedName name="Z_B2091B36_14EA_49EC_93AF_D5AA205EF0C1_.wvu.PrintArea" localSheetId="17" hidden="1">'IWP17'!$A$1:$S$370</definedName>
    <definedName name="Z_B2091B36_14EA_49EC_93AF_D5AA205EF0C1_.wvu.PrintArea" localSheetId="18" hidden="1">'IWP18'!$A$1:$S$370</definedName>
    <definedName name="Z_B2091B36_14EA_49EC_93AF_D5AA205EF0C1_.wvu.PrintArea" localSheetId="19" hidden="1">'IWP19'!$A$1:$S$370</definedName>
    <definedName name="Z_B2091B36_14EA_49EC_93AF_D5AA205EF0C1_.wvu.PrintArea" localSheetId="20" hidden="1">'IWP20'!$A$1:$S$370</definedName>
    <definedName name="Z_B2091B36_14EA_49EC_93AF_D5AA205EF0C1_.wvu.PrintArea" localSheetId="21" hidden="1">'IWP21'!$A$1:$S$370</definedName>
    <definedName name="Z_B2091B36_14EA_49EC_93AF_D5AA205EF0C1_.wvu.PrintArea" localSheetId="22" hidden="1">'IWP22'!$A$1:$S$370</definedName>
    <definedName name="Z_B2091B36_14EA_49EC_93AF_D5AA205EF0C1_.wvu.PrintArea" localSheetId="23" hidden="1">'IWP23'!$A$1:$S$370</definedName>
    <definedName name="Z_B2091B36_14EA_49EC_93AF_D5AA205EF0C1_.wvu.PrintArea" localSheetId="24" hidden="1">'IWP24'!$A$1:$S$370</definedName>
    <definedName name="Z_B2091B36_14EA_49EC_93AF_D5AA205EF0C1_.wvu.PrintArea" localSheetId="25" hidden="1">'IWP25'!$A$1:$S$370</definedName>
    <definedName name="Z_B2091B36_14EA_49EC_93AF_D5AA205EF0C1_.wvu.PrintArea" localSheetId="26" hidden="1">'IWP26'!$A$1:$S$370</definedName>
    <definedName name="Z_B2091B36_14EA_49EC_93AF_D5AA205EF0C1_.wvu.PrintArea" localSheetId="27" hidden="1">'IWP27'!$A$1:$S$370</definedName>
    <definedName name="Z_B2091B36_14EA_49EC_93AF_D5AA205EF0C1_.wvu.PrintArea" localSheetId="28" hidden="1">'IWP28'!$A$1:$S$370</definedName>
    <definedName name="Z_B2091B36_14EA_49EC_93AF_D5AA205EF0C1_.wvu.PrintArea" localSheetId="29" hidden="1">'IWP29'!$A$1:$S$370</definedName>
    <definedName name="Z_B2091B36_14EA_49EC_93AF_D5AA205EF0C1_.wvu.PrintArea" localSheetId="30" hidden="1">'IWP30'!$A$1:$S$370</definedName>
    <definedName name="Z_B2091B36_14EA_49EC_93AF_D5AA205EF0C1_.wvu.PrintArea" localSheetId="42" hidden="1">'Notes (Print)'!$A$1:$L$30</definedName>
    <definedName name="Z_B2091B36_14EA_49EC_93AF_D5AA205EF0C1_.wvu.PrintArea" localSheetId="31" hidden="1">'Personal Care 3 Facility Chklst'!$A$1:$L$58</definedName>
    <definedName name="Z_B2091B36_14EA_49EC_93AF_D5AA205EF0C1_.wvu.PrintTitles" localSheetId="32" hidden="1">'ALRC Indiv Fund Summary (Print)'!$1:$7</definedName>
    <definedName name="Z_B2091B36_14EA_49EC_93AF_D5AA205EF0C1_.wvu.PrintTitles" localSheetId="35" hidden="1">'ALRC Reimbursement'!$1:$5</definedName>
    <definedName name="Z_B2091B36_14EA_49EC_93AF_D5AA205EF0C1_.wvu.PrintTitles" localSheetId="40" hidden="1">'Demand for Pmt Notice (Print)'!$1:$5</definedName>
    <definedName name="Z_B2091B36_14EA_49EC_93AF_D5AA205EF0C1_.wvu.PrintTitles" localSheetId="1" hidden="1">'IWP01'!$1:$4</definedName>
    <definedName name="Z_B2091B36_14EA_49EC_93AF_D5AA205EF0C1_.wvu.PrintTitles" localSheetId="2" hidden="1">'IWP02'!$1:$4</definedName>
    <definedName name="Z_B2091B36_14EA_49EC_93AF_D5AA205EF0C1_.wvu.PrintTitles" localSheetId="3" hidden="1">'IWP03'!$1:$4</definedName>
    <definedName name="Z_B2091B36_14EA_49EC_93AF_D5AA205EF0C1_.wvu.PrintTitles" localSheetId="4" hidden="1">'IWP04'!$1:$4</definedName>
    <definedName name="Z_B2091B36_14EA_49EC_93AF_D5AA205EF0C1_.wvu.PrintTitles" localSheetId="5" hidden="1">'IWP05'!$1:$4</definedName>
    <definedName name="Z_B2091B36_14EA_49EC_93AF_D5AA205EF0C1_.wvu.PrintTitles" localSheetId="6" hidden="1">'IWP06'!$1:$4</definedName>
    <definedName name="Z_B2091B36_14EA_49EC_93AF_D5AA205EF0C1_.wvu.PrintTitles" localSheetId="7" hidden="1">'IWP07'!$1:$4</definedName>
    <definedName name="Z_B2091B36_14EA_49EC_93AF_D5AA205EF0C1_.wvu.PrintTitles" localSheetId="8" hidden="1">'IWP08'!$1:$4</definedName>
    <definedName name="Z_B2091B36_14EA_49EC_93AF_D5AA205EF0C1_.wvu.PrintTitles" localSheetId="9" hidden="1">'IWP09'!$1:$4</definedName>
    <definedName name="Z_B2091B36_14EA_49EC_93AF_D5AA205EF0C1_.wvu.PrintTitles" localSheetId="10" hidden="1">'IWP10'!$1:$4</definedName>
    <definedName name="Z_B2091B36_14EA_49EC_93AF_D5AA205EF0C1_.wvu.PrintTitles" localSheetId="11" hidden="1">'IWP11'!$1:$4</definedName>
    <definedName name="Z_B2091B36_14EA_49EC_93AF_D5AA205EF0C1_.wvu.PrintTitles" localSheetId="12" hidden="1">'IWP12'!$1:$4</definedName>
    <definedName name="Z_B2091B36_14EA_49EC_93AF_D5AA205EF0C1_.wvu.PrintTitles" localSheetId="13" hidden="1">'IWP13'!$1:$4</definedName>
    <definedName name="Z_B2091B36_14EA_49EC_93AF_D5AA205EF0C1_.wvu.PrintTitles" localSheetId="14" hidden="1">'IWP14'!$1:$4</definedName>
    <definedName name="Z_B2091B36_14EA_49EC_93AF_D5AA205EF0C1_.wvu.PrintTitles" localSheetId="15" hidden="1">'IWP15'!$1:$4</definedName>
    <definedName name="Z_B2091B36_14EA_49EC_93AF_D5AA205EF0C1_.wvu.PrintTitles" localSheetId="16" hidden="1">'IWP16'!$1:$4</definedName>
    <definedName name="Z_B2091B36_14EA_49EC_93AF_D5AA205EF0C1_.wvu.PrintTitles" localSheetId="17" hidden="1">'IWP17'!$1:$4</definedName>
    <definedName name="Z_B2091B36_14EA_49EC_93AF_D5AA205EF0C1_.wvu.PrintTitles" localSheetId="18" hidden="1">'IWP18'!$1:$4</definedName>
    <definedName name="Z_B2091B36_14EA_49EC_93AF_D5AA205EF0C1_.wvu.PrintTitles" localSheetId="19" hidden="1">'IWP19'!$1:$4</definedName>
    <definedName name="Z_B2091B36_14EA_49EC_93AF_D5AA205EF0C1_.wvu.PrintTitles" localSheetId="20" hidden="1">'IWP20'!$1:$4</definedName>
    <definedName name="Z_B2091B36_14EA_49EC_93AF_D5AA205EF0C1_.wvu.PrintTitles" localSheetId="21" hidden="1">'IWP21'!$1:$4</definedName>
    <definedName name="Z_B2091B36_14EA_49EC_93AF_D5AA205EF0C1_.wvu.PrintTitles" localSheetId="22" hidden="1">'IWP22'!$1:$4</definedName>
    <definedName name="Z_B2091B36_14EA_49EC_93AF_D5AA205EF0C1_.wvu.PrintTitles" localSheetId="23" hidden="1">'IWP23'!$1:$4</definedName>
    <definedName name="Z_B2091B36_14EA_49EC_93AF_D5AA205EF0C1_.wvu.PrintTitles" localSheetId="24" hidden="1">'IWP24'!$1:$4</definedName>
    <definedName name="Z_B2091B36_14EA_49EC_93AF_D5AA205EF0C1_.wvu.PrintTitles" localSheetId="25" hidden="1">'IWP25'!$1:$4</definedName>
    <definedName name="Z_B2091B36_14EA_49EC_93AF_D5AA205EF0C1_.wvu.PrintTitles" localSheetId="26" hidden="1">'IWP26'!$1:$4</definedName>
    <definedName name="Z_B2091B36_14EA_49EC_93AF_D5AA205EF0C1_.wvu.PrintTitles" localSheetId="27" hidden="1">'IWP27'!$1:$4</definedName>
    <definedName name="Z_B2091B36_14EA_49EC_93AF_D5AA205EF0C1_.wvu.PrintTitles" localSheetId="28" hidden="1">'IWP28'!$1:$4</definedName>
    <definedName name="Z_B2091B36_14EA_49EC_93AF_D5AA205EF0C1_.wvu.PrintTitles" localSheetId="29" hidden="1">'IWP29'!$1:$4</definedName>
    <definedName name="Z_B2091B36_14EA_49EC_93AF_D5AA205EF0C1_.wvu.PrintTitles" localSheetId="30" hidden="1">'IWP30'!$1:$4</definedName>
    <definedName name="Z_B2091B36_14EA_49EC_93AF_D5AA205EF0C1_.wvu.PrintTitles" localSheetId="0" hidden="1">'Monitoring Workbook'!$1:$9</definedName>
    <definedName name="Z_B2091B36_14EA_49EC_93AF_D5AA205EF0C1_.wvu.PrintTitles" localSheetId="31" hidden="1">'Personal Care 3 Facility Chklst'!$1:$10</definedName>
    <definedName name="Z_B2091B36_14EA_49EC_93AF_D5AA205EF0C1_.wvu.PrintTitles" localSheetId="33" hidden="1">'Unlic. Empl. Reqs. (Print)'!$1:$8</definedName>
    <definedName name="Z_B2091B36_14EA_49EC_93AF_D5AA205EF0C1_.wvu.Rows" localSheetId="32" hidden="1">'ALRC Indiv Fund Summary (Print)'!#REF!</definedName>
    <definedName name="Z_B2091B36_14EA_49EC_93AF_D5AA205EF0C1_.wvu.Rows" localSheetId="39" hidden="1">'OHR Compliance Summary (Print)'!$8:$8</definedName>
    <definedName name="Z_B2091B36_14EA_49EC_93AF_D5AA205EF0C1_.wvu.Rows" localSheetId="31" hidden="1">'Personal Care 3 Facility Chklst'!$9:$10</definedName>
  </definedNames>
  <calcPr calcId="191029"/>
  <customWorkbookViews>
    <customWorkbookView name="Nelson,Rose M (HHSC) - Personal View" guid="{A81B7E59-6D30-48F0-895B-EADA4D6F68AC}" mergeInterval="0" personalView="1" maximized="1" xWindow="-11" yWindow="-11" windowWidth="1942" windowHeight="1042" tabRatio="849" activeSheetId="1"/>
    <customWorkbookView name="AISDev - Personal View" guid="{B2091B36-14EA-49EC-93AF-D5AA205EF0C1}" mergeInterval="0" personalView="1" maximized="1" windowWidth="1676" windowHeight="725" tabRatio="912" activeSheetId="1"/>
    <customWorkbookView name="Seymer,Laura L (DADS) - Personal View" guid="{965C3FE4-50BF-43C0-B1D0-366B904E9BAB}" mergeInterval="0" personalView="1" maximized="1" windowWidth="1020" windowHeight="549" tabRatio="810" activeSheetId="42"/>
    <customWorkbookView name="Alaniz-Villarreal,Leticia (DADS) - Personal View" guid="{5C7A2EDE-CAF2-41B7-8EBC-2EB35225299B}" mergeInterval="0" personalView="1" maximized="1" windowWidth="1020" windowHeight="519" tabRatio="810" activeSheetId="1" showFormulaBar="0"/>
    <customWorkbookView name="Crawford,Leveta (DADS) - Personal View" guid="{15DD4F60-D491-4D73-A014-FE6349F17583}" mergeInterval="0" personalView="1" maximized="1" windowWidth="1020" windowHeight="553" tabRatio="810" activeSheetId="42"/>
    <customWorkbookView name="Reed,Schnina L (DADS) - Personal View" guid="{A9399441-FD69-4FCC-BF3B-6E447DD9FB6A}" mergeInterval="0" personalView="1" maximized="1" windowWidth="1020" windowHeight="499" tabRatio="903"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 i="43" l="1"/>
  <c r="I2" i="39"/>
  <c r="N21" i="34"/>
  <c r="N22" i="34"/>
  <c r="N23" i="34"/>
  <c r="N24" i="34"/>
  <c r="N25" i="34"/>
  <c r="N26" i="34"/>
  <c r="N27" i="34"/>
  <c r="N28" i="34"/>
  <c r="N29" i="34"/>
  <c r="N30" i="34"/>
  <c r="N31" i="34"/>
  <c r="N32" i="34"/>
  <c r="N33" i="34"/>
  <c r="N34" i="34"/>
  <c r="N35" i="34"/>
  <c r="N36" i="34"/>
  <c r="N37" i="34"/>
  <c r="N38" i="34"/>
  <c r="N39" i="34"/>
  <c r="N40" i="34"/>
  <c r="N41" i="34"/>
  <c r="N42" i="34"/>
  <c r="N43" i="34"/>
  <c r="N44" i="34"/>
  <c r="N45" i="34"/>
  <c r="N46" i="34"/>
  <c r="N47" i="34"/>
  <c r="N48" i="34"/>
  <c r="N49" i="34"/>
  <c r="N20" i="34"/>
  <c r="J3311" i="44" l="1"/>
  <c r="I3311" i="44"/>
  <c r="G3311" i="44"/>
  <c r="F3311" i="44"/>
  <c r="E3311" i="44"/>
  <c r="D3311" i="44"/>
  <c r="C3311" i="44"/>
  <c r="B3311" i="44"/>
  <c r="J3310" i="44"/>
  <c r="I3310" i="44"/>
  <c r="G3310" i="44"/>
  <c r="F3310" i="44"/>
  <c r="E3310" i="44"/>
  <c r="D3310" i="44"/>
  <c r="C3310" i="44"/>
  <c r="B3310" i="44"/>
  <c r="J3309" i="44"/>
  <c r="I3309" i="44"/>
  <c r="G3309" i="44"/>
  <c r="F3309" i="44"/>
  <c r="E3309" i="44"/>
  <c r="D3309" i="44"/>
  <c r="C3309" i="44"/>
  <c r="B3309" i="44"/>
  <c r="J3308" i="44"/>
  <c r="I3308" i="44"/>
  <c r="G3308" i="44"/>
  <c r="F3308" i="44"/>
  <c r="E3308" i="44"/>
  <c r="D3308" i="44"/>
  <c r="C3308" i="44"/>
  <c r="B3308" i="44"/>
  <c r="J3307" i="44"/>
  <c r="I3307" i="44"/>
  <c r="G3307" i="44"/>
  <c r="F3307" i="44"/>
  <c r="E3307" i="44"/>
  <c r="D3307" i="44"/>
  <c r="C3307" i="44"/>
  <c r="B3307" i="44"/>
  <c r="J3306" i="44"/>
  <c r="I3306" i="44"/>
  <c r="G3306" i="44"/>
  <c r="F3306" i="44"/>
  <c r="E3306" i="44"/>
  <c r="D3306" i="44"/>
  <c r="C3306" i="44"/>
  <c r="B3306" i="44"/>
  <c r="J3305" i="44"/>
  <c r="I3305" i="44"/>
  <c r="G3305" i="44"/>
  <c r="F3305" i="44"/>
  <c r="E3305" i="44"/>
  <c r="D3305" i="44"/>
  <c r="C3305" i="44"/>
  <c r="B3305" i="44"/>
  <c r="J3304" i="44"/>
  <c r="I3304" i="44"/>
  <c r="G3304" i="44"/>
  <c r="F3304" i="44"/>
  <c r="E3304" i="44"/>
  <c r="D3304" i="44"/>
  <c r="C3304" i="44"/>
  <c r="B3304" i="44"/>
  <c r="J3303" i="44"/>
  <c r="I3303" i="44"/>
  <c r="G3303" i="44"/>
  <c r="F3303" i="44"/>
  <c r="E3303" i="44"/>
  <c r="D3303" i="44"/>
  <c r="C3303" i="44"/>
  <c r="B3303" i="44"/>
  <c r="J3302" i="44"/>
  <c r="I3302" i="44"/>
  <c r="G3302" i="44"/>
  <c r="F3302" i="44"/>
  <c r="E3302" i="44"/>
  <c r="D3302" i="44"/>
  <c r="C3302" i="44"/>
  <c r="B3302" i="44"/>
  <c r="J3301" i="44"/>
  <c r="I3301" i="44"/>
  <c r="G3301" i="44"/>
  <c r="F3301" i="44"/>
  <c r="E3301" i="44"/>
  <c r="D3301" i="44"/>
  <c r="C3301" i="44"/>
  <c r="B3301" i="44"/>
  <c r="J3300" i="44"/>
  <c r="I3300" i="44"/>
  <c r="G3300" i="44"/>
  <c r="F3300" i="44"/>
  <c r="E3300" i="44"/>
  <c r="D3300" i="44"/>
  <c r="C3300" i="44"/>
  <c r="B3300" i="44"/>
  <c r="J3299" i="44"/>
  <c r="I3299" i="44"/>
  <c r="G3299" i="44"/>
  <c r="F3299" i="44"/>
  <c r="E3299" i="44"/>
  <c r="D3299" i="44"/>
  <c r="C3299" i="44"/>
  <c r="B3299" i="44"/>
  <c r="J3298" i="44"/>
  <c r="I3298" i="44"/>
  <c r="G3298" i="44"/>
  <c r="F3298" i="44"/>
  <c r="E3298" i="44"/>
  <c r="D3298" i="44"/>
  <c r="C3298" i="44"/>
  <c r="B3298" i="44"/>
  <c r="J3297" i="44"/>
  <c r="I3297" i="44"/>
  <c r="G3297" i="44"/>
  <c r="F3297" i="44"/>
  <c r="E3297" i="44"/>
  <c r="D3297" i="44"/>
  <c r="C3297" i="44"/>
  <c r="B3297" i="44"/>
  <c r="J3296" i="44"/>
  <c r="I3296" i="44"/>
  <c r="G3296" i="44"/>
  <c r="F3296" i="44"/>
  <c r="E3296" i="44"/>
  <c r="D3296" i="44"/>
  <c r="C3296" i="44"/>
  <c r="B3296" i="44"/>
  <c r="J3295" i="44"/>
  <c r="I3295" i="44"/>
  <c r="G3295" i="44"/>
  <c r="F3295" i="44"/>
  <c r="E3295" i="44"/>
  <c r="D3295" i="44"/>
  <c r="C3295" i="44"/>
  <c r="B3295" i="44"/>
  <c r="J3294" i="44"/>
  <c r="I3294" i="44"/>
  <c r="G3294" i="44"/>
  <c r="F3294" i="44"/>
  <c r="E3294" i="44"/>
  <c r="D3294" i="44"/>
  <c r="C3294" i="44"/>
  <c r="B3294" i="44"/>
  <c r="J3293" i="44"/>
  <c r="I3293" i="44"/>
  <c r="G3293" i="44"/>
  <c r="F3293" i="44"/>
  <c r="E3293" i="44"/>
  <c r="D3293" i="44"/>
  <c r="C3293" i="44"/>
  <c r="B3293" i="44"/>
  <c r="J3292" i="44"/>
  <c r="I3292" i="44"/>
  <c r="G3292" i="44"/>
  <c r="F3292" i="44"/>
  <c r="E3292" i="44"/>
  <c r="D3292" i="44"/>
  <c r="C3292" i="44"/>
  <c r="B3292" i="44"/>
  <c r="J3291" i="44"/>
  <c r="I3291" i="44"/>
  <c r="G3291" i="44"/>
  <c r="F3291" i="44"/>
  <c r="E3291" i="44"/>
  <c r="D3291" i="44"/>
  <c r="C3291" i="44"/>
  <c r="B3291" i="44"/>
  <c r="J3290" i="44"/>
  <c r="I3290" i="44"/>
  <c r="G3290" i="44"/>
  <c r="F3290" i="44"/>
  <c r="E3290" i="44"/>
  <c r="D3290" i="44"/>
  <c r="C3290" i="44"/>
  <c r="B3290" i="44"/>
  <c r="J3289" i="44"/>
  <c r="I3289" i="44"/>
  <c r="G3289" i="44"/>
  <c r="F3289" i="44"/>
  <c r="E3289" i="44"/>
  <c r="D3289" i="44"/>
  <c r="C3289" i="44"/>
  <c r="B3289" i="44"/>
  <c r="J3288" i="44"/>
  <c r="I3288" i="44"/>
  <c r="G3288" i="44"/>
  <c r="F3288" i="44"/>
  <c r="E3288" i="44"/>
  <c r="D3288" i="44"/>
  <c r="C3288" i="44"/>
  <c r="B3288" i="44"/>
  <c r="J3287" i="44"/>
  <c r="I3287" i="44"/>
  <c r="G3287" i="44"/>
  <c r="F3287" i="44"/>
  <c r="E3287" i="44"/>
  <c r="D3287" i="44"/>
  <c r="C3287" i="44"/>
  <c r="B3287" i="44"/>
  <c r="J3286" i="44"/>
  <c r="I3286" i="44"/>
  <c r="G3286" i="44"/>
  <c r="F3286" i="44"/>
  <c r="E3286" i="44"/>
  <c r="D3286" i="44"/>
  <c r="C3286" i="44"/>
  <c r="B3286" i="44"/>
  <c r="J3285" i="44"/>
  <c r="I3285" i="44"/>
  <c r="G3285" i="44"/>
  <c r="F3285" i="44"/>
  <c r="E3285" i="44"/>
  <c r="D3285" i="44"/>
  <c r="C3285" i="44"/>
  <c r="B3285" i="44"/>
  <c r="J3284" i="44"/>
  <c r="I3284" i="44"/>
  <c r="G3284" i="44"/>
  <c r="F3284" i="44"/>
  <c r="E3284" i="44"/>
  <c r="D3284" i="44"/>
  <c r="C3284" i="44"/>
  <c r="B3284" i="44"/>
  <c r="J3283" i="44"/>
  <c r="I3283" i="44"/>
  <c r="G3283" i="44"/>
  <c r="F3283" i="44"/>
  <c r="E3283" i="44"/>
  <c r="D3283" i="44"/>
  <c r="C3283" i="44"/>
  <c r="B3283" i="44"/>
  <c r="J3282" i="44"/>
  <c r="I3282" i="44"/>
  <c r="G3282" i="44"/>
  <c r="F3282" i="44"/>
  <c r="E3282" i="44"/>
  <c r="D3282" i="44"/>
  <c r="C3282" i="44"/>
  <c r="B3282" i="44"/>
  <c r="J3281" i="44"/>
  <c r="I3281" i="44"/>
  <c r="G3281" i="44"/>
  <c r="F3281" i="44"/>
  <c r="E3281" i="44"/>
  <c r="D3281" i="44"/>
  <c r="C3281" i="44"/>
  <c r="B3281" i="44"/>
  <c r="J3280" i="44"/>
  <c r="I3280" i="44"/>
  <c r="G3280" i="44"/>
  <c r="F3280" i="44"/>
  <c r="E3280" i="44"/>
  <c r="D3280" i="44"/>
  <c r="C3280" i="44"/>
  <c r="B3280" i="44"/>
  <c r="J3279" i="44"/>
  <c r="I3279" i="44"/>
  <c r="G3279" i="44"/>
  <c r="F3279" i="44"/>
  <c r="E3279" i="44"/>
  <c r="D3279" i="44"/>
  <c r="C3279" i="44"/>
  <c r="B3279" i="44"/>
  <c r="J3278" i="44"/>
  <c r="I3278" i="44"/>
  <c r="G3278" i="44"/>
  <c r="F3278" i="44"/>
  <c r="E3278" i="44"/>
  <c r="D3278" i="44"/>
  <c r="C3278" i="44"/>
  <c r="B3278" i="44"/>
  <c r="J3277" i="44"/>
  <c r="I3277" i="44"/>
  <c r="G3277" i="44"/>
  <c r="F3277" i="44"/>
  <c r="E3277" i="44"/>
  <c r="D3277" i="44"/>
  <c r="C3277" i="44"/>
  <c r="B3277" i="44"/>
  <c r="J3276" i="44"/>
  <c r="I3276" i="44"/>
  <c r="G3276" i="44"/>
  <c r="F3276" i="44"/>
  <c r="E3276" i="44"/>
  <c r="D3276" i="44"/>
  <c r="C3276" i="44"/>
  <c r="B3276" i="44"/>
  <c r="J3275" i="44"/>
  <c r="I3275" i="44"/>
  <c r="G3275" i="44"/>
  <c r="F3275" i="44"/>
  <c r="E3275" i="44"/>
  <c r="D3275" i="44"/>
  <c r="C3275" i="44"/>
  <c r="B3275" i="44"/>
  <c r="J3274" i="44"/>
  <c r="I3274" i="44"/>
  <c r="G3274" i="44"/>
  <c r="F3274" i="44"/>
  <c r="E3274" i="44"/>
  <c r="D3274" i="44"/>
  <c r="C3274" i="44"/>
  <c r="B3274" i="44"/>
  <c r="J3273" i="44"/>
  <c r="I3273" i="44"/>
  <c r="G3273" i="44"/>
  <c r="F3273" i="44"/>
  <c r="E3273" i="44"/>
  <c r="D3273" i="44"/>
  <c r="C3273" i="44"/>
  <c r="B3273" i="44"/>
  <c r="J3272" i="44"/>
  <c r="I3272" i="44"/>
  <c r="G3272" i="44"/>
  <c r="F3272" i="44"/>
  <c r="E3272" i="44"/>
  <c r="D3272" i="44"/>
  <c r="C3272" i="44"/>
  <c r="B3272" i="44"/>
  <c r="J3271" i="44"/>
  <c r="I3271" i="44"/>
  <c r="G3271" i="44"/>
  <c r="F3271" i="44"/>
  <c r="E3271" i="44"/>
  <c r="D3271" i="44"/>
  <c r="C3271" i="44"/>
  <c r="B3271" i="44"/>
  <c r="J3270" i="44"/>
  <c r="I3270" i="44"/>
  <c r="G3270" i="44"/>
  <c r="F3270" i="44"/>
  <c r="E3270" i="44"/>
  <c r="D3270" i="44"/>
  <c r="C3270" i="44"/>
  <c r="B3270" i="44"/>
  <c r="J3269" i="44"/>
  <c r="I3269" i="44"/>
  <c r="G3269" i="44"/>
  <c r="F3269" i="44"/>
  <c r="E3269" i="44"/>
  <c r="D3269" i="44"/>
  <c r="C3269" i="44"/>
  <c r="B3269" i="44"/>
  <c r="J3268" i="44"/>
  <c r="I3268" i="44"/>
  <c r="G3268" i="44"/>
  <c r="F3268" i="44"/>
  <c r="E3268" i="44"/>
  <c r="D3268" i="44"/>
  <c r="C3268" i="44"/>
  <c r="B3268" i="44"/>
  <c r="J3267" i="44"/>
  <c r="I3267" i="44"/>
  <c r="G3267" i="44"/>
  <c r="F3267" i="44"/>
  <c r="E3267" i="44"/>
  <c r="D3267" i="44"/>
  <c r="C3267" i="44"/>
  <c r="B3267" i="44"/>
  <c r="J3266" i="44"/>
  <c r="I3266" i="44"/>
  <c r="G3266" i="44"/>
  <c r="F3266" i="44"/>
  <c r="E3266" i="44"/>
  <c r="D3266" i="44"/>
  <c r="C3266" i="44"/>
  <c r="B3266" i="44"/>
  <c r="J3265" i="44"/>
  <c r="I3265" i="44"/>
  <c r="G3265" i="44"/>
  <c r="F3265" i="44"/>
  <c r="E3265" i="44"/>
  <c r="D3265" i="44"/>
  <c r="C3265" i="44"/>
  <c r="B3265" i="44"/>
  <c r="J3264" i="44"/>
  <c r="I3264" i="44"/>
  <c r="G3264" i="44"/>
  <c r="F3264" i="44"/>
  <c r="E3264" i="44"/>
  <c r="D3264" i="44"/>
  <c r="C3264" i="44"/>
  <c r="B3264" i="44"/>
  <c r="J3263" i="44"/>
  <c r="I3263" i="44"/>
  <c r="G3263" i="44"/>
  <c r="F3263" i="44"/>
  <c r="E3263" i="44"/>
  <c r="D3263" i="44"/>
  <c r="C3263" i="44"/>
  <c r="B3263" i="44"/>
  <c r="J3262" i="44"/>
  <c r="I3262" i="44"/>
  <c r="G3262" i="44"/>
  <c r="F3262" i="44"/>
  <c r="E3262" i="44"/>
  <c r="D3262" i="44"/>
  <c r="C3262" i="44"/>
  <c r="B3262" i="44"/>
  <c r="J3261" i="44"/>
  <c r="I3261" i="44"/>
  <c r="G3261" i="44"/>
  <c r="F3261" i="44"/>
  <c r="E3261" i="44"/>
  <c r="D3261" i="44"/>
  <c r="C3261" i="44"/>
  <c r="B3261" i="44"/>
  <c r="J3260" i="44"/>
  <c r="I3260" i="44"/>
  <c r="G3260" i="44"/>
  <c r="F3260" i="44"/>
  <c r="E3260" i="44"/>
  <c r="D3260" i="44"/>
  <c r="C3260" i="44"/>
  <c r="B3260" i="44"/>
  <c r="J3259" i="44"/>
  <c r="I3259" i="44"/>
  <c r="G3259" i="44"/>
  <c r="F3259" i="44"/>
  <c r="E3259" i="44"/>
  <c r="D3259" i="44"/>
  <c r="C3259" i="44"/>
  <c r="B3259" i="44"/>
  <c r="J3258" i="44"/>
  <c r="I3258" i="44"/>
  <c r="G3258" i="44"/>
  <c r="F3258" i="44"/>
  <c r="E3258" i="44"/>
  <c r="D3258" i="44"/>
  <c r="C3258" i="44"/>
  <c r="B3258" i="44"/>
  <c r="J3257" i="44"/>
  <c r="I3257" i="44"/>
  <c r="G3257" i="44"/>
  <c r="F3257" i="44"/>
  <c r="E3257" i="44"/>
  <c r="D3257" i="44"/>
  <c r="C3257" i="44"/>
  <c r="B3257" i="44"/>
  <c r="J3256" i="44"/>
  <c r="I3256" i="44"/>
  <c r="G3256" i="44"/>
  <c r="F3256" i="44"/>
  <c r="E3256" i="44"/>
  <c r="D3256" i="44"/>
  <c r="C3256" i="44"/>
  <c r="B3256" i="44"/>
  <c r="J3255" i="44"/>
  <c r="I3255" i="44"/>
  <c r="G3255" i="44"/>
  <c r="F3255" i="44"/>
  <c r="E3255" i="44"/>
  <c r="D3255" i="44"/>
  <c r="C3255" i="44"/>
  <c r="B3255" i="44"/>
  <c r="J3254" i="44"/>
  <c r="I3254" i="44"/>
  <c r="G3254" i="44"/>
  <c r="F3254" i="44"/>
  <c r="E3254" i="44"/>
  <c r="D3254" i="44"/>
  <c r="C3254" i="44"/>
  <c r="B3254" i="44"/>
  <c r="J3253" i="44"/>
  <c r="I3253" i="44"/>
  <c r="G3253" i="44"/>
  <c r="F3253" i="44"/>
  <c r="E3253" i="44"/>
  <c r="D3253" i="44"/>
  <c r="C3253" i="44"/>
  <c r="B3253" i="44"/>
  <c r="J3252" i="44"/>
  <c r="I3252" i="44"/>
  <c r="G3252" i="44"/>
  <c r="F3252" i="44"/>
  <c r="E3252" i="44"/>
  <c r="D3252" i="44"/>
  <c r="C3252" i="44"/>
  <c r="B3252" i="44"/>
  <c r="J3251" i="44"/>
  <c r="I3251" i="44"/>
  <c r="G3251" i="44"/>
  <c r="F3251" i="44"/>
  <c r="E3251" i="44"/>
  <c r="D3251" i="44"/>
  <c r="C3251" i="44"/>
  <c r="B3251" i="44"/>
  <c r="J3250" i="44"/>
  <c r="I3250" i="44"/>
  <c r="G3250" i="44"/>
  <c r="F3250" i="44"/>
  <c r="E3250" i="44"/>
  <c r="D3250" i="44"/>
  <c r="C3250" i="44"/>
  <c r="B3250" i="44"/>
  <c r="J3249" i="44"/>
  <c r="I3249" i="44"/>
  <c r="G3249" i="44"/>
  <c r="F3249" i="44"/>
  <c r="E3249" i="44"/>
  <c r="D3249" i="44"/>
  <c r="C3249" i="44"/>
  <c r="B3249" i="44"/>
  <c r="J3248" i="44"/>
  <c r="I3248" i="44"/>
  <c r="G3248" i="44"/>
  <c r="F3248" i="44"/>
  <c r="E3248" i="44"/>
  <c r="D3248" i="44"/>
  <c r="C3248" i="44"/>
  <c r="B3248" i="44"/>
  <c r="J3247" i="44"/>
  <c r="I3247" i="44"/>
  <c r="G3247" i="44"/>
  <c r="F3247" i="44"/>
  <c r="E3247" i="44"/>
  <c r="D3247" i="44"/>
  <c r="C3247" i="44"/>
  <c r="B3247" i="44"/>
  <c r="J3246" i="44"/>
  <c r="I3246" i="44"/>
  <c r="G3246" i="44"/>
  <c r="F3246" i="44"/>
  <c r="E3246" i="44"/>
  <c r="D3246" i="44"/>
  <c r="C3246" i="44"/>
  <c r="B3246" i="44"/>
  <c r="J3245" i="44"/>
  <c r="I3245" i="44"/>
  <c r="G3245" i="44"/>
  <c r="F3245" i="44"/>
  <c r="E3245" i="44"/>
  <c r="D3245" i="44"/>
  <c r="C3245" i="44"/>
  <c r="B3245" i="44"/>
  <c r="J3244" i="44"/>
  <c r="I3244" i="44"/>
  <c r="G3244" i="44"/>
  <c r="F3244" i="44"/>
  <c r="E3244" i="44"/>
  <c r="D3244" i="44"/>
  <c r="C3244" i="44"/>
  <c r="B3244" i="44"/>
  <c r="J3243" i="44"/>
  <c r="I3243" i="44"/>
  <c r="G3243" i="44"/>
  <c r="F3243" i="44"/>
  <c r="E3243" i="44"/>
  <c r="D3243" i="44"/>
  <c r="C3243" i="44"/>
  <c r="B3243" i="44"/>
  <c r="J3242" i="44"/>
  <c r="I3242" i="44"/>
  <c r="G3242" i="44"/>
  <c r="F3242" i="44"/>
  <c r="E3242" i="44"/>
  <c r="D3242" i="44"/>
  <c r="C3242" i="44"/>
  <c r="B3242" i="44"/>
  <c r="J3241" i="44"/>
  <c r="I3241" i="44"/>
  <c r="G3241" i="44"/>
  <c r="F3241" i="44"/>
  <c r="E3241" i="44"/>
  <c r="D3241" i="44"/>
  <c r="C3241" i="44"/>
  <c r="B3241" i="44"/>
  <c r="J3240" i="44"/>
  <c r="I3240" i="44"/>
  <c r="G3240" i="44"/>
  <c r="F3240" i="44"/>
  <c r="E3240" i="44"/>
  <c r="D3240" i="44"/>
  <c r="C3240" i="44"/>
  <c r="B3240" i="44"/>
  <c r="J3239" i="44"/>
  <c r="I3239" i="44"/>
  <c r="G3239" i="44"/>
  <c r="F3239" i="44"/>
  <c r="E3239" i="44"/>
  <c r="D3239" i="44"/>
  <c r="C3239" i="44"/>
  <c r="B3239" i="44"/>
  <c r="J3238" i="44"/>
  <c r="I3238" i="44"/>
  <c r="G3238" i="44"/>
  <c r="F3238" i="44"/>
  <c r="E3238" i="44"/>
  <c r="D3238" i="44"/>
  <c r="C3238" i="44"/>
  <c r="B3238" i="44"/>
  <c r="J3237" i="44"/>
  <c r="I3237" i="44"/>
  <c r="G3237" i="44"/>
  <c r="F3237" i="44"/>
  <c r="E3237" i="44"/>
  <c r="D3237" i="44"/>
  <c r="C3237" i="44"/>
  <c r="B3237" i="44"/>
  <c r="J3236" i="44"/>
  <c r="I3236" i="44"/>
  <c r="G3236" i="44"/>
  <c r="F3236" i="44"/>
  <c r="E3236" i="44"/>
  <c r="D3236" i="44"/>
  <c r="C3236" i="44"/>
  <c r="B3236" i="44"/>
  <c r="J3235" i="44"/>
  <c r="I3235" i="44"/>
  <c r="G3235" i="44"/>
  <c r="F3235" i="44"/>
  <c r="E3235" i="44"/>
  <c r="D3235" i="44"/>
  <c r="C3235" i="44"/>
  <c r="B3235" i="44"/>
  <c r="J3234" i="44"/>
  <c r="I3234" i="44"/>
  <c r="G3234" i="44"/>
  <c r="F3234" i="44"/>
  <c r="E3234" i="44"/>
  <c r="D3234" i="44"/>
  <c r="C3234" i="44"/>
  <c r="B3234" i="44"/>
  <c r="J3233" i="44"/>
  <c r="I3233" i="44"/>
  <c r="G3233" i="44"/>
  <c r="F3233" i="44"/>
  <c r="E3233" i="44"/>
  <c r="D3233" i="44"/>
  <c r="C3233" i="44"/>
  <c r="B3233" i="44"/>
  <c r="J3232" i="44"/>
  <c r="I3232" i="44"/>
  <c r="G3232" i="44"/>
  <c r="F3232" i="44"/>
  <c r="E3232" i="44"/>
  <c r="D3232" i="44"/>
  <c r="C3232" i="44"/>
  <c r="B3232" i="44"/>
  <c r="J3231" i="44"/>
  <c r="I3231" i="44"/>
  <c r="G3231" i="44"/>
  <c r="F3231" i="44"/>
  <c r="E3231" i="44"/>
  <c r="D3231" i="44"/>
  <c r="C3231" i="44"/>
  <c r="B3231" i="44"/>
  <c r="J3230" i="44"/>
  <c r="I3230" i="44"/>
  <c r="G3230" i="44"/>
  <c r="F3230" i="44"/>
  <c r="E3230" i="44"/>
  <c r="D3230" i="44"/>
  <c r="C3230" i="44"/>
  <c r="B3230" i="44"/>
  <c r="J3229" i="44"/>
  <c r="I3229" i="44"/>
  <c r="G3229" i="44"/>
  <c r="F3229" i="44"/>
  <c r="E3229" i="44"/>
  <c r="D3229" i="44"/>
  <c r="C3229" i="44"/>
  <c r="B3229" i="44"/>
  <c r="J3228" i="44"/>
  <c r="I3228" i="44"/>
  <c r="G3228" i="44"/>
  <c r="F3228" i="44"/>
  <c r="E3228" i="44"/>
  <c r="D3228" i="44"/>
  <c r="C3228" i="44"/>
  <c r="B3228" i="44"/>
  <c r="J3227" i="44"/>
  <c r="I3227" i="44"/>
  <c r="G3227" i="44"/>
  <c r="F3227" i="44"/>
  <c r="E3227" i="44"/>
  <c r="D3227" i="44"/>
  <c r="C3227" i="44"/>
  <c r="B3227" i="44"/>
  <c r="J3226" i="44"/>
  <c r="I3226" i="44"/>
  <c r="G3226" i="44"/>
  <c r="F3226" i="44"/>
  <c r="E3226" i="44"/>
  <c r="D3226" i="44"/>
  <c r="C3226" i="44"/>
  <c r="B3226" i="44"/>
  <c r="J3225" i="44"/>
  <c r="I3225" i="44"/>
  <c r="G3225" i="44"/>
  <c r="F3225" i="44"/>
  <c r="E3225" i="44"/>
  <c r="D3225" i="44"/>
  <c r="C3225" i="44"/>
  <c r="B3225" i="44"/>
  <c r="J3224" i="44"/>
  <c r="I3224" i="44"/>
  <c r="G3224" i="44"/>
  <c r="F3224" i="44"/>
  <c r="E3224" i="44"/>
  <c r="D3224" i="44"/>
  <c r="C3224" i="44"/>
  <c r="B3224" i="44"/>
  <c r="J3223" i="44"/>
  <c r="I3223" i="44"/>
  <c r="G3223" i="44"/>
  <c r="F3223" i="44"/>
  <c r="E3223" i="44"/>
  <c r="D3223" i="44"/>
  <c r="C3223" i="44"/>
  <c r="B3223" i="44"/>
  <c r="J3222" i="44"/>
  <c r="I3222" i="44"/>
  <c r="G3222" i="44"/>
  <c r="F3222" i="44"/>
  <c r="E3222" i="44"/>
  <c r="D3222" i="44"/>
  <c r="C3222" i="44"/>
  <c r="B3222" i="44"/>
  <c r="J3221" i="44"/>
  <c r="I3221" i="44"/>
  <c r="G3221" i="44"/>
  <c r="F3221" i="44"/>
  <c r="E3221" i="44"/>
  <c r="D3221" i="44"/>
  <c r="C3221" i="44"/>
  <c r="B3221" i="44"/>
  <c r="J3220" i="44"/>
  <c r="I3220" i="44"/>
  <c r="G3220" i="44"/>
  <c r="F3220" i="44"/>
  <c r="E3220" i="44"/>
  <c r="D3220" i="44"/>
  <c r="C3220" i="44"/>
  <c r="B3220" i="44"/>
  <c r="J3219" i="44"/>
  <c r="I3219" i="44"/>
  <c r="G3219" i="44"/>
  <c r="F3219" i="44"/>
  <c r="E3219" i="44"/>
  <c r="D3219" i="44"/>
  <c r="C3219" i="44"/>
  <c r="B3219" i="44"/>
  <c r="J3218" i="44"/>
  <c r="I3218" i="44"/>
  <c r="G3218" i="44"/>
  <c r="F3218" i="44"/>
  <c r="E3218" i="44"/>
  <c r="D3218" i="44"/>
  <c r="C3218" i="44"/>
  <c r="B3218" i="44"/>
  <c r="J3217" i="44"/>
  <c r="I3217" i="44"/>
  <c r="G3217" i="44"/>
  <c r="F3217" i="44"/>
  <c r="E3217" i="44"/>
  <c r="D3217" i="44"/>
  <c r="C3217" i="44"/>
  <c r="B3217" i="44"/>
  <c r="J3216" i="44"/>
  <c r="I3216" i="44"/>
  <c r="G3216" i="44"/>
  <c r="F3216" i="44"/>
  <c r="E3216" i="44"/>
  <c r="D3216" i="44"/>
  <c r="C3216" i="44"/>
  <c r="B3216" i="44"/>
  <c r="J3215" i="44"/>
  <c r="I3215" i="44"/>
  <c r="G3215" i="44"/>
  <c r="F3215" i="44"/>
  <c r="E3215" i="44"/>
  <c r="D3215" i="44"/>
  <c r="C3215" i="44"/>
  <c r="B3215" i="44"/>
  <c r="J3214" i="44"/>
  <c r="I3214" i="44"/>
  <c r="G3214" i="44"/>
  <c r="F3214" i="44"/>
  <c r="E3214" i="44"/>
  <c r="D3214" i="44"/>
  <c r="C3214" i="44"/>
  <c r="B3214" i="44"/>
  <c r="J3213" i="44"/>
  <c r="I3213" i="44"/>
  <c r="G3213" i="44"/>
  <c r="F3213" i="44"/>
  <c r="E3213" i="44"/>
  <c r="D3213" i="44"/>
  <c r="C3213" i="44"/>
  <c r="B3213" i="44"/>
  <c r="J3212" i="44"/>
  <c r="I3212" i="44"/>
  <c r="G3212" i="44"/>
  <c r="F3212" i="44"/>
  <c r="E3212" i="44"/>
  <c r="D3212" i="44"/>
  <c r="C3212" i="44"/>
  <c r="B3212" i="44"/>
  <c r="J3211" i="44"/>
  <c r="I3211" i="44"/>
  <c r="G3211" i="44"/>
  <c r="F3211" i="44"/>
  <c r="E3211" i="44"/>
  <c r="D3211" i="44"/>
  <c r="C3211" i="44"/>
  <c r="B3211" i="44"/>
  <c r="J3210" i="44"/>
  <c r="I3210" i="44"/>
  <c r="G3210" i="44"/>
  <c r="F3210" i="44"/>
  <c r="E3210" i="44"/>
  <c r="D3210" i="44"/>
  <c r="C3210" i="44"/>
  <c r="B3210" i="44"/>
  <c r="J3209" i="44"/>
  <c r="I3209" i="44"/>
  <c r="G3209" i="44"/>
  <c r="F3209" i="44"/>
  <c r="E3209" i="44"/>
  <c r="D3209" i="44"/>
  <c r="C3209" i="44"/>
  <c r="B3209" i="44"/>
  <c r="J3208" i="44"/>
  <c r="I3208" i="44"/>
  <c r="G3208" i="44"/>
  <c r="F3208" i="44"/>
  <c r="E3208" i="44"/>
  <c r="D3208" i="44"/>
  <c r="C3208" i="44"/>
  <c r="B3208" i="44"/>
  <c r="J3207" i="44"/>
  <c r="I3207" i="44"/>
  <c r="G3207" i="44"/>
  <c r="F3207" i="44"/>
  <c r="E3207" i="44"/>
  <c r="D3207" i="44"/>
  <c r="C3207" i="44"/>
  <c r="B3207" i="44"/>
  <c r="J3206" i="44"/>
  <c r="I3206" i="44"/>
  <c r="G3206" i="44"/>
  <c r="F3206" i="44"/>
  <c r="E3206" i="44"/>
  <c r="D3206" i="44"/>
  <c r="C3206" i="44"/>
  <c r="B3206" i="44"/>
  <c r="J3205" i="44"/>
  <c r="I3205" i="44"/>
  <c r="G3205" i="44"/>
  <c r="F3205" i="44"/>
  <c r="E3205" i="44"/>
  <c r="D3205" i="44"/>
  <c r="C3205" i="44"/>
  <c r="B3205" i="44"/>
  <c r="J3204" i="44"/>
  <c r="I3204" i="44"/>
  <c r="G3204" i="44"/>
  <c r="F3204" i="44"/>
  <c r="E3204" i="44"/>
  <c r="D3204" i="44"/>
  <c r="C3204" i="44"/>
  <c r="B3204" i="44"/>
  <c r="J3203" i="44"/>
  <c r="I3203" i="44"/>
  <c r="G3203" i="44"/>
  <c r="F3203" i="44"/>
  <c r="E3203" i="44"/>
  <c r="D3203" i="44"/>
  <c r="C3203" i="44"/>
  <c r="B3203" i="44"/>
  <c r="J3202" i="44"/>
  <c r="I3202" i="44"/>
  <c r="G3202" i="44"/>
  <c r="F3202" i="44"/>
  <c r="E3202" i="44"/>
  <c r="D3202" i="44"/>
  <c r="C3202" i="44"/>
  <c r="B3202" i="44"/>
  <c r="J3201" i="44"/>
  <c r="I3201" i="44"/>
  <c r="G3201" i="44"/>
  <c r="F3201" i="44"/>
  <c r="E3201" i="44"/>
  <c r="D3201" i="44"/>
  <c r="C3201" i="44"/>
  <c r="B3201" i="44"/>
  <c r="J3200" i="44"/>
  <c r="I3200" i="44"/>
  <c r="G3200" i="44"/>
  <c r="F3200" i="44"/>
  <c r="E3200" i="44"/>
  <c r="D3200" i="44"/>
  <c r="C3200" i="44"/>
  <c r="B3200" i="44"/>
  <c r="J3199" i="44"/>
  <c r="I3199" i="44"/>
  <c r="G3199" i="44"/>
  <c r="F3199" i="44"/>
  <c r="E3199" i="44"/>
  <c r="D3199" i="44"/>
  <c r="C3199" i="44"/>
  <c r="B3199" i="44"/>
  <c r="J3198" i="44"/>
  <c r="I3198" i="44"/>
  <c r="G3198" i="44"/>
  <c r="F3198" i="44"/>
  <c r="E3198" i="44"/>
  <c r="D3198" i="44"/>
  <c r="C3198" i="44"/>
  <c r="B3198" i="44"/>
  <c r="J3197" i="44"/>
  <c r="I3197" i="44"/>
  <c r="G3197" i="44"/>
  <c r="F3197" i="44"/>
  <c r="E3197" i="44"/>
  <c r="D3197" i="44"/>
  <c r="C3197" i="44"/>
  <c r="B3197" i="44"/>
  <c r="J3196" i="44"/>
  <c r="I3196" i="44"/>
  <c r="G3196" i="44"/>
  <c r="F3196" i="44"/>
  <c r="E3196" i="44"/>
  <c r="D3196" i="44"/>
  <c r="C3196" i="44"/>
  <c r="B3196" i="44"/>
  <c r="J3195" i="44"/>
  <c r="I3195" i="44"/>
  <c r="G3195" i="44"/>
  <c r="F3195" i="44"/>
  <c r="E3195" i="44"/>
  <c r="D3195" i="44"/>
  <c r="C3195" i="44"/>
  <c r="B3195" i="44"/>
  <c r="J3194" i="44"/>
  <c r="I3194" i="44"/>
  <c r="G3194" i="44"/>
  <c r="F3194" i="44"/>
  <c r="E3194" i="44"/>
  <c r="D3194" i="44"/>
  <c r="C3194" i="44"/>
  <c r="B3194" i="44"/>
  <c r="J3193" i="44"/>
  <c r="I3193" i="44"/>
  <c r="G3193" i="44"/>
  <c r="F3193" i="44"/>
  <c r="E3193" i="44"/>
  <c r="D3193" i="44"/>
  <c r="C3193" i="44"/>
  <c r="B3193" i="44"/>
  <c r="J3192" i="44"/>
  <c r="I3192" i="44"/>
  <c r="G3192" i="44"/>
  <c r="F3192" i="44"/>
  <c r="E3192" i="44"/>
  <c r="D3192" i="44"/>
  <c r="C3192" i="44"/>
  <c r="B3192" i="44"/>
  <c r="J3191" i="44"/>
  <c r="I3191" i="44"/>
  <c r="G3191" i="44"/>
  <c r="F3191" i="44"/>
  <c r="E3191" i="44"/>
  <c r="D3191" i="44"/>
  <c r="C3191" i="44"/>
  <c r="B3191" i="44"/>
  <c r="J3190" i="44"/>
  <c r="I3190" i="44"/>
  <c r="G3190" i="44"/>
  <c r="F3190" i="44"/>
  <c r="E3190" i="44"/>
  <c r="D3190" i="44"/>
  <c r="C3190" i="44"/>
  <c r="B3190" i="44"/>
  <c r="J3189" i="44"/>
  <c r="I3189" i="44"/>
  <c r="G3189" i="44"/>
  <c r="F3189" i="44"/>
  <c r="E3189" i="44"/>
  <c r="D3189" i="44"/>
  <c r="C3189" i="44"/>
  <c r="B3189" i="44"/>
  <c r="J3188" i="44"/>
  <c r="I3188" i="44"/>
  <c r="G3188" i="44"/>
  <c r="F3188" i="44"/>
  <c r="E3188" i="44"/>
  <c r="D3188" i="44"/>
  <c r="C3188" i="44"/>
  <c r="B3188" i="44"/>
  <c r="J3187" i="44"/>
  <c r="I3187" i="44"/>
  <c r="G3187" i="44"/>
  <c r="F3187" i="44"/>
  <c r="E3187" i="44"/>
  <c r="D3187" i="44"/>
  <c r="C3187" i="44"/>
  <c r="B3187" i="44"/>
  <c r="J3186" i="44"/>
  <c r="I3186" i="44"/>
  <c r="G3186" i="44"/>
  <c r="F3186" i="44"/>
  <c r="E3186" i="44"/>
  <c r="D3186" i="44"/>
  <c r="C3186" i="44"/>
  <c r="B3186" i="44"/>
  <c r="J3185" i="44"/>
  <c r="I3185" i="44"/>
  <c r="G3185" i="44"/>
  <c r="F3185" i="44"/>
  <c r="E3185" i="44"/>
  <c r="D3185" i="44"/>
  <c r="C3185" i="44"/>
  <c r="B3185" i="44"/>
  <c r="J3184" i="44"/>
  <c r="I3184" i="44"/>
  <c r="G3184" i="44"/>
  <c r="F3184" i="44"/>
  <c r="E3184" i="44"/>
  <c r="D3184" i="44"/>
  <c r="C3184" i="44"/>
  <c r="B3184" i="44"/>
  <c r="J3183" i="44"/>
  <c r="I3183" i="44"/>
  <c r="G3183" i="44"/>
  <c r="F3183" i="44"/>
  <c r="E3183" i="44"/>
  <c r="D3183" i="44"/>
  <c r="C3183" i="44"/>
  <c r="B3183" i="44"/>
  <c r="J3182" i="44"/>
  <c r="I3182" i="44"/>
  <c r="G3182" i="44"/>
  <c r="F3182" i="44"/>
  <c r="E3182" i="44"/>
  <c r="D3182" i="44"/>
  <c r="C3182" i="44"/>
  <c r="B3182" i="44"/>
  <c r="J3181" i="44"/>
  <c r="I3181" i="44"/>
  <c r="G3181" i="44"/>
  <c r="F3181" i="44"/>
  <c r="E3181" i="44"/>
  <c r="D3181" i="44"/>
  <c r="C3181" i="44"/>
  <c r="B3181" i="44"/>
  <c r="J3180" i="44"/>
  <c r="I3180" i="44"/>
  <c r="G3180" i="44"/>
  <c r="F3180" i="44"/>
  <c r="E3180" i="44"/>
  <c r="D3180" i="44"/>
  <c r="C3180" i="44"/>
  <c r="B3180" i="44"/>
  <c r="J3179" i="44"/>
  <c r="I3179" i="44"/>
  <c r="G3179" i="44"/>
  <c r="F3179" i="44"/>
  <c r="E3179" i="44"/>
  <c r="D3179" i="44"/>
  <c r="C3179" i="44"/>
  <c r="B3179" i="44"/>
  <c r="J3178" i="44"/>
  <c r="I3178" i="44"/>
  <c r="G3178" i="44"/>
  <c r="F3178" i="44"/>
  <c r="E3178" i="44"/>
  <c r="D3178" i="44"/>
  <c r="C3178" i="44"/>
  <c r="B3178" i="44"/>
  <c r="J3177" i="44"/>
  <c r="I3177" i="44"/>
  <c r="G3177" i="44"/>
  <c r="F3177" i="44"/>
  <c r="E3177" i="44"/>
  <c r="D3177" i="44"/>
  <c r="C3177" i="44"/>
  <c r="B3177" i="44"/>
  <c r="J3176" i="44"/>
  <c r="I3176" i="44"/>
  <c r="G3176" i="44"/>
  <c r="F3176" i="44"/>
  <c r="E3176" i="44"/>
  <c r="D3176" i="44"/>
  <c r="C3176" i="44"/>
  <c r="B3176" i="44"/>
  <c r="J3175" i="44"/>
  <c r="I3175" i="44"/>
  <c r="G3175" i="44"/>
  <c r="F3175" i="44"/>
  <c r="E3175" i="44"/>
  <c r="D3175" i="44"/>
  <c r="C3175" i="44"/>
  <c r="B3175" i="44"/>
  <c r="J3174" i="44"/>
  <c r="I3174" i="44"/>
  <c r="G3174" i="44"/>
  <c r="F3174" i="44"/>
  <c r="E3174" i="44"/>
  <c r="D3174" i="44"/>
  <c r="C3174" i="44"/>
  <c r="B3174" i="44"/>
  <c r="J3173" i="44"/>
  <c r="I3173" i="44"/>
  <c r="G3173" i="44"/>
  <c r="F3173" i="44"/>
  <c r="E3173" i="44"/>
  <c r="D3173" i="44"/>
  <c r="C3173" i="44"/>
  <c r="B3173" i="44"/>
  <c r="J3172" i="44"/>
  <c r="I3172" i="44"/>
  <c r="G3172" i="44"/>
  <c r="F3172" i="44"/>
  <c r="E3172" i="44"/>
  <c r="D3172" i="44"/>
  <c r="C3172" i="44"/>
  <c r="B3172" i="44"/>
  <c r="J3171" i="44"/>
  <c r="I3171" i="44"/>
  <c r="G3171" i="44"/>
  <c r="F3171" i="44"/>
  <c r="E3171" i="44"/>
  <c r="D3171" i="44"/>
  <c r="C3171" i="44"/>
  <c r="B3171" i="44"/>
  <c r="J3170" i="44"/>
  <c r="I3170" i="44"/>
  <c r="G3170" i="44"/>
  <c r="F3170" i="44"/>
  <c r="E3170" i="44"/>
  <c r="D3170" i="44"/>
  <c r="C3170" i="44"/>
  <c r="B3170" i="44"/>
  <c r="J3169" i="44"/>
  <c r="I3169" i="44"/>
  <c r="G3169" i="44"/>
  <c r="F3169" i="44"/>
  <c r="E3169" i="44"/>
  <c r="D3169" i="44"/>
  <c r="C3169" i="44"/>
  <c r="B3169" i="44"/>
  <c r="J3168" i="44"/>
  <c r="I3168" i="44"/>
  <c r="G3168" i="44"/>
  <c r="F3168" i="44"/>
  <c r="E3168" i="44"/>
  <c r="D3168" i="44"/>
  <c r="C3168" i="44"/>
  <c r="B3168" i="44"/>
  <c r="J3167" i="44"/>
  <c r="I3167" i="44"/>
  <c r="G3167" i="44"/>
  <c r="F3167" i="44"/>
  <c r="E3167" i="44"/>
  <c r="D3167" i="44"/>
  <c r="C3167" i="44"/>
  <c r="B3167" i="44"/>
  <c r="J3166" i="44"/>
  <c r="I3166" i="44"/>
  <c r="G3166" i="44"/>
  <c r="F3166" i="44"/>
  <c r="E3166" i="44"/>
  <c r="D3166" i="44"/>
  <c r="C3166" i="44"/>
  <c r="B3166" i="44"/>
  <c r="J3165" i="44"/>
  <c r="I3165" i="44"/>
  <c r="G3165" i="44"/>
  <c r="F3165" i="44"/>
  <c r="E3165" i="44"/>
  <c r="D3165" i="44"/>
  <c r="C3165" i="44"/>
  <c r="B3165" i="44"/>
  <c r="J3164" i="44"/>
  <c r="I3164" i="44"/>
  <c r="G3164" i="44"/>
  <c r="F3164" i="44"/>
  <c r="E3164" i="44"/>
  <c r="D3164" i="44"/>
  <c r="C3164" i="44"/>
  <c r="B3164" i="44"/>
  <c r="J3163" i="44"/>
  <c r="I3163" i="44"/>
  <c r="G3163" i="44"/>
  <c r="F3163" i="44"/>
  <c r="E3163" i="44"/>
  <c r="D3163" i="44"/>
  <c r="C3163" i="44"/>
  <c r="B3163" i="44"/>
  <c r="J3162" i="44"/>
  <c r="I3162" i="44"/>
  <c r="G3162" i="44"/>
  <c r="F3162" i="44"/>
  <c r="E3162" i="44"/>
  <c r="D3162" i="44"/>
  <c r="C3162" i="44"/>
  <c r="B3162" i="44"/>
  <c r="J3161" i="44"/>
  <c r="I3161" i="44"/>
  <c r="G3161" i="44"/>
  <c r="F3161" i="44"/>
  <c r="E3161" i="44"/>
  <c r="D3161" i="44"/>
  <c r="C3161" i="44"/>
  <c r="B3161" i="44"/>
  <c r="J3160" i="44"/>
  <c r="I3160" i="44"/>
  <c r="G3160" i="44"/>
  <c r="F3160" i="44"/>
  <c r="E3160" i="44"/>
  <c r="D3160" i="44"/>
  <c r="C3160" i="44"/>
  <c r="B3160" i="44"/>
  <c r="J3159" i="44"/>
  <c r="I3159" i="44"/>
  <c r="G3159" i="44"/>
  <c r="F3159" i="44"/>
  <c r="E3159" i="44"/>
  <c r="D3159" i="44"/>
  <c r="C3159" i="44"/>
  <c r="B3159" i="44"/>
  <c r="J3158" i="44"/>
  <c r="I3158" i="44"/>
  <c r="G3158" i="44"/>
  <c r="F3158" i="44"/>
  <c r="E3158" i="44"/>
  <c r="D3158" i="44"/>
  <c r="C3158" i="44"/>
  <c r="B3158" i="44"/>
  <c r="J3157" i="44"/>
  <c r="I3157" i="44"/>
  <c r="G3157" i="44"/>
  <c r="F3157" i="44"/>
  <c r="E3157" i="44"/>
  <c r="D3157" i="44"/>
  <c r="C3157" i="44"/>
  <c r="B3157" i="44"/>
  <c r="J3156" i="44"/>
  <c r="I3156" i="44"/>
  <c r="G3156" i="44"/>
  <c r="F3156" i="44"/>
  <c r="E3156" i="44"/>
  <c r="D3156" i="44"/>
  <c r="C3156" i="44"/>
  <c r="B3156" i="44"/>
  <c r="J3155" i="44"/>
  <c r="I3155" i="44"/>
  <c r="G3155" i="44"/>
  <c r="F3155" i="44"/>
  <c r="E3155" i="44"/>
  <c r="D3155" i="44"/>
  <c r="C3155" i="44"/>
  <c r="B3155" i="44"/>
  <c r="J3154" i="44"/>
  <c r="I3154" i="44"/>
  <c r="G3154" i="44"/>
  <c r="F3154" i="44"/>
  <c r="E3154" i="44"/>
  <c r="D3154" i="44"/>
  <c r="C3154" i="44"/>
  <c r="B3154" i="44"/>
  <c r="J3153" i="44"/>
  <c r="I3153" i="44"/>
  <c r="G3153" i="44"/>
  <c r="F3153" i="44"/>
  <c r="E3153" i="44"/>
  <c r="D3153" i="44"/>
  <c r="C3153" i="44"/>
  <c r="B3153" i="44"/>
  <c r="J3152" i="44"/>
  <c r="I3152" i="44"/>
  <c r="G3152" i="44"/>
  <c r="F3152" i="44"/>
  <c r="E3152" i="44"/>
  <c r="D3152" i="44"/>
  <c r="C3152" i="44"/>
  <c r="B3152" i="44"/>
  <c r="J3151" i="44"/>
  <c r="I3151" i="44"/>
  <c r="G3151" i="44"/>
  <c r="F3151" i="44"/>
  <c r="E3151" i="44"/>
  <c r="D3151" i="44"/>
  <c r="C3151" i="44"/>
  <c r="B3151" i="44"/>
  <c r="J3150" i="44"/>
  <c r="I3150" i="44"/>
  <c r="G3150" i="44"/>
  <c r="F3150" i="44"/>
  <c r="E3150" i="44"/>
  <c r="D3150" i="44"/>
  <c r="C3150" i="44"/>
  <c r="B3150" i="44"/>
  <c r="J3149" i="44"/>
  <c r="I3149" i="44"/>
  <c r="G3149" i="44"/>
  <c r="F3149" i="44"/>
  <c r="E3149" i="44"/>
  <c r="D3149" i="44"/>
  <c r="C3149" i="44"/>
  <c r="B3149" i="44"/>
  <c r="J3148" i="44"/>
  <c r="I3148" i="44"/>
  <c r="G3148" i="44"/>
  <c r="F3148" i="44"/>
  <c r="E3148" i="44"/>
  <c r="D3148" i="44"/>
  <c r="C3148" i="44"/>
  <c r="B3148" i="44"/>
  <c r="J3147" i="44"/>
  <c r="I3147" i="44"/>
  <c r="G3147" i="44"/>
  <c r="F3147" i="44"/>
  <c r="E3147" i="44"/>
  <c r="D3147" i="44"/>
  <c r="C3147" i="44"/>
  <c r="B3147" i="44"/>
  <c r="J3146" i="44"/>
  <c r="I3146" i="44"/>
  <c r="G3146" i="44"/>
  <c r="F3146" i="44"/>
  <c r="E3146" i="44"/>
  <c r="D3146" i="44"/>
  <c r="C3146" i="44"/>
  <c r="B3146" i="44"/>
  <c r="J3145" i="44"/>
  <c r="I3145" i="44"/>
  <c r="G3145" i="44"/>
  <c r="F3145" i="44"/>
  <c r="E3145" i="44"/>
  <c r="D3145" i="44"/>
  <c r="C3145" i="44"/>
  <c r="B3145" i="44"/>
  <c r="J3144" i="44"/>
  <c r="I3144" i="44"/>
  <c r="G3144" i="44"/>
  <c r="F3144" i="44"/>
  <c r="E3144" i="44"/>
  <c r="D3144" i="44"/>
  <c r="C3144" i="44"/>
  <c r="B3144" i="44"/>
  <c r="J3143" i="44"/>
  <c r="I3143" i="44"/>
  <c r="G3143" i="44"/>
  <c r="F3143" i="44"/>
  <c r="E3143" i="44"/>
  <c r="D3143" i="44"/>
  <c r="C3143" i="44"/>
  <c r="B3143" i="44"/>
  <c r="J3142" i="44"/>
  <c r="I3142" i="44"/>
  <c r="G3142" i="44"/>
  <c r="F3142" i="44"/>
  <c r="E3142" i="44"/>
  <c r="D3142" i="44"/>
  <c r="C3142" i="44"/>
  <c r="B3142" i="44"/>
  <c r="J3141" i="44"/>
  <c r="I3141" i="44"/>
  <c r="G3141" i="44"/>
  <c r="F3141" i="44"/>
  <c r="E3141" i="44"/>
  <c r="D3141" i="44"/>
  <c r="C3141" i="44"/>
  <c r="B3141" i="44"/>
  <c r="J3140" i="44"/>
  <c r="I3140" i="44"/>
  <c r="G3140" i="44"/>
  <c r="F3140" i="44"/>
  <c r="E3140" i="44"/>
  <c r="D3140" i="44"/>
  <c r="C3140" i="44"/>
  <c r="B3140" i="44"/>
  <c r="J3139" i="44"/>
  <c r="I3139" i="44"/>
  <c r="G3139" i="44"/>
  <c r="F3139" i="44"/>
  <c r="E3139" i="44"/>
  <c r="D3139" i="44"/>
  <c r="C3139" i="44"/>
  <c r="B3139" i="44"/>
  <c r="J3138" i="44"/>
  <c r="I3138" i="44"/>
  <c r="G3138" i="44"/>
  <c r="F3138" i="44"/>
  <c r="E3138" i="44"/>
  <c r="D3138" i="44"/>
  <c r="C3138" i="44"/>
  <c r="B3138" i="44"/>
  <c r="D3128" i="44"/>
  <c r="C3128" i="44"/>
  <c r="B3128" i="44"/>
  <c r="D3127" i="44"/>
  <c r="C3127" i="44"/>
  <c r="B3127" i="44"/>
  <c r="D3126" i="44"/>
  <c r="C3126" i="44"/>
  <c r="B3126" i="44"/>
  <c r="D3125" i="44"/>
  <c r="C3125" i="44"/>
  <c r="B3125" i="44"/>
  <c r="D3124" i="44"/>
  <c r="C3124" i="44"/>
  <c r="B3124" i="44"/>
  <c r="D3123" i="44"/>
  <c r="C3123" i="44"/>
  <c r="B3123" i="44"/>
  <c r="D3122" i="44"/>
  <c r="C3122" i="44"/>
  <c r="B3122" i="44"/>
  <c r="D3121" i="44"/>
  <c r="C3121" i="44"/>
  <c r="B3121" i="44"/>
  <c r="D3120" i="44"/>
  <c r="C3120" i="44"/>
  <c r="B3120" i="44"/>
  <c r="D3119" i="44"/>
  <c r="C3119" i="44"/>
  <c r="B3119" i="44"/>
  <c r="D3118" i="44"/>
  <c r="C3118" i="44"/>
  <c r="B3118" i="44"/>
  <c r="D3117" i="44"/>
  <c r="C3117" i="44"/>
  <c r="B3117" i="44"/>
  <c r="D3116" i="44"/>
  <c r="C3116" i="44"/>
  <c r="B3116" i="44"/>
  <c r="D3115" i="44"/>
  <c r="C3115" i="44"/>
  <c r="B3115" i="44"/>
  <c r="D3114" i="44"/>
  <c r="C3114" i="44"/>
  <c r="B3114" i="44"/>
  <c r="D3113" i="44"/>
  <c r="C3113" i="44"/>
  <c r="B3113" i="44"/>
  <c r="D3112" i="44"/>
  <c r="C3112" i="44"/>
  <c r="B3112" i="44"/>
  <c r="D3111" i="44"/>
  <c r="C3111" i="44"/>
  <c r="B3111" i="44"/>
  <c r="D3110" i="44"/>
  <c r="C3110" i="44"/>
  <c r="B3110" i="44"/>
  <c r="D3109" i="44"/>
  <c r="C3109" i="44"/>
  <c r="B3109" i="44"/>
  <c r="D3108" i="44"/>
  <c r="C3108" i="44"/>
  <c r="B3108" i="44"/>
  <c r="D3107" i="44"/>
  <c r="C3107" i="44"/>
  <c r="B3107" i="44"/>
  <c r="D3106" i="44"/>
  <c r="C3106" i="44"/>
  <c r="B3106" i="44"/>
  <c r="D3105" i="44"/>
  <c r="C3105" i="44"/>
  <c r="B3105" i="44"/>
  <c r="D3104" i="44"/>
  <c r="C3104" i="44"/>
  <c r="B3104" i="44"/>
  <c r="D3103" i="44"/>
  <c r="C3103" i="44"/>
  <c r="B3103" i="44"/>
  <c r="D3102" i="44"/>
  <c r="C3102" i="44"/>
  <c r="B3102" i="44"/>
  <c r="D3101" i="44"/>
  <c r="C3101" i="44"/>
  <c r="B3101" i="44"/>
  <c r="D3100" i="44"/>
  <c r="C3100" i="44"/>
  <c r="B3100" i="44"/>
  <c r="D3099" i="44"/>
  <c r="C3099" i="44"/>
  <c r="B3099" i="44"/>
  <c r="D3098" i="44"/>
  <c r="C3098" i="44"/>
  <c r="B3098" i="44"/>
  <c r="D3097" i="44"/>
  <c r="C3097" i="44"/>
  <c r="B3097" i="44"/>
  <c r="D3096" i="44"/>
  <c r="C3096" i="44"/>
  <c r="B3096" i="44"/>
  <c r="D3095" i="44"/>
  <c r="C3095" i="44"/>
  <c r="B3095" i="44"/>
  <c r="D3094" i="44"/>
  <c r="C3094" i="44"/>
  <c r="B3094" i="44"/>
  <c r="D3093" i="44"/>
  <c r="C3093" i="44"/>
  <c r="B3093" i="44"/>
  <c r="D3092" i="44"/>
  <c r="C3092" i="44"/>
  <c r="B3092" i="44"/>
  <c r="D3091" i="44"/>
  <c r="C3091" i="44"/>
  <c r="B3091" i="44"/>
  <c r="D3090" i="44"/>
  <c r="C3090" i="44"/>
  <c r="B3090" i="44"/>
  <c r="D3089" i="44"/>
  <c r="C3089" i="44"/>
  <c r="B3089" i="44"/>
  <c r="D3088" i="44"/>
  <c r="C3088" i="44"/>
  <c r="B3088" i="44"/>
  <c r="D3087" i="44"/>
  <c r="C3087" i="44"/>
  <c r="B3087" i="44"/>
  <c r="D3086" i="44"/>
  <c r="C3086" i="44"/>
  <c r="B3086" i="44"/>
  <c r="D3085" i="44"/>
  <c r="C3085" i="44"/>
  <c r="B3085" i="44"/>
  <c r="D3084" i="44"/>
  <c r="C3084" i="44"/>
  <c r="B3084" i="44"/>
  <c r="D3083" i="44"/>
  <c r="C3083" i="44"/>
  <c r="B3083" i="44"/>
  <c r="D3082" i="44"/>
  <c r="C3082" i="44"/>
  <c r="B3082" i="44"/>
  <c r="D3081" i="44"/>
  <c r="C3081" i="44"/>
  <c r="B3081" i="44"/>
  <c r="D3080" i="44"/>
  <c r="C3080" i="44"/>
  <c r="B3080" i="44"/>
  <c r="D3079" i="44"/>
  <c r="C3079" i="44"/>
  <c r="B3079" i="44"/>
  <c r="D3078" i="44"/>
  <c r="C3078" i="44"/>
  <c r="B3078" i="44"/>
  <c r="D3077" i="44"/>
  <c r="C3077" i="44"/>
  <c r="B3077" i="44"/>
  <c r="D3076" i="44"/>
  <c r="C3076" i="44"/>
  <c r="B3076" i="44"/>
  <c r="D3075" i="44"/>
  <c r="C3075" i="44"/>
  <c r="B3075" i="44"/>
  <c r="D3074" i="44"/>
  <c r="C3074" i="44"/>
  <c r="B3074" i="44"/>
  <c r="D3073" i="44"/>
  <c r="C3073" i="44"/>
  <c r="B3073" i="44"/>
  <c r="D3072" i="44"/>
  <c r="C3072" i="44"/>
  <c r="B3072" i="44"/>
  <c r="D3071" i="44"/>
  <c r="C3071" i="44"/>
  <c r="B3071" i="44"/>
  <c r="D3070" i="44"/>
  <c r="C3070" i="44"/>
  <c r="B3070" i="44"/>
  <c r="D3069" i="44"/>
  <c r="C3069" i="44"/>
  <c r="B3069" i="44"/>
  <c r="D3068" i="44"/>
  <c r="C3068" i="44"/>
  <c r="B3068" i="44"/>
  <c r="D3067" i="44"/>
  <c r="C3067" i="44"/>
  <c r="B3067" i="44"/>
  <c r="D3066" i="44"/>
  <c r="C3066" i="44"/>
  <c r="B3066" i="44"/>
  <c r="D3065" i="44"/>
  <c r="C3065" i="44"/>
  <c r="B3065" i="44"/>
  <c r="D3064" i="44"/>
  <c r="C3064" i="44"/>
  <c r="B3064" i="44"/>
  <c r="D3063" i="44"/>
  <c r="C3063" i="44"/>
  <c r="B3063" i="44"/>
  <c r="D3062" i="44"/>
  <c r="C3062" i="44"/>
  <c r="B3062" i="44"/>
  <c r="D3061" i="44"/>
  <c r="C3061" i="44"/>
  <c r="B3061" i="44"/>
  <c r="D3060" i="44"/>
  <c r="C3060" i="44"/>
  <c r="B3060" i="44"/>
  <c r="D3059" i="44"/>
  <c r="C3059" i="44"/>
  <c r="B3059" i="44"/>
  <c r="D3058" i="44"/>
  <c r="C3058" i="44"/>
  <c r="B3058" i="44"/>
  <c r="D3057" i="44"/>
  <c r="C3057" i="44"/>
  <c r="B3057" i="44"/>
  <c r="D3056" i="44"/>
  <c r="C3056" i="44"/>
  <c r="B3056" i="44"/>
  <c r="D3055" i="44"/>
  <c r="C3055" i="44"/>
  <c r="B3055" i="44"/>
  <c r="D3054" i="44"/>
  <c r="C3054" i="44"/>
  <c r="B3054" i="44"/>
  <c r="D3053" i="44"/>
  <c r="C3053" i="44"/>
  <c r="B3053" i="44"/>
  <c r="D3052" i="44"/>
  <c r="C3052" i="44"/>
  <c r="B3052" i="44"/>
  <c r="D3051" i="44"/>
  <c r="C3051" i="44"/>
  <c r="B3051" i="44"/>
  <c r="D3050" i="44"/>
  <c r="C3050" i="44"/>
  <c r="B3050" i="44"/>
  <c r="D3049" i="44"/>
  <c r="C3049" i="44"/>
  <c r="B3049" i="44"/>
  <c r="D3048" i="44"/>
  <c r="C3048" i="44"/>
  <c r="B3048" i="44"/>
  <c r="D3047" i="44"/>
  <c r="C3047" i="44"/>
  <c r="B3047" i="44"/>
  <c r="D3046" i="44"/>
  <c r="C3046" i="44"/>
  <c r="B3046" i="44"/>
  <c r="D3045" i="44"/>
  <c r="C3045" i="44"/>
  <c r="B3045" i="44"/>
  <c r="D3044" i="44"/>
  <c r="C3044" i="44"/>
  <c r="B3044" i="44"/>
  <c r="D3043" i="44"/>
  <c r="C3043" i="44"/>
  <c r="B3043" i="44"/>
  <c r="D3042" i="44"/>
  <c r="C3042" i="44"/>
  <c r="B3042" i="44"/>
  <c r="D3041" i="44"/>
  <c r="C3041" i="44"/>
  <c r="B3041" i="44"/>
  <c r="D3040" i="44"/>
  <c r="C3040" i="44"/>
  <c r="B3040" i="44"/>
  <c r="D3039" i="44"/>
  <c r="C3039" i="44"/>
  <c r="B3039" i="44"/>
  <c r="D3038" i="44"/>
  <c r="C3038" i="44"/>
  <c r="B3038" i="44"/>
  <c r="D3037" i="44"/>
  <c r="C3037" i="44"/>
  <c r="B3037" i="44"/>
  <c r="D3036" i="44"/>
  <c r="C3036" i="44"/>
  <c r="B3036" i="44"/>
  <c r="D3035" i="44"/>
  <c r="C3035" i="44"/>
  <c r="B3035" i="44"/>
  <c r="D3034" i="44"/>
  <c r="C3034" i="44"/>
  <c r="B3034" i="44"/>
  <c r="D3033" i="44"/>
  <c r="C3033" i="44"/>
  <c r="B3033" i="44"/>
  <c r="D3032" i="44"/>
  <c r="C3032" i="44"/>
  <c r="B3032" i="44"/>
  <c r="D3031" i="44"/>
  <c r="C3031" i="44"/>
  <c r="B3031" i="44"/>
  <c r="D3030" i="44"/>
  <c r="C3030" i="44"/>
  <c r="B3030" i="44"/>
  <c r="D3029" i="44"/>
  <c r="C3029" i="44"/>
  <c r="B3029" i="44"/>
  <c r="D3028" i="44"/>
  <c r="C3028" i="44"/>
  <c r="B3028" i="44"/>
  <c r="D3027" i="44"/>
  <c r="C3027" i="44"/>
  <c r="B3027" i="44"/>
  <c r="D3026" i="44"/>
  <c r="C3026" i="44"/>
  <c r="B3026" i="44"/>
  <c r="D3025" i="44"/>
  <c r="C3025" i="44"/>
  <c r="B3025" i="44"/>
  <c r="D3024" i="44"/>
  <c r="C3024" i="44"/>
  <c r="B3024" i="44"/>
  <c r="D3023" i="44"/>
  <c r="C3023" i="44"/>
  <c r="B3023" i="44"/>
  <c r="D3022" i="44"/>
  <c r="C3022" i="44"/>
  <c r="B3022" i="44"/>
  <c r="D3021" i="44"/>
  <c r="C3021" i="44"/>
  <c r="B3021" i="44"/>
  <c r="D3020" i="44"/>
  <c r="C3020" i="44"/>
  <c r="B3020" i="44"/>
  <c r="D3019" i="44"/>
  <c r="C3019" i="44"/>
  <c r="B3019" i="44"/>
  <c r="D3018" i="44"/>
  <c r="C3018" i="44"/>
  <c r="B3018" i="44"/>
  <c r="D3017" i="44"/>
  <c r="C3017" i="44"/>
  <c r="B3017" i="44"/>
  <c r="D3016" i="44"/>
  <c r="C3016" i="44"/>
  <c r="B3016" i="44"/>
  <c r="D3015" i="44"/>
  <c r="C3015" i="44"/>
  <c r="B3015" i="44"/>
  <c r="D3014" i="44"/>
  <c r="C3014" i="44"/>
  <c r="B3014" i="44"/>
  <c r="D3013" i="44"/>
  <c r="C3013" i="44"/>
  <c r="B3013" i="44"/>
  <c r="D3012" i="44"/>
  <c r="C3012" i="44"/>
  <c r="B3012" i="44"/>
  <c r="D3011" i="44"/>
  <c r="C3011" i="44"/>
  <c r="B3011" i="44"/>
  <c r="D3010" i="44"/>
  <c r="C3010" i="44"/>
  <c r="B3010" i="44"/>
  <c r="D3009" i="44"/>
  <c r="C3009" i="44"/>
  <c r="B3009" i="44"/>
  <c r="D3008" i="44"/>
  <c r="C3008" i="44"/>
  <c r="B3008" i="44"/>
  <c r="D3007" i="44"/>
  <c r="C3007" i="44"/>
  <c r="B3007" i="44"/>
  <c r="D3006" i="44"/>
  <c r="C3006" i="44"/>
  <c r="B3006" i="44"/>
  <c r="D3005" i="44"/>
  <c r="C3005" i="44"/>
  <c r="B3005" i="44"/>
  <c r="D3004" i="44"/>
  <c r="C3004" i="44"/>
  <c r="B3004" i="44"/>
  <c r="D3003" i="44"/>
  <c r="C3003" i="44"/>
  <c r="B3003" i="44"/>
  <c r="D3002" i="44"/>
  <c r="C3002" i="44"/>
  <c r="B3002" i="44"/>
  <c r="D3001" i="44"/>
  <c r="C3001" i="44"/>
  <c r="B3001" i="44"/>
  <c r="D3000" i="44"/>
  <c r="C3000" i="44"/>
  <c r="B3000" i="44"/>
  <c r="D2999" i="44"/>
  <c r="C2999" i="44"/>
  <c r="B2999" i="44"/>
  <c r="D2998" i="44"/>
  <c r="C2998" i="44"/>
  <c r="B2998" i="44"/>
  <c r="D2997" i="44"/>
  <c r="C2997" i="44"/>
  <c r="B2997" i="44"/>
  <c r="D2996" i="44"/>
  <c r="C2996" i="44"/>
  <c r="B2996" i="44"/>
  <c r="D2995" i="44"/>
  <c r="C2995" i="44"/>
  <c r="B2995" i="44"/>
  <c r="D2994" i="44"/>
  <c r="C2994" i="44"/>
  <c r="B2994" i="44"/>
  <c r="D2993" i="44"/>
  <c r="C2993" i="44"/>
  <c r="B2993" i="44"/>
  <c r="D2992" i="44"/>
  <c r="C2992" i="44"/>
  <c r="B2992" i="44"/>
  <c r="D2991" i="44"/>
  <c r="C2991" i="44"/>
  <c r="B2991" i="44"/>
  <c r="D2990" i="44"/>
  <c r="C2990" i="44"/>
  <c r="B2990" i="44"/>
  <c r="D2989" i="44"/>
  <c r="C2989" i="44"/>
  <c r="B2989" i="44"/>
  <c r="D2988" i="44"/>
  <c r="C2988" i="44"/>
  <c r="B2988" i="44"/>
  <c r="D2987" i="44"/>
  <c r="C2987" i="44"/>
  <c r="B2987" i="44"/>
  <c r="D2986" i="44"/>
  <c r="C2986" i="44"/>
  <c r="B2986" i="44"/>
  <c r="D2985" i="44"/>
  <c r="C2985" i="44"/>
  <c r="B2985" i="44"/>
  <c r="D2984" i="44"/>
  <c r="C2984" i="44"/>
  <c r="B2984" i="44"/>
  <c r="D2975" i="44"/>
  <c r="C2975" i="44"/>
  <c r="B2975" i="44"/>
  <c r="D2974" i="44"/>
  <c r="C2974" i="44"/>
  <c r="B2974" i="44"/>
  <c r="D2973" i="44"/>
  <c r="C2973" i="44"/>
  <c r="B2973" i="44"/>
  <c r="D2972" i="44"/>
  <c r="C2972" i="44"/>
  <c r="B2972" i="44"/>
  <c r="D2971" i="44"/>
  <c r="C2971" i="44"/>
  <c r="B2971" i="44"/>
  <c r="D2970" i="44"/>
  <c r="C2970" i="44"/>
  <c r="B2970" i="44"/>
  <c r="D2969" i="44"/>
  <c r="C2969" i="44"/>
  <c r="B2969" i="44"/>
  <c r="D2968" i="44"/>
  <c r="C2968" i="44"/>
  <c r="B2968" i="44"/>
  <c r="D2967" i="44"/>
  <c r="C2967" i="44"/>
  <c r="B2967" i="44"/>
  <c r="D2966" i="44"/>
  <c r="C2966" i="44"/>
  <c r="B2966" i="44"/>
  <c r="D2965" i="44"/>
  <c r="C2965" i="44"/>
  <c r="B2965" i="44"/>
  <c r="D2964" i="44"/>
  <c r="C2964" i="44"/>
  <c r="B2964" i="44"/>
  <c r="D2963" i="44"/>
  <c r="C2963" i="44"/>
  <c r="B2963" i="44"/>
  <c r="D2962" i="44"/>
  <c r="C2962" i="44"/>
  <c r="B2962" i="44"/>
  <c r="D2961" i="44"/>
  <c r="C2961" i="44"/>
  <c r="B2961" i="44"/>
  <c r="D2960" i="44"/>
  <c r="C2960" i="44"/>
  <c r="B2960" i="44"/>
  <c r="D2959" i="44"/>
  <c r="C2959" i="44"/>
  <c r="B2959" i="44"/>
  <c r="D2958" i="44"/>
  <c r="C2958" i="44"/>
  <c r="B2958" i="44"/>
  <c r="D2957" i="44"/>
  <c r="C2957" i="44"/>
  <c r="B2957" i="44"/>
  <c r="D2956" i="44"/>
  <c r="C2956" i="44"/>
  <c r="B2956" i="44"/>
  <c r="D2955" i="44"/>
  <c r="C2955" i="44"/>
  <c r="B2955" i="44"/>
  <c r="D2954" i="44"/>
  <c r="C2954" i="44"/>
  <c r="B2954" i="44"/>
  <c r="D2953" i="44"/>
  <c r="C2953" i="44"/>
  <c r="B2953" i="44"/>
  <c r="D2952" i="44"/>
  <c r="C2952" i="44"/>
  <c r="B2952" i="44"/>
  <c r="D2951" i="44"/>
  <c r="C2951" i="44"/>
  <c r="B2951" i="44"/>
  <c r="D2950" i="44"/>
  <c r="C2950" i="44"/>
  <c r="B2950" i="44"/>
  <c r="D2949" i="44"/>
  <c r="C2949" i="44"/>
  <c r="B2949" i="44"/>
  <c r="D2948" i="44"/>
  <c r="C2948" i="44"/>
  <c r="B2948" i="44"/>
  <c r="D2947" i="44"/>
  <c r="C2947" i="44"/>
  <c r="B2947" i="44"/>
  <c r="D2946" i="44"/>
  <c r="C2946" i="44"/>
  <c r="B2946" i="44"/>
  <c r="D2945" i="44"/>
  <c r="C2945" i="44"/>
  <c r="B2945" i="44"/>
  <c r="D2944" i="44"/>
  <c r="C2944" i="44"/>
  <c r="B2944" i="44"/>
  <c r="D2943" i="44"/>
  <c r="C2943" i="44"/>
  <c r="B2943" i="44"/>
  <c r="D2942" i="44"/>
  <c r="C2942" i="44"/>
  <c r="B2942" i="44"/>
  <c r="D2941" i="44"/>
  <c r="C2941" i="44"/>
  <c r="B2941" i="44"/>
  <c r="D2940" i="44"/>
  <c r="C2940" i="44"/>
  <c r="B2940" i="44"/>
  <c r="D2939" i="44"/>
  <c r="C2939" i="44"/>
  <c r="B2939" i="44"/>
  <c r="D2938" i="44"/>
  <c r="C2938" i="44"/>
  <c r="B2938" i="44"/>
  <c r="D2937" i="44"/>
  <c r="C2937" i="44"/>
  <c r="B2937" i="44"/>
  <c r="D2936" i="44"/>
  <c r="C2936" i="44"/>
  <c r="B2936" i="44"/>
  <c r="D2935" i="44"/>
  <c r="C2935" i="44"/>
  <c r="B2935" i="44"/>
  <c r="D2934" i="44"/>
  <c r="C2934" i="44"/>
  <c r="B2934" i="44"/>
  <c r="D2933" i="44"/>
  <c r="C2933" i="44"/>
  <c r="B2933" i="44"/>
  <c r="D2932" i="44"/>
  <c r="C2932" i="44"/>
  <c r="B2932" i="44"/>
  <c r="D2931" i="44"/>
  <c r="C2931" i="44"/>
  <c r="B2931" i="44"/>
  <c r="D2930" i="44"/>
  <c r="C2930" i="44"/>
  <c r="B2930" i="44"/>
  <c r="D2929" i="44"/>
  <c r="C2929" i="44"/>
  <c r="B2929" i="44"/>
  <c r="D2928" i="44"/>
  <c r="C2928" i="44"/>
  <c r="B2928" i="44"/>
  <c r="D2927" i="44"/>
  <c r="C2927" i="44"/>
  <c r="B2927" i="44"/>
  <c r="D2926" i="44"/>
  <c r="C2926" i="44"/>
  <c r="B2926" i="44"/>
  <c r="D2925" i="44"/>
  <c r="C2925" i="44"/>
  <c r="B2925" i="44"/>
  <c r="D2924" i="44"/>
  <c r="C2924" i="44"/>
  <c r="B2924" i="44"/>
  <c r="D2923" i="44"/>
  <c r="C2923" i="44"/>
  <c r="B2923" i="44"/>
  <c r="D2922" i="44"/>
  <c r="C2922" i="44"/>
  <c r="B2922" i="44"/>
  <c r="D2921" i="44"/>
  <c r="C2921" i="44"/>
  <c r="B2921" i="44"/>
  <c r="D2920" i="44"/>
  <c r="C2920" i="44"/>
  <c r="B2920" i="44"/>
  <c r="D2919" i="44"/>
  <c r="C2919" i="44"/>
  <c r="B2919" i="44"/>
  <c r="D2918" i="44"/>
  <c r="C2918" i="44"/>
  <c r="B2918" i="44"/>
  <c r="D2917" i="44"/>
  <c r="C2917" i="44"/>
  <c r="B2917" i="44"/>
  <c r="D2916" i="44"/>
  <c r="C2916" i="44"/>
  <c r="B2916" i="44"/>
  <c r="D2915" i="44"/>
  <c r="C2915" i="44"/>
  <c r="B2915" i="44"/>
  <c r="D2914" i="44"/>
  <c r="C2914" i="44"/>
  <c r="B2914" i="44"/>
  <c r="D2913" i="44"/>
  <c r="C2913" i="44"/>
  <c r="B2913" i="44"/>
  <c r="D2912" i="44"/>
  <c r="C2912" i="44"/>
  <c r="B2912" i="44"/>
  <c r="D2911" i="44"/>
  <c r="C2911" i="44"/>
  <c r="B2911" i="44"/>
  <c r="D2910" i="44"/>
  <c r="C2910" i="44"/>
  <c r="B2910" i="44"/>
  <c r="D2909" i="44"/>
  <c r="C2909" i="44"/>
  <c r="B2909" i="44"/>
  <c r="D2908" i="44"/>
  <c r="C2908" i="44"/>
  <c r="B2908" i="44"/>
  <c r="D2907" i="44"/>
  <c r="C2907" i="44"/>
  <c r="B2907" i="44"/>
  <c r="D2906" i="44"/>
  <c r="C2906" i="44"/>
  <c r="B2906" i="44"/>
  <c r="D2905" i="44"/>
  <c r="C2905" i="44"/>
  <c r="B2905" i="44"/>
  <c r="D2904" i="44"/>
  <c r="C2904" i="44"/>
  <c r="B2904" i="44"/>
  <c r="D2903" i="44"/>
  <c r="C2903" i="44"/>
  <c r="B2903" i="44"/>
  <c r="D2902" i="44"/>
  <c r="C2902" i="44"/>
  <c r="B2902" i="44"/>
  <c r="D2901" i="44"/>
  <c r="C2901" i="44"/>
  <c r="B2901" i="44"/>
  <c r="D2900" i="44"/>
  <c r="C2900" i="44"/>
  <c r="B2900" i="44"/>
  <c r="D2899" i="44"/>
  <c r="C2899" i="44"/>
  <c r="B2899" i="44"/>
  <c r="D2898" i="44"/>
  <c r="C2898" i="44"/>
  <c r="B2898" i="44"/>
  <c r="D2897" i="44"/>
  <c r="C2897" i="44"/>
  <c r="B2897" i="44"/>
  <c r="D2896" i="44"/>
  <c r="C2896" i="44"/>
  <c r="B2896" i="44"/>
  <c r="D2895" i="44"/>
  <c r="C2895" i="44"/>
  <c r="B2895" i="44"/>
  <c r="D2894" i="44"/>
  <c r="C2894" i="44"/>
  <c r="B2894" i="44"/>
  <c r="D2893" i="44"/>
  <c r="C2893" i="44"/>
  <c r="B2893" i="44"/>
  <c r="D2892" i="44"/>
  <c r="C2892" i="44"/>
  <c r="B2892" i="44"/>
  <c r="D2891" i="44"/>
  <c r="C2891" i="44"/>
  <c r="B2891" i="44"/>
  <c r="D2890" i="44"/>
  <c r="C2890" i="44"/>
  <c r="B2890" i="44"/>
  <c r="D2889" i="44"/>
  <c r="C2889" i="44"/>
  <c r="B2889" i="44"/>
  <c r="D2888" i="44"/>
  <c r="C2888" i="44"/>
  <c r="B2888" i="44"/>
  <c r="D2887" i="44"/>
  <c r="C2887" i="44"/>
  <c r="B2887" i="44"/>
  <c r="D2886" i="44"/>
  <c r="C2886" i="44"/>
  <c r="B2886" i="44"/>
  <c r="D2885" i="44"/>
  <c r="C2885" i="44"/>
  <c r="B2885" i="44"/>
  <c r="D2884" i="44"/>
  <c r="C2884" i="44"/>
  <c r="B2884" i="44"/>
  <c r="D2883" i="44"/>
  <c r="C2883" i="44"/>
  <c r="B2883" i="44"/>
  <c r="D2882" i="44"/>
  <c r="C2882" i="44"/>
  <c r="B2882" i="44"/>
  <c r="D2881" i="44"/>
  <c r="C2881" i="44"/>
  <c r="B2881" i="44"/>
  <c r="D2880" i="44"/>
  <c r="C2880" i="44"/>
  <c r="B2880" i="44"/>
  <c r="D2879" i="44"/>
  <c r="C2879" i="44"/>
  <c r="B2879" i="44"/>
  <c r="D2878" i="44"/>
  <c r="C2878" i="44"/>
  <c r="B2878" i="44"/>
  <c r="D2877" i="44"/>
  <c r="C2877" i="44"/>
  <c r="B2877" i="44"/>
  <c r="D2876" i="44"/>
  <c r="C2876" i="44"/>
  <c r="B2876" i="44"/>
  <c r="D2875" i="44"/>
  <c r="C2875" i="44"/>
  <c r="B2875" i="44"/>
  <c r="D2874" i="44"/>
  <c r="C2874" i="44"/>
  <c r="B2874" i="44"/>
  <c r="D2873" i="44"/>
  <c r="C2873" i="44"/>
  <c r="B2873" i="44"/>
  <c r="D2872" i="44"/>
  <c r="C2872" i="44"/>
  <c r="B2872" i="44"/>
  <c r="D2871" i="44"/>
  <c r="C2871" i="44"/>
  <c r="B2871" i="44"/>
  <c r="D2870" i="44"/>
  <c r="C2870" i="44"/>
  <c r="B2870" i="44"/>
  <c r="D2869" i="44"/>
  <c r="C2869" i="44"/>
  <c r="B2869" i="44"/>
  <c r="D2868" i="44"/>
  <c r="C2868" i="44"/>
  <c r="B2868" i="44"/>
  <c r="D2867" i="44"/>
  <c r="C2867" i="44"/>
  <c r="B2867" i="44"/>
  <c r="D2866" i="44"/>
  <c r="C2866" i="44"/>
  <c r="B2866" i="44"/>
  <c r="D2865" i="44"/>
  <c r="C2865" i="44"/>
  <c r="B2865" i="44"/>
  <c r="D2864" i="44"/>
  <c r="C2864" i="44"/>
  <c r="B2864" i="44"/>
  <c r="D2863" i="44"/>
  <c r="C2863" i="44"/>
  <c r="B2863" i="44"/>
  <c r="D2862" i="44"/>
  <c r="C2862" i="44"/>
  <c r="B2862" i="44"/>
  <c r="D2861" i="44"/>
  <c r="C2861" i="44"/>
  <c r="B2861" i="44"/>
  <c r="D2860" i="44"/>
  <c r="C2860" i="44"/>
  <c r="B2860" i="44"/>
  <c r="D2859" i="44"/>
  <c r="C2859" i="44"/>
  <c r="B2859" i="44"/>
  <c r="D2858" i="44"/>
  <c r="C2858" i="44"/>
  <c r="B2858" i="44"/>
  <c r="D2857" i="44"/>
  <c r="C2857" i="44"/>
  <c r="B2857" i="44"/>
  <c r="D2856" i="44"/>
  <c r="C2856" i="44"/>
  <c r="B2856" i="44"/>
  <c r="D2855" i="44"/>
  <c r="C2855" i="44"/>
  <c r="B2855" i="44"/>
  <c r="D2854" i="44"/>
  <c r="C2854" i="44"/>
  <c r="B2854" i="44"/>
  <c r="D2853" i="44"/>
  <c r="C2853" i="44"/>
  <c r="B2853" i="44"/>
  <c r="D2852" i="44"/>
  <c r="C2852" i="44"/>
  <c r="B2852" i="44"/>
  <c r="D2851" i="44"/>
  <c r="C2851" i="44"/>
  <c r="B2851" i="44"/>
  <c r="D2850" i="44"/>
  <c r="C2850" i="44"/>
  <c r="B2850" i="44"/>
  <c r="D2849" i="44"/>
  <c r="C2849" i="44"/>
  <c r="B2849" i="44"/>
  <c r="D2848" i="44"/>
  <c r="C2848" i="44"/>
  <c r="B2848" i="44"/>
  <c r="D2847" i="44"/>
  <c r="C2847" i="44"/>
  <c r="B2847" i="44"/>
  <c r="D2846" i="44"/>
  <c r="C2846" i="44"/>
  <c r="B2846" i="44"/>
  <c r="D2845" i="44"/>
  <c r="C2845" i="44"/>
  <c r="B2845" i="44"/>
  <c r="D2844" i="44"/>
  <c r="C2844" i="44"/>
  <c r="B2844" i="44"/>
  <c r="D2843" i="44"/>
  <c r="C2843" i="44"/>
  <c r="B2843" i="44"/>
  <c r="D2842" i="44"/>
  <c r="C2842" i="44"/>
  <c r="B2842" i="44"/>
  <c r="D2841" i="44"/>
  <c r="C2841" i="44"/>
  <c r="B2841" i="44"/>
  <c r="D2840" i="44"/>
  <c r="C2840" i="44"/>
  <c r="B2840" i="44"/>
  <c r="D2839" i="44"/>
  <c r="C2839" i="44"/>
  <c r="B2839" i="44"/>
  <c r="D2838" i="44"/>
  <c r="C2838" i="44"/>
  <c r="B2838" i="44"/>
  <c r="D2837" i="44"/>
  <c r="C2837" i="44"/>
  <c r="B2837" i="44"/>
  <c r="D2836" i="44"/>
  <c r="C2836" i="44"/>
  <c r="B2836" i="44"/>
  <c r="D2835" i="44"/>
  <c r="C2835" i="44"/>
  <c r="B2835" i="44"/>
  <c r="D2834" i="44"/>
  <c r="C2834" i="44"/>
  <c r="B2834" i="44"/>
  <c r="D2833" i="44"/>
  <c r="C2833" i="44"/>
  <c r="B2833" i="44"/>
  <c r="D2832" i="44"/>
  <c r="C2832" i="44"/>
  <c r="B2832" i="44"/>
  <c r="D2831" i="44"/>
  <c r="C2831" i="44"/>
  <c r="B2831" i="44"/>
  <c r="D2830" i="44"/>
  <c r="C2830" i="44"/>
  <c r="B2830" i="44"/>
  <c r="D2829" i="44"/>
  <c r="C2829" i="44"/>
  <c r="B2829" i="44"/>
  <c r="D2828" i="44"/>
  <c r="C2828" i="44"/>
  <c r="B2828" i="44"/>
  <c r="D2827" i="44"/>
  <c r="C2827" i="44"/>
  <c r="B2827" i="44"/>
  <c r="D2826" i="44"/>
  <c r="C2826" i="44"/>
  <c r="B2826" i="44"/>
  <c r="D2825" i="44"/>
  <c r="C2825" i="44"/>
  <c r="B2825" i="44"/>
  <c r="D2824" i="44"/>
  <c r="C2824" i="44"/>
  <c r="B2824" i="44"/>
  <c r="D2823" i="44"/>
  <c r="C2823" i="44"/>
  <c r="B2823" i="44"/>
  <c r="D2822" i="44"/>
  <c r="C2822" i="44"/>
  <c r="B2822" i="44"/>
  <c r="D2821" i="44"/>
  <c r="C2821" i="44"/>
  <c r="B2821" i="44"/>
  <c r="D2820" i="44"/>
  <c r="C2820" i="44"/>
  <c r="B2820" i="44"/>
  <c r="D2819" i="44"/>
  <c r="C2819" i="44"/>
  <c r="B2819" i="44"/>
  <c r="D2818" i="44"/>
  <c r="C2818" i="44"/>
  <c r="B2818" i="44"/>
  <c r="D2817" i="44"/>
  <c r="C2817" i="44"/>
  <c r="B2817" i="44"/>
  <c r="D2816" i="44"/>
  <c r="C2816" i="44"/>
  <c r="B2816" i="44"/>
  <c r="D2815" i="44"/>
  <c r="C2815" i="44"/>
  <c r="B2815" i="44"/>
  <c r="D2814" i="44"/>
  <c r="C2814" i="44"/>
  <c r="B2814" i="44"/>
  <c r="D2813" i="44"/>
  <c r="C2813" i="44"/>
  <c r="B2813" i="44"/>
  <c r="D2812" i="44"/>
  <c r="C2812" i="44"/>
  <c r="B2812" i="44"/>
  <c r="D2811" i="44"/>
  <c r="C2811" i="44"/>
  <c r="B2811" i="44"/>
  <c r="D2810" i="44"/>
  <c r="C2810" i="44"/>
  <c r="B2810" i="44"/>
  <c r="D2809" i="44"/>
  <c r="C2809" i="44"/>
  <c r="B2809" i="44"/>
  <c r="D2808" i="44"/>
  <c r="C2808" i="44"/>
  <c r="B2808" i="44"/>
  <c r="D2807" i="44"/>
  <c r="C2807" i="44"/>
  <c r="B2807" i="44"/>
  <c r="D2806" i="44"/>
  <c r="C2806" i="44"/>
  <c r="B2806" i="44"/>
  <c r="D2805" i="44"/>
  <c r="C2805" i="44"/>
  <c r="B2805" i="44"/>
  <c r="D2804" i="44"/>
  <c r="C2804" i="44"/>
  <c r="B2804" i="44"/>
  <c r="D2803" i="44"/>
  <c r="C2803" i="44"/>
  <c r="B2803" i="44"/>
  <c r="D2802" i="44"/>
  <c r="C2802" i="44"/>
  <c r="B2802" i="44"/>
  <c r="D2801" i="44"/>
  <c r="C2801" i="44"/>
  <c r="B2801" i="44"/>
  <c r="D2800" i="44"/>
  <c r="C2800" i="44"/>
  <c r="B2800" i="44"/>
  <c r="D2799" i="44"/>
  <c r="C2799" i="44"/>
  <c r="B2799" i="44"/>
  <c r="D2798" i="44"/>
  <c r="C2798" i="44"/>
  <c r="B2798" i="44"/>
  <c r="D2797" i="44"/>
  <c r="C2797" i="44"/>
  <c r="B2797" i="44"/>
  <c r="D2796" i="44"/>
  <c r="C2796" i="44"/>
  <c r="B2796" i="44"/>
  <c r="D2795" i="44"/>
  <c r="C2795" i="44"/>
  <c r="B2795" i="44"/>
  <c r="D2794" i="44"/>
  <c r="C2794" i="44"/>
  <c r="B2794" i="44"/>
  <c r="D2793" i="44"/>
  <c r="C2793" i="44"/>
  <c r="B2793" i="44"/>
  <c r="D2792" i="44"/>
  <c r="C2792" i="44"/>
  <c r="B2792" i="44"/>
  <c r="D2791" i="44"/>
  <c r="C2791" i="44"/>
  <c r="B2791" i="44"/>
  <c r="D2790" i="44"/>
  <c r="C2790" i="44"/>
  <c r="B2790" i="44"/>
  <c r="D2789" i="44"/>
  <c r="C2789" i="44"/>
  <c r="B2789" i="44"/>
  <c r="D2788" i="44"/>
  <c r="C2788" i="44"/>
  <c r="B2788" i="44"/>
  <c r="D2787" i="44"/>
  <c r="C2787" i="44"/>
  <c r="B2787" i="44"/>
  <c r="D2786" i="44"/>
  <c r="C2786" i="44"/>
  <c r="B2786" i="44"/>
  <c r="D2785" i="44"/>
  <c r="C2785" i="44"/>
  <c r="B2785" i="44"/>
  <c r="D2784" i="44"/>
  <c r="C2784" i="44"/>
  <c r="B2784" i="44"/>
  <c r="D2783" i="44"/>
  <c r="C2783" i="44"/>
  <c r="B2783" i="44"/>
  <c r="D2782" i="44"/>
  <c r="C2782" i="44"/>
  <c r="B2782" i="44"/>
  <c r="D2781" i="44"/>
  <c r="C2781" i="44"/>
  <c r="B2781" i="44"/>
  <c r="D2780" i="44"/>
  <c r="C2780" i="44"/>
  <c r="B2780" i="44"/>
  <c r="D2779" i="44"/>
  <c r="C2779" i="44"/>
  <c r="B2779" i="44"/>
  <c r="D2778" i="44"/>
  <c r="C2778" i="44"/>
  <c r="B2778" i="44"/>
  <c r="D2777" i="44"/>
  <c r="C2777" i="44"/>
  <c r="B2777" i="44"/>
  <c r="D2776" i="44"/>
  <c r="C2776" i="44"/>
  <c r="B2776" i="44"/>
  <c r="D2775" i="44"/>
  <c r="C2775" i="44"/>
  <c r="B2775" i="44"/>
  <c r="D2774" i="44"/>
  <c r="C2774" i="44"/>
  <c r="B2774" i="44"/>
  <c r="D2773" i="44"/>
  <c r="C2773" i="44"/>
  <c r="B2773" i="44"/>
  <c r="D2772" i="44"/>
  <c r="C2772" i="44"/>
  <c r="B2772" i="44"/>
  <c r="D2771" i="44"/>
  <c r="C2771" i="44"/>
  <c r="B2771" i="44"/>
  <c r="D2770" i="44"/>
  <c r="C2770" i="44"/>
  <c r="B2770" i="44"/>
  <c r="D2769" i="44"/>
  <c r="C2769" i="44"/>
  <c r="B2769" i="44"/>
  <c r="D2768" i="44"/>
  <c r="C2768" i="44"/>
  <c r="B2768" i="44"/>
  <c r="D2767" i="44"/>
  <c r="C2767" i="44"/>
  <c r="B2767" i="44"/>
  <c r="D2766" i="44"/>
  <c r="C2766" i="44"/>
  <c r="B2766" i="44"/>
  <c r="D2765" i="44"/>
  <c r="C2765" i="44"/>
  <c r="B2765" i="44"/>
  <c r="D2764" i="44"/>
  <c r="C2764" i="44"/>
  <c r="B2764" i="44"/>
  <c r="D2763" i="44"/>
  <c r="C2763" i="44"/>
  <c r="B2763" i="44"/>
  <c r="D2762" i="44"/>
  <c r="C2762" i="44"/>
  <c r="B2762" i="44"/>
  <c r="D2761" i="44"/>
  <c r="C2761" i="44"/>
  <c r="B2761" i="44"/>
  <c r="D2760" i="44"/>
  <c r="C2760" i="44"/>
  <c r="B2760" i="44"/>
  <c r="D2759" i="44"/>
  <c r="C2759" i="44"/>
  <c r="B2759" i="44"/>
  <c r="D2758" i="44"/>
  <c r="C2758" i="44"/>
  <c r="B2758" i="44"/>
  <c r="D2757" i="44"/>
  <c r="C2757" i="44"/>
  <c r="B2757" i="44"/>
  <c r="D2756" i="44"/>
  <c r="C2756" i="44"/>
  <c r="B2756" i="44"/>
  <c r="D2755" i="44"/>
  <c r="C2755" i="44"/>
  <c r="B2755" i="44"/>
  <c r="D2754" i="44"/>
  <c r="C2754" i="44"/>
  <c r="B2754" i="44"/>
  <c r="D2753" i="44"/>
  <c r="C2753" i="44"/>
  <c r="B2753" i="44"/>
  <c r="D2752" i="44"/>
  <c r="C2752" i="44"/>
  <c r="B2752" i="44"/>
  <c r="D2751" i="44"/>
  <c r="C2751" i="44"/>
  <c r="B2751" i="44"/>
  <c r="D2750" i="44"/>
  <c r="C2750" i="44"/>
  <c r="B2750" i="44"/>
  <c r="D2749" i="44"/>
  <c r="C2749" i="44"/>
  <c r="B2749" i="44"/>
  <c r="D2748" i="44"/>
  <c r="C2748" i="44"/>
  <c r="B2748" i="44"/>
  <c r="D2747" i="44"/>
  <c r="C2747" i="44"/>
  <c r="B2747" i="44"/>
  <c r="D2746" i="44"/>
  <c r="C2746" i="44"/>
  <c r="B2746" i="44"/>
  <c r="D2745" i="44"/>
  <c r="C2745" i="44"/>
  <c r="B2745" i="44"/>
  <c r="D2744" i="44"/>
  <c r="C2744" i="44"/>
  <c r="B2744" i="44"/>
  <c r="D2743" i="44"/>
  <c r="C2743" i="44"/>
  <c r="B2743" i="44"/>
  <c r="D2742" i="44"/>
  <c r="C2742" i="44"/>
  <c r="B2742" i="44"/>
  <c r="D2741" i="44"/>
  <c r="C2741" i="44"/>
  <c r="B2741" i="44"/>
  <c r="D2740" i="44"/>
  <c r="C2740" i="44"/>
  <c r="B2740" i="44"/>
  <c r="D2739" i="44"/>
  <c r="C2739" i="44"/>
  <c r="B2739" i="44"/>
  <c r="D2738" i="44"/>
  <c r="C2738" i="44"/>
  <c r="B2738" i="44"/>
  <c r="D2737" i="44"/>
  <c r="C2737" i="44"/>
  <c r="B2737" i="44"/>
  <c r="D2736" i="44"/>
  <c r="C2736" i="44"/>
  <c r="B2736" i="44"/>
  <c r="D2735" i="44"/>
  <c r="C2735" i="44"/>
  <c r="B2735" i="44"/>
  <c r="D2734" i="44"/>
  <c r="C2734" i="44"/>
  <c r="B2734" i="44"/>
  <c r="D2733" i="44"/>
  <c r="C2733" i="44"/>
  <c r="B2733" i="44"/>
  <c r="D2732" i="44"/>
  <c r="C2732" i="44"/>
  <c r="B2732" i="44"/>
  <c r="D2731" i="44"/>
  <c r="C2731" i="44"/>
  <c r="B2731" i="44"/>
  <c r="D2730" i="44"/>
  <c r="C2730" i="44"/>
  <c r="B2730" i="44"/>
  <c r="D2729" i="44"/>
  <c r="C2729" i="44"/>
  <c r="B2729" i="44"/>
  <c r="D2728" i="44"/>
  <c r="C2728" i="44"/>
  <c r="B2728" i="44"/>
  <c r="D2727" i="44"/>
  <c r="C2727" i="44"/>
  <c r="B2727" i="44"/>
  <c r="D2726" i="44"/>
  <c r="C2726" i="44"/>
  <c r="B2726" i="44"/>
  <c r="D2725" i="44"/>
  <c r="C2725" i="44"/>
  <c r="B2725" i="44"/>
  <c r="D2724" i="44"/>
  <c r="C2724" i="44"/>
  <c r="B2724" i="44"/>
  <c r="D2723" i="44"/>
  <c r="C2723" i="44"/>
  <c r="B2723" i="44"/>
  <c r="D2722" i="44"/>
  <c r="C2722" i="44"/>
  <c r="B2722" i="44"/>
  <c r="D2721" i="44"/>
  <c r="C2721" i="44"/>
  <c r="B2721" i="44"/>
  <c r="D2720" i="44"/>
  <c r="C2720" i="44"/>
  <c r="B2720" i="44"/>
  <c r="D2719" i="44"/>
  <c r="C2719" i="44"/>
  <c r="B2719" i="44"/>
  <c r="D2718" i="44"/>
  <c r="C2718" i="44"/>
  <c r="B2718" i="44"/>
  <c r="D2717" i="44"/>
  <c r="C2717" i="44"/>
  <c r="B2717" i="44"/>
  <c r="D2716" i="44"/>
  <c r="C2716" i="44"/>
  <c r="B2716" i="44"/>
  <c r="D2715" i="44"/>
  <c r="C2715" i="44"/>
  <c r="B2715" i="44"/>
  <c r="D2714" i="44"/>
  <c r="C2714" i="44"/>
  <c r="B2714" i="44"/>
  <c r="D2713" i="44"/>
  <c r="C2713" i="44"/>
  <c r="B2713" i="44"/>
  <c r="D2712" i="44"/>
  <c r="C2712" i="44"/>
  <c r="B2712" i="44"/>
  <c r="D2711" i="44"/>
  <c r="C2711" i="44"/>
  <c r="B2711" i="44"/>
  <c r="D2710" i="44"/>
  <c r="C2710" i="44"/>
  <c r="B2710" i="44"/>
  <c r="D2709" i="44"/>
  <c r="C2709" i="44"/>
  <c r="B2709" i="44"/>
  <c r="D2708" i="44"/>
  <c r="C2708" i="44"/>
  <c r="B2708" i="44"/>
  <c r="D2707" i="44"/>
  <c r="C2707" i="44"/>
  <c r="B2707" i="44"/>
  <c r="D2706" i="44"/>
  <c r="C2706" i="44"/>
  <c r="B2706" i="44"/>
  <c r="D2705" i="44"/>
  <c r="C2705" i="44"/>
  <c r="B2705" i="44"/>
  <c r="D2704" i="44"/>
  <c r="C2704" i="44"/>
  <c r="B2704" i="44"/>
  <c r="D2703" i="44"/>
  <c r="C2703" i="44"/>
  <c r="B2703" i="44"/>
  <c r="D2702" i="44"/>
  <c r="C2702" i="44"/>
  <c r="B2702" i="44"/>
  <c r="D2701" i="44"/>
  <c r="C2701" i="44"/>
  <c r="B2701" i="44"/>
  <c r="D2700" i="44"/>
  <c r="C2700" i="44"/>
  <c r="B2700" i="44"/>
  <c r="D2699" i="44"/>
  <c r="C2699" i="44"/>
  <c r="B2699" i="44"/>
  <c r="D2698" i="44"/>
  <c r="C2698" i="44"/>
  <c r="B2698" i="44"/>
  <c r="D2697" i="44"/>
  <c r="C2697" i="44"/>
  <c r="B2697" i="44"/>
  <c r="D2696" i="44"/>
  <c r="C2696" i="44"/>
  <c r="B2696" i="44"/>
  <c r="D2695" i="44"/>
  <c r="C2695" i="44"/>
  <c r="B2695" i="44"/>
  <c r="D2694" i="44"/>
  <c r="C2694" i="44"/>
  <c r="B2694" i="44"/>
  <c r="D2693" i="44"/>
  <c r="C2693" i="44"/>
  <c r="B2693" i="44"/>
  <c r="D2692" i="44"/>
  <c r="C2692" i="44"/>
  <c r="B2692" i="44"/>
  <c r="D2691" i="44"/>
  <c r="C2691" i="44"/>
  <c r="B2691" i="44"/>
  <c r="D2690" i="44"/>
  <c r="C2690" i="44"/>
  <c r="B2690" i="44"/>
  <c r="D2689" i="44"/>
  <c r="C2689" i="44"/>
  <c r="B2689" i="44"/>
  <c r="D2688" i="44"/>
  <c r="C2688" i="44"/>
  <c r="B2688" i="44"/>
  <c r="D2687" i="44"/>
  <c r="C2687" i="44"/>
  <c r="B2687" i="44"/>
  <c r="D2686" i="44"/>
  <c r="C2686" i="44"/>
  <c r="B2686" i="44"/>
  <c r="E2672" i="44"/>
  <c r="D2672" i="44"/>
  <c r="C2672" i="44"/>
  <c r="B2672" i="44"/>
  <c r="E2671" i="44"/>
  <c r="D2671" i="44"/>
  <c r="C2671" i="44"/>
  <c r="B2671" i="44"/>
  <c r="E2670" i="44"/>
  <c r="D2670" i="44"/>
  <c r="C2670" i="44"/>
  <c r="B2670" i="44"/>
  <c r="E2669" i="44"/>
  <c r="D2669" i="44"/>
  <c r="C2669" i="44"/>
  <c r="B2669" i="44"/>
  <c r="E2668" i="44"/>
  <c r="D2668" i="44"/>
  <c r="C2668" i="44"/>
  <c r="B2668" i="44"/>
  <c r="E2667" i="44"/>
  <c r="D2667" i="44"/>
  <c r="C2667" i="44"/>
  <c r="B2667" i="44"/>
  <c r="E2666" i="44"/>
  <c r="D2666" i="44"/>
  <c r="C2666" i="44"/>
  <c r="B2666" i="44"/>
  <c r="E2665" i="44"/>
  <c r="D2665" i="44"/>
  <c r="C2665" i="44"/>
  <c r="B2665" i="44"/>
  <c r="E2664" i="44"/>
  <c r="D2664" i="44"/>
  <c r="C2664" i="44"/>
  <c r="B2664" i="44"/>
  <c r="E2663" i="44"/>
  <c r="D2663" i="44"/>
  <c r="C2663" i="44"/>
  <c r="B2663" i="44"/>
  <c r="E2662" i="44"/>
  <c r="D2662" i="44"/>
  <c r="C2662" i="44"/>
  <c r="B2662" i="44"/>
  <c r="E2661" i="44"/>
  <c r="D2661" i="44"/>
  <c r="C2661" i="44"/>
  <c r="B2661" i="44"/>
  <c r="E2660" i="44"/>
  <c r="D2660" i="44"/>
  <c r="C2660" i="44"/>
  <c r="B2660" i="44"/>
  <c r="E2659" i="44"/>
  <c r="D2659" i="44"/>
  <c r="C2659" i="44"/>
  <c r="B2659" i="44"/>
  <c r="E2658" i="44"/>
  <c r="D2658" i="44"/>
  <c r="C2658" i="44"/>
  <c r="B2658" i="44"/>
  <c r="E2657" i="44"/>
  <c r="D2657" i="44"/>
  <c r="C2657" i="44"/>
  <c r="B2657" i="44"/>
  <c r="E2656" i="44"/>
  <c r="D2656" i="44"/>
  <c r="C2656" i="44"/>
  <c r="B2656" i="44"/>
  <c r="E2655" i="44"/>
  <c r="D2655" i="44"/>
  <c r="C2655" i="44"/>
  <c r="B2655" i="44"/>
  <c r="E2654" i="44"/>
  <c r="D2654" i="44"/>
  <c r="C2654" i="44"/>
  <c r="B2654" i="44"/>
  <c r="E2653" i="44"/>
  <c r="D2653" i="44"/>
  <c r="C2653" i="44"/>
  <c r="B2653" i="44"/>
  <c r="E2652" i="44"/>
  <c r="D2652" i="44"/>
  <c r="C2652" i="44"/>
  <c r="B2652" i="44"/>
  <c r="E2651" i="44"/>
  <c r="D2651" i="44"/>
  <c r="C2651" i="44"/>
  <c r="B2651" i="44"/>
  <c r="E2650" i="44"/>
  <c r="D2650" i="44"/>
  <c r="C2650" i="44"/>
  <c r="B2650" i="44"/>
  <c r="E2649" i="44"/>
  <c r="D2649" i="44"/>
  <c r="C2649" i="44"/>
  <c r="B2649" i="44"/>
  <c r="E2648" i="44"/>
  <c r="D2648" i="44"/>
  <c r="C2648" i="44"/>
  <c r="B2648" i="44"/>
  <c r="E2647" i="44"/>
  <c r="D2647" i="44"/>
  <c r="C2647" i="44"/>
  <c r="B2647" i="44"/>
  <c r="E2646" i="44"/>
  <c r="D2646" i="44"/>
  <c r="C2646" i="44"/>
  <c r="B2646" i="44"/>
  <c r="E2645" i="44"/>
  <c r="D2645" i="44"/>
  <c r="C2645" i="44"/>
  <c r="B2645" i="44"/>
  <c r="E2644" i="44"/>
  <c r="D2644" i="44"/>
  <c r="C2644" i="44"/>
  <c r="B2644" i="44"/>
  <c r="E2643" i="44"/>
  <c r="D2643" i="44"/>
  <c r="C2643" i="44"/>
  <c r="B2643" i="44"/>
  <c r="E2642" i="44"/>
  <c r="D2642" i="44"/>
  <c r="C2642" i="44"/>
  <c r="B2642" i="44"/>
  <c r="E2641" i="44"/>
  <c r="D2641" i="44"/>
  <c r="C2641" i="44"/>
  <c r="B2641" i="44"/>
  <c r="E2640" i="44"/>
  <c r="D2640" i="44"/>
  <c r="C2640" i="44"/>
  <c r="B2640" i="44"/>
  <c r="E2639" i="44"/>
  <c r="D2639" i="44"/>
  <c r="C2639" i="44"/>
  <c r="B2639" i="44"/>
  <c r="E2638" i="44"/>
  <c r="D2638" i="44"/>
  <c r="C2638" i="44"/>
  <c r="B2638" i="44"/>
  <c r="E2637" i="44"/>
  <c r="D2637" i="44"/>
  <c r="C2637" i="44"/>
  <c r="B2637" i="44"/>
  <c r="E2636" i="44"/>
  <c r="D2636" i="44"/>
  <c r="C2636" i="44"/>
  <c r="B2636" i="44"/>
  <c r="E2635" i="44"/>
  <c r="D2635" i="44"/>
  <c r="C2635" i="44"/>
  <c r="B2635" i="44"/>
  <c r="E2634" i="44"/>
  <c r="D2634" i="44"/>
  <c r="C2634" i="44"/>
  <c r="B2634" i="44"/>
  <c r="E2633" i="44"/>
  <c r="D2633" i="44"/>
  <c r="C2633" i="44"/>
  <c r="B2633" i="44"/>
  <c r="E2632" i="44"/>
  <c r="D2632" i="44"/>
  <c r="C2632" i="44"/>
  <c r="B2632" i="44"/>
  <c r="E2631" i="44"/>
  <c r="D2631" i="44"/>
  <c r="C2631" i="44"/>
  <c r="B2631" i="44"/>
  <c r="E2630" i="44"/>
  <c r="D2630" i="44"/>
  <c r="C2630" i="44"/>
  <c r="B2630" i="44"/>
  <c r="E2629" i="44"/>
  <c r="D2629" i="44"/>
  <c r="C2629" i="44"/>
  <c r="B2629" i="44"/>
  <c r="E2628" i="44"/>
  <c r="D2628" i="44"/>
  <c r="C2628" i="44"/>
  <c r="B2628" i="44"/>
  <c r="E2627" i="44"/>
  <c r="D2627" i="44"/>
  <c r="C2627" i="44"/>
  <c r="B2627" i="44"/>
  <c r="E2626" i="44"/>
  <c r="D2626" i="44"/>
  <c r="C2626" i="44"/>
  <c r="B2626" i="44"/>
  <c r="E2625" i="44"/>
  <c r="D2625" i="44"/>
  <c r="C2625" i="44"/>
  <c r="B2625" i="44"/>
  <c r="E2624" i="44"/>
  <c r="D2624" i="44"/>
  <c r="C2624" i="44"/>
  <c r="B2624" i="44"/>
  <c r="E2623" i="44"/>
  <c r="D2623" i="44"/>
  <c r="C2623" i="44"/>
  <c r="B2623" i="44"/>
  <c r="E2622" i="44"/>
  <c r="D2622" i="44"/>
  <c r="C2622" i="44"/>
  <c r="B2622" i="44"/>
  <c r="E2621" i="44"/>
  <c r="D2621" i="44"/>
  <c r="C2621" i="44"/>
  <c r="B2621" i="44"/>
  <c r="E2620" i="44"/>
  <c r="D2620" i="44"/>
  <c r="C2620" i="44"/>
  <c r="B2620" i="44"/>
  <c r="E2619" i="44"/>
  <c r="D2619" i="44"/>
  <c r="C2619" i="44"/>
  <c r="B2619" i="44"/>
  <c r="E2618" i="44"/>
  <c r="D2618" i="44"/>
  <c r="C2618" i="44"/>
  <c r="B2618" i="44"/>
  <c r="E2617" i="44"/>
  <c r="D2617" i="44"/>
  <c r="C2617" i="44"/>
  <c r="B2617" i="44"/>
  <c r="E2616" i="44"/>
  <c r="D2616" i="44"/>
  <c r="C2616" i="44"/>
  <c r="B2616" i="44"/>
  <c r="E2615" i="44"/>
  <c r="D2615" i="44"/>
  <c r="C2615" i="44"/>
  <c r="B2615" i="44"/>
  <c r="E2614" i="44"/>
  <c r="D2614" i="44"/>
  <c r="C2614" i="44"/>
  <c r="B2614" i="44"/>
  <c r="E2613" i="44"/>
  <c r="D2613" i="44"/>
  <c r="C2613" i="44"/>
  <c r="B2613" i="44"/>
  <c r="E2612" i="44"/>
  <c r="D2612" i="44"/>
  <c r="C2612" i="44"/>
  <c r="B2612" i="44"/>
  <c r="E2611" i="44"/>
  <c r="D2611" i="44"/>
  <c r="C2611" i="44"/>
  <c r="B2611" i="44"/>
  <c r="E2610" i="44"/>
  <c r="D2610" i="44"/>
  <c r="C2610" i="44"/>
  <c r="B2610" i="44"/>
  <c r="E2609" i="44"/>
  <c r="D2609" i="44"/>
  <c r="C2609" i="44"/>
  <c r="B2609" i="44"/>
  <c r="E2608" i="44"/>
  <c r="D2608" i="44"/>
  <c r="C2608" i="44"/>
  <c r="B2608" i="44"/>
  <c r="E2607" i="44"/>
  <c r="D2607" i="44"/>
  <c r="C2607" i="44"/>
  <c r="B2607" i="44"/>
  <c r="E2606" i="44"/>
  <c r="D2606" i="44"/>
  <c r="C2606" i="44"/>
  <c r="B2606" i="44"/>
  <c r="E2605" i="44"/>
  <c r="D2605" i="44"/>
  <c r="C2605" i="44"/>
  <c r="B2605" i="44"/>
  <c r="E2604" i="44"/>
  <c r="D2604" i="44"/>
  <c r="C2604" i="44"/>
  <c r="B2604" i="44"/>
  <c r="E2603" i="44"/>
  <c r="D2603" i="44"/>
  <c r="C2603" i="44"/>
  <c r="B2603" i="44"/>
  <c r="E2602" i="44"/>
  <c r="D2602" i="44"/>
  <c r="C2602" i="44"/>
  <c r="B2602" i="44"/>
  <c r="E2601" i="44"/>
  <c r="D2601" i="44"/>
  <c r="C2601" i="44"/>
  <c r="B2601" i="44"/>
  <c r="E2600" i="44"/>
  <c r="D2600" i="44"/>
  <c r="C2600" i="44"/>
  <c r="B2600" i="44"/>
  <c r="E2599" i="44"/>
  <c r="D2599" i="44"/>
  <c r="C2599" i="44"/>
  <c r="B2599" i="44"/>
  <c r="E2598" i="44"/>
  <c r="D2598" i="44"/>
  <c r="C2598" i="44"/>
  <c r="B2598" i="44"/>
  <c r="E2597" i="44"/>
  <c r="D2597" i="44"/>
  <c r="C2597" i="44"/>
  <c r="B2597" i="44"/>
  <c r="E2596" i="44"/>
  <c r="D2596" i="44"/>
  <c r="C2596" i="44"/>
  <c r="B2596" i="44"/>
  <c r="E2595" i="44"/>
  <c r="D2595" i="44"/>
  <c r="C2595" i="44"/>
  <c r="B2595" i="44"/>
  <c r="E2594" i="44"/>
  <c r="D2594" i="44"/>
  <c r="C2594" i="44"/>
  <c r="B2594" i="44"/>
  <c r="E2593" i="44"/>
  <c r="D2593" i="44"/>
  <c r="C2593" i="44"/>
  <c r="B2593" i="44"/>
  <c r="E2592" i="44"/>
  <c r="D2592" i="44"/>
  <c r="C2592" i="44"/>
  <c r="B2592" i="44"/>
  <c r="E2591" i="44"/>
  <c r="D2591" i="44"/>
  <c r="C2591" i="44"/>
  <c r="B2591" i="44"/>
  <c r="E2590" i="44"/>
  <c r="D2590" i="44"/>
  <c r="C2590" i="44"/>
  <c r="B2590" i="44"/>
  <c r="E2589" i="44"/>
  <c r="D2589" i="44"/>
  <c r="C2589" i="44"/>
  <c r="B2589" i="44"/>
  <c r="E2588" i="44"/>
  <c r="D2588" i="44"/>
  <c r="C2588" i="44"/>
  <c r="B2588" i="44"/>
  <c r="E2587" i="44"/>
  <c r="D2587" i="44"/>
  <c r="C2587" i="44"/>
  <c r="B2587" i="44"/>
  <c r="E2586" i="44"/>
  <c r="D2586" i="44"/>
  <c r="C2586" i="44"/>
  <c r="B2586" i="44"/>
  <c r="E2585" i="44"/>
  <c r="D2585" i="44"/>
  <c r="C2585" i="44"/>
  <c r="B2585" i="44"/>
  <c r="E2584" i="44"/>
  <c r="D2584" i="44"/>
  <c r="C2584" i="44"/>
  <c r="B2584" i="44"/>
  <c r="E2583" i="44"/>
  <c r="D2583" i="44"/>
  <c r="C2583" i="44"/>
  <c r="B2583" i="44"/>
  <c r="E2582" i="44"/>
  <c r="D2582" i="44"/>
  <c r="C2582" i="44"/>
  <c r="B2582" i="44"/>
  <c r="E2581" i="44"/>
  <c r="D2581" i="44"/>
  <c r="C2581" i="44"/>
  <c r="B2581" i="44"/>
  <c r="E2580" i="44"/>
  <c r="D2580" i="44"/>
  <c r="C2580" i="44"/>
  <c r="B2580" i="44"/>
  <c r="E2579" i="44"/>
  <c r="D2579" i="44"/>
  <c r="C2579" i="44"/>
  <c r="B2579" i="44"/>
  <c r="E2578" i="44"/>
  <c r="D2578" i="44"/>
  <c r="C2578" i="44"/>
  <c r="B2578" i="44"/>
  <c r="E2577" i="44"/>
  <c r="D2577" i="44"/>
  <c r="C2577" i="44"/>
  <c r="B2577" i="44"/>
  <c r="E2576" i="44"/>
  <c r="D2576" i="44"/>
  <c r="C2576" i="44"/>
  <c r="B2576" i="44"/>
  <c r="E2575" i="44"/>
  <c r="D2575" i="44"/>
  <c r="C2575" i="44"/>
  <c r="B2575" i="44"/>
  <c r="E2574" i="44"/>
  <c r="D2574" i="44"/>
  <c r="C2574" i="44"/>
  <c r="B2574" i="44"/>
  <c r="E2573" i="44"/>
  <c r="D2573" i="44"/>
  <c r="C2573" i="44"/>
  <c r="B2573" i="44"/>
  <c r="E2572" i="44"/>
  <c r="D2572" i="44"/>
  <c r="C2572" i="44"/>
  <c r="B2572" i="44"/>
  <c r="E2571" i="44"/>
  <c r="D2571" i="44"/>
  <c r="C2571" i="44"/>
  <c r="B2571" i="44"/>
  <c r="E2570" i="44"/>
  <c r="D2570" i="44"/>
  <c r="C2570" i="44"/>
  <c r="B2570" i="44"/>
  <c r="E2569" i="44"/>
  <c r="D2569" i="44"/>
  <c r="C2569" i="44"/>
  <c r="B2569" i="44"/>
  <c r="E2568" i="44"/>
  <c r="D2568" i="44"/>
  <c r="C2568" i="44"/>
  <c r="B2568" i="44"/>
  <c r="E2567" i="44"/>
  <c r="D2567" i="44"/>
  <c r="C2567" i="44"/>
  <c r="B2567" i="44"/>
  <c r="E2566" i="44"/>
  <c r="D2566" i="44"/>
  <c r="C2566" i="44"/>
  <c r="B2566" i="44"/>
  <c r="E2565" i="44"/>
  <c r="D2565" i="44"/>
  <c r="C2565" i="44"/>
  <c r="B2565" i="44"/>
  <c r="E2564" i="44"/>
  <c r="D2564" i="44"/>
  <c r="C2564" i="44"/>
  <c r="B2564" i="44"/>
  <c r="E2563" i="44"/>
  <c r="D2563" i="44"/>
  <c r="C2563" i="44"/>
  <c r="B2563" i="44"/>
  <c r="E2562" i="44"/>
  <c r="D2562" i="44"/>
  <c r="C2562" i="44"/>
  <c r="B2562" i="44"/>
  <c r="E2561" i="44"/>
  <c r="D2561" i="44"/>
  <c r="C2561" i="44"/>
  <c r="B2561" i="44"/>
  <c r="E2560" i="44"/>
  <c r="D2560" i="44"/>
  <c r="C2560" i="44"/>
  <c r="B2560" i="44"/>
  <c r="E2559" i="44"/>
  <c r="D2559" i="44"/>
  <c r="C2559" i="44"/>
  <c r="B2559" i="44"/>
  <c r="E2558" i="44"/>
  <c r="D2558" i="44"/>
  <c r="C2558" i="44"/>
  <c r="B2558" i="44"/>
  <c r="E2557" i="44"/>
  <c r="D2557" i="44"/>
  <c r="C2557" i="44"/>
  <c r="B2557" i="44"/>
  <c r="E2556" i="44"/>
  <c r="D2556" i="44"/>
  <c r="C2556" i="44"/>
  <c r="B2556" i="44"/>
  <c r="E2555" i="44"/>
  <c r="D2555" i="44"/>
  <c r="C2555" i="44"/>
  <c r="B2555" i="44"/>
  <c r="E2554" i="44"/>
  <c r="D2554" i="44"/>
  <c r="C2554" i="44"/>
  <c r="B2554" i="44"/>
  <c r="E2553" i="44"/>
  <c r="D2553" i="44"/>
  <c r="C2553" i="44"/>
  <c r="B2553" i="44"/>
  <c r="E2552" i="44"/>
  <c r="D2552" i="44"/>
  <c r="C2552" i="44"/>
  <c r="B2552" i="44"/>
  <c r="E2551" i="44"/>
  <c r="D2551" i="44"/>
  <c r="C2551" i="44"/>
  <c r="B2551" i="44"/>
  <c r="E2550" i="44"/>
  <c r="D2550" i="44"/>
  <c r="C2550" i="44"/>
  <c r="B2550" i="44"/>
  <c r="E2549" i="44"/>
  <c r="D2549" i="44"/>
  <c r="C2549" i="44"/>
  <c r="B2549" i="44"/>
  <c r="E2548" i="44"/>
  <c r="D2548" i="44"/>
  <c r="C2548" i="44"/>
  <c r="B2548" i="44"/>
  <c r="E2547" i="44"/>
  <c r="D2547" i="44"/>
  <c r="C2547" i="44"/>
  <c r="B2547" i="44"/>
  <c r="E2546" i="44"/>
  <c r="D2546" i="44"/>
  <c r="C2546" i="44"/>
  <c r="B2546" i="44"/>
  <c r="E2545" i="44"/>
  <c r="D2545" i="44"/>
  <c r="C2545" i="44"/>
  <c r="B2545" i="44"/>
  <c r="E2544" i="44"/>
  <c r="D2544" i="44"/>
  <c r="C2544" i="44"/>
  <c r="B2544" i="44"/>
  <c r="E2543" i="44"/>
  <c r="D2543" i="44"/>
  <c r="C2543" i="44"/>
  <c r="B2543" i="44"/>
  <c r="E2542" i="44"/>
  <c r="D2542" i="44"/>
  <c r="C2542" i="44"/>
  <c r="B2542" i="44"/>
  <c r="E2541" i="44"/>
  <c r="D2541" i="44"/>
  <c r="C2541" i="44"/>
  <c r="B2541" i="44"/>
  <c r="E2540" i="44"/>
  <c r="D2540" i="44"/>
  <c r="C2540" i="44"/>
  <c r="B2540" i="44"/>
  <c r="E2539" i="44"/>
  <c r="D2539" i="44"/>
  <c r="C2539" i="44"/>
  <c r="B2539" i="44"/>
  <c r="E2538" i="44"/>
  <c r="D2538" i="44"/>
  <c r="C2538" i="44"/>
  <c r="B2538" i="44"/>
  <c r="E2537" i="44"/>
  <c r="D2537" i="44"/>
  <c r="C2537" i="44"/>
  <c r="B2537" i="44"/>
  <c r="E2536" i="44"/>
  <c r="D2536" i="44"/>
  <c r="C2536" i="44"/>
  <c r="B2536" i="44"/>
  <c r="E2535" i="44"/>
  <c r="D2535" i="44"/>
  <c r="C2535" i="44"/>
  <c r="B2535" i="44"/>
  <c r="E2534" i="44"/>
  <c r="D2534" i="44"/>
  <c r="C2534" i="44"/>
  <c r="B2534" i="44"/>
  <c r="E2533" i="44"/>
  <c r="D2533" i="44"/>
  <c r="C2533" i="44"/>
  <c r="B2533" i="44"/>
  <c r="E2532" i="44"/>
  <c r="D2532" i="44"/>
  <c r="C2532" i="44"/>
  <c r="B2532" i="44"/>
  <c r="E2531" i="44"/>
  <c r="D2531" i="44"/>
  <c r="C2531" i="44"/>
  <c r="B2531" i="44"/>
  <c r="E2530" i="44"/>
  <c r="D2530" i="44"/>
  <c r="C2530" i="44"/>
  <c r="B2530" i="44"/>
  <c r="E2529" i="44"/>
  <c r="D2529" i="44"/>
  <c r="C2529" i="44"/>
  <c r="B2529" i="44"/>
  <c r="E2528" i="44"/>
  <c r="D2528" i="44"/>
  <c r="C2528" i="44"/>
  <c r="B2528" i="44"/>
  <c r="E2527" i="44"/>
  <c r="D2527" i="44"/>
  <c r="C2527" i="44"/>
  <c r="B2527" i="44"/>
  <c r="E2526" i="44"/>
  <c r="D2526" i="44"/>
  <c r="C2526" i="44"/>
  <c r="B2526" i="44"/>
  <c r="E2525" i="44"/>
  <c r="D2525" i="44"/>
  <c r="C2525" i="44"/>
  <c r="B2525" i="44"/>
  <c r="E2524" i="44"/>
  <c r="D2524" i="44"/>
  <c r="C2524" i="44"/>
  <c r="B2524" i="44"/>
  <c r="E2523" i="44"/>
  <c r="D2523" i="44"/>
  <c r="C2523" i="44"/>
  <c r="B2523" i="44"/>
  <c r="E2522" i="44"/>
  <c r="D2522" i="44"/>
  <c r="C2522" i="44"/>
  <c r="B2522" i="44"/>
  <c r="E2521" i="44"/>
  <c r="D2521" i="44"/>
  <c r="C2521" i="44"/>
  <c r="B2521" i="44"/>
  <c r="E2520" i="44"/>
  <c r="D2520" i="44"/>
  <c r="C2520" i="44"/>
  <c r="B2520" i="44"/>
  <c r="E2519" i="44"/>
  <c r="D2519" i="44"/>
  <c r="C2519" i="44"/>
  <c r="B2519" i="44"/>
  <c r="E2518" i="44"/>
  <c r="D2518" i="44"/>
  <c r="C2518" i="44"/>
  <c r="B2518" i="44"/>
  <c r="E2517" i="44"/>
  <c r="D2517" i="44"/>
  <c r="C2517" i="44"/>
  <c r="B2517" i="44"/>
  <c r="E2516" i="44"/>
  <c r="D2516" i="44"/>
  <c r="C2516" i="44"/>
  <c r="B2516" i="44"/>
  <c r="E2515" i="44"/>
  <c r="D2515" i="44"/>
  <c r="C2515" i="44"/>
  <c r="B2515" i="44"/>
  <c r="E2514" i="44"/>
  <c r="D2514" i="44"/>
  <c r="C2514" i="44"/>
  <c r="B2514" i="44"/>
  <c r="E2513" i="44"/>
  <c r="D2513" i="44"/>
  <c r="C2513" i="44"/>
  <c r="B2513" i="44"/>
  <c r="E2512" i="44"/>
  <c r="D2512" i="44"/>
  <c r="C2512" i="44"/>
  <c r="B2512" i="44"/>
  <c r="E2511" i="44"/>
  <c r="D2511" i="44"/>
  <c r="C2511" i="44"/>
  <c r="B2511" i="44"/>
  <c r="E2510" i="44"/>
  <c r="D2510" i="44"/>
  <c r="C2510" i="44"/>
  <c r="B2510" i="44"/>
  <c r="E2509" i="44"/>
  <c r="D2509" i="44"/>
  <c r="C2509" i="44"/>
  <c r="B2509" i="44"/>
  <c r="E2508" i="44"/>
  <c r="D2508" i="44"/>
  <c r="C2508" i="44"/>
  <c r="B2508" i="44"/>
  <c r="E2507" i="44"/>
  <c r="D2507" i="44"/>
  <c r="C2507" i="44"/>
  <c r="B2507" i="44"/>
  <c r="E2506" i="44"/>
  <c r="D2506" i="44"/>
  <c r="C2506" i="44"/>
  <c r="B2506" i="44"/>
  <c r="E2505" i="44"/>
  <c r="D2505" i="44"/>
  <c r="C2505" i="44"/>
  <c r="B2505" i="44"/>
  <c r="E2504" i="44"/>
  <c r="D2504" i="44"/>
  <c r="C2504" i="44"/>
  <c r="B2504" i="44"/>
  <c r="E2503" i="44"/>
  <c r="D2503" i="44"/>
  <c r="C2503" i="44"/>
  <c r="B2503" i="44"/>
  <c r="E2502" i="44"/>
  <c r="D2502" i="44"/>
  <c r="C2502" i="44"/>
  <c r="B2502" i="44"/>
  <c r="E2501" i="44"/>
  <c r="D2501" i="44"/>
  <c r="C2501" i="44"/>
  <c r="B2501" i="44"/>
  <c r="E2500" i="44"/>
  <c r="D2500" i="44"/>
  <c r="C2500" i="44"/>
  <c r="B2500" i="44"/>
  <c r="E2499" i="44"/>
  <c r="D2499" i="44"/>
  <c r="C2499" i="44"/>
  <c r="B2499" i="44"/>
  <c r="E2498" i="44"/>
  <c r="D2498" i="44"/>
  <c r="C2498" i="44"/>
  <c r="B2498" i="44"/>
  <c r="E2497" i="44"/>
  <c r="D2497" i="44"/>
  <c r="C2497" i="44"/>
  <c r="B2497" i="44"/>
  <c r="E2496" i="44"/>
  <c r="D2496" i="44"/>
  <c r="C2496" i="44"/>
  <c r="B2496" i="44"/>
  <c r="E2495" i="44"/>
  <c r="D2495" i="44"/>
  <c r="C2495" i="44"/>
  <c r="B2495" i="44"/>
  <c r="E2494" i="44"/>
  <c r="D2494" i="44"/>
  <c r="C2494" i="44"/>
  <c r="B2494" i="44"/>
  <c r="E2493" i="44"/>
  <c r="D2493" i="44"/>
  <c r="C2493" i="44"/>
  <c r="B2493" i="44"/>
  <c r="E2492" i="44"/>
  <c r="D2492" i="44"/>
  <c r="C2492" i="44"/>
  <c r="B2492" i="44"/>
  <c r="E2491" i="44"/>
  <c r="D2491" i="44"/>
  <c r="C2491" i="44"/>
  <c r="B2491" i="44"/>
  <c r="E2490" i="44"/>
  <c r="D2490" i="44"/>
  <c r="C2490" i="44"/>
  <c r="B2490" i="44"/>
  <c r="E2489" i="44"/>
  <c r="D2489" i="44"/>
  <c r="C2489" i="44"/>
  <c r="B2489" i="44"/>
  <c r="E2488" i="44"/>
  <c r="D2488" i="44"/>
  <c r="C2488" i="44"/>
  <c r="B2488" i="44"/>
  <c r="E2487" i="44"/>
  <c r="D2487" i="44"/>
  <c r="C2487" i="44"/>
  <c r="B2487" i="44"/>
  <c r="E2486" i="44"/>
  <c r="D2486" i="44"/>
  <c r="C2486" i="44"/>
  <c r="B2486" i="44"/>
  <c r="E2485" i="44"/>
  <c r="D2485" i="44"/>
  <c r="C2485" i="44"/>
  <c r="B2485" i="44"/>
  <c r="E2484" i="44"/>
  <c r="D2484" i="44"/>
  <c r="C2484" i="44"/>
  <c r="B2484" i="44"/>
  <c r="E2483" i="44"/>
  <c r="D2483" i="44"/>
  <c r="C2483" i="44"/>
  <c r="B2483" i="44"/>
  <c r="E2482" i="44"/>
  <c r="D2482" i="44"/>
  <c r="C2482" i="44"/>
  <c r="B2482" i="44"/>
  <c r="E2481" i="44"/>
  <c r="D2481" i="44"/>
  <c r="C2481" i="44"/>
  <c r="B2481" i="44"/>
  <c r="E2480" i="44"/>
  <c r="D2480" i="44"/>
  <c r="C2480" i="44"/>
  <c r="B2480" i="44"/>
  <c r="E2479" i="44"/>
  <c r="D2479" i="44"/>
  <c r="C2479" i="44"/>
  <c r="B2479" i="44"/>
  <c r="E2478" i="44"/>
  <c r="D2478" i="44"/>
  <c r="C2478" i="44"/>
  <c r="B2478" i="44"/>
  <c r="E2477" i="44"/>
  <c r="D2477" i="44"/>
  <c r="C2477" i="44"/>
  <c r="B2477" i="44"/>
  <c r="E2476" i="44"/>
  <c r="D2476" i="44"/>
  <c r="C2476" i="44"/>
  <c r="B2476" i="44"/>
  <c r="E2475" i="44"/>
  <c r="D2475" i="44"/>
  <c r="C2475" i="44"/>
  <c r="B2475" i="44"/>
  <c r="E2474" i="44"/>
  <c r="D2474" i="44"/>
  <c r="C2474" i="44"/>
  <c r="B2474" i="44"/>
  <c r="E2473" i="44"/>
  <c r="D2473" i="44"/>
  <c r="C2473" i="44"/>
  <c r="B2473" i="44"/>
  <c r="E2472" i="44"/>
  <c r="D2472" i="44"/>
  <c r="C2472" i="44"/>
  <c r="B2472" i="44"/>
  <c r="E2471" i="44"/>
  <c r="D2471" i="44"/>
  <c r="C2471" i="44"/>
  <c r="B2471" i="44"/>
  <c r="E2470" i="44"/>
  <c r="D2470" i="44"/>
  <c r="C2470" i="44"/>
  <c r="B2470" i="44"/>
  <c r="E2469" i="44"/>
  <c r="D2469" i="44"/>
  <c r="C2469" i="44"/>
  <c r="B2469" i="44"/>
  <c r="E2468" i="44"/>
  <c r="D2468" i="44"/>
  <c r="C2468" i="44"/>
  <c r="B2468" i="44"/>
  <c r="E2467" i="44"/>
  <c r="D2467" i="44"/>
  <c r="C2467" i="44"/>
  <c r="B2467" i="44"/>
  <c r="E2466" i="44"/>
  <c r="D2466" i="44"/>
  <c r="C2466" i="44"/>
  <c r="B2466" i="44"/>
  <c r="E2465" i="44"/>
  <c r="D2465" i="44"/>
  <c r="C2465" i="44"/>
  <c r="B2465" i="44"/>
  <c r="E2464" i="44"/>
  <c r="D2464" i="44"/>
  <c r="C2464" i="44"/>
  <c r="B2464" i="44"/>
  <c r="E2463" i="44"/>
  <c r="D2463" i="44"/>
  <c r="C2463" i="44"/>
  <c r="B2463" i="44"/>
  <c r="E2462" i="44"/>
  <c r="D2462" i="44"/>
  <c r="C2462" i="44"/>
  <c r="B2462" i="44"/>
  <c r="E2461" i="44"/>
  <c r="D2461" i="44"/>
  <c r="C2461" i="44"/>
  <c r="B2461" i="44"/>
  <c r="E2460" i="44"/>
  <c r="D2460" i="44"/>
  <c r="C2460" i="44"/>
  <c r="B2460" i="44"/>
  <c r="E2459" i="44"/>
  <c r="D2459" i="44"/>
  <c r="C2459" i="44"/>
  <c r="B2459" i="44"/>
  <c r="E2458" i="44"/>
  <c r="D2458" i="44"/>
  <c r="C2458" i="44"/>
  <c r="B2458" i="44"/>
  <c r="E2457" i="44"/>
  <c r="D2457" i="44"/>
  <c r="C2457" i="44"/>
  <c r="B2457" i="44"/>
  <c r="E2456" i="44"/>
  <c r="D2456" i="44"/>
  <c r="C2456" i="44"/>
  <c r="B2456" i="44"/>
  <c r="E2455" i="44"/>
  <c r="D2455" i="44"/>
  <c r="C2455" i="44"/>
  <c r="B2455" i="44"/>
  <c r="E2454" i="44"/>
  <c r="D2454" i="44"/>
  <c r="C2454" i="44"/>
  <c r="B2454" i="44"/>
  <c r="E2453" i="44"/>
  <c r="D2453" i="44"/>
  <c r="C2453" i="44"/>
  <c r="B2453" i="44"/>
  <c r="E2452" i="44"/>
  <c r="D2452" i="44"/>
  <c r="C2452" i="44"/>
  <c r="B2452" i="44"/>
  <c r="E2451" i="44"/>
  <c r="D2451" i="44"/>
  <c r="C2451" i="44"/>
  <c r="B2451" i="44"/>
  <c r="E2450" i="44"/>
  <c r="D2450" i="44"/>
  <c r="C2450" i="44"/>
  <c r="B2450" i="44"/>
  <c r="E2449" i="44"/>
  <c r="D2449" i="44"/>
  <c r="C2449" i="44"/>
  <c r="B2449" i="44"/>
  <c r="E2448" i="44"/>
  <c r="D2448" i="44"/>
  <c r="C2448" i="44"/>
  <c r="B2448" i="44"/>
  <c r="E2447" i="44"/>
  <c r="D2447" i="44"/>
  <c r="C2447" i="44"/>
  <c r="B2447" i="44"/>
  <c r="E2446" i="44"/>
  <c r="D2446" i="44"/>
  <c r="C2446" i="44"/>
  <c r="B2446" i="44"/>
  <c r="E2445" i="44"/>
  <c r="D2445" i="44"/>
  <c r="C2445" i="44"/>
  <c r="B2445" i="44"/>
  <c r="E2444" i="44"/>
  <c r="D2444" i="44"/>
  <c r="C2444" i="44"/>
  <c r="B2444" i="44"/>
  <c r="E2443" i="44"/>
  <c r="D2443" i="44"/>
  <c r="C2443" i="44"/>
  <c r="B2443" i="44"/>
  <c r="E2442" i="44"/>
  <c r="D2442" i="44"/>
  <c r="C2442" i="44"/>
  <c r="B2442" i="44"/>
  <c r="E2441" i="44"/>
  <c r="D2441" i="44"/>
  <c r="C2441" i="44"/>
  <c r="B2441" i="44"/>
  <c r="E2440" i="44"/>
  <c r="D2440" i="44"/>
  <c r="C2440" i="44"/>
  <c r="B2440" i="44"/>
  <c r="E2439" i="44"/>
  <c r="D2439" i="44"/>
  <c r="C2439" i="44"/>
  <c r="B2439" i="44"/>
  <c r="E2438" i="44"/>
  <c r="D2438" i="44"/>
  <c r="C2438" i="44"/>
  <c r="B2438" i="44"/>
  <c r="E2437" i="44"/>
  <c r="D2437" i="44"/>
  <c r="C2437" i="44"/>
  <c r="B2437" i="44"/>
  <c r="E2436" i="44"/>
  <c r="D2436" i="44"/>
  <c r="C2436" i="44"/>
  <c r="B2436" i="44"/>
  <c r="E2435" i="44"/>
  <c r="D2435" i="44"/>
  <c r="C2435" i="44"/>
  <c r="B2435" i="44"/>
  <c r="E2434" i="44"/>
  <c r="D2434" i="44"/>
  <c r="C2434" i="44"/>
  <c r="B2434" i="44"/>
  <c r="E2433" i="44"/>
  <c r="D2433" i="44"/>
  <c r="C2433" i="44"/>
  <c r="B2433" i="44"/>
  <c r="E2432" i="44"/>
  <c r="D2432" i="44"/>
  <c r="C2432" i="44"/>
  <c r="B2432" i="44"/>
  <c r="E2431" i="44"/>
  <c r="D2431" i="44"/>
  <c r="C2431" i="44"/>
  <c r="B2431" i="44"/>
  <c r="E2430" i="44"/>
  <c r="D2430" i="44"/>
  <c r="C2430" i="44"/>
  <c r="B2430" i="44"/>
  <c r="E2429" i="44"/>
  <c r="D2429" i="44"/>
  <c r="C2429" i="44"/>
  <c r="B2429" i="44"/>
  <c r="E2428" i="44"/>
  <c r="D2428" i="44"/>
  <c r="C2428" i="44"/>
  <c r="B2428" i="44"/>
  <c r="E2427" i="44"/>
  <c r="D2427" i="44"/>
  <c r="C2427" i="44"/>
  <c r="B2427" i="44"/>
  <c r="E2426" i="44"/>
  <c r="D2426" i="44"/>
  <c r="C2426" i="44"/>
  <c r="B2426" i="44"/>
  <c r="E2425" i="44"/>
  <c r="D2425" i="44"/>
  <c r="C2425" i="44"/>
  <c r="B2425" i="44"/>
  <c r="E2424" i="44"/>
  <c r="D2424" i="44"/>
  <c r="C2424" i="44"/>
  <c r="B2424" i="44"/>
  <c r="E2423" i="44"/>
  <c r="D2423" i="44"/>
  <c r="C2423" i="44"/>
  <c r="B2423" i="44"/>
  <c r="E2422" i="44"/>
  <c r="D2422" i="44"/>
  <c r="C2422" i="44"/>
  <c r="B2422" i="44"/>
  <c r="E2421" i="44"/>
  <c r="D2421" i="44"/>
  <c r="C2421" i="44"/>
  <c r="B2421" i="44"/>
  <c r="E2420" i="44"/>
  <c r="D2420" i="44"/>
  <c r="C2420" i="44"/>
  <c r="B2420" i="44"/>
  <c r="E2419" i="44"/>
  <c r="D2419" i="44"/>
  <c r="C2419" i="44"/>
  <c r="B2419" i="44"/>
  <c r="E2418" i="44"/>
  <c r="D2418" i="44"/>
  <c r="C2418" i="44"/>
  <c r="B2418" i="44"/>
  <c r="E2417" i="44"/>
  <c r="D2417" i="44"/>
  <c r="C2417" i="44"/>
  <c r="B2417" i="44"/>
  <c r="E2416" i="44"/>
  <c r="D2416" i="44"/>
  <c r="C2416" i="44"/>
  <c r="B2416" i="44"/>
  <c r="E2415" i="44"/>
  <c r="D2415" i="44"/>
  <c r="C2415" i="44"/>
  <c r="B2415" i="44"/>
  <c r="E2414" i="44"/>
  <c r="D2414" i="44"/>
  <c r="C2414" i="44"/>
  <c r="B2414" i="44"/>
  <c r="E2413" i="44"/>
  <c r="D2413" i="44"/>
  <c r="C2413" i="44"/>
  <c r="B2413" i="44"/>
  <c r="E2412" i="44"/>
  <c r="D2412" i="44"/>
  <c r="C2412" i="44"/>
  <c r="B2412" i="44"/>
  <c r="E2411" i="44"/>
  <c r="D2411" i="44"/>
  <c r="C2411" i="44"/>
  <c r="B2411" i="44"/>
  <c r="E2410" i="44"/>
  <c r="D2410" i="44"/>
  <c r="C2410" i="44"/>
  <c r="B2410" i="44"/>
  <c r="E2409" i="44"/>
  <c r="D2409" i="44"/>
  <c r="C2409" i="44"/>
  <c r="B2409" i="44"/>
  <c r="E2408" i="44"/>
  <c r="D2408" i="44"/>
  <c r="C2408" i="44"/>
  <c r="B2408" i="44"/>
  <c r="E2407" i="44"/>
  <c r="D2407" i="44"/>
  <c r="C2407" i="44"/>
  <c r="B2407" i="44"/>
  <c r="E2406" i="44"/>
  <c r="D2406" i="44"/>
  <c r="C2406" i="44"/>
  <c r="B2406" i="44"/>
  <c r="E2405" i="44"/>
  <c r="D2405" i="44"/>
  <c r="C2405" i="44"/>
  <c r="B2405" i="44"/>
  <c r="E2404" i="44"/>
  <c r="D2404" i="44"/>
  <c r="C2404" i="44"/>
  <c r="B2404" i="44"/>
  <c r="E2403" i="44"/>
  <c r="D2403" i="44"/>
  <c r="C2403" i="44"/>
  <c r="B2403" i="44"/>
  <c r="E2402" i="44"/>
  <c r="D2402" i="44"/>
  <c r="C2402" i="44"/>
  <c r="B2402" i="44"/>
  <c r="E2401" i="44"/>
  <c r="D2401" i="44"/>
  <c r="C2401" i="44"/>
  <c r="B2401" i="44"/>
  <c r="E2400" i="44"/>
  <c r="D2400" i="44"/>
  <c r="C2400" i="44"/>
  <c r="B2400" i="44"/>
  <c r="E2399" i="44"/>
  <c r="D2399" i="44"/>
  <c r="C2399" i="44"/>
  <c r="B2399" i="44"/>
  <c r="E2398" i="44"/>
  <c r="D2398" i="44"/>
  <c r="C2398" i="44"/>
  <c r="B2398" i="44"/>
  <c r="E2397" i="44"/>
  <c r="D2397" i="44"/>
  <c r="C2397" i="44"/>
  <c r="B2397" i="44"/>
  <c r="E2396" i="44"/>
  <c r="D2396" i="44"/>
  <c r="C2396" i="44"/>
  <c r="B2396" i="44"/>
  <c r="E2395" i="44"/>
  <c r="D2395" i="44"/>
  <c r="C2395" i="44"/>
  <c r="B2395" i="44"/>
  <c r="E2394" i="44"/>
  <c r="D2394" i="44"/>
  <c r="C2394" i="44"/>
  <c r="B2394" i="44"/>
  <c r="E2393" i="44"/>
  <c r="D2393" i="44"/>
  <c r="C2393" i="44"/>
  <c r="B2393" i="44"/>
  <c r="E2392" i="44"/>
  <c r="D2392" i="44"/>
  <c r="C2392" i="44"/>
  <c r="B2392" i="44"/>
  <c r="E2391" i="44"/>
  <c r="D2391" i="44"/>
  <c r="C2391" i="44"/>
  <c r="B2391" i="44"/>
  <c r="E2390" i="44"/>
  <c r="D2390" i="44"/>
  <c r="C2390" i="44"/>
  <c r="B2390" i="44"/>
  <c r="E2389" i="44"/>
  <c r="D2389" i="44"/>
  <c r="C2389" i="44"/>
  <c r="B2389" i="44"/>
  <c r="E2388" i="44"/>
  <c r="D2388" i="44"/>
  <c r="C2388" i="44"/>
  <c r="B2388" i="44"/>
  <c r="E2387" i="44"/>
  <c r="D2387" i="44"/>
  <c r="C2387" i="44"/>
  <c r="B2387" i="44"/>
  <c r="E2386" i="44"/>
  <c r="D2386" i="44"/>
  <c r="C2386" i="44"/>
  <c r="B2386" i="44"/>
  <c r="E2385" i="44"/>
  <c r="D2385" i="44"/>
  <c r="C2385" i="44"/>
  <c r="B2385" i="44"/>
  <c r="E2384" i="44"/>
  <c r="D2384" i="44"/>
  <c r="C2384" i="44"/>
  <c r="B2384" i="44"/>
  <c r="E2383" i="44"/>
  <c r="D2383" i="44"/>
  <c r="C2383" i="44"/>
  <c r="B2383" i="44"/>
  <c r="E2382" i="44"/>
  <c r="D2382" i="44"/>
  <c r="C2382" i="44"/>
  <c r="B2382" i="44"/>
  <c r="E2381" i="44"/>
  <c r="D2381" i="44"/>
  <c r="C2381" i="44"/>
  <c r="B2381" i="44"/>
  <c r="E2380" i="44"/>
  <c r="D2380" i="44"/>
  <c r="C2380" i="44"/>
  <c r="B2380" i="44"/>
  <c r="E2379" i="44"/>
  <c r="D2379" i="44"/>
  <c r="C2379" i="44"/>
  <c r="B2379" i="44"/>
  <c r="E2378" i="44"/>
  <c r="D2378" i="44"/>
  <c r="C2378" i="44"/>
  <c r="B2378" i="44"/>
  <c r="E2377" i="44"/>
  <c r="D2377" i="44"/>
  <c r="C2377" i="44"/>
  <c r="B2377" i="44"/>
  <c r="E2376" i="44"/>
  <c r="D2376" i="44"/>
  <c r="C2376" i="44"/>
  <c r="B2376" i="44"/>
  <c r="E2375" i="44"/>
  <c r="D2375" i="44"/>
  <c r="C2375" i="44"/>
  <c r="B2375" i="44"/>
  <c r="E2374" i="44"/>
  <c r="D2374" i="44"/>
  <c r="C2374" i="44"/>
  <c r="B2374" i="44"/>
  <c r="E2373" i="44"/>
  <c r="D2373" i="44"/>
  <c r="C2373" i="44"/>
  <c r="B2373" i="44"/>
  <c r="E2372" i="44"/>
  <c r="D2372" i="44"/>
  <c r="C2372" i="44"/>
  <c r="B2372" i="44"/>
  <c r="E2371" i="44"/>
  <c r="D2371" i="44"/>
  <c r="C2371" i="44"/>
  <c r="B2371" i="44"/>
  <c r="E2370" i="44"/>
  <c r="D2370" i="44"/>
  <c r="C2370" i="44"/>
  <c r="B2370" i="44"/>
  <c r="E2369" i="44"/>
  <c r="D2369" i="44"/>
  <c r="C2369" i="44"/>
  <c r="B2369" i="44"/>
  <c r="E2368" i="44"/>
  <c r="D2368" i="44"/>
  <c r="C2368" i="44"/>
  <c r="B2368" i="44"/>
  <c r="E2367" i="44"/>
  <c r="D2367" i="44"/>
  <c r="C2367" i="44"/>
  <c r="B2367" i="44"/>
  <c r="E2366" i="44"/>
  <c r="D2366" i="44"/>
  <c r="C2366" i="44"/>
  <c r="B2366" i="44"/>
  <c r="E2365" i="44"/>
  <c r="D2365" i="44"/>
  <c r="C2365" i="44"/>
  <c r="B2365" i="44"/>
  <c r="E2364" i="44"/>
  <c r="D2364" i="44"/>
  <c r="C2364" i="44"/>
  <c r="B2364" i="44"/>
  <c r="E2363" i="44"/>
  <c r="D2363" i="44"/>
  <c r="C2363" i="44"/>
  <c r="B2363" i="44"/>
  <c r="E2362" i="44"/>
  <c r="D2362" i="44"/>
  <c r="C2362" i="44"/>
  <c r="B2362" i="44"/>
  <c r="E2361" i="44"/>
  <c r="D2361" i="44"/>
  <c r="C2361" i="44"/>
  <c r="B2361" i="44"/>
  <c r="E2360" i="44"/>
  <c r="D2360" i="44"/>
  <c r="C2360" i="44"/>
  <c r="B2360" i="44"/>
  <c r="E2359" i="44"/>
  <c r="D2359" i="44"/>
  <c r="C2359" i="44"/>
  <c r="B2359" i="44"/>
  <c r="E2358" i="44"/>
  <c r="D2358" i="44"/>
  <c r="C2358" i="44"/>
  <c r="B2358" i="44"/>
  <c r="E2357" i="44"/>
  <c r="D2357" i="44"/>
  <c r="C2357" i="44"/>
  <c r="B2357" i="44"/>
  <c r="E2356" i="44"/>
  <c r="D2356" i="44"/>
  <c r="C2356" i="44"/>
  <c r="B2356" i="44"/>
  <c r="E2355" i="44"/>
  <c r="D2355" i="44"/>
  <c r="C2355" i="44"/>
  <c r="B2355" i="44"/>
  <c r="E2354" i="44"/>
  <c r="D2354" i="44"/>
  <c r="C2354" i="44"/>
  <c r="B2354" i="44"/>
  <c r="E2353" i="44"/>
  <c r="D2353" i="44"/>
  <c r="C2353" i="44"/>
  <c r="B2353" i="44"/>
  <c r="E2352" i="44"/>
  <c r="D2352" i="44"/>
  <c r="C2352" i="44"/>
  <c r="B2352" i="44"/>
  <c r="E2351" i="44"/>
  <c r="D2351" i="44"/>
  <c r="C2351" i="44"/>
  <c r="B2351" i="44"/>
  <c r="E2350" i="44"/>
  <c r="D2350" i="44"/>
  <c r="C2350" i="44"/>
  <c r="B2350" i="44"/>
  <c r="E2349" i="44"/>
  <c r="D2349" i="44"/>
  <c r="C2349" i="44"/>
  <c r="B2349" i="44"/>
  <c r="E2348" i="44"/>
  <c r="D2348" i="44"/>
  <c r="C2348" i="44"/>
  <c r="B2348" i="44"/>
  <c r="E2347" i="44"/>
  <c r="D2347" i="44"/>
  <c r="C2347" i="44"/>
  <c r="B2347" i="44"/>
  <c r="E2346" i="44"/>
  <c r="D2346" i="44"/>
  <c r="C2346" i="44"/>
  <c r="B2346" i="44"/>
  <c r="E2345" i="44"/>
  <c r="D2345" i="44"/>
  <c r="C2345" i="44"/>
  <c r="B2345" i="44"/>
  <c r="E2344" i="44"/>
  <c r="D2344" i="44"/>
  <c r="C2344" i="44"/>
  <c r="B2344" i="44"/>
  <c r="E2343" i="44"/>
  <c r="D2343" i="44"/>
  <c r="C2343" i="44"/>
  <c r="B2343" i="44"/>
  <c r="E2342" i="44"/>
  <c r="D2342" i="44"/>
  <c r="C2342" i="44"/>
  <c r="B2342" i="44"/>
  <c r="E2341" i="44"/>
  <c r="D2341" i="44"/>
  <c r="C2341" i="44"/>
  <c r="B2341" i="44"/>
  <c r="E2340" i="44"/>
  <c r="D2340" i="44"/>
  <c r="C2340" i="44"/>
  <c r="B2340" i="44"/>
  <c r="E2339" i="44"/>
  <c r="D2339" i="44"/>
  <c r="C2339" i="44"/>
  <c r="B2339" i="44"/>
  <c r="E2338" i="44"/>
  <c r="D2338" i="44"/>
  <c r="C2338" i="44"/>
  <c r="B2338" i="44"/>
  <c r="E2337" i="44"/>
  <c r="D2337" i="44"/>
  <c r="C2337" i="44"/>
  <c r="B2337" i="44"/>
  <c r="E2336" i="44"/>
  <c r="D2336" i="44"/>
  <c r="C2336" i="44"/>
  <c r="B2336" i="44"/>
  <c r="E2335" i="44"/>
  <c r="D2335" i="44"/>
  <c r="C2335" i="44"/>
  <c r="B2335" i="44"/>
  <c r="E2334" i="44"/>
  <c r="D2334" i="44"/>
  <c r="C2334" i="44"/>
  <c r="B2334" i="44"/>
  <c r="E2333" i="44"/>
  <c r="D2333" i="44"/>
  <c r="C2333" i="44"/>
  <c r="B2333" i="44"/>
  <c r="E2332" i="44"/>
  <c r="D2332" i="44"/>
  <c r="C2332" i="44"/>
  <c r="B2332" i="44"/>
  <c r="E2331" i="44"/>
  <c r="D2331" i="44"/>
  <c r="C2331" i="44"/>
  <c r="B2331" i="44"/>
  <c r="E2330" i="44"/>
  <c r="D2330" i="44"/>
  <c r="C2330" i="44"/>
  <c r="B2330" i="44"/>
  <c r="E2329" i="44"/>
  <c r="D2329" i="44"/>
  <c r="C2329" i="44"/>
  <c r="B2329" i="44"/>
  <c r="E2328" i="44"/>
  <c r="D2328" i="44"/>
  <c r="C2328" i="44"/>
  <c r="B2328" i="44"/>
  <c r="E2327" i="44"/>
  <c r="D2327" i="44"/>
  <c r="C2327" i="44"/>
  <c r="B2327" i="44"/>
  <c r="E2326" i="44"/>
  <c r="D2326" i="44"/>
  <c r="C2326" i="44"/>
  <c r="B2326" i="44"/>
  <c r="E2325" i="44"/>
  <c r="D2325" i="44"/>
  <c r="C2325" i="44"/>
  <c r="B2325" i="44"/>
  <c r="E2324" i="44"/>
  <c r="D2324" i="44"/>
  <c r="C2324" i="44"/>
  <c r="B2324" i="44"/>
  <c r="E2323" i="44"/>
  <c r="D2323" i="44"/>
  <c r="C2323" i="44"/>
  <c r="B2323" i="44"/>
  <c r="E2322" i="44"/>
  <c r="D2322" i="44"/>
  <c r="C2322" i="44"/>
  <c r="B2322" i="44"/>
  <c r="E2321" i="44"/>
  <c r="D2321" i="44"/>
  <c r="C2321" i="44"/>
  <c r="B2321" i="44"/>
  <c r="E2320" i="44"/>
  <c r="D2320" i="44"/>
  <c r="C2320" i="44"/>
  <c r="B2320" i="44"/>
  <c r="E2319" i="44"/>
  <c r="D2319" i="44"/>
  <c r="C2319" i="44"/>
  <c r="B2319" i="44"/>
  <c r="E2318" i="44"/>
  <c r="D2318" i="44"/>
  <c r="C2318" i="44"/>
  <c r="B2318" i="44"/>
  <c r="E2317" i="44"/>
  <c r="D2317" i="44"/>
  <c r="C2317" i="44"/>
  <c r="B2317" i="44"/>
  <c r="E2316" i="44"/>
  <c r="D2316" i="44"/>
  <c r="C2316" i="44"/>
  <c r="B2316" i="44"/>
  <c r="E2315" i="44"/>
  <c r="D2315" i="44"/>
  <c r="C2315" i="44"/>
  <c r="B2315" i="44"/>
  <c r="E2314" i="44"/>
  <c r="D2314" i="44"/>
  <c r="C2314" i="44"/>
  <c r="B2314" i="44"/>
  <c r="E2313" i="44"/>
  <c r="D2313" i="44"/>
  <c r="C2313" i="44"/>
  <c r="B2313" i="44"/>
  <c r="E2312" i="44"/>
  <c r="D2312" i="44"/>
  <c r="C2312" i="44"/>
  <c r="B2312" i="44"/>
  <c r="E2311" i="44"/>
  <c r="D2311" i="44"/>
  <c r="C2311" i="44"/>
  <c r="B2311" i="44"/>
  <c r="E2310" i="44"/>
  <c r="D2310" i="44"/>
  <c r="C2310" i="44"/>
  <c r="B2310" i="44"/>
  <c r="E2309" i="44"/>
  <c r="D2309" i="44"/>
  <c r="C2309" i="44"/>
  <c r="B2309" i="44"/>
  <c r="E2308" i="44"/>
  <c r="D2308" i="44"/>
  <c r="C2308" i="44"/>
  <c r="B2308" i="44"/>
  <c r="E2307" i="44"/>
  <c r="D2307" i="44"/>
  <c r="C2307" i="44"/>
  <c r="B2307" i="44"/>
  <c r="E2306" i="44"/>
  <c r="D2306" i="44"/>
  <c r="C2306" i="44"/>
  <c r="B2306" i="44"/>
  <c r="E2305" i="44"/>
  <c r="D2305" i="44"/>
  <c r="C2305" i="44"/>
  <c r="B2305" i="44"/>
  <c r="E2304" i="44"/>
  <c r="D2304" i="44"/>
  <c r="C2304" i="44"/>
  <c r="B2304" i="44"/>
  <c r="E2303" i="44"/>
  <c r="D2303" i="44"/>
  <c r="C2303" i="44"/>
  <c r="B2303" i="44"/>
  <c r="E2302" i="44"/>
  <c r="D2302" i="44"/>
  <c r="C2302" i="44"/>
  <c r="B2302" i="44"/>
  <c r="E2301" i="44"/>
  <c r="D2301" i="44"/>
  <c r="C2301" i="44"/>
  <c r="B2301" i="44"/>
  <c r="E2300" i="44"/>
  <c r="D2300" i="44"/>
  <c r="C2300" i="44"/>
  <c r="B2300" i="44"/>
  <c r="E2299" i="44"/>
  <c r="D2299" i="44"/>
  <c r="C2299" i="44"/>
  <c r="B2299" i="44"/>
  <c r="E2298" i="44"/>
  <c r="D2298" i="44"/>
  <c r="C2298" i="44"/>
  <c r="B2298" i="44"/>
  <c r="E2297" i="44"/>
  <c r="D2297" i="44"/>
  <c r="C2297" i="44"/>
  <c r="B2297" i="44"/>
  <c r="E2296" i="44"/>
  <c r="D2296" i="44"/>
  <c r="C2296" i="44"/>
  <c r="B2296" i="44"/>
  <c r="E2295" i="44"/>
  <c r="D2295" i="44"/>
  <c r="C2295" i="44"/>
  <c r="B2295" i="44"/>
  <c r="E2294" i="44"/>
  <c r="D2294" i="44"/>
  <c r="C2294" i="44"/>
  <c r="B2294" i="44"/>
  <c r="E2293" i="44"/>
  <c r="D2293" i="44"/>
  <c r="C2293" i="44"/>
  <c r="B2293" i="44"/>
  <c r="E2292" i="44"/>
  <c r="D2292" i="44"/>
  <c r="C2292" i="44"/>
  <c r="B2292" i="44"/>
  <c r="E2291" i="44"/>
  <c r="D2291" i="44"/>
  <c r="C2291" i="44"/>
  <c r="B2291" i="44"/>
  <c r="E2290" i="44"/>
  <c r="D2290" i="44"/>
  <c r="C2290" i="44"/>
  <c r="B2290" i="44"/>
  <c r="E2289" i="44"/>
  <c r="D2289" i="44"/>
  <c r="C2289" i="44"/>
  <c r="B2289" i="44"/>
  <c r="E2288" i="44"/>
  <c r="D2288" i="44"/>
  <c r="C2288" i="44"/>
  <c r="B2288" i="44"/>
  <c r="E2287" i="44"/>
  <c r="D2287" i="44"/>
  <c r="C2287" i="44"/>
  <c r="B2287" i="44"/>
  <c r="E2286" i="44"/>
  <c r="D2286" i="44"/>
  <c r="C2286" i="44"/>
  <c r="B2286" i="44"/>
  <c r="E2285" i="44"/>
  <c r="D2285" i="44"/>
  <c r="C2285" i="44"/>
  <c r="B2285" i="44"/>
  <c r="E2284" i="44"/>
  <c r="D2284" i="44"/>
  <c r="C2284" i="44"/>
  <c r="B2284" i="44"/>
  <c r="E2283" i="44"/>
  <c r="D2283" i="44"/>
  <c r="C2283" i="44"/>
  <c r="B2283" i="44"/>
  <c r="E2282" i="44"/>
  <c r="D2282" i="44"/>
  <c r="C2282" i="44"/>
  <c r="B2282" i="44"/>
  <c r="E2281" i="44"/>
  <c r="D2281" i="44"/>
  <c r="C2281" i="44"/>
  <c r="B2281" i="44"/>
  <c r="E2280" i="44"/>
  <c r="D2280" i="44"/>
  <c r="C2280" i="44"/>
  <c r="B2280" i="44"/>
  <c r="E2279" i="44"/>
  <c r="D2279" i="44"/>
  <c r="C2279" i="44"/>
  <c r="B2279" i="44"/>
  <c r="E2278" i="44"/>
  <c r="D2278" i="44"/>
  <c r="C2278" i="44"/>
  <c r="B2278" i="44"/>
  <c r="E2277" i="44"/>
  <c r="D2277" i="44"/>
  <c r="C2277" i="44"/>
  <c r="B2277" i="44"/>
  <c r="E2276" i="44"/>
  <c r="D2276" i="44"/>
  <c r="C2276" i="44"/>
  <c r="B2276" i="44"/>
  <c r="E2275" i="44"/>
  <c r="D2275" i="44"/>
  <c r="C2275" i="44"/>
  <c r="B2275" i="44"/>
  <c r="E2274" i="44"/>
  <c r="D2274" i="44"/>
  <c r="C2274" i="44"/>
  <c r="B2274" i="44"/>
  <c r="E2273" i="44"/>
  <c r="D2273" i="44"/>
  <c r="C2273" i="44"/>
  <c r="B2273" i="44"/>
  <c r="E2272" i="44"/>
  <c r="D2272" i="44"/>
  <c r="C2272" i="44"/>
  <c r="B2272" i="44"/>
  <c r="E2271" i="44"/>
  <c r="D2271" i="44"/>
  <c r="C2271" i="44"/>
  <c r="B2271" i="44"/>
  <c r="E2270" i="44"/>
  <c r="D2270" i="44"/>
  <c r="C2270" i="44"/>
  <c r="B2270" i="44"/>
  <c r="E2269" i="44"/>
  <c r="D2269" i="44"/>
  <c r="C2269" i="44"/>
  <c r="B2269" i="44"/>
  <c r="E2268" i="44"/>
  <c r="D2268" i="44"/>
  <c r="C2268" i="44"/>
  <c r="B2268" i="44"/>
  <c r="E2267" i="44"/>
  <c r="D2267" i="44"/>
  <c r="C2267" i="44"/>
  <c r="B2267" i="44"/>
  <c r="E2266" i="44"/>
  <c r="D2266" i="44"/>
  <c r="C2266" i="44"/>
  <c r="B2266" i="44"/>
  <c r="E2265" i="44"/>
  <c r="D2265" i="44"/>
  <c r="C2265" i="44"/>
  <c r="B2265" i="44"/>
  <c r="E2264" i="44"/>
  <c r="D2264" i="44"/>
  <c r="C2264" i="44"/>
  <c r="B2264" i="44"/>
  <c r="E2263" i="44"/>
  <c r="D2263" i="44"/>
  <c r="C2263" i="44"/>
  <c r="B2263" i="44"/>
  <c r="E2262" i="44"/>
  <c r="D2262" i="44"/>
  <c r="C2262" i="44"/>
  <c r="B2262" i="44"/>
  <c r="E2261" i="44"/>
  <c r="D2261" i="44"/>
  <c r="C2261" i="44"/>
  <c r="B2261" i="44"/>
  <c r="E2260" i="44"/>
  <c r="D2260" i="44"/>
  <c r="C2260" i="44"/>
  <c r="B2260" i="44"/>
  <c r="E2259" i="44"/>
  <c r="D2259" i="44"/>
  <c r="C2259" i="44"/>
  <c r="B2259" i="44"/>
  <c r="E2258" i="44"/>
  <c r="D2258" i="44"/>
  <c r="C2258" i="44"/>
  <c r="B2258" i="44"/>
  <c r="E2257" i="44"/>
  <c r="D2257" i="44"/>
  <c r="C2257" i="44"/>
  <c r="B2257" i="44"/>
  <c r="E2256" i="44"/>
  <c r="D2256" i="44"/>
  <c r="C2256" i="44"/>
  <c r="B2256" i="44"/>
  <c r="E2255" i="44"/>
  <c r="D2255" i="44"/>
  <c r="C2255" i="44"/>
  <c r="B2255" i="44"/>
  <c r="E2254" i="44"/>
  <c r="D2254" i="44"/>
  <c r="C2254" i="44"/>
  <c r="B2254" i="44"/>
  <c r="E2253" i="44"/>
  <c r="D2253" i="44"/>
  <c r="C2253" i="44"/>
  <c r="B2253" i="44"/>
  <c r="E2252" i="44"/>
  <c r="D2252" i="44"/>
  <c r="C2252" i="44"/>
  <c r="B2252" i="44"/>
  <c r="E2251" i="44"/>
  <c r="D2251" i="44"/>
  <c r="C2251" i="44"/>
  <c r="B2251" i="44"/>
  <c r="E2250" i="44"/>
  <c r="D2250" i="44"/>
  <c r="C2250" i="44"/>
  <c r="B2250" i="44"/>
  <c r="E2249" i="44"/>
  <c r="D2249" i="44"/>
  <c r="C2249" i="44"/>
  <c r="B2249" i="44"/>
  <c r="E2248" i="44"/>
  <c r="D2248" i="44"/>
  <c r="C2248" i="44"/>
  <c r="B2248" i="44"/>
  <c r="E2247" i="44"/>
  <c r="D2247" i="44"/>
  <c r="C2247" i="44"/>
  <c r="B2247" i="44"/>
  <c r="E2246" i="44"/>
  <c r="D2246" i="44"/>
  <c r="C2246" i="44"/>
  <c r="B2246" i="44"/>
  <c r="E2245" i="44"/>
  <c r="D2245" i="44"/>
  <c r="C2245" i="44"/>
  <c r="B2245" i="44"/>
  <c r="E2244" i="44"/>
  <c r="D2244" i="44"/>
  <c r="C2244" i="44"/>
  <c r="B2244" i="44"/>
  <c r="E2243" i="44"/>
  <c r="D2243" i="44"/>
  <c r="C2243" i="44"/>
  <c r="B2243" i="44"/>
  <c r="E2242" i="44"/>
  <c r="D2242" i="44"/>
  <c r="C2242" i="44"/>
  <c r="B2242" i="44"/>
  <c r="E2241" i="44"/>
  <c r="D2241" i="44"/>
  <c r="C2241" i="44"/>
  <c r="B2241" i="44"/>
  <c r="E2240" i="44"/>
  <c r="D2240" i="44"/>
  <c r="C2240" i="44"/>
  <c r="B2240" i="44"/>
  <c r="E2239" i="44"/>
  <c r="D2239" i="44"/>
  <c r="C2239" i="44"/>
  <c r="B2239" i="44"/>
  <c r="E2238" i="44"/>
  <c r="D2238" i="44"/>
  <c r="C2238" i="44"/>
  <c r="B2238" i="44"/>
  <c r="E2237" i="44"/>
  <c r="D2237" i="44"/>
  <c r="C2237" i="44"/>
  <c r="B2237" i="44"/>
  <c r="E2236" i="44"/>
  <c r="D2236" i="44"/>
  <c r="C2236" i="44"/>
  <c r="B2236" i="44"/>
  <c r="E2235" i="44"/>
  <c r="D2235" i="44"/>
  <c r="C2235" i="44"/>
  <c r="B2235" i="44"/>
  <c r="E2234" i="44"/>
  <c r="D2234" i="44"/>
  <c r="C2234" i="44"/>
  <c r="B2234" i="44"/>
  <c r="E2233" i="44"/>
  <c r="D2233" i="44"/>
  <c r="C2233" i="44"/>
  <c r="B2233" i="44"/>
  <c r="E2232" i="44"/>
  <c r="D2232" i="44"/>
  <c r="C2232" i="44"/>
  <c r="B2232" i="44"/>
  <c r="E2231" i="44"/>
  <c r="D2231" i="44"/>
  <c r="C2231" i="44"/>
  <c r="B2231" i="44"/>
  <c r="E2230" i="44"/>
  <c r="D2230" i="44"/>
  <c r="C2230" i="44"/>
  <c r="B2230" i="44"/>
  <c r="E2229" i="44"/>
  <c r="D2229" i="44"/>
  <c r="C2229" i="44"/>
  <c r="B2229" i="44"/>
  <c r="E2228" i="44"/>
  <c r="D2228" i="44"/>
  <c r="C2228" i="44"/>
  <c r="B2228" i="44"/>
  <c r="E2227" i="44"/>
  <c r="D2227" i="44"/>
  <c r="C2227" i="44"/>
  <c r="B2227" i="44"/>
  <c r="E2226" i="44"/>
  <c r="D2226" i="44"/>
  <c r="C2226" i="44"/>
  <c r="B2226" i="44"/>
  <c r="E2225" i="44"/>
  <c r="D2225" i="44"/>
  <c r="C2225" i="44"/>
  <c r="B2225" i="44"/>
  <c r="E2224" i="44"/>
  <c r="D2224" i="44"/>
  <c r="C2224" i="44"/>
  <c r="B2224" i="44"/>
  <c r="E2223" i="44"/>
  <c r="D2223" i="44"/>
  <c r="C2223" i="44"/>
  <c r="B2223" i="44"/>
  <c r="E2222" i="44"/>
  <c r="D2222" i="44"/>
  <c r="C2222" i="44"/>
  <c r="B2222" i="44"/>
  <c r="E2221" i="44"/>
  <c r="D2221" i="44"/>
  <c r="C2221" i="44"/>
  <c r="B2221" i="44"/>
  <c r="E2220" i="44"/>
  <c r="D2220" i="44"/>
  <c r="C2220" i="44"/>
  <c r="B2220" i="44"/>
  <c r="E2219" i="44"/>
  <c r="D2219" i="44"/>
  <c r="C2219" i="44"/>
  <c r="B2219" i="44"/>
  <c r="E2218" i="44"/>
  <c r="D2218" i="44"/>
  <c r="C2218" i="44"/>
  <c r="B2218" i="44"/>
  <c r="E2217" i="44"/>
  <c r="D2217" i="44"/>
  <c r="C2217" i="44"/>
  <c r="B2217" i="44"/>
  <c r="E2216" i="44"/>
  <c r="D2216" i="44"/>
  <c r="C2216" i="44"/>
  <c r="B2216" i="44"/>
  <c r="E2215" i="44"/>
  <c r="D2215" i="44"/>
  <c r="C2215" i="44"/>
  <c r="B2215" i="44"/>
  <c r="E2214" i="44"/>
  <c r="D2214" i="44"/>
  <c r="C2214" i="44"/>
  <c r="B2214" i="44"/>
  <c r="E2213" i="44"/>
  <c r="D2213" i="44"/>
  <c r="C2213" i="44"/>
  <c r="B2213" i="44"/>
  <c r="E2212" i="44"/>
  <c r="D2212" i="44"/>
  <c r="C2212" i="44"/>
  <c r="B2212" i="44"/>
  <c r="E2211" i="44"/>
  <c r="D2211" i="44"/>
  <c r="C2211" i="44"/>
  <c r="B2211" i="44"/>
  <c r="E2210" i="44"/>
  <c r="D2210" i="44"/>
  <c r="C2210" i="44"/>
  <c r="B2210" i="44"/>
  <c r="E2209" i="44"/>
  <c r="D2209" i="44"/>
  <c r="C2209" i="44"/>
  <c r="B2209" i="44"/>
  <c r="E2208" i="44"/>
  <c r="D2208" i="44"/>
  <c r="C2208" i="44"/>
  <c r="B2208" i="44"/>
  <c r="E2207" i="44"/>
  <c r="D2207" i="44"/>
  <c r="C2207" i="44"/>
  <c r="B2207" i="44"/>
  <c r="E2206" i="44"/>
  <c r="D2206" i="44"/>
  <c r="C2206" i="44"/>
  <c r="B2206" i="44"/>
  <c r="E2205" i="44"/>
  <c r="D2205" i="44"/>
  <c r="C2205" i="44"/>
  <c r="B2205" i="44"/>
  <c r="E2204" i="44"/>
  <c r="D2204" i="44"/>
  <c r="C2204" i="44"/>
  <c r="B2204" i="44"/>
  <c r="E2203" i="44"/>
  <c r="D2203" i="44"/>
  <c r="C2203" i="44"/>
  <c r="B2203" i="44"/>
  <c r="E2202" i="44"/>
  <c r="D2202" i="44"/>
  <c r="C2202" i="44"/>
  <c r="B2202" i="44"/>
  <c r="E2201" i="44"/>
  <c r="D2201" i="44"/>
  <c r="C2201" i="44"/>
  <c r="B2201" i="44"/>
  <c r="E2200" i="44"/>
  <c r="D2200" i="44"/>
  <c r="C2200" i="44"/>
  <c r="B2200" i="44"/>
  <c r="E2199" i="44"/>
  <c r="D2199" i="44"/>
  <c r="C2199" i="44"/>
  <c r="B2199" i="44"/>
  <c r="E2198" i="44"/>
  <c r="D2198" i="44"/>
  <c r="C2198" i="44"/>
  <c r="B2198" i="44"/>
  <c r="E2197" i="44"/>
  <c r="D2197" i="44"/>
  <c r="C2197" i="44"/>
  <c r="B2197" i="44"/>
  <c r="E2196" i="44"/>
  <c r="D2196" i="44"/>
  <c r="C2196" i="44"/>
  <c r="B2196" i="44"/>
  <c r="E2195" i="44"/>
  <c r="D2195" i="44"/>
  <c r="C2195" i="44"/>
  <c r="B2195" i="44"/>
  <c r="E2194" i="44"/>
  <c r="D2194" i="44"/>
  <c r="C2194" i="44"/>
  <c r="B2194" i="44"/>
  <c r="E2193" i="44"/>
  <c r="D2193" i="44"/>
  <c r="C2193" i="44"/>
  <c r="B2193" i="44"/>
  <c r="E2192" i="44"/>
  <c r="D2192" i="44"/>
  <c r="C2192" i="44"/>
  <c r="B2192" i="44"/>
  <c r="E2191" i="44"/>
  <c r="D2191" i="44"/>
  <c r="C2191" i="44"/>
  <c r="B2191" i="44"/>
  <c r="E2190" i="44"/>
  <c r="D2190" i="44"/>
  <c r="C2190" i="44"/>
  <c r="B2190" i="44"/>
  <c r="E2189" i="44"/>
  <c r="D2189" i="44"/>
  <c r="C2189" i="44"/>
  <c r="B2189" i="44"/>
  <c r="E2188" i="44"/>
  <c r="D2188" i="44"/>
  <c r="C2188" i="44"/>
  <c r="B2188" i="44"/>
  <c r="E2187" i="44"/>
  <c r="D2187" i="44"/>
  <c r="C2187" i="44"/>
  <c r="B2187" i="44"/>
  <c r="E2186" i="44"/>
  <c r="D2186" i="44"/>
  <c r="C2186" i="44"/>
  <c r="B2186" i="44"/>
  <c r="E2185" i="44"/>
  <c r="D2185" i="44"/>
  <c r="C2185" i="44"/>
  <c r="B2185" i="44"/>
  <c r="E2184" i="44"/>
  <c r="D2184" i="44"/>
  <c r="C2184" i="44"/>
  <c r="B2184" i="44"/>
  <c r="E2183" i="44"/>
  <c r="D2183" i="44"/>
  <c r="C2183" i="44"/>
  <c r="B2183" i="44"/>
  <c r="E2182" i="44"/>
  <c r="D2182" i="44"/>
  <c r="C2182" i="44"/>
  <c r="B2182" i="44"/>
  <c r="E2181" i="44"/>
  <c r="D2181" i="44"/>
  <c r="C2181" i="44"/>
  <c r="B2181" i="44"/>
  <c r="E2180" i="44"/>
  <c r="D2180" i="44"/>
  <c r="C2180" i="44"/>
  <c r="B2180" i="44"/>
  <c r="E2179" i="44"/>
  <c r="D2179" i="44"/>
  <c r="C2179" i="44"/>
  <c r="B2179" i="44"/>
  <c r="E2178" i="44"/>
  <c r="D2178" i="44"/>
  <c r="C2178" i="44"/>
  <c r="B2178" i="44"/>
  <c r="E2177" i="44"/>
  <c r="D2177" i="44"/>
  <c r="C2177" i="44"/>
  <c r="B2177" i="44"/>
  <c r="E2176" i="44"/>
  <c r="D2176" i="44"/>
  <c r="C2176" i="44"/>
  <c r="B2176" i="44"/>
  <c r="E2175" i="44"/>
  <c r="D2175" i="44"/>
  <c r="C2175" i="44"/>
  <c r="B2175" i="44"/>
  <c r="E2174" i="44"/>
  <c r="D2174" i="44"/>
  <c r="C2174" i="44"/>
  <c r="B2174" i="44"/>
  <c r="E2173" i="44"/>
  <c r="D2173" i="44"/>
  <c r="C2173" i="44"/>
  <c r="B2173" i="44"/>
  <c r="E2172" i="44"/>
  <c r="D2172" i="44"/>
  <c r="C2172" i="44"/>
  <c r="B2172" i="44"/>
  <c r="E2171" i="44"/>
  <c r="D2171" i="44"/>
  <c r="C2171" i="44"/>
  <c r="B2171" i="44"/>
  <c r="E2170" i="44"/>
  <c r="D2170" i="44"/>
  <c r="C2170" i="44"/>
  <c r="B2170" i="44"/>
  <c r="E2169" i="44"/>
  <c r="D2169" i="44"/>
  <c r="C2169" i="44"/>
  <c r="B2169" i="44"/>
  <c r="E2168" i="44"/>
  <c r="D2168" i="44"/>
  <c r="C2168" i="44"/>
  <c r="B2168" i="44"/>
  <c r="E2167" i="44"/>
  <c r="D2167" i="44"/>
  <c r="C2167" i="44"/>
  <c r="B2167" i="44"/>
  <c r="E2166" i="44"/>
  <c r="D2166" i="44"/>
  <c r="C2166" i="44"/>
  <c r="B2166" i="44"/>
  <c r="E2165" i="44"/>
  <c r="D2165" i="44"/>
  <c r="C2165" i="44"/>
  <c r="B2165" i="44"/>
  <c r="E2164" i="44"/>
  <c r="D2164" i="44"/>
  <c r="C2164" i="44"/>
  <c r="B2164" i="44"/>
  <c r="E2163" i="44"/>
  <c r="D2163" i="44"/>
  <c r="C2163" i="44"/>
  <c r="B2163" i="44"/>
  <c r="E2162" i="44"/>
  <c r="D2162" i="44"/>
  <c r="C2162" i="44"/>
  <c r="B2162" i="44"/>
  <c r="E2161" i="44"/>
  <c r="D2161" i="44"/>
  <c r="C2161" i="44"/>
  <c r="B2161" i="44"/>
  <c r="E2160" i="44"/>
  <c r="D2160" i="44"/>
  <c r="C2160" i="44"/>
  <c r="B2160" i="44"/>
  <c r="E2159" i="44"/>
  <c r="D2159" i="44"/>
  <c r="C2159" i="44"/>
  <c r="B2159" i="44"/>
  <c r="E2158" i="44"/>
  <c r="D2158" i="44"/>
  <c r="C2158" i="44"/>
  <c r="B2158" i="44"/>
  <c r="E2157" i="44"/>
  <c r="D2157" i="44"/>
  <c r="C2157" i="44"/>
  <c r="B2157" i="44"/>
  <c r="E2156" i="44"/>
  <c r="D2156" i="44"/>
  <c r="C2156" i="44"/>
  <c r="B2156" i="44"/>
  <c r="E2155" i="44"/>
  <c r="D2155" i="44"/>
  <c r="C2155" i="44"/>
  <c r="B2155" i="44"/>
  <c r="E2154" i="44"/>
  <c r="D2154" i="44"/>
  <c r="C2154" i="44"/>
  <c r="B2154" i="44"/>
  <c r="E2153" i="44"/>
  <c r="D2153" i="44"/>
  <c r="C2153" i="44"/>
  <c r="B2153" i="44"/>
  <c r="E2152" i="44"/>
  <c r="D2152" i="44"/>
  <c r="C2152" i="44"/>
  <c r="B2152" i="44"/>
  <c r="E2151" i="44"/>
  <c r="D2151" i="44"/>
  <c r="C2151" i="44"/>
  <c r="B2151" i="44"/>
  <c r="E2150" i="44"/>
  <c r="D2150" i="44"/>
  <c r="C2150" i="44"/>
  <c r="B2150" i="44"/>
  <c r="E2149" i="44"/>
  <c r="D2149" i="44"/>
  <c r="C2149" i="44"/>
  <c r="B2149" i="44"/>
  <c r="E2148" i="44"/>
  <c r="D2148" i="44"/>
  <c r="C2148" i="44"/>
  <c r="B2148" i="44"/>
  <c r="E2147" i="44"/>
  <c r="D2147" i="44"/>
  <c r="C2147" i="44"/>
  <c r="B2147" i="44"/>
  <c r="E2146" i="44"/>
  <c r="D2146" i="44"/>
  <c r="C2146" i="44"/>
  <c r="B2146" i="44"/>
  <c r="E2145" i="44"/>
  <c r="D2145" i="44"/>
  <c r="C2145" i="44"/>
  <c r="B2145" i="44"/>
  <c r="E2144" i="44"/>
  <c r="D2144" i="44"/>
  <c r="C2144" i="44"/>
  <c r="B2144" i="44"/>
  <c r="E2143" i="44"/>
  <c r="D2143" i="44"/>
  <c r="C2143" i="44"/>
  <c r="B2143" i="44"/>
  <c r="E2142" i="44"/>
  <c r="D2142" i="44"/>
  <c r="C2142" i="44"/>
  <c r="B2142" i="44"/>
  <c r="E2141" i="44"/>
  <c r="D2141" i="44"/>
  <c r="C2141" i="44"/>
  <c r="B2141" i="44"/>
  <c r="E2140" i="44"/>
  <c r="D2140" i="44"/>
  <c r="C2140" i="44"/>
  <c r="B2140" i="44"/>
  <c r="E2139" i="44"/>
  <c r="D2139" i="44"/>
  <c r="C2139" i="44"/>
  <c r="B2139" i="44"/>
  <c r="E2138" i="44"/>
  <c r="D2138" i="44"/>
  <c r="C2138" i="44"/>
  <c r="B2138" i="44"/>
  <c r="E2137" i="44"/>
  <c r="D2137" i="44"/>
  <c r="C2137" i="44"/>
  <c r="B2137" i="44"/>
  <c r="E2136" i="44"/>
  <c r="D2136" i="44"/>
  <c r="C2136" i="44"/>
  <c r="B2136" i="44"/>
  <c r="E2135" i="44"/>
  <c r="D2135" i="44"/>
  <c r="C2135" i="44"/>
  <c r="B2135" i="44"/>
  <c r="E2134" i="44"/>
  <c r="D2134" i="44"/>
  <c r="C2134" i="44"/>
  <c r="B2134" i="44"/>
  <c r="E2133" i="44"/>
  <c r="D2133" i="44"/>
  <c r="C2133" i="44"/>
  <c r="B2133" i="44"/>
  <c r="E2132" i="44"/>
  <c r="D2132" i="44"/>
  <c r="C2132" i="44"/>
  <c r="B2132" i="44"/>
  <c r="E2131" i="44"/>
  <c r="D2131" i="44"/>
  <c r="C2131" i="44"/>
  <c r="B2131" i="44"/>
  <c r="E2130" i="44"/>
  <c r="D2130" i="44"/>
  <c r="C2130" i="44"/>
  <c r="B2130" i="44"/>
  <c r="E2129" i="44"/>
  <c r="D2129" i="44"/>
  <c r="C2129" i="44"/>
  <c r="B2129" i="44"/>
  <c r="E2128" i="44"/>
  <c r="D2128" i="44"/>
  <c r="C2128" i="44"/>
  <c r="B2128" i="44"/>
  <c r="E2127" i="44"/>
  <c r="D2127" i="44"/>
  <c r="C2127" i="44"/>
  <c r="B2127" i="44"/>
  <c r="E2126" i="44"/>
  <c r="D2126" i="44"/>
  <c r="C2126" i="44"/>
  <c r="B2126" i="44"/>
  <c r="E2125" i="44"/>
  <c r="D2125" i="44"/>
  <c r="C2125" i="44"/>
  <c r="B2125" i="44"/>
  <c r="E2124" i="44"/>
  <c r="D2124" i="44"/>
  <c r="C2124" i="44"/>
  <c r="B2124" i="44"/>
  <c r="E2123" i="44"/>
  <c r="D2123" i="44"/>
  <c r="C2123" i="44"/>
  <c r="B2123" i="44"/>
  <c r="E2122" i="44"/>
  <c r="D2122" i="44"/>
  <c r="C2122" i="44"/>
  <c r="B2122" i="44"/>
  <c r="E2121" i="44"/>
  <c r="D2121" i="44"/>
  <c r="C2121" i="44"/>
  <c r="B2121" i="44"/>
  <c r="E2120" i="44"/>
  <c r="D2120" i="44"/>
  <c r="C2120" i="44"/>
  <c r="B2120" i="44"/>
  <c r="E2119" i="44"/>
  <c r="D2119" i="44"/>
  <c r="C2119" i="44"/>
  <c r="B2119" i="44"/>
  <c r="E2118" i="44"/>
  <c r="D2118" i="44"/>
  <c r="C2118" i="44"/>
  <c r="B2118" i="44"/>
  <c r="E2117" i="44"/>
  <c r="D2117" i="44"/>
  <c r="C2117" i="44"/>
  <c r="B2117" i="44"/>
  <c r="E2116" i="44"/>
  <c r="D2116" i="44"/>
  <c r="C2116" i="44"/>
  <c r="B2116" i="44"/>
  <c r="E2115" i="44"/>
  <c r="D2115" i="44"/>
  <c r="C2115" i="44"/>
  <c r="B2115" i="44"/>
  <c r="E2114" i="44"/>
  <c r="D2114" i="44"/>
  <c r="C2114" i="44"/>
  <c r="B2114" i="44"/>
  <c r="E2113" i="44"/>
  <c r="D2113" i="44"/>
  <c r="C2113" i="44"/>
  <c r="B2113" i="44"/>
  <c r="E2112" i="44"/>
  <c r="D2112" i="44"/>
  <c r="C2112" i="44"/>
  <c r="B2112" i="44"/>
  <c r="E2111" i="44"/>
  <c r="D2111" i="44"/>
  <c r="C2111" i="44"/>
  <c r="B2111" i="44"/>
  <c r="E2110" i="44"/>
  <c r="D2110" i="44"/>
  <c r="C2110" i="44"/>
  <c r="B2110" i="44"/>
  <c r="E2109" i="44"/>
  <c r="D2109" i="44"/>
  <c r="C2109" i="44"/>
  <c r="B2109" i="44"/>
  <c r="E2108" i="44"/>
  <c r="D2108" i="44"/>
  <c r="C2108" i="44"/>
  <c r="B2108" i="44"/>
  <c r="E2107" i="44"/>
  <c r="D2107" i="44"/>
  <c r="C2107" i="44"/>
  <c r="B2107" i="44"/>
  <c r="E2106" i="44"/>
  <c r="D2106" i="44"/>
  <c r="C2106" i="44"/>
  <c r="B2106" i="44"/>
  <c r="E2105" i="44"/>
  <c r="D2105" i="44"/>
  <c r="C2105" i="44"/>
  <c r="B2105" i="44"/>
  <c r="E2104" i="44"/>
  <c r="D2104" i="44"/>
  <c r="C2104" i="44"/>
  <c r="B2104" i="44"/>
  <c r="E2103" i="44"/>
  <c r="D2103" i="44"/>
  <c r="C2103" i="44"/>
  <c r="B2103" i="44"/>
  <c r="E2102" i="44"/>
  <c r="D2102" i="44"/>
  <c r="C2102" i="44"/>
  <c r="B2102" i="44"/>
  <c r="E2101" i="44"/>
  <c r="D2101" i="44"/>
  <c r="C2101" i="44"/>
  <c r="B2101" i="44"/>
  <c r="E2100" i="44"/>
  <c r="D2100" i="44"/>
  <c r="C2100" i="44"/>
  <c r="B2100" i="44"/>
  <c r="E2099" i="44"/>
  <c r="D2099" i="44"/>
  <c r="C2099" i="44"/>
  <c r="B2099" i="44"/>
  <c r="E2098" i="44"/>
  <c r="D2098" i="44"/>
  <c r="C2098" i="44"/>
  <c r="B2098" i="44"/>
  <c r="E2097" i="44"/>
  <c r="D2097" i="44"/>
  <c r="C2097" i="44"/>
  <c r="B2097" i="44"/>
  <c r="E2096" i="44"/>
  <c r="D2096" i="44"/>
  <c r="C2096" i="44"/>
  <c r="B2096" i="44"/>
  <c r="E2095" i="44"/>
  <c r="D2095" i="44"/>
  <c r="C2095" i="44"/>
  <c r="B2095" i="44"/>
  <c r="E2094" i="44"/>
  <c r="D2094" i="44"/>
  <c r="C2094" i="44"/>
  <c r="B2094" i="44"/>
  <c r="E2093" i="44"/>
  <c r="D2093" i="44"/>
  <c r="C2093" i="44"/>
  <c r="B2093" i="44"/>
  <c r="E2069" i="44"/>
  <c r="D2069" i="44"/>
  <c r="C2069" i="44"/>
  <c r="B2069" i="44"/>
  <c r="E2068" i="44"/>
  <c r="D2068" i="44"/>
  <c r="C2068" i="44"/>
  <c r="B2068" i="44"/>
  <c r="E2067" i="44"/>
  <c r="D2067" i="44"/>
  <c r="C2067" i="44"/>
  <c r="B2067" i="44"/>
  <c r="E2066" i="44"/>
  <c r="D2066" i="44"/>
  <c r="C2066" i="44"/>
  <c r="B2066" i="44"/>
  <c r="E2065" i="44"/>
  <c r="D2065" i="44"/>
  <c r="C2065" i="44"/>
  <c r="B2065" i="44"/>
  <c r="E2064" i="44"/>
  <c r="D2064" i="44"/>
  <c r="C2064" i="44"/>
  <c r="B2064" i="44"/>
  <c r="E2063" i="44"/>
  <c r="D2063" i="44"/>
  <c r="C2063" i="44"/>
  <c r="B2063" i="44"/>
  <c r="E2062" i="44"/>
  <c r="D2062" i="44"/>
  <c r="C2062" i="44"/>
  <c r="B2062" i="44"/>
  <c r="E2061" i="44"/>
  <c r="D2061" i="44"/>
  <c r="C2061" i="44"/>
  <c r="B2061" i="44"/>
  <c r="E2060" i="44"/>
  <c r="D2060" i="44"/>
  <c r="C2060" i="44"/>
  <c r="B2060" i="44"/>
  <c r="E2059" i="44"/>
  <c r="D2059" i="44"/>
  <c r="C2059" i="44"/>
  <c r="B2059" i="44"/>
  <c r="E2058" i="44"/>
  <c r="D2058" i="44"/>
  <c r="C2058" i="44"/>
  <c r="B2058" i="44"/>
  <c r="E2057" i="44"/>
  <c r="D2057" i="44"/>
  <c r="C2057" i="44"/>
  <c r="B2057" i="44"/>
  <c r="E2056" i="44"/>
  <c r="D2056" i="44"/>
  <c r="C2056" i="44"/>
  <c r="B2056" i="44"/>
  <c r="E2055" i="44"/>
  <c r="D2055" i="44"/>
  <c r="C2055" i="44"/>
  <c r="B2055" i="44"/>
  <c r="E2054" i="44"/>
  <c r="D2054" i="44"/>
  <c r="C2054" i="44"/>
  <c r="B2054" i="44"/>
  <c r="E2053" i="44"/>
  <c r="D2053" i="44"/>
  <c r="C2053" i="44"/>
  <c r="B2053" i="44"/>
  <c r="E2052" i="44"/>
  <c r="D2052" i="44"/>
  <c r="C2052" i="44"/>
  <c r="B2052" i="44"/>
  <c r="E2051" i="44"/>
  <c r="D2051" i="44"/>
  <c r="C2051" i="44"/>
  <c r="B2051" i="44"/>
  <c r="E2050" i="44"/>
  <c r="D2050" i="44"/>
  <c r="C2050" i="44"/>
  <c r="B2050" i="44"/>
  <c r="E2049" i="44"/>
  <c r="D2049" i="44"/>
  <c r="C2049" i="44"/>
  <c r="B2049" i="44"/>
  <c r="E2048" i="44"/>
  <c r="D2048" i="44"/>
  <c r="C2048" i="44"/>
  <c r="B2048" i="44"/>
  <c r="E2047" i="44"/>
  <c r="D2047" i="44"/>
  <c r="C2047" i="44"/>
  <c r="B2047" i="44"/>
  <c r="E2046" i="44"/>
  <c r="D2046" i="44"/>
  <c r="C2046" i="44"/>
  <c r="B2046" i="44"/>
  <c r="E2045" i="44"/>
  <c r="D2045" i="44"/>
  <c r="C2045" i="44"/>
  <c r="B2045" i="44"/>
  <c r="E2044" i="44"/>
  <c r="D2044" i="44"/>
  <c r="C2044" i="44"/>
  <c r="B2044" i="44"/>
  <c r="E2043" i="44"/>
  <c r="D2043" i="44"/>
  <c r="C2043" i="44"/>
  <c r="B2043" i="44"/>
  <c r="E2042" i="44"/>
  <c r="D2042" i="44"/>
  <c r="C2042" i="44"/>
  <c r="B2042" i="44"/>
  <c r="E2041" i="44"/>
  <c r="D2041" i="44"/>
  <c r="C2041" i="44"/>
  <c r="B2041" i="44"/>
  <c r="E2040" i="44"/>
  <c r="D2040" i="44"/>
  <c r="C2040" i="44"/>
  <c r="B2040" i="44"/>
  <c r="E2039" i="44"/>
  <c r="D2039" i="44"/>
  <c r="C2039" i="44"/>
  <c r="B2039" i="44"/>
  <c r="E2038" i="44"/>
  <c r="D2038" i="44"/>
  <c r="C2038" i="44"/>
  <c r="B2038" i="44"/>
  <c r="E2037" i="44"/>
  <c r="D2037" i="44"/>
  <c r="C2037" i="44"/>
  <c r="B2037" i="44"/>
  <c r="E2036" i="44"/>
  <c r="D2036" i="44"/>
  <c r="C2036" i="44"/>
  <c r="B2036" i="44"/>
  <c r="E2035" i="44"/>
  <c r="D2035" i="44"/>
  <c r="C2035" i="44"/>
  <c r="B2035" i="44"/>
  <c r="E2034" i="44"/>
  <c r="D2034" i="44"/>
  <c r="C2034" i="44"/>
  <c r="B2034" i="44"/>
  <c r="E2033" i="44"/>
  <c r="D2033" i="44"/>
  <c r="C2033" i="44"/>
  <c r="B2033" i="44"/>
  <c r="E2032" i="44"/>
  <c r="D2032" i="44"/>
  <c r="C2032" i="44"/>
  <c r="B2032" i="44"/>
  <c r="E2031" i="44"/>
  <c r="D2031" i="44"/>
  <c r="C2031" i="44"/>
  <c r="B2031" i="44"/>
  <c r="E2030" i="44"/>
  <c r="D2030" i="44"/>
  <c r="C2030" i="44"/>
  <c r="B2030" i="44"/>
  <c r="E2029" i="44"/>
  <c r="D2029" i="44"/>
  <c r="C2029" i="44"/>
  <c r="B2029" i="44"/>
  <c r="E2028" i="44"/>
  <c r="D2028" i="44"/>
  <c r="C2028" i="44"/>
  <c r="B2028" i="44"/>
  <c r="E2027" i="44"/>
  <c r="D2027" i="44"/>
  <c r="C2027" i="44"/>
  <c r="B2027" i="44"/>
  <c r="E2026" i="44"/>
  <c r="D2026" i="44"/>
  <c r="C2026" i="44"/>
  <c r="B2026" i="44"/>
  <c r="E2025" i="44"/>
  <c r="D2025" i="44"/>
  <c r="C2025" i="44"/>
  <c r="B2025" i="44"/>
  <c r="E2024" i="44"/>
  <c r="D2024" i="44"/>
  <c r="C2024" i="44"/>
  <c r="B2024" i="44"/>
  <c r="E2023" i="44"/>
  <c r="D2023" i="44"/>
  <c r="C2023" i="44"/>
  <c r="B2023" i="44"/>
  <c r="E2022" i="44"/>
  <c r="D2022" i="44"/>
  <c r="C2022" i="44"/>
  <c r="B2022" i="44"/>
  <c r="E2021" i="44"/>
  <c r="D2021" i="44"/>
  <c r="C2021" i="44"/>
  <c r="B2021" i="44"/>
  <c r="E2020" i="44"/>
  <c r="D2020" i="44"/>
  <c r="C2020" i="44"/>
  <c r="B2020" i="44"/>
  <c r="E2019" i="44"/>
  <c r="D2019" i="44"/>
  <c r="C2019" i="44"/>
  <c r="B2019" i="44"/>
  <c r="E2018" i="44"/>
  <c r="D2018" i="44"/>
  <c r="C2018" i="44"/>
  <c r="B2018" i="44"/>
  <c r="E2017" i="44"/>
  <c r="D2017" i="44"/>
  <c r="C2017" i="44"/>
  <c r="B2017" i="44"/>
  <c r="E2016" i="44"/>
  <c r="D2016" i="44"/>
  <c r="C2016" i="44"/>
  <c r="B2016" i="44"/>
  <c r="E2015" i="44"/>
  <c r="D2015" i="44"/>
  <c r="C2015" i="44"/>
  <c r="B2015" i="44"/>
  <c r="E2014" i="44"/>
  <c r="D2014" i="44"/>
  <c r="C2014" i="44"/>
  <c r="B2014" i="44"/>
  <c r="E2013" i="44"/>
  <c r="D2013" i="44"/>
  <c r="C2013" i="44"/>
  <c r="B2013" i="44"/>
  <c r="E2012" i="44"/>
  <c r="D2012" i="44"/>
  <c r="C2012" i="44"/>
  <c r="B2012" i="44"/>
  <c r="E2011" i="44"/>
  <c r="D2011" i="44"/>
  <c r="C2011" i="44"/>
  <c r="B2011" i="44"/>
  <c r="E2010" i="44"/>
  <c r="D2010" i="44"/>
  <c r="C2010" i="44"/>
  <c r="B2010" i="44"/>
  <c r="E2009" i="44"/>
  <c r="D2009" i="44"/>
  <c r="C2009" i="44"/>
  <c r="B2009" i="44"/>
  <c r="E2008" i="44"/>
  <c r="D2008" i="44"/>
  <c r="C2008" i="44"/>
  <c r="B2008" i="44"/>
  <c r="E2007" i="44"/>
  <c r="D2007" i="44"/>
  <c r="C2007" i="44"/>
  <c r="B2007" i="44"/>
  <c r="E2006" i="44"/>
  <c r="D2006" i="44"/>
  <c r="C2006" i="44"/>
  <c r="B2006" i="44"/>
  <c r="E2005" i="44"/>
  <c r="D2005" i="44"/>
  <c r="C2005" i="44"/>
  <c r="B2005" i="44"/>
  <c r="E2004" i="44"/>
  <c r="D2004" i="44"/>
  <c r="C2004" i="44"/>
  <c r="B2004" i="44"/>
  <c r="E2003" i="44"/>
  <c r="D2003" i="44"/>
  <c r="C2003" i="44"/>
  <c r="B2003" i="44"/>
  <c r="E2002" i="44"/>
  <c r="D2002" i="44"/>
  <c r="C2002" i="44"/>
  <c r="B2002" i="44"/>
  <c r="E2001" i="44"/>
  <c r="D2001" i="44"/>
  <c r="C2001" i="44"/>
  <c r="B2001" i="44"/>
  <c r="E2000" i="44"/>
  <c r="D2000" i="44"/>
  <c r="C2000" i="44"/>
  <c r="B2000" i="44"/>
  <c r="E1999" i="44"/>
  <c r="D1999" i="44"/>
  <c r="C1999" i="44"/>
  <c r="B1999" i="44"/>
  <c r="E1998" i="44"/>
  <c r="D1998" i="44"/>
  <c r="C1998" i="44"/>
  <c r="B1998" i="44"/>
  <c r="E1997" i="44"/>
  <c r="D1997" i="44"/>
  <c r="C1997" i="44"/>
  <c r="B1997" i="44"/>
  <c r="E1996" i="44"/>
  <c r="D1996" i="44"/>
  <c r="C1996" i="44"/>
  <c r="B1996" i="44"/>
  <c r="E1995" i="44"/>
  <c r="D1995" i="44"/>
  <c r="C1995" i="44"/>
  <c r="B1995" i="44"/>
  <c r="E1994" i="44"/>
  <c r="D1994" i="44"/>
  <c r="C1994" i="44"/>
  <c r="B1994" i="44"/>
  <c r="E1993" i="44"/>
  <c r="D1993" i="44"/>
  <c r="C1993" i="44"/>
  <c r="B1993" i="44"/>
  <c r="E1992" i="44"/>
  <c r="D1992" i="44"/>
  <c r="C1992" i="44"/>
  <c r="B1992" i="44"/>
  <c r="E1991" i="44"/>
  <c r="D1991" i="44"/>
  <c r="C1991" i="44"/>
  <c r="B1991" i="44"/>
  <c r="E1990" i="44"/>
  <c r="D1990" i="44"/>
  <c r="C1990" i="44"/>
  <c r="B1990" i="44"/>
  <c r="E1989" i="44"/>
  <c r="D1989" i="44"/>
  <c r="C1989" i="44"/>
  <c r="B1989" i="44"/>
  <c r="E1988" i="44"/>
  <c r="D1988" i="44"/>
  <c r="C1988" i="44"/>
  <c r="B1988" i="44"/>
  <c r="E1987" i="44"/>
  <c r="D1987" i="44"/>
  <c r="C1987" i="44"/>
  <c r="B1987" i="44"/>
  <c r="E1986" i="44"/>
  <c r="D1986" i="44"/>
  <c r="C1986" i="44"/>
  <c r="B1986" i="44"/>
  <c r="E1985" i="44"/>
  <c r="D1985" i="44"/>
  <c r="C1985" i="44"/>
  <c r="B1985" i="44"/>
  <c r="E1984" i="44"/>
  <c r="D1984" i="44"/>
  <c r="C1984" i="44"/>
  <c r="B1984" i="44"/>
  <c r="E1983" i="44"/>
  <c r="D1983" i="44"/>
  <c r="C1983" i="44"/>
  <c r="B1983" i="44"/>
  <c r="E1982" i="44"/>
  <c r="D1982" i="44"/>
  <c r="C1982" i="44"/>
  <c r="B1982" i="44"/>
  <c r="E1981" i="44"/>
  <c r="D1981" i="44"/>
  <c r="C1981" i="44"/>
  <c r="B1981" i="44"/>
  <c r="E1980" i="44"/>
  <c r="D1980" i="44"/>
  <c r="C1980" i="44"/>
  <c r="B1980" i="44"/>
  <c r="E1979" i="44"/>
  <c r="D1979" i="44"/>
  <c r="C1979" i="44"/>
  <c r="B1979" i="44"/>
  <c r="E1978" i="44"/>
  <c r="D1978" i="44"/>
  <c r="C1978" i="44"/>
  <c r="B1978" i="44"/>
  <c r="E1977" i="44"/>
  <c r="D1977" i="44"/>
  <c r="C1977" i="44"/>
  <c r="B1977" i="44"/>
  <c r="E1976" i="44"/>
  <c r="D1976" i="44"/>
  <c r="C1976" i="44"/>
  <c r="B1976" i="44"/>
  <c r="E1975" i="44"/>
  <c r="D1975" i="44"/>
  <c r="C1975" i="44"/>
  <c r="B1975" i="44"/>
  <c r="E1974" i="44"/>
  <c r="D1974" i="44"/>
  <c r="C1974" i="44"/>
  <c r="B1974" i="44"/>
  <c r="E1973" i="44"/>
  <c r="D1973" i="44"/>
  <c r="C1973" i="44"/>
  <c r="B1973" i="44"/>
  <c r="E1972" i="44"/>
  <c r="D1972" i="44"/>
  <c r="C1972" i="44"/>
  <c r="B1972" i="44"/>
  <c r="E1971" i="44"/>
  <c r="D1971" i="44"/>
  <c r="C1971" i="44"/>
  <c r="B1971" i="44"/>
  <c r="E1970" i="44"/>
  <c r="D1970" i="44"/>
  <c r="C1970" i="44"/>
  <c r="B1970" i="44"/>
  <c r="E1969" i="44"/>
  <c r="D1969" i="44"/>
  <c r="C1969" i="44"/>
  <c r="B1969" i="44"/>
  <c r="E1968" i="44"/>
  <c r="D1968" i="44"/>
  <c r="C1968" i="44"/>
  <c r="B1968" i="44"/>
  <c r="E1967" i="44"/>
  <c r="D1967" i="44"/>
  <c r="C1967" i="44"/>
  <c r="B1967" i="44"/>
  <c r="E1966" i="44"/>
  <c r="D1966" i="44"/>
  <c r="C1966" i="44"/>
  <c r="B1966" i="44"/>
  <c r="E1965" i="44"/>
  <c r="D1965" i="44"/>
  <c r="C1965" i="44"/>
  <c r="B1965" i="44"/>
  <c r="E1964" i="44"/>
  <c r="D1964" i="44"/>
  <c r="C1964" i="44"/>
  <c r="B1964" i="44"/>
  <c r="E1963" i="44"/>
  <c r="D1963" i="44"/>
  <c r="C1963" i="44"/>
  <c r="B1963" i="44"/>
  <c r="E1962" i="44"/>
  <c r="D1962" i="44"/>
  <c r="C1962" i="44"/>
  <c r="B1962" i="44"/>
  <c r="E1961" i="44"/>
  <c r="D1961" i="44"/>
  <c r="C1961" i="44"/>
  <c r="B1961" i="44"/>
  <c r="E1960" i="44"/>
  <c r="D1960" i="44"/>
  <c r="C1960" i="44"/>
  <c r="B1960" i="44"/>
  <c r="E1959" i="44"/>
  <c r="D1959" i="44"/>
  <c r="C1959" i="44"/>
  <c r="B1959" i="44"/>
  <c r="E1958" i="44"/>
  <c r="D1958" i="44"/>
  <c r="C1958" i="44"/>
  <c r="B1958" i="44"/>
  <c r="E1957" i="44"/>
  <c r="D1957" i="44"/>
  <c r="C1957" i="44"/>
  <c r="B1957" i="44"/>
  <c r="E1956" i="44"/>
  <c r="D1956" i="44"/>
  <c r="C1956" i="44"/>
  <c r="B1956" i="44"/>
  <c r="E1955" i="44"/>
  <c r="D1955" i="44"/>
  <c r="C1955" i="44"/>
  <c r="B1955" i="44"/>
  <c r="E1954" i="44"/>
  <c r="D1954" i="44"/>
  <c r="C1954" i="44"/>
  <c r="B1954" i="44"/>
  <c r="E1953" i="44"/>
  <c r="D1953" i="44"/>
  <c r="C1953" i="44"/>
  <c r="B1953" i="44"/>
  <c r="E1952" i="44"/>
  <c r="D1952" i="44"/>
  <c r="C1952" i="44"/>
  <c r="B1952" i="44"/>
  <c r="E1951" i="44"/>
  <c r="D1951" i="44"/>
  <c r="C1951" i="44"/>
  <c r="B1951" i="44"/>
  <c r="E1950" i="44"/>
  <c r="D1950" i="44"/>
  <c r="C1950" i="44"/>
  <c r="B1950" i="44"/>
  <c r="E1949" i="44"/>
  <c r="D1949" i="44"/>
  <c r="C1949" i="44"/>
  <c r="B1949" i="44"/>
  <c r="E1948" i="44"/>
  <c r="D1948" i="44"/>
  <c r="C1948" i="44"/>
  <c r="B1948" i="44"/>
  <c r="E1947" i="44"/>
  <c r="D1947" i="44"/>
  <c r="C1947" i="44"/>
  <c r="B1947" i="44"/>
  <c r="E1946" i="44"/>
  <c r="D1946" i="44"/>
  <c r="C1946" i="44"/>
  <c r="B1946" i="44"/>
  <c r="E1945" i="44"/>
  <c r="D1945" i="44"/>
  <c r="C1945" i="44"/>
  <c r="B1945" i="44"/>
  <c r="E1944" i="44"/>
  <c r="D1944" i="44"/>
  <c r="C1944" i="44"/>
  <c r="B1944" i="44"/>
  <c r="E1943" i="44"/>
  <c r="D1943" i="44"/>
  <c r="C1943" i="44"/>
  <c r="B1943" i="44"/>
  <c r="E1942" i="44"/>
  <c r="D1942" i="44"/>
  <c r="C1942" i="44"/>
  <c r="B1942" i="44"/>
  <c r="E1941" i="44"/>
  <c r="D1941" i="44"/>
  <c r="C1941" i="44"/>
  <c r="B1941" i="44"/>
  <c r="E1940" i="44"/>
  <c r="D1940" i="44"/>
  <c r="C1940" i="44"/>
  <c r="B1940" i="44"/>
  <c r="E1939" i="44"/>
  <c r="D1939" i="44"/>
  <c r="C1939" i="44"/>
  <c r="B1939" i="44"/>
  <c r="E1938" i="44"/>
  <c r="D1938" i="44"/>
  <c r="C1938" i="44"/>
  <c r="B1938" i="44"/>
  <c r="E1937" i="44"/>
  <c r="D1937" i="44"/>
  <c r="C1937" i="44"/>
  <c r="B1937" i="44"/>
  <c r="E1936" i="44"/>
  <c r="D1936" i="44"/>
  <c r="C1936" i="44"/>
  <c r="B1936" i="44"/>
  <c r="E1935" i="44"/>
  <c r="D1935" i="44"/>
  <c r="C1935" i="44"/>
  <c r="B1935" i="44"/>
  <c r="E1934" i="44"/>
  <c r="D1934" i="44"/>
  <c r="C1934" i="44"/>
  <c r="B1934" i="44"/>
  <c r="E1933" i="44"/>
  <c r="D1933" i="44"/>
  <c r="C1933" i="44"/>
  <c r="B1933" i="44"/>
  <c r="E1932" i="44"/>
  <c r="D1932" i="44"/>
  <c r="C1932" i="44"/>
  <c r="B1932" i="44"/>
  <c r="E1931" i="44"/>
  <c r="D1931" i="44"/>
  <c r="C1931" i="44"/>
  <c r="B1931" i="44"/>
  <c r="E1930" i="44"/>
  <c r="D1930" i="44"/>
  <c r="C1930" i="44"/>
  <c r="B1930" i="44"/>
  <c r="E1929" i="44"/>
  <c r="D1929" i="44"/>
  <c r="C1929" i="44"/>
  <c r="B1929" i="44"/>
  <c r="E1928" i="44"/>
  <c r="D1928" i="44"/>
  <c r="C1928" i="44"/>
  <c r="B1928" i="44"/>
  <c r="E1927" i="44"/>
  <c r="D1927" i="44"/>
  <c r="C1927" i="44"/>
  <c r="B1927" i="44"/>
  <c r="E1926" i="44"/>
  <c r="D1926" i="44"/>
  <c r="C1926" i="44"/>
  <c r="B1926" i="44"/>
  <c r="E1925" i="44"/>
  <c r="D1925" i="44"/>
  <c r="C1925" i="44"/>
  <c r="B1925" i="44"/>
  <c r="E1924" i="44"/>
  <c r="D1924" i="44"/>
  <c r="C1924" i="44"/>
  <c r="B1924" i="44"/>
  <c r="E1923" i="44"/>
  <c r="D1923" i="44"/>
  <c r="C1923" i="44"/>
  <c r="B1923" i="44"/>
  <c r="E1922" i="44"/>
  <c r="D1922" i="44"/>
  <c r="C1922" i="44"/>
  <c r="B1922" i="44"/>
  <c r="E1921" i="44"/>
  <c r="D1921" i="44"/>
  <c r="C1921" i="44"/>
  <c r="B1921" i="44"/>
  <c r="E1920" i="44"/>
  <c r="D1920" i="44"/>
  <c r="C1920" i="44"/>
  <c r="B1920" i="44"/>
  <c r="E1919" i="44"/>
  <c r="D1919" i="44"/>
  <c r="C1919" i="44"/>
  <c r="B1919" i="44"/>
  <c r="E1918" i="44"/>
  <c r="D1918" i="44"/>
  <c r="C1918" i="44"/>
  <c r="B1918" i="44"/>
  <c r="E1917" i="44"/>
  <c r="D1917" i="44"/>
  <c r="C1917" i="44"/>
  <c r="B1917" i="44"/>
  <c r="E1916" i="44"/>
  <c r="D1916" i="44"/>
  <c r="C1916" i="44"/>
  <c r="B1916" i="44"/>
  <c r="E1915" i="44"/>
  <c r="D1915" i="44"/>
  <c r="C1915" i="44"/>
  <c r="B1915" i="44"/>
  <c r="E1914" i="44"/>
  <c r="D1914" i="44"/>
  <c r="C1914" i="44"/>
  <c r="B1914" i="44"/>
  <c r="E1913" i="44"/>
  <c r="D1913" i="44"/>
  <c r="C1913" i="44"/>
  <c r="B1913" i="44"/>
  <c r="E1912" i="44"/>
  <c r="D1912" i="44"/>
  <c r="C1912" i="44"/>
  <c r="B1912" i="44"/>
  <c r="E1911" i="44"/>
  <c r="D1911" i="44"/>
  <c r="C1911" i="44"/>
  <c r="B1911" i="44"/>
  <c r="E1910" i="44"/>
  <c r="D1910" i="44"/>
  <c r="C1910" i="44"/>
  <c r="B1910" i="44"/>
  <c r="E1909" i="44"/>
  <c r="D1909" i="44"/>
  <c r="C1909" i="44"/>
  <c r="B1909" i="44"/>
  <c r="E1908" i="44"/>
  <c r="D1908" i="44"/>
  <c r="C1908" i="44"/>
  <c r="B1908" i="44"/>
  <c r="E1907" i="44"/>
  <c r="D1907" i="44"/>
  <c r="C1907" i="44"/>
  <c r="B1907" i="44"/>
  <c r="E1906" i="44"/>
  <c r="D1906" i="44"/>
  <c r="C1906" i="44"/>
  <c r="B1906" i="44"/>
  <c r="E1905" i="44"/>
  <c r="D1905" i="44"/>
  <c r="C1905" i="44"/>
  <c r="B1905" i="44"/>
  <c r="E1904" i="44"/>
  <c r="D1904" i="44"/>
  <c r="C1904" i="44"/>
  <c r="B1904" i="44"/>
  <c r="E1903" i="44"/>
  <c r="D1903" i="44"/>
  <c r="C1903" i="44"/>
  <c r="B1903" i="44"/>
  <c r="E1902" i="44"/>
  <c r="D1902" i="44"/>
  <c r="C1902" i="44"/>
  <c r="B1902" i="44"/>
  <c r="E1901" i="44"/>
  <c r="D1901" i="44"/>
  <c r="C1901" i="44"/>
  <c r="B1901" i="44"/>
  <c r="E1900" i="44"/>
  <c r="D1900" i="44"/>
  <c r="C1900" i="44"/>
  <c r="B1900" i="44"/>
  <c r="E1899" i="44"/>
  <c r="D1899" i="44"/>
  <c r="C1899" i="44"/>
  <c r="B1899" i="44"/>
  <c r="E1898" i="44"/>
  <c r="D1898" i="44"/>
  <c r="C1898" i="44"/>
  <c r="B1898" i="44"/>
  <c r="E1897" i="44"/>
  <c r="D1897" i="44"/>
  <c r="C1897" i="44"/>
  <c r="B1897" i="44"/>
  <c r="E1896" i="44"/>
  <c r="D1896" i="44"/>
  <c r="C1896" i="44"/>
  <c r="B1896" i="44"/>
  <c r="E1895" i="44"/>
  <c r="D1895" i="44"/>
  <c r="C1895" i="44"/>
  <c r="B1895" i="44"/>
  <c r="E1894" i="44"/>
  <c r="D1894" i="44"/>
  <c r="C1894" i="44"/>
  <c r="B1894" i="44"/>
  <c r="E1893" i="44"/>
  <c r="D1893" i="44"/>
  <c r="C1893" i="44"/>
  <c r="B1893" i="44"/>
  <c r="E1892" i="44"/>
  <c r="D1892" i="44"/>
  <c r="C1892" i="44"/>
  <c r="B1892" i="44"/>
  <c r="E1891" i="44"/>
  <c r="D1891" i="44"/>
  <c r="C1891" i="44"/>
  <c r="B1891" i="44"/>
  <c r="E1890" i="44"/>
  <c r="D1890" i="44"/>
  <c r="C1890" i="44"/>
  <c r="B1890" i="44"/>
  <c r="E1889" i="44"/>
  <c r="D1889" i="44"/>
  <c r="C1889" i="44"/>
  <c r="B1889" i="44"/>
  <c r="E1888" i="44"/>
  <c r="D1888" i="44"/>
  <c r="C1888" i="44"/>
  <c r="B1888" i="44"/>
  <c r="E1887" i="44"/>
  <c r="D1887" i="44"/>
  <c r="C1887" i="44"/>
  <c r="B1887" i="44"/>
  <c r="E1886" i="44"/>
  <c r="D1886" i="44"/>
  <c r="C1886" i="44"/>
  <c r="B1886" i="44"/>
  <c r="E1885" i="44"/>
  <c r="D1885" i="44"/>
  <c r="C1885" i="44"/>
  <c r="B1885" i="44"/>
  <c r="E1884" i="44"/>
  <c r="D1884" i="44"/>
  <c r="C1884" i="44"/>
  <c r="B1884" i="44"/>
  <c r="E1883" i="44"/>
  <c r="D1883" i="44"/>
  <c r="C1883" i="44"/>
  <c r="B1883" i="44"/>
  <c r="E1882" i="44"/>
  <c r="D1882" i="44"/>
  <c r="C1882" i="44"/>
  <c r="B1882" i="44"/>
  <c r="E1881" i="44"/>
  <c r="D1881" i="44"/>
  <c r="C1881" i="44"/>
  <c r="B1881" i="44"/>
  <c r="E1880" i="44"/>
  <c r="D1880" i="44"/>
  <c r="C1880" i="44"/>
  <c r="B1880" i="44"/>
  <c r="E1879" i="44"/>
  <c r="D1879" i="44"/>
  <c r="C1879" i="44"/>
  <c r="B1879" i="44"/>
  <c r="E1878" i="44"/>
  <c r="D1878" i="44"/>
  <c r="C1878" i="44"/>
  <c r="B1878" i="44"/>
  <c r="E1877" i="44"/>
  <c r="D1877" i="44"/>
  <c r="C1877" i="44"/>
  <c r="B1877" i="44"/>
  <c r="E1876" i="44"/>
  <c r="D1876" i="44"/>
  <c r="C1876" i="44"/>
  <c r="B1876" i="44"/>
  <c r="E1875" i="44"/>
  <c r="D1875" i="44"/>
  <c r="C1875" i="44"/>
  <c r="B1875" i="44"/>
  <c r="E1874" i="44"/>
  <c r="D1874" i="44"/>
  <c r="C1874" i="44"/>
  <c r="B1874" i="44"/>
  <c r="E1873" i="44"/>
  <c r="D1873" i="44"/>
  <c r="C1873" i="44"/>
  <c r="B1873" i="44"/>
  <c r="E1872" i="44"/>
  <c r="D1872" i="44"/>
  <c r="C1872" i="44"/>
  <c r="B1872" i="44"/>
  <c r="E1871" i="44"/>
  <c r="D1871" i="44"/>
  <c r="C1871" i="44"/>
  <c r="B1871" i="44"/>
  <c r="E1870" i="44"/>
  <c r="D1870" i="44"/>
  <c r="C1870" i="44"/>
  <c r="B1870" i="44"/>
  <c r="E1869" i="44"/>
  <c r="D1869" i="44"/>
  <c r="C1869" i="44"/>
  <c r="B1869" i="44"/>
  <c r="E1868" i="44"/>
  <c r="D1868" i="44"/>
  <c r="C1868" i="44"/>
  <c r="B1868" i="44"/>
  <c r="E1867" i="44"/>
  <c r="D1867" i="44"/>
  <c r="C1867" i="44"/>
  <c r="B1867" i="44"/>
  <c r="E1866" i="44"/>
  <c r="D1866" i="44"/>
  <c r="C1866" i="44"/>
  <c r="B1866" i="44"/>
  <c r="E1865" i="44"/>
  <c r="D1865" i="44"/>
  <c r="C1865" i="44"/>
  <c r="B1865" i="44"/>
  <c r="E1864" i="44"/>
  <c r="D1864" i="44"/>
  <c r="C1864" i="44"/>
  <c r="B1864" i="44"/>
  <c r="E1863" i="44"/>
  <c r="D1863" i="44"/>
  <c r="C1863" i="44"/>
  <c r="B1863" i="44"/>
  <c r="E1862" i="44"/>
  <c r="D1862" i="44"/>
  <c r="C1862" i="44"/>
  <c r="B1862" i="44"/>
  <c r="E1861" i="44"/>
  <c r="D1861" i="44"/>
  <c r="C1861" i="44"/>
  <c r="B1861" i="44"/>
  <c r="E1860" i="44"/>
  <c r="D1860" i="44"/>
  <c r="C1860" i="44"/>
  <c r="B1860" i="44"/>
  <c r="E1859" i="44"/>
  <c r="D1859" i="44"/>
  <c r="C1859" i="44"/>
  <c r="B1859" i="44"/>
  <c r="E1858" i="44"/>
  <c r="D1858" i="44"/>
  <c r="C1858" i="44"/>
  <c r="B1858" i="44"/>
  <c r="E1857" i="44"/>
  <c r="D1857" i="44"/>
  <c r="C1857" i="44"/>
  <c r="B1857" i="44"/>
  <c r="E1856" i="44"/>
  <c r="D1856" i="44"/>
  <c r="C1856" i="44"/>
  <c r="B1856" i="44"/>
  <c r="E1855" i="44"/>
  <c r="D1855" i="44"/>
  <c r="C1855" i="44"/>
  <c r="B1855" i="44"/>
  <c r="E1854" i="44"/>
  <c r="D1854" i="44"/>
  <c r="C1854" i="44"/>
  <c r="B1854" i="44"/>
  <c r="E1853" i="44"/>
  <c r="D1853" i="44"/>
  <c r="C1853" i="44"/>
  <c r="B1853" i="44"/>
  <c r="E1852" i="44"/>
  <c r="D1852" i="44"/>
  <c r="C1852" i="44"/>
  <c r="B1852" i="44"/>
  <c r="E1851" i="44"/>
  <c r="D1851" i="44"/>
  <c r="C1851" i="44"/>
  <c r="B1851" i="44"/>
  <c r="E1850" i="44"/>
  <c r="D1850" i="44"/>
  <c r="C1850" i="44"/>
  <c r="B1850" i="44"/>
  <c r="E1849" i="44"/>
  <c r="D1849" i="44"/>
  <c r="C1849" i="44"/>
  <c r="B1849" i="44"/>
  <c r="E1848" i="44"/>
  <c r="D1848" i="44"/>
  <c r="C1848" i="44"/>
  <c r="B1848" i="44"/>
  <c r="E1847" i="44"/>
  <c r="D1847" i="44"/>
  <c r="C1847" i="44"/>
  <c r="B1847" i="44"/>
  <c r="E1846" i="44"/>
  <c r="D1846" i="44"/>
  <c r="C1846" i="44"/>
  <c r="B1846" i="44"/>
  <c r="E1845" i="44"/>
  <c r="D1845" i="44"/>
  <c r="C1845" i="44"/>
  <c r="B1845" i="44"/>
  <c r="E1844" i="44"/>
  <c r="D1844" i="44"/>
  <c r="C1844" i="44"/>
  <c r="B1844" i="44"/>
  <c r="E1843" i="44"/>
  <c r="D1843" i="44"/>
  <c r="C1843" i="44"/>
  <c r="B1843" i="44"/>
  <c r="E1842" i="44"/>
  <c r="D1842" i="44"/>
  <c r="C1842" i="44"/>
  <c r="B1842" i="44"/>
  <c r="E1841" i="44"/>
  <c r="D1841" i="44"/>
  <c r="C1841" i="44"/>
  <c r="B1841" i="44"/>
  <c r="E1840" i="44"/>
  <c r="D1840" i="44"/>
  <c r="C1840" i="44"/>
  <c r="B1840" i="44"/>
  <c r="E1839" i="44"/>
  <c r="D1839" i="44"/>
  <c r="C1839" i="44"/>
  <c r="B1839" i="44"/>
  <c r="E1838" i="44"/>
  <c r="D1838" i="44"/>
  <c r="C1838" i="44"/>
  <c r="B1838" i="44"/>
  <c r="E1837" i="44"/>
  <c r="D1837" i="44"/>
  <c r="C1837" i="44"/>
  <c r="B1837" i="44"/>
  <c r="E1836" i="44"/>
  <c r="D1836" i="44"/>
  <c r="C1836" i="44"/>
  <c r="B1836" i="44"/>
  <c r="E1835" i="44"/>
  <c r="D1835" i="44"/>
  <c r="C1835" i="44"/>
  <c r="B1835" i="44"/>
  <c r="E1834" i="44"/>
  <c r="D1834" i="44"/>
  <c r="C1834" i="44"/>
  <c r="B1834" i="44"/>
  <c r="E1833" i="44"/>
  <c r="D1833" i="44"/>
  <c r="C1833" i="44"/>
  <c r="B1833" i="44"/>
  <c r="E1832" i="44"/>
  <c r="D1832" i="44"/>
  <c r="C1832" i="44"/>
  <c r="B1832" i="44"/>
  <c r="E1831" i="44"/>
  <c r="D1831" i="44"/>
  <c r="C1831" i="44"/>
  <c r="B1831" i="44"/>
  <c r="E1830" i="44"/>
  <c r="D1830" i="44"/>
  <c r="C1830" i="44"/>
  <c r="B1830" i="44"/>
  <c r="E1829" i="44"/>
  <c r="D1829" i="44"/>
  <c r="C1829" i="44"/>
  <c r="B1829" i="44"/>
  <c r="E1828" i="44"/>
  <c r="D1828" i="44"/>
  <c r="C1828" i="44"/>
  <c r="B1828" i="44"/>
  <c r="E1827" i="44"/>
  <c r="D1827" i="44"/>
  <c r="C1827" i="44"/>
  <c r="B1827" i="44"/>
  <c r="E1826" i="44"/>
  <c r="D1826" i="44"/>
  <c r="C1826" i="44"/>
  <c r="B1826" i="44"/>
  <c r="E1825" i="44"/>
  <c r="D1825" i="44"/>
  <c r="C1825" i="44"/>
  <c r="B1825" i="44"/>
  <c r="E1824" i="44"/>
  <c r="D1824" i="44"/>
  <c r="C1824" i="44"/>
  <c r="B1824" i="44"/>
  <c r="E1823" i="44"/>
  <c r="D1823" i="44"/>
  <c r="C1823" i="44"/>
  <c r="B1823" i="44"/>
  <c r="E1822" i="44"/>
  <c r="D1822" i="44"/>
  <c r="C1822" i="44"/>
  <c r="B1822" i="44"/>
  <c r="E1821" i="44"/>
  <c r="D1821" i="44"/>
  <c r="C1821" i="44"/>
  <c r="B1821" i="44"/>
  <c r="E1820" i="44"/>
  <c r="D1820" i="44"/>
  <c r="C1820" i="44"/>
  <c r="B1820" i="44"/>
  <c r="E1819" i="44"/>
  <c r="D1819" i="44"/>
  <c r="C1819" i="44"/>
  <c r="B1819" i="44"/>
  <c r="E1818" i="44"/>
  <c r="D1818" i="44"/>
  <c r="C1818" i="44"/>
  <c r="B1818" i="44"/>
  <c r="E1817" i="44"/>
  <c r="D1817" i="44"/>
  <c r="C1817" i="44"/>
  <c r="B1817" i="44"/>
  <c r="E1816" i="44"/>
  <c r="D1816" i="44"/>
  <c r="C1816" i="44"/>
  <c r="B1816" i="44"/>
  <c r="E1815" i="44"/>
  <c r="D1815" i="44"/>
  <c r="C1815" i="44"/>
  <c r="B1815" i="44"/>
  <c r="E1814" i="44"/>
  <c r="D1814" i="44"/>
  <c r="C1814" i="44"/>
  <c r="B1814" i="44"/>
  <c r="E1813" i="44"/>
  <c r="D1813" i="44"/>
  <c r="C1813" i="44"/>
  <c r="B1813" i="44"/>
  <c r="E1812" i="44"/>
  <c r="D1812" i="44"/>
  <c r="C1812" i="44"/>
  <c r="B1812" i="44"/>
  <c r="E1811" i="44"/>
  <c r="D1811" i="44"/>
  <c r="C1811" i="44"/>
  <c r="B1811" i="44"/>
  <c r="E1810" i="44"/>
  <c r="D1810" i="44"/>
  <c r="C1810" i="44"/>
  <c r="B1810" i="44"/>
  <c r="E1809" i="44"/>
  <c r="D1809" i="44"/>
  <c r="C1809" i="44"/>
  <c r="B1809" i="44"/>
  <c r="E1808" i="44"/>
  <c r="D1808" i="44"/>
  <c r="C1808" i="44"/>
  <c r="B1808" i="44"/>
  <c r="E1807" i="44"/>
  <c r="D1807" i="44"/>
  <c r="C1807" i="44"/>
  <c r="B1807" i="44"/>
  <c r="E1806" i="44"/>
  <c r="D1806" i="44"/>
  <c r="C1806" i="44"/>
  <c r="B1806" i="44"/>
  <c r="E1805" i="44"/>
  <c r="D1805" i="44"/>
  <c r="C1805" i="44"/>
  <c r="B1805" i="44"/>
  <c r="E1804" i="44"/>
  <c r="D1804" i="44"/>
  <c r="C1804" i="44"/>
  <c r="B1804" i="44"/>
  <c r="E1803" i="44"/>
  <c r="D1803" i="44"/>
  <c r="C1803" i="44"/>
  <c r="B1803" i="44"/>
  <c r="E1802" i="44"/>
  <c r="D1802" i="44"/>
  <c r="C1802" i="44"/>
  <c r="B1802" i="44"/>
  <c r="E1801" i="44"/>
  <c r="D1801" i="44"/>
  <c r="C1801" i="44"/>
  <c r="B1801" i="44"/>
  <c r="E1800" i="44"/>
  <c r="D1800" i="44"/>
  <c r="C1800" i="44"/>
  <c r="B1800" i="44"/>
  <c r="E1799" i="44"/>
  <c r="D1799" i="44"/>
  <c r="C1799" i="44"/>
  <c r="B1799" i="44"/>
  <c r="E1798" i="44"/>
  <c r="D1798" i="44"/>
  <c r="C1798" i="44"/>
  <c r="B1798" i="44"/>
  <c r="E1797" i="44"/>
  <c r="D1797" i="44"/>
  <c r="C1797" i="44"/>
  <c r="B1797" i="44"/>
  <c r="E1796" i="44"/>
  <c r="D1796" i="44"/>
  <c r="C1796" i="44"/>
  <c r="B1796" i="44"/>
  <c r="E1795" i="44"/>
  <c r="D1795" i="44"/>
  <c r="C1795" i="44"/>
  <c r="B1795" i="44"/>
  <c r="E1794" i="44"/>
  <c r="D1794" i="44"/>
  <c r="C1794" i="44"/>
  <c r="B1794" i="44"/>
  <c r="E1793" i="44"/>
  <c r="D1793" i="44"/>
  <c r="C1793" i="44"/>
  <c r="B1793" i="44"/>
  <c r="E1792" i="44"/>
  <c r="D1792" i="44"/>
  <c r="C1792" i="44"/>
  <c r="B1792" i="44"/>
  <c r="E1791" i="44"/>
  <c r="D1791" i="44"/>
  <c r="C1791" i="44"/>
  <c r="B1791" i="44"/>
  <c r="E1790" i="44"/>
  <c r="D1790" i="44"/>
  <c r="C1790" i="44"/>
  <c r="B1790" i="44"/>
  <c r="E1789" i="44"/>
  <c r="D1789" i="44"/>
  <c r="C1789" i="44"/>
  <c r="B1789" i="44"/>
  <c r="E1788" i="44"/>
  <c r="D1788" i="44"/>
  <c r="C1788" i="44"/>
  <c r="B1788" i="44"/>
  <c r="E1787" i="44"/>
  <c r="D1787" i="44"/>
  <c r="C1787" i="44"/>
  <c r="B1787" i="44"/>
  <c r="E1786" i="44"/>
  <c r="D1786" i="44"/>
  <c r="C1786" i="44"/>
  <c r="B1786" i="44"/>
  <c r="E1785" i="44"/>
  <c r="D1785" i="44"/>
  <c r="C1785" i="44"/>
  <c r="B1785" i="44"/>
  <c r="E1784" i="44"/>
  <c r="D1784" i="44"/>
  <c r="C1784" i="44"/>
  <c r="B1784" i="44"/>
  <c r="E1783" i="44"/>
  <c r="D1783" i="44"/>
  <c r="C1783" i="44"/>
  <c r="B1783" i="44"/>
  <c r="E1782" i="44"/>
  <c r="D1782" i="44"/>
  <c r="C1782" i="44"/>
  <c r="B1782" i="44"/>
  <c r="E1781" i="44"/>
  <c r="D1781" i="44"/>
  <c r="C1781" i="44"/>
  <c r="B1781" i="44"/>
  <c r="E1780" i="44"/>
  <c r="D1780" i="44"/>
  <c r="C1780" i="44"/>
  <c r="B1780" i="44"/>
  <c r="C1766" i="44"/>
  <c r="B1766" i="44"/>
  <c r="C1765" i="44"/>
  <c r="B1765" i="44"/>
  <c r="C1764" i="44"/>
  <c r="B1764" i="44"/>
  <c r="C1763" i="44"/>
  <c r="B1763" i="44"/>
  <c r="C1762" i="44"/>
  <c r="B1762" i="44"/>
  <c r="C1761" i="44"/>
  <c r="B1761" i="44"/>
  <c r="C1760" i="44"/>
  <c r="B1760" i="44"/>
  <c r="C1759" i="44"/>
  <c r="B1759" i="44"/>
  <c r="C1758" i="44"/>
  <c r="B1758" i="44"/>
  <c r="C1757" i="44"/>
  <c r="B1757" i="44"/>
  <c r="C1756" i="44"/>
  <c r="B1756" i="44"/>
  <c r="C1755" i="44"/>
  <c r="B1755" i="44"/>
  <c r="C1754" i="44"/>
  <c r="B1754" i="44"/>
  <c r="C1753" i="44"/>
  <c r="B1753" i="44"/>
  <c r="C1752" i="44"/>
  <c r="B1752" i="44"/>
  <c r="C1751" i="44"/>
  <c r="B1751" i="44"/>
  <c r="C1750" i="44"/>
  <c r="B1750" i="44"/>
  <c r="C1749" i="44"/>
  <c r="B1749" i="44"/>
  <c r="C1748" i="44"/>
  <c r="B1748" i="44"/>
  <c r="C1747" i="44"/>
  <c r="B1747" i="44"/>
  <c r="C1746" i="44"/>
  <c r="B1746" i="44"/>
  <c r="C1745" i="44"/>
  <c r="B1745" i="44"/>
  <c r="C1744" i="44"/>
  <c r="B1744" i="44"/>
  <c r="C1743" i="44"/>
  <c r="B1743" i="44"/>
  <c r="C1742" i="44"/>
  <c r="B1742" i="44"/>
  <c r="C1741" i="44"/>
  <c r="B1741" i="44"/>
  <c r="C1740" i="44"/>
  <c r="B1740" i="44"/>
  <c r="C1739" i="44"/>
  <c r="B1739" i="44"/>
  <c r="C1738" i="44"/>
  <c r="B1738" i="44"/>
  <c r="C1737" i="44"/>
  <c r="B1737" i="44"/>
  <c r="C1736" i="44"/>
  <c r="B1736" i="44"/>
  <c r="C1735" i="44"/>
  <c r="B1735" i="44"/>
  <c r="C1734" i="44"/>
  <c r="B1734" i="44"/>
  <c r="C1733" i="44"/>
  <c r="B1733" i="44"/>
  <c r="C1732" i="44"/>
  <c r="B1732" i="44"/>
  <c r="C1731" i="44"/>
  <c r="B1731" i="44"/>
  <c r="C1730" i="44"/>
  <c r="B1730" i="44"/>
  <c r="C1729" i="44"/>
  <c r="B1729" i="44"/>
  <c r="C1728" i="44"/>
  <c r="B1728" i="44"/>
  <c r="C1727" i="44"/>
  <c r="B1727" i="44"/>
  <c r="C1726" i="44"/>
  <c r="B1726" i="44"/>
  <c r="C1725" i="44"/>
  <c r="B1725" i="44"/>
  <c r="C1724" i="44"/>
  <c r="B1724" i="44"/>
  <c r="C1723" i="44"/>
  <c r="B1723" i="44"/>
  <c r="C1722" i="44"/>
  <c r="B1722" i="44"/>
  <c r="C1721" i="44"/>
  <c r="B1721" i="44"/>
  <c r="C1720" i="44"/>
  <c r="B1720" i="44"/>
  <c r="C1719" i="44"/>
  <c r="B1719" i="44"/>
  <c r="C1718" i="44"/>
  <c r="B1718" i="44"/>
  <c r="C1717" i="44"/>
  <c r="B1717" i="44"/>
  <c r="C1716" i="44"/>
  <c r="B1716" i="44"/>
  <c r="C1715" i="44"/>
  <c r="B1715" i="44"/>
  <c r="C1714" i="44"/>
  <c r="B1714" i="44"/>
  <c r="C1713" i="44"/>
  <c r="B1713" i="44"/>
  <c r="C1712" i="44"/>
  <c r="B1712" i="44"/>
  <c r="C1711" i="44"/>
  <c r="B1711" i="44"/>
  <c r="C1710" i="44"/>
  <c r="B1710" i="44"/>
  <c r="C1709" i="44"/>
  <c r="B1709" i="44"/>
  <c r="C1708" i="44"/>
  <c r="B1708" i="44"/>
  <c r="C1707" i="44"/>
  <c r="B1707" i="44"/>
  <c r="C1706" i="44"/>
  <c r="B1706" i="44"/>
  <c r="C1705" i="44"/>
  <c r="B1705" i="44"/>
  <c r="C1704" i="44"/>
  <c r="B1704" i="44"/>
  <c r="C1703" i="44"/>
  <c r="B1703" i="44"/>
  <c r="C1702" i="44"/>
  <c r="B1702" i="44"/>
  <c r="C1701" i="44"/>
  <c r="B1701" i="44"/>
  <c r="C1700" i="44"/>
  <c r="B1700" i="44"/>
  <c r="C1699" i="44"/>
  <c r="B1699" i="44"/>
  <c r="C1698" i="44"/>
  <c r="B1698" i="44"/>
  <c r="C1697" i="44"/>
  <c r="B1697" i="44"/>
  <c r="C1696" i="44"/>
  <c r="B1696" i="44"/>
  <c r="C1695" i="44"/>
  <c r="B1695" i="44"/>
  <c r="C1694" i="44"/>
  <c r="B1694" i="44"/>
  <c r="C1693" i="44"/>
  <c r="B1693" i="44"/>
  <c r="C1692" i="44"/>
  <c r="B1692" i="44"/>
  <c r="C1691" i="44"/>
  <c r="B1691" i="44"/>
  <c r="C1690" i="44"/>
  <c r="B1690" i="44"/>
  <c r="C1689" i="44"/>
  <c r="B1689" i="44"/>
  <c r="C1688" i="44"/>
  <c r="B1688" i="44"/>
  <c r="C1687" i="44"/>
  <c r="B1687" i="44"/>
  <c r="C1686" i="44"/>
  <c r="B1686" i="44"/>
  <c r="C1685" i="44"/>
  <c r="B1685" i="44"/>
  <c r="C1684" i="44"/>
  <c r="B1684" i="44"/>
  <c r="C1683" i="44"/>
  <c r="B1683" i="44"/>
  <c r="C1682" i="44"/>
  <c r="B1682" i="44"/>
  <c r="C1681" i="44"/>
  <c r="B1681" i="44"/>
  <c r="C1680" i="44"/>
  <c r="B1680" i="44"/>
  <c r="C1679" i="44"/>
  <c r="B1679" i="44"/>
  <c r="C1678" i="44"/>
  <c r="B1678" i="44"/>
  <c r="C1677" i="44"/>
  <c r="B1677" i="44"/>
  <c r="C1676" i="44"/>
  <c r="B1676" i="44"/>
  <c r="C1675" i="44"/>
  <c r="B1675" i="44"/>
  <c r="C1674" i="44"/>
  <c r="B1674" i="44"/>
  <c r="C1673" i="44"/>
  <c r="B1673" i="44"/>
  <c r="C1672" i="44"/>
  <c r="B1672" i="44"/>
  <c r="C1671" i="44"/>
  <c r="B1671" i="44"/>
  <c r="C1670" i="44"/>
  <c r="B1670" i="44"/>
  <c r="C1669" i="44"/>
  <c r="B1669" i="44"/>
  <c r="C1668" i="44"/>
  <c r="B1668" i="44"/>
  <c r="C1667" i="44"/>
  <c r="B1667" i="44"/>
  <c r="C1666" i="44"/>
  <c r="B1666" i="44"/>
  <c r="C1665" i="44"/>
  <c r="B1665" i="44"/>
  <c r="C1664" i="44"/>
  <c r="B1664" i="44"/>
  <c r="C1663" i="44"/>
  <c r="B1663" i="44"/>
  <c r="C1662" i="44"/>
  <c r="B1662" i="44"/>
  <c r="C1661" i="44"/>
  <c r="B1661" i="44"/>
  <c r="C1660" i="44"/>
  <c r="B1660" i="44"/>
  <c r="C1659" i="44"/>
  <c r="B1659" i="44"/>
  <c r="C1658" i="44"/>
  <c r="B1658" i="44"/>
  <c r="C1657" i="44"/>
  <c r="B1657" i="44"/>
  <c r="C1656" i="44"/>
  <c r="B1656" i="44"/>
  <c r="C1655" i="44"/>
  <c r="B1655" i="44"/>
  <c r="C1654" i="44"/>
  <c r="B1654" i="44"/>
  <c r="C1653" i="44"/>
  <c r="B1653" i="44"/>
  <c r="C1652" i="44"/>
  <c r="B1652" i="44"/>
  <c r="C1651" i="44"/>
  <c r="B1651" i="44"/>
  <c r="C1650" i="44"/>
  <c r="B1650" i="44"/>
  <c r="C1649" i="44"/>
  <c r="B1649" i="44"/>
  <c r="C1648" i="44"/>
  <c r="B1648" i="44"/>
  <c r="C1647" i="44"/>
  <c r="B1647" i="44"/>
  <c r="C1646" i="44"/>
  <c r="B1646" i="44"/>
  <c r="C1645" i="44"/>
  <c r="B1645" i="44"/>
  <c r="C1644" i="44"/>
  <c r="B1644" i="44"/>
  <c r="C1643" i="44"/>
  <c r="B1643" i="44"/>
  <c r="C1642" i="44"/>
  <c r="B1642" i="44"/>
  <c r="C1641" i="44"/>
  <c r="B1641" i="44"/>
  <c r="C1640" i="44"/>
  <c r="B1640" i="44"/>
  <c r="C1639" i="44"/>
  <c r="B1639" i="44"/>
  <c r="C1638" i="44"/>
  <c r="B1638" i="44"/>
  <c r="C1637" i="44"/>
  <c r="B1637" i="44"/>
  <c r="C1636" i="44"/>
  <c r="B1636" i="44"/>
  <c r="C1635" i="44"/>
  <c r="B1635" i="44"/>
  <c r="C1634" i="44"/>
  <c r="B1634" i="44"/>
  <c r="C1633" i="44"/>
  <c r="B1633" i="44"/>
  <c r="C1632" i="44"/>
  <c r="B1632" i="44"/>
  <c r="C1631" i="44"/>
  <c r="B1631" i="44"/>
  <c r="C1630" i="44"/>
  <c r="B1630" i="44"/>
  <c r="C1629" i="44"/>
  <c r="B1629" i="44"/>
  <c r="C1628" i="44"/>
  <c r="B1628" i="44"/>
  <c r="C1627" i="44"/>
  <c r="B1627" i="44"/>
  <c r="C1626" i="44"/>
  <c r="B1626" i="44"/>
  <c r="C1625" i="44"/>
  <c r="B1625" i="44"/>
  <c r="C1624" i="44"/>
  <c r="B1624" i="44"/>
  <c r="C1623" i="44"/>
  <c r="B1623" i="44"/>
  <c r="C1622" i="44"/>
  <c r="B1622" i="44"/>
  <c r="C1621" i="44"/>
  <c r="B1621" i="44"/>
  <c r="C1620" i="44"/>
  <c r="B1620" i="44"/>
  <c r="C1619" i="44"/>
  <c r="B1619" i="44"/>
  <c r="C1618" i="44"/>
  <c r="B1618" i="44"/>
  <c r="C1617" i="44"/>
  <c r="B1617" i="44"/>
  <c r="C1616" i="44"/>
  <c r="B1616" i="44"/>
  <c r="C1615" i="44"/>
  <c r="B1615" i="44"/>
  <c r="C1614" i="44"/>
  <c r="B1614" i="44"/>
  <c r="C1613" i="44"/>
  <c r="B1613" i="44"/>
  <c r="C1612" i="44"/>
  <c r="B1612" i="44"/>
  <c r="C1611" i="44"/>
  <c r="B1611" i="44"/>
  <c r="C1610" i="44"/>
  <c r="B1610" i="44"/>
  <c r="C1609" i="44"/>
  <c r="B1609" i="44"/>
  <c r="C1608" i="44"/>
  <c r="B1608" i="44"/>
  <c r="C1607" i="44"/>
  <c r="B1607" i="44"/>
  <c r="C1606" i="44"/>
  <c r="B1606" i="44"/>
  <c r="C1605" i="44"/>
  <c r="B1605" i="44"/>
  <c r="C1604" i="44"/>
  <c r="B1604" i="44"/>
  <c r="C1603" i="44"/>
  <c r="B1603" i="44"/>
  <c r="C1602" i="44"/>
  <c r="B1602" i="44"/>
  <c r="C1601" i="44"/>
  <c r="B1601" i="44"/>
  <c r="C1600" i="44"/>
  <c r="B1600" i="44"/>
  <c r="C1599" i="44"/>
  <c r="B1599" i="44"/>
  <c r="C1598" i="44"/>
  <c r="B1598" i="44"/>
  <c r="C1597" i="44"/>
  <c r="B1597" i="44"/>
  <c r="C1596" i="44"/>
  <c r="B1596" i="44"/>
  <c r="C1595" i="44"/>
  <c r="B1595" i="44"/>
  <c r="C1594" i="44"/>
  <c r="B1594" i="44"/>
  <c r="C1593" i="44"/>
  <c r="B1593" i="44"/>
  <c r="C1592" i="44"/>
  <c r="B1592" i="44"/>
  <c r="C1591" i="44"/>
  <c r="B1591" i="44"/>
  <c r="C1590" i="44"/>
  <c r="B1590" i="44"/>
  <c r="C1589" i="44"/>
  <c r="B1589" i="44"/>
  <c r="C1588" i="44"/>
  <c r="B1588" i="44"/>
  <c r="C1587" i="44"/>
  <c r="B1587" i="44"/>
  <c r="C1586" i="44"/>
  <c r="B1586" i="44"/>
  <c r="C1585" i="44"/>
  <c r="B1585" i="44"/>
  <c r="C1584" i="44"/>
  <c r="B1584" i="44"/>
  <c r="C1583" i="44"/>
  <c r="B1583" i="44"/>
  <c r="C1582" i="44"/>
  <c r="B1582" i="44"/>
  <c r="C1581" i="44"/>
  <c r="B1581" i="44"/>
  <c r="C1580" i="44"/>
  <c r="B1580" i="44"/>
  <c r="C1579" i="44"/>
  <c r="B1579" i="44"/>
  <c r="C1578" i="44"/>
  <c r="B1578" i="44"/>
  <c r="C1577" i="44"/>
  <c r="B1577" i="44"/>
  <c r="C1576" i="44"/>
  <c r="B1576" i="44"/>
  <c r="C1575" i="44"/>
  <c r="B1575" i="44"/>
  <c r="C1574" i="44"/>
  <c r="B1574" i="44"/>
  <c r="C1573" i="44"/>
  <c r="B1573" i="44"/>
  <c r="C1572" i="44"/>
  <c r="B1572" i="44"/>
  <c r="C1571" i="44"/>
  <c r="B1571" i="44"/>
  <c r="C1570" i="44"/>
  <c r="B1570" i="44"/>
  <c r="C1569" i="44"/>
  <c r="B1569" i="44"/>
  <c r="C1568" i="44"/>
  <c r="B1568" i="44"/>
  <c r="C1567" i="44"/>
  <c r="B1567" i="44"/>
  <c r="C1566" i="44"/>
  <c r="B1566" i="44"/>
  <c r="C1565" i="44"/>
  <c r="B1565" i="44"/>
  <c r="C1564" i="44"/>
  <c r="B1564" i="44"/>
  <c r="C1563" i="44"/>
  <c r="B1563" i="44"/>
  <c r="C1562" i="44"/>
  <c r="B1562" i="44"/>
  <c r="C1561" i="44"/>
  <c r="B1561" i="44"/>
  <c r="C1560" i="44"/>
  <c r="B1560" i="44"/>
  <c r="C1559" i="44"/>
  <c r="B1559" i="44"/>
  <c r="C1558" i="44"/>
  <c r="B1558" i="44"/>
  <c r="C1557" i="44"/>
  <c r="B1557" i="44"/>
  <c r="C1556" i="44"/>
  <c r="B1556" i="44"/>
  <c r="C1555" i="44"/>
  <c r="B1555" i="44"/>
  <c r="C1554" i="44"/>
  <c r="B1554" i="44"/>
  <c r="C1553" i="44"/>
  <c r="B1553" i="44"/>
  <c r="C1552" i="44"/>
  <c r="B1552" i="44"/>
  <c r="C1551" i="44"/>
  <c r="B1551" i="44"/>
  <c r="C1550" i="44"/>
  <c r="B1550" i="44"/>
  <c r="C1549" i="44"/>
  <c r="B1549" i="44"/>
  <c r="C1548" i="44"/>
  <c r="B1548" i="44"/>
  <c r="C1547" i="44"/>
  <c r="B1547" i="44"/>
  <c r="C1546" i="44"/>
  <c r="B1546" i="44"/>
  <c r="C1545" i="44"/>
  <c r="B1545" i="44"/>
  <c r="C1544" i="44"/>
  <c r="B1544" i="44"/>
  <c r="C1543" i="44"/>
  <c r="B1543" i="44"/>
  <c r="C1542" i="44"/>
  <c r="B1542" i="44"/>
  <c r="C1541" i="44"/>
  <c r="B1541" i="44"/>
  <c r="C1540" i="44"/>
  <c r="B1540" i="44"/>
  <c r="C1539" i="44"/>
  <c r="B1539" i="44"/>
  <c r="C1538" i="44"/>
  <c r="B1538" i="44"/>
  <c r="C1537" i="44"/>
  <c r="B1537" i="44"/>
  <c r="C1536" i="44"/>
  <c r="B1536" i="44"/>
  <c r="C1535" i="44"/>
  <c r="B1535" i="44"/>
  <c r="C1534" i="44"/>
  <c r="B1534" i="44"/>
  <c r="C1533" i="44"/>
  <c r="B1533" i="44"/>
  <c r="C1532" i="44"/>
  <c r="B1532" i="44"/>
  <c r="C1531" i="44"/>
  <c r="B1531" i="44"/>
  <c r="C1530" i="44"/>
  <c r="B1530" i="44"/>
  <c r="C1529" i="44"/>
  <c r="B1529" i="44"/>
  <c r="C1528" i="44"/>
  <c r="B1528" i="44"/>
  <c r="C1527" i="44"/>
  <c r="B1527" i="44"/>
  <c r="C1526" i="44"/>
  <c r="B1526" i="44"/>
  <c r="C1525" i="44"/>
  <c r="B1525" i="44"/>
  <c r="C1524" i="44"/>
  <c r="B1524" i="44"/>
  <c r="C1523" i="44"/>
  <c r="B1523" i="44"/>
  <c r="C1522" i="44"/>
  <c r="B1522" i="44"/>
  <c r="C1521" i="44"/>
  <c r="B1521" i="44"/>
  <c r="C1520" i="44"/>
  <c r="B1520" i="44"/>
  <c r="C1519" i="44"/>
  <c r="B1519" i="44"/>
  <c r="C1518" i="44"/>
  <c r="B1518" i="44"/>
  <c r="C1517" i="44"/>
  <c r="B1517" i="44"/>
  <c r="C1516" i="44"/>
  <c r="B1516" i="44"/>
  <c r="C1515" i="44"/>
  <c r="B1515" i="44"/>
  <c r="C1514" i="44"/>
  <c r="B1514" i="44"/>
  <c r="C1513" i="44"/>
  <c r="B1513" i="44"/>
  <c r="C1512" i="44"/>
  <c r="B1512" i="44"/>
  <c r="C1511" i="44"/>
  <c r="B1511" i="44"/>
  <c r="C1510" i="44"/>
  <c r="B1510" i="44"/>
  <c r="C1509" i="44"/>
  <c r="B1509" i="44"/>
  <c r="C1508" i="44"/>
  <c r="B1508" i="44"/>
  <c r="C1507" i="44"/>
  <c r="B1507" i="44"/>
  <c r="C1506" i="44"/>
  <c r="B1506" i="44"/>
  <c r="C1505" i="44"/>
  <c r="B1505" i="44"/>
  <c r="C1504" i="44"/>
  <c r="B1504" i="44"/>
  <c r="C1503" i="44"/>
  <c r="B1503" i="44"/>
  <c r="C1502" i="44"/>
  <c r="B1502" i="44"/>
  <c r="C1501" i="44"/>
  <c r="B1501" i="44"/>
  <c r="C1500" i="44"/>
  <c r="B1500" i="44"/>
  <c r="C1499" i="44"/>
  <c r="B1499" i="44"/>
  <c r="C1498" i="44"/>
  <c r="B1498" i="44"/>
  <c r="C1497" i="44"/>
  <c r="B1497" i="44"/>
  <c r="C1496" i="44"/>
  <c r="B1496" i="44"/>
  <c r="C1495" i="44"/>
  <c r="B1495" i="44"/>
  <c r="C1494" i="44"/>
  <c r="B1494" i="44"/>
  <c r="C1493" i="44"/>
  <c r="B1493" i="44"/>
  <c r="C1492" i="44"/>
  <c r="B1492" i="44"/>
  <c r="C1491" i="44"/>
  <c r="B1491" i="44"/>
  <c r="C1490" i="44"/>
  <c r="B1490" i="44"/>
  <c r="C1489" i="44"/>
  <c r="B1489" i="44"/>
  <c r="C1488" i="44"/>
  <c r="B1488" i="44"/>
  <c r="C1487" i="44"/>
  <c r="B1487" i="44"/>
  <c r="C1486" i="44"/>
  <c r="B1486" i="44"/>
  <c r="C1485" i="44"/>
  <c r="B1485" i="44"/>
  <c r="C1484" i="44"/>
  <c r="B1484" i="44"/>
  <c r="C1483" i="44"/>
  <c r="B1483" i="44"/>
  <c r="C1482" i="44"/>
  <c r="B1482" i="44"/>
  <c r="C1481" i="44"/>
  <c r="B1481" i="44"/>
  <c r="C1480" i="44"/>
  <c r="B1480" i="44"/>
  <c r="C1479" i="44"/>
  <c r="B1479" i="44"/>
  <c r="C1478" i="44"/>
  <c r="B1478" i="44"/>
  <c r="C1477" i="44"/>
  <c r="B1477" i="44"/>
  <c r="D1463" i="44"/>
  <c r="C1463" i="44"/>
  <c r="B1463" i="44"/>
  <c r="D1462" i="44"/>
  <c r="C1462" i="44"/>
  <c r="B1462" i="44"/>
  <c r="D1461" i="44"/>
  <c r="C1461" i="44"/>
  <c r="B1461" i="44"/>
  <c r="D1460" i="44"/>
  <c r="C1460" i="44"/>
  <c r="B1460" i="44"/>
  <c r="D1459" i="44"/>
  <c r="C1459" i="44"/>
  <c r="B1459" i="44"/>
  <c r="D1458" i="44"/>
  <c r="C1458" i="44"/>
  <c r="B1458" i="44"/>
  <c r="D1457" i="44"/>
  <c r="C1457" i="44"/>
  <c r="B1457" i="44"/>
  <c r="D1456" i="44"/>
  <c r="C1456" i="44"/>
  <c r="B1456" i="44"/>
  <c r="D1455" i="44"/>
  <c r="C1455" i="44"/>
  <c r="B1455" i="44"/>
  <c r="D1454" i="44"/>
  <c r="C1454" i="44"/>
  <c r="B1454" i="44"/>
  <c r="D1453" i="44"/>
  <c r="C1453" i="44"/>
  <c r="B1453" i="44"/>
  <c r="D1452" i="44"/>
  <c r="C1452" i="44"/>
  <c r="B1452" i="44"/>
  <c r="D1451" i="44"/>
  <c r="C1451" i="44"/>
  <c r="B1451" i="44"/>
  <c r="D1450" i="44"/>
  <c r="C1450" i="44"/>
  <c r="B1450" i="44"/>
  <c r="D1449" i="44"/>
  <c r="C1449" i="44"/>
  <c r="B1449" i="44"/>
  <c r="D1448" i="44"/>
  <c r="C1448" i="44"/>
  <c r="B1448" i="44"/>
  <c r="D1447" i="44"/>
  <c r="C1447" i="44"/>
  <c r="B1447" i="44"/>
  <c r="D1446" i="44"/>
  <c r="C1446" i="44"/>
  <c r="B1446" i="44"/>
  <c r="D1445" i="44"/>
  <c r="C1445" i="44"/>
  <c r="B1445" i="44"/>
  <c r="D1444" i="44"/>
  <c r="C1444" i="44"/>
  <c r="B1444" i="44"/>
  <c r="D1443" i="44"/>
  <c r="C1443" i="44"/>
  <c r="B1443" i="44"/>
  <c r="D1442" i="44"/>
  <c r="C1442" i="44"/>
  <c r="B1442" i="44"/>
  <c r="D1441" i="44"/>
  <c r="C1441" i="44"/>
  <c r="B1441" i="44"/>
  <c r="D1440" i="44"/>
  <c r="C1440" i="44"/>
  <c r="B1440" i="44"/>
  <c r="D1439" i="44"/>
  <c r="C1439" i="44"/>
  <c r="B1439" i="44"/>
  <c r="D1438" i="44"/>
  <c r="C1438" i="44"/>
  <c r="B1438" i="44"/>
  <c r="D1437" i="44"/>
  <c r="C1437" i="44"/>
  <c r="B1437" i="44"/>
  <c r="D1436" i="44"/>
  <c r="C1436" i="44"/>
  <c r="B1436" i="44"/>
  <c r="D1435" i="44"/>
  <c r="C1435" i="44"/>
  <c r="B1435" i="44"/>
  <c r="D1434" i="44"/>
  <c r="C1434" i="44"/>
  <c r="B1434" i="44"/>
  <c r="D1433" i="44"/>
  <c r="C1433" i="44"/>
  <c r="B1433" i="44"/>
  <c r="D1432" i="44"/>
  <c r="C1432" i="44"/>
  <c r="B1432" i="44"/>
  <c r="D1431" i="44"/>
  <c r="C1431" i="44"/>
  <c r="B1431" i="44"/>
  <c r="D1430" i="44"/>
  <c r="C1430" i="44"/>
  <c r="B1430" i="44"/>
  <c r="D1429" i="44"/>
  <c r="C1429" i="44"/>
  <c r="B1429" i="44"/>
  <c r="D1428" i="44"/>
  <c r="C1428" i="44"/>
  <c r="B1428" i="44"/>
  <c r="D1427" i="44"/>
  <c r="C1427" i="44"/>
  <c r="B1427" i="44"/>
  <c r="D1426" i="44"/>
  <c r="C1426" i="44"/>
  <c r="B1426" i="44"/>
  <c r="D1425" i="44"/>
  <c r="C1425" i="44"/>
  <c r="B1425" i="44"/>
  <c r="D1424" i="44"/>
  <c r="C1424" i="44"/>
  <c r="B1424" i="44"/>
  <c r="D1423" i="44"/>
  <c r="C1423" i="44"/>
  <c r="B1423" i="44"/>
  <c r="D1422" i="44"/>
  <c r="C1422" i="44"/>
  <c r="B1422" i="44"/>
  <c r="D1421" i="44"/>
  <c r="C1421" i="44"/>
  <c r="B1421" i="44"/>
  <c r="D1420" i="44"/>
  <c r="C1420" i="44"/>
  <c r="B1420" i="44"/>
  <c r="D1419" i="44"/>
  <c r="C1419" i="44"/>
  <c r="B1419" i="44"/>
  <c r="D1418" i="44"/>
  <c r="C1418" i="44"/>
  <c r="B1418" i="44"/>
  <c r="D1417" i="44"/>
  <c r="C1417" i="44"/>
  <c r="B1417" i="44"/>
  <c r="D1416" i="44"/>
  <c r="C1416" i="44"/>
  <c r="B1416" i="44"/>
  <c r="D1415" i="44"/>
  <c r="C1415" i="44"/>
  <c r="B1415" i="44"/>
  <c r="D1414" i="44"/>
  <c r="C1414" i="44"/>
  <c r="B1414" i="44"/>
  <c r="D1413" i="44"/>
  <c r="C1413" i="44"/>
  <c r="B1413" i="44"/>
  <c r="D1412" i="44"/>
  <c r="C1412" i="44"/>
  <c r="B1412" i="44"/>
  <c r="D1411" i="44"/>
  <c r="C1411" i="44"/>
  <c r="B1411" i="44"/>
  <c r="D1410" i="44"/>
  <c r="C1410" i="44"/>
  <c r="B1410" i="44"/>
  <c r="D1409" i="44"/>
  <c r="C1409" i="44"/>
  <c r="B1409" i="44"/>
  <c r="D1408" i="44"/>
  <c r="C1408" i="44"/>
  <c r="B1408" i="44"/>
  <c r="D1407" i="44"/>
  <c r="C1407" i="44"/>
  <c r="B1407" i="44"/>
  <c r="D1406" i="44"/>
  <c r="C1406" i="44"/>
  <c r="B1406" i="44"/>
  <c r="D1405" i="44"/>
  <c r="C1405" i="44"/>
  <c r="B1405" i="44"/>
  <c r="D1404" i="44"/>
  <c r="C1404" i="44"/>
  <c r="B1404" i="44"/>
  <c r="D1403" i="44"/>
  <c r="C1403" i="44"/>
  <c r="B1403" i="44"/>
  <c r="D1402" i="44"/>
  <c r="C1402" i="44"/>
  <c r="B1402" i="44"/>
  <c r="D1401" i="44"/>
  <c r="C1401" i="44"/>
  <c r="B1401" i="44"/>
  <c r="D1400" i="44"/>
  <c r="C1400" i="44"/>
  <c r="B1400" i="44"/>
  <c r="D1399" i="44"/>
  <c r="C1399" i="44"/>
  <c r="B1399" i="44"/>
  <c r="D1398" i="44"/>
  <c r="C1398" i="44"/>
  <c r="B1398" i="44"/>
  <c r="D1397" i="44"/>
  <c r="C1397" i="44"/>
  <c r="B1397" i="44"/>
  <c r="D1396" i="44"/>
  <c r="C1396" i="44"/>
  <c r="B1396" i="44"/>
  <c r="D1395" i="44"/>
  <c r="C1395" i="44"/>
  <c r="B1395" i="44"/>
  <c r="D1394" i="44"/>
  <c r="C1394" i="44"/>
  <c r="B1394" i="44"/>
  <c r="D1393" i="44"/>
  <c r="C1393" i="44"/>
  <c r="B1393" i="44"/>
  <c r="D1392" i="44"/>
  <c r="C1392" i="44"/>
  <c r="B1392" i="44"/>
  <c r="D1391" i="44"/>
  <c r="C1391" i="44"/>
  <c r="B1391" i="44"/>
  <c r="D1390" i="44"/>
  <c r="C1390" i="44"/>
  <c r="B1390" i="44"/>
  <c r="D1389" i="44"/>
  <c r="C1389" i="44"/>
  <c r="B1389" i="44"/>
  <c r="D1388" i="44"/>
  <c r="C1388" i="44"/>
  <c r="B1388" i="44"/>
  <c r="D1387" i="44"/>
  <c r="C1387" i="44"/>
  <c r="B1387" i="44"/>
  <c r="D1386" i="44"/>
  <c r="C1386" i="44"/>
  <c r="B1386" i="44"/>
  <c r="D1385" i="44"/>
  <c r="C1385" i="44"/>
  <c r="B1385" i="44"/>
  <c r="D1384" i="44"/>
  <c r="C1384" i="44"/>
  <c r="B1384" i="44"/>
  <c r="D1383" i="44"/>
  <c r="C1383" i="44"/>
  <c r="B1383" i="44"/>
  <c r="D1382" i="44"/>
  <c r="C1382" i="44"/>
  <c r="B1382" i="44"/>
  <c r="D1381" i="44"/>
  <c r="C1381" i="44"/>
  <c r="B1381" i="44"/>
  <c r="D1380" i="44"/>
  <c r="C1380" i="44"/>
  <c r="B1380" i="44"/>
  <c r="D1379" i="44"/>
  <c r="C1379" i="44"/>
  <c r="B1379" i="44"/>
  <c r="D1378" i="44"/>
  <c r="C1378" i="44"/>
  <c r="B1378" i="44"/>
  <c r="D1377" i="44"/>
  <c r="C1377" i="44"/>
  <c r="B1377" i="44"/>
  <c r="D1376" i="44"/>
  <c r="C1376" i="44"/>
  <c r="B1376" i="44"/>
  <c r="D1375" i="44"/>
  <c r="C1375" i="44"/>
  <c r="B1375" i="44"/>
  <c r="D1374" i="44"/>
  <c r="C1374" i="44"/>
  <c r="B1374" i="44"/>
  <c r="D1373" i="44"/>
  <c r="C1373" i="44"/>
  <c r="B1373" i="44"/>
  <c r="D1372" i="44"/>
  <c r="C1372" i="44"/>
  <c r="B1372" i="44"/>
  <c r="D1371" i="44"/>
  <c r="C1371" i="44"/>
  <c r="B1371" i="44"/>
  <c r="D1370" i="44"/>
  <c r="C1370" i="44"/>
  <c r="B1370" i="44"/>
  <c r="D1369" i="44"/>
  <c r="C1369" i="44"/>
  <c r="B1369" i="44"/>
  <c r="D1368" i="44"/>
  <c r="C1368" i="44"/>
  <c r="B1368" i="44"/>
  <c r="D1367" i="44"/>
  <c r="C1367" i="44"/>
  <c r="B1367" i="44"/>
  <c r="D1366" i="44"/>
  <c r="C1366" i="44"/>
  <c r="B1366" i="44"/>
  <c r="D1365" i="44"/>
  <c r="C1365" i="44"/>
  <c r="B1365" i="44"/>
  <c r="D1364" i="44"/>
  <c r="C1364" i="44"/>
  <c r="B1364" i="44"/>
  <c r="D1363" i="44"/>
  <c r="C1363" i="44"/>
  <c r="B1363" i="44"/>
  <c r="D1362" i="44"/>
  <c r="C1362" i="44"/>
  <c r="B1362" i="44"/>
  <c r="D1361" i="44"/>
  <c r="C1361" i="44"/>
  <c r="B1361" i="44"/>
  <c r="D1360" i="44"/>
  <c r="C1360" i="44"/>
  <c r="B1360" i="44"/>
  <c r="D1359" i="44"/>
  <c r="C1359" i="44"/>
  <c r="B1359" i="44"/>
  <c r="D1358" i="44"/>
  <c r="C1358" i="44"/>
  <c r="B1358" i="44"/>
  <c r="D1357" i="44"/>
  <c r="C1357" i="44"/>
  <c r="B1357" i="44"/>
  <c r="D1356" i="44"/>
  <c r="C1356" i="44"/>
  <c r="B1356" i="44"/>
  <c r="D1355" i="44"/>
  <c r="C1355" i="44"/>
  <c r="B1355" i="44"/>
  <c r="D1354" i="44"/>
  <c r="C1354" i="44"/>
  <c r="B1354" i="44"/>
  <c r="D1353" i="44"/>
  <c r="C1353" i="44"/>
  <c r="B1353" i="44"/>
  <c r="D1352" i="44"/>
  <c r="C1352" i="44"/>
  <c r="B1352" i="44"/>
  <c r="D1351" i="44"/>
  <c r="C1351" i="44"/>
  <c r="B1351" i="44"/>
  <c r="D1350" i="44"/>
  <c r="C1350" i="44"/>
  <c r="B1350" i="44"/>
  <c r="D1349" i="44"/>
  <c r="C1349" i="44"/>
  <c r="B1349" i="44"/>
  <c r="D1348" i="44"/>
  <c r="C1348" i="44"/>
  <c r="B1348" i="44"/>
  <c r="D1347" i="44"/>
  <c r="C1347" i="44"/>
  <c r="B1347" i="44"/>
  <c r="D1346" i="44"/>
  <c r="C1346" i="44"/>
  <c r="B1346" i="44"/>
  <c r="D1345" i="44"/>
  <c r="C1345" i="44"/>
  <c r="B1345" i="44"/>
  <c r="D1344" i="44"/>
  <c r="C1344" i="44"/>
  <c r="B1344" i="44"/>
  <c r="D1343" i="44"/>
  <c r="C1343" i="44"/>
  <c r="B1343" i="44"/>
  <c r="D1342" i="44"/>
  <c r="C1342" i="44"/>
  <c r="B1342" i="44"/>
  <c r="D1341" i="44"/>
  <c r="C1341" i="44"/>
  <c r="B1341" i="44"/>
  <c r="D1340" i="44"/>
  <c r="C1340" i="44"/>
  <c r="B1340" i="44"/>
  <c r="D1339" i="44"/>
  <c r="C1339" i="44"/>
  <c r="B1339" i="44"/>
  <c r="D1338" i="44"/>
  <c r="C1338" i="44"/>
  <c r="B1338" i="44"/>
  <c r="D1337" i="44"/>
  <c r="C1337" i="44"/>
  <c r="B1337" i="44"/>
  <c r="D1336" i="44"/>
  <c r="C1336" i="44"/>
  <c r="B1336" i="44"/>
  <c r="D1335" i="44"/>
  <c r="C1335" i="44"/>
  <c r="B1335" i="44"/>
  <c r="D1334" i="44"/>
  <c r="C1334" i="44"/>
  <c r="B1334" i="44"/>
  <c r="D1333" i="44"/>
  <c r="C1333" i="44"/>
  <c r="B1333" i="44"/>
  <c r="D1332" i="44"/>
  <c r="C1332" i="44"/>
  <c r="B1332" i="44"/>
  <c r="D1331" i="44"/>
  <c r="C1331" i="44"/>
  <c r="B1331" i="44"/>
  <c r="D1330" i="44"/>
  <c r="C1330" i="44"/>
  <c r="B1330" i="44"/>
  <c r="D1329" i="44"/>
  <c r="C1329" i="44"/>
  <c r="B1329" i="44"/>
  <c r="D1328" i="44"/>
  <c r="C1328" i="44"/>
  <c r="B1328" i="44"/>
  <c r="D1327" i="44"/>
  <c r="C1327" i="44"/>
  <c r="B1327" i="44"/>
  <c r="D1326" i="44"/>
  <c r="C1326" i="44"/>
  <c r="B1326" i="44"/>
  <c r="D1325" i="44"/>
  <c r="C1325" i="44"/>
  <c r="B1325" i="44"/>
  <c r="D1324" i="44"/>
  <c r="C1324" i="44"/>
  <c r="B1324" i="44"/>
  <c r="D1323" i="44"/>
  <c r="C1323" i="44"/>
  <c r="B1323" i="44"/>
  <c r="D1322" i="44"/>
  <c r="C1322" i="44"/>
  <c r="B1322" i="44"/>
  <c r="D1321" i="44"/>
  <c r="C1321" i="44"/>
  <c r="B1321" i="44"/>
  <c r="D1320" i="44"/>
  <c r="C1320" i="44"/>
  <c r="B1320" i="44"/>
  <c r="D1319" i="44"/>
  <c r="C1319" i="44"/>
  <c r="B1319" i="44"/>
  <c r="D1318" i="44"/>
  <c r="C1318" i="44"/>
  <c r="B1318" i="44"/>
  <c r="D1317" i="44"/>
  <c r="C1317" i="44"/>
  <c r="B1317" i="44"/>
  <c r="D1316" i="44"/>
  <c r="C1316" i="44"/>
  <c r="B1316" i="44"/>
  <c r="D1315" i="44"/>
  <c r="C1315" i="44"/>
  <c r="B1315" i="44"/>
  <c r="D1314" i="44"/>
  <c r="C1314" i="44"/>
  <c r="B1314" i="44"/>
  <c r="D1313" i="44"/>
  <c r="C1313" i="44"/>
  <c r="B1313" i="44"/>
  <c r="D1312" i="44"/>
  <c r="C1312" i="44"/>
  <c r="B1312" i="44"/>
  <c r="D1311" i="44"/>
  <c r="C1311" i="44"/>
  <c r="B1311" i="44"/>
  <c r="D1310" i="44"/>
  <c r="C1310" i="44"/>
  <c r="B1310" i="44"/>
  <c r="D1309" i="44"/>
  <c r="C1309" i="44"/>
  <c r="B1309" i="44"/>
  <c r="D1308" i="44"/>
  <c r="C1308" i="44"/>
  <c r="B1308" i="44"/>
  <c r="D1307" i="44"/>
  <c r="C1307" i="44"/>
  <c r="B1307" i="44"/>
  <c r="D1306" i="44"/>
  <c r="C1306" i="44"/>
  <c r="B1306" i="44"/>
  <c r="D1305" i="44"/>
  <c r="C1305" i="44"/>
  <c r="B1305" i="44"/>
  <c r="D1304" i="44"/>
  <c r="C1304" i="44"/>
  <c r="B1304" i="44"/>
  <c r="D1303" i="44"/>
  <c r="C1303" i="44"/>
  <c r="B1303" i="44"/>
  <c r="D1302" i="44"/>
  <c r="C1302" i="44"/>
  <c r="B1302" i="44"/>
  <c r="D1301" i="44"/>
  <c r="C1301" i="44"/>
  <c r="B1301" i="44"/>
  <c r="D1300" i="44"/>
  <c r="C1300" i="44"/>
  <c r="B1300" i="44"/>
  <c r="D1299" i="44"/>
  <c r="C1299" i="44"/>
  <c r="B1299" i="44"/>
  <c r="D1298" i="44"/>
  <c r="C1298" i="44"/>
  <c r="B1298" i="44"/>
  <c r="D1297" i="44"/>
  <c r="C1297" i="44"/>
  <c r="B1297" i="44"/>
  <c r="D1296" i="44"/>
  <c r="C1296" i="44"/>
  <c r="B1296" i="44"/>
  <c r="D1295" i="44"/>
  <c r="C1295" i="44"/>
  <c r="B1295" i="44"/>
  <c r="D1294" i="44"/>
  <c r="C1294" i="44"/>
  <c r="B1294" i="44"/>
  <c r="D1293" i="44"/>
  <c r="C1293" i="44"/>
  <c r="B1293" i="44"/>
  <c r="D1292" i="44"/>
  <c r="C1292" i="44"/>
  <c r="B1292" i="44"/>
  <c r="D1291" i="44"/>
  <c r="C1291" i="44"/>
  <c r="B1291" i="44"/>
  <c r="D1290" i="44"/>
  <c r="C1290" i="44"/>
  <c r="B1290" i="44"/>
  <c r="D1289" i="44"/>
  <c r="C1289" i="44"/>
  <c r="B1289" i="44"/>
  <c r="D1288" i="44"/>
  <c r="C1288" i="44"/>
  <c r="B1288" i="44"/>
  <c r="D1287" i="44"/>
  <c r="C1287" i="44"/>
  <c r="B1287" i="44"/>
  <c r="D1286" i="44"/>
  <c r="C1286" i="44"/>
  <c r="B1286" i="44"/>
  <c r="D1285" i="44"/>
  <c r="C1285" i="44"/>
  <c r="B1285" i="44"/>
  <c r="D1284" i="44"/>
  <c r="C1284" i="44"/>
  <c r="B1284" i="44"/>
  <c r="D1283" i="44"/>
  <c r="C1283" i="44"/>
  <c r="B1283" i="44"/>
  <c r="D1282" i="44"/>
  <c r="C1282" i="44"/>
  <c r="B1282" i="44"/>
  <c r="D1281" i="44"/>
  <c r="C1281" i="44"/>
  <c r="B1281" i="44"/>
  <c r="D1280" i="44"/>
  <c r="C1280" i="44"/>
  <c r="B1280" i="44"/>
  <c r="D1279" i="44"/>
  <c r="C1279" i="44"/>
  <c r="B1279" i="44"/>
  <c r="D1278" i="44"/>
  <c r="C1278" i="44"/>
  <c r="B1278" i="44"/>
  <c r="D1277" i="44"/>
  <c r="C1277" i="44"/>
  <c r="B1277" i="44"/>
  <c r="D1276" i="44"/>
  <c r="C1276" i="44"/>
  <c r="B1276" i="44"/>
  <c r="D1275" i="44"/>
  <c r="C1275" i="44"/>
  <c r="B1275" i="44"/>
  <c r="D1274" i="44"/>
  <c r="C1274" i="44"/>
  <c r="B1274" i="44"/>
  <c r="D1273" i="44"/>
  <c r="C1273" i="44"/>
  <c r="B1273" i="44"/>
  <c r="D1272" i="44"/>
  <c r="C1272" i="44"/>
  <c r="B1272" i="44"/>
  <c r="D1271" i="44"/>
  <c r="C1271" i="44"/>
  <c r="B1271" i="44"/>
  <c r="D1270" i="44"/>
  <c r="C1270" i="44"/>
  <c r="B1270" i="44"/>
  <c r="D1269" i="44"/>
  <c r="C1269" i="44"/>
  <c r="B1269" i="44"/>
  <c r="D1268" i="44"/>
  <c r="C1268" i="44"/>
  <c r="B1268" i="44"/>
  <c r="D1267" i="44"/>
  <c r="C1267" i="44"/>
  <c r="B1267" i="44"/>
  <c r="D1266" i="44"/>
  <c r="C1266" i="44"/>
  <c r="B1266" i="44"/>
  <c r="D1265" i="44"/>
  <c r="C1265" i="44"/>
  <c r="B1265" i="44"/>
  <c r="D1264" i="44"/>
  <c r="C1264" i="44"/>
  <c r="B1264" i="44"/>
  <c r="D1263" i="44"/>
  <c r="C1263" i="44"/>
  <c r="B1263" i="44"/>
  <c r="D1262" i="44"/>
  <c r="C1262" i="44"/>
  <c r="B1262" i="44"/>
  <c r="D1261" i="44"/>
  <c r="C1261" i="44"/>
  <c r="B1261" i="44"/>
  <c r="D1260" i="44"/>
  <c r="C1260" i="44"/>
  <c r="B1260" i="44"/>
  <c r="D1259" i="44"/>
  <c r="C1259" i="44"/>
  <c r="B1259" i="44"/>
  <c r="D1258" i="44"/>
  <c r="C1258" i="44"/>
  <c r="B1258" i="44"/>
  <c r="D1257" i="44"/>
  <c r="C1257" i="44"/>
  <c r="B1257" i="44"/>
  <c r="D1256" i="44"/>
  <c r="C1256" i="44"/>
  <c r="B1256" i="44"/>
  <c r="D1255" i="44"/>
  <c r="C1255" i="44"/>
  <c r="B1255" i="44"/>
  <c r="D1254" i="44"/>
  <c r="C1254" i="44"/>
  <c r="B1254" i="44"/>
  <c r="D1253" i="44"/>
  <c r="C1253" i="44"/>
  <c r="B1253" i="44"/>
  <c r="D1252" i="44"/>
  <c r="C1252" i="44"/>
  <c r="B1252" i="44"/>
  <c r="D1251" i="44"/>
  <c r="C1251" i="44"/>
  <c r="B1251" i="44"/>
  <c r="D1250" i="44"/>
  <c r="C1250" i="44"/>
  <c r="B1250" i="44"/>
  <c r="D1249" i="44"/>
  <c r="C1249" i="44"/>
  <c r="B1249" i="44"/>
  <c r="D1248" i="44"/>
  <c r="C1248" i="44"/>
  <c r="B1248" i="44"/>
  <c r="D1247" i="44"/>
  <c r="C1247" i="44"/>
  <c r="B1247" i="44"/>
  <c r="D1246" i="44"/>
  <c r="C1246" i="44"/>
  <c r="B1246" i="44"/>
  <c r="D1245" i="44"/>
  <c r="C1245" i="44"/>
  <c r="B1245" i="44"/>
  <c r="D1244" i="44"/>
  <c r="C1244" i="44"/>
  <c r="B1244" i="44"/>
  <c r="D1243" i="44"/>
  <c r="C1243" i="44"/>
  <c r="B1243" i="44"/>
  <c r="D1242" i="44"/>
  <c r="C1242" i="44"/>
  <c r="B1242" i="44"/>
  <c r="D1241" i="44"/>
  <c r="C1241" i="44"/>
  <c r="B1241" i="44"/>
  <c r="D1240" i="44"/>
  <c r="C1240" i="44"/>
  <c r="B1240" i="44"/>
  <c r="D1239" i="44"/>
  <c r="C1239" i="44"/>
  <c r="B1239" i="44"/>
  <c r="D1238" i="44"/>
  <c r="C1238" i="44"/>
  <c r="B1238" i="44"/>
  <c r="D1237" i="44"/>
  <c r="C1237" i="44"/>
  <c r="B1237" i="44"/>
  <c r="D1236" i="44"/>
  <c r="C1236" i="44"/>
  <c r="B1236" i="44"/>
  <c r="D1235" i="44"/>
  <c r="C1235" i="44"/>
  <c r="B1235" i="44"/>
  <c r="D1234" i="44"/>
  <c r="C1234" i="44"/>
  <c r="B1234" i="44"/>
  <c r="D1233" i="44"/>
  <c r="C1233" i="44"/>
  <c r="B1233" i="44"/>
  <c r="D1232" i="44"/>
  <c r="C1232" i="44"/>
  <c r="B1232" i="44"/>
  <c r="D1231" i="44"/>
  <c r="C1231" i="44"/>
  <c r="B1231" i="44"/>
  <c r="D1230" i="44"/>
  <c r="C1230" i="44"/>
  <c r="B1230" i="44"/>
  <c r="D1229" i="44"/>
  <c r="C1229" i="44"/>
  <c r="B1229" i="44"/>
  <c r="D1228" i="44"/>
  <c r="C1228" i="44"/>
  <c r="B1228" i="44"/>
  <c r="D1227" i="44"/>
  <c r="C1227" i="44"/>
  <c r="B1227" i="44"/>
  <c r="D1226" i="44"/>
  <c r="C1226" i="44"/>
  <c r="B1226" i="44"/>
  <c r="D1225" i="44"/>
  <c r="C1225" i="44"/>
  <c r="B1225" i="44"/>
  <c r="D1224" i="44"/>
  <c r="C1224" i="44"/>
  <c r="B1224" i="44"/>
  <c r="D1223" i="44"/>
  <c r="C1223" i="44"/>
  <c r="B1223" i="44"/>
  <c r="D1222" i="44"/>
  <c r="C1222" i="44"/>
  <c r="B1222" i="44"/>
  <c r="D1221" i="44"/>
  <c r="C1221" i="44"/>
  <c r="B1221" i="44"/>
  <c r="D1220" i="44"/>
  <c r="C1220" i="44"/>
  <c r="B1220" i="44"/>
  <c r="D1219" i="44"/>
  <c r="C1219" i="44"/>
  <c r="B1219" i="44"/>
  <c r="D1218" i="44"/>
  <c r="C1218" i="44"/>
  <c r="B1218" i="44"/>
  <c r="D1217" i="44"/>
  <c r="C1217" i="44"/>
  <c r="B1217" i="44"/>
  <c r="D1216" i="44"/>
  <c r="C1216" i="44"/>
  <c r="B1216" i="44"/>
  <c r="D1215" i="44"/>
  <c r="C1215" i="44"/>
  <c r="B1215" i="44"/>
  <c r="D1214" i="44"/>
  <c r="C1214" i="44"/>
  <c r="B1214" i="44"/>
  <c r="D1213" i="44"/>
  <c r="C1213" i="44"/>
  <c r="B1213" i="44"/>
  <c r="D1212" i="44"/>
  <c r="C1212" i="44"/>
  <c r="B1212" i="44"/>
  <c r="D1211" i="44"/>
  <c r="C1211" i="44"/>
  <c r="B1211" i="44"/>
  <c r="D1210" i="44"/>
  <c r="C1210" i="44"/>
  <c r="B1210" i="44"/>
  <c r="D1209" i="44"/>
  <c r="C1209" i="44"/>
  <c r="B1209" i="44"/>
  <c r="D1208" i="44"/>
  <c r="C1208" i="44"/>
  <c r="B1208" i="44"/>
  <c r="D1207" i="44"/>
  <c r="C1207" i="44"/>
  <c r="B1207" i="44"/>
  <c r="D1206" i="44"/>
  <c r="C1206" i="44"/>
  <c r="B1206" i="44"/>
  <c r="D1205" i="44"/>
  <c r="C1205" i="44"/>
  <c r="B1205" i="44"/>
  <c r="D1204" i="44"/>
  <c r="C1204" i="44"/>
  <c r="B1204" i="44"/>
  <c r="D1203" i="44"/>
  <c r="C1203" i="44"/>
  <c r="B1203" i="44"/>
  <c r="D1202" i="44"/>
  <c r="C1202" i="44"/>
  <c r="B1202" i="44"/>
  <c r="D1201" i="44"/>
  <c r="C1201" i="44"/>
  <c r="B1201" i="44"/>
  <c r="D1200" i="44"/>
  <c r="C1200" i="44"/>
  <c r="B1200" i="44"/>
  <c r="D1199" i="44"/>
  <c r="C1199" i="44"/>
  <c r="B1199" i="44"/>
  <c r="D1198" i="44"/>
  <c r="C1198" i="44"/>
  <c r="B1198" i="44"/>
  <c r="D1197" i="44"/>
  <c r="C1197" i="44"/>
  <c r="B1197" i="44"/>
  <c r="D1196" i="44"/>
  <c r="C1196" i="44"/>
  <c r="B1196" i="44"/>
  <c r="D1195" i="44"/>
  <c r="C1195" i="44"/>
  <c r="B1195" i="44"/>
  <c r="D1194" i="44"/>
  <c r="C1194" i="44"/>
  <c r="B1194" i="44"/>
  <c r="D1193" i="44"/>
  <c r="C1193" i="44"/>
  <c r="B1193" i="44"/>
  <c r="D1192" i="44"/>
  <c r="C1192" i="44"/>
  <c r="B1192" i="44"/>
  <c r="D1191" i="44"/>
  <c r="C1191" i="44"/>
  <c r="B1191" i="44"/>
  <c r="D1190" i="44"/>
  <c r="C1190" i="44"/>
  <c r="B1190" i="44"/>
  <c r="D1189" i="44"/>
  <c r="C1189" i="44"/>
  <c r="B1189" i="44"/>
  <c r="D1188" i="44"/>
  <c r="C1188" i="44"/>
  <c r="B1188" i="44"/>
  <c r="D1187" i="44"/>
  <c r="C1187" i="44"/>
  <c r="B1187" i="44"/>
  <c r="D1186" i="44"/>
  <c r="C1186" i="44"/>
  <c r="B1186" i="44"/>
  <c r="D1185" i="44"/>
  <c r="C1185" i="44"/>
  <c r="B1185" i="44"/>
  <c r="D1184" i="44"/>
  <c r="C1184" i="44"/>
  <c r="B1184" i="44"/>
  <c r="D1183" i="44"/>
  <c r="C1183" i="44"/>
  <c r="B1183" i="44"/>
  <c r="D1182" i="44"/>
  <c r="C1182" i="44"/>
  <c r="B1182" i="44"/>
  <c r="D1181" i="44"/>
  <c r="C1181" i="44"/>
  <c r="B1181" i="44"/>
  <c r="D1180" i="44"/>
  <c r="C1180" i="44"/>
  <c r="B1180" i="44"/>
  <c r="D1179" i="44"/>
  <c r="C1179" i="44"/>
  <c r="B1179" i="44"/>
  <c r="D1178" i="44"/>
  <c r="C1178" i="44"/>
  <c r="B1178" i="44"/>
  <c r="D1177" i="44"/>
  <c r="C1177" i="44"/>
  <c r="B1177" i="44"/>
  <c r="D1176" i="44"/>
  <c r="C1176" i="44"/>
  <c r="B1176" i="44"/>
  <c r="D1175" i="44"/>
  <c r="C1175" i="44"/>
  <c r="B1175" i="44"/>
  <c r="D1174" i="44"/>
  <c r="C1174" i="44"/>
  <c r="B1174" i="44"/>
  <c r="D1173" i="44"/>
  <c r="C1173" i="44"/>
  <c r="B1173" i="44"/>
  <c r="D1172" i="44"/>
  <c r="C1172" i="44"/>
  <c r="B1172" i="44"/>
  <c r="D1171" i="44"/>
  <c r="C1171" i="44"/>
  <c r="B1171" i="44"/>
  <c r="D1170" i="44"/>
  <c r="C1170" i="44"/>
  <c r="B1170" i="44"/>
  <c r="D1169" i="44"/>
  <c r="C1169" i="44"/>
  <c r="B1169" i="44"/>
  <c r="D1168" i="44"/>
  <c r="C1168" i="44"/>
  <c r="B1168" i="44"/>
  <c r="D1167" i="44"/>
  <c r="C1167" i="44"/>
  <c r="B1167" i="44"/>
  <c r="D1166" i="44"/>
  <c r="C1166" i="44"/>
  <c r="B1166" i="44"/>
  <c r="D1165" i="44"/>
  <c r="C1165" i="44"/>
  <c r="B1165" i="44"/>
  <c r="D1164" i="44"/>
  <c r="C1164" i="44"/>
  <c r="B1164" i="44"/>
  <c r="D1163" i="44"/>
  <c r="C1163" i="44"/>
  <c r="B1163" i="44"/>
  <c r="D1162" i="44"/>
  <c r="C1162" i="44"/>
  <c r="B1162" i="44"/>
  <c r="D1161" i="44"/>
  <c r="C1161" i="44"/>
  <c r="B1161" i="44"/>
  <c r="D1160" i="44"/>
  <c r="C1160" i="44"/>
  <c r="B1160" i="44"/>
  <c r="D1159" i="44"/>
  <c r="C1159" i="44"/>
  <c r="B1159" i="44"/>
  <c r="D1158" i="44"/>
  <c r="C1158" i="44"/>
  <c r="B1158" i="44"/>
  <c r="D1157" i="44"/>
  <c r="C1157" i="44"/>
  <c r="B1157" i="44"/>
  <c r="D1156" i="44"/>
  <c r="C1156" i="44"/>
  <c r="B1156" i="44"/>
  <c r="D1155" i="44"/>
  <c r="C1155" i="44"/>
  <c r="B1155" i="44"/>
  <c r="D1154" i="44"/>
  <c r="C1154" i="44"/>
  <c r="B1154" i="44"/>
  <c r="D1153" i="44"/>
  <c r="C1153" i="44"/>
  <c r="B1153" i="44"/>
  <c r="D1152" i="44"/>
  <c r="C1152" i="44"/>
  <c r="B1152" i="44"/>
  <c r="D1151" i="44"/>
  <c r="C1151" i="44"/>
  <c r="B1151" i="44"/>
  <c r="D1150" i="44"/>
  <c r="C1150" i="44"/>
  <c r="B1150" i="44"/>
  <c r="D1149" i="44"/>
  <c r="C1149" i="44"/>
  <c r="B1149" i="44"/>
  <c r="D1148" i="44"/>
  <c r="C1148" i="44"/>
  <c r="B1148" i="44"/>
  <c r="D1147" i="44"/>
  <c r="C1147" i="44"/>
  <c r="B1147" i="44"/>
  <c r="D1146" i="44"/>
  <c r="C1146" i="44"/>
  <c r="B1146" i="44"/>
  <c r="D1145" i="44"/>
  <c r="C1145" i="44"/>
  <c r="B1145" i="44"/>
  <c r="D1144" i="44"/>
  <c r="C1144" i="44"/>
  <c r="B1144" i="44"/>
  <c r="D1143" i="44"/>
  <c r="C1143" i="44"/>
  <c r="B1143" i="44"/>
  <c r="D1142" i="44"/>
  <c r="C1142" i="44"/>
  <c r="B1142" i="44"/>
  <c r="D1141" i="44"/>
  <c r="C1141" i="44"/>
  <c r="B1141" i="44"/>
  <c r="D1140" i="44"/>
  <c r="C1140" i="44"/>
  <c r="B1140" i="44"/>
  <c r="D1139" i="44"/>
  <c r="C1139" i="44"/>
  <c r="B1139" i="44"/>
  <c r="D1138" i="44"/>
  <c r="C1138" i="44"/>
  <c r="B1138" i="44"/>
  <c r="D1137" i="44"/>
  <c r="C1137" i="44"/>
  <c r="B1137" i="44"/>
  <c r="D1136" i="44"/>
  <c r="C1136" i="44"/>
  <c r="B1136" i="44"/>
  <c r="D1135" i="44"/>
  <c r="C1135" i="44"/>
  <c r="B1135" i="44"/>
  <c r="D1134" i="44"/>
  <c r="C1134" i="44"/>
  <c r="B1134" i="44"/>
  <c r="D1133" i="44"/>
  <c r="C1133" i="44"/>
  <c r="B1133" i="44"/>
  <c r="D1132" i="44"/>
  <c r="C1132" i="44"/>
  <c r="B1132" i="44"/>
  <c r="D1131" i="44"/>
  <c r="C1131" i="44"/>
  <c r="B1131" i="44"/>
  <c r="D1130" i="44"/>
  <c r="C1130" i="44"/>
  <c r="B1130" i="44"/>
  <c r="D1129" i="44"/>
  <c r="C1129" i="44"/>
  <c r="B1129" i="44"/>
  <c r="D1128" i="44"/>
  <c r="C1128" i="44"/>
  <c r="B1128" i="44"/>
  <c r="D1127" i="44"/>
  <c r="C1127" i="44"/>
  <c r="B1127" i="44"/>
  <c r="D1126" i="44"/>
  <c r="C1126" i="44"/>
  <c r="B1126" i="44"/>
  <c r="D1125" i="44"/>
  <c r="C1125" i="44"/>
  <c r="B1125" i="44"/>
  <c r="D1124" i="44"/>
  <c r="C1124" i="44"/>
  <c r="B1124" i="44"/>
  <c r="D1123" i="44"/>
  <c r="C1123" i="44"/>
  <c r="B1123" i="44"/>
  <c r="D1122" i="44"/>
  <c r="C1122" i="44"/>
  <c r="B1122" i="44"/>
  <c r="D1121" i="44"/>
  <c r="C1121" i="44"/>
  <c r="B1121" i="44"/>
  <c r="D1120" i="44"/>
  <c r="C1120" i="44"/>
  <c r="B1120" i="44"/>
  <c r="D1119" i="44"/>
  <c r="C1119" i="44"/>
  <c r="B1119" i="44"/>
  <c r="D1118" i="44"/>
  <c r="C1118" i="44"/>
  <c r="B1118" i="44"/>
  <c r="D1117" i="44"/>
  <c r="C1117" i="44"/>
  <c r="B1117" i="44"/>
  <c r="D1116" i="44"/>
  <c r="C1116" i="44"/>
  <c r="B1116" i="44"/>
  <c r="D1115" i="44"/>
  <c r="C1115" i="44"/>
  <c r="B1115" i="44"/>
  <c r="D1114" i="44"/>
  <c r="C1114" i="44"/>
  <c r="B1114" i="44"/>
  <c r="D1113" i="44"/>
  <c r="C1113" i="44"/>
  <c r="B1113" i="44"/>
  <c r="D1112" i="44"/>
  <c r="C1112" i="44"/>
  <c r="B1112" i="44"/>
  <c r="D1111" i="44"/>
  <c r="C1111" i="44"/>
  <c r="B1111" i="44"/>
  <c r="D1110" i="44"/>
  <c r="C1110" i="44"/>
  <c r="B1110" i="44"/>
  <c r="D1109" i="44"/>
  <c r="C1109" i="44"/>
  <c r="B1109" i="44"/>
  <c r="D1108" i="44"/>
  <c r="C1108" i="44"/>
  <c r="B1108" i="44"/>
  <c r="D1107" i="44"/>
  <c r="C1107" i="44"/>
  <c r="B1107" i="44"/>
  <c r="D1106" i="44"/>
  <c r="C1106" i="44"/>
  <c r="B1106" i="44"/>
  <c r="D1105" i="44"/>
  <c r="C1105" i="44"/>
  <c r="B1105" i="44"/>
  <c r="D1104" i="44"/>
  <c r="C1104" i="44"/>
  <c r="B1104" i="44"/>
  <c r="D1103" i="44"/>
  <c r="C1103" i="44"/>
  <c r="B1103" i="44"/>
  <c r="D1102" i="44"/>
  <c r="C1102" i="44"/>
  <c r="B1102" i="44"/>
  <c r="D1101" i="44"/>
  <c r="C1101" i="44"/>
  <c r="B1101" i="44"/>
  <c r="D1100" i="44"/>
  <c r="C1100" i="44"/>
  <c r="B1100" i="44"/>
  <c r="D1099" i="44"/>
  <c r="C1099" i="44"/>
  <c r="B1099" i="44"/>
  <c r="D1098" i="44"/>
  <c r="C1098" i="44"/>
  <c r="B1098" i="44"/>
  <c r="D1097" i="44"/>
  <c r="C1097" i="44"/>
  <c r="B1097" i="44"/>
  <c r="D1096" i="44"/>
  <c r="C1096" i="44"/>
  <c r="B1096" i="44"/>
  <c r="D1095" i="44"/>
  <c r="C1095" i="44"/>
  <c r="B1095" i="44"/>
  <c r="D1094" i="44"/>
  <c r="C1094" i="44"/>
  <c r="B1094" i="44"/>
  <c r="D1093" i="44"/>
  <c r="C1093" i="44"/>
  <c r="B1093" i="44"/>
  <c r="D1092" i="44"/>
  <c r="C1092" i="44"/>
  <c r="B1092" i="44"/>
  <c r="D1091" i="44"/>
  <c r="C1091" i="44"/>
  <c r="B1091" i="44"/>
  <c r="D1090" i="44"/>
  <c r="C1090" i="44"/>
  <c r="B1090" i="44"/>
  <c r="D1089" i="44"/>
  <c r="C1089" i="44"/>
  <c r="B1089" i="44"/>
  <c r="D1088" i="44"/>
  <c r="C1088" i="44"/>
  <c r="B1088" i="44"/>
  <c r="D1087" i="44"/>
  <c r="C1087" i="44"/>
  <c r="B1087" i="44"/>
  <c r="D1086" i="44"/>
  <c r="C1086" i="44"/>
  <c r="B1086" i="44"/>
  <c r="D1085" i="44"/>
  <c r="C1085" i="44"/>
  <c r="B1085" i="44"/>
  <c r="D1084" i="44"/>
  <c r="C1084" i="44"/>
  <c r="B1084" i="44"/>
  <c r="D1083" i="44"/>
  <c r="C1083" i="44"/>
  <c r="B1083" i="44"/>
  <c r="D1082" i="44"/>
  <c r="C1082" i="44"/>
  <c r="B1082" i="44"/>
  <c r="D1081" i="44"/>
  <c r="C1081" i="44"/>
  <c r="B1081" i="44"/>
  <c r="D1080" i="44"/>
  <c r="C1080" i="44"/>
  <c r="B1080" i="44"/>
  <c r="D1079" i="44"/>
  <c r="C1079" i="44"/>
  <c r="B1079" i="44"/>
  <c r="D1078" i="44"/>
  <c r="C1078" i="44"/>
  <c r="B1078" i="44"/>
  <c r="D1077" i="44"/>
  <c r="C1077" i="44"/>
  <c r="B1077" i="44"/>
  <c r="D1076" i="44"/>
  <c r="C1076" i="44"/>
  <c r="B1076" i="44"/>
  <c r="D1075" i="44"/>
  <c r="C1075" i="44"/>
  <c r="B1075" i="44"/>
  <c r="D1074" i="44"/>
  <c r="C1074" i="44"/>
  <c r="B1074" i="44"/>
  <c r="D1073" i="44"/>
  <c r="C1073" i="44"/>
  <c r="B1073" i="44"/>
  <c r="D1072" i="44"/>
  <c r="C1072" i="44"/>
  <c r="B1072" i="44"/>
  <c r="D1071" i="44"/>
  <c r="C1071" i="44"/>
  <c r="B1071" i="44"/>
  <c r="D1070" i="44"/>
  <c r="C1070" i="44"/>
  <c r="B1070" i="44"/>
  <c r="D1069" i="44"/>
  <c r="C1069" i="44"/>
  <c r="B1069" i="44"/>
  <c r="D1068" i="44"/>
  <c r="C1068" i="44"/>
  <c r="B1068" i="44"/>
  <c r="D1067" i="44"/>
  <c r="C1067" i="44"/>
  <c r="B1067" i="44"/>
  <c r="D1066" i="44"/>
  <c r="C1066" i="44"/>
  <c r="B1066" i="44"/>
  <c r="D1065" i="44"/>
  <c r="C1065" i="44"/>
  <c r="B1065" i="44"/>
  <c r="D1064" i="44"/>
  <c r="C1064" i="44"/>
  <c r="B1064" i="44"/>
  <c r="D1063" i="44"/>
  <c r="C1063" i="44"/>
  <c r="B1063" i="44"/>
  <c r="D1062" i="44"/>
  <c r="C1062" i="44"/>
  <c r="B1062" i="44"/>
  <c r="D1061" i="44"/>
  <c r="C1061" i="44"/>
  <c r="B1061" i="44"/>
  <c r="D1060" i="44"/>
  <c r="C1060" i="44"/>
  <c r="B1060" i="44"/>
  <c r="D1059" i="44"/>
  <c r="C1059" i="44"/>
  <c r="B1059" i="44"/>
  <c r="D1058" i="44"/>
  <c r="C1058" i="44"/>
  <c r="B1058" i="44"/>
  <c r="D1057" i="44"/>
  <c r="C1057" i="44"/>
  <c r="B1057" i="44"/>
  <c r="D1056" i="44"/>
  <c r="C1056" i="44"/>
  <c r="B1056" i="44"/>
  <c r="D1055" i="44"/>
  <c r="C1055" i="44"/>
  <c r="B1055" i="44"/>
  <c r="D1054" i="44"/>
  <c r="C1054" i="44"/>
  <c r="B1054" i="44"/>
  <c r="D1053" i="44"/>
  <c r="C1053" i="44"/>
  <c r="B1053" i="44"/>
  <c r="D1052" i="44"/>
  <c r="C1052" i="44"/>
  <c r="B1052" i="44"/>
  <c r="D1051" i="44"/>
  <c r="C1051" i="44"/>
  <c r="B1051" i="44"/>
  <c r="D1050" i="44"/>
  <c r="C1050" i="44"/>
  <c r="B1050" i="44"/>
  <c r="D1049" i="44"/>
  <c r="C1049" i="44"/>
  <c r="B1049" i="44"/>
  <c r="D1048" i="44"/>
  <c r="C1048" i="44"/>
  <c r="B1048" i="44"/>
  <c r="D1047" i="44"/>
  <c r="C1047" i="44"/>
  <c r="B1047" i="44"/>
  <c r="D1046" i="44"/>
  <c r="C1046" i="44"/>
  <c r="B1046" i="44"/>
  <c r="D1045" i="44"/>
  <c r="C1045" i="44"/>
  <c r="B1045" i="44"/>
  <c r="D1044" i="44"/>
  <c r="C1044" i="44"/>
  <c r="B1044" i="44"/>
  <c r="D1043" i="44"/>
  <c r="C1043" i="44"/>
  <c r="B1043" i="44"/>
  <c r="D1042" i="44"/>
  <c r="C1042" i="44"/>
  <c r="B1042" i="44"/>
  <c r="D1041" i="44"/>
  <c r="C1041" i="44"/>
  <c r="B1041" i="44"/>
  <c r="D1040" i="44"/>
  <c r="C1040" i="44"/>
  <c r="B1040" i="44"/>
  <c r="D1039" i="44"/>
  <c r="C1039" i="44"/>
  <c r="B1039" i="44"/>
  <c r="D1038" i="44"/>
  <c r="C1038" i="44"/>
  <c r="B1038" i="44"/>
  <c r="D1037" i="44"/>
  <c r="C1037" i="44"/>
  <c r="B1037" i="44"/>
  <c r="D1036" i="44"/>
  <c r="C1036" i="44"/>
  <c r="B1036" i="44"/>
  <c r="D1035" i="44"/>
  <c r="C1035" i="44"/>
  <c r="B1035" i="44"/>
  <c r="D1034" i="44"/>
  <c r="C1034" i="44"/>
  <c r="B1034" i="44"/>
  <c r="D1033" i="44"/>
  <c r="C1033" i="44"/>
  <c r="B1033" i="44"/>
  <c r="D1032" i="44"/>
  <c r="C1032" i="44"/>
  <c r="B1032" i="44"/>
  <c r="D1031" i="44"/>
  <c r="C1031" i="44"/>
  <c r="B1031" i="44"/>
  <c r="D1030" i="44"/>
  <c r="C1030" i="44"/>
  <c r="B1030" i="44"/>
  <c r="D1029" i="44"/>
  <c r="C1029" i="44"/>
  <c r="B1029" i="44"/>
  <c r="D1028" i="44"/>
  <c r="C1028" i="44"/>
  <c r="B1028" i="44"/>
  <c r="D1027" i="44"/>
  <c r="C1027" i="44"/>
  <c r="B1027" i="44"/>
  <c r="D1026" i="44"/>
  <c r="C1026" i="44"/>
  <c r="B1026" i="44"/>
  <c r="D1025" i="44"/>
  <c r="C1025" i="44"/>
  <c r="B1025" i="44"/>
  <c r="D1024" i="44"/>
  <c r="C1024" i="44"/>
  <c r="B1024" i="44"/>
  <c r="D1023" i="44"/>
  <c r="C1023" i="44"/>
  <c r="B1023" i="44"/>
  <c r="D1022" i="44"/>
  <c r="C1022" i="44"/>
  <c r="B1022" i="44"/>
  <c r="D1021" i="44"/>
  <c r="C1021" i="44"/>
  <c r="B1021" i="44"/>
  <c r="D1020" i="44"/>
  <c r="C1020" i="44"/>
  <c r="B1020" i="44"/>
  <c r="D1019" i="44"/>
  <c r="C1019" i="44"/>
  <c r="B1019" i="44"/>
  <c r="D1018" i="44"/>
  <c r="C1018" i="44"/>
  <c r="B1018" i="44"/>
  <c r="D1017" i="44"/>
  <c r="C1017" i="44"/>
  <c r="B1017" i="44"/>
  <c r="D1016" i="44"/>
  <c r="C1016" i="44"/>
  <c r="B1016" i="44"/>
  <c r="D1015" i="44"/>
  <c r="C1015" i="44"/>
  <c r="B1015" i="44"/>
  <c r="D1014" i="44"/>
  <c r="C1014" i="44"/>
  <c r="B1014" i="44"/>
  <c r="D1013" i="44"/>
  <c r="C1013" i="44"/>
  <c r="B1013" i="44"/>
  <c r="D1012" i="44"/>
  <c r="C1012" i="44"/>
  <c r="B1012" i="44"/>
  <c r="D1011" i="44"/>
  <c r="C1011" i="44"/>
  <c r="B1011" i="44"/>
  <c r="D1010" i="44"/>
  <c r="C1010" i="44"/>
  <c r="B1010" i="44"/>
  <c r="D1009" i="44"/>
  <c r="C1009" i="44"/>
  <c r="B1009" i="44"/>
  <c r="D1008" i="44"/>
  <c r="C1008" i="44"/>
  <c r="B1008" i="44"/>
  <c r="D1007" i="44"/>
  <c r="C1007" i="44"/>
  <c r="B1007" i="44"/>
  <c r="D1006" i="44"/>
  <c r="C1006" i="44"/>
  <c r="B1006" i="44"/>
  <c r="D1005" i="44"/>
  <c r="C1005" i="44"/>
  <c r="B1005" i="44"/>
  <c r="D1004" i="44"/>
  <c r="C1004" i="44"/>
  <c r="B1004" i="44"/>
  <c r="D1003" i="44"/>
  <c r="C1003" i="44"/>
  <c r="B1003" i="44"/>
  <c r="D1002" i="44"/>
  <c r="C1002" i="44"/>
  <c r="B1002" i="44"/>
  <c r="D1001" i="44"/>
  <c r="C1001" i="44"/>
  <c r="B1001" i="44"/>
  <c r="D1000" i="44"/>
  <c r="C1000" i="44"/>
  <c r="B1000" i="44"/>
  <c r="D999" i="44"/>
  <c r="C999" i="44"/>
  <c r="B999" i="44"/>
  <c r="D998" i="44"/>
  <c r="C998" i="44"/>
  <c r="B998" i="44"/>
  <c r="D997" i="44"/>
  <c r="C997" i="44"/>
  <c r="B997" i="44"/>
  <c r="D996" i="44"/>
  <c r="C996" i="44"/>
  <c r="B996" i="44"/>
  <c r="D995" i="44"/>
  <c r="C995" i="44"/>
  <c r="B995" i="44"/>
  <c r="D994" i="44"/>
  <c r="C994" i="44"/>
  <c r="B994" i="44"/>
  <c r="D993" i="44"/>
  <c r="C993" i="44"/>
  <c r="B993" i="44"/>
  <c r="D992" i="44"/>
  <c r="C992" i="44"/>
  <c r="B992" i="44"/>
  <c r="D991" i="44"/>
  <c r="C991" i="44"/>
  <c r="B991" i="44"/>
  <c r="D990" i="44"/>
  <c r="C990" i="44"/>
  <c r="B990" i="44"/>
  <c r="D989" i="44"/>
  <c r="C989" i="44"/>
  <c r="B989" i="44"/>
  <c r="D988" i="44"/>
  <c r="C988" i="44"/>
  <c r="B988" i="44"/>
  <c r="D987" i="44"/>
  <c r="C987" i="44"/>
  <c r="B987" i="44"/>
  <c r="D986" i="44"/>
  <c r="C986" i="44"/>
  <c r="B986" i="44"/>
  <c r="D985" i="44"/>
  <c r="C985" i="44"/>
  <c r="B985" i="44"/>
  <c r="D984" i="44"/>
  <c r="C984" i="44"/>
  <c r="B984" i="44"/>
  <c r="D983" i="44"/>
  <c r="C983" i="44"/>
  <c r="B983" i="44"/>
  <c r="D982" i="44"/>
  <c r="C982" i="44"/>
  <c r="B982" i="44"/>
  <c r="D981" i="44"/>
  <c r="C981" i="44"/>
  <c r="B981" i="44"/>
  <c r="D980" i="44"/>
  <c r="C980" i="44"/>
  <c r="B980" i="44"/>
  <c r="D979" i="44"/>
  <c r="C979" i="44"/>
  <c r="B979" i="44"/>
  <c r="D978" i="44"/>
  <c r="C978" i="44"/>
  <c r="B978" i="44"/>
  <c r="D977" i="44"/>
  <c r="C977" i="44"/>
  <c r="B977" i="44"/>
  <c r="D976" i="44"/>
  <c r="C976" i="44"/>
  <c r="B976" i="44"/>
  <c r="D975" i="44"/>
  <c r="C975" i="44"/>
  <c r="B975" i="44"/>
  <c r="D974" i="44"/>
  <c r="C974" i="44"/>
  <c r="B974" i="44"/>
  <c r="D973" i="44"/>
  <c r="C973" i="44"/>
  <c r="B973" i="44"/>
  <c r="D972" i="44"/>
  <c r="C972" i="44"/>
  <c r="B972" i="44"/>
  <c r="D971" i="44"/>
  <c r="C971" i="44"/>
  <c r="B971" i="44"/>
  <c r="D970" i="44"/>
  <c r="C970" i="44"/>
  <c r="B970" i="44"/>
  <c r="D969" i="44"/>
  <c r="C969" i="44"/>
  <c r="B969" i="44"/>
  <c r="D968" i="44"/>
  <c r="C968" i="44"/>
  <c r="B968" i="44"/>
  <c r="D967" i="44"/>
  <c r="C967" i="44"/>
  <c r="B967" i="44"/>
  <c r="D966" i="44"/>
  <c r="C966" i="44"/>
  <c r="B966" i="44"/>
  <c r="D965" i="44"/>
  <c r="C965" i="44"/>
  <c r="B965" i="44"/>
  <c r="D964" i="44"/>
  <c r="C964" i="44"/>
  <c r="B964" i="44"/>
  <c r="D963" i="44"/>
  <c r="C963" i="44"/>
  <c r="B963" i="44"/>
  <c r="D962" i="44"/>
  <c r="C962" i="44"/>
  <c r="B962" i="44"/>
  <c r="D961" i="44"/>
  <c r="C961" i="44"/>
  <c r="B961" i="44"/>
  <c r="D960" i="44"/>
  <c r="C960" i="44"/>
  <c r="B960" i="44"/>
  <c r="D959" i="44"/>
  <c r="C959" i="44"/>
  <c r="B959" i="44"/>
  <c r="D958" i="44"/>
  <c r="C958" i="44"/>
  <c r="B958" i="44"/>
  <c r="D957" i="44"/>
  <c r="C957" i="44"/>
  <c r="B957" i="44"/>
  <c r="D956" i="44"/>
  <c r="C956" i="44"/>
  <c r="B956" i="44"/>
  <c r="D955" i="44"/>
  <c r="C955" i="44"/>
  <c r="B955" i="44"/>
  <c r="D954" i="44"/>
  <c r="C954" i="44"/>
  <c r="B954" i="44"/>
  <c r="D953" i="44"/>
  <c r="C953" i="44"/>
  <c r="B953" i="44"/>
  <c r="D952" i="44"/>
  <c r="C952" i="44"/>
  <c r="B952" i="44"/>
  <c r="D951" i="44"/>
  <c r="C951" i="44"/>
  <c r="B951" i="44"/>
  <c r="D950" i="44"/>
  <c r="C950" i="44"/>
  <c r="B950" i="44"/>
  <c r="D949" i="44"/>
  <c r="C949" i="44"/>
  <c r="B949" i="44"/>
  <c r="D948" i="44"/>
  <c r="C948" i="44"/>
  <c r="B948" i="44"/>
  <c r="D947" i="44"/>
  <c r="C947" i="44"/>
  <c r="B947" i="44"/>
  <c r="D946" i="44"/>
  <c r="C946" i="44"/>
  <c r="B946" i="44"/>
  <c r="D945" i="44"/>
  <c r="C945" i="44"/>
  <c r="B945" i="44"/>
  <c r="D944" i="44"/>
  <c r="C944" i="44"/>
  <c r="B944" i="44"/>
  <c r="D943" i="44"/>
  <c r="C943" i="44"/>
  <c r="B943" i="44"/>
  <c r="D942" i="44"/>
  <c r="C942" i="44"/>
  <c r="B942" i="44"/>
  <c r="D941" i="44"/>
  <c r="C941" i="44"/>
  <c r="B941" i="44"/>
  <c r="D940" i="44"/>
  <c r="C940" i="44"/>
  <c r="B940" i="44"/>
  <c r="D939" i="44"/>
  <c r="C939" i="44"/>
  <c r="B939" i="44"/>
  <c r="D938" i="44"/>
  <c r="C938" i="44"/>
  <c r="B938" i="44"/>
  <c r="D937" i="44"/>
  <c r="C937" i="44"/>
  <c r="B937" i="44"/>
  <c r="D936" i="44"/>
  <c r="C936" i="44"/>
  <c r="B936" i="44"/>
  <c r="D935" i="44"/>
  <c r="C935" i="44"/>
  <c r="B935" i="44"/>
  <c r="D934" i="44"/>
  <c r="C934" i="44"/>
  <c r="B934" i="44"/>
  <c r="D933" i="44"/>
  <c r="C933" i="44"/>
  <c r="B933" i="44"/>
  <c r="D932" i="44"/>
  <c r="C932" i="44"/>
  <c r="B932" i="44"/>
  <c r="D931" i="44"/>
  <c r="C931" i="44"/>
  <c r="B931" i="44"/>
  <c r="D930" i="44"/>
  <c r="C930" i="44"/>
  <c r="B930" i="44"/>
  <c r="D929" i="44"/>
  <c r="C929" i="44"/>
  <c r="B929" i="44"/>
  <c r="D928" i="44"/>
  <c r="C928" i="44"/>
  <c r="B928" i="44"/>
  <c r="D927" i="44"/>
  <c r="C927" i="44"/>
  <c r="B927" i="44"/>
  <c r="D926" i="44"/>
  <c r="C926" i="44"/>
  <c r="B926" i="44"/>
  <c r="D925" i="44"/>
  <c r="C925" i="44"/>
  <c r="B925" i="44"/>
  <c r="D924" i="44"/>
  <c r="C924" i="44"/>
  <c r="B924" i="44"/>
  <c r="D923" i="44"/>
  <c r="C923" i="44"/>
  <c r="B923" i="44"/>
  <c r="D922" i="44"/>
  <c r="C922" i="44"/>
  <c r="B922" i="44"/>
  <c r="D921" i="44"/>
  <c r="C921" i="44"/>
  <c r="B921" i="44"/>
  <c r="D920" i="44"/>
  <c r="C920" i="44"/>
  <c r="B920" i="44"/>
  <c r="D919" i="44"/>
  <c r="C919" i="44"/>
  <c r="B919" i="44"/>
  <c r="D918" i="44"/>
  <c r="C918" i="44"/>
  <c r="B918" i="44"/>
  <c r="D917" i="44"/>
  <c r="C917" i="44"/>
  <c r="B917" i="44"/>
  <c r="D916" i="44"/>
  <c r="C916" i="44"/>
  <c r="B916" i="44"/>
  <c r="D915" i="44"/>
  <c r="C915" i="44"/>
  <c r="B915" i="44"/>
  <c r="D914" i="44"/>
  <c r="C914" i="44"/>
  <c r="B914" i="44"/>
  <c r="D913" i="44"/>
  <c r="C913" i="44"/>
  <c r="B913" i="44"/>
  <c r="D912" i="44"/>
  <c r="C912" i="44"/>
  <c r="B912" i="44"/>
  <c r="D911" i="44"/>
  <c r="C911" i="44"/>
  <c r="B911" i="44"/>
  <c r="D910" i="44"/>
  <c r="C910" i="44"/>
  <c r="B910" i="44"/>
  <c r="D909" i="44"/>
  <c r="C909" i="44"/>
  <c r="B909" i="44"/>
  <c r="D908" i="44"/>
  <c r="C908" i="44"/>
  <c r="B908" i="44"/>
  <c r="D907" i="44"/>
  <c r="C907" i="44"/>
  <c r="B907" i="44"/>
  <c r="D906" i="44"/>
  <c r="C906" i="44"/>
  <c r="B906" i="44"/>
  <c r="D905" i="44"/>
  <c r="C905" i="44"/>
  <c r="B905" i="44"/>
  <c r="D904" i="44"/>
  <c r="C904" i="44"/>
  <c r="B904" i="44"/>
  <c r="D903" i="44"/>
  <c r="C903" i="44"/>
  <c r="B903" i="44"/>
  <c r="D902" i="44"/>
  <c r="C902" i="44"/>
  <c r="B902" i="44"/>
  <c r="D901" i="44"/>
  <c r="C901" i="44"/>
  <c r="B901" i="44"/>
  <c r="D900" i="44"/>
  <c r="C900" i="44"/>
  <c r="B900" i="44"/>
  <c r="D899" i="44"/>
  <c r="C899" i="44"/>
  <c r="B899" i="44"/>
  <c r="D898" i="44"/>
  <c r="C898" i="44"/>
  <c r="B898" i="44"/>
  <c r="D897" i="44"/>
  <c r="C897" i="44"/>
  <c r="B897" i="44"/>
  <c r="D896" i="44"/>
  <c r="C896" i="44"/>
  <c r="B896" i="44"/>
  <c r="D895" i="44"/>
  <c r="C895" i="44"/>
  <c r="B895" i="44"/>
  <c r="D894" i="44"/>
  <c r="C894" i="44"/>
  <c r="B894" i="44"/>
  <c r="D893" i="44"/>
  <c r="C893" i="44"/>
  <c r="B893" i="44"/>
  <c r="D892" i="44"/>
  <c r="C892" i="44"/>
  <c r="B892" i="44"/>
  <c r="D891" i="44"/>
  <c r="C891" i="44"/>
  <c r="B891" i="44"/>
  <c r="D890" i="44"/>
  <c r="C890" i="44"/>
  <c r="B890" i="44"/>
  <c r="D889" i="44"/>
  <c r="C889" i="44"/>
  <c r="B889" i="44"/>
  <c r="D888" i="44"/>
  <c r="C888" i="44"/>
  <c r="B888" i="44"/>
  <c r="D887" i="44"/>
  <c r="C887" i="44"/>
  <c r="B887" i="44"/>
  <c r="D886" i="44"/>
  <c r="C886" i="44"/>
  <c r="B886" i="44"/>
  <c r="D885" i="44"/>
  <c r="C885" i="44"/>
  <c r="B885" i="44"/>
  <c r="D884" i="44"/>
  <c r="C884" i="44"/>
  <c r="B884" i="44"/>
  <c r="C860" i="44"/>
  <c r="B860" i="44"/>
  <c r="C859" i="44"/>
  <c r="B859" i="44"/>
  <c r="C858" i="44"/>
  <c r="B858" i="44"/>
  <c r="C857" i="44"/>
  <c r="B857" i="44"/>
  <c r="C856" i="44"/>
  <c r="B856" i="44"/>
  <c r="C855" i="44"/>
  <c r="B855" i="44"/>
  <c r="C854" i="44"/>
  <c r="B854" i="44"/>
  <c r="C853" i="44"/>
  <c r="B853" i="44"/>
  <c r="C852" i="44"/>
  <c r="B852" i="44"/>
  <c r="C851" i="44"/>
  <c r="B851" i="44"/>
  <c r="C850" i="44"/>
  <c r="B850" i="44"/>
  <c r="C849" i="44"/>
  <c r="B849" i="44"/>
  <c r="C848" i="44"/>
  <c r="B848" i="44"/>
  <c r="C847" i="44"/>
  <c r="B847" i="44"/>
  <c r="C846" i="44"/>
  <c r="B846" i="44"/>
  <c r="C845" i="44"/>
  <c r="B845" i="44"/>
  <c r="C844" i="44"/>
  <c r="B844" i="44"/>
  <c r="C843" i="44"/>
  <c r="B843" i="44"/>
  <c r="C842" i="44"/>
  <c r="B842" i="44"/>
  <c r="C841" i="44"/>
  <c r="B841" i="44"/>
  <c r="C840" i="44"/>
  <c r="B840" i="44"/>
  <c r="C839" i="44"/>
  <c r="B839" i="44"/>
  <c r="C838" i="44"/>
  <c r="B838" i="44"/>
  <c r="C837" i="44"/>
  <c r="B837" i="44"/>
  <c r="C836" i="44"/>
  <c r="B836" i="44"/>
  <c r="C835" i="44"/>
  <c r="B835" i="44"/>
  <c r="C834" i="44"/>
  <c r="B834" i="44"/>
  <c r="C833" i="44"/>
  <c r="B833" i="44"/>
  <c r="C832" i="44"/>
  <c r="B832" i="44"/>
  <c r="C831" i="44"/>
  <c r="B831" i="44"/>
  <c r="C830" i="44"/>
  <c r="B830" i="44"/>
  <c r="C829" i="44"/>
  <c r="B829" i="44"/>
  <c r="C828" i="44"/>
  <c r="B828" i="44"/>
  <c r="C827" i="44"/>
  <c r="B827" i="44"/>
  <c r="C826" i="44"/>
  <c r="B826" i="44"/>
  <c r="C825" i="44"/>
  <c r="B825" i="44"/>
  <c r="C824" i="44"/>
  <c r="B824" i="44"/>
  <c r="C823" i="44"/>
  <c r="B823" i="44"/>
  <c r="C822" i="44"/>
  <c r="B822" i="44"/>
  <c r="C821" i="44"/>
  <c r="B821" i="44"/>
  <c r="C820" i="44"/>
  <c r="B820" i="44"/>
  <c r="C819" i="44"/>
  <c r="B819" i="44"/>
  <c r="C818" i="44"/>
  <c r="B818" i="44"/>
  <c r="C817" i="44"/>
  <c r="B817" i="44"/>
  <c r="C816" i="44"/>
  <c r="B816" i="44"/>
  <c r="C815" i="44"/>
  <c r="B815" i="44"/>
  <c r="C814" i="44"/>
  <c r="B814" i="44"/>
  <c r="C813" i="44"/>
  <c r="B813" i="44"/>
  <c r="C812" i="44"/>
  <c r="B812" i="44"/>
  <c r="C811" i="44"/>
  <c r="B811" i="44"/>
  <c r="C810" i="44"/>
  <c r="B810" i="44"/>
  <c r="C809" i="44"/>
  <c r="B809" i="44"/>
  <c r="C808" i="44"/>
  <c r="B808" i="44"/>
  <c r="C807" i="44"/>
  <c r="B807" i="44"/>
  <c r="C806" i="44"/>
  <c r="B806" i="44"/>
  <c r="C805" i="44"/>
  <c r="B805" i="44"/>
  <c r="C804" i="44"/>
  <c r="B804" i="44"/>
  <c r="C803" i="44"/>
  <c r="B803" i="44"/>
  <c r="C802" i="44"/>
  <c r="B802" i="44"/>
  <c r="C801" i="44"/>
  <c r="B801" i="44"/>
  <c r="C800" i="44"/>
  <c r="B800" i="44"/>
  <c r="C799" i="44"/>
  <c r="B799" i="44"/>
  <c r="C798" i="44"/>
  <c r="B798" i="44"/>
  <c r="C797" i="44"/>
  <c r="B797" i="44"/>
  <c r="C796" i="44"/>
  <c r="B796" i="44"/>
  <c r="C795" i="44"/>
  <c r="B795" i="44"/>
  <c r="C794" i="44"/>
  <c r="B794" i="44"/>
  <c r="C793" i="44"/>
  <c r="B793" i="44"/>
  <c r="C792" i="44"/>
  <c r="B792" i="44"/>
  <c r="C791" i="44"/>
  <c r="B791" i="44"/>
  <c r="C790" i="44"/>
  <c r="B790" i="44"/>
  <c r="C789" i="44"/>
  <c r="B789" i="44"/>
  <c r="C788" i="44"/>
  <c r="B788" i="44"/>
  <c r="C787" i="44"/>
  <c r="B787" i="44"/>
  <c r="C786" i="44"/>
  <c r="B786" i="44"/>
  <c r="C785" i="44"/>
  <c r="B785" i="44"/>
  <c r="C784" i="44"/>
  <c r="B784" i="44"/>
  <c r="C783" i="44"/>
  <c r="B783" i="44"/>
  <c r="C782" i="44"/>
  <c r="B782" i="44"/>
  <c r="C781" i="44"/>
  <c r="B781" i="44"/>
  <c r="C780" i="44"/>
  <c r="B780" i="44"/>
  <c r="C779" i="44"/>
  <c r="B779" i="44"/>
  <c r="C778" i="44"/>
  <c r="B778" i="44"/>
  <c r="C777" i="44"/>
  <c r="B777" i="44"/>
  <c r="C776" i="44"/>
  <c r="B776" i="44"/>
  <c r="C775" i="44"/>
  <c r="B775" i="44"/>
  <c r="C774" i="44"/>
  <c r="B774" i="44"/>
  <c r="C773" i="44"/>
  <c r="B773" i="44"/>
  <c r="C772" i="44"/>
  <c r="B772" i="44"/>
  <c r="C771" i="44"/>
  <c r="B771" i="44"/>
  <c r="C770" i="44"/>
  <c r="B770" i="44"/>
  <c r="C769" i="44"/>
  <c r="B769" i="44"/>
  <c r="C768" i="44"/>
  <c r="B768" i="44"/>
  <c r="C767" i="44"/>
  <c r="B767" i="44"/>
  <c r="C766" i="44"/>
  <c r="B766" i="44"/>
  <c r="C765" i="44"/>
  <c r="B765" i="44"/>
  <c r="C764" i="44"/>
  <c r="B764" i="44"/>
  <c r="C763" i="44"/>
  <c r="B763" i="44"/>
  <c r="C762" i="44"/>
  <c r="B762" i="44"/>
  <c r="C761" i="44"/>
  <c r="B761" i="44"/>
  <c r="C760" i="44"/>
  <c r="B760" i="44"/>
  <c r="C759" i="44"/>
  <c r="B759" i="44"/>
  <c r="C758" i="44"/>
  <c r="B758" i="44"/>
  <c r="C757" i="44"/>
  <c r="B757" i="44"/>
  <c r="C756" i="44"/>
  <c r="B756" i="44"/>
  <c r="C755" i="44"/>
  <c r="B755" i="44"/>
  <c r="C754" i="44"/>
  <c r="B754" i="44"/>
  <c r="C753" i="44"/>
  <c r="B753" i="44"/>
  <c r="C752" i="44"/>
  <c r="B752" i="44"/>
  <c r="C751" i="44"/>
  <c r="B751" i="44"/>
  <c r="C750" i="44"/>
  <c r="B750" i="44"/>
  <c r="C749" i="44"/>
  <c r="B749" i="44"/>
  <c r="C748" i="44"/>
  <c r="B748" i="44"/>
  <c r="C747" i="44"/>
  <c r="B747" i="44"/>
  <c r="C746" i="44"/>
  <c r="B746" i="44"/>
  <c r="C745" i="44"/>
  <c r="B745" i="44"/>
  <c r="FH737" i="44"/>
  <c r="FD737" i="44"/>
  <c r="FC737" i="44"/>
  <c r="FB737" i="44"/>
  <c r="FA737" i="44"/>
  <c r="EZ737" i="44"/>
  <c r="EY737" i="44"/>
  <c r="EX737" i="44"/>
  <c r="EW737" i="44"/>
  <c r="EV737" i="44"/>
  <c r="EU737" i="44"/>
  <c r="ET737" i="44"/>
  <c r="ER737" i="44"/>
  <c r="EQ737" i="44"/>
  <c r="EO737" i="44"/>
  <c r="EF737" i="44"/>
  <c r="EE737" i="44"/>
  <c r="EC737" i="44"/>
  <c r="DX737" i="44"/>
  <c r="DW737" i="44"/>
  <c r="DV737" i="44"/>
  <c r="DU737" i="44"/>
  <c r="DT737" i="44"/>
  <c r="DS737" i="44"/>
  <c r="DQ737" i="44"/>
  <c r="DP737" i="44"/>
  <c r="DO737" i="44"/>
  <c r="DM737" i="44"/>
  <c r="DL737" i="44"/>
  <c r="DK737" i="44"/>
  <c r="DI737" i="44"/>
  <c r="DH737" i="44"/>
  <c r="DG737" i="44"/>
  <c r="DE737" i="44"/>
  <c r="DD737" i="44"/>
  <c r="DC737" i="44"/>
  <c r="DA737" i="44"/>
  <c r="CZ737" i="44"/>
  <c r="CY737" i="44"/>
  <c r="CX737" i="44"/>
  <c r="CW737" i="44"/>
  <c r="CV737" i="44"/>
  <c r="CU737" i="44"/>
  <c r="CT737" i="44"/>
  <c r="CS737" i="44"/>
  <c r="CO737" i="44"/>
  <c r="CN737" i="44"/>
  <c r="CM737" i="44"/>
  <c r="CL737" i="44"/>
  <c r="CJ737" i="44"/>
  <c r="CH737" i="44"/>
  <c r="CG737" i="44"/>
  <c r="CF737" i="44"/>
  <c r="CE737" i="44"/>
  <c r="CD737" i="44"/>
  <c r="CA737" i="44"/>
  <c r="BY737" i="44"/>
  <c r="BW737" i="44"/>
  <c r="BV737" i="44"/>
  <c r="BU737" i="44"/>
  <c r="BT737" i="44"/>
  <c r="BS737" i="44"/>
  <c r="BQ737" i="44"/>
  <c r="BP737" i="44"/>
  <c r="BO737" i="44"/>
  <c r="BN737" i="44"/>
  <c r="BM737" i="44"/>
  <c r="BK737" i="44"/>
  <c r="BJ737" i="44"/>
  <c r="BG737" i="44"/>
  <c r="BF737" i="44"/>
  <c r="BE737" i="44"/>
  <c r="BD737" i="44"/>
  <c r="BC737" i="44"/>
  <c r="BA737" i="44"/>
  <c r="AZ737" i="44"/>
  <c r="AV737" i="44"/>
  <c r="AU737" i="44"/>
  <c r="AT737" i="44"/>
  <c r="AS737" i="44"/>
  <c r="AQ737" i="44"/>
  <c r="AO737" i="44"/>
  <c r="AM737" i="44"/>
  <c r="AL737" i="44"/>
  <c r="AK737" i="44"/>
  <c r="AJ737" i="44"/>
  <c r="AI737" i="44"/>
  <c r="AH737" i="44"/>
  <c r="AG737" i="44"/>
  <c r="AF737" i="44"/>
  <c r="AD737" i="44"/>
  <c r="AB737" i="44"/>
  <c r="AA737" i="44"/>
  <c r="Z737" i="44"/>
  <c r="Y737" i="44"/>
  <c r="W737" i="44"/>
  <c r="V737" i="44"/>
  <c r="U737" i="44"/>
  <c r="S737" i="44"/>
  <c r="R737" i="44"/>
  <c r="Q737" i="44"/>
  <c r="P737" i="44"/>
  <c r="O737" i="44"/>
  <c r="N737" i="44"/>
  <c r="M737" i="44"/>
  <c r="L737" i="44"/>
  <c r="F737" i="44"/>
  <c r="E737" i="44"/>
  <c r="D737" i="44"/>
  <c r="FH736" i="44"/>
  <c r="FD736" i="44"/>
  <c r="FC736" i="44"/>
  <c r="FB736" i="44"/>
  <c r="FA736" i="44"/>
  <c r="EZ736" i="44"/>
  <c r="EY736" i="44"/>
  <c r="EX736" i="44"/>
  <c r="EW736" i="44"/>
  <c r="EV736" i="44"/>
  <c r="EU736" i="44"/>
  <c r="ET736" i="44"/>
  <c r="ER736" i="44"/>
  <c r="EQ736" i="44"/>
  <c r="EO736" i="44"/>
  <c r="EF736" i="44"/>
  <c r="EE736" i="44"/>
  <c r="EC736" i="44"/>
  <c r="DX736" i="44"/>
  <c r="DW736" i="44"/>
  <c r="DV736" i="44"/>
  <c r="DU736" i="44"/>
  <c r="DT736" i="44"/>
  <c r="DS736" i="44"/>
  <c r="DQ736" i="44"/>
  <c r="DP736" i="44"/>
  <c r="DO736" i="44"/>
  <c r="DM736" i="44"/>
  <c r="DL736" i="44"/>
  <c r="DK736" i="44"/>
  <c r="DI736" i="44"/>
  <c r="DH736" i="44"/>
  <c r="DG736" i="44"/>
  <c r="DE736" i="44"/>
  <c r="DD736" i="44"/>
  <c r="DC736" i="44"/>
  <c r="DA736" i="44"/>
  <c r="CZ736" i="44"/>
  <c r="CY736" i="44"/>
  <c r="CX736" i="44"/>
  <c r="CW736" i="44"/>
  <c r="CV736" i="44"/>
  <c r="CU736" i="44"/>
  <c r="CT736" i="44"/>
  <c r="CS736" i="44"/>
  <c r="CO736" i="44"/>
  <c r="CN736" i="44"/>
  <c r="CM736" i="44"/>
  <c r="CL736" i="44"/>
  <c r="CJ736" i="44"/>
  <c r="CH736" i="44"/>
  <c r="CG736" i="44"/>
  <c r="CF736" i="44"/>
  <c r="CE736" i="44"/>
  <c r="CD736" i="44"/>
  <c r="CA736" i="44"/>
  <c r="BY736" i="44"/>
  <c r="BW736" i="44"/>
  <c r="BV736" i="44"/>
  <c r="BU736" i="44"/>
  <c r="BT736" i="44"/>
  <c r="BS736" i="44"/>
  <c r="BQ736" i="44"/>
  <c r="BP736" i="44"/>
  <c r="BO736" i="44"/>
  <c r="BN736" i="44"/>
  <c r="BM736" i="44"/>
  <c r="BK736" i="44"/>
  <c r="BJ736" i="44"/>
  <c r="BG736" i="44"/>
  <c r="BF736" i="44"/>
  <c r="BE736" i="44"/>
  <c r="BD736" i="44"/>
  <c r="BC736" i="44"/>
  <c r="BA736" i="44"/>
  <c r="AZ736" i="44"/>
  <c r="AV736" i="44"/>
  <c r="AU736" i="44"/>
  <c r="AT736" i="44"/>
  <c r="AS736" i="44"/>
  <c r="AQ736" i="44"/>
  <c r="AO736" i="44"/>
  <c r="AM736" i="44"/>
  <c r="AL736" i="44"/>
  <c r="AK736" i="44"/>
  <c r="AJ736" i="44"/>
  <c r="AI736" i="44"/>
  <c r="AH736" i="44"/>
  <c r="AG736" i="44"/>
  <c r="AF736" i="44"/>
  <c r="AD736" i="44"/>
  <c r="AB736" i="44"/>
  <c r="AA736" i="44"/>
  <c r="Z736" i="44"/>
  <c r="Y736" i="44"/>
  <c r="W736" i="44"/>
  <c r="V736" i="44"/>
  <c r="U736" i="44"/>
  <c r="S736" i="44"/>
  <c r="R736" i="44"/>
  <c r="Q736" i="44"/>
  <c r="P736" i="44"/>
  <c r="O736" i="44"/>
  <c r="N736" i="44"/>
  <c r="M736" i="44"/>
  <c r="L736" i="44"/>
  <c r="F736" i="44"/>
  <c r="E736" i="44"/>
  <c r="D736" i="44"/>
  <c r="FH735" i="44"/>
  <c r="FD735" i="44"/>
  <c r="FC735" i="44"/>
  <c r="FB735" i="44"/>
  <c r="FA735" i="44"/>
  <c r="EZ735" i="44"/>
  <c r="EY735" i="44"/>
  <c r="EX735" i="44"/>
  <c r="EW735" i="44"/>
  <c r="EV735" i="44"/>
  <c r="EU735" i="44"/>
  <c r="ET735" i="44"/>
  <c r="ER735" i="44"/>
  <c r="EQ735" i="44"/>
  <c r="EO735" i="44"/>
  <c r="EF735" i="44"/>
  <c r="EE735" i="44"/>
  <c r="EC735" i="44"/>
  <c r="DX735" i="44"/>
  <c r="DW735" i="44"/>
  <c r="DV735" i="44"/>
  <c r="DU735" i="44"/>
  <c r="DT735" i="44"/>
  <c r="DS735" i="44"/>
  <c r="DQ735" i="44"/>
  <c r="DP735" i="44"/>
  <c r="DO735" i="44"/>
  <c r="DM735" i="44"/>
  <c r="DL735" i="44"/>
  <c r="DK735" i="44"/>
  <c r="DI735" i="44"/>
  <c r="DH735" i="44"/>
  <c r="DG735" i="44"/>
  <c r="DE735" i="44"/>
  <c r="DD735" i="44"/>
  <c r="DC735" i="44"/>
  <c r="DA735" i="44"/>
  <c r="CZ735" i="44"/>
  <c r="CY735" i="44"/>
  <c r="CX735" i="44"/>
  <c r="CW735" i="44"/>
  <c r="CV735" i="44"/>
  <c r="CU735" i="44"/>
  <c r="CT735" i="44"/>
  <c r="CS735" i="44"/>
  <c r="CO735" i="44"/>
  <c r="CN735" i="44"/>
  <c r="CM735" i="44"/>
  <c r="CL735" i="44"/>
  <c r="CJ735" i="44"/>
  <c r="CH735" i="44"/>
  <c r="CG735" i="44"/>
  <c r="CF735" i="44"/>
  <c r="CE735" i="44"/>
  <c r="CD735" i="44"/>
  <c r="CA735" i="44"/>
  <c r="BY735" i="44"/>
  <c r="BW735" i="44"/>
  <c r="BV735" i="44"/>
  <c r="BU735" i="44"/>
  <c r="BT735" i="44"/>
  <c r="BS735" i="44"/>
  <c r="BQ735" i="44"/>
  <c r="BP735" i="44"/>
  <c r="BO735" i="44"/>
  <c r="BN735" i="44"/>
  <c r="BM735" i="44"/>
  <c r="BK735" i="44"/>
  <c r="BJ735" i="44"/>
  <c r="BG735" i="44"/>
  <c r="BF735" i="44"/>
  <c r="BE735" i="44"/>
  <c r="BD735" i="44"/>
  <c r="BC735" i="44"/>
  <c r="BA735" i="44"/>
  <c r="AZ735" i="44"/>
  <c r="AV735" i="44"/>
  <c r="AU735" i="44"/>
  <c r="AT735" i="44"/>
  <c r="AS735" i="44"/>
  <c r="AQ735" i="44"/>
  <c r="AO735" i="44"/>
  <c r="AM735" i="44"/>
  <c r="AL735" i="44"/>
  <c r="AK735" i="44"/>
  <c r="AJ735" i="44"/>
  <c r="AI735" i="44"/>
  <c r="AH735" i="44"/>
  <c r="AG735" i="44"/>
  <c r="AF735" i="44"/>
  <c r="AD735" i="44"/>
  <c r="AB735" i="44"/>
  <c r="AA735" i="44"/>
  <c r="Z735" i="44"/>
  <c r="Y735" i="44"/>
  <c r="W735" i="44"/>
  <c r="V735" i="44"/>
  <c r="U735" i="44"/>
  <c r="S735" i="44"/>
  <c r="R735" i="44"/>
  <c r="Q735" i="44"/>
  <c r="P735" i="44"/>
  <c r="O735" i="44"/>
  <c r="N735" i="44"/>
  <c r="M735" i="44"/>
  <c r="L735" i="44"/>
  <c r="F735" i="44"/>
  <c r="E735" i="44"/>
  <c r="D735" i="44"/>
  <c r="FH734" i="44"/>
  <c r="FD734" i="44"/>
  <c r="FC734" i="44"/>
  <c r="FB734" i="44"/>
  <c r="FA734" i="44"/>
  <c r="EZ734" i="44"/>
  <c r="EY734" i="44"/>
  <c r="EX734" i="44"/>
  <c r="EW734" i="44"/>
  <c r="EV734" i="44"/>
  <c r="EU734" i="44"/>
  <c r="ET734" i="44"/>
  <c r="ER734" i="44"/>
  <c r="EQ734" i="44"/>
  <c r="EO734" i="44"/>
  <c r="EF734" i="44"/>
  <c r="EE734" i="44"/>
  <c r="EC734" i="44"/>
  <c r="DX734" i="44"/>
  <c r="DW734" i="44"/>
  <c r="DV734" i="44"/>
  <c r="DU734" i="44"/>
  <c r="DT734" i="44"/>
  <c r="DS734" i="44"/>
  <c r="DQ734" i="44"/>
  <c r="DP734" i="44"/>
  <c r="DO734" i="44"/>
  <c r="DM734" i="44"/>
  <c r="DL734" i="44"/>
  <c r="DK734" i="44"/>
  <c r="DI734" i="44"/>
  <c r="DH734" i="44"/>
  <c r="DG734" i="44"/>
  <c r="DE734" i="44"/>
  <c r="DD734" i="44"/>
  <c r="DC734" i="44"/>
  <c r="DA734" i="44"/>
  <c r="CZ734" i="44"/>
  <c r="CY734" i="44"/>
  <c r="CX734" i="44"/>
  <c r="CW734" i="44"/>
  <c r="CV734" i="44"/>
  <c r="CU734" i="44"/>
  <c r="CT734" i="44"/>
  <c r="CS734" i="44"/>
  <c r="CO734" i="44"/>
  <c r="CN734" i="44"/>
  <c r="CM734" i="44"/>
  <c r="CL734" i="44"/>
  <c r="CJ734" i="44"/>
  <c r="CH734" i="44"/>
  <c r="CG734" i="44"/>
  <c r="CF734" i="44"/>
  <c r="CE734" i="44"/>
  <c r="CD734" i="44"/>
  <c r="CA734" i="44"/>
  <c r="BY734" i="44"/>
  <c r="BW734" i="44"/>
  <c r="BV734" i="44"/>
  <c r="BU734" i="44"/>
  <c r="BT734" i="44"/>
  <c r="BS734" i="44"/>
  <c r="BQ734" i="44"/>
  <c r="BP734" i="44"/>
  <c r="BO734" i="44"/>
  <c r="BN734" i="44"/>
  <c r="BM734" i="44"/>
  <c r="BK734" i="44"/>
  <c r="BJ734" i="44"/>
  <c r="BG734" i="44"/>
  <c r="BF734" i="44"/>
  <c r="BE734" i="44"/>
  <c r="BD734" i="44"/>
  <c r="BC734" i="44"/>
  <c r="BA734" i="44"/>
  <c r="AZ734" i="44"/>
  <c r="AV734" i="44"/>
  <c r="AU734" i="44"/>
  <c r="AT734" i="44"/>
  <c r="AS734" i="44"/>
  <c r="AQ734" i="44"/>
  <c r="AO734" i="44"/>
  <c r="AM734" i="44"/>
  <c r="AL734" i="44"/>
  <c r="AK734" i="44"/>
  <c r="AJ734" i="44"/>
  <c r="AI734" i="44"/>
  <c r="AH734" i="44"/>
  <c r="AG734" i="44"/>
  <c r="AF734" i="44"/>
  <c r="AD734" i="44"/>
  <c r="AB734" i="44"/>
  <c r="AA734" i="44"/>
  <c r="Z734" i="44"/>
  <c r="Y734" i="44"/>
  <c r="W734" i="44"/>
  <c r="V734" i="44"/>
  <c r="U734" i="44"/>
  <c r="S734" i="44"/>
  <c r="R734" i="44"/>
  <c r="Q734" i="44"/>
  <c r="P734" i="44"/>
  <c r="O734" i="44"/>
  <c r="N734" i="44"/>
  <c r="M734" i="44"/>
  <c r="L734" i="44"/>
  <c r="F734" i="44"/>
  <c r="E734" i="44"/>
  <c r="D734" i="44"/>
  <c r="FH733" i="44"/>
  <c r="FD733" i="44"/>
  <c r="FC733" i="44"/>
  <c r="FB733" i="44"/>
  <c r="FA733" i="44"/>
  <c r="EZ733" i="44"/>
  <c r="EY733" i="44"/>
  <c r="EX733" i="44"/>
  <c r="EW733" i="44"/>
  <c r="EV733" i="44"/>
  <c r="EU733" i="44"/>
  <c r="ET733" i="44"/>
  <c r="ER733" i="44"/>
  <c r="EQ733" i="44"/>
  <c r="EO733" i="44"/>
  <c r="EF733" i="44"/>
  <c r="EE733" i="44"/>
  <c r="EC733" i="44"/>
  <c r="DX733" i="44"/>
  <c r="DW733" i="44"/>
  <c r="DV733" i="44"/>
  <c r="DU733" i="44"/>
  <c r="DT733" i="44"/>
  <c r="DS733" i="44"/>
  <c r="DQ733" i="44"/>
  <c r="DP733" i="44"/>
  <c r="DO733" i="44"/>
  <c r="DM733" i="44"/>
  <c r="DL733" i="44"/>
  <c r="DK733" i="44"/>
  <c r="DI733" i="44"/>
  <c r="DH733" i="44"/>
  <c r="DG733" i="44"/>
  <c r="DE733" i="44"/>
  <c r="DD733" i="44"/>
  <c r="DC733" i="44"/>
  <c r="DA733" i="44"/>
  <c r="CZ733" i="44"/>
  <c r="CY733" i="44"/>
  <c r="CX733" i="44"/>
  <c r="CW733" i="44"/>
  <c r="CV733" i="44"/>
  <c r="CU733" i="44"/>
  <c r="CT733" i="44"/>
  <c r="CS733" i="44"/>
  <c r="CO733" i="44"/>
  <c r="CN733" i="44"/>
  <c r="CM733" i="44"/>
  <c r="CL733" i="44"/>
  <c r="CJ733" i="44"/>
  <c r="CH733" i="44"/>
  <c r="CG733" i="44"/>
  <c r="CF733" i="44"/>
  <c r="CE733" i="44"/>
  <c r="CD733" i="44"/>
  <c r="CA733" i="44"/>
  <c r="BY733" i="44"/>
  <c r="BW733" i="44"/>
  <c r="BV733" i="44"/>
  <c r="BU733" i="44"/>
  <c r="BT733" i="44"/>
  <c r="BS733" i="44"/>
  <c r="BQ733" i="44"/>
  <c r="BP733" i="44"/>
  <c r="BO733" i="44"/>
  <c r="BN733" i="44"/>
  <c r="BM733" i="44"/>
  <c r="BK733" i="44"/>
  <c r="BJ733" i="44"/>
  <c r="BG733" i="44"/>
  <c r="BF733" i="44"/>
  <c r="BE733" i="44"/>
  <c r="BD733" i="44"/>
  <c r="BC733" i="44"/>
  <c r="BA733" i="44"/>
  <c r="AZ733" i="44"/>
  <c r="AV733" i="44"/>
  <c r="AU733" i="44"/>
  <c r="AT733" i="44"/>
  <c r="AS733" i="44"/>
  <c r="AQ733" i="44"/>
  <c r="AO733" i="44"/>
  <c r="AM733" i="44"/>
  <c r="AL733" i="44"/>
  <c r="AK733" i="44"/>
  <c r="AJ733" i="44"/>
  <c r="AI733" i="44"/>
  <c r="AH733" i="44"/>
  <c r="AG733" i="44"/>
  <c r="AF733" i="44"/>
  <c r="AD733" i="44"/>
  <c r="AB733" i="44"/>
  <c r="AA733" i="44"/>
  <c r="Z733" i="44"/>
  <c r="Y733" i="44"/>
  <c r="W733" i="44"/>
  <c r="V733" i="44"/>
  <c r="U733" i="44"/>
  <c r="S733" i="44"/>
  <c r="R733" i="44"/>
  <c r="Q733" i="44"/>
  <c r="P733" i="44"/>
  <c r="O733" i="44"/>
  <c r="N733" i="44"/>
  <c r="M733" i="44"/>
  <c r="L733" i="44"/>
  <c r="F733" i="44"/>
  <c r="E733" i="44"/>
  <c r="D733" i="44"/>
  <c r="FH732" i="44"/>
  <c r="FD732" i="44"/>
  <c r="FC732" i="44"/>
  <c r="FB732" i="44"/>
  <c r="FA732" i="44"/>
  <c r="EZ732" i="44"/>
  <c r="EY732" i="44"/>
  <c r="EX732" i="44"/>
  <c r="EW732" i="44"/>
  <c r="EV732" i="44"/>
  <c r="EU732" i="44"/>
  <c r="ET732" i="44"/>
  <c r="ER732" i="44"/>
  <c r="EQ732" i="44"/>
  <c r="EO732" i="44"/>
  <c r="EF732" i="44"/>
  <c r="EE732" i="44"/>
  <c r="EC732" i="44"/>
  <c r="DX732" i="44"/>
  <c r="DW732" i="44"/>
  <c r="DV732" i="44"/>
  <c r="DU732" i="44"/>
  <c r="DT732" i="44"/>
  <c r="DS732" i="44"/>
  <c r="DQ732" i="44"/>
  <c r="DP732" i="44"/>
  <c r="DO732" i="44"/>
  <c r="DM732" i="44"/>
  <c r="DL732" i="44"/>
  <c r="DK732" i="44"/>
  <c r="DI732" i="44"/>
  <c r="DH732" i="44"/>
  <c r="DG732" i="44"/>
  <c r="DE732" i="44"/>
  <c r="DD732" i="44"/>
  <c r="DC732" i="44"/>
  <c r="DA732" i="44"/>
  <c r="CZ732" i="44"/>
  <c r="CY732" i="44"/>
  <c r="CX732" i="44"/>
  <c r="CW732" i="44"/>
  <c r="CV732" i="44"/>
  <c r="CU732" i="44"/>
  <c r="CT732" i="44"/>
  <c r="CS732" i="44"/>
  <c r="CO732" i="44"/>
  <c r="CN732" i="44"/>
  <c r="CM732" i="44"/>
  <c r="CL732" i="44"/>
  <c r="CJ732" i="44"/>
  <c r="CH732" i="44"/>
  <c r="CG732" i="44"/>
  <c r="CF732" i="44"/>
  <c r="CE732" i="44"/>
  <c r="CD732" i="44"/>
  <c r="CA732" i="44"/>
  <c r="BY732" i="44"/>
  <c r="BW732" i="44"/>
  <c r="BV732" i="44"/>
  <c r="BU732" i="44"/>
  <c r="BT732" i="44"/>
  <c r="BS732" i="44"/>
  <c r="BQ732" i="44"/>
  <c r="BP732" i="44"/>
  <c r="BO732" i="44"/>
  <c r="BN732" i="44"/>
  <c r="BM732" i="44"/>
  <c r="BK732" i="44"/>
  <c r="BJ732" i="44"/>
  <c r="BG732" i="44"/>
  <c r="BF732" i="44"/>
  <c r="BE732" i="44"/>
  <c r="BD732" i="44"/>
  <c r="BC732" i="44"/>
  <c r="BA732" i="44"/>
  <c r="AZ732" i="44"/>
  <c r="AV732" i="44"/>
  <c r="AU732" i="44"/>
  <c r="AT732" i="44"/>
  <c r="AS732" i="44"/>
  <c r="AQ732" i="44"/>
  <c r="AO732" i="44"/>
  <c r="AM732" i="44"/>
  <c r="AL732" i="44"/>
  <c r="AK732" i="44"/>
  <c r="AJ732" i="44"/>
  <c r="AI732" i="44"/>
  <c r="AH732" i="44"/>
  <c r="AG732" i="44"/>
  <c r="AF732" i="44"/>
  <c r="AD732" i="44"/>
  <c r="AB732" i="44"/>
  <c r="AA732" i="44"/>
  <c r="Z732" i="44"/>
  <c r="Y732" i="44"/>
  <c r="W732" i="44"/>
  <c r="V732" i="44"/>
  <c r="U732" i="44"/>
  <c r="S732" i="44"/>
  <c r="R732" i="44"/>
  <c r="Q732" i="44"/>
  <c r="P732" i="44"/>
  <c r="O732" i="44"/>
  <c r="N732" i="44"/>
  <c r="M732" i="44"/>
  <c r="L732" i="44"/>
  <c r="F732" i="44"/>
  <c r="E732" i="44"/>
  <c r="D732" i="44"/>
  <c r="FH731" i="44"/>
  <c r="FD731" i="44"/>
  <c r="FC731" i="44"/>
  <c r="FB731" i="44"/>
  <c r="FA731" i="44"/>
  <c r="EZ731" i="44"/>
  <c r="EY731" i="44"/>
  <c r="EX731" i="44"/>
  <c r="EW731" i="44"/>
  <c r="EV731" i="44"/>
  <c r="EU731" i="44"/>
  <c r="ET731" i="44"/>
  <c r="ER731" i="44"/>
  <c r="EQ731" i="44"/>
  <c r="EO731" i="44"/>
  <c r="EF731" i="44"/>
  <c r="EE731" i="44"/>
  <c r="EC731" i="44"/>
  <c r="DX731" i="44"/>
  <c r="DW731" i="44"/>
  <c r="DV731" i="44"/>
  <c r="DU731" i="44"/>
  <c r="DT731" i="44"/>
  <c r="DS731" i="44"/>
  <c r="DQ731" i="44"/>
  <c r="DP731" i="44"/>
  <c r="DO731" i="44"/>
  <c r="DM731" i="44"/>
  <c r="DL731" i="44"/>
  <c r="DK731" i="44"/>
  <c r="DI731" i="44"/>
  <c r="DH731" i="44"/>
  <c r="DG731" i="44"/>
  <c r="DE731" i="44"/>
  <c r="DD731" i="44"/>
  <c r="DC731" i="44"/>
  <c r="DA731" i="44"/>
  <c r="CZ731" i="44"/>
  <c r="CY731" i="44"/>
  <c r="CX731" i="44"/>
  <c r="CW731" i="44"/>
  <c r="CV731" i="44"/>
  <c r="CU731" i="44"/>
  <c r="CT731" i="44"/>
  <c r="CS731" i="44"/>
  <c r="CO731" i="44"/>
  <c r="CN731" i="44"/>
  <c r="CM731" i="44"/>
  <c r="CL731" i="44"/>
  <c r="CJ731" i="44"/>
  <c r="CH731" i="44"/>
  <c r="CG731" i="44"/>
  <c r="CF731" i="44"/>
  <c r="CE731" i="44"/>
  <c r="CD731" i="44"/>
  <c r="CA731" i="44"/>
  <c r="BY731" i="44"/>
  <c r="BW731" i="44"/>
  <c r="BV731" i="44"/>
  <c r="BU731" i="44"/>
  <c r="BT731" i="44"/>
  <c r="BS731" i="44"/>
  <c r="BQ731" i="44"/>
  <c r="BP731" i="44"/>
  <c r="BO731" i="44"/>
  <c r="BN731" i="44"/>
  <c r="BM731" i="44"/>
  <c r="BK731" i="44"/>
  <c r="BJ731" i="44"/>
  <c r="BG731" i="44"/>
  <c r="BF731" i="44"/>
  <c r="BE731" i="44"/>
  <c r="BD731" i="44"/>
  <c r="BC731" i="44"/>
  <c r="BA731" i="44"/>
  <c r="AZ731" i="44"/>
  <c r="AV731" i="44"/>
  <c r="AU731" i="44"/>
  <c r="AT731" i="44"/>
  <c r="AS731" i="44"/>
  <c r="AQ731" i="44"/>
  <c r="AO731" i="44"/>
  <c r="AM731" i="44"/>
  <c r="AL731" i="44"/>
  <c r="AK731" i="44"/>
  <c r="AJ731" i="44"/>
  <c r="AI731" i="44"/>
  <c r="AH731" i="44"/>
  <c r="AG731" i="44"/>
  <c r="AF731" i="44"/>
  <c r="AD731" i="44"/>
  <c r="AB731" i="44"/>
  <c r="AA731" i="44"/>
  <c r="Z731" i="44"/>
  <c r="Y731" i="44"/>
  <c r="W731" i="44"/>
  <c r="V731" i="44"/>
  <c r="U731" i="44"/>
  <c r="S731" i="44"/>
  <c r="R731" i="44"/>
  <c r="Q731" i="44"/>
  <c r="P731" i="44"/>
  <c r="O731" i="44"/>
  <c r="N731" i="44"/>
  <c r="M731" i="44"/>
  <c r="L731" i="44"/>
  <c r="F731" i="44"/>
  <c r="E731" i="44"/>
  <c r="D731" i="44"/>
  <c r="FH730" i="44"/>
  <c r="FD730" i="44"/>
  <c r="FC730" i="44"/>
  <c r="FB730" i="44"/>
  <c r="FA730" i="44"/>
  <c r="EZ730" i="44"/>
  <c r="EY730" i="44"/>
  <c r="EX730" i="44"/>
  <c r="EW730" i="44"/>
  <c r="EV730" i="44"/>
  <c r="EU730" i="44"/>
  <c r="ET730" i="44"/>
  <c r="ER730" i="44"/>
  <c r="EQ730" i="44"/>
  <c r="EO730" i="44"/>
  <c r="EF730" i="44"/>
  <c r="EE730" i="44"/>
  <c r="EC730" i="44"/>
  <c r="DX730" i="44"/>
  <c r="DW730" i="44"/>
  <c r="DV730" i="44"/>
  <c r="DU730" i="44"/>
  <c r="DT730" i="44"/>
  <c r="DS730" i="44"/>
  <c r="DQ730" i="44"/>
  <c r="DP730" i="44"/>
  <c r="DO730" i="44"/>
  <c r="DM730" i="44"/>
  <c r="DL730" i="44"/>
  <c r="DK730" i="44"/>
  <c r="DI730" i="44"/>
  <c r="DH730" i="44"/>
  <c r="DG730" i="44"/>
  <c r="DE730" i="44"/>
  <c r="DD730" i="44"/>
  <c r="DC730" i="44"/>
  <c r="DA730" i="44"/>
  <c r="CZ730" i="44"/>
  <c r="CY730" i="44"/>
  <c r="CX730" i="44"/>
  <c r="CW730" i="44"/>
  <c r="CV730" i="44"/>
  <c r="CU730" i="44"/>
  <c r="CT730" i="44"/>
  <c r="CS730" i="44"/>
  <c r="CO730" i="44"/>
  <c r="CN730" i="44"/>
  <c r="CM730" i="44"/>
  <c r="CL730" i="44"/>
  <c r="CJ730" i="44"/>
  <c r="CH730" i="44"/>
  <c r="CG730" i="44"/>
  <c r="CF730" i="44"/>
  <c r="CE730" i="44"/>
  <c r="CD730" i="44"/>
  <c r="CA730" i="44"/>
  <c r="BY730" i="44"/>
  <c r="BW730" i="44"/>
  <c r="BV730" i="44"/>
  <c r="BU730" i="44"/>
  <c r="BT730" i="44"/>
  <c r="BS730" i="44"/>
  <c r="BQ730" i="44"/>
  <c r="BP730" i="44"/>
  <c r="BO730" i="44"/>
  <c r="BN730" i="44"/>
  <c r="BM730" i="44"/>
  <c r="BK730" i="44"/>
  <c r="BJ730" i="44"/>
  <c r="BG730" i="44"/>
  <c r="BF730" i="44"/>
  <c r="BE730" i="44"/>
  <c r="BD730" i="44"/>
  <c r="BC730" i="44"/>
  <c r="BA730" i="44"/>
  <c r="AZ730" i="44"/>
  <c r="AV730" i="44"/>
  <c r="AU730" i="44"/>
  <c r="AT730" i="44"/>
  <c r="AS730" i="44"/>
  <c r="AQ730" i="44"/>
  <c r="AO730" i="44"/>
  <c r="AM730" i="44"/>
  <c r="AL730" i="44"/>
  <c r="AK730" i="44"/>
  <c r="AJ730" i="44"/>
  <c r="AI730" i="44"/>
  <c r="AH730" i="44"/>
  <c r="AG730" i="44"/>
  <c r="AF730" i="44"/>
  <c r="AD730" i="44"/>
  <c r="AB730" i="44"/>
  <c r="AA730" i="44"/>
  <c r="Z730" i="44"/>
  <c r="Y730" i="44"/>
  <c r="W730" i="44"/>
  <c r="V730" i="44"/>
  <c r="U730" i="44"/>
  <c r="S730" i="44"/>
  <c r="R730" i="44"/>
  <c r="Q730" i="44"/>
  <c r="P730" i="44"/>
  <c r="O730" i="44"/>
  <c r="N730" i="44"/>
  <c r="M730" i="44"/>
  <c r="L730" i="44"/>
  <c r="F730" i="44"/>
  <c r="E730" i="44"/>
  <c r="D730" i="44"/>
  <c r="FH729" i="44"/>
  <c r="FD729" i="44"/>
  <c r="FC729" i="44"/>
  <c r="FB729" i="44"/>
  <c r="FA729" i="44"/>
  <c r="EZ729" i="44"/>
  <c r="EY729" i="44"/>
  <c r="EX729" i="44"/>
  <c r="EW729" i="44"/>
  <c r="EV729" i="44"/>
  <c r="EU729" i="44"/>
  <c r="ET729" i="44"/>
  <c r="ER729" i="44"/>
  <c r="EQ729" i="44"/>
  <c r="EO729" i="44"/>
  <c r="EF729" i="44"/>
  <c r="EE729" i="44"/>
  <c r="EC729" i="44"/>
  <c r="DX729" i="44"/>
  <c r="DW729" i="44"/>
  <c r="DV729" i="44"/>
  <c r="DU729" i="44"/>
  <c r="DT729" i="44"/>
  <c r="DS729" i="44"/>
  <c r="DQ729" i="44"/>
  <c r="DP729" i="44"/>
  <c r="DO729" i="44"/>
  <c r="DM729" i="44"/>
  <c r="DL729" i="44"/>
  <c r="DK729" i="44"/>
  <c r="DI729" i="44"/>
  <c r="DH729" i="44"/>
  <c r="DG729" i="44"/>
  <c r="DE729" i="44"/>
  <c r="DD729" i="44"/>
  <c r="DC729" i="44"/>
  <c r="DA729" i="44"/>
  <c r="CZ729" i="44"/>
  <c r="CY729" i="44"/>
  <c r="CX729" i="44"/>
  <c r="CW729" i="44"/>
  <c r="CV729" i="44"/>
  <c r="CU729" i="44"/>
  <c r="CT729" i="44"/>
  <c r="CS729" i="44"/>
  <c r="CO729" i="44"/>
  <c r="CN729" i="44"/>
  <c r="CM729" i="44"/>
  <c r="CL729" i="44"/>
  <c r="CJ729" i="44"/>
  <c r="CH729" i="44"/>
  <c r="CG729" i="44"/>
  <c r="CF729" i="44"/>
  <c r="CE729" i="44"/>
  <c r="CD729" i="44"/>
  <c r="CA729" i="44"/>
  <c r="BY729" i="44"/>
  <c r="BW729" i="44"/>
  <c r="BV729" i="44"/>
  <c r="BU729" i="44"/>
  <c r="BT729" i="44"/>
  <c r="BS729" i="44"/>
  <c r="BQ729" i="44"/>
  <c r="BP729" i="44"/>
  <c r="BO729" i="44"/>
  <c r="BN729" i="44"/>
  <c r="BM729" i="44"/>
  <c r="BK729" i="44"/>
  <c r="BJ729" i="44"/>
  <c r="BG729" i="44"/>
  <c r="BF729" i="44"/>
  <c r="BE729" i="44"/>
  <c r="BD729" i="44"/>
  <c r="BC729" i="44"/>
  <c r="BA729" i="44"/>
  <c r="AZ729" i="44"/>
  <c r="AV729" i="44"/>
  <c r="AU729" i="44"/>
  <c r="AT729" i="44"/>
  <c r="AS729" i="44"/>
  <c r="AQ729" i="44"/>
  <c r="AO729" i="44"/>
  <c r="AM729" i="44"/>
  <c r="AL729" i="44"/>
  <c r="AK729" i="44"/>
  <c r="AJ729" i="44"/>
  <c r="AI729" i="44"/>
  <c r="AH729" i="44"/>
  <c r="AG729" i="44"/>
  <c r="AF729" i="44"/>
  <c r="AD729" i="44"/>
  <c r="AB729" i="44"/>
  <c r="AA729" i="44"/>
  <c r="Z729" i="44"/>
  <c r="Y729" i="44"/>
  <c r="W729" i="44"/>
  <c r="V729" i="44"/>
  <c r="U729" i="44"/>
  <c r="S729" i="44"/>
  <c r="R729" i="44"/>
  <c r="Q729" i="44"/>
  <c r="P729" i="44"/>
  <c r="O729" i="44"/>
  <c r="N729" i="44"/>
  <c r="M729" i="44"/>
  <c r="L729" i="44"/>
  <c r="F729" i="44"/>
  <c r="E729" i="44"/>
  <c r="D729" i="44"/>
  <c r="FH728" i="44"/>
  <c r="FD728" i="44"/>
  <c r="FC728" i="44"/>
  <c r="FB728" i="44"/>
  <c r="FA728" i="44"/>
  <c r="EZ728" i="44"/>
  <c r="EY728" i="44"/>
  <c r="EX728" i="44"/>
  <c r="EW728" i="44"/>
  <c r="EV728" i="44"/>
  <c r="EU728" i="44"/>
  <c r="ET728" i="44"/>
  <c r="ER728" i="44"/>
  <c r="EQ728" i="44"/>
  <c r="EO728" i="44"/>
  <c r="EF728" i="44"/>
  <c r="EE728" i="44"/>
  <c r="EC728" i="44"/>
  <c r="DX728" i="44"/>
  <c r="DW728" i="44"/>
  <c r="DV728" i="44"/>
  <c r="DU728" i="44"/>
  <c r="DT728" i="44"/>
  <c r="DS728" i="44"/>
  <c r="DQ728" i="44"/>
  <c r="DP728" i="44"/>
  <c r="DO728" i="44"/>
  <c r="DM728" i="44"/>
  <c r="DL728" i="44"/>
  <c r="DK728" i="44"/>
  <c r="DI728" i="44"/>
  <c r="DH728" i="44"/>
  <c r="DG728" i="44"/>
  <c r="DE728" i="44"/>
  <c r="DD728" i="44"/>
  <c r="DC728" i="44"/>
  <c r="DA728" i="44"/>
  <c r="CZ728" i="44"/>
  <c r="CY728" i="44"/>
  <c r="CX728" i="44"/>
  <c r="CW728" i="44"/>
  <c r="CV728" i="44"/>
  <c r="CU728" i="44"/>
  <c r="CT728" i="44"/>
  <c r="CS728" i="44"/>
  <c r="CO728" i="44"/>
  <c r="CN728" i="44"/>
  <c r="CM728" i="44"/>
  <c r="CL728" i="44"/>
  <c r="CJ728" i="44"/>
  <c r="CH728" i="44"/>
  <c r="CG728" i="44"/>
  <c r="CF728" i="44"/>
  <c r="CE728" i="44"/>
  <c r="CD728" i="44"/>
  <c r="CA728" i="44"/>
  <c r="BY728" i="44"/>
  <c r="BW728" i="44"/>
  <c r="BV728" i="44"/>
  <c r="BU728" i="44"/>
  <c r="BT728" i="44"/>
  <c r="BS728" i="44"/>
  <c r="BQ728" i="44"/>
  <c r="BP728" i="44"/>
  <c r="BO728" i="44"/>
  <c r="BN728" i="44"/>
  <c r="BM728" i="44"/>
  <c r="BK728" i="44"/>
  <c r="BJ728" i="44"/>
  <c r="BG728" i="44"/>
  <c r="BF728" i="44"/>
  <c r="BE728" i="44"/>
  <c r="BD728" i="44"/>
  <c r="BC728" i="44"/>
  <c r="BA728" i="44"/>
  <c r="AZ728" i="44"/>
  <c r="AV728" i="44"/>
  <c r="AU728" i="44"/>
  <c r="AT728" i="44"/>
  <c r="AS728" i="44"/>
  <c r="AQ728" i="44"/>
  <c r="AO728" i="44"/>
  <c r="AM728" i="44"/>
  <c r="AL728" i="44"/>
  <c r="AK728" i="44"/>
  <c r="AJ728" i="44"/>
  <c r="AI728" i="44"/>
  <c r="AH728" i="44"/>
  <c r="AG728" i="44"/>
  <c r="AF728" i="44"/>
  <c r="AD728" i="44"/>
  <c r="AB728" i="44"/>
  <c r="AA728" i="44"/>
  <c r="Z728" i="44"/>
  <c r="Y728" i="44"/>
  <c r="W728" i="44"/>
  <c r="V728" i="44"/>
  <c r="U728" i="44"/>
  <c r="S728" i="44"/>
  <c r="R728" i="44"/>
  <c r="Q728" i="44"/>
  <c r="P728" i="44"/>
  <c r="O728" i="44"/>
  <c r="N728" i="44"/>
  <c r="M728" i="44"/>
  <c r="L728" i="44"/>
  <c r="F728" i="44"/>
  <c r="E728" i="44"/>
  <c r="D728" i="44"/>
  <c r="FH727" i="44"/>
  <c r="FD727" i="44"/>
  <c r="FC727" i="44"/>
  <c r="FB727" i="44"/>
  <c r="FA727" i="44"/>
  <c r="EZ727" i="44"/>
  <c r="EY727" i="44"/>
  <c r="EX727" i="44"/>
  <c r="EW727" i="44"/>
  <c r="EV727" i="44"/>
  <c r="EU727" i="44"/>
  <c r="ET727" i="44"/>
  <c r="ER727" i="44"/>
  <c r="EQ727" i="44"/>
  <c r="EO727" i="44"/>
  <c r="EF727" i="44"/>
  <c r="EE727" i="44"/>
  <c r="EC727" i="44"/>
  <c r="DX727" i="44"/>
  <c r="DW727" i="44"/>
  <c r="DV727" i="44"/>
  <c r="DU727" i="44"/>
  <c r="DT727" i="44"/>
  <c r="DS727" i="44"/>
  <c r="DQ727" i="44"/>
  <c r="DP727" i="44"/>
  <c r="DO727" i="44"/>
  <c r="DM727" i="44"/>
  <c r="DL727" i="44"/>
  <c r="DK727" i="44"/>
  <c r="DI727" i="44"/>
  <c r="DH727" i="44"/>
  <c r="DG727" i="44"/>
  <c r="DE727" i="44"/>
  <c r="DD727" i="44"/>
  <c r="DC727" i="44"/>
  <c r="DA727" i="44"/>
  <c r="CZ727" i="44"/>
  <c r="CY727" i="44"/>
  <c r="CX727" i="44"/>
  <c r="CW727" i="44"/>
  <c r="CV727" i="44"/>
  <c r="CU727" i="44"/>
  <c r="CT727" i="44"/>
  <c r="CS727" i="44"/>
  <c r="CO727" i="44"/>
  <c r="CN727" i="44"/>
  <c r="CM727" i="44"/>
  <c r="CL727" i="44"/>
  <c r="CJ727" i="44"/>
  <c r="CH727" i="44"/>
  <c r="CG727" i="44"/>
  <c r="CF727" i="44"/>
  <c r="CE727" i="44"/>
  <c r="CD727" i="44"/>
  <c r="CA727" i="44"/>
  <c r="BY727" i="44"/>
  <c r="BW727" i="44"/>
  <c r="BV727" i="44"/>
  <c r="BU727" i="44"/>
  <c r="BT727" i="44"/>
  <c r="BS727" i="44"/>
  <c r="BQ727" i="44"/>
  <c r="BP727" i="44"/>
  <c r="BO727" i="44"/>
  <c r="BN727" i="44"/>
  <c r="BM727" i="44"/>
  <c r="BK727" i="44"/>
  <c r="BJ727" i="44"/>
  <c r="BG727" i="44"/>
  <c r="BF727" i="44"/>
  <c r="BE727" i="44"/>
  <c r="BD727" i="44"/>
  <c r="BC727" i="44"/>
  <c r="BA727" i="44"/>
  <c r="AZ727" i="44"/>
  <c r="AV727" i="44"/>
  <c r="AU727" i="44"/>
  <c r="AT727" i="44"/>
  <c r="AS727" i="44"/>
  <c r="AQ727" i="44"/>
  <c r="AO727" i="44"/>
  <c r="AM727" i="44"/>
  <c r="AL727" i="44"/>
  <c r="AK727" i="44"/>
  <c r="AJ727" i="44"/>
  <c r="AI727" i="44"/>
  <c r="AH727" i="44"/>
  <c r="AG727" i="44"/>
  <c r="AF727" i="44"/>
  <c r="AD727" i="44"/>
  <c r="AB727" i="44"/>
  <c r="AA727" i="44"/>
  <c r="Z727" i="44"/>
  <c r="Y727" i="44"/>
  <c r="W727" i="44"/>
  <c r="V727" i="44"/>
  <c r="U727" i="44"/>
  <c r="S727" i="44"/>
  <c r="R727" i="44"/>
  <c r="Q727" i="44"/>
  <c r="P727" i="44"/>
  <c r="O727" i="44"/>
  <c r="N727" i="44"/>
  <c r="M727" i="44"/>
  <c r="L727" i="44"/>
  <c r="F727" i="44"/>
  <c r="E727" i="44"/>
  <c r="D727" i="44"/>
  <c r="FH726" i="44"/>
  <c r="FD726" i="44"/>
  <c r="FC726" i="44"/>
  <c r="FB726" i="44"/>
  <c r="FA726" i="44"/>
  <c r="EZ726" i="44"/>
  <c r="EY726" i="44"/>
  <c r="EX726" i="44"/>
  <c r="EW726" i="44"/>
  <c r="EV726" i="44"/>
  <c r="EU726" i="44"/>
  <c r="ET726" i="44"/>
  <c r="ER726" i="44"/>
  <c r="EQ726" i="44"/>
  <c r="EO726" i="44"/>
  <c r="EF726" i="44"/>
  <c r="EE726" i="44"/>
  <c r="EC726" i="44"/>
  <c r="DX726" i="44"/>
  <c r="DW726" i="44"/>
  <c r="DV726" i="44"/>
  <c r="DU726" i="44"/>
  <c r="DT726" i="44"/>
  <c r="DS726" i="44"/>
  <c r="DQ726" i="44"/>
  <c r="DP726" i="44"/>
  <c r="DO726" i="44"/>
  <c r="DM726" i="44"/>
  <c r="DL726" i="44"/>
  <c r="DK726" i="44"/>
  <c r="DI726" i="44"/>
  <c r="DH726" i="44"/>
  <c r="DG726" i="44"/>
  <c r="DE726" i="44"/>
  <c r="DD726" i="44"/>
  <c r="DC726" i="44"/>
  <c r="DA726" i="44"/>
  <c r="CZ726" i="44"/>
  <c r="CY726" i="44"/>
  <c r="CX726" i="44"/>
  <c r="CW726" i="44"/>
  <c r="CV726" i="44"/>
  <c r="CU726" i="44"/>
  <c r="CT726" i="44"/>
  <c r="CS726" i="44"/>
  <c r="CO726" i="44"/>
  <c r="CN726" i="44"/>
  <c r="CM726" i="44"/>
  <c r="CL726" i="44"/>
  <c r="CJ726" i="44"/>
  <c r="CH726" i="44"/>
  <c r="CG726" i="44"/>
  <c r="CF726" i="44"/>
  <c r="CE726" i="44"/>
  <c r="CD726" i="44"/>
  <c r="CA726" i="44"/>
  <c r="BY726" i="44"/>
  <c r="BW726" i="44"/>
  <c r="BV726" i="44"/>
  <c r="BU726" i="44"/>
  <c r="BT726" i="44"/>
  <c r="BS726" i="44"/>
  <c r="BQ726" i="44"/>
  <c r="BP726" i="44"/>
  <c r="BO726" i="44"/>
  <c r="BN726" i="44"/>
  <c r="BM726" i="44"/>
  <c r="BK726" i="44"/>
  <c r="BJ726" i="44"/>
  <c r="BG726" i="44"/>
  <c r="BF726" i="44"/>
  <c r="BE726" i="44"/>
  <c r="BD726" i="44"/>
  <c r="BC726" i="44"/>
  <c r="BA726" i="44"/>
  <c r="AZ726" i="44"/>
  <c r="AV726" i="44"/>
  <c r="AU726" i="44"/>
  <c r="AT726" i="44"/>
  <c r="AS726" i="44"/>
  <c r="AQ726" i="44"/>
  <c r="AO726" i="44"/>
  <c r="AM726" i="44"/>
  <c r="AL726" i="44"/>
  <c r="AK726" i="44"/>
  <c r="AJ726" i="44"/>
  <c r="AI726" i="44"/>
  <c r="AH726" i="44"/>
  <c r="AG726" i="44"/>
  <c r="AF726" i="44"/>
  <c r="AD726" i="44"/>
  <c r="AB726" i="44"/>
  <c r="AA726" i="44"/>
  <c r="Z726" i="44"/>
  <c r="Y726" i="44"/>
  <c r="W726" i="44"/>
  <c r="V726" i="44"/>
  <c r="U726" i="44"/>
  <c r="S726" i="44"/>
  <c r="R726" i="44"/>
  <c r="Q726" i="44"/>
  <c r="P726" i="44"/>
  <c r="O726" i="44"/>
  <c r="N726" i="44"/>
  <c r="M726" i="44"/>
  <c r="L726" i="44"/>
  <c r="F726" i="44"/>
  <c r="E726" i="44"/>
  <c r="D726" i="44"/>
  <c r="FH725" i="44"/>
  <c r="FD725" i="44"/>
  <c r="FC725" i="44"/>
  <c r="FB725" i="44"/>
  <c r="FA725" i="44"/>
  <c r="EZ725" i="44"/>
  <c r="EY725" i="44"/>
  <c r="EX725" i="44"/>
  <c r="EW725" i="44"/>
  <c r="EV725" i="44"/>
  <c r="EU725" i="44"/>
  <c r="ET725" i="44"/>
  <c r="ER725" i="44"/>
  <c r="EQ725" i="44"/>
  <c r="EO725" i="44"/>
  <c r="EF725" i="44"/>
  <c r="EE725" i="44"/>
  <c r="EC725" i="44"/>
  <c r="DX725" i="44"/>
  <c r="DW725" i="44"/>
  <c r="DV725" i="44"/>
  <c r="DU725" i="44"/>
  <c r="DT725" i="44"/>
  <c r="DS725" i="44"/>
  <c r="DQ725" i="44"/>
  <c r="DP725" i="44"/>
  <c r="DO725" i="44"/>
  <c r="DM725" i="44"/>
  <c r="DL725" i="44"/>
  <c r="DK725" i="44"/>
  <c r="DI725" i="44"/>
  <c r="DH725" i="44"/>
  <c r="DG725" i="44"/>
  <c r="DE725" i="44"/>
  <c r="DD725" i="44"/>
  <c r="DC725" i="44"/>
  <c r="DA725" i="44"/>
  <c r="CZ725" i="44"/>
  <c r="CY725" i="44"/>
  <c r="CX725" i="44"/>
  <c r="CW725" i="44"/>
  <c r="CV725" i="44"/>
  <c r="CU725" i="44"/>
  <c r="CT725" i="44"/>
  <c r="CS725" i="44"/>
  <c r="CO725" i="44"/>
  <c r="CN725" i="44"/>
  <c r="CM725" i="44"/>
  <c r="CL725" i="44"/>
  <c r="CJ725" i="44"/>
  <c r="CH725" i="44"/>
  <c r="CG725" i="44"/>
  <c r="CF725" i="44"/>
  <c r="CE725" i="44"/>
  <c r="CD725" i="44"/>
  <c r="CA725" i="44"/>
  <c r="BY725" i="44"/>
  <c r="BW725" i="44"/>
  <c r="BV725" i="44"/>
  <c r="BU725" i="44"/>
  <c r="BT725" i="44"/>
  <c r="BS725" i="44"/>
  <c r="BQ725" i="44"/>
  <c r="BP725" i="44"/>
  <c r="BO725" i="44"/>
  <c r="BN725" i="44"/>
  <c r="BM725" i="44"/>
  <c r="BK725" i="44"/>
  <c r="BJ725" i="44"/>
  <c r="BG725" i="44"/>
  <c r="BF725" i="44"/>
  <c r="BE725" i="44"/>
  <c r="BD725" i="44"/>
  <c r="BC725" i="44"/>
  <c r="BA725" i="44"/>
  <c r="AZ725" i="44"/>
  <c r="AV725" i="44"/>
  <c r="AU725" i="44"/>
  <c r="AT725" i="44"/>
  <c r="AS725" i="44"/>
  <c r="AQ725" i="44"/>
  <c r="AO725" i="44"/>
  <c r="AM725" i="44"/>
  <c r="AL725" i="44"/>
  <c r="AK725" i="44"/>
  <c r="AJ725" i="44"/>
  <c r="AI725" i="44"/>
  <c r="AH725" i="44"/>
  <c r="AG725" i="44"/>
  <c r="AF725" i="44"/>
  <c r="AD725" i="44"/>
  <c r="AB725" i="44"/>
  <c r="AA725" i="44"/>
  <c r="Z725" i="44"/>
  <c r="Y725" i="44"/>
  <c r="W725" i="44"/>
  <c r="V725" i="44"/>
  <c r="U725" i="44"/>
  <c r="S725" i="44"/>
  <c r="R725" i="44"/>
  <c r="Q725" i="44"/>
  <c r="P725" i="44"/>
  <c r="O725" i="44"/>
  <c r="N725" i="44"/>
  <c r="M725" i="44"/>
  <c r="L725" i="44"/>
  <c r="F725" i="44"/>
  <c r="E725" i="44"/>
  <c r="D725" i="44"/>
  <c r="FH724" i="44"/>
  <c r="FD724" i="44"/>
  <c r="FC724" i="44"/>
  <c r="FB724" i="44"/>
  <c r="FA724" i="44"/>
  <c r="EZ724" i="44"/>
  <c r="EY724" i="44"/>
  <c r="EX724" i="44"/>
  <c r="EW724" i="44"/>
  <c r="EV724" i="44"/>
  <c r="EU724" i="44"/>
  <c r="ET724" i="44"/>
  <c r="ER724" i="44"/>
  <c r="EQ724" i="44"/>
  <c r="EO724" i="44"/>
  <c r="EF724" i="44"/>
  <c r="EE724" i="44"/>
  <c r="EC724" i="44"/>
  <c r="DX724" i="44"/>
  <c r="DW724" i="44"/>
  <c r="DV724" i="44"/>
  <c r="DU724" i="44"/>
  <c r="DT724" i="44"/>
  <c r="DS724" i="44"/>
  <c r="DQ724" i="44"/>
  <c r="DP724" i="44"/>
  <c r="DO724" i="44"/>
  <c r="DM724" i="44"/>
  <c r="DL724" i="44"/>
  <c r="DK724" i="44"/>
  <c r="DI724" i="44"/>
  <c r="DH724" i="44"/>
  <c r="DG724" i="44"/>
  <c r="DE724" i="44"/>
  <c r="DD724" i="44"/>
  <c r="DC724" i="44"/>
  <c r="DA724" i="44"/>
  <c r="CZ724" i="44"/>
  <c r="CY724" i="44"/>
  <c r="CX724" i="44"/>
  <c r="CW724" i="44"/>
  <c r="CV724" i="44"/>
  <c r="CU724" i="44"/>
  <c r="CT724" i="44"/>
  <c r="CS724" i="44"/>
  <c r="CO724" i="44"/>
  <c r="CN724" i="44"/>
  <c r="CM724" i="44"/>
  <c r="CL724" i="44"/>
  <c r="CJ724" i="44"/>
  <c r="CH724" i="44"/>
  <c r="CG724" i="44"/>
  <c r="CF724" i="44"/>
  <c r="CE724" i="44"/>
  <c r="CD724" i="44"/>
  <c r="CA724" i="44"/>
  <c r="BY724" i="44"/>
  <c r="BW724" i="44"/>
  <c r="BV724" i="44"/>
  <c r="BU724" i="44"/>
  <c r="BT724" i="44"/>
  <c r="BS724" i="44"/>
  <c r="BQ724" i="44"/>
  <c r="BP724" i="44"/>
  <c r="BO724" i="44"/>
  <c r="BN724" i="44"/>
  <c r="BM724" i="44"/>
  <c r="BK724" i="44"/>
  <c r="BJ724" i="44"/>
  <c r="BG724" i="44"/>
  <c r="BF724" i="44"/>
  <c r="BE724" i="44"/>
  <c r="BD724" i="44"/>
  <c r="BC724" i="44"/>
  <c r="BA724" i="44"/>
  <c r="AZ724" i="44"/>
  <c r="AV724" i="44"/>
  <c r="AU724" i="44"/>
  <c r="AT724" i="44"/>
  <c r="AS724" i="44"/>
  <c r="AQ724" i="44"/>
  <c r="AO724" i="44"/>
  <c r="AM724" i="44"/>
  <c r="AL724" i="44"/>
  <c r="AK724" i="44"/>
  <c r="AJ724" i="44"/>
  <c r="AI724" i="44"/>
  <c r="AH724" i="44"/>
  <c r="AG724" i="44"/>
  <c r="AF724" i="44"/>
  <c r="AD724" i="44"/>
  <c r="AB724" i="44"/>
  <c r="AA724" i="44"/>
  <c r="Z724" i="44"/>
  <c r="Y724" i="44"/>
  <c r="W724" i="44"/>
  <c r="V724" i="44"/>
  <c r="U724" i="44"/>
  <c r="S724" i="44"/>
  <c r="R724" i="44"/>
  <c r="Q724" i="44"/>
  <c r="P724" i="44"/>
  <c r="O724" i="44"/>
  <c r="N724" i="44"/>
  <c r="M724" i="44"/>
  <c r="L724" i="44"/>
  <c r="F724" i="44"/>
  <c r="E724" i="44"/>
  <c r="D724" i="44"/>
  <c r="FH723" i="44"/>
  <c r="FD723" i="44"/>
  <c r="FC723" i="44"/>
  <c r="FB723" i="44"/>
  <c r="FA723" i="44"/>
  <c r="EZ723" i="44"/>
  <c r="EY723" i="44"/>
  <c r="EX723" i="44"/>
  <c r="EW723" i="44"/>
  <c r="EV723" i="44"/>
  <c r="EU723" i="44"/>
  <c r="ET723" i="44"/>
  <c r="ER723" i="44"/>
  <c r="EQ723" i="44"/>
  <c r="EO723" i="44"/>
  <c r="EF723" i="44"/>
  <c r="EE723" i="44"/>
  <c r="EC723" i="44"/>
  <c r="DX723" i="44"/>
  <c r="DW723" i="44"/>
  <c r="DV723" i="44"/>
  <c r="DU723" i="44"/>
  <c r="DT723" i="44"/>
  <c r="DS723" i="44"/>
  <c r="DQ723" i="44"/>
  <c r="DP723" i="44"/>
  <c r="DO723" i="44"/>
  <c r="DM723" i="44"/>
  <c r="DL723" i="44"/>
  <c r="DK723" i="44"/>
  <c r="DI723" i="44"/>
  <c r="DH723" i="44"/>
  <c r="DG723" i="44"/>
  <c r="DE723" i="44"/>
  <c r="DD723" i="44"/>
  <c r="DC723" i="44"/>
  <c r="DA723" i="44"/>
  <c r="CZ723" i="44"/>
  <c r="CY723" i="44"/>
  <c r="CX723" i="44"/>
  <c r="CW723" i="44"/>
  <c r="CV723" i="44"/>
  <c r="CU723" i="44"/>
  <c r="CT723" i="44"/>
  <c r="CS723" i="44"/>
  <c r="CO723" i="44"/>
  <c r="CN723" i="44"/>
  <c r="CM723" i="44"/>
  <c r="CL723" i="44"/>
  <c r="CJ723" i="44"/>
  <c r="CH723" i="44"/>
  <c r="CG723" i="44"/>
  <c r="CF723" i="44"/>
  <c r="CE723" i="44"/>
  <c r="CD723" i="44"/>
  <c r="CA723" i="44"/>
  <c r="BY723" i="44"/>
  <c r="BW723" i="44"/>
  <c r="BV723" i="44"/>
  <c r="BU723" i="44"/>
  <c r="BT723" i="44"/>
  <c r="BS723" i="44"/>
  <c r="BQ723" i="44"/>
  <c r="BP723" i="44"/>
  <c r="BO723" i="44"/>
  <c r="BN723" i="44"/>
  <c r="BM723" i="44"/>
  <c r="BK723" i="44"/>
  <c r="BJ723" i="44"/>
  <c r="BG723" i="44"/>
  <c r="BF723" i="44"/>
  <c r="BE723" i="44"/>
  <c r="BD723" i="44"/>
  <c r="BC723" i="44"/>
  <c r="BA723" i="44"/>
  <c r="AZ723" i="44"/>
  <c r="AV723" i="44"/>
  <c r="AU723" i="44"/>
  <c r="AT723" i="44"/>
  <c r="AS723" i="44"/>
  <c r="AQ723" i="44"/>
  <c r="AO723" i="44"/>
  <c r="AM723" i="44"/>
  <c r="AL723" i="44"/>
  <c r="AK723" i="44"/>
  <c r="AJ723" i="44"/>
  <c r="AI723" i="44"/>
  <c r="AH723" i="44"/>
  <c r="AG723" i="44"/>
  <c r="AF723" i="44"/>
  <c r="AD723" i="44"/>
  <c r="AB723" i="44"/>
  <c r="AA723" i="44"/>
  <c r="Z723" i="44"/>
  <c r="Y723" i="44"/>
  <c r="W723" i="44"/>
  <c r="V723" i="44"/>
  <c r="U723" i="44"/>
  <c r="S723" i="44"/>
  <c r="R723" i="44"/>
  <c r="Q723" i="44"/>
  <c r="P723" i="44"/>
  <c r="O723" i="44"/>
  <c r="N723" i="44"/>
  <c r="M723" i="44"/>
  <c r="L723" i="44"/>
  <c r="F723" i="44"/>
  <c r="E723" i="44"/>
  <c r="D723" i="44"/>
  <c r="FH722" i="44"/>
  <c r="FD722" i="44"/>
  <c r="FC722" i="44"/>
  <c r="FB722" i="44"/>
  <c r="FA722" i="44"/>
  <c r="EZ722" i="44"/>
  <c r="EY722" i="44"/>
  <c r="EX722" i="44"/>
  <c r="EW722" i="44"/>
  <c r="EV722" i="44"/>
  <c r="EU722" i="44"/>
  <c r="ET722" i="44"/>
  <c r="ER722" i="44"/>
  <c r="EQ722" i="44"/>
  <c r="EO722" i="44"/>
  <c r="EF722" i="44"/>
  <c r="EE722" i="44"/>
  <c r="EC722" i="44"/>
  <c r="DX722" i="44"/>
  <c r="DW722" i="44"/>
  <c r="DV722" i="44"/>
  <c r="DU722" i="44"/>
  <c r="DT722" i="44"/>
  <c r="DS722" i="44"/>
  <c r="DQ722" i="44"/>
  <c r="DP722" i="44"/>
  <c r="DO722" i="44"/>
  <c r="DM722" i="44"/>
  <c r="DL722" i="44"/>
  <c r="DK722" i="44"/>
  <c r="DI722" i="44"/>
  <c r="DH722" i="44"/>
  <c r="DG722" i="44"/>
  <c r="DE722" i="44"/>
  <c r="DD722" i="44"/>
  <c r="DC722" i="44"/>
  <c r="DA722" i="44"/>
  <c r="CZ722" i="44"/>
  <c r="CY722" i="44"/>
  <c r="CX722" i="44"/>
  <c r="CW722" i="44"/>
  <c r="CV722" i="44"/>
  <c r="CU722" i="44"/>
  <c r="CT722" i="44"/>
  <c r="CS722" i="44"/>
  <c r="CO722" i="44"/>
  <c r="CN722" i="44"/>
  <c r="CM722" i="44"/>
  <c r="CL722" i="44"/>
  <c r="CJ722" i="44"/>
  <c r="CH722" i="44"/>
  <c r="CG722" i="44"/>
  <c r="CF722" i="44"/>
  <c r="CE722" i="44"/>
  <c r="CD722" i="44"/>
  <c r="CA722" i="44"/>
  <c r="BY722" i="44"/>
  <c r="BW722" i="44"/>
  <c r="BV722" i="44"/>
  <c r="BU722" i="44"/>
  <c r="BT722" i="44"/>
  <c r="BS722" i="44"/>
  <c r="BQ722" i="44"/>
  <c r="BP722" i="44"/>
  <c r="BO722" i="44"/>
  <c r="BN722" i="44"/>
  <c r="BM722" i="44"/>
  <c r="BK722" i="44"/>
  <c r="BJ722" i="44"/>
  <c r="BG722" i="44"/>
  <c r="BF722" i="44"/>
  <c r="BE722" i="44"/>
  <c r="BD722" i="44"/>
  <c r="BC722" i="44"/>
  <c r="BA722" i="44"/>
  <c r="AZ722" i="44"/>
  <c r="AV722" i="44"/>
  <c r="AU722" i="44"/>
  <c r="AT722" i="44"/>
  <c r="AS722" i="44"/>
  <c r="AQ722" i="44"/>
  <c r="AO722" i="44"/>
  <c r="AM722" i="44"/>
  <c r="AL722" i="44"/>
  <c r="AK722" i="44"/>
  <c r="AJ722" i="44"/>
  <c r="AI722" i="44"/>
  <c r="AH722" i="44"/>
  <c r="AG722" i="44"/>
  <c r="AF722" i="44"/>
  <c r="AD722" i="44"/>
  <c r="AB722" i="44"/>
  <c r="AA722" i="44"/>
  <c r="Z722" i="44"/>
  <c r="Y722" i="44"/>
  <c r="W722" i="44"/>
  <c r="V722" i="44"/>
  <c r="U722" i="44"/>
  <c r="S722" i="44"/>
  <c r="R722" i="44"/>
  <c r="Q722" i="44"/>
  <c r="P722" i="44"/>
  <c r="O722" i="44"/>
  <c r="N722" i="44"/>
  <c r="M722" i="44"/>
  <c r="L722" i="44"/>
  <c r="F722" i="44"/>
  <c r="E722" i="44"/>
  <c r="D722" i="44"/>
  <c r="FH721" i="44"/>
  <c r="FD721" i="44"/>
  <c r="FC721" i="44"/>
  <c r="FB721" i="44"/>
  <c r="FA721" i="44"/>
  <c r="EZ721" i="44"/>
  <c r="EY721" i="44"/>
  <c r="EX721" i="44"/>
  <c r="EW721" i="44"/>
  <c r="EV721" i="44"/>
  <c r="EU721" i="44"/>
  <c r="ET721" i="44"/>
  <c r="ER721" i="44"/>
  <c r="EQ721" i="44"/>
  <c r="EO721" i="44"/>
  <c r="EF721" i="44"/>
  <c r="EE721" i="44"/>
  <c r="EC721" i="44"/>
  <c r="DX721" i="44"/>
  <c r="DW721" i="44"/>
  <c r="DV721" i="44"/>
  <c r="DU721" i="44"/>
  <c r="DT721" i="44"/>
  <c r="DS721" i="44"/>
  <c r="DQ721" i="44"/>
  <c r="DP721" i="44"/>
  <c r="DO721" i="44"/>
  <c r="DM721" i="44"/>
  <c r="DL721" i="44"/>
  <c r="DK721" i="44"/>
  <c r="DI721" i="44"/>
  <c r="DH721" i="44"/>
  <c r="DG721" i="44"/>
  <c r="DE721" i="44"/>
  <c r="DD721" i="44"/>
  <c r="DC721" i="44"/>
  <c r="DA721" i="44"/>
  <c r="CZ721" i="44"/>
  <c r="CY721" i="44"/>
  <c r="CX721" i="44"/>
  <c r="CW721" i="44"/>
  <c r="CV721" i="44"/>
  <c r="CU721" i="44"/>
  <c r="CT721" i="44"/>
  <c r="CS721" i="44"/>
  <c r="CO721" i="44"/>
  <c r="CN721" i="44"/>
  <c r="CM721" i="44"/>
  <c r="CL721" i="44"/>
  <c r="CJ721" i="44"/>
  <c r="CH721" i="44"/>
  <c r="CG721" i="44"/>
  <c r="CF721" i="44"/>
  <c r="CE721" i="44"/>
  <c r="CD721" i="44"/>
  <c r="CA721" i="44"/>
  <c r="BY721" i="44"/>
  <c r="BW721" i="44"/>
  <c r="BV721" i="44"/>
  <c r="BU721" i="44"/>
  <c r="BT721" i="44"/>
  <c r="BS721" i="44"/>
  <c r="BQ721" i="44"/>
  <c r="BP721" i="44"/>
  <c r="BO721" i="44"/>
  <c r="BN721" i="44"/>
  <c r="BM721" i="44"/>
  <c r="BK721" i="44"/>
  <c r="BJ721" i="44"/>
  <c r="BG721" i="44"/>
  <c r="BF721" i="44"/>
  <c r="BE721" i="44"/>
  <c r="BD721" i="44"/>
  <c r="BC721" i="44"/>
  <c r="BA721" i="44"/>
  <c r="AZ721" i="44"/>
  <c r="AV721" i="44"/>
  <c r="AU721" i="44"/>
  <c r="AT721" i="44"/>
  <c r="AS721" i="44"/>
  <c r="AQ721" i="44"/>
  <c r="AO721" i="44"/>
  <c r="AM721" i="44"/>
  <c r="AL721" i="44"/>
  <c r="AK721" i="44"/>
  <c r="AJ721" i="44"/>
  <c r="AI721" i="44"/>
  <c r="AH721" i="44"/>
  <c r="AG721" i="44"/>
  <c r="AF721" i="44"/>
  <c r="AD721" i="44"/>
  <c r="AB721" i="44"/>
  <c r="AA721" i="44"/>
  <c r="Z721" i="44"/>
  <c r="Y721" i="44"/>
  <c r="W721" i="44"/>
  <c r="V721" i="44"/>
  <c r="U721" i="44"/>
  <c r="S721" i="44"/>
  <c r="R721" i="44"/>
  <c r="Q721" i="44"/>
  <c r="P721" i="44"/>
  <c r="O721" i="44"/>
  <c r="N721" i="44"/>
  <c r="M721" i="44"/>
  <c r="L721" i="44"/>
  <c r="F721" i="44"/>
  <c r="E721" i="44"/>
  <c r="D721" i="44"/>
  <c r="FH720" i="44"/>
  <c r="FD720" i="44"/>
  <c r="FC720" i="44"/>
  <c r="FB720" i="44"/>
  <c r="FA720" i="44"/>
  <c r="EZ720" i="44"/>
  <c r="EY720" i="44"/>
  <c r="EX720" i="44"/>
  <c r="EW720" i="44"/>
  <c r="EV720" i="44"/>
  <c r="EU720" i="44"/>
  <c r="ET720" i="44"/>
  <c r="ER720" i="44"/>
  <c r="EQ720" i="44"/>
  <c r="EO720" i="44"/>
  <c r="EF720" i="44"/>
  <c r="EE720" i="44"/>
  <c r="EC720" i="44"/>
  <c r="DX720" i="44"/>
  <c r="DW720" i="44"/>
  <c r="DV720" i="44"/>
  <c r="DU720" i="44"/>
  <c r="DT720" i="44"/>
  <c r="DS720" i="44"/>
  <c r="DQ720" i="44"/>
  <c r="DP720" i="44"/>
  <c r="DO720" i="44"/>
  <c r="DM720" i="44"/>
  <c r="DL720" i="44"/>
  <c r="DK720" i="44"/>
  <c r="DI720" i="44"/>
  <c r="DH720" i="44"/>
  <c r="DG720" i="44"/>
  <c r="DE720" i="44"/>
  <c r="DD720" i="44"/>
  <c r="DC720" i="44"/>
  <c r="DA720" i="44"/>
  <c r="CZ720" i="44"/>
  <c r="CY720" i="44"/>
  <c r="CX720" i="44"/>
  <c r="CW720" i="44"/>
  <c r="CV720" i="44"/>
  <c r="CU720" i="44"/>
  <c r="CT720" i="44"/>
  <c r="CS720" i="44"/>
  <c r="CO720" i="44"/>
  <c r="CN720" i="44"/>
  <c r="CM720" i="44"/>
  <c r="CL720" i="44"/>
  <c r="CJ720" i="44"/>
  <c r="CH720" i="44"/>
  <c r="CG720" i="44"/>
  <c r="CF720" i="44"/>
  <c r="CE720" i="44"/>
  <c r="CD720" i="44"/>
  <c r="CA720" i="44"/>
  <c r="BY720" i="44"/>
  <c r="BW720" i="44"/>
  <c r="BV720" i="44"/>
  <c r="BU720" i="44"/>
  <c r="BT720" i="44"/>
  <c r="BS720" i="44"/>
  <c r="BQ720" i="44"/>
  <c r="BP720" i="44"/>
  <c r="BO720" i="44"/>
  <c r="BN720" i="44"/>
  <c r="BM720" i="44"/>
  <c r="BK720" i="44"/>
  <c r="BJ720" i="44"/>
  <c r="BG720" i="44"/>
  <c r="BF720" i="44"/>
  <c r="BE720" i="44"/>
  <c r="BD720" i="44"/>
  <c r="BC720" i="44"/>
  <c r="BA720" i="44"/>
  <c r="AZ720" i="44"/>
  <c r="AV720" i="44"/>
  <c r="AU720" i="44"/>
  <c r="AT720" i="44"/>
  <c r="AS720" i="44"/>
  <c r="AQ720" i="44"/>
  <c r="AO720" i="44"/>
  <c r="AM720" i="44"/>
  <c r="AL720" i="44"/>
  <c r="AK720" i="44"/>
  <c r="AJ720" i="44"/>
  <c r="AI720" i="44"/>
  <c r="AH720" i="44"/>
  <c r="AG720" i="44"/>
  <c r="AF720" i="44"/>
  <c r="AD720" i="44"/>
  <c r="AB720" i="44"/>
  <c r="AA720" i="44"/>
  <c r="Z720" i="44"/>
  <c r="Y720" i="44"/>
  <c r="W720" i="44"/>
  <c r="V720" i="44"/>
  <c r="U720" i="44"/>
  <c r="S720" i="44"/>
  <c r="R720" i="44"/>
  <c r="Q720" i="44"/>
  <c r="P720" i="44"/>
  <c r="O720" i="44"/>
  <c r="N720" i="44"/>
  <c r="M720" i="44"/>
  <c r="L720" i="44"/>
  <c r="F720" i="44"/>
  <c r="E720" i="44"/>
  <c r="D720" i="44"/>
  <c r="FH719" i="44"/>
  <c r="FD719" i="44"/>
  <c r="FC719" i="44"/>
  <c r="FB719" i="44"/>
  <c r="FA719" i="44"/>
  <c r="EZ719" i="44"/>
  <c r="EY719" i="44"/>
  <c r="EX719" i="44"/>
  <c r="EW719" i="44"/>
  <c r="EV719" i="44"/>
  <c r="EU719" i="44"/>
  <c r="ET719" i="44"/>
  <c r="ER719" i="44"/>
  <c r="EQ719" i="44"/>
  <c r="EO719" i="44"/>
  <c r="EF719" i="44"/>
  <c r="EE719" i="44"/>
  <c r="EC719" i="44"/>
  <c r="DX719" i="44"/>
  <c r="DW719" i="44"/>
  <c r="DV719" i="44"/>
  <c r="DU719" i="44"/>
  <c r="DT719" i="44"/>
  <c r="DS719" i="44"/>
  <c r="DQ719" i="44"/>
  <c r="DP719" i="44"/>
  <c r="DO719" i="44"/>
  <c r="DM719" i="44"/>
  <c r="DL719" i="44"/>
  <c r="DK719" i="44"/>
  <c r="DI719" i="44"/>
  <c r="DH719" i="44"/>
  <c r="DG719" i="44"/>
  <c r="DE719" i="44"/>
  <c r="DD719" i="44"/>
  <c r="DC719" i="44"/>
  <c r="DA719" i="44"/>
  <c r="CZ719" i="44"/>
  <c r="CY719" i="44"/>
  <c r="CX719" i="44"/>
  <c r="CW719" i="44"/>
  <c r="CV719" i="44"/>
  <c r="CU719" i="44"/>
  <c r="CT719" i="44"/>
  <c r="CS719" i="44"/>
  <c r="CO719" i="44"/>
  <c r="CN719" i="44"/>
  <c r="CM719" i="44"/>
  <c r="CL719" i="44"/>
  <c r="CJ719" i="44"/>
  <c r="CH719" i="44"/>
  <c r="CG719" i="44"/>
  <c r="CF719" i="44"/>
  <c r="CE719" i="44"/>
  <c r="CD719" i="44"/>
  <c r="CA719" i="44"/>
  <c r="BY719" i="44"/>
  <c r="BW719" i="44"/>
  <c r="BV719" i="44"/>
  <c r="BU719" i="44"/>
  <c r="BT719" i="44"/>
  <c r="BS719" i="44"/>
  <c r="BQ719" i="44"/>
  <c r="BP719" i="44"/>
  <c r="BO719" i="44"/>
  <c r="BN719" i="44"/>
  <c r="BM719" i="44"/>
  <c r="BK719" i="44"/>
  <c r="BJ719" i="44"/>
  <c r="BG719" i="44"/>
  <c r="BF719" i="44"/>
  <c r="BE719" i="44"/>
  <c r="BD719" i="44"/>
  <c r="BC719" i="44"/>
  <c r="BA719" i="44"/>
  <c r="AZ719" i="44"/>
  <c r="AV719" i="44"/>
  <c r="AU719" i="44"/>
  <c r="AT719" i="44"/>
  <c r="AS719" i="44"/>
  <c r="AQ719" i="44"/>
  <c r="AO719" i="44"/>
  <c r="AM719" i="44"/>
  <c r="AL719" i="44"/>
  <c r="AK719" i="44"/>
  <c r="AJ719" i="44"/>
  <c r="AI719" i="44"/>
  <c r="AH719" i="44"/>
  <c r="AG719" i="44"/>
  <c r="AF719" i="44"/>
  <c r="AD719" i="44"/>
  <c r="AB719" i="44"/>
  <c r="AA719" i="44"/>
  <c r="Z719" i="44"/>
  <c r="Y719" i="44"/>
  <c r="W719" i="44"/>
  <c r="V719" i="44"/>
  <c r="U719" i="44"/>
  <c r="S719" i="44"/>
  <c r="R719" i="44"/>
  <c r="Q719" i="44"/>
  <c r="P719" i="44"/>
  <c r="O719" i="44"/>
  <c r="N719" i="44"/>
  <c r="M719" i="44"/>
  <c r="L719" i="44"/>
  <c r="F719" i="44"/>
  <c r="E719" i="44"/>
  <c r="D719" i="44"/>
  <c r="FH718" i="44"/>
  <c r="FD718" i="44"/>
  <c r="FC718" i="44"/>
  <c r="FB718" i="44"/>
  <c r="FA718" i="44"/>
  <c r="EZ718" i="44"/>
  <c r="EY718" i="44"/>
  <c r="EX718" i="44"/>
  <c r="EW718" i="44"/>
  <c r="EV718" i="44"/>
  <c r="EU718" i="44"/>
  <c r="ET718" i="44"/>
  <c r="ER718" i="44"/>
  <c r="EQ718" i="44"/>
  <c r="EO718" i="44"/>
  <c r="EF718" i="44"/>
  <c r="EE718" i="44"/>
  <c r="EC718" i="44"/>
  <c r="DX718" i="44"/>
  <c r="DW718" i="44"/>
  <c r="DV718" i="44"/>
  <c r="DU718" i="44"/>
  <c r="DT718" i="44"/>
  <c r="DS718" i="44"/>
  <c r="DQ718" i="44"/>
  <c r="DP718" i="44"/>
  <c r="DO718" i="44"/>
  <c r="DM718" i="44"/>
  <c r="DL718" i="44"/>
  <c r="DK718" i="44"/>
  <c r="DI718" i="44"/>
  <c r="DH718" i="44"/>
  <c r="DG718" i="44"/>
  <c r="DE718" i="44"/>
  <c r="DD718" i="44"/>
  <c r="DC718" i="44"/>
  <c r="DA718" i="44"/>
  <c r="CZ718" i="44"/>
  <c r="CY718" i="44"/>
  <c r="CX718" i="44"/>
  <c r="CW718" i="44"/>
  <c r="CV718" i="44"/>
  <c r="CU718" i="44"/>
  <c r="CT718" i="44"/>
  <c r="CS718" i="44"/>
  <c r="CO718" i="44"/>
  <c r="CN718" i="44"/>
  <c r="CM718" i="44"/>
  <c r="CL718" i="44"/>
  <c r="CJ718" i="44"/>
  <c r="CH718" i="44"/>
  <c r="CG718" i="44"/>
  <c r="CF718" i="44"/>
  <c r="CE718" i="44"/>
  <c r="CD718" i="44"/>
  <c r="CA718" i="44"/>
  <c r="BY718" i="44"/>
  <c r="BW718" i="44"/>
  <c r="BV718" i="44"/>
  <c r="BU718" i="44"/>
  <c r="BT718" i="44"/>
  <c r="BS718" i="44"/>
  <c r="BQ718" i="44"/>
  <c r="BP718" i="44"/>
  <c r="BO718" i="44"/>
  <c r="BN718" i="44"/>
  <c r="BM718" i="44"/>
  <c r="BK718" i="44"/>
  <c r="BJ718" i="44"/>
  <c r="BG718" i="44"/>
  <c r="BF718" i="44"/>
  <c r="BE718" i="44"/>
  <c r="BD718" i="44"/>
  <c r="BC718" i="44"/>
  <c r="BA718" i="44"/>
  <c r="AZ718" i="44"/>
  <c r="AV718" i="44"/>
  <c r="AU718" i="44"/>
  <c r="AT718" i="44"/>
  <c r="AS718" i="44"/>
  <c r="AQ718" i="44"/>
  <c r="AO718" i="44"/>
  <c r="AM718" i="44"/>
  <c r="AL718" i="44"/>
  <c r="AK718" i="44"/>
  <c r="AJ718" i="44"/>
  <c r="AI718" i="44"/>
  <c r="AH718" i="44"/>
  <c r="AG718" i="44"/>
  <c r="AF718" i="44"/>
  <c r="AD718" i="44"/>
  <c r="AB718" i="44"/>
  <c r="AA718" i="44"/>
  <c r="Z718" i="44"/>
  <c r="Y718" i="44"/>
  <c r="W718" i="44"/>
  <c r="V718" i="44"/>
  <c r="U718" i="44"/>
  <c r="S718" i="44"/>
  <c r="R718" i="44"/>
  <c r="Q718" i="44"/>
  <c r="P718" i="44"/>
  <c r="O718" i="44"/>
  <c r="N718" i="44"/>
  <c r="M718" i="44"/>
  <c r="L718" i="44"/>
  <c r="F718" i="44"/>
  <c r="E718" i="44"/>
  <c r="D718" i="44"/>
  <c r="FH717" i="44"/>
  <c r="FD717" i="44"/>
  <c r="FC717" i="44"/>
  <c r="FB717" i="44"/>
  <c r="FA717" i="44"/>
  <c r="EZ717" i="44"/>
  <c r="EY717" i="44"/>
  <c r="EX717" i="44"/>
  <c r="EW717" i="44"/>
  <c r="EV717" i="44"/>
  <c r="EU717" i="44"/>
  <c r="ET717" i="44"/>
  <c r="ER717" i="44"/>
  <c r="EQ717" i="44"/>
  <c r="EO717" i="44"/>
  <c r="EF717" i="44"/>
  <c r="EE717" i="44"/>
  <c r="EC717" i="44"/>
  <c r="DX717" i="44"/>
  <c r="DW717" i="44"/>
  <c r="DV717" i="44"/>
  <c r="DU717" i="44"/>
  <c r="DT717" i="44"/>
  <c r="DS717" i="44"/>
  <c r="DQ717" i="44"/>
  <c r="DP717" i="44"/>
  <c r="DO717" i="44"/>
  <c r="DM717" i="44"/>
  <c r="DL717" i="44"/>
  <c r="DK717" i="44"/>
  <c r="DI717" i="44"/>
  <c r="DH717" i="44"/>
  <c r="DG717" i="44"/>
  <c r="DE717" i="44"/>
  <c r="DD717" i="44"/>
  <c r="DC717" i="44"/>
  <c r="DA717" i="44"/>
  <c r="CZ717" i="44"/>
  <c r="CY717" i="44"/>
  <c r="CX717" i="44"/>
  <c r="CW717" i="44"/>
  <c r="CV717" i="44"/>
  <c r="CU717" i="44"/>
  <c r="CT717" i="44"/>
  <c r="CS717" i="44"/>
  <c r="CO717" i="44"/>
  <c r="CN717" i="44"/>
  <c r="CM717" i="44"/>
  <c r="CL717" i="44"/>
  <c r="CJ717" i="44"/>
  <c r="CH717" i="44"/>
  <c r="CG717" i="44"/>
  <c r="CF717" i="44"/>
  <c r="CE717" i="44"/>
  <c r="CD717" i="44"/>
  <c r="CA717" i="44"/>
  <c r="BY717" i="44"/>
  <c r="BW717" i="44"/>
  <c r="BV717" i="44"/>
  <c r="BU717" i="44"/>
  <c r="BT717" i="44"/>
  <c r="BS717" i="44"/>
  <c r="BQ717" i="44"/>
  <c r="BP717" i="44"/>
  <c r="BO717" i="44"/>
  <c r="BN717" i="44"/>
  <c r="BM717" i="44"/>
  <c r="BK717" i="44"/>
  <c r="BJ717" i="44"/>
  <c r="BG717" i="44"/>
  <c r="BF717" i="44"/>
  <c r="BE717" i="44"/>
  <c r="BD717" i="44"/>
  <c r="BC717" i="44"/>
  <c r="BA717" i="44"/>
  <c r="AZ717" i="44"/>
  <c r="AV717" i="44"/>
  <c r="AU717" i="44"/>
  <c r="AT717" i="44"/>
  <c r="AS717" i="44"/>
  <c r="AQ717" i="44"/>
  <c r="AO717" i="44"/>
  <c r="AM717" i="44"/>
  <c r="AL717" i="44"/>
  <c r="AK717" i="44"/>
  <c r="AJ717" i="44"/>
  <c r="AI717" i="44"/>
  <c r="AH717" i="44"/>
  <c r="AG717" i="44"/>
  <c r="AF717" i="44"/>
  <c r="AD717" i="44"/>
  <c r="AB717" i="44"/>
  <c r="AA717" i="44"/>
  <c r="Z717" i="44"/>
  <c r="Y717" i="44"/>
  <c r="W717" i="44"/>
  <c r="V717" i="44"/>
  <c r="U717" i="44"/>
  <c r="S717" i="44"/>
  <c r="R717" i="44"/>
  <c r="Q717" i="44"/>
  <c r="P717" i="44"/>
  <c r="O717" i="44"/>
  <c r="N717" i="44"/>
  <c r="M717" i="44"/>
  <c r="L717" i="44"/>
  <c r="F717" i="44"/>
  <c r="E717" i="44"/>
  <c r="D717" i="44"/>
  <c r="FH716" i="44"/>
  <c r="FD716" i="44"/>
  <c r="FC716" i="44"/>
  <c r="FB716" i="44"/>
  <c r="FA716" i="44"/>
  <c r="EZ716" i="44"/>
  <c r="EY716" i="44"/>
  <c r="EX716" i="44"/>
  <c r="EW716" i="44"/>
  <c r="EV716" i="44"/>
  <c r="EU716" i="44"/>
  <c r="ET716" i="44"/>
  <c r="ER716" i="44"/>
  <c r="EQ716" i="44"/>
  <c r="EO716" i="44"/>
  <c r="EF716" i="44"/>
  <c r="EE716" i="44"/>
  <c r="EC716" i="44"/>
  <c r="DX716" i="44"/>
  <c r="DW716" i="44"/>
  <c r="DV716" i="44"/>
  <c r="DU716" i="44"/>
  <c r="DT716" i="44"/>
  <c r="DS716" i="44"/>
  <c r="DQ716" i="44"/>
  <c r="DP716" i="44"/>
  <c r="DO716" i="44"/>
  <c r="DM716" i="44"/>
  <c r="DL716" i="44"/>
  <c r="DK716" i="44"/>
  <c r="DI716" i="44"/>
  <c r="DH716" i="44"/>
  <c r="DG716" i="44"/>
  <c r="DE716" i="44"/>
  <c r="DD716" i="44"/>
  <c r="DC716" i="44"/>
  <c r="DA716" i="44"/>
  <c r="CZ716" i="44"/>
  <c r="CY716" i="44"/>
  <c r="CX716" i="44"/>
  <c r="CW716" i="44"/>
  <c r="CV716" i="44"/>
  <c r="CU716" i="44"/>
  <c r="CT716" i="44"/>
  <c r="CS716" i="44"/>
  <c r="CO716" i="44"/>
  <c r="CN716" i="44"/>
  <c r="CM716" i="44"/>
  <c r="CL716" i="44"/>
  <c r="CJ716" i="44"/>
  <c r="CH716" i="44"/>
  <c r="CG716" i="44"/>
  <c r="CF716" i="44"/>
  <c r="CE716" i="44"/>
  <c r="CD716" i="44"/>
  <c r="CA716" i="44"/>
  <c r="BY716" i="44"/>
  <c r="BW716" i="44"/>
  <c r="BV716" i="44"/>
  <c r="BU716" i="44"/>
  <c r="BT716" i="44"/>
  <c r="BS716" i="44"/>
  <c r="BQ716" i="44"/>
  <c r="BP716" i="44"/>
  <c r="BO716" i="44"/>
  <c r="BN716" i="44"/>
  <c r="BM716" i="44"/>
  <c r="BK716" i="44"/>
  <c r="BJ716" i="44"/>
  <c r="BG716" i="44"/>
  <c r="BF716" i="44"/>
  <c r="BE716" i="44"/>
  <c r="BD716" i="44"/>
  <c r="BC716" i="44"/>
  <c r="BA716" i="44"/>
  <c r="AZ716" i="44"/>
  <c r="AV716" i="44"/>
  <c r="AU716" i="44"/>
  <c r="AT716" i="44"/>
  <c r="AS716" i="44"/>
  <c r="AQ716" i="44"/>
  <c r="AO716" i="44"/>
  <c r="AM716" i="44"/>
  <c r="AL716" i="44"/>
  <c r="AK716" i="44"/>
  <c r="AJ716" i="44"/>
  <c r="AI716" i="44"/>
  <c r="AH716" i="44"/>
  <c r="AG716" i="44"/>
  <c r="AF716" i="44"/>
  <c r="AD716" i="44"/>
  <c r="AB716" i="44"/>
  <c r="AA716" i="44"/>
  <c r="Z716" i="44"/>
  <c r="Y716" i="44"/>
  <c r="W716" i="44"/>
  <c r="V716" i="44"/>
  <c r="U716" i="44"/>
  <c r="S716" i="44"/>
  <c r="R716" i="44"/>
  <c r="Q716" i="44"/>
  <c r="P716" i="44"/>
  <c r="O716" i="44"/>
  <c r="N716" i="44"/>
  <c r="M716" i="44"/>
  <c r="L716" i="44"/>
  <c r="F716" i="44"/>
  <c r="E716" i="44"/>
  <c r="D716" i="44"/>
  <c r="FH715" i="44"/>
  <c r="FD715" i="44"/>
  <c r="FC715" i="44"/>
  <c r="FB715" i="44"/>
  <c r="FA715" i="44"/>
  <c r="EZ715" i="44"/>
  <c r="EY715" i="44"/>
  <c r="EX715" i="44"/>
  <c r="EW715" i="44"/>
  <c r="EV715" i="44"/>
  <c r="EU715" i="44"/>
  <c r="ET715" i="44"/>
  <c r="ER715" i="44"/>
  <c r="EQ715" i="44"/>
  <c r="EO715" i="44"/>
  <c r="EF715" i="44"/>
  <c r="EE715" i="44"/>
  <c r="EC715" i="44"/>
  <c r="DX715" i="44"/>
  <c r="DW715" i="44"/>
  <c r="DV715" i="44"/>
  <c r="DU715" i="44"/>
  <c r="DT715" i="44"/>
  <c r="DS715" i="44"/>
  <c r="DQ715" i="44"/>
  <c r="DP715" i="44"/>
  <c r="DO715" i="44"/>
  <c r="DM715" i="44"/>
  <c r="DL715" i="44"/>
  <c r="DK715" i="44"/>
  <c r="DI715" i="44"/>
  <c r="DH715" i="44"/>
  <c r="DG715" i="44"/>
  <c r="DE715" i="44"/>
  <c r="DD715" i="44"/>
  <c r="DC715" i="44"/>
  <c r="DA715" i="44"/>
  <c r="CZ715" i="44"/>
  <c r="CY715" i="44"/>
  <c r="CX715" i="44"/>
  <c r="CW715" i="44"/>
  <c r="CV715" i="44"/>
  <c r="CU715" i="44"/>
  <c r="CT715" i="44"/>
  <c r="CS715" i="44"/>
  <c r="CO715" i="44"/>
  <c r="CN715" i="44"/>
  <c r="CM715" i="44"/>
  <c r="CL715" i="44"/>
  <c r="CJ715" i="44"/>
  <c r="CH715" i="44"/>
  <c r="CG715" i="44"/>
  <c r="CF715" i="44"/>
  <c r="CE715" i="44"/>
  <c r="CD715" i="44"/>
  <c r="CA715" i="44"/>
  <c r="BY715" i="44"/>
  <c r="BW715" i="44"/>
  <c r="BV715" i="44"/>
  <c r="BU715" i="44"/>
  <c r="BT715" i="44"/>
  <c r="BS715" i="44"/>
  <c r="BQ715" i="44"/>
  <c r="BP715" i="44"/>
  <c r="BO715" i="44"/>
  <c r="BN715" i="44"/>
  <c r="BM715" i="44"/>
  <c r="BK715" i="44"/>
  <c r="BJ715" i="44"/>
  <c r="BG715" i="44"/>
  <c r="BF715" i="44"/>
  <c r="BE715" i="44"/>
  <c r="BD715" i="44"/>
  <c r="BC715" i="44"/>
  <c r="BA715" i="44"/>
  <c r="AZ715" i="44"/>
  <c r="AV715" i="44"/>
  <c r="AU715" i="44"/>
  <c r="AT715" i="44"/>
  <c r="AS715" i="44"/>
  <c r="AQ715" i="44"/>
  <c r="AO715" i="44"/>
  <c r="AM715" i="44"/>
  <c r="AL715" i="44"/>
  <c r="AK715" i="44"/>
  <c r="AJ715" i="44"/>
  <c r="AI715" i="44"/>
  <c r="AH715" i="44"/>
  <c r="AG715" i="44"/>
  <c r="AF715" i="44"/>
  <c r="AD715" i="44"/>
  <c r="AB715" i="44"/>
  <c r="AA715" i="44"/>
  <c r="Z715" i="44"/>
  <c r="Y715" i="44"/>
  <c r="W715" i="44"/>
  <c r="V715" i="44"/>
  <c r="U715" i="44"/>
  <c r="S715" i="44"/>
  <c r="R715" i="44"/>
  <c r="Q715" i="44"/>
  <c r="P715" i="44"/>
  <c r="O715" i="44"/>
  <c r="N715" i="44"/>
  <c r="M715" i="44"/>
  <c r="L715" i="44"/>
  <c r="F715" i="44"/>
  <c r="E715" i="44"/>
  <c r="D715" i="44"/>
  <c r="FH714" i="44"/>
  <c r="FD714" i="44"/>
  <c r="FC714" i="44"/>
  <c r="FB714" i="44"/>
  <c r="FA714" i="44"/>
  <c r="EZ714" i="44"/>
  <c r="EY714" i="44"/>
  <c r="EX714" i="44"/>
  <c r="EW714" i="44"/>
  <c r="EV714" i="44"/>
  <c r="EU714" i="44"/>
  <c r="ET714" i="44"/>
  <c r="ER714" i="44"/>
  <c r="EQ714" i="44"/>
  <c r="EO714" i="44"/>
  <c r="EF714" i="44"/>
  <c r="EE714" i="44"/>
  <c r="EC714" i="44"/>
  <c r="DX714" i="44"/>
  <c r="DW714" i="44"/>
  <c r="DV714" i="44"/>
  <c r="DU714" i="44"/>
  <c r="DT714" i="44"/>
  <c r="DS714" i="44"/>
  <c r="DQ714" i="44"/>
  <c r="DP714" i="44"/>
  <c r="DO714" i="44"/>
  <c r="DM714" i="44"/>
  <c r="DL714" i="44"/>
  <c r="DK714" i="44"/>
  <c r="DI714" i="44"/>
  <c r="DH714" i="44"/>
  <c r="DG714" i="44"/>
  <c r="DE714" i="44"/>
  <c r="DD714" i="44"/>
  <c r="DC714" i="44"/>
  <c r="DA714" i="44"/>
  <c r="CZ714" i="44"/>
  <c r="CY714" i="44"/>
  <c r="CX714" i="44"/>
  <c r="CW714" i="44"/>
  <c r="CV714" i="44"/>
  <c r="CU714" i="44"/>
  <c r="CT714" i="44"/>
  <c r="CS714" i="44"/>
  <c r="CO714" i="44"/>
  <c r="CN714" i="44"/>
  <c r="CM714" i="44"/>
  <c r="CL714" i="44"/>
  <c r="CJ714" i="44"/>
  <c r="CH714" i="44"/>
  <c r="CG714" i="44"/>
  <c r="CF714" i="44"/>
  <c r="CE714" i="44"/>
  <c r="CD714" i="44"/>
  <c r="CA714" i="44"/>
  <c r="BY714" i="44"/>
  <c r="BW714" i="44"/>
  <c r="BV714" i="44"/>
  <c r="BU714" i="44"/>
  <c r="BT714" i="44"/>
  <c r="BS714" i="44"/>
  <c r="BQ714" i="44"/>
  <c r="BP714" i="44"/>
  <c r="BO714" i="44"/>
  <c r="BN714" i="44"/>
  <c r="BM714" i="44"/>
  <c r="BK714" i="44"/>
  <c r="BJ714" i="44"/>
  <c r="BG714" i="44"/>
  <c r="BF714" i="44"/>
  <c r="BE714" i="44"/>
  <c r="BD714" i="44"/>
  <c r="BC714" i="44"/>
  <c r="BA714" i="44"/>
  <c r="AZ714" i="44"/>
  <c r="AV714" i="44"/>
  <c r="AU714" i="44"/>
  <c r="AT714" i="44"/>
  <c r="AS714" i="44"/>
  <c r="AQ714" i="44"/>
  <c r="AO714" i="44"/>
  <c r="AM714" i="44"/>
  <c r="AL714" i="44"/>
  <c r="AK714" i="44"/>
  <c r="AJ714" i="44"/>
  <c r="AI714" i="44"/>
  <c r="AH714" i="44"/>
  <c r="AG714" i="44"/>
  <c r="AF714" i="44"/>
  <c r="AD714" i="44"/>
  <c r="AB714" i="44"/>
  <c r="AA714" i="44"/>
  <c r="Z714" i="44"/>
  <c r="Y714" i="44"/>
  <c r="W714" i="44"/>
  <c r="V714" i="44"/>
  <c r="U714" i="44"/>
  <c r="S714" i="44"/>
  <c r="R714" i="44"/>
  <c r="Q714" i="44"/>
  <c r="P714" i="44"/>
  <c r="O714" i="44"/>
  <c r="N714" i="44"/>
  <c r="M714" i="44"/>
  <c r="L714" i="44"/>
  <c r="F714" i="44"/>
  <c r="E714" i="44"/>
  <c r="D714" i="44"/>
  <c r="FH713" i="44"/>
  <c r="FD713" i="44"/>
  <c r="FC713" i="44"/>
  <c r="FB713" i="44"/>
  <c r="FA713" i="44"/>
  <c r="EZ713" i="44"/>
  <c r="EY713" i="44"/>
  <c r="EX713" i="44"/>
  <c r="EW713" i="44"/>
  <c r="EV713" i="44"/>
  <c r="EU713" i="44"/>
  <c r="ET713" i="44"/>
  <c r="ER713" i="44"/>
  <c r="EQ713" i="44"/>
  <c r="EO713" i="44"/>
  <c r="EF713" i="44"/>
  <c r="EE713" i="44"/>
  <c r="EC713" i="44"/>
  <c r="DX713" i="44"/>
  <c r="DW713" i="44"/>
  <c r="DV713" i="44"/>
  <c r="DU713" i="44"/>
  <c r="DT713" i="44"/>
  <c r="DS713" i="44"/>
  <c r="DQ713" i="44"/>
  <c r="DP713" i="44"/>
  <c r="DO713" i="44"/>
  <c r="DM713" i="44"/>
  <c r="DL713" i="44"/>
  <c r="DK713" i="44"/>
  <c r="DI713" i="44"/>
  <c r="DH713" i="44"/>
  <c r="DG713" i="44"/>
  <c r="DE713" i="44"/>
  <c r="DD713" i="44"/>
  <c r="DC713" i="44"/>
  <c r="DA713" i="44"/>
  <c r="CZ713" i="44"/>
  <c r="CY713" i="44"/>
  <c r="CX713" i="44"/>
  <c r="CW713" i="44"/>
  <c r="CV713" i="44"/>
  <c r="CU713" i="44"/>
  <c r="CT713" i="44"/>
  <c r="CS713" i="44"/>
  <c r="CO713" i="44"/>
  <c r="CN713" i="44"/>
  <c r="CM713" i="44"/>
  <c r="CL713" i="44"/>
  <c r="CJ713" i="44"/>
  <c r="CH713" i="44"/>
  <c r="CG713" i="44"/>
  <c r="CF713" i="44"/>
  <c r="CE713" i="44"/>
  <c r="CD713" i="44"/>
  <c r="CA713" i="44"/>
  <c r="BY713" i="44"/>
  <c r="BW713" i="44"/>
  <c r="BV713" i="44"/>
  <c r="BU713" i="44"/>
  <c r="BT713" i="44"/>
  <c r="BS713" i="44"/>
  <c r="BQ713" i="44"/>
  <c r="BP713" i="44"/>
  <c r="BO713" i="44"/>
  <c r="BN713" i="44"/>
  <c r="BM713" i="44"/>
  <c r="BK713" i="44"/>
  <c r="BJ713" i="44"/>
  <c r="BG713" i="44"/>
  <c r="BF713" i="44"/>
  <c r="BE713" i="44"/>
  <c r="BD713" i="44"/>
  <c r="BC713" i="44"/>
  <c r="BA713" i="44"/>
  <c r="AZ713" i="44"/>
  <c r="AV713" i="44"/>
  <c r="AU713" i="44"/>
  <c r="AT713" i="44"/>
  <c r="AS713" i="44"/>
  <c r="AQ713" i="44"/>
  <c r="AO713" i="44"/>
  <c r="AM713" i="44"/>
  <c r="AL713" i="44"/>
  <c r="AK713" i="44"/>
  <c r="AJ713" i="44"/>
  <c r="AI713" i="44"/>
  <c r="AH713" i="44"/>
  <c r="AG713" i="44"/>
  <c r="AF713" i="44"/>
  <c r="AD713" i="44"/>
  <c r="AB713" i="44"/>
  <c r="AA713" i="44"/>
  <c r="Z713" i="44"/>
  <c r="Y713" i="44"/>
  <c r="W713" i="44"/>
  <c r="V713" i="44"/>
  <c r="U713" i="44"/>
  <c r="S713" i="44"/>
  <c r="R713" i="44"/>
  <c r="Q713" i="44"/>
  <c r="P713" i="44"/>
  <c r="O713" i="44"/>
  <c r="N713" i="44"/>
  <c r="M713" i="44"/>
  <c r="L713" i="44"/>
  <c r="F713" i="44"/>
  <c r="E713" i="44"/>
  <c r="D713" i="44"/>
  <c r="FH712" i="44"/>
  <c r="FD712" i="44"/>
  <c r="FC712" i="44"/>
  <c r="FB712" i="44"/>
  <c r="FA712" i="44"/>
  <c r="EZ712" i="44"/>
  <c r="EY712" i="44"/>
  <c r="EX712" i="44"/>
  <c r="EW712" i="44"/>
  <c r="EV712" i="44"/>
  <c r="EU712" i="44"/>
  <c r="ET712" i="44"/>
  <c r="ER712" i="44"/>
  <c r="EQ712" i="44"/>
  <c r="EO712" i="44"/>
  <c r="EF712" i="44"/>
  <c r="EE712" i="44"/>
  <c r="EC712" i="44"/>
  <c r="DX712" i="44"/>
  <c r="DW712" i="44"/>
  <c r="DV712" i="44"/>
  <c r="DU712" i="44"/>
  <c r="DT712" i="44"/>
  <c r="DS712" i="44"/>
  <c r="DQ712" i="44"/>
  <c r="DP712" i="44"/>
  <c r="DO712" i="44"/>
  <c r="DM712" i="44"/>
  <c r="DL712" i="44"/>
  <c r="DK712" i="44"/>
  <c r="DI712" i="44"/>
  <c r="DH712" i="44"/>
  <c r="DG712" i="44"/>
  <c r="DE712" i="44"/>
  <c r="DD712" i="44"/>
  <c r="DC712" i="44"/>
  <c r="DA712" i="44"/>
  <c r="CZ712" i="44"/>
  <c r="CY712" i="44"/>
  <c r="CX712" i="44"/>
  <c r="CW712" i="44"/>
  <c r="CV712" i="44"/>
  <c r="CU712" i="44"/>
  <c r="CT712" i="44"/>
  <c r="CS712" i="44"/>
  <c r="CO712" i="44"/>
  <c r="CN712" i="44"/>
  <c r="CM712" i="44"/>
  <c r="CL712" i="44"/>
  <c r="CJ712" i="44"/>
  <c r="CH712" i="44"/>
  <c r="CG712" i="44"/>
  <c r="CF712" i="44"/>
  <c r="CE712" i="44"/>
  <c r="CD712" i="44"/>
  <c r="CA712" i="44"/>
  <c r="BY712" i="44"/>
  <c r="BW712" i="44"/>
  <c r="BV712" i="44"/>
  <c r="BU712" i="44"/>
  <c r="BT712" i="44"/>
  <c r="BS712" i="44"/>
  <c r="BQ712" i="44"/>
  <c r="BP712" i="44"/>
  <c r="BO712" i="44"/>
  <c r="BN712" i="44"/>
  <c r="BM712" i="44"/>
  <c r="BK712" i="44"/>
  <c r="BJ712" i="44"/>
  <c r="BG712" i="44"/>
  <c r="BF712" i="44"/>
  <c r="BE712" i="44"/>
  <c r="BD712" i="44"/>
  <c r="BC712" i="44"/>
  <c r="BA712" i="44"/>
  <c r="AZ712" i="44"/>
  <c r="AV712" i="44"/>
  <c r="AU712" i="44"/>
  <c r="AT712" i="44"/>
  <c r="AS712" i="44"/>
  <c r="AQ712" i="44"/>
  <c r="AO712" i="44"/>
  <c r="AM712" i="44"/>
  <c r="AL712" i="44"/>
  <c r="AK712" i="44"/>
  <c r="AJ712" i="44"/>
  <c r="AI712" i="44"/>
  <c r="AH712" i="44"/>
  <c r="AG712" i="44"/>
  <c r="AF712" i="44"/>
  <c r="AD712" i="44"/>
  <c r="AB712" i="44"/>
  <c r="AA712" i="44"/>
  <c r="Z712" i="44"/>
  <c r="Y712" i="44"/>
  <c r="W712" i="44"/>
  <c r="V712" i="44"/>
  <c r="U712" i="44"/>
  <c r="S712" i="44"/>
  <c r="R712" i="44"/>
  <c r="Q712" i="44"/>
  <c r="P712" i="44"/>
  <c r="O712" i="44"/>
  <c r="N712" i="44"/>
  <c r="M712" i="44"/>
  <c r="L712" i="44"/>
  <c r="F712" i="44"/>
  <c r="E712" i="44"/>
  <c r="D712" i="44"/>
  <c r="FH711" i="44"/>
  <c r="FD711" i="44"/>
  <c r="FC711" i="44"/>
  <c r="FB711" i="44"/>
  <c r="FA711" i="44"/>
  <c r="EZ711" i="44"/>
  <c r="EY711" i="44"/>
  <c r="EX711" i="44"/>
  <c r="EW711" i="44"/>
  <c r="EV711" i="44"/>
  <c r="EU711" i="44"/>
  <c r="ET711" i="44"/>
  <c r="ER711" i="44"/>
  <c r="EQ711" i="44"/>
  <c r="EO711" i="44"/>
  <c r="EF711" i="44"/>
  <c r="EE711" i="44"/>
  <c r="EC711" i="44"/>
  <c r="DX711" i="44"/>
  <c r="DW711" i="44"/>
  <c r="DV711" i="44"/>
  <c r="DU711" i="44"/>
  <c r="DT711" i="44"/>
  <c r="DS711" i="44"/>
  <c r="DQ711" i="44"/>
  <c r="DP711" i="44"/>
  <c r="DO711" i="44"/>
  <c r="DM711" i="44"/>
  <c r="DL711" i="44"/>
  <c r="DK711" i="44"/>
  <c r="DI711" i="44"/>
  <c r="DH711" i="44"/>
  <c r="DG711" i="44"/>
  <c r="DE711" i="44"/>
  <c r="DD711" i="44"/>
  <c r="DC711" i="44"/>
  <c r="DA711" i="44"/>
  <c r="CZ711" i="44"/>
  <c r="CY711" i="44"/>
  <c r="CX711" i="44"/>
  <c r="CW711" i="44"/>
  <c r="CV711" i="44"/>
  <c r="CU711" i="44"/>
  <c r="CT711" i="44"/>
  <c r="CS711" i="44"/>
  <c r="CO711" i="44"/>
  <c r="CN711" i="44"/>
  <c r="CM711" i="44"/>
  <c r="CL711" i="44"/>
  <c r="CJ711" i="44"/>
  <c r="CH711" i="44"/>
  <c r="CG711" i="44"/>
  <c r="CF711" i="44"/>
  <c r="CE711" i="44"/>
  <c r="CD711" i="44"/>
  <c r="CA711" i="44"/>
  <c r="BY711" i="44"/>
  <c r="BW711" i="44"/>
  <c r="BV711" i="44"/>
  <c r="BU711" i="44"/>
  <c r="BT711" i="44"/>
  <c r="BS711" i="44"/>
  <c r="BQ711" i="44"/>
  <c r="BP711" i="44"/>
  <c r="BO711" i="44"/>
  <c r="BN711" i="44"/>
  <c r="BM711" i="44"/>
  <c r="BK711" i="44"/>
  <c r="BJ711" i="44"/>
  <c r="BG711" i="44"/>
  <c r="BF711" i="44"/>
  <c r="BE711" i="44"/>
  <c r="BD711" i="44"/>
  <c r="BC711" i="44"/>
  <c r="BA711" i="44"/>
  <c r="AZ711" i="44"/>
  <c r="AV711" i="44"/>
  <c r="AU711" i="44"/>
  <c r="AT711" i="44"/>
  <c r="AS711" i="44"/>
  <c r="AQ711" i="44"/>
  <c r="AO711" i="44"/>
  <c r="AM711" i="44"/>
  <c r="AL711" i="44"/>
  <c r="AK711" i="44"/>
  <c r="AJ711" i="44"/>
  <c r="AI711" i="44"/>
  <c r="AH711" i="44"/>
  <c r="AG711" i="44"/>
  <c r="AF711" i="44"/>
  <c r="AD711" i="44"/>
  <c r="AB711" i="44"/>
  <c r="AA711" i="44"/>
  <c r="Z711" i="44"/>
  <c r="Y711" i="44"/>
  <c r="W711" i="44"/>
  <c r="V711" i="44"/>
  <c r="U711" i="44"/>
  <c r="S711" i="44"/>
  <c r="R711" i="44"/>
  <c r="Q711" i="44"/>
  <c r="P711" i="44"/>
  <c r="O711" i="44"/>
  <c r="N711" i="44"/>
  <c r="M711" i="44"/>
  <c r="L711" i="44"/>
  <c r="F711" i="44"/>
  <c r="E711" i="44"/>
  <c r="D711" i="44"/>
  <c r="FH710" i="44"/>
  <c r="FD710" i="44"/>
  <c r="FC710" i="44"/>
  <c r="FB710" i="44"/>
  <c r="FA710" i="44"/>
  <c r="EZ710" i="44"/>
  <c r="EY710" i="44"/>
  <c r="EX710" i="44"/>
  <c r="EW710" i="44"/>
  <c r="EV710" i="44"/>
  <c r="EU710" i="44"/>
  <c r="ET710" i="44"/>
  <c r="ER710" i="44"/>
  <c r="EQ710" i="44"/>
  <c r="EO710" i="44"/>
  <c r="EF710" i="44"/>
  <c r="EE710" i="44"/>
  <c r="EC710" i="44"/>
  <c r="DX710" i="44"/>
  <c r="DW710" i="44"/>
  <c r="DV710" i="44"/>
  <c r="DU710" i="44"/>
  <c r="DT710" i="44"/>
  <c r="DS710" i="44"/>
  <c r="DQ710" i="44"/>
  <c r="DP710" i="44"/>
  <c r="DO710" i="44"/>
  <c r="DM710" i="44"/>
  <c r="DL710" i="44"/>
  <c r="DK710" i="44"/>
  <c r="DI710" i="44"/>
  <c r="DH710" i="44"/>
  <c r="DG710" i="44"/>
  <c r="DE710" i="44"/>
  <c r="DD710" i="44"/>
  <c r="DC710" i="44"/>
  <c r="DA710" i="44"/>
  <c r="CZ710" i="44"/>
  <c r="CY710" i="44"/>
  <c r="CX710" i="44"/>
  <c r="CW710" i="44"/>
  <c r="CV710" i="44"/>
  <c r="CU710" i="44"/>
  <c r="CT710" i="44"/>
  <c r="CS710" i="44"/>
  <c r="CO710" i="44"/>
  <c r="CN710" i="44"/>
  <c r="CM710" i="44"/>
  <c r="CL710" i="44"/>
  <c r="CJ710" i="44"/>
  <c r="CH710" i="44"/>
  <c r="CG710" i="44"/>
  <c r="CF710" i="44"/>
  <c r="CE710" i="44"/>
  <c r="CD710" i="44"/>
  <c r="CA710" i="44"/>
  <c r="BY710" i="44"/>
  <c r="BW710" i="44"/>
  <c r="BV710" i="44"/>
  <c r="BU710" i="44"/>
  <c r="BT710" i="44"/>
  <c r="BS710" i="44"/>
  <c r="BQ710" i="44"/>
  <c r="BP710" i="44"/>
  <c r="BO710" i="44"/>
  <c r="BN710" i="44"/>
  <c r="BM710" i="44"/>
  <c r="BK710" i="44"/>
  <c r="BJ710" i="44"/>
  <c r="BG710" i="44"/>
  <c r="BF710" i="44"/>
  <c r="BE710" i="44"/>
  <c r="BD710" i="44"/>
  <c r="BC710" i="44"/>
  <c r="BA710" i="44"/>
  <c r="AZ710" i="44"/>
  <c r="AV710" i="44"/>
  <c r="AU710" i="44"/>
  <c r="AT710" i="44"/>
  <c r="AS710" i="44"/>
  <c r="AQ710" i="44"/>
  <c r="AO710" i="44"/>
  <c r="AM710" i="44"/>
  <c r="AL710" i="44"/>
  <c r="AK710" i="44"/>
  <c r="AJ710" i="44"/>
  <c r="AI710" i="44"/>
  <c r="AH710" i="44"/>
  <c r="AG710" i="44"/>
  <c r="AF710" i="44"/>
  <c r="AD710" i="44"/>
  <c r="AB710" i="44"/>
  <c r="AA710" i="44"/>
  <c r="Z710" i="44"/>
  <c r="Y710" i="44"/>
  <c r="W710" i="44"/>
  <c r="V710" i="44"/>
  <c r="U710" i="44"/>
  <c r="S710" i="44"/>
  <c r="R710" i="44"/>
  <c r="Q710" i="44"/>
  <c r="P710" i="44"/>
  <c r="O710" i="44"/>
  <c r="N710" i="44"/>
  <c r="M710" i="44"/>
  <c r="L710" i="44"/>
  <c r="F710" i="44"/>
  <c r="E710" i="44"/>
  <c r="D710" i="44"/>
  <c r="FH709" i="44"/>
  <c r="FD709" i="44"/>
  <c r="FC709" i="44"/>
  <c r="FB709" i="44"/>
  <c r="FA709" i="44"/>
  <c r="EZ709" i="44"/>
  <c r="EY709" i="44"/>
  <c r="EX709" i="44"/>
  <c r="EW709" i="44"/>
  <c r="EV709" i="44"/>
  <c r="EU709" i="44"/>
  <c r="ET709" i="44"/>
  <c r="ER709" i="44"/>
  <c r="EQ709" i="44"/>
  <c r="EO709" i="44"/>
  <c r="EN709" i="44"/>
  <c r="EF709" i="44"/>
  <c r="EE709" i="44"/>
  <c r="EC709" i="44"/>
  <c r="DX709" i="44"/>
  <c r="DW709" i="44"/>
  <c r="DV709" i="44"/>
  <c r="DU709" i="44"/>
  <c r="DT709" i="44"/>
  <c r="DS709" i="44"/>
  <c r="DQ709" i="44"/>
  <c r="DP709" i="44"/>
  <c r="DO709" i="44"/>
  <c r="DM709" i="44"/>
  <c r="DL709" i="44"/>
  <c r="DK709" i="44"/>
  <c r="DI709" i="44"/>
  <c r="DH709" i="44"/>
  <c r="DG709" i="44"/>
  <c r="DE709" i="44"/>
  <c r="DD709" i="44"/>
  <c r="DC709" i="44"/>
  <c r="DA709" i="44"/>
  <c r="CZ709" i="44"/>
  <c r="CY709" i="44"/>
  <c r="CX709" i="44"/>
  <c r="CW709" i="44"/>
  <c r="CV709" i="44"/>
  <c r="CU709" i="44"/>
  <c r="CT709" i="44"/>
  <c r="CS709" i="44"/>
  <c r="CO709" i="44"/>
  <c r="CN709" i="44"/>
  <c r="CM709" i="44"/>
  <c r="CL709" i="44"/>
  <c r="CJ709" i="44"/>
  <c r="CH709" i="44"/>
  <c r="CG709" i="44"/>
  <c r="CF709" i="44"/>
  <c r="CE709" i="44"/>
  <c r="CD709" i="44"/>
  <c r="CA709" i="44"/>
  <c r="BY709" i="44"/>
  <c r="BW709" i="44"/>
  <c r="BV709" i="44"/>
  <c r="BU709" i="44"/>
  <c r="BT709" i="44"/>
  <c r="BS709" i="44"/>
  <c r="BQ709" i="44"/>
  <c r="BP709" i="44"/>
  <c r="BO709" i="44"/>
  <c r="BN709" i="44"/>
  <c r="BM709" i="44"/>
  <c r="BK709" i="44"/>
  <c r="BJ709" i="44"/>
  <c r="BG709" i="44"/>
  <c r="BF709" i="44"/>
  <c r="BE709" i="44"/>
  <c r="BD709" i="44"/>
  <c r="BC709" i="44"/>
  <c r="BA709" i="44"/>
  <c r="AZ709" i="44"/>
  <c r="AV709" i="44"/>
  <c r="AU709" i="44"/>
  <c r="AT709" i="44"/>
  <c r="AS709" i="44"/>
  <c r="AQ709" i="44"/>
  <c r="AO709" i="44"/>
  <c r="AM709" i="44"/>
  <c r="AL709" i="44"/>
  <c r="AK709" i="44"/>
  <c r="AJ709" i="44"/>
  <c r="AI709" i="44"/>
  <c r="AH709" i="44"/>
  <c r="AG709" i="44"/>
  <c r="AF709" i="44"/>
  <c r="AD709" i="44"/>
  <c r="AB709" i="44"/>
  <c r="AA709" i="44"/>
  <c r="Z709" i="44"/>
  <c r="Y709" i="44"/>
  <c r="W709" i="44"/>
  <c r="V709" i="44"/>
  <c r="U709" i="44"/>
  <c r="S709" i="44"/>
  <c r="R709" i="44"/>
  <c r="Q709" i="44"/>
  <c r="P709" i="44"/>
  <c r="O709" i="44"/>
  <c r="N709" i="44"/>
  <c r="M709" i="44"/>
  <c r="L709" i="44"/>
  <c r="F709" i="44"/>
  <c r="E709" i="44"/>
  <c r="D709" i="44"/>
  <c r="J368" i="3"/>
  <c r="FF709" i="44" s="1"/>
  <c r="J366" i="3"/>
  <c r="FE709" i="44" s="1"/>
  <c r="L355" i="3"/>
  <c r="T354" i="3"/>
  <c r="I354" i="3"/>
  <c r="T353" i="3"/>
  <c r="I353" i="3"/>
  <c r="T352" i="3"/>
  <c r="I352" i="3"/>
  <c r="T351" i="3"/>
  <c r="I351" i="3"/>
  <c r="T350" i="3"/>
  <c r="I350" i="3"/>
  <c r="T349" i="3"/>
  <c r="I349" i="3"/>
  <c r="L326" i="3"/>
  <c r="J326" i="3"/>
  <c r="EP709" i="44" s="1"/>
  <c r="J318" i="3"/>
  <c r="J317" i="3"/>
  <c r="EM709" i="44" s="1"/>
  <c r="J316" i="3"/>
  <c r="EL709" i="44" s="1"/>
  <c r="J315" i="3"/>
  <c r="EK709" i="44" s="1"/>
  <c r="J309" i="3"/>
  <c r="EJ709" i="44" s="1"/>
  <c r="J308" i="3"/>
  <c r="EI709" i="44" s="1"/>
  <c r="J307" i="3"/>
  <c r="EH709" i="44" s="1"/>
  <c r="J306" i="3"/>
  <c r="EG709" i="44" s="1"/>
  <c r="J302" i="3"/>
  <c r="ED709" i="44" s="1"/>
  <c r="J299" i="3"/>
  <c r="E2988" i="44" s="1"/>
  <c r="J298" i="3"/>
  <c r="E2987" i="44" s="1"/>
  <c r="J297" i="3"/>
  <c r="E2986" i="44" s="1"/>
  <c r="J296" i="3"/>
  <c r="E2985" i="44" s="1"/>
  <c r="J295" i="3"/>
  <c r="I277" i="3"/>
  <c r="DR709" i="44" s="1"/>
  <c r="I276" i="3"/>
  <c r="DN709" i="44" s="1"/>
  <c r="I275" i="3"/>
  <c r="DJ709" i="44" s="1"/>
  <c r="I274" i="3"/>
  <c r="J246" i="3"/>
  <c r="CR709" i="44" s="1"/>
  <c r="J245" i="3"/>
  <c r="CQ709" i="44" s="1"/>
  <c r="J244" i="3"/>
  <c r="CP709" i="44" s="1"/>
  <c r="H242" i="3"/>
  <c r="L242" i="3" s="1"/>
  <c r="CK709" i="44" s="1"/>
  <c r="J235" i="3"/>
  <c r="CC709" i="44" s="1"/>
  <c r="J216" i="3"/>
  <c r="CB709" i="44" s="1"/>
  <c r="J182" i="3"/>
  <c r="BZ709" i="44" s="1"/>
  <c r="J158" i="3"/>
  <c r="BX709" i="44" s="1"/>
  <c r="I156" i="3"/>
  <c r="D156" i="3"/>
  <c r="J146" i="3"/>
  <c r="BR709" i="44" s="1"/>
  <c r="I144" i="3"/>
  <c r="D144" i="3"/>
  <c r="J132" i="3"/>
  <c r="BL709" i="44" s="1"/>
  <c r="J131" i="3"/>
  <c r="AW709" i="44" s="1"/>
  <c r="G131" i="3"/>
  <c r="K106" i="3" s="1"/>
  <c r="K115" i="3"/>
  <c r="BH709" i="44" s="1"/>
  <c r="K86" i="3"/>
  <c r="AR709" i="44" s="1"/>
  <c r="F82" i="3"/>
  <c r="F84" i="3" s="1"/>
  <c r="AP709" i="44" s="1"/>
  <c r="J51" i="3"/>
  <c r="AE709" i="44" s="1"/>
  <c r="J38" i="3"/>
  <c r="AC709" i="44" s="1"/>
  <c r="K30" i="3"/>
  <c r="X709" i="44" s="1"/>
  <c r="K17" i="3"/>
  <c r="T709" i="44" s="1"/>
  <c r="J368" i="4"/>
  <c r="FF710" i="44" s="1"/>
  <c r="J366" i="4"/>
  <c r="L355" i="4"/>
  <c r="T354" i="4"/>
  <c r="I354" i="4"/>
  <c r="T353" i="4"/>
  <c r="I353" i="4"/>
  <c r="T352" i="4"/>
  <c r="I352" i="4"/>
  <c r="T351" i="4"/>
  <c r="I351" i="4"/>
  <c r="T350" i="4"/>
  <c r="I350" i="4"/>
  <c r="T349" i="4"/>
  <c r="I349" i="4"/>
  <c r="L326" i="4"/>
  <c r="J326" i="4"/>
  <c r="EP710" i="44" s="1"/>
  <c r="J318" i="4"/>
  <c r="EN710" i="44" s="1"/>
  <c r="J317" i="4"/>
  <c r="EM710" i="44" s="1"/>
  <c r="J316" i="4"/>
  <c r="EL710" i="44" s="1"/>
  <c r="J315" i="4"/>
  <c r="EK710" i="44" s="1"/>
  <c r="J309" i="4"/>
  <c r="EJ710" i="44" s="1"/>
  <c r="J308" i="4"/>
  <c r="EI710" i="44" s="1"/>
  <c r="J307" i="4"/>
  <c r="EH710" i="44" s="1"/>
  <c r="J306" i="4"/>
  <c r="EG710" i="44" s="1"/>
  <c r="J302" i="4"/>
  <c r="ED710" i="44" s="1"/>
  <c r="J299" i="4"/>
  <c r="E2993" i="44" s="1"/>
  <c r="J298" i="4"/>
  <c r="E2992" i="44" s="1"/>
  <c r="J297" i="4"/>
  <c r="E2991" i="44" s="1"/>
  <c r="J296" i="4"/>
  <c r="E2990" i="44" s="1"/>
  <c r="J295" i="4"/>
  <c r="I277" i="4"/>
  <c r="DR710" i="44" s="1"/>
  <c r="I276" i="4"/>
  <c r="DN710" i="44" s="1"/>
  <c r="I275" i="4"/>
  <c r="DJ710" i="44" s="1"/>
  <c r="I274" i="4"/>
  <c r="J246" i="4"/>
  <c r="CR710" i="44" s="1"/>
  <c r="J245" i="4"/>
  <c r="CQ710" i="44" s="1"/>
  <c r="J244" i="4"/>
  <c r="CP710" i="44" s="1"/>
  <c r="H242" i="4"/>
  <c r="J235" i="4"/>
  <c r="CC710" i="44" s="1"/>
  <c r="J216" i="4"/>
  <c r="CB710" i="44" s="1"/>
  <c r="J182" i="4"/>
  <c r="BZ710" i="44" s="1"/>
  <c r="J158" i="4"/>
  <c r="BX710" i="44" s="1"/>
  <c r="I156" i="4"/>
  <c r="D156" i="4"/>
  <c r="J146" i="4"/>
  <c r="BR710" i="44" s="1"/>
  <c r="I144" i="4"/>
  <c r="D144" i="4"/>
  <c r="J132" i="4"/>
  <c r="BL710" i="44" s="1"/>
  <c r="J131" i="4"/>
  <c r="AW710" i="44" s="1"/>
  <c r="G131" i="4"/>
  <c r="AX710" i="44" s="1"/>
  <c r="K115" i="4"/>
  <c r="BH710" i="44" s="1"/>
  <c r="K86" i="4"/>
  <c r="AR710" i="44" s="1"/>
  <c r="F82" i="4"/>
  <c r="F84" i="4" s="1"/>
  <c r="AP710" i="44" s="1"/>
  <c r="J51" i="4"/>
  <c r="AE710" i="44" s="1"/>
  <c r="J38" i="4"/>
  <c r="AC710" i="44" s="1"/>
  <c r="K30" i="4"/>
  <c r="X710" i="44" s="1"/>
  <c r="K17" i="4"/>
  <c r="T710" i="44" s="1"/>
  <c r="J368" i="5"/>
  <c r="FF711" i="44" s="1"/>
  <c r="J366" i="5"/>
  <c r="L355" i="5"/>
  <c r="T354" i="5"/>
  <c r="I354" i="5"/>
  <c r="T353" i="5"/>
  <c r="I353" i="5"/>
  <c r="T352" i="5"/>
  <c r="I352" i="5"/>
  <c r="T351" i="5"/>
  <c r="I351" i="5"/>
  <c r="T350" i="5"/>
  <c r="I350" i="5"/>
  <c r="T349" i="5"/>
  <c r="I349" i="5"/>
  <c r="L326" i="5"/>
  <c r="J326" i="5"/>
  <c r="EP711" i="44" s="1"/>
  <c r="J318" i="5"/>
  <c r="EN711" i="44" s="1"/>
  <c r="J317" i="5"/>
  <c r="EM711" i="44" s="1"/>
  <c r="J316" i="5"/>
  <c r="EL711" i="44" s="1"/>
  <c r="J315" i="5"/>
  <c r="EK711" i="44" s="1"/>
  <c r="J309" i="5"/>
  <c r="EJ711" i="44" s="1"/>
  <c r="J308" i="5"/>
  <c r="EI711" i="44" s="1"/>
  <c r="J307" i="5"/>
  <c r="EH711" i="44" s="1"/>
  <c r="J306" i="5"/>
  <c r="EG711" i="44" s="1"/>
  <c r="J302" i="5"/>
  <c r="ED711" i="44" s="1"/>
  <c r="J299" i="5"/>
  <c r="E2998" i="44" s="1"/>
  <c r="J298" i="5"/>
  <c r="E2997" i="44" s="1"/>
  <c r="J297" i="5"/>
  <c r="E2996" i="44" s="1"/>
  <c r="J296" i="5"/>
  <c r="E2995" i="44" s="1"/>
  <c r="J295" i="5"/>
  <c r="I277" i="5"/>
  <c r="DR711" i="44" s="1"/>
  <c r="I276" i="5"/>
  <c r="DN711" i="44" s="1"/>
  <c r="I275" i="5"/>
  <c r="DJ711" i="44" s="1"/>
  <c r="I274" i="5"/>
  <c r="J246" i="5"/>
  <c r="CR711" i="44" s="1"/>
  <c r="J245" i="5"/>
  <c r="CQ711" i="44" s="1"/>
  <c r="J244" i="5"/>
  <c r="CP711" i="44" s="1"/>
  <c r="H242" i="5"/>
  <c r="J235" i="5"/>
  <c r="CC711" i="44" s="1"/>
  <c r="J216" i="5"/>
  <c r="CB711" i="44" s="1"/>
  <c r="J182" i="5"/>
  <c r="BZ711" i="44" s="1"/>
  <c r="J158" i="5"/>
  <c r="BX711" i="44" s="1"/>
  <c r="I156" i="5"/>
  <c r="D156" i="5"/>
  <c r="J146" i="5"/>
  <c r="BR711" i="44" s="1"/>
  <c r="I144" i="5"/>
  <c r="D144" i="5"/>
  <c r="J132" i="5"/>
  <c r="BL711" i="44" s="1"/>
  <c r="J131" i="5"/>
  <c r="AW711" i="44" s="1"/>
  <c r="G131" i="5"/>
  <c r="AX711" i="44" s="1"/>
  <c r="K115" i="5"/>
  <c r="BH711" i="44" s="1"/>
  <c r="K86" i="5"/>
  <c r="AR711" i="44" s="1"/>
  <c r="F82" i="5"/>
  <c r="F84" i="5" s="1"/>
  <c r="AP711" i="44" s="1"/>
  <c r="J51" i="5"/>
  <c r="AE711" i="44" s="1"/>
  <c r="J38" i="5"/>
  <c r="AC711" i="44" s="1"/>
  <c r="K30" i="5"/>
  <c r="X711" i="44" s="1"/>
  <c r="K17" i="5"/>
  <c r="T711" i="44" s="1"/>
  <c r="J368" i="6"/>
  <c r="FF712" i="44" s="1"/>
  <c r="J366" i="6"/>
  <c r="L355" i="6"/>
  <c r="T354" i="6"/>
  <c r="I354" i="6"/>
  <c r="T353" i="6"/>
  <c r="I353" i="6"/>
  <c r="T352" i="6"/>
  <c r="I352" i="6"/>
  <c r="T351" i="6"/>
  <c r="I351" i="6"/>
  <c r="T350" i="6"/>
  <c r="I350" i="6"/>
  <c r="T349" i="6"/>
  <c r="I349" i="6"/>
  <c r="L326" i="6"/>
  <c r="J326" i="6"/>
  <c r="EP712" i="44" s="1"/>
  <c r="J318" i="6"/>
  <c r="EN712" i="44" s="1"/>
  <c r="J317" i="6"/>
  <c r="EM712" i="44" s="1"/>
  <c r="J316" i="6"/>
  <c r="EL712" i="44" s="1"/>
  <c r="J315" i="6"/>
  <c r="EK712" i="44" s="1"/>
  <c r="J309" i="6"/>
  <c r="EJ712" i="44" s="1"/>
  <c r="J308" i="6"/>
  <c r="EI712" i="44" s="1"/>
  <c r="J307" i="6"/>
  <c r="EH712" i="44" s="1"/>
  <c r="J306" i="6"/>
  <c r="EG712" i="44" s="1"/>
  <c r="J302" i="6"/>
  <c r="ED712" i="44" s="1"/>
  <c r="J299" i="6"/>
  <c r="E3003" i="44" s="1"/>
  <c r="J298" i="6"/>
  <c r="E3002" i="44" s="1"/>
  <c r="J297" i="6"/>
  <c r="E3001" i="44" s="1"/>
  <c r="J296" i="6"/>
  <c r="E3000" i="44" s="1"/>
  <c r="J295" i="6"/>
  <c r="I277" i="6"/>
  <c r="DR712" i="44" s="1"/>
  <c r="I276" i="6"/>
  <c r="DN712" i="44" s="1"/>
  <c r="I275" i="6"/>
  <c r="DJ712" i="44" s="1"/>
  <c r="I274" i="6"/>
  <c r="J246" i="6"/>
  <c r="CR712" i="44" s="1"/>
  <c r="J245" i="6"/>
  <c r="CQ712" i="44" s="1"/>
  <c r="J244" i="6"/>
  <c r="CP712" i="44" s="1"/>
  <c r="H242" i="6"/>
  <c r="J235" i="6"/>
  <c r="CC712" i="44" s="1"/>
  <c r="J216" i="6"/>
  <c r="CB712" i="44" s="1"/>
  <c r="J182" i="6"/>
  <c r="BZ712" i="44" s="1"/>
  <c r="J158" i="6"/>
  <c r="BX712" i="44" s="1"/>
  <c r="I156" i="6"/>
  <c r="D156" i="6"/>
  <c r="J146" i="6"/>
  <c r="BR712" i="44" s="1"/>
  <c r="I144" i="6"/>
  <c r="D144" i="6"/>
  <c r="J132" i="6"/>
  <c r="BL712" i="44" s="1"/>
  <c r="J131" i="6"/>
  <c r="AW712" i="44" s="1"/>
  <c r="G131" i="6"/>
  <c r="AX712" i="44" s="1"/>
  <c r="K115" i="6"/>
  <c r="BH712" i="44" s="1"/>
  <c r="K86" i="6"/>
  <c r="AR712" i="44" s="1"/>
  <c r="F82" i="6"/>
  <c r="J51" i="6"/>
  <c r="AE712" i="44" s="1"/>
  <c r="J38" i="6"/>
  <c r="AC712" i="44" s="1"/>
  <c r="K30" i="6"/>
  <c r="X712" i="44" s="1"/>
  <c r="K17" i="6"/>
  <c r="T712" i="44" s="1"/>
  <c r="J368" i="7"/>
  <c r="FF713" i="44" s="1"/>
  <c r="J366" i="7"/>
  <c r="FE713" i="44" s="1"/>
  <c r="L355" i="7"/>
  <c r="T354" i="7"/>
  <c r="I354" i="7"/>
  <c r="T353" i="7"/>
  <c r="I353" i="7"/>
  <c r="T352" i="7"/>
  <c r="I352" i="7"/>
  <c r="T351" i="7"/>
  <c r="I351" i="7"/>
  <c r="T350" i="7"/>
  <c r="I350" i="7"/>
  <c r="T349" i="7"/>
  <c r="I349" i="7"/>
  <c r="L326" i="7"/>
  <c r="J326" i="7"/>
  <c r="EP713" i="44" s="1"/>
  <c r="J318" i="7"/>
  <c r="EN713" i="44" s="1"/>
  <c r="J317" i="7"/>
  <c r="EM713" i="44" s="1"/>
  <c r="J316" i="7"/>
  <c r="EL713" i="44" s="1"/>
  <c r="J315" i="7"/>
  <c r="EK713" i="44" s="1"/>
  <c r="J309" i="7"/>
  <c r="EJ713" i="44" s="1"/>
  <c r="J308" i="7"/>
  <c r="EI713" i="44" s="1"/>
  <c r="J307" i="7"/>
  <c r="EH713" i="44" s="1"/>
  <c r="J306" i="7"/>
  <c r="EG713" i="44" s="1"/>
  <c r="J302" i="7"/>
  <c r="ED713" i="44" s="1"/>
  <c r="J299" i="7"/>
  <c r="E3008" i="44" s="1"/>
  <c r="J298" i="7"/>
  <c r="E3007" i="44" s="1"/>
  <c r="J297" i="7"/>
  <c r="E3006" i="44" s="1"/>
  <c r="J296" i="7"/>
  <c r="E3005" i="44" s="1"/>
  <c r="J295" i="7"/>
  <c r="I277" i="7"/>
  <c r="DR713" i="44" s="1"/>
  <c r="I276" i="7"/>
  <c r="DN713" i="44" s="1"/>
  <c r="I275" i="7"/>
  <c r="DJ713" i="44" s="1"/>
  <c r="I274" i="7"/>
  <c r="J246" i="7"/>
  <c r="CR713" i="44" s="1"/>
  <c r="J245" i="7"/>
  <c r="CQ713" i="44" s="1"/>
  <c r="J244" i="7"/>
  <c r="CP713" i="44" s="1"/>
  <c r="H242" i="7"/>
  <c r="J235" i="7"/>
  <c r="CC713" i="44" s="1"/>
  <c r="J216" i="7"/>
  <c r="CB713" i="44" s="1"/>
  <c r="J182" i="7"/>
  <c r="BZ713" i="44" s="1"/>
  <c r="J158" i="7"/>
  <c r="BX713" i="44" s="1"/>
  <c r="I156" i="7"/>
  <c r="D156" i="7"/>
  <c r="J146" i="7"/>
  <c r="BR713" i="44" s="1"/>
  <c r="I144" i="7"/>
  <c r="D144" i="7"/>
  <c r="J132" i="7"/>
  <c r="BL713" i="44" s="1"/>
  <c r="J131" i="7"/>
  <c r="AW713" i="44" s="1"/>
  <c r="G131" i="7"/>
  <c r="AX713" i="44" s="1"/>
  <c r="K115" i="7"/>
  <c r="BH713" i="44" s="1"/>
  <c r="K86" i="7"/>
  <c r="AR713" i="44" s="1"/>
  <c r="F82" i="7"/>
  <c r="J51" i="7"/>
  <c r="AE713" i="44" s="1"/>
  <c r="J38" i="7"/>
  <c r="AC713" i="44" s="1"/>
  <c r="K30" i="7"/>
  <c r="X713" i="44" s="1"/>
  <c r="K17" i="7"/>
  <c r="T713" i="44" s="1"/>
  <c r="J368" i="8"/>
  <c r="FF714" i="44" s="1"/>
  <c r="J366" i="8"/>
  <c r="L355" i="8"/>
  <c r="T354" i="8"/>
  <c r="I354" i="8"/>
  <c r="T353" i="8"/>
  <c r="I353" i="8"/>
  <c r="T352" i="8"/>
  <c r="I352" i="8"/>
  <c r="T351" i="8"/>
  <c r="I351" i="8"/>
  <c r="T350" i="8"/>
  <c r="I350" i="8"/>
  <c r="T349" i="8"/>
  <c r="I349" i="8"/>
  <c r="L326" i="8"/>
  <c r="J326" i="8"/>
  <c r="EP714" i="44" s="1"/>
  <c r="J318" i="8"/>
  <c r="EN714" i="44" s="1"/>
  <c r="J317" i="8"/>
  <c r="EM714" i="44" s="1"/>
  <c r="J316" i="8"/>
  <c r="EL714" i="44" s="1"/>
  <c r="J315" i="8"/>
  <c r="EK714" i="44" s="1"/>
  <c r="J309" i="8"/>
  <c r="EJ714" i="44" s="1"/>
  <c r="J308" i="8"/>
  <c r="EI714" i="44" s="1"/>
  <c r="J307" i="8"/>
  <c r="EH714" i="44" s="1"/>
  <c r="J306" i="8"/>
  <c r="EG714" i="44" s="1"/>
  <c r="J302" i="8"/>
  <c r="ED714" i="44" s="1"/>
  <c r="J299" i="8"/>
  <c r="E3013" i="44" s="1"/>
  <c r="J298" i="8"/>
  <c r="E3012" i="44" s="1"/>
  <c r="J297" i="8"/>
  <c r="E3011" i="44" s="1"/>
  <c r="J296" i="8"/>
  <c r="E3010" i="44" s="1"/>
  <c r="J295" i="8"/>
  <c r="I277" i="8"/>
  <c r="DR714" i="44" s="1"/>
  <c r="I276" i="8"/>
  <c r="DN714" i="44" s="1"/>
  <c r="I275" i="8"/>
  <c r="DJ714" i="44" s="1"/>
  <c r="I274" i="8"/>
  <c r="J246" i="8"/>
  <c r="CR714" i="44" s="1"/>
  <c r="J245" i="8"/>
  <c r="CQ714" i="44" s="1"/>
  <c r="J244" i="8"/>
  <c r="CP714" i="44" s="1"/>
  <c r="H242" i="8"/>
  <c r="J235" i="8"/>
  <c r="CC714" i="44" s="1"/>
  <c r="J216" i="8"/>
  <c r="CB714" i="44" s="1"/>
  <c r="J182" i="8"/>
  <c r="BZ714" i="44" s="1"/>
  <c r="J158" i="8"/>
  <c r="BX714" i="44" s="1"/>
  <c r="I156" i="8"/>
  <c r="D156" i="8"/>
  <c r="J146" i="8"/>
  <c r="BR714" i="44" s="1"/>
  <c r="I144" i="8"/>
  <c r="D144" i="8"/>
  <c r="J132" i="8"/>
  <c r="BL714" i="44" s="1"/>
  <c r="J131" i="8"/>
  <c r="AW714" i="44" s="1"/>
  <c r="G131" i="8"/>
  <c r="AX714" i="44" s="1"/>
  <c r="K115" i="8"/>
  <c r="BH714" i="44" s="1"/>
  <c r="K86" i="8"/>
  <c r="AR714" i="44" s="1"/>
  <c r="F82" i="8"/>
  <c r="J51" i="8"/>
  <c r="AE714" i="44" s="1"/>
  <c r="J38" i="8"/>
  <c r="AC714" i="44" s="1"/>
  <c r="K30" i="8"/>
  <c r="X714" i="44" s="1"/>
  <c r="K17" i="8"/>
  <c r="T714" i="44" s="1"/>
  <c r="J368" i="9"/>
  <c r="FF715" i="44" s="1"/>
  <c r="J366" i="9"/>
  <c r="L355" i="9"/>
  <c r="T354" i="9"/>
  <c r="I354" i="9"/>
  <c r="T353" i="9"/>
  <c r="I353" i="9"/>
  <c r="T352" i="9"/>
  <c r="I352" i="9"/>
  <c r="T351" i="9"/>
  <c r="I351" i="9"/>
  <c r="T350" i="9"/>
  <c r="I350" i="9"/>
  <c r="T349" i="9"/>
  <c r="I349" i="9"/>
  <c r="L326" i="9"/>
  <c r="J326" i="9"/>
  <c r="EP715" i="44" s="1"/>
  <c r="J318" i="9"/>
  <c r="EN715" i="44" s="1"/>
  <c r="J317" i="9"/>
  <c r="EM715" i="44" s="1"/>
  <c r="J316" i="9"/>
  <c r="EL715" i="44" s="1"/>
  <c r="J315" i="9"/>
  <c r="EK715" i="44" s="1"/>
  <c r="J309" i="9"/>
  <c r="EJ715" i="44" s="1"/>
  <c r="J308" i="9"/>
  <c r="EI715" i="44" s="1"/>
  <c r="J307" i="9"/>
  <c r="EH715" i="44" s="1"/>
  <c r="J306" i="9"/>
  <c r="EG715" i="44" s="1"/>
  <c r="J302" i="9"/>
  <c r="ED715" i="44" s="1"/>
  <c r="J299" i="9"/>
  <c r="E3018" i="44" s="1"/>
  <c r="J298" i="9"/>
  <c r="E3017" i="44" s="1"/>
  <c r="J297" i="9"/>
  <c r="E3016" i="44" s="1"/>
  <c r="J296" i="9"/>
  <c r="E3015" i="44" s="1"/>
  <c r="J295" i="9"/>
  <c r="I277" i="9"/>
  <c r="DR715" i="44" s="1"/>
  <c r="I276" i="9"/>
  <c r="DN715" i="44" s="1"/>
  <c r="I275" i="9"/>
  <c r="DJ715" i="44" s="1"/>
  <c r="I274" i="9"/>
  <c r="J246" i="9"/>
  <c r="CR715" i="44" s="1"/>
  <c r="J245" i="9"/>
  <c r="CQ715" i="44" s="1"/>
  <c r="J244" i="9"/>
  <c r="CP715" i="44" s="1"/>
  <c r="H242" i="9"/>
  <c r="J235" i="9"/>
  <c r="CC715" i="44" s="1"/>
  <c r="J216" i="9"/>
  <c r="CB715" i="44" s="1"/>
  <c r="J182" i="9"/>
  <c r="BZ715" i="44" s="1"/>
  <c r="J158" i="9"/>
  <c r="BX715" i="44" s="1"/>
  <c r="I156" i="9"/>
  <c r="D156" i="9"/>
  <c r="J146" i="9"/>
  <c r="BR715" i="44" s="1"/>
  <c r="I144" i="9"/>
  <c r="D144" i="9"/>
  <c r="J132" i="9"/>
  <c r="BL715" i="44" s="1"/>
  <c r="J131" i="9"/>
  <c r="AW715" i="44" s="1"/>
  <c r="G131" i="9"/>
  <c r="AX715" i="44" s="1"/>
  <c r="K115" i="9"/>
  <c r="BH715" i="44" s="1"/>
  <c r="K105" i="9"/>
  <c r="K86" i="9"/>
  <c r="AR715" i="44" s="1"/>
  <c r="F82" i="9"/>
  <c r="J51" i="9"/>
  <c r="AE715" i="44" s="1"/>
  <c r="J38" i="9"/>
  <c r="AC715" i="44" s="1"/>
  <c r="K30" i="9"/>
  <c r="X715" i="44" s="1"/>
  <c r="K17" i="9"/>
  <c r="T715" i="44" s="1"/>
  <c r="J368" i="10"/>
  <c r="FF716" i="44" s="1"/>
  <c r="J366" i="10"/>
  <c r="L355" i="10"/>
  <c r="T354" i="10"/>
  <c r="I354" i="10"/>
  <c r="T353" i="10"/>
  <c r="I353" i="10"/>
  <c r="T352" i="10"/>
  <c r="I352" i="10"/>
  <c r="T351" i="10"/>
  <c r="I351" i="10"/>
  <c r="T350" i="10"/>
  <c r="I350" i="10"/>
  <c r="T349" i="10"/>
  <c r="I349" i="10"/>
  <c r="L326" i="10"/>
  <c r="J326" i="10"/>
  <c r="EP716" i="44" s="1"/>
  <c r="J318" i="10"/>
  <c r="EN716" i="44" s="1"/>
  <c r="J317" i="10"/>
  <c r="EM716" i="44" s="1"/>
  <c r="J316" i="10"/>
  <c r="EL716" i="44" s="1"/>
  <c r="J315" i="10"/>
  <c r="EK716" i="44" s="1"/>
  <c r="J309" i="10"/>
  <c r="EJ716" i="44" s="1"/>
  <c r="J308" i="10"/>
  <c r="EI716" i="44" s="1"/>
  <c r="J307" i="10"/>
  <c r="EH716" i="44" s="1"/>
  <c r="J306" i="10"/>
  <c r="EG716" i="44" s="1"/>
  <c r="J302" i="10"/>
  <c r="ED716" i="44" s="1"/>
  <c r="J299" i="10"/>
  <c r="E3023" i="44" s="1"/>
  <c r="J298" i="10"/>
  <c r="E3022" i="44" s="1"/>
  <c r="J297" i="10"/>
  <c r="E3021" i="44" s="1"/>
  <c r="J296" i="10"/>
  <c r="E3020" i="44" s="1"/>
  <c r="J295" i="10"/>
  <c r="I277" i="10"/>
  <c r="DR716" i="44" s="1"/>
  <c r="I276" i="10"/>
  <c r="DN716" i="44" s="1"/>
  <c r="I275" i="10"/>
  <c r="DJ716" i="44" s="1"/>
  <c r="I274" i="10"/>
  <c r="J246" i="10"/>
  <c r="CR716" i="44" s="1"/>
  <c r="J245" i="10"/>
  <c r="CQ716" i="44" s="1"/>
  <c r="J244" i="10"/>
  <c r="CP716" i="44" s="1"/>
  <c r="H242" i="10"/>
  <c r="J235" i="10"/>
  <c r="CC716" i="44" s="1"/>
  <c r="J216" i="10"/>
  <c r="CB716" i="44" s="1"/>
  <c r="J182" i="10"/>
  <c r="BZ716" i="44" s="1"/>
  <c r="J158" i="10"/>
  <c r="BX716" i="44" s="1"/>
  <c r="I156" i="10"/>
  <c r="D156" i="10"/>
  <c r="J146" i="10"/>
  <c r="BR716" i="44" s="1"/>
  <c r="I144" i="10"/>
  <c r="D144" i="10"/>
  <c r="J132" i="10"/>
  <c r="BL716" i="44" s="1"/>
  <c r="J131" i="10"/>
  <c r="AW716" i="44" s="1"/>
  <c r="G131" i="10"/>
  <c r="AX716" i="44" s="1"/>
  <c r="K115" i="10"/>
  <c r="BH716" i="44" s="1"/>
  <c r="K106" i="10"/>
  <c r="K86" i="10"/>
  <c r="AR716" i="44" s="1"/>
  <c r="F82" i="10"/>
  <c r="J51" i="10"/>
  <c r="AE716" i="44" s="1"/>
  <c r="J38" i="10"/>
  <c r="AC716" i="44" s="1"/>
  <c r="K30" i="10"/>
  <c r="X716" i="44" s="1"/>
  <c r="K17" i="10"/>
  <c r="T716" i="44" s="1"/>
  <c r="J368" i="11"/>
  <c r="FF717" i="44" s="1"/>
  <c r="J366" i="11"/>
  <c r="FE717" i="44" s="1"/>
  <c r="L355" i="11"/>
  <c r="T354" i="11"/>
  <c r="I354" i="11"/>
  <c r="T353" i="11"/>
  <c r="I353" i="11"/>
  <c r="T352" i="11"/>
  <c r="I352" i="11"/>
  <c r="T351" i="11"/>
  <c r="I351" i="11"/>
  <c r="T350" i="11"/>
  <c r="I350" i="11"/>
  <c r="T349" i="11"/>
  <c r="I349" i="11"/>
  <c r="L326" i="11"/>
  <c r="J326" i="11"/>
  <c r="EP717" i="44" s="1"/>
  <c r="J318" i="11"/>
  <c r="EN717" i="44" s="1"/>
  <c r="J317" i="11"/>
  <c r="EM717" i="44" s="1"/>
  <c r="J316" i="11"/>
  <c r="EL717" i="44" s="1"/>
  <c r="J315" i="11"/>
  <c r="EK717" i="44" s="1"/>
  <c r="J309" i="11"/>
  <c r="EJ717" i="44" s="1"/>
  <c r="J308" i="11"/>
  <c r="EI717" i="44" s="1"/>
  <c r="J307" i="11"/>
  <c r="EH717" i="44" s="1"/>
  <c r="J306" i="11"/>
  <c r="EG717" i="44" s="1"/>
  <c r="J302" i="11"/>
  <c r="ED717" i="44" s="1"/>
  <c r="J299" i="11"/>
  <c r="E3028" i="44" s="1"/>
  <c r="J298" i="11"/>
  <c r="E3027" i="44" s="1"/>
  <c r="J297" i="11"/>
  <c r="E3026" i="44" s="1"/>
  <c r="J296" i="11"/>
  <c r="E3025" i="44" s="1"/>
  <c r="J295" i="11"/>
  <c r="I277" i="11"/>
  <c r="DR717" i="44" s="1"/>
  <c r="I276" i="11"/>
  <c r="DN717" i="44" s="1"/>
  <c r="I275" i="11"/>
  <c r="DJ717" i="44" s="1"/>
  <c r="I274" i="11"/>
  <c r="J246" i="11"/>
  <c r="CR717" i="44" s="1"/>
  <c r="J245" i="11"/>
  <c r="CQ717" i="44" s="1"/>
  <c r="J244" i="11"/>
  <c r="CP717" i="44" s="1"/>
  <c r="H242" i="11"/>
  <c r="J235" i="11"/>
  <c r="CC717" i="44" s="1"/>
  <c r="J216" i="11"/>
  <c r="CB717" i="44" s="1"/>
  <c r="J182" i="11"/>
  <c r="BZ717" i="44" s="1"/>
  <c r="J158" i="11"/>
  <c r="BX717" i="44" s="1"/>
  <c r="I156" i="11"/>
  <c r="D156" i="11"/>
  <c r="J146" i="11"/>
  <c r="BR717" i="44" s="1"/>
  <c r="I144" i="11"/>
  <c r="D144" i="11"/>
  <c r="J132" i="11"/>
  <c r="BL717" i="44" s="1"/>
  <c r="J131" i="11"/>
  <c r="AW717" i="44" s="1"/>
  <c r="G131" i="11"/>
  <c r="AX717" i="44" s="1"/>
  <c r="K115" i="11"/>
  <c r="BH717" i="44" s="1"/>
  <c r="K86" i="11"/>
  <c r="AR717" i="44" s="1"/>
  <c r="F82" i="11"/>
  <c r="J51" i="11"/>
  <c r="AE717" i="44" s="1"/>
  <c r="J38" i="11"/>
  <c r="AC717" i="44" s="1"/>
  <c r="K30" i="11"/>
  <c r="X717" i="44" s="1"/>
  <c r="K17" i="11"/>
  <c r="T717" i="44" s="1"/>
  <c r="J368" i="12"/>
  <c r="FF718" i="44" s="1"/>
  <c r="J366" i="12"/>
  <c r="FE718" i="44" s="1"/>
  <c r="L355" i="12"/>
  <c r="T354" i="12"/>
  <c r="I354" i="12"/>
  <c r="T353" i="12"/>
  <c r="I353" i="12"/>
  <c r="T352" i="12"/>
  <c r="I352" i="12"/>
  <c r="T351" i="12"/>
  <c r="I351" i="12"/>
  <c r="T350" i="12"/>
  <c r="I350" i="12"/>
  <c r="T349" i="12"/>
  <c r="I349" i="12"/>
  <c r="L326" i="12"/>
  <c r="J326" i="12"/>
  <c r="EP718" i="44" s="1"/>
  <c r="J318" i="12"/>
  <c r="EN718" i="44" s="1"/>
  <c r="J317" i="12"/>
  <c r="EM718" i="44" s="1"/>
  <c r="J316" i="12"/>
  <c r="EL718" i="44" s="1"/>
  <c r="J315" i="12"/>
  <c r="EK718" i="44" s="1"/>
  <c r="J309" i="12"/>
  <c r="EJ718" i="44" s="1"/>
  <c r="J308" i="12"/>
  <c r="EI718" i="44" s="1"/>
  <c r="J307" i="12"/>
  <c r="EH718" i="44" s="1"/>
  <c r="J306" i="12"/>
  <c r="EG718" i="44" s="1"/>
  <c r="J302" i="12"/>
  <c r="ED718" i="44" s="1"/>
  <c r="J299" i="12"/>
  <c r="E3033" i="44" s="1"/>
  <c r="J298" i="12"/>
  <c r="E3032" i="44" s="1"/>
  <c r="J297" i="12"/>
  <c r="E3031" i="44" s="1"/>
  <c r="J296" i="12"/>
  <c r="E3030" i="44" s="1"/>
  <c r="J295" i="12"/>
  <c r="I277" i="12"/>
  <c r="DR718" i="44" s="1"/>
  <c r="I276" i="12"/>
  <c r="DN718" i="44" s="1"/>
  <c r="I275" i="12"/>
  <c r="DJ718" i="44" s="1"/>
  <c r="I274" i="12"/>
  <c r="J246" i="12"/>
  <c r="CR718" i="44" s="1"/>
  <c r="J245" i="12"/>
  <c r="CQ718" i="44" s="1"/>
  <c r="J244" i="12"/>
  <c r="CP718" i="44" s="1"/>
  <c r="H242" i="12"/>
  <c r="J235" i="12"/>
  <c r="CC718" i="44" s="1"/>
  <c r="J216" i="12"/>
  <c r="CB718" i="44" s="1"/>
  <c r="J182" i="12"/>
  <c r="BZ718" i="44" s="1"/>
  <c r="J158" i="12"/>
  <c r="BX718" i="44" s="1"/>
  <c r="I156" i="12"/>
  <c r="D156" i="12"/>
  <c r="J146" i="12"/>
  <c r="BR718" i="44" s="1"/>
  <c r="I144" i="12"/>
  <c r="D144" i="12"/>
  <c r="J132" i="12"/>
  <c r="BL718" i="44" s="1"/>
  <c r="J131" i="12"/>
  <c r="AW718" i="44" s="1"/>
  <c r="G131" i="12"/>
  <c r="AX718" i="44" s="1"/>
  <c r="K115" i="12"/>
  <c r="BH718" i="44" s="1"/>
  <c r="K86" i="12"/>
  <c r="AR718" i="44" s="1"/>
  <c r="F82" i="12"/>
  <c r="J51" i="12"/>
  <c r="AE718" i="44" s="1"/>
  <c r="J38" i="12"/>
  <c r="AC718" i="44" s="1"/>
  <c r="K30" i="12"/>
  <c r="X718" i="44" s="1"/>
  <c r="K17" i="12"/>
  <c r="T718" i="44" s="1"/>
  <c r="J368" i="13"/>
  <c r="FF719" i="44" s="1"/>
  <c r="J366" i="13"/>
  <c r="L355" i="13"/>
  <c r="T354" i="13"/>
  <c r="I354" i="13"/>
  <c r="T353" i="13"/>
  <c r="I353" i="13"/>
  <c r="T352" i="13"/>
  <c r="I352" i="13"/>
  <c r="T351" i="13"/>
  <c r="I351" i="13"/>
  <c r="T350" i="13"/>
  <c r="I350" i="13"/>
  <c r="T349" i="13"/>
  <c r="I349" i="13"/>
  <c r="L326" i="13"/>
  <c r="J326" i="13"/>
  <c r="EP719" i="44" s="1"/>
  <c r="J318" i="13"/>
  <c r="EN719" i="44" s="1"/>
  <c r="J317" i="13"/>
  <c r="EM719" i="44" s="1"/>
  <c r="J316" i="13"/>
  <c r="EL719" i="44" s="1"/>
  <c r="J315" i="13"/>
  <c r="EK719" i="44" s="1"/>
  <c r="J309" i="13"/>
  <c r="EJ719" i="44" s="1"/>
  <c r="J308" i="13"/>
  <c r="EI719" i="44" s="1"/>
  <c r="J307" i="13"/>
  <c r="EH719" i="44" s="1"/>
  <c r="J306" i="13"/>
  <c r="EG719" i="44" s="1"/>
  <c r="J302" i="13"/>
  <c r="ED719" i="44" s="1"/>
  <c r="J299" i="13"/>
  <c r="E3038" i="44" s="1"/>
  <c r="J298" i="13"/>
  <c r="E3037" i="44" s="1"/>
  <c r="J297" i="13"/>
  <c r="E3036" i="44" s="1"/>
  <c r="J296" i="13"/>
  <c r="E3035" i="44" s="1"/>
  <c r="J295" i="13"/>
  <c r="I277" i="13"/>
  <c r="DR719" i="44" s="1"/>
  <c r="I276" i="13"/>
  <c r="DN719" i="44" s="1"/>
  <c r="I275" i="13"/>
  <c r="DJ719" i="44" s="1"/>
  <c r="I274" i="13"/>
  <c r="J246" i="13"/>
  <c r="CR719" i="44" s="1"/>
  <c r="J245" i="13"/>
  <c r="CQ719" i="44" s="1"/>
  <c r="J244" i="13"/>
  <c r="CP719" i="44" s="1"/>
  <c r="H242" i="13"/>
  <c r="J235" i="13"/>
  <c r="CC719" i="44" s="1"/>
  <c r="J216" i="13"/>
  <c r="CB719" i="44" s="1"/>
  <c r="J182" i="13"/>
  <c r="BZ719" i="44" s="1"/>
  <c r="J158" i="13"/>
  <c r="BX719" i="44" s="1"/>
  <c r="I156" i="13"/>
  <c r="D156" i="13"/>
  <c r="J146" i="13"/>
  <c r="BR719" i="44" s="1"/>
  <c r="I144" i="13"/>
  <c r="D144" i="13"/>
  <c r="J132" i="13"/>
  <c r="BL719" i="44" s="1"/>
  <c r="J131" i="13"/>
  <c r="AW719" i="44" s="1"/>
  <c r="G131" i="13"/>
  <c r="AX719" i="44" s="1"/>
  <c r="K115" i="13"/>
  <c r="BH719" i="44" s="1"/>
  <c r="K86" i="13"/>
  <c r="AR719" i="44" s="1"/>
  <c r="F82" i="13"/>
  <c r="J51" i="13"/>
  <c r="AE719" i="44" s="1"/>
  <c r="J38" i="13"/>
  <c r="AC719" i="44" s="1"/>
  <c r="K30" i="13"/>
  <c r="X719" i="44" s="1"/>
  <c r="K17" i="13"/>
  <c r="T719" i="44" s="1"/>
  <c r="J368" i="14"/>
  <c r="FF720" i="44" s="1"/>
  <c r="J366" i="14"/>
  <c r="L355" i="14"/>
  <c r="T354" i="14"/>
  <c r="I354" i="14"/>
  <c r="T353" i="14"/>
  <c r="I353" i="14"/>
  <c r="T352" i="14"/>
  <c r="I352" i="14"/>
  <c r="T351" i="14"/>
  <c r="I351" i="14"/>
  <c r="T350" i="14"/>
  <c r="I350" i="14"/>
  <c r="T349" i="14"/>
  <c r="I349" i="14"/>
  <c r="L326" i="14"/>
  <c r="J326" i="14"/>
  <c r="EP720" i="44" s="1"/>
  <c r="J318" i="14"/>
  <c r="EN720" i="44" s="1"/>
  <c r="J317" i="14"/>
  <c r="EM720" i="44" s="1"/>
  <c r="J316" i="14"/>
  <c r="EL720" i="44" s="1"/>
  <c r="J315" i="14"/>
  <c r="EK720" i="44" s="1"/>
  <c r="J309" i="14"/>
  <c r="EJ720" i="44" s="1"/>
  <c r="J308" i="14"/>
  <c r="EI720" i="44" s="1"/>
  <c r="J307" i="14"/>
  <c r="EH720" i="44" s="1"/>
  <c r="J306" i="14"/>
  <c r="EG720" i="44" s="1"/>
  <c r="J302" i="14"/>
  <c r="ED720" i="44" s="1"/>
  <c r="J299" i="14"/>
  <c r="E3043" i="44" s="1"/>
  <c r="J298" i="14"/>
  <c r="E3042" i="44" s="1"/>
  <c r="J297" i="14"/>
  <c r="E3041" i="44" s="1"/>
  <c r="J296" i="14"/>
  <c r="E3040" i="44" s="1"/>
  <c r="J295" i="14"/>
  <c r="I277" i="14"/>
  <c r="DR720" i="44" s="1"/>
  <c r="I276" i="14"/>
  <c r="DN720" i="44" s="1"/>
  <c r="I275" i="14"/>
  <c r="DJ720" i="44" s="1"/>
  <c r="I274" i="14"/>
  <c r="J246" i="14"/>
  <c r="CR720" i="44" s="1"/>
  <c r="J245" i="14"/>
  <c r="CQ720" i="44" s="1"/>
  <c r="J244" i="14"/>
  <c r="CP720" i="44" s="1"/>
  <c r="H242" i="14"/>
  <c r="J235" i="14"/>
  <c r="CC720" i="44" s="1"/>
  <c r="J216" i="14"/>
  <c r="CB720" i="44" s="1"/>
  <c r="J182" i="14"/>
  <c r="BZ720" i="44" s="1"/>
  <c r="J158" i="14"/>
  <c r="BX720" i="44" s="1"/>
  <c r="I156" i="14"/>
  <c r="D156" i="14"/>
  <c r="J146" i="14"/>
  <c r="BR720" i="44" s="1"/>
  <c r="I144" i="14"/>
  <c r="D144" i="14"/>
  <c r="J132" i="14"/>
  <c r="BL720" i="44" s="1"/>
  <c r="J131" i="14"/>
  <c r="AW720" i="44" s="1"/>
  <c r="G131" i="14"/>
  <c r="AX720" i="44" s="1"/>
  <c r="K115" i="14"/>
  <c r="BH720" i="44" s="1"/>
  <c r="K105" i="14"/>
  <c r="K86" i="14"/>
  <c r="AR720" i="44" s="1"/>
  <c r="F82" i="14"/>
  <c r="J51" i="14"/>
  <c r="AE720" i="44" s="1"/>
  <c r="J38" i="14"/>
  <c r="AC720" i="44" s="1"/>
  <c r="K30" i="14"/>
  <c r="X720" i="44" s="1"/>
  <c r="K17" i="14"/>
  <c r="T720" i="44" s="1"/>
  <c r="J368" i="15"/>
  <c r="FF721" i="44" s="1"/>
  <c r="J366" i="15"/>
  <c r="FE721" i="44" s="1"/>
  <c r="L355" i="15"/>
  <c r="T354" i="15"/>
  <c r="I354" i="15"/>
  <c r="T353" i="15"/>
  <c r="I353" i="15"/>
  <c r="T352" i="15"/>
  <c r="I352" i="15"/>
  <c r="T351" i="15"/>
  <c r="I351" i="15"/>
  <c r="T350" i="15"/>
  <c r="I350" i="15"/>
  <c r="T349" i="15"/>
  <c r="I349" i="15"/>
  <c r="L326" i="15"/>
  <c r="J326" i="15"/>
  <c r="EP721" i="44" s="1"/>
  <c r="J318" i="15"/>
  <c r="EN721" i="44" s="1"/>
  <c r="J317" i="15"/>
  <c r="EM721" i="44" s="1"/>
  <c r="J316" i="15"/>
  <c r="EL721" i="44" s="1"/>
  <c r="J315" i="15"/>
  <c r="EK721" i="44" s="1"/>
  <c r="J309" i="15"/>
  <c r="EJ721" i="44" s="1"/>
  <c r="J308" i="15"/>
  <c r="EI721" i="44" s="1"/>
  <c r="J307" i="15"/>
  <c r="EH721" i="44" s="1"/>
  <c r="J306" i="15"/>
  <c r="EG721" i="44" s="1"/>
  <c r="J302" i="15"/>
  <c r="ED721" i="44" s="1"/>
  <c r="J299" i="15"/>
  <c r="E3048" i="44" s="1"/>
  <c r="J298" i="15"/>
  <c r="E3047" i="44" s="1"/>
  <c r="J297" i="15"/>
  <c r="E3046" i="44" s="1"/>
  <c r="J296" i="15"/>
  <c r="E3045" i="44" s="1"/>
  <c r="J295" i="15"/>
  <c r="I277" i="15"/>
  <c r="DR721" i="44" s="1"/>
  <c r="I276" i="15"/>
  <c r="DN721" i="44" s="1"/>
  <c r="I275" i="15"/>
  <c r="DJ721" i="44" s="1"/>
  <c r="I274" i="15"/>
  <c r="J246" i="15"/>
  <c r="CR721" i="44" s="1"/>
  <c r="J245" i="15"/>
  <c r="CQ721" i="44" s="1"/>
  <c r="J244" i="15"/>
  <c r="CP721" i="44" s="1"/>
  <c r="H242" i="15"/>
  <c r="J235" i="15"/>
  <c r="CC721" i="44" s="1"/>
  <c r="J216" i="15"/>
  <c r="CB721" i="44" s="1"/>
  <c r="J182" i="15"/>
  <c r="BZ721" i="44" s="1"/>
  <c r="J158" i="15"/>
  <c r="BX721" i="44" s="1"/>
  <c r="I156" i="15"/>
  <c r="D156" i="15"/>
  <c r="J146" i="15"/>
  <c r="BR721" i="44" s="1"/>
  <c r="I144" i="15"/>
  <c r="D144" i="15"/>
  <c r="J132" i="15"/>
  <c r="BL721" i="44" s="1"/>
  <c r="J131" i="15"/>
  <c r="AW721" i="44" s="1"/>
  <c r="G131" i="15"/>
  <c r="AX721" i="44" s="1"/>
  <c r="K115" i="15"/>
  <c r="BH721" i="44" s="1"/>
  <c r="K86" i="15"/>
  <c r="AR721" i="44" s="1"/>
  <c r="F82" i="15"/>
  <c r="J51" i="15"/>
  <c r="AE721" i="44" s="1"/>
  <c r="J38" i="15"/>
  <c r="AC721" i="44" s="1"/>
  <c r="K30" i="15"/>
  <c r="X721" i="44" s="1"/>
  <c r="K17" i="15"/>
  <c r="T721" i="44" s="1"/>
  <c r="J368" i="16"/>
  <c r="FF722" i="44" s="1"/>
  <c r="J366" i="16"/>
  <c r="L355" i="16"/>
  <c r="T354" i="16"/>
  <c r="I354" i="16"/>
  <c r="T353" i="16"/>
  <c r="I353" i="16"/>
  <c r="T352" i="16"/>
  <c r="I352" i="16"/>
  <c r="T351" i="16"/>
  <c r="I351" i="16"/>
  <c r="T350" i="16"/>
  <c r="I350" i="16"/>
  <c r="T349" i="16"/>
  <c r="I349" i="16"/>
  <c r="L326" i="16"/>
  <c r="J326" i="16"/>
  <c r="EP722" i="44" s="1"/>
  <c r="J318" i="16"/>
  <c r="EN722" i="44" s="1"/>
  <c r="J317" i="16"/>
  <c r="EM722" i="44" s="1"/>
  <c r="J316" i="16"/>
  <c r="EL722" i="44" s="1"/>
  <c r="J315" i="16"/>
  <c r="EK722" i="44" s="1"/>
  <c r="J309" i="16"/>
  <c r="EJ722" i="44" s="1"/>
  <c r="J308" i="16"/>
  <c r="EI722" i="44" s="1"/>
  <c r="J307" i="16"/>
  <c r="EH722" i="44" s="1"/>
  <c r="J306" i="16"/>
  <c r="EG722" i="44" s="1"/>
  <c r="J302" i="16"/>
  <c r="ED722" i="44" s="1"/>
  <c r="J299" i="16"/>
  <c r="E3053" i="44" s="1"/>
  <c r="J298" i="16"/>
  <c r="E3052" i="44" s="1"/>
  <c r="J297" i="16"/>
  <c r="E3051" i="44" s="1"/>
  <c r="J296" i="16"/>
  <c r="E3050" i="44" s="1"/>
  <c r="J295" i="16"/>
  <c r="I277" i="16"/>
  <c r="DR722" i="44" s="1"/>
  <c r="I276" i="16"/>
  <c r="DN722" i="44" s="1"/>
  <c r="I275" i="16"/>
  <c r="DJ722" i="44" s="1"/>
  <c r="I274" i="16"/>
  <c r="J246" i="16"/>
  <c r="CR722" i="44" s="1"/>
  <c r="J245" i="16"/>
  <c r="CQ722" i="44" s="1"/>
  <c r="J244" i="16"/>
  <c r="CP722" i="44" s="1"/>
  <c r="H242" i="16"/>
  <c r="J235" i="16"/>
  <c r="CC722" i="44" s="1"/>
  <c r="J216" i="16"/>
  <c r="CB722" i="44" s="1"/>
  <c r="J182" i="16"/>
  <c r="BZ722" i="44" s="1"/>
  <c r="J158" i="16"/>
  <c r="BX722" i="44" s="1"/>
  <c r="I156" i="16"/>
  <c r="D156" i="16"/>
  <c r="J146" i="16"/>
  <c r="BR722" i="44" s="1"/>
  <c r="I144" i="16"/>
  <c r="D144" i="16"/>
  <c r="J132" i="16"/>
  <c r="BL722" i="44" s="1"/>
  <c r="J131" i="16"/>
  <c r="AW722" i="44" s="1"/>
  <c r="G131" i="16"/>
  <c r="AX722" i="44" s="1"/>
  <c r="K115" i="16"/>
  <c r="BH722" i="44" s="1"/>
  <c r="K86" i="16"/>
  <c r="AR722" i="44" s="1"/>
  <c r="F82" i="16"/>
  <c r="J51" i="16"/>
  <c r="AE722" i="44" s="1"/>
  <c r="J38" i="16"/>
  <c r="AC722" i="44" s="1"/>
  <c r="K30" i="16"/>
  <c r="X722" i="44" s="1"/>
  <c r="K17" i="16"/>
  <c r="T722" i="44" s="1"/>
  <c r="J368" i="17"/>
  <c r="FF723" i="44" s="1"/>
  <c r="J366" i="17"/>
  <c r="L355" i="17"/>
  <c r="T354" i="17"/>
  <c r="I354" i="17"/>
  <c r="T353" i="17"/>
  <c r="I353" i="17"/>
  <c r="T352" i="17"/>
  <c r="I352" i="17"/>
  <c r="T351" i="17"/>
  <c r="I351" i="17"/>
  <c r="T350" i="17"/>
  <c r="I350" i="17"/>
  <c r="T349" i="17"/>
  <c r="I349" i="17"/>
  <c r="L326" i="17"/>
  <c r="J326" i="17"/>
  <c r="EP723" i="44" s="1"/>
  <c r="J318" i="17"/>
  <c r="EN723" i="44" s="1"/>
  <c r="J317" i="17"/>
  <c r="EM723" i="44" s="1"/>
  <c r="J316" i="17"/>
  <c r="EL723" i="44" s="1"/>
  <c r="J315" i="17"/>
  <c r="EK723" i="44" s="1"/>
  <c r="J309" i="17"/>
  <c r="EJ723" i="44" s="1"/>
  <c r="J308" i="17"/>
  <c r="EI723" i="44" s="1"/>
  <c r="J307" i="17"/>
  <c r="EH723" i="44" s="1"/>
  <c r="J306" i="17"/>
  <c r="EG723" i="44" s="1"/>
  <c r="J302" i="17"/>
  <c r="ED723" i="44" s="1"/>
  <c r="J299" i="17"/>
  <c r="E3058" i="44" s="1"/>
  <c r="J298" i="17"/>
  <c r="E3057" i="44" s="1"/>
  <c r="J297" i="17"/>
  <c r="E3056" i="44" s="1"/>
  <c r="J296" i="17"/>
  <c r="E3055" i="44" s="1"/>
  <c r="J295" i="17"/>
  <c r="I277" i="17"/>
  <c r="DR723" i="44" s="1"/>
  <c r="I276" i="17"/>
  <c r="DN723" i="44" s="1"/>
  <c r="I275" i="17"/>
  <c r="DJ723" i="44" s="1"/>
  <c r="I274" i="17"/>
  <c r="J246" i="17"/>
  <c r="CR723" i="44" s="1"/>
  <c r="J245" i="17"/>
  <c r="CQ723" i="44" s="1"/>
  <c r="J244" i="17"/>
  <c r="CP723" i="44" s="1"/>
  <c r="H242" i="17"/>
  <c r="J235" i="17"/>
  <c r="CC723" i="44" s="1"/>
  <c r="J216" i="17"/>
  <c r="CB723" i="44" s="1"/>
  <c r="J182" i="17"/>
  <c r="BZ723" i="44" s="1"/>
  <c r="J158" i="17"/>
  <c r="BX723" i="44" s="1"/>
  <c r="I156" i="17"/>
  <c r="D156" i="17"/>
  <c r="J146" i="17"/>
  <c r="BR723" i="44" s="1"/>
  <c r="I144" i="17"/>
  <c r="D144" i="17"/>
  <c r="J132" i="17"/>
  <c r="BL723" i="44" s="1"/>
  <c r="J131" i="17"/>
  <c r="AW723" i="44" s="1"/>
  <c r="G131" i="17"/>
  <c r="AX723" i="44" s="1"/>
  <c r="K115" i="17"/>
  <c r="BH723" i="44" s="1"/>
  <c r="K105" i="17"/>
  <c r="K86" i="17"/>
  <c r="AR723" i="44" s="1"/>
  <c r="F82" i="17"/>
  <c r="F84" i="17" s="1"/>
  <c r="AP723" i="44" s="1"/>
  <c r="J51" i="17"/>
  <c r="AE723" i="44" s="1"/>
  <c r="J38" i="17"/>
  <c r="AC723" i="44" s="1"/>
  <c r="K30" i="17"/>
  <c r="X723" i="44" s="1"/>
  <c r="K17" i="17"/>
  <c r="T723" i="44" s="1"/>
  <c r="J368" i="18"/>
  <c r="FF724" i="44" s="1"/>
  <c r="J366" i="18"/>
  <c r="L355" i="18"/>
  <c r="T354" i="18"/>
  <c r="I354" i="18"/>
  <c r="T353" i="18"/>
  <c r="I353" i="18"/>
  <c r="T352" i="18"/>
  <c r="I352" i="18"/>
  <c r="T351" i="18"/>
  <c r="I351" i="18"/>
  <c r="T350" i="18"/>
  <c r="I350" i="18"/>
  <c r="T349" i="18"/>
  <c r="I349" i="18"/>
  <c r="L326" i="18"/>
  <c r="J326" i="18"/>
  <c r="EP724" i="44" s="1"/>
  <c r="J318" i="18"/>
  <c r="EN724" i="44" s="1"/>
  <c r="J317" i="18"/>
  <c r="EM724" i="44" s="1"/>
  <c r="J316" i="18"/>
  <c r="EL724" i="44" s="1"/>
  <c r="J315" i="18"/>
  <c r="EK724" i="44" s="1"/>
  <c r="J309" i="18"/>
  <c r="EJ724" i="44" s="1"/>
  <c r="J308" i="18"/>
  <c r="EI724" i="44" s="1"/>
  <c r="J307" i="18"/>
  <c r="EH724" i="44" s="1"/>
  <c r="J306" i="18"/>
  <c r="EG724" i="44" s="1"/>
  <c r="J302" i="18"/>
  <c r="ED724" i="44" s="1"/>
  <c r="J299" i="18"/>
  <c r="E3063" i="44" s="1"/>
  <c r="J298" i="18"/>
  <c r="E3062" i="44" s="1"/>
  <c r="J297" i="18"/>
  <c r="E3061" i="44" s="1"/>
  <c r="J296" i="18"/>
  <c r="E3060" i="44" s="1"/>
  <c r="J295" i="18"/>
  <c r="I277" i="18"/>
  <c r="DR724" i="44" s="1"/>
  <c r="I276" i="18"/>
  <c r="DN724" i="44" s="1"/>
  <c r="I275" i="18"/>
  <c r="DJ724" i="44" s="1"/>
  <c r="I274" i="18"/>
  <c r="J246" i="18"/>
  <c r="CR724" i="44" s="1"/>
  <c r="J245" i="18"/>
  <c r="CQ724" i="44" s="1"/>
  <c r="J244" i="18"/>
  <c r="CP724" i="44" s="1"/>
  <c r="H242" i="18"/>
  <c r="J235" i="18"/>
  <c r="CC724" i="44" s="1"/>
  <c r="J216" i="18"/>
  <c r="CB724" i="44" s="1"/>
  <c r="J182" i="18"/>
  <c r="BZ724" i="44" s="1"/>
  <c r="J158" i="18"/>
  <c r="BX724" i="44" s="1"/>
  <c r="I156" i="18"/>
  <c r="D156" i="18"/>
  <c r="J146" i="18"/>
  <c r="BR724" i="44" s="1"/>
  <c r="I144" i="18"/>
  <c r="D144" i="18"/>
  <c r="J132" i="18"/>
  <c r="BL724" i="44" s="1"/>
  <c r="J131" i="18"/>
  <c r="AW724" i="44" s="1"/>
  <c r="G131" i="18"/>
  <c r="AX724" i="44" s="1"/>
  <c r="K115" i="18"/>
  <c r="BH724" i="44" s="1"/>
  <c r="K106" i="18"/>
  <c r="K86" i="18"/>
  <c r="AR724" i="44" s="1"/>
  <c r="F82" i="18"/>
  <c r="J51" i="18"/>
  <c r="AE724" i="44" s="1"/>
  <c r="J38" i="18"/>
  <c r="AC724" i="44" s="1"/>
  <c r="K30" i="18"/>
  <c r="X724" i="44" s="1"/>
  <c r="K17" i="18"/>
  <c r="T724" i="44" s="1"/>
  <c r="J368" i="19"/>
  <c r="FF725" i="44" s="1"/>
  <c r="J366" i="19"/>
  <c r="L355" i="19"/>
  <c r="T354" i="19"/>
  <c r="I354" i="19"/>
  <c r="T353" i="19"/>
  <c r="I353" i="19"/>
  <c r="T352" i="19"/>
  <c r="I352" i="19"/>
  <c r="T351" i="19"/>
  <c r="I351" i="19"/>
  <c r="T350" i="19"/>
  <c r="I350" i="19"/>
  <c r="T349" i="19"/>
  <c r="I349" i="19"/>
  <c r="L326" i="19"/>
  <c r="J326" i="19"/>
  <c r="EP725" i="44" s="1"/>
  <c r="J318" i="19"/>
  <c r="EN725" i="44" s="1"/>
  <c r="J317" i="19"/>
  <c r="EM725" i="44" s="1"/>
  <c r="J316" i="19"/>
  <c r="EL725" i="44" s="1"/>
  <c r="J315" i="19"/>
  <c r="EK725" i="44" s="1"/>
  <c r="J309" i="19"/>
  <c r="EJ725" i="44" s="1"/>
  <c r="J308" i="19"/>
  <c r="EI725" i="44" s="1"/>
  <c r="J307" i="19"/>
  <c r="EH725" i="44" s="1"/>
  <c r="J306" i="19"/>
  <c r="EG725" i="44" s="1"/>
  <c r="J302" i="19"/>
  <c r="ED725" i="44" s="1"/>
  <c r="J299" i="19"/>
  <c r="E3068" i="44" s="1"/>
  <c r="J298" i="19"/>
  <c r="E3067" i="44" s="1"/>
  <c r="J297" i="19"/>
  <c r="E3066" i="44" s="1"/>
  <c r="J296" i="19"/>
  <c r="E3065" i="44" s="1"/>
  <c r="J295" i="19"/>
  <c r="J291" i="19"/>
  <c r="J292" i="19" s="1"/>
  <c r="EA725" i="44" s="1"/>
  <c r="I277" i="19"/>
  <c r="DR725" i="44" s="1"/>
  <c r="I276" i="19"/>
  <c r="DN725" i="44" s="1"/>
  <c r="I275" i="19"/>
  <c r="DJ725" i="44" s="1"/>
  <c r="I274" i="19"/>
  <c r="J246" i="19"/>
  <c r="CR725" i="44" s="1"/>
  <c r="J245" i="19"/>
  <c r="CQ725" i="44" s="1"/>
  <c r="J244" i="19"/>
  <c r="CP725" i="44" s="1"/>
  <c r="H242" i="19"/>
  <c r="J235" i="19"/>
  <c r="CC725" i="44" s="1"/>
  <c r="J216" i="19"/>
  <c r="CB725" i="44" s="1"/>
  <c r="J182" i="19"/>
  <c r="BZ725" i="44" s="1"/>
  <c r="J158" i="19"/>
  <c r="BX725" i="44" s="1"/>
  <c r="I156" i="19"/>
  <c r="D156" i="19"/>
  <c r="J146" i="19"/>
  <c r="BR725" i="44" s="1"/>
  <c r="I144" i="19"/>
  <c r="D144" i="19"/>
  <c r="J132" i="19"/>
  <c r="BL725" i="44" s="1"/>
  <c r="J131" i="19"/>
  <c r="AW725" i="44" s="1"/>
  <c r="G131" i="19"/>
  <c r="AX725" i="44" s="1"/>
  <c r="K115" i="19"/>
  <c r="BH725" i="44" s="1"/>
  <c r="K86" i="19"/>
  <c r="AR725" i="44" s="1"/>
  <c r="F82" i="19"/>
  <c r="J51" i="19"/>
  <c r="AE725" i="44" s="1"/>
  <c r="J38" i="19"/>
  <c r="AC725" i="44" s="1"/>
  <c r="K30" i="19"/>
  <c r="X725" i="44" s="1"/>
  <c r="K17" i="19"/>
  <c r="T725" i="44" s="1"/>
  <c r="J368" i="20"/>
  <c r="FF726" i="44" s="1"/>
  <c r="J366" i="20"/>
  <c r="L355" i="20"/>
  <c r="T354" i="20"/>
  <c r="I354" i="20"/>
  <c r="T353" i="20"/>
  <c r="I353" i="20"/>
  <c r="T352" i="20"/>
  <c r="I352" i="20"/>
  <c r="T351" i="20"/>
  <c r="I351" i="20"/>
  <c r="T350" i="20"/>
  <c r="I350" i="20"/>
  <c r="T349" i="20"/>
  <c r="I349" i="20"/>
  <c r="L326" i="20"/>
  <c r="J326" i="20"/>
  <c r="EP726" i="44" s="1"/>
  <c r="J318" i="20"/>
  <c r="EN726" i="44" s="1"/>
  <c r="J317" i="20"/>
  <c r="EM726" i="44" s="1"/>
  <c r="J316" i="20"/>
  <c r="EL726" i="44" s="1"/>
  <c r="J315" i="20"/>
  <c r="EK726" i="44" s="1"/>
  <c r="J309" i="20"/>
  <c r="EJ726" i="44" s="1"/>
  <c r="J308" i="20"/>
  <c r="EI726" i="44" s="1"/>
  <c r="J307" i="20"/>
  <c r="EH726" i="44" s="1"/>
  <c r="J306" i="20"/>
  <c r="EG726" i="44" s="1"/>
  <c r="J302" i="20"/>
  <c r="ED726" i="44" s="1"/>
  <c r="J299" i="20"/>
  <c r="E3073" i="44" s="1"/>
  <c r="J298" i="20"/>
  <c r="E3072" i="44" s="1"/>
  <c r="J297" i="20"/>
  <c r="E3071" i="44" s="1"/>
  <c r="J296" i="20"/>
  <c r="E3070" i="44" s="1"/>
  <c r="J295" i="20"/>
  <c r="I277" i="20"/>
  <c r="DR726" i="44" s="1"/>
  <c r="I276" i="20"/>
  <c r="DN726" i="44" s="1"/>
  <c r="I275" i="20"/>
  <c r="DJ726" i="44" s="1"/>
  <c r="I274" i="20"/>
  <c r="J246" i="20"/>
  <c r="CR726" i="44" s="1"/>
  <c r="J245" i="20"/>
  <c r="CQ726" i="44" s="1"/>
  <c r="J244" i="20"/>
  <c r="CP726" i="44" s="1"/>
  <c r="H242" i="20"/>
  <c r="J235" i="20"/>
  <c r="CC726" i="44" s="1"/>
  <c r="J216" i="20"/>
  <c r="CB726" i="44" s="1"/>
  <c r="J182" i="20"/>
  <c r="BZ726" i="44" s="1"/>
  <c r="J158" i="20"/>
  <c r="BX726" i="44" s="1"/>
  <c r="I156" i="20"/>
  <c r="D156" i="20"/>
  <c r="J146" i="20"/>
  <c r="BR726" i="44" s="1"/>
  <c r="I144" i="20"/>
  <c r="D144" i="20"/>
  <c r="J132" i="20"/>
  <c r="BL726" i="44" s="1"/>
  <c r="J131" i="20"/>
  <c r="AW726" i="44" s="1"/>
  <c r="G131" i="20"/>
  <c r="AX726" i="44" s="1"/>
  <c r="K115" i="20"/>
  <c r="BH726" i="44" s="1"/>
  <c r="K86" i="20"/>
  <c r="AR726" i="44" s="1"/>
  <c r="F82" i="20"/>
  <c r="J51" i="20"/>
  <c r="AE726" i="44" s="1"/>
  <c r="J38" i="20"/>
  <c r="AC726" i="44" s="1"/>
  <c r="K30" i="20"/>
  <c r="X726" i="44" s="1"/>
  <c r="K17" i="20"/>
  <c r="T726" i="44" s="1"/>
  <c r="J368" i="21"/>
  <c r="FF727" i="44" s="1"/>
  <c r="J366" i="21"/>
  <c r="L355" i="21"/>
  <c r="T354" i="21"/>
  <c r="I354" i="21"/>
  <c r="T353" i="21"/>
  <c r="I353" i="21"/>
  <c r="T352" i="21"/>
  <c r="I352" i="21"/>
  <c r="T351" i="21"/>
  <c r="I351" i="21"/>
  <c r="T350" i="21"/>
  <c r="I350" i="21"/>
  <c r="T349" i="21"/>
  <c r="I349" i="21"/>
  <c r="L326" i="21"/>
  <c r="J326" i="21"/>
  <c r="EP727" i="44" s="1"/>
  <c r="J318" i="21"/>
  <c r="EN727" i="44" s="1"/>
  <c r="J317" i="21"/>
  <c r="EM727" i="44" s="1"/>
  <c r="J316" i="21"/>
  <c r="EL727" i="44" s="1"/>
  <c r="J315" i="21"/>
  <c r="EK727" i="44" s="1"/>
  <c r="J309" i="21"/>
  <c r="EJ727" i="44" s="1"/>
  <c r="J308" i="21"/>
  <c r="EI727" i="44" s="1"/>
  <c r="J307" i="21"/>
  <c r="EH727" i="44" s="1"/>
  <c r="J306" i="21"/>
  <c r="EG727" i="44" s="1"/>
  <c r="J302" i="21"/>
  <c r="ED727" i="44" s="1"/>
  <c r="J299" i="21"/>
  <c r="E3078" i="44" s="1"/>
  <c r="J298" i="21"/>
  <c r="E3077" i="44" s="1"/>
  <c r="J297" i="21"/>
  <c r="E3076" i="44" s="1"/>
  <c r="J296" i="21"/>
  <c r="E3075" i="44" s="1"/>
  <c r="J295" i="21"/>
  <c r="I277" i="21"/>
  <c r="DR727" i="44" s="1"/>
  <c r="I276" i="21"/>
  <c r="DN727" i="44" s="1"/>
  <c r="I275" i="21"/>
  <c r="DJ727" i="44" s="1"/>
  <c r="I274" i="21"/>
  <c r="J246" i="21"/>
  <c r="CR727" i="44" s="1"/>
  <c r="J245" i="21"/>
  <c r="CQ727" i="44" s="1"/>
  <c r="J244" i="21"/>
  <c r="CP727" i="44" s="1"/>
  <c r="H242" i="21"/>
  <c r="J235" i="21"/>
  <c r="CC727" i="44" s="1"/>
  <c r="J216" i="21"/>
  <c r="CB727" i="44" s="1"/>
  <c r="J182" i="21"/>
  <c r="BZ727" i="44" s="1"/>
  <c r="J158" i="21"/>
  <c r="BX727" i="44" s="1"/>
  <c r="I156" i="21"/>
  <c r="D156" i="21"/>
  <c r="J146" i="21"/>
  <c r="BR727" i="44" s="1"/>
  <c r="I144" i="21"/>
  <c r="D144" i="21"/>
  <c r="J132" i="21"/>
  <c r="BL727" i="44" s="1"/>
  <c r="J131" i="21"/>
  <c r="AW727" i="44" s="1"/>
  <c r="G131" i="21"/>
  <c r="AX727" i="44" s="1"/>
  <c r="K115" i="21"/>
  <c r="BH727" i="44" s="1"/>
  <c r="K86" i="21"/>
  <c r="AR727" i="44" s="1"/>
  <c r="F82" i="21"/>
  <c r="J51" i="21"/>
  <c r="AE727" i="44" s="1"/>
  <c r="J38" i="21"/>
  <c r="AC727" i="44" s="1"/>
  <c r="K30" i="21"/>
  <c r="X727" i="44" s="1"/>
  <c r="K17" i="21"/>
  <c r="T727" i="44" s="1"/>
  <c r="J368" i="22"/>
  <c r="FF728" i="44" s="1"/>
  <c r="J366" i="22"/>
  <c r="L355" i="22"/>
  <c r="T354" i="22"/>
  <c r="I354" i="22"/>
  <c r="T353" i="22"/>
  <c r="I353" i="22"/>
  <c r="T352" i="22"/>
  <c r="I352" i="22"/>
  <c r="T351" i="22"/>
  <c r="I351" i="22"/>
  <c r="T350" i="22"/>
  <c r="I350" i="22"/>
  <c r="T349" i="22"/>
  <c r="I349" i="22"/>
  <c r="L326" i="22"/>
  <c r="J326" i="22"/>
  <c r="EP728" i="44" s="1"/>
  <c r="J318" i="22"/>
  <c r="EN728" i="44" s="1"/>
  <c r="J317" i="22"/>
  <c r="EM728" i="44" s="1"/>
  <c r="J316" i="22"/>
  <c r="EL728" i="44" s="1"/>
  <c r="J315" i="22"/>
  <c r="EK728" i="44" s="1"/>
  <c r="J309" i="22"/>
  <c r="EJ728" i="44" s="1"/>
  <c r="J308" i="22"/>
  <c r="EI728" i="44" s="1"/>
  <c r="J307" i="22"/>
  <c r="EH728" i="44" s="1"/>
  <c r="J306" i="22"/>
  <c r="EG728" i="44" s="1"/>
  <c r="J302" i="22"/>
  <c r="ED728" i="44" s="1"/>
  <c r="J299" i="22"/>
  <c r="E3083" i="44" s="1"/>
  <c r="J298" i="22"/>
  <c r="E3082" i="44" s="1"/>
  <c r="J297" i="22"/>
  <c r="E3081" i="44" s="1"/>
  <c r="J296" i="22"/>
  <c r="E3080" i="44" s="1"/>
  <c r="J295" i="22"/>
  <c r="I277" i="22"/>
  <c r="DR728" i="44" s="1"/>
  <c r="I276" i="22"/>
  <c r="DN728" i="44" s="1"/>
  <c r="I275" i="22"/>
  <c r="DJ728" i="44" s="1"/>
  <c r="I274" i="22"/>
  <c r="J246" i="22"/>
  <c r="CR728" i="44" s="1"/>
  <c r="J245" i="22"/>
  <c r="CQ728" i="44" s="1"/>
  <c r="J244" i="22"/>
  <c r="CP728" i="44" s="1"/>
  <c r="H242" i="22"/>
  <c r="J235" i="22"/>
  <c r="CC728" i="44" s="1"/>
  <c r="J216" i="22"/>
  <c r="CB728" i="44" s="1"/>
  <c r="J182" i="22"/>
  <c r="BZ728" i="44" s="1"/>
  <c r="J158" i="22"/>
  <c r="BX728" i="44" s="1"/>
  <c r="I156" i="22"/>
  <c r="D156" i="22"/>
  <c r="J146" i="22"/>
  <c r="BR728" i="44" s="1"/>
  <c r="I144" i="22"/>
  <c r="D144" i="22"/>
  <c r="J132" i="22"/>
  <c r="BL728" i="44" s="1"/>
  <c r="J131" i="22"/>
  <c r="AW728" i="44" s="1"/>
  <c r="G131" i="22"/>
  <c r="AX728" i="44" s="1"/>
  <c r="K115" i="22"/>
  <c r="BH728" i="44" s="1"/>
  <c r="K105" i="22"/>
  <c r="K86" i="22"/>
  <c r="AR728" i="44" s="1"/>
  <c r="F82" i="22"/>
  <c r="J51" i="22"/>
  <c r="AE728" i="44" s="1"/>
  <c r="J38" i="22"/>
  <c r="AC728" i="44" s="1"/>
  <c r="K30" i="22"/>
  <c r="X728" i="44" s="1"/>
  <c r="K17" i="22"/>
  <c r="T728" i="44" s="1"/>
  <c r="J368" i="23"/>
  <c r="FF729" i="44" s="1"/>
  <c r="J366" i="23"/>
  <c r="L355" i="23"/>
  <c r="T354" i="23"/>
  <c r="I354" i="23"/>
  <c r="T353" i="23"/>
  <c r="I353" i="23"/>
  <c r="T352" i="23"/>
  <c r="I352" i="23"/>
  <c r="T351" i="23"/>
  <c r="I351" i="23"/>
  <c r="T350" i="23"/>
  <c r="I350" i="23"/>
  <c r="T349" i="23"/>
  <c r="I349" i="23"/>
  <c r="L326" i="23"/>
  <c r="J326" i="23"/>
  <c r="EP729" i="44" s="1"/>
  <c r="J318" i="23"/>
  <c r="EN729" i="44" s="1"/>
  <c r="J317" i="23"/>
  <c r="EM729" i="44" s="1"/>
  <c r="J316" i="23"/>
  <c r="EL729" i="44" s="1"/>
  <c r="J315" i="23"/>
  <c r="EK729" i="44" s="1"/>
  <c r="J309" i="23"/>
  <c r="EJ729" i="44" s="1"/>
  <c r="J308" i="23"/>
  <c r="EI729" i="44" s="1"/>
  <c r="J307" i="23"/>
  <c r="EH729" i="44" s="1"/>
  <c r="J306" i="23"/>
  <c r="EG729" i="44" s="1"/>
  <c r="J302" i="23"/>
  <c r="ED729" i="44" s="1"/>
  <c r="J299" i="23"/>
  <c r="E3088" i="44" s="1"/>
  <c r="J298" i="23"/>
  <c r="E3087" i="44" s="1"/>
  <c r="J297" i="23"/>
  <c r="E3086" i="44" s="1"/>
  <c r="J296" i="23"/>
  <c r="E3085" i="44" s="1"/>
  <c r="J295" i="23"/>
  <c r="I277" i="23"/>
  <c r="DR729" i="44" s="1"/>
  <c r="I276" i="23"/>
  <c r="DN729" i="44" s="1"/>
  <c r="I275" i="23"/>
  <c r="DJ729" i="44" s="1"/>
  <c r="I274" i="23"/>
  <c r="J246" i="23"/>
  <c r="CR729" i="44" s="1"/>
  <c r="J245" i="23"/>
  <c r="CQ729" i="44" s="1"/>
  <c r="J244" i="23"/>
  <c r="CP729" i="44" s="1"/>
  <c r="H242" i="23"/>
  <c r="J235" i="23"/>
  <c r="CC729" i="44" s="1"/>
  <c r="J216" i="23"/>
  <c r="CB729" i="44" s="1"/>
  <c r="J182" i="23"/>
  <c r="BZ729" i="44" s="1"/>
  <c r="J158" i="23"/>
  <c r="BX729" i="44" s="1"/>
  <c r="I156" i="23"/>
  <c r="D156" i="23"/>
  <c r="J146" i="23"/>
  <c r="BR729" i="44" s="1"/>
  <c r="I144" i="23"/>
  <c r="D144" i="23"/>
  <c r="J132" i="23"/>
  <c r="BL729" i="44" s="1"/>
  <c r="J131" i="23"/>
  <c r="AW729" i="44" s="1"/>
  <c r="G131" i="23"/>
  <c r="AX729" i="44" s="1"/>
  <c r="K115" i="23"/>
  <c r="BH729" i="44" s="1"/>
  <c r="K86" i="23"/>
  <c r="AR729" i="44" s="1"/>
  <c r="F82" i="23"/>
  <c r="J51" i="23"/>
  <c r="AE729" i="44" s="1"/>
  <c r="J38" i="23"/>
  <c r="AC729" i="44" s="1"/>
  <c r="K30" i="23"/>
  <c r="X729" i="44" s="1"/>
  <c r="K17" i="23"/>
  <c r="T729" i="44" s="1"/>
  <c r="J368" i="24"/>
  <c r="FF730" i="44" s="1"/>
  <c r="J366" i="24"/>
  <c r="L355" i="24"/>
  <c r="T354" i="24"/>
  <c r="I354" i="24"/>
  <c r="T353" i="24"/>
  <c r="I353" i="24"/>
  <c r="T352" i="24"/>
  <c r="I352" i="24"/>
  <c r="T351" i="24"/>
  <c r="I351" i="24"/>
  <c r="T350" i="24"/>
  <c r="I350" i="24"/>
  <c r="T349" i="24"/>
  <c r="I349" i="24"/>
  <c r="L326" i="24"/>
  <c r="J326" i="24"/>
  <c r="EP730" i="44" s="1"/>
  <c r="J318" i="24"/>
  <c r="EN730" i="44" s="1"/>
  <c r="J317" i="24"/>
  <c r="EM730" i="44" s="1"/>
  <c r="J316" i="24"/>
  <c r="EL730" i="44" s="1"/>
  <c r="J315" i="24"/>
  <c r="EK730" i="44" s="1"/>
  <c r="J309" i="24"/>
  <c r="EJ730" i="44" s="1"/>
  <c r="J308" i="24"/>
  <c r="EI730" i="44" s="1"/>
  <c r="J307" i="24"/>
  <c r="EH730" i="44" s="1"/>
  <c r="J306" i="24"/>
  <c r="EG730" i="44" s="1"/>
  <c r="J302" i="24"/>
  <c r="ED730" i="44" s="1"/>
  <c r="J299" i="24"/>
  <c r="E3093" i="44" s="1"/>
  <c r="J298" i="24"/>
  <c r="E3092" i="44" s="1"/>
  <c r="J297" i="24"/>
  <c r="E3091" i="44" s="1"/>
  <c r="J296" i="24"/>
  <c r="E3090" i="44" s="1"/>
  <c r="J295" i="24"/>
  <c r="I277" i="24"/>
  <c r="DR730" i="44" s="1"/>
  <c r="I276" i="24"/>
  <c r="DN730" i="44" s="1"/>
  <c r="I275" i="24"/>
  <c r="DJ730" i="44" s="1"/>
  <c r="I274" i="24"/>
  <c r="J246" i="24"/>
  <c r="CR730" i="44" s="1"/>
  <c r="J245" i="24"/>
  <c r="CQ730" i="44" s="1"/>
  <c r="J244" i="24"/>
  <c r="CP730" i="44" s="1"/>
  <c r="H242" i="24"/>
  <c r="J235" i="24"/>
  <c r="CC730" i="44" s="1"/>
  <c r="J216" i="24"/>
  <c r="CB730" i="44" s="1"/>
  <c r="J182" i="24"/>
  <c r="BZ730" i="44" s="1"/>
  <c r="J158" i="24"/>
  <c r="BX730" i="44" s="1"/>
  <c r="I156" i="24"/>
  <c r="D156" i="24"/>
  <c r="J146" i="24"/>
  <c r="BR730" i="44" s="1"/>
  <c r="I144" i="24"/>
  <c r="D144" i="24"/>
  <c r="J132" i="24"/>
  <c r="BL730" i="44" s="1"/>
  <c r="J131" i="24"/>
  <c r="AW730" i="44" s="1"/>
  <c r="G131" i="24"/>
  <c r="AX730" i="44" s="1"/>
  <c r="K115" i="24"/>
  <c r="BH730" i="44" s="1"/>
  <c r="K86" i="24"/>
  <c r="AR730" i="44" s="1"/>
  <c r="F82" i="24"/>
  <c r="J51" i="24"/>
  <c r="AE730" i="44" s="1"/>
  <c r="J38" i="24"/>
  <c r="AC730" i="44" s="1"/>
  <c r="K30" i="24"/>
  <c r="X730" i="44" s="1"/>
  <c r="K17" i="24"/>
  <c r="T730" i="44" s="1"/>
  <c r="J368" i="25"/>
  <c r="FF731" i="44" s="1"/>
  <c r="J366" i="25"/>
  <c r="L355" i="25"/>
  <c r="T354" i="25"/>
  <c r="I354" i="25"/>
  <c r="T353" i="25"/>
  <c r="I353" i="25"/>
  <c r="T352" i="25"/>
  <c r="I352" i="25"/>
  <c r="T351" i="25"/>
  <c r="I351" i="25"/>
  <c r="T350" i="25"/>
  <c r="I350" i="25"/>
  <c r="T349" i="25"/>
  <c r="I349" i="25"/>
  <c r="L326" i="25"/>
  <c r="J326" i="25"/>
  <c r="EP731" i="44" s="1"/>
  <c r="J318" i="25"/>
  <c r="EN731" i="44" s="1"/>
  <c r="J317" i="25"/>
  <c r="EM731" i="44" s="1"/>
  <c r="J316" i="25"/>
  <c r="EL731" i="44" s="1"/>
  <c r="J315" i="25"/>
  <c r="EK731" i="44" s="1"/>
  <c r="J309" i="25"/>
  <c r="EJ731" i="44" s="1"/>
  <c r="J308" i="25"/>
  <c r="EI731" i="44" s="1"/>
  <c r="J307" i="25"/>
  <c r="EH731" i="44" s="1"/>
  <c r="J306" i="25"/>
  <c r="EG731" i="44" s="1"/>
  <c r="J302" i="25"/>
  <c r="ED731" i="44" s="1"/>
  <c r="J299" i="25"/>
  <c r="E3098" i="44" s="1"/>
  <c r="J298" i="25"/>
  <c r="E3097" i="44" s="1"/>
  <c r="J297" i="25"/>
  <c r="E3096" i="44" s="1"/>
  <c r="J296" i="25"/>
  <c r="E3095" i="44" s="1"/>
  <c r="J295" i="25"/>
  <c r="I277" i="25"/>
  <c r="DR731" i="44" s="1"/>
  <c r="I276" i="25"/>
  <c r="DN731" i="44" s="1"/>
  <c r="I275" i="25"/>
  <c r="DJ731" i="44" s="1"/>
  <c r="I274" i="25"/>
  <c r="J246" i="25"/>
  <c r="CR731" i="44" s="1"/>
  <c r="J245" i="25"/>
  <c r="CQ731" i="44" s="1"/>
  <c r="J244" i="25"/>
  <c r="CP731" i="44" s="1"/>
  <c r="H242" i="25"/>
  <c r="J235" i="25"/>
  <c r="CC731" i="44" s="1"/>
  <c r="J216" i="25"/>
  <c r="CB731" i="44" s="1"/>
  <c r="J182" i="25"/>
  <c r="BZ731" i="44" s="1"/>
  <c r="J158" i="25"/>
  <c r="BX731" i="44" s="1"/>
  <c r="I156" i="25"/>
  <c r="D156" i="25"/>
  <c r="J146" i="25"/>
  <c r="BR731" i="44" s="1"/>
  <c r="I144" i="25"/>
  <c r="D144" i="25"/>
  <c r="J132" i="25"/>
  <c r="BL731" i="44" s="1"/>
  <c r="J131" i="25"/>
  <c r="AW731" i="44" s="1"/>
  <c r="G131" i="25"/>
  <c r="AX731" i="44" s="1"/>
  <c r="K115" i="25"/>
  <c r="BH731" i="44" s="1"/>
  <c r="K86" i="25"/>
  <c r="AR731" i="44" s="1"/>
  <c r="F82" i="25"/>
  <c r="J51" i="25"/>
  <c r="AE731" i="44" s="1"/>
  <c r="J38" i="25"/>
  <c r="AC731" i="44" s="1"/>
  <c r="K30" i="25"/>
  <c r="X731" i="44" s="1"/>
  <c r="K17" i="25"/>
  <c r="T731" i="44" s="1"/>
  <c r="J368" i="26"/>
  <c r="FF732" i="44" s="1"/>
  <c r="J366" i="26"/>
  <c r="L355" i="26"/>
  <c r="T354" i="26"/>
  <c r="I354" i="26"/>
  <c r="T353" i="26"/>
  <c r="I353" i="26"/>
  <c r="T352" i="26"/>
  <c r="I352" i="26"/>
  <c r="T351" i="26"/>
  <c r="I351" i="26"/>
  <c r="T350" i="26"/>
  <c r="I350" i="26"/>
  <c r="T349" i="26"/>
  <c r="I349" i="26"/>
  <c r="L326" i="26"/>
  <c r="J326" i="26"/>
  <c r="EP732" i="44" s="1"/>
  <c r="J318" i="26"/>
  <c r="EN732" i="44" s="1"/>
  <c r="J317" i="26"/>
  <c r="EM732" i="44" s="1"/>
  <c r="J316" i="26"/>
  <c r="EL732" i="44" s="1"/>
  <c r="J315" i="26"/>
  <c r="EK732" i="44" s="1"/>
  <c r="J309" i="26"/>
  <c r="EJ732" i="44" s="1"/>
  <c r="J308" i="26"/>
  <c r="EI732" i="44" s="1"/>
  <c r="J307" i="26"/>
  <c r="EH732" i="44" s="1"/>
  <c r="J306" i="26"/>
  <c r="EG732" i="44" s="1"/>
  <c r="J302" i="26"/>
  <c r="ED732" i="44" s="1"/>
  <c r="J299" i="26"/>
  <c r="E3103" i="44" s="1"/>
  <c r="J298" i="26"/>
  <c r="E3102" i="44" s="1"/>
  <c r="J297" i="26"/>
  <c r="E3101" i="44" s="1"/>
  <c r="J296" i="26"/>
  <c r="E3100" i="44" s="1"/>
  <c r="J295" i="26"/>
  <c r="I277" i="26"/>
  <c r="DR732" i="44" s="1"/>
  <c r="I276" i="26"/>
  <c r="DN732" i="44" s="1"/>
  <c r="I275" i="26"/>
  <c r="DJ732" i="44" s="1"/>
  <c r="I274" i="26"/>
  <c r="J246" i="26"/>
  <c r="CR732" i="44" s="1"/>
  <c r="J245" i="26"/>
  <c r="CQ732" i="44" s="1"/>
  <c r="J244" i="26"/>
  <c r="CP732" i="44" s="1"/>
  <c r="H242" i="26"/>
  <c r="J235" i="26"/>
  <c r="CC732" i="44" s="1"/>
  <c r="J216" i="26"/>
  <c r="CB732" i="44" s="1"/>
  <c r="J182" i="26"/>
  <c r="BZ732" i="44" s="1"/>
  <c r="J158" i="26"/>
  <c r="BX732" i="44" s="1"/>
  <c r="I156" i="26"/>
  <c r="D156" i="26"/>
  <c r="J146" i="26"/>
  <c r="BR732" i="44" s="1"/>
  <c r="I144" i="26"/>
  <c r="D144" i="26"/>
  <c r="J132" i="26"/>
  <c r="BL732" i="44" s="1"/>
  <c r="J131" i="26"/>
  <c r="AW732" i="44" s="1"/>
  <c r="G131" i="26"/>
  <c r="AX732" i="44" s="1"/>
  <c r="K115" i="26"/>
  <c r="BH732" i="44" s="1"/>
  <c r="K105" i="26"/>
  <c r="K86" i="26"/>
  <c r="AR732" i="44" s="1"/>
  <c r="F82" i="26"/>
  <c r="J51" i="26"/>
  <c r="AE732" i="44" s="1"/>
  <c r="J38" i="26"/>
  <c r="AC732" i="44" s="1"/>
  <c r="K30" i="26"/>
  <c r="X732" i="44" s="1"/>
  <c r="K17" i="26"/>
  <c r="T732" i="44" s="1"/>
  <c r="J368" i="27"/>
  <c r="FF733" i="44" s="1"/>
  <c r="J366" i="27"/>
  <c r="L355" i="27"/>
  <c r="T354" i="27"/>
  <c r="I354" i="27"/>
  <c r="T353" i="27"/>
  <c r="I353" i="27"/>
  <c r="T352" i="27"/>
  <c r="I352" i="27"/>
  <c r="T351" i="27"/>
  <c r="I351" i="27"/>
  <c r="T350" i="27"/>
  <c r="I350" i="27"/>
  <c r="T349" i="27"/>
  <c r="I349" i="27"/>
  <c r="L326" i="27"/>
  <c r="J326" i="27"/>
  <c r="EP733" i="44" s="1"/>
  <c r="J318" i="27"/>
  <c r="EN733" i="44" s="1"/>
  <c r="J317" i="27"/>
  <c r="EM733" i="44" s="1"/>
  <c r="J316" i="27"/>
  <c r="EL733" i="44" s="1"/>
  <c r="J315" i="27"/>
  <c r="EK733" i="44" s="1"/>
  <c r="J309" i="27"/>
  <c r="EJ733" i="44" s="1"/>
  <c r="J308" i="27"/>
  <c r="EI733" i="44" s="1"/>
  <c r="J307" i="27"/>
  <c r="EH733" i="44" s="1"/>
  <c r="J306" i="27"/>
  <c r="EG733" i="44" s="1"/>
  <c r="J302" i="27"/>
  <c r="ED733" i="44" s="1"/>
  <c r="J299" i="27"/>
  <c r="E3108" i="44" s="1"/>
  <c r="J298" i="27"/>
  <c r="E3107" i="44" s="1"/>
  <c r="J297" i="27"/>
  <c r="E3106" i="44" s="1"/>
  <c r="J296" i="27"/>
  <c r="E3105" i="44" s="1"/>
  <c r="J295" i="27"/>
  <c r="I277" i="27"/>
  <c r="DR733" i="44" s="1"/>
  <c r="I276" i="27"/>
  <c r="DN733" i="44" s="1"/>
  <c r="I275" i="27"/>
  <c r="DJ733" i="44" s="1"/>
  <c r="I274" i="27"/>
  <c r="J246" i="27"/>
  <c r="CR733" i="44" s="1"/>
  <c r="J245" i="27"/>
  <c r="CQ733" i="44" s="1"/>
  <c r="J244" i="27"/>
  <c r="CP733" i="44" s="1"/>
  <c r="H242" i="27"/>
  <c r="J235" i="27"/>
  <c r="CC733" i="44" s="1"/>
  <c r="J216" i="27"/>
  <c r="CB733" i="44" s="1"/>
  <c r="J182" i="27"/>
  <c r="BZ733" i="44" s="1"/>
  <c r="J158" i="27"/>
  <c r="BX733" i="44" s="1"/>
  <c r="I156" i="27"/>
  <c r="D156" i="27"/>
  <c r="J146" i="27"/>
  <c r="BR733" i="44" s="1"/>
  <c r="I144" i="27"/>
  <c r="D144" i="27"/>
  <c r="J132" i="27"/>
  <c r="BL733" i="44" s="1"/>
  <c r="J131" i="27"/>
  <c r="AW733" i="44" s="1"/>
  <c r="G131" i="27"/>
  <c r="AX733" i="44" s="1"/>
  <c r="K115" i="27"/>
  <c r="BH733" i="44" s="1"/>
  <c r="K86" i="27"/>
  <c r="AR733" i="44" s="1"/>
  <c r="F82" i="27"/>
  <c r="J51" i="27"/>
  <c r="AE733" i="44" s="1"/>
  <c r="J38" i="27"/>
  <c r="AC733" i="44" s="1"/>
  <c r="K30" i="27"/>
  <c r="X733" i="44" s="1"/>
  <c r="K17" i="27"/>
  <c r="T733" i="44" s="1"/>
  <c r="J368" i="28"/>
  <c r="FF734" i="44" s="1"/>
  <c r="J366" i="28"/>
  <c r="L355" i="28"/>
  <c r="T354" i="28"/>
  <c r="I354" i="28"/>
  <c r="T353" i="28"/>
  <c r="I353" i="28"/>
  <c r="T352" i="28"/>
  <c r="I352" i="28"/>
  <c r="T351" i="28"/>
  <c r="I351" i="28"/>
  <c r="T350" i="28"/>
  <c r="I350" i="28"/>
  <c r="T349" i="28"/>
  <c r="I349" i="28"/>
  <c r="L326" i="28"/>
  <c r="J326" i="28"/>
  <c r="EP734" i="44" s="1"/>
  <c r="J318" i="28"/>
  <c r="EN734" i="44" s="1"/>
  <c r="J317" i="28"/>
  <c r="EM734" i="44" s="1"/>
  <c r="J316" i="28"/>
  <c r="EL734" i="44" s="1"/>
  <c r="J315" i="28"/>
  <c r="EK734" i="44" s="1"/>
  <c r="J309" i="28"/>
  <c r="EJ734" i="44" s="1"/>
  <c r="J308" i="28"/>
  <c r="EI734" i="44" s="1"/>
  <c r="J307" i="28"/>
  <c r="EH734" i="44" s="1"/>
  <c r="J306" i="28"/>
  <c r="EG734" i="44" s="1"/>
  <c r="J302" i="28"/>
  <c r="ED734" i="44" s="1"/>
  <c r="J299" i="28"/>
  <c r="E3113" i="44" s="1"/>
  <c r="J298" i="28"/>
  <c r="E3112" i="44" s="1"/>
  <c r="J297" i="28"/>
  <c r="E3111" i="44" s="1"/>
  <c r="J296" i="28"/>
  <c r="E3110" i="44" s="1"/>
  <c r="J295" i="28"/>
  <c r="I277" i="28"/>
  <c r="DR734" i="44" s="1"/>
  <c r="I276" i="28"/>
  <c r="DN734" i="44" s="1"/>
  <c r="I275" i="28"/>
  <c r="DJ734" i="44" s="1"/>
  <c r="I274" i="28"/>
  <c r="J246" i="28"/>
  <c r="CR734" i="44" s="1"/>
  <c r="J245" i="28"/>
  <c r="CQ734" i="44" s="1"/>
  <c r="J244" i="28"/>
  <c r="CP734" i="44" s="1"/>
  <c r="H242" i="28"/>
  <c r="J235" i="28"/>
  <c r="CC734" i="44" s="1"/>
  <c r="J216" i="28"/>
  <c r="CB734" i="44" s="1"/>
  <c r="J182" i="28"/>
  <c r="BZ734" i="44" s="1"/>
  <c r="J158" i="28"/>
  <c r="BX734" i="44" s="1"/>
  <c r="I156" i="28"/>
  <c r="D156" i="28"/>
  <c r="J146" i="28"/>
  <c r="BR734" i="44" s="1"/>
  <c r="I144" i="28"/>
  <c r="D144" i="28"/>
  <c r="J132" i="28"/>
  <c r="BL734" i="44" s="1"/>
  <c r="J131" i="28"/>
  <c r="AW734" i="44" s="1"/>
  <c r="G131" i="28"/>
  <c r="AX734" i="44" s="1"/>
  <c r="K115" i="28"/>
  <c r="BH734" i="44" s="1"/>
  <c r="K86" i="28"/>
  <c r="AR734" i="44" s="1"/>
  <c r="F82" i="28"/>
  <c r="J51" i="28"/>
  <c r="AE734" i="44" s="1"/>
  <c r="J38" i="28"/>
  <c r="AC734" i="44" s="1"/>
  <c r="K30" i="28"/>
  <c r="X734" i="44" s="1"/>
  <c r="K17" i="28"/>
  <c r="T734" i="44" s="1"/>
  <c r="J368" i="29"/>
  <c r="FF735" i="44" s="1"/>
  <c r="J366" i="29"/>
  <c r="L355" i="29"/>
  <c r="T354" i="29"/>
  <c r="I354" i="29"/>
  <c r="T353" i="29"/>
  <c r="I353" i="29"/>
  <c r="T352" i="29"/>
  <c r="I352" i="29"/>
  <c r="T351" i="29"/>
  <c r="I351" i="29"/>
  <c r="T350" i="29"/>
  <c r="I350" i="29"/>
  <c r="T349" i="29"/>
  <c r="I349" i="29"/>
  <c r="L326" i="29"/>
  <c r="J326" i="29"/>
  <c r="EP735" i="44" s="1"/>
  <c r="J318" i="29"/>
  <c r="EN735" i="44" s="1"/>
  <c r="J317" i="29"/>
  <c r="EM735" i="44" s="1"/>
  <c r="J316" i="29"/>
  <c r="EL735" i="44" s="1"/>
  <c r="J315" i="29"/>
  <c r="EK735" i="44" s="1"/>
  <c r="J309" i="29"/>
  <c r="EJ735" i="44" s="1"/>
  <c r="J308" i="29"/>
  <c r="EI735" i="44" s="1"/>
  <c r="J307" i="29"/>
  <c r="EH735" i="44" s="1"/>
  <c r="J306" i="29"/>
  <c r="EG735" i="44" s="1"/>
  <c r="J302" i="29"/>
  <c r="ED735" i="44" s="1"/>
  <c r="J299" i="29"/>
  <c r="E3118" i="44" s="1"/>
  <c r="J298" i="29"/>
  <c r="E3117" i="44" s="1"/>
  <c r="J297" i="29"/>
  <c r="E3116" i="44" s="1"/>
  <c r="J296" i="29"/>
  <c r="E3115" i="44" s="1"/>
  <c r="J295" i="29"/>
  <c r="I277" i="29"/>
  <c r="DR735" i="44" s="1"/>
  <c r="I276" i="29"/>
  <c r="DN735" i="44" s="1"/>
  <c r="I275" i="29"/>
  <c r="DJ735" i="44" s="1"/>
  <c r="I274" i="29"/>
  <c r="J246" i="29"/>
  <c r="CR735" i="44" s="1"/>
  <c r="J245" i="29"/>
  <c r="CQ735" i="44" s="1"/>
  <c r="J244" i="29"/>
  <c r="CP735" i="44" s="1"/>
  <c r="H242" i="29"/>
  <c r="J235" i="29"/>
  <c r="CC735" i="44" s="1"/>
  <c r="J216" i="29"/>
  <c r="CB735" i="44" s="1"/>
  <c r="J182" i="29"/>
  <c r="BZ735" i="44" s="1"/>
  <c r="J158" i="29"/>
  <c r="BX735" i="44" s="1"/>
  <c r="I156" i="29"/>
  <c r="D156" i="29"/>
  <c r="J146" i="29"/>
  <c r="BR735" i="44" s="1"/>
  <c r="I144" i="29"/>
  <c r="D144" i="29"/>
  <c r="J132" i="29"/>
  <c r="BL735" i="44" s="1"/>
  <c r="J131" i="29"/>
  <c r="AW735" i="44" s="1"/>
  <c r="G131" i="29"/>
  <c r="AX735" i="44" s="1"/>
  <c r="K115" i="29"/>
  <c r="BH735" i="44" s="1"/>
  <c r="K86" i="29"/>
  <c r="AR735" i="44" s="1"/>
  <c r="F82" i="29"/>
  <c r="J51" i="29"/>
  <c r="AE735" i="44" s="1"/>
  <c r="J38" i="29"/>
  <c r="AC735" i="44" s="1"/>
  <c r="K30" i="29"/>
  <c r="X735" i="44" s="1"/>
  <c r="K17" i="29"/>
  <c r="T735" i="44" s="1"/>
  <c r="J368" i="30"/>
  <c r="FF736" i="44" s="1"/>
  <c r="J366" i="30"/>
  <c r="L355" i="30"/>
  <c r="T354" i="30"/>
  <c r="I354" i="30"/>
  <c r="T353" i="30"/>
  <c r="I353" i="30"/>
  <c r="T352" i="30"/>
  <c r="I352" i="30"/>
  <c r="T351" i="30"/>
  <c r="I351" i="30"/>
  <c r="T350" i="30"/>
  <c r="I350" i="30"/>
  <c r="T349" i="30"/>
  <c r="I349" i="30"/>
  <c r="L326" i="30"/>
  <c r="J326" i="30"/>
  <c r="EP736" i="44" s="1"/>
  <c r="J318" i="30"/>
  <c r="EN736" i="44" s="1"/>
  <c r="J317" i="30"/>
  <c r="EM736" i="44" s="1"/>
  <c r="J316" i="30"/>
  <c r="EL736" i="44" s="1"/>
  <c r="J315" i="30"/>
  <c r="EK736" i="44" s="1"/>
  <c r="J309" i="30"/>
  <c r="EJ736" i="44" s="1"/>
  <c r="J308" i="30"/>
  <c r="EI736" i="44" s="1"/>
  <c r="J307" i="30"/>
  <c r="EH736" i="44" s="1"/>
  <c r="J306" i="30"/>
  <c r="EG736" i="44" s="1"/>
  <c r="J302" i="30"/>
  <c r="ED736" i="44" s="1"/>
  <c r="J299" i="30"/>
  <c r="E3123" i="44" s="1"/>
  <c r="J298" i="30"/>
  <c r="E3122" i="44" s="1"/>
  <c r="J297" i="30"/>
  <c r="E3121" i="44" s="1"/>
  <c r="J296" i="30"/>
  <c r="E3120" i="44" s="1"/>
  <c r="J295" i="30"/>
  <c r="I277" i="30"/>
  <c r="DR736" i="44" s="1"/>
  <c r="I276" i="30"/>
  <c r="DN736" i="44" s="1"/>
  <c r="I275" i="30"/>
  <c r="DJ736" i="44" s="1"/>
  <c r="I274" i="30"/>
  <c r="J246" i="30"/>
  <c r="CR736" i="44" s="1"/>
  <c r="J245" i="30"/>
  <c r="CQ736" i="44" s="1"/>
  <c r="J244" i="30"/>
  <c r="CP736" i="44" s="1"/>
  <c r="H242" i="30"/>
  <c r="J235" i="30"/>
  <c r="CC736" i="44" s="1"/>
  <c r="J216" i="30"/>
  <c r="CB736" i="44" s="1"/>
  <c r="J182" i="30"/>
  <c r="BZ736" i="44" s="1"/>
  <c r="J158" i="30"/>
  <c r="BX736" i="44" s="1"/>
  <c r="I156" i="30"/>
  <c r="D156" i="30"/>
  <c r="J146" i="30"/>
  <c r="BR736" i="44" s="1"/>
  <c r="I144" i="30"/>
  <c r="D144" i="30"/>
  <c r="J132" i="30"/>
  <c r="BL736" i="44" s="1"/>
  <c r="J131" i="30"/>
  <c r="AW736" i="44" s="1"/>
  <c r="G131" i="30"/>
  <c r="AX736" i="44" s="1"/>
  <c r="K115" i="30"/>
  <c r="BH736" i="44" s="1"/>
  <c r="K86" i="30"/>
  <c r="AR736" i="44" s="1"/>
  <c r="F82" i="30"/>
  <c r="J51" i="30"/>
  <c r="AE736" i="44" s="1"/>
  <c r="J38" i="30"/>
  <c r="AC736" i="44" s="1"/>
  <c r="K30" i="30"/>
  <c r="X736" i="44" s="1"/>
  <c r="K17" i="30"/>
  <c r="T736" i="44" s="1"/>
  <c r="J368" i="31"/>
  <c r="FF737" i="44" s="1"/>
  <c r="J366" i="31"/>
  <c r="L355" i="31"/>
  <c r="T354" i="31"/>
  <c r="I354" i="31"/>
  <c r="T353" i="31"/>
  <c r="I353" i="31"/>
  <c r="T352" i="31"/>
  <c r="I352" i="31"/>
  <c r="T351" i="31"/>
  <c r="I351" i="31"/>
  <c r="T350" i="31"/>
  <c r="I350" i="31"/>
  <c r="T349" i="31"/>
  <c r="I349" i="31"/>
  <c r="L326" i="31"/>
  <c r="J326" i="31"/>
  <c r="EP737" i="44" s="1"/>
  <c r="J318" i="31"/>
  <c r="EN737" i="44" s="1"/>
  <c r="J317" i="31"/>
  <c r="EM737" i="44" s="1"/>
  <c r="J316" i="31"/>
  <c r="EL737" i="44" s="1"/>
  <c r="J315" i="31"/>
  <c r="EK737" i="44" s="1"/>
  <c r="J309" i="31"/>
  <c r="EJ737" i="44" s="1"/>
  <c r="J308" i="31"/>
  <c r="EI737" i="44" s="1"/>
  <c r="J307" i="31"/>
  <c r="EH737" i="44" s="1"/>
  <c r="J306" i="31"/>
  <c r="EG737" i="44" s="1"/>
  <c r="J302" i="31"/>
  <c r="ED737" i="44" s="1"/>
  <c r="J299" i="31"/>
  <c r="E3128" i="44" s="1"/>
  <c r="J298" i="31"/>
  <c r="E3127" i="44" s="1"/>
  <c r="J297" i="31"/>
  <c r="E3126" i="44" s="1"/>
  <c r="J296" i="31"/>
  <c r="E3125" i="44" s="1"/>
  <c r="J295" i="31"/>
  <c r="I277" i="31"/>
  <c r="DR737" i="44" s="1"/>
  <c r="I276" i="31"/>
  <c r="DN737" i="44" s="1"/>
  <c r="I275" i="31"/>
  <c r="DJ737" i="44" s="1"/>
  <c r="I274" i="31"/>
  <c r="J246" i="31"/>
  <c r="CR737" i="44" s="1"/>
  <c r="J245" i="31"/>
  <c r="CQ737" i="44" s="1"/>
  <c r="J244" i="31"/>
  <c r="CP737" i="44" s="1"/>
  <c r="H242" i="31"/>
  <c r="J235" i="31"/>
  <c r="CC737" i="44" s="1"/>
  <c r="J216" i="31"/>
  <c r="CB737" i="44" s="1"/>
  <c r="J182" i="31"/>
  <c r="BZ737" i="44" s="1"/>
  <c r="J158" i="31"/>
  <c r="BX737" i="44" s="1"/>
  <c r="I156" i="31"/>
  <c r="D156" i="31"/>
  <c r="J146" i="31"/>
  <c r="BR737" i="44" s="1"/>
  <c r="I144" i="31"/>
  <c r="D144" i="31"/>
  <c r="J132" i="31"/>
  <c r="BL737" i="44" s="1"/>
  <c r="J131" i="31"/>
  <c r="AW737" i="44" s="1"/>
  <c r="G131" i="31"/>
  <c r="AX737" i="44" s="1"/>
  <c r="K115" i="31"/>
  <c r="BH737" i="44" s="1"/>
  <c r="K86" i="31"/>
  <c r="AR737" i="44" s="1"/>
  <c r="F82" i="31"/>
  <c r="J51" i="31"/>
  <c r="AE737" i="44" s="1"/>
  <c r="J38" i="31"/>
  <c r="AC737" i="44" s="1"/>
  <c r="K30" i="31"/>
  <c r="X737" i="44" s="1"/>
  <c r="K17" i="31"/>
  <c r="T737" i="44" s="1"/>
  <c r="T2" i="4"/>
  <c r="T2" i="16"/>
  <c r="T2" i="13"/>
  <c r="T2" i="21"/>
  <c r="T2" i="29"/>
  <c r="T2" i="5"/>
  <c r="T2" i="12"/>
  <c r="T2" i="31"/>
  <c r="T2" i="26"/>
  <c r="T2" i="27"/>
  <c r="T2" i="7"/>
  <c r="T2" i="10"/>
  <c r="T2" i="18"/>
  <c r="T2" i="22"/>
  <c r="T2" i="8"/>
  <c r="T2" i="9"/>
  <c r="T2" i="6"/>
  <c r="T2" i="30"/>
  <c r="T2" i="3"/>
  <c r="T2" i="15"/>
  <c r="T2" i="28"/>
  <c r="T2" i="20"/>
  <c r="T2" i="25"/>
  <c r="T2" i="11"/>
  <c r="T2" i="24"/>
  <c r="T2" i="14"/>
  <c r="T2" i="23"/>
  <c r="T2" i="17"/>
  <c r="T2" i="19"/>
  <c r="K105" i="21" l="1"/>
  <c r="K105" i="18"/>
  <c r="K105" i="13"/>
  <c r="K105" i="10"/>
  <c r="K105" i="5"/>
  <c r="J291" i="11"/>
  <c r="J292" i="11" s="1"/>
  <c r="EA717" i="44" s="1"/>
  <c r="J291" i="3"/>
  <c r="J292" i="3" s="1"/>
  <c r="EA709" i="44" s="1"/>
  <c r="K106" i="17"/>
  <c r="J291" i="16"/>
  <c r="J292" i="16" s="1"/>
  <c r="EA722" i="44" s="1"/>
  <c r="K106" i="9"/>
  <c r="J291" i="8"/>
  <c r="J292" i="8" s="1"/>
  <c r="EA714" i="44" s="1"/>
  <c r="K105" i="6"/>
  <c r="K105" i="25"/>
  <c r="K105" i="31"/>
  <c r="K106" i="14"/>
  <c r="K106" i="13"/>
  <c r="J291" i="12"/>
  <c r="J292" i="12" s="1"/>
  <c r="EA718" i="44" s="1"/>
  <c r="K106" i="6"/>
  <c r="K106" i="5"/>
  <c r="J291" i="4"/>
  <c r="J292" i="4" s="1"/>
  <c r="EA710" i="44" s="1"/>
  <c r="K105" i="29"/>
  <c r="K106" i="26"/>
  <c r="K106" i="25"/>
  <c r="K106" i="22"/>
  <c r="K106" i="21"/>
  <c r="J291" i="15"/>
  <c r="J292" i="15" s="1"/>
  <c r="EA721" i="44" s="1"/>
  <c r="J291" i="7"/>
  <c r="J292" i="7" s="1"/>
  <c r="EA713" i="44" s="1"/>
  <c r="J291" i="31"/>
  <c r="J292" i="31" s="1"/>
  <c r="EA737" i="44" s="1"/>
  <c r="K105" i="27"/>
  <c r="K107" i="25"/>
  <c r="AY731" i="44" s="1"/>
  <c r="K105" i="24"/>
  <c r="K105" i="23"/>
  <c r="K107" i="21"/>
  <c r="AY727" i="44" s="1"/>
  <c r="K105" i="20"/>
  <c r="K105" i="19"/>
  <c r="K107" i="17"/>
  <c r="K110" i="17" s="1"/>
  <c r="K105" i="16"/>
  <c r="K105" i="15"/>
  <c r="J369" i="14"/>
  <c r="FG720" i="44" s="1"/>
  <c r="K107" i="13"/>
  <c r="AY719" i="44" s="1"/>
  <c r="J369" i="13"/>
  <c r="FG719" i="44" s="1"/>
  <c r="K105" i="12"/>
  <c r="K105" i="11"/>
  <c r="J369" i="10"/>
  <c r="FG716" i="44" s="1"/>
  <c r="K107" i="9"/>
  <c r="K110" i="9" s="1"/>
  <c r="J369" i="9"/>
  <c r="FG715" i="44" s="1"/>
  <c r="K105" i="8"/>
  <c r="J369" i="8"/>
  <c r="FG714" i="44" s="1"/>
  <c r="K105" i="7"/>
  <c r="J369" i="6"/>
  <c r="FG712" i="44" s="1"/>
  <c r="K107" i="5"/>
  <c r="J369" i="5"/>
  <c r="FG711" i="44" s="1"/>
  <c r="K105" i="4"/>
  <c r="J369" i="4"/>
  <c r="FG710" i="44" s="1"/>
  <c r="K105" i="3"/>
  <c r="AN710" i="44"/>
  <c r="FE711" i="44"/>
  <c r="K106" i="30"/>
  <c r="K106" i="29"/>
  <c r="J291" i="28"/>
  <c r="J292" i="28" s="1"/>
  <c r="EA734" i="44" s="1"/>
  <c r="J291" i="27"/>
  <c r="J292" i="27" s="1"/>
  <c r="EA733" i="44" s="1"/>
  <c r="J291" i="24"/>
  <c r="J292" i="24" s="1"/>
  <c r="EA730" i="44" s="1"/>
  <c r="J291" i="23"/>
  <c r="J292" i="23" s="1"/>
  <c r="EA729" i="44" s="1"/>
  <c r="J291" i="20"/>
  <c r="J292" i="20" s="1"/>
  <c r="EA726" i="44" s="1"/>
  <c r="K105" i="30"/>
  <c r="O352" i="31"/>
  <c r="H3309" i="44"/>
  <c r="O354" i="31"/>
  <c r="H3311" i="44"/>
  <c r="J300" i="29"/>
  <c r="EB735" i="44" s="1"/>
  <c r="E3114" i="44"/>
  <c r="O349" i="29"/>
  <c r="H3294" i="44"/>
  <c r="O350" i="27"/>
  <c r="H3283" i="44"/>
  <c r="O354" i="27"/>
  <c r="H3287" i="44"/>
  <c r="J369" i="26"/>
  <c r="FG732" i="44" s="1"/>
  <c r="FE732" i="44"/>
  <c r="J300" i="25"/>
  <c r="EB731" i="44" s="1"/>
  <c r="E3094" i="44"/>
  <c r="O349" i="25"/>
  <c r="H3270" i="44"/>
  <c r="O351" i="25"/>
  <c r="H3272" i="44"/>
  <c r="O353" i="25"/>
  <c r="H3274" i="44"/>
  <c r="L242" i="24"/>
  <c r="CK730" i="44" s="1"/>
  <c r="CI730" i="44"/>
  <c r="J285" i="24"/>
  <c r="DF730" i="44"/>
  <c r="DB730" i="44"/>
  <c r="F84" i="23"/>
  <c r="AP729" i="44" s="1"/>
  <c r="AN729" i="44"/>
  <c r="O350" i="23"/>
  <c r="H3259" i="44"/>
  <c r="O352" i="23"/>
  <c r="H3261" i="44"/>
  <c r="O354" i="23"/>
  <c r="H3263" i="44"/>
  <c r="J369" i="22"/>
  <c r="FG728" i="44" s="1"/>
  <c r="FE728" i="44"/>
  <c r="K110" i="21"/>
  <c r="J300" i="21"/>
  <c r="EB727" i="44" s="1"/>
  <c r="E3074" i="44"/>
  <c r="O349" i="21"/>
  <c r="H3246" i="44"/>
  <c r="O351" i="21"/>
  <c r="H3248" i="44"/>
  <c r="O353" i="21"/>
  <c r="H3250" i="44"/>
  <c r="L242" i="20"/>
  <c r="CK726" i="44" s="1"/>
  <c r="CI726" i="44"/>
  <c r="J285" i="20"/>
  <c r="DF726" i="44"/>
  <c r="DB726" i="44"/>
  <c r="F84" i="19"/>
  <c r="AP725" i="44" s="1"/>
  <c r="AN725" i="44"/>
  <c r="O350" i="19"/>
  <c r="H3235" i="44"/>
  <c r="O352" i="19"/>
  <c r="H3237" i="44"/>
  <c r="O354" i="19"/>
  <c r="H3239" i="44"/>
  <c r="J369" i="18"/>
  <c r="FG724" i="44" s="1"/>
  <c r="FE724" i="44"/>
  <c r="J300" i="17"/>
  <c r="EB723" i="44" s="1"/>
  <c r="E3054" i="44"/>
  <c r="O349" i="17"/>
  <c r="H3222" i="44"/>
  <c r="O351" i="17"/>
  <c r="H3224" i="44"/>
  <c r="O353" i="17"/>
  <c r="H3226" i="44"/>
  <c r="L242" i="16"/>
  <c r="CK722" i="44" s="1"/>
  <c r="CI722" i="44"/>
  <c r="J285" i="16"/>
  <c r="DF722" i="44"/>
  <c r="DB722" i="44"/>
  <c r="F84" i="15"/>
  <c r="AP721" i="44" s="1"/>
  <c r="AN721" i="44"/>
  <c r="O350" i="15"/>
  <c r="H3211" i="44"/>
  <c r="O352" i="15"/>
  <c r="H3213" i="44"/>
  <c r="O354" i="15"/>
  <c r="H3215" i="44"/>
  <c r="K110" i="13"/>
  <c r="J300" i="13"/>
  <c r="EB719" i="44" s="1"/>
  <c r="E3034" i="44"/>
  <c r="O349" i="13"/>
  <c r="H3198" i="44"/>
  <c r="O351" i="13"/>
  <c r="H3200" i="44"/>
  <c r="O353" i="13"/>
  <c r="H3202" i="44"/>
  <c r="L242" i="12"/>
  <c r="CK718" i="44" s="1"/>
  <c r="CI718" i="44"/>
  <c r="J285" i="12"/>
  <c r="DF718" i="44"/>
  <c r="DB718" i="44"/>
  <c r="F84" i="11"/>
  <c r="AP717" i="44" s="1"/>
  <c r="AN717" i="44"/>
  <c r="O350" i="11"/>
  <c r="H3187" i="44"/>
  <c r="O352" i="11"/>
  <c r="H3189" i="44"/>
  <c r="O354" i="11"/>
  <c r="H3191" i="44"/>
  <c r="AY715" i="44"/>
  <c r="J300" i="9"/>
  <c r="EB715" i="44" s="1"/>
  <c r="E3014" i="44"/>
  <c r="O349" i="9"/>
  <c r="H3174" i="44"/>
  <c r="O351" i="9"/>
  <c r="H3176" i="44"/>
  <c r="O353" i="9"/>
  <c r="H3178" i="44"/>
  <c r="L242" i="8"/>
  <c r="CK714" i="44" s="1"/>
  <c r="CI714" i="44"/>
  <c r="J285" i="8"/>
  <c r="DF714" i="44"/>
  <c r="DB714" i="44"/>
  <c r="F84" i="7"/>
  <c r="AP713" i="44" s="1"/>
  <c r="AN713" i="44"/>
  <c r="O350" i="7"/>
  <c r="H3163" i="44"/>
  <c r="O352" i="7"/>
  <c r="H3165" i="44"/>
  <c r="O354" i="7"/>
  <c r="H3167" i="44"/>
  <c r="K110" i="5"/>
  <c r="AY711" i="44"/>
  <c r="J300" i="5"/>
  <c r="EB711" i="44" s="1"/>
  <c r="E2994" i="44"/>
  <c r="O349" i="5"/>
  <c r="H3150" i="44"/>
  <c r="O351" i="5"/>
  <c r="H3152" i="44"/>
  <c r="O353" i="5"/>
  <c r="H3154" i="44"/>
  <c r="L242" i="4"/>
  <c r="CK710" i="44" s="1"/>
  <c r="CI710" i="44"/>
  <c r="J285" i="4"/>
  <c r="DF710" i="44"/>
  <c r="DB710" i="44"/>
  <c r="O350" i="3"/>
  <c r="H3139" i="44"/>
  <c r="O352" i="3"/>
  <c r="H3141" i="44"/>
  <c r="O354" i="3"/>
  <c r="H3143" i="44"/>
  <c r="AN709" i="44"/>
  <c r="FE715" i="44"/>
  <c r="FE719" i="44"/>
  <c r="O353" i="29"/>
  <c r="H3298" i="44"/>
  <c r="L242" i="28"/>
  <c r="CK734" i="44" s="1"/>
  <c r="CI734" i="44"/>
  <c r="O350" i="30"/>
  <c r="H3301" i="44"/>
  <c r="O354" i="30"/>
  <c r="H3305" i="44"/>
  <c r="O351" i="28"/>
  <c r="H3290" i="44"/>
  <c r="F84" i="26"/>
  <c r="AP732" i="44" s="1"/>
  <c r="AN732" i="44"/>
  <c r="O350" i="26"/>
  <c r="H3277" i="44"/>
  <c r="O352" i="26"/>
  <c r="H3279" i="44"/>
  <c r="O354" i="26"/>
  <c r="H3281" i="44"/>
  <c r="J369" i="25"/>
  <c r="FG731" i="44" s="1"/>
  <c r="FE731" i="44"/>
  <c r="J300" i="24"/>
  <c r="EB730" i="44" s="1"/>
  <c r="E3089" i="44"/>
  <c r="O349" i="24"/>
  <c r="H3264" i="44"/>
  <c r="O351" i="24"/>
  <c r="H3266" i="44"/>
  <c r="O353" i="24"/>
  <c r="H3268" i="44"/>
  <c r="L242" i="23"/>
  <c r="CK729" i="44" s="1"/>
  <c r="CI729" i="44"/>
  <c r="J285" i="23"/>
  <c r="DF729" i="44"/>
  <c r="DB729" i="44"/>
  <c r="F84" i="22"/>
  <c r="AP728" i="44" s="1"/>
  <c r="AN728" i="44"/>
  <c r="O350" i="22"/>
  <c r="H3253" i="44"/>
  <c r="O352" i="22"/>
  <c r="H3255" i="44"/>
  <c r="O354" i="22"/>
  <c r="H3257" i="44"/>
  <c r="J369" i="21"/>
  <c r="FG727" i="44" s="1"/>
  <c r="FE727" i="44"/>
  <c r="J300" i="20"/>
  <c r="EB726" i="44" s="1"/>
  <c r="E3069" i="44"/>
  <c r="O349" i="20"/>
  <c r="H3240" i="44"/>
  <c r="O351" i="20"/>
  <c r="H3242" i="44"/>
  <c r="O353" i="20"/>
  <c r="H3244" i="44"/>
  <c r="L242" i="19"/>
  <c r="CK725" i="44" s="1"/>
  <c r="CI725" i="44"/>
  <c r="J285" i="19"/>
  <c r="DF725" i="44"/>
  <c r="DB725" i="44"/>
  <c r="F84" i="18"/>
  <c r="AP724" i="44" s="1"/>
  <c r="AN724" i="44"/>
  <c r="O350" i="18"/>
  <c r="H3229" i="44"/>
  <c r="O352" i="18"/>
  <c r="H3231" i="44"/>
  <c r="O354" i="18"/>
  <c r="H3233" i="44"/>
  <c r="J369" i="17"/>
  <c r="FG723" i="44" s="1"/>
  <c r="FE723" i="44"/>
  <c r="J300" i="16"/>
  <c r="EB722" i="44" s="1"/>
  <c r="E3049" i="44"/>
  <c r="O349" i="16"/>
  <c r="H3216" i="44"/>
  <c r="O351" i="16"/>
  <c r="H3218" i="44"/>
  <c r="O353" i="16"/>
  <c r="H3220" i="44"/>
  <c r="L242" i="15"/>
  <c r="CK721" i="44" s="1"/>
  <c r="CI721" i="44"/>
  <c r="J285" i="15"/>
  <c r="DF721" i="44"/>
  <c r="DB721" i="44"/>
  <c r="F84" i="14"/>
  <c r="AP720" i="44" s="1"/>
  <c r="AN720" i="44"/>
  <c r="O350" i="14"/>
  <c r="H3205" i="44"/>
  <c r="O352" i="14"/>
  <c r="H3207" i="44"/>
  <c r="O354" i="14"/>
  <c r="H3209" i="44"/>
  <c r="J300" i="12"/>
  <c r="EB718" i="44" s="1"/>
  <c r="E3029" i="44"/>
  <c r="O349" i="12"/>
  <c r="H3192" i="44"/>
  <c r="O351" i="12"/>
  <c r="H3194" i="44"/>
  <c r="O353" i="12"/>
  <c r="H3196" i="44"/>
  <c r="L242" i="11"/>
  <c r="CK717" i="44" s="1"/>
  <c r="CI717" i="44"/>
  <c r="J285" i="11"/>
  <c r="DF717" i="44"/>
  <c r="DB717" i="44"/>
  <c r="F84" i="10"/>
  <c r="AP716" i="44" s="1"/>
  <c r="AN716" i="44"/>
  <c r="O350" i="10"/>
  <c r="H3181" i="44"/>
  <c r="O352" i="10"/>
  <c r="H3183" i="44"/>
  <c r="O354" i="10"/>
  <c r="H3185" i="44"/>
  <c r="J300" i="8"/>
  <c r="EB714" i="44" s="1"/>
  <c r="E3009" i="44"/>
  <c r="O349" i="8"/>
  <c r="H3168" i="44"/>
  <c r="O351" i="8"/>
  <c r="H3170" i="44"/>
  <c r="O353" i="8"/>
  <c r="H3172" i="44"/>
  <c r="L242" i="7"/>
  <c r="CK713" i="44" s="1"/>
  <c r="CI713" i="44"/>
  <c r="J285" i="7"/>
  <c r="DF713" i="44"/>
  <c r="DB713" i="44"/>
  <c r="F84" i="6"/>
  <c r="AP712" i="44" s="1"/>
  <c r="AN712" i="44"/>
  <c r="O350" i="6"/>
  <c r="H3157" i="44"/>
  <c r="O352" i="6"/>
  <c r="H3159" i="44"/>
  <c r="O354" i="6"/>
  <c r="H3161" i="44"/>
  <c r="J300" i="4"/>
  <c r="EB710" i="44" s="1"/>
  <c r="E2989" i="44"/>
  <c r="O349" i="4"/>
  <c r="H3144" i="44"/>
  <c r="O351" i="4"/>
  <c r="H3146" i="44"/>
  <c r="O353" i="4"/>
  <c r="H3148" i="44"/>
  <c r="J285" i="3"/>
  <c r="DF709" i="44"/>
  <c r="DB709" i="44"/>
  <c r="FE714" i="44"/>
  <c r="F84" i="31"/>
  <c r="AP737" i="44" s="1"/>
  <c r="AN737" i="44"/>
  <c r="O350" i="31"/>
  <c r="H3307" i="44"/>
  <c r="J285" i="28"/>
  <c r="DF734" i="44"/>
  <c r="DB734" i="44"/>
  <c r="L242" i="31"/>
  <c r="CK737" i="44" s="1"/>
  <c r="CI737" i="44"/>
  <c r="O352" i="30"/>
  <c r="H3303" i="44"/>
  <c r="J369" i="29"/>
  <c r="FG735" i="44" s="1"/>
  <c r="FE735" i="44"/>
  <c r="J300" i="28"/>
  <c r="EB734" i="44" s="1"/>
  <c r="E3109" i="44"/>
  <c r="O353" i="28"/>
  <c r="H3292" i="44"/>
  <c r="J285" i="27"/>
  <c r="DF733" i="44"/>
  <c r="DB733" i="44"/>
  <c r="J300" i="31"/>
  <c r="EB737" i="44" s="1"/>
  <c r="E3124" i="44"/>
  <c r="O349" i="31"/>
  <c r="H3306" i="44"/>
  <c r="O351" i="31"/>
  <c r="H3308" i="44"/>
  <c r="O353" i="31"/>
  <c r="H3310" i="44"/>
  <c r="L242" i="30"/>
  <c r="CK736" i="44" s="1"/>
  <c r="CI736" i="44"/>
  <c r="J285" i="30"/>
  <c r="DF736" i="44"/>
  <c r="DB736" i="44"/>
  <c r="J291" i="30"/>
  <c r="J292" i="30" s="1"/>
  <c r="EA736" i="44" s="1"/>
  <c r="F84" i="29"/>
  <c r="AP735" i="44" s="1"/>
  <c r="AN735" i="44"/>
  <c r="O350" i="29"/>
  <c r="H3295" i="44"/>
  <c r="O352" i="29"/>
  <c r="H3297" i="44"/>
  <c r="O354" i="29"/>
  <c r="H3299" i="44"/>
  <c r="K106" i="28"/>
  <c r="J369" i="28"/>
  <c r="FG734" i="44" s="1"/>
  <c r="FE734" i="44"/>
  <c r="J300" i="27"/>
  <c r="EB733" i="44" s="1"/>
  <c r="E3104" i="44"/>
  <c r="O349" i="27"/>
  <c r="H3282" i="44"/>
  <c r="O351" i="27"/>
  <c r="H3284" i="44"/>
  <c r="O353" i="27"/>
  <c r="H3286" i="44"/>
  <c r="L242" i="26"/>
  <c r="CK732" i="44" s="1"/>
  <c r="CI732" i="44"/>
  <c r="J285" i="26"/>
  <c r="DF732" i="44"/>
  <c r="DB732" i="44"/>
  <c r="J291" i="26"/>
  <c r="J292" i="26" s="1"/>
  <c r="EA732" i="44" s="1"/>
  <c r="F84" i="25"/>
  <c r="AP731" i="44" s="1"/>
  <c r="AN731" i="44"/>
  <c r="O350" i="25"/>
  <c r="H3271" i="44"/>
  <c r="O352" i="25"/>
  <c r="H3273" i="44"/>
  <c r="O354" i="25"/>
  <c r="H3275" i="44"/>
  <c r="K106" i="24"/>
  <c r="K107" i="24" s="1"/>
  <c r="J369" i="24"/>
  <c r="FG730" i="44" s="1"/>
  <c r="FE730" i="44"/>
  <c r="J300" i="23"/>
  <c r="EB729" i="44" s="1"/>
  <c r="E3084" i="44"/>
  <c r="O349" i="23"/>
  <c r="H3258" i="44"/>
  <c r="O351" i="23"/>
  <c r="H3260" i="44"/>
  <c r="O353" i="23"/>
  <c r="H3262" i="44"/>
  <c r="L242" i="22"/>
  <c r="CK728" i="44" s="1"/>
  <c r="CI728" i="44"/>
  <c r="J285" i="22"/>
  <c r="DF728" i="44"/>
  <c r="DB728" i="44"/>
  <c r="J291" i="22"/>
  <c r="J292" i="22" s="1"/>
  <c r="EA728" i="44" s="1"/>
  <c r="F84" i="21"/>
  <c r="AP727" i="44" s="1"/>
  <c r="AN727" i="44"/>
  <c r="O350" i="21"/>
  <c r="H3247" i="44"/>
  <c r="O352" i="21"/>
  <c r="H3249" i="44"/>
  <c r="O354" i="21"/>
  <c r="H3251" i="44"/>
  <c r="K106" i="20"/>
  <c r="K107" i="20" s="1"/>
  <c r="J369" i="20"/>
  <c r="FG726" i="44" s="1"/>
  <c r="FE726" i="44"/>
  <c r="J300" i="19"/>
  <c r="EB725" i="44" s="1"/>
  <c r="E3064" i="44"/>
  <c r="O349" i="19"/>
  <c r="H3234" i="44"/>
  <c r="O351" i="19"/>
  <c r="H3236" i="44"/>
  <c r="O353" i="19"/>
  <c r="H3238" i="44"/>
  <c r="L242" i="18"/>
  <c r="CK724" i="44" s="1"/>
  <c r="CI724" i="44"/>
  <c r="J285" i="18"/>
  <c r="DF724" i="44"/>
  <c r="DB724" i="44"/>
  <c r="J291" i="18"/>
  <c r="J292" i="18" s="1"/>
  <c r="EA724" i="44" s="1"/>
  <c r="O350" i="17"/>
  <c r="H3223" i="44"/>
  <c r="O352" i="17"/>
  <c r="H3225" i="44"/>
  <c r="O354" i="17"/>
  <c r="H3227" i="44"/>
  <c r="K106" i="16"/>
  <c r="J369" i="16"/>
  <c r="FG722" i="44" s="1"/>
  <c r="FE722" i="44"/>
  <c r="J300" i="15"/>
  <c r="EB721" i="44" s="1"/>
  <c r="E3044" i="44"/>
  <c r="O349" i="15"/>
  <c r="H3210" i="44"/>
  <c r="O351" i="15"/>
  <c r="H3212" i="44"/>
  <c r="O353" i="15"/>
  <c r="H3214" i="44"/>
  <c r="L242" i="14"/>
  <c r="CK720" i="44" s="1"/>
  <c r="CI720" i="44"/>
  <c r="J285" i="14"/>
  <c r="DF720" i="44"/>
  <c r="DB720" i="44"/>
  <c r="J291" i="14"/>
  <c r="J292" i="14" s="1"/>
  <c r="EA720" i="44" s="1"/>
  <c r="F84" i="13"/>
  <c r="AP719" i="44" s="1"/>
  <c r="AN719" i="44"/>
  <c r="O350" i="13"/>
  <c r="H3199" i="44"/>
  <c r="O352" i="13"/>
  <c r="H3201" i="44"/>
  <c r="O354" i="13"/>
  <c r="H3203" i="44"/>
  <c r="K106" i="12"/>
  <c r="K107" i="12" s="1"/>
  <c r="J369" i="12"/>
  <c r="FG718" i="44" s="1"/>
  <c r="J300" i="11"/>
  <c r="EB717" i="44" s="1"/>
  <c r="E3024" i="44"/>
  <c r="O349" i="11"/>
  <c r="H3186" i="44"/>
  <c r="O351" i="11"/>
  <c r="H3188" i="44"/>
  <c r="O353" i="11"/>
  <c r="H3190" i="44"/>
  <c r="L242" i="10"/>
  <c r="CK716" i="44" s="1"/>
  <c r="CI716" i="44"/>
  <c r="J285" i="10"/>
  <c r="DF716" i="44"/>
  <c r="DB716" i="44"/>
  <c r="J291" i="10"/>
  <c r="J292" i="10" s="1"/>
  <c r="EA716" i="44" s="1"/>
  <c r="F84" i="9"/>
  <c r="AP715" i="44" s="1"/>
  <c r="AN715" i="44"/>
  <c r="O350" i="9"/>
  <c r="H3175" i="44"/>
  <c r="O352" i="9"/>
  <c r="H3177" i="44"/>
  <c r="O354" i="9"/>
  <c r="H3179" i="44"/>
  <c r="K106" i="8"/>
  <c r="K107" i="8" s="1"/>
  <c r="J300" i="7"/>
  <c r="EB713" i="44" s="1"/>
  <c r="E3004" i="44"/>
  <c r="O349" i="7"/>
  <c r="H3162" i="44"/>
  <c r="O351" i="7"/>
  <c r="H3164" i="44"/>
  <c r="O353" i="7"/>
  <c r="H3166" i="44"/>
  <c r="L242" i="6"/>
  <c r="CK712" i="44" s="1"/>
  <c r="CI712" i="44"/>
  <c r="J285" i="6"/>
  <c r="DF712" i="44"/>
  <c r="DB712" i="44"/>
  <c r="J291" i="6"/>
  <c r="J292" i="6" s="1"/>
  <c r="EA712" i="44" s="1"/>
  <c r="O350" i="5"/>
  <c r="H3151" i="44"/>
  <c r="O352" i="5"/>
  <c r="H3153" i="44"/>
  <c r="O354" i="5"/>
  <c r="H3155" i="44"/>
  <c r="K106" i="4"/>
  <c r="K107" i="4" s="1"/>
  <c r="K107" i="3"/>
  <c r="J300" i="3"/>
  <c r="EB709" i="44" s="1"/>
  <c r="E2984" i="44"/>
  <c r="O349" i="3"/>
  <c r="H3138" i="44"/>
  <c r="O351" i="3"/>
  <c r="H3140" i="44"/>
  <c r="O353" i="3"/>
  <c r="H3142" i="44"/>
  <c r="AX709" i="44"/>
  <c r="J369" i="30"/>
  <c r="FG736" i="44" s="1"/>
  <c r="FE736" i="44"/>
  <c r="O351" i="29"/>
  <c r="H3296" i="44"/>
  <c r="F84" i="27"/>
  <c r="AP733" i="44" s="1"/>
  <c r="AN733" i="44"/>
  <c r="O352" i="27"/>
  <c r="H3285" i="44"/>
  <c r="J285" i="31"/>
  <c r="DF737" i="44"/>
  <c r="DB737" i="44"/>
  <c r="F84" i="30"/>
  <c r="AP736" i="44" s="1"/>
  <c r="AN736" i="44"/>
  <c r="K105" i="28"/>
  <c r="K107" i="28" s="1"/>
  <c r="O349" i="28"/>
  <c r="H3288" i="44"/>
  <c r="L242" i="27"/>
  <c r="CK733" i="44" s="1"/>
  <c r="CI733" i="44"/>
  <c r="K106" i="31"/>
  <c r="K107" i="31" s="1"/>
  <c r="J369" i="31"/>
  <c r="FG737" i="44" s="1"/>
  <c r="FE737" i="44"/>
  <c r="K107" i="30"/>
  <c r="J300" i="30"/>
  <c r="EB736" i="44" s="1"/>
  <c r="E3119" i="44"/>
  <c r="O349" i="30"/>
  <c r="H3300" i="44"/>
  <c r="O351" i="30"/>
  <c r="H3302" i="44"/>
  <c r="O353" i="30"/>
  <c r="H3304" i="44"/>
  <c r="L242" i="29"/>
  <c r="CK735" i="44" s="1"/>
  <c r="CI735" i="44"/>
  <c r="J285" i="29"/>
  <c r="DF735" i="44"/>
  <c r="DB735" i="44"/>
  <c r="J291" i="29"/>
  <c r="J292" i="29" s="1"/>
  <c r="EA735" i="44" s="1"/>
  <c r="F84" i="28"/>
  <c r="AP734" i="44" s="1"/>
  <c r="AN734" i="44"/>
  <c r="O350" i="28"/>
  <c r="H3289" i="44"/>
  <c r="O352" i="28"/>
  <c r="H3291" i="44"/>
  <c r="O354" i="28"/>
  <c r="H3293" i="44"/>
  <c r="K106" i="27"/>
  <c r="J369" i="27"/>
  <c r="FG733" i="44" s="1"/>
  <c r="FE733" i="44"/>
  <c r="K107" i="26"/>
  <c r="J300" i="26"/>
  <c r="EB732" i="44" s="1"/>
  <c r="E3099" i="44"/>
  <c r="O349" i="26"/>
  <c r="H3276" i="44"/>
  <c r="O351" i="26"/>
  <c r="H3278" i="44"/>
  <c r="O353" i="26"/>
  <c r="H3280" i="44"/>
  <c r="L242" i="25"/>
  <c r="CK731" i="44" s="1"/>
  <c r="CI731" i="44"/>
  <c r="J285" i="25"/>
  <c r="DF731" i="44"/>
  <c r="DB731" i="44"/>
  <c r="J291" i="25"/>
  <c r="J292" i="25" s="1"/>
  <c r="EA731" i="44" s="1"/>
  <c r="F84" i="24"/>
  <c r="AP730" i="44" s="1"/>
  <c r="AN730" i="44"/>
  <c r="O350" i="24"/>
  <c r="H3265" i="44"/>
  <c r="O352" i="24"/>
  <c r="H3267" i="44"/>
  <c r="O354" i="24"/>
  <c r="H3269" i="44"/>
  <c r="K106" i="23"/>
  <c r="J369" i="23"/>
  <c r="FG729" i="44" s="1"/>
  <c r="FE729" i="44"/>
  <c r="K107" i="22"/>
  <c r="J300" i="22"/>
  <c r="EB728" i="44" s="1"/>
  <c r="E3079" i="44"/>
  <c r="O349" i="22"/>
  <c r="H3252" i="44"/>
  <c r="O351" i="22"/>
  <c r="H3254" i="44"/>
  <c r="O353" i="22"/>
  <c r="H3256" i="44"/>
  <c r="L242" i="21"/>
  <c r="CK727" i="44" s="1"/>
  <c r="CI727" i="44"/>
  <c r="J285" i="21"/>
  <c r="DF727" i="44"/>
  <c r="DB727" i="44"/>
  <c r="J291" i="21"/>
  <c r="J292" i="21" s="1"/>
  <c r="EA727" i="44" s="1"/>
  <c r="F84" i="20"/>
  <c r="AP726" i="44" s="1"/>
  <c r="AN726" i="44"/>
  <c r="O350" i="20"/>
  <c r="H3241" i="44"/>
  <c r="O352" i="20"/>
  <c r="H3243" i="44"/>
  <c r="O354" i="20"/>
  <c r="H3245" i="44"/>
  <c r="K106" i="19"/>
  <c r="K107" i="19" s="1"/>
  <c r="J369" i="19"/>
  <c r="FG725" i="44" s="1"/>
  <c r="FE725" i="44"/>
  <c r="K107" i="18"/>
  <c r="J300" i="18"/>
  <c r="EB724" i="44" s="1"/>
  <c r="E3059" i="44"/>
  <c r="O349" i="18"/>
  <c r="H3228" i="44"/>
  <c r="O351" i="18"/>
  <c r="H3230" i="44"/>
  <c r="O353" i="18"/>
  <c r="H3232" i="44"/>
  <c r="L242" i="17"/>
  <c r="CK723" i="44" s="1"/>
  <c r="CI723" i="44"/>
  <c r="J285" i="17"/>
  <c r="DF723" i="44"/>
  <c r="DB723" i="44"/>
  <c r="J291" i="17"/>
  <c r="J292" i="17" s="1"/>
  <c r="EA723" i="44" s="1"/>
  <c r="F84" i="16"/>
  <c r="AP722" i="44" s="1"/>
  <c r="AN722" i="44"/>
  <c r="O350" i="16"/>
  <c r="H3217" i="44"/>
  <c r="O352" i="16"/>
  <c r="H3219" i="44"/>
  <c r="O354" i="16"/>
  <c r="H3221" i="44"/>
  <c r="K106" i="15"/>
  <c r="K107" i="15" s="1"/>
  <c r="J369" i="15"/>
  <c r="FG721" i="44" s="1"/>
  <c r="K107" i="14"/>
  <c r="J300" i="14"/>
  <c r="EB720" i="44" s="1"/>
  <c r="E3039" i="44"/>
  <c r="O349" i="14"/>
  <c r="H3204" i="44"/>
  <c r="O351" i="14"/>
  <c r="H3206" i="44"/>
  <c r="O353" i="14"/>
  <c r="H3208" i="44"/>
  <c r="L242" i="13"/>
  <c r="CK719" i="44" s="1"/>
  <c r="CI719" i="44"/>
  <c r="J285" i="13"/>
  <c r="DF719" i="44"/>
  <c r="DB719" i="44"/>
  <c r="J291" i="13"/>
  <c r="J292" i="13" s="1"/>
  <c r="EA719" i="44" s="1"/>
  <c r="F84" i="12"/>
  <c r="AP718" i="44" s="1"/>
  <c r="AN718" i="44"/>
  <c r="O350" i="12"/>
  <c r="H3193" i="44"/>
  <c r="O352" i="12"/>
  <c r="H3195" i="44"/>
  <c r="O354" i="12"/>
  <c r="H3197" i="44"/>
  <c r="K106" i="11"/>
  <c r="K107" i="11" s="1"/>
  <c r="J369" i="11"/>
  <c r="FG717" i="44" s="1"/>
  <c r="K107" i="10"/>
  <c r="J300" i="10"/>
  <c r="EB716" i="44" s="1"/>
  <c r="E3019" i="44"/>
  <c r="O349" i="10"/>
  <c r="H3180" i="44"/>
  <c r="O351" i="10"/>
  <c r="H3182" i="44"/>
  <c r="O353" i="10"/>
  <c r="H3184" i="44"/>
  <c r="L242" i="9"/>
  <c r="CK715" i="44" s="1"/>
  <c r="CI715" i="44"/>
  <c r="J285" i="9"/>
  <c r="DF715" i="44"/>
  <c r="DB715" i="44"/>
  <c r="J291" i="9"/>
  <c r="J292" i="9" s="1"/>
  <c r="EA715" i="44" s="1"/>
  <c r="F84" i="8"/>
  <c r="AP714" i="44" s="1"/>
  <c r="AN714" i="44"/>
  <c r="O350" i="8"/>
  <c r="H3169" i="44"/>
  <c r="O352" i="8"/>
  <c r="H3171" i="44"/>
  <c r="O354" i="8"/>
  <c r="H3173" i="44"/>
  <c r="K106" i="7"/>
  <c r="J369" i="7"/>
  <c r="FG713" i="44" s="1"/>
  <c r="K107" i="6"/>
  <c r="J300" i="6"/>
  <c r="EB712" i="44" s="1"/>
  <c r="E2999" i="44"/>
  <c r="O349" i="6"/>
  <c r="H3156" i="44"/>
  <c r="O351" i="6"/>
  <c r="H3158" i="44"/>
  <c r="O353" i="6"/>
  <c r="H3160" i="44"/>
  <c r="L242" i="5"/>
  <c r="CK711" i="44" s="1"/>
  <c r="CI711" i="44"/>
  <c r="J285" i="5"/>
  <c r="DF711" i="44"/>
  <c r="DB711" i="44"/>
  <c r="J291" i="5"/>
  <c r="J292" i="5" s="1"/>
  <c r="EA711" i="44" s="1"/>
  <c r="O350" i="4"/>
  <c r="H3145" i="44"/>
  <c r="O352" i="4"/>
  <c r="H3147" i="44"/>
  <c r="O354" i="4"/>
  <c r="H3149" i="44"/>
  <c r="J369" i="3"/>
  <c r="FG709" i="44" s="1"/>
  <c r="CI709" i="44"/>
  <c r="FE710" i="44"/>
  <c r="AN711" i="44"/>
  <c r="FE712" i="44"/>
  <c r="FE716" i="44"/>
  <c r="FE720" i="44"/>
  <c r="AN723" i="44"/>
  <c r="G737" i="44"/>
  <c r="G736" i="44"/>
  <c r="G735" i="44"/>
  <c r="G734" i="44"/>
  <c r="G733" i="44"/>
  <c r="G732" i="44"/>
  <c r="G731" i="44"/>
  <c r="G730" i="44"/>
  <c r="G729" i="44"/>
  <c r="G728" i="44"/>
  <c r="G727" i="44"/>
  <c r="G726" i="44"/>
  <c r="G725" i="44"/>
  <c r="G724" i="44"/>
  <c r="G723" i="44"/>
  <c r="G722" i="44"/>
  <c r="G721" i="44"/>
  <c r="G720" i="44"/>
  <c r="G719" i="44"/>
  <c r="G718" i="44"/>
  <c r="G717" i="44"/>
  <c r="G716" i="44"/>
  <c r="G715" i="44"/>
  <c r="G714" i="44"/>
  <c r="G713" i="44"/>
  <c r="G712" i="44"/>
  <c r="G711" i="44"/>
  <c r="G710" i="44"/>
  <c r="G709" i="44"/>
  <c r="AG708" i="44"/>
  <c r="AF708" i="44"/>
  <c r="CE13" i="44"/>
  <c r="V13" i="44"/>
  <c r="U13" i="44"/>
  <c r="T13" i="44"/>
  <c r="S13" i="44"/>
  <c r="B2" i="15"/>
  <c r="B2" i="24"/>
  <c r="G2" i="25"/>
  <c r="G2" i="30"/>
  <c r="G2" i="16"/>
  <c r="I2" i="26"/>
  <c r="I2" i="29"/>
  <c r="I2" i="22"/>
  <c r="I2" i="31"/>
  <c r="I2" i="10"/>
  <c r="I2" i="27"/>
  <c r="G2" i="6"/>
  <c r="B2" i="28"/>
  <c r="G2" i="8"/>
  <c r="B2" i="3"/>
  <c r="B2" i="21"/>
  <c r="G2" i="31"/>
  <c r="B2" i="19"/>
  <c r="G2" i="28"/>
  <c r="G2" i="10"/>
  <c r="B2" i="5"/>
  <c r="I2" i="11"/>
  <c r="G2" i="13"/>
  <c r="G2" i="14"/>
  <c r="I2" i="30"/>
  <c r="G2" i="5"/>
  <c r="G2" i="15"/>
  <c r="I2" i="24"/>
  <c r="I2" i="25"/>
  <c r="I2" i="18"/>
  <c r="B2" i="8"/>
  <c r="B2" i="27"/>
  <c r="G2" i="22"/>
  <c r="I2" i="7"/>
  <c r="I2" i="4"/>
  <c r="B2" i="7"/>
  <c r="G2" i="27"/>
  <c r="I2" i="17"/>
  <c r="I2" i="8"/>
  <c r="B2" i="17"/>
  <c r="G2" i="21"/>
  <c r="G2" i="24"/>
  <c r="B2" i="23"/>
  <c r="I2" i="12"/>
  <c r="B2" i="14"/>
  <c r="G2" i="26"/>
  <c r="G2" i="7"/>
  <c r="B2" i="26"/>
  <c r="I2" i="19"/>
  <c r="I2" i="5"/>
  <c r="B2" i="29"/>
  <c r="B2" i="13"/>
  <c r="I2" i="28"/>
  <c r="G2" i="20"/>
  <c r="B2" i="10"/>
  <c r="B2" i="22"/>
  <c r="B2" i="30"/>
  <c r="I2" i="23"/>
  <c r="G2" i="3"/>
  <c r="B2" i="31"/>
  <c r="I2" i="21"/>
  <c r="B2" i="4"/>
  <c r="G2" i="23"/>
  <c r="B2" i="11"/>
  <c r="I2" i="16"/>
  <c r="G2" i="4"/>
  <c r="B2" i="16"/>
  <c r="B2" i="6"/>
  <c r="I2" i="9"/>
  <c r="B2" i="20"/>
  <c r="G2" i="11"/>
  <c r="G2" i="19"/>
  <c r="I2" i="13"/>
  <c r="I2" i="3"/>
  <c r="B2" i="18"/>
  <c r="G2" i="12"/>
  <c r="G2" i="17"/>
  <c r="G2" i="29"/>
  <c r="G2" i="9"/>
  <c r="I2" i="6"/>
  <c r="B2" i="25"/>
  <c r="I2" i="15"/>
  <c r="G2" i="18"/>
  <c r="B2" i="12"/>
  <c r="B2" i="9"/>
  <c r="I2" i="20"/>
  <c r="I2" i="14"/>
  <c r="K110" i="25" l="1"/>
  <c r="K107" i="7"/>
  <c r="K107" i="27"/>
  <c r="K110" i="27" s="1"/>
  <c r="K107" i="16"/>
  <c r="AY723" i="44"/>
  <c r="K107" i="29"/>
  <c r="K110" i="29" s="1"/>
  <c r="J355" i="19"/>
  <c r="ES725" i="44" s="1"/>
  <c r="J355" i="15"/>
  <c r="ES721" i="44" s="1"/>
  <c r="K107" i="23"/>
  <c r="K110" i="23" s="1"/>
  <c r="J355" i="26"/>
  <c r="ES732" i="44" s="1"/>
  <c r="AY735" i="44"/>
  <c r="J355" i="18"/>
  <c r="ES724" i="44" s="1"/>
  <c r="K110" i="7"/>
  <c r="AY713" i="44"/>
  <c r="K110" i="11"/>
  <c r="AY717" i="44"/>
  <c r="K110" i="24"/>
  <c r="AY730" i="44"/>
  <c r="K110" i="19"/>
  <c r="AY725" i="44"/>
  <c r="K110" i="12"/>
  <c r="AY718" i="44"/>
  <c r="K110" i="15"/>
  <c r="AY721" i="44"/>
  <c r="K110" i="31"/>
  <c r="AY737" i="44"/>
  <c r="AY733" i="44"/>
  <c r="K110" i="4"/>
  <c r="AY710" i="44"/>
  <c r="J288" i="27"/>
  <c r="DZ733" i="44" s="1"/>
  <c r="DY733" i="44"/>
  <c r="K110" i="16"/>
  <c r="AY722" i="44"/>
  <c r="K110" i="20"/>
  <c r="AY726" i="44"/>
  <c r="J355" i="13"/>
  <c r="ES719" i="44" s="1"/>
  <c r="J288" i="20"/>
  <c r="DZ726" i="44" s="1"/>
  <c r="DY726" i="44"/>
  <c r="K110" i="10"/>
  <c r="AY716" i="44"/>
  <c r="K110" i="30"/>
  <c r="AY736" i="44"/>
  <c r="J355" i="3"/>
  <c r="ES709" i="44" s="1"/>
  <c r="J288" i="28"/>
  <c r="DZ734" i="44" s="1"/>
  <c r="DY734" i="44"/>
  <c r="J288" i="3"/>
  <c r="DZ709" i="44" s="1"/>
  <c r="DY709" i="44"/>
  <c r="J288" i="7"/>
  <c r="DZ713" i="44" s="1"/>
  <c r="DY713" i="44"/>
  <c r="J355" i="8"/>
  <c r="ES714" i="44" s="1"/>
  <c r="J288" i="15"/>
  <c r="DZ721" i="44" s="1"/>
  <c r="DY721" i="44"/>
  <c r="J355" i="16"/>
  <c r="ES722" i="44" s="1"/>
  <c r="J288" i="19"/>
  <c r="DZ725" i="44" s="1"/>
  <c r="DY725" i="44"/>
  <c r="J355" i="20"/>
  <c r="ES726" i="44" s="1"/>
  <c r="J288" i="23"/>
  <c r="DZ729" i="44" s="1"/>
  <c r="DY729" i="44"/>
  <c r="J355" i="24"/>
  <c r="ES730" i="44" s="1"/>
  <c r="J288" i="8"/>
  <c r="DZ714" i="44" s="1"/>
  <c r="DY714" i="44"/>
  <c r="J355" i="9"/>
  <c r="ES715" i="44" s="1"/>
  <c r="K116" i="9"/>
  <c r="BI715" i="44" s="1"/>
  <c r="BB715" i="44"/>
  <c r="J288" i="24"/>
  <c r="DZ730" i="44" s="1"/>
  <c r="DY730" i="44"/>
  <c r="J355" i="25"/>
  <c r="ES731" i="44" s="1"/>
  <c r="K116" i="25"/>
  <c r="BI731" i="44" s="1"/>
  <c r="BB731" i="44"/>
  <c r="J355" i="29"/>
  <c r="ES735" i="44" s="1"/>
  <c r="K110" i="6"/>
  <c r="AY712" i="44"/>
  <c r="K110" i="3"/>
  <c r="AY709" i="44"/>
  <c r="J288" i="18"/>
  <c r="DZ724" i="44" s="1"/>
  <c r="DY724" i="44"/>
  <c r="J288" i="26"/>
  <c r="DZ732" i="44" s="1"/>
  <c r="DY732" i="44"/>
  <c r="K116" i="13"/>
  <c r="BI719" i="44" s="1"/>
  <c r="BB719" i="44"/>
  <c r="J355" i="21"/>
  <c r="ES727" i="44" s="1"/>
  <c r="J355" i="6"/>
  <c r="ES712" i="44" s="1"/>
  <c r="J288" i="9"/>
  <c r="DZ715" i="44" s="1"/>
  <c r="DY715" i="44"/>
  <c r="J355" i="10"/>
  <c r="ES716" i="44" s="1"/>
  <c r="K110" i="14"/>
  <c r="AY720" i="44"/>
  <c r="J288" i="21"/>
  <c r="DZ727" i="44" s="1"/>
  <c r="DY727" i="44"/>
  <c r="J355" i="22"/>
  <c r="ES728" i="44" s="1"/>
  <c r="J288" i="29"/>
  <c r="DZ735" i="44" s="1"/>
  <c r="DY735" i="44"/>
  <c r="J355" i="30"/>
  <c r="ES736" i="44" s="1"/>
  <c r="J288" i="31"/>
  <c r="DZ737" i="44" s="1"/>
  <c r="DY737" i="44"/>
  <c r="J288" i="22"/>
  <c r="DZ728" i="44" s="1"/>
  <c r="DY728" i="44"/>
  <c r="J355" i="23"/>
  <c r="ES729" i="44" s="1"/>
  <c r="J288" i="30"/>
  <c r="DZ736" i="44" s="1"/>
  <c r="DY736" i="44"/>
  <c r="J355" i="31"/>
  <c r="ES737" i="44" s="1"/>
  <c r="J288" i="4"/>
  <c r="DZ710" i="44" s="1"/>
  <c r="DY710" i="44"/>
  <c r="J355" i="5"/>
  <c r="ES711" i="44" s="1"/>
  <c r="K116" i="5"/>
  <c r="BI711" i="44" s="1"/>
  <c r="BB711" i="44"/>
  <c r="J288" i="17"/>
  <c r="DZ723" i="44" s="1"/>
  <c r="DY723" i="44"/>
  <c r="J288" i="25"/>
  <c r="DZ731" i="44" s="1"/>
  <c r="DY731" i="44"/>
  <c r="J355" i="28"/>
  <c r="ES734" i="44" s="1"/>
  <c r="J288" i="14"/>
  <c r="DZ720" i="44" s="1"/>
  <c r="DY720" i="44"/>
  <c r="J355" i="27"/>
  <c r="ES733" i="44" s="1"/>
  <c r="K110" i="8"/>
  <c r="AY714" i="44"/>
  <c r="J288" i="12"/>
  <c r="DZ718" i="44" s="1"/>
  <c r="DY718" i="44"/>
  <c r="K116" i="21"/>
  <c r="BI727" i="44" s="1"/>
  <c r="BB727" i="44"/>
  <c r="J288" i="5"/>
  <c r="DZ711" i="44" s="1"/>
  <c r="DY711" i="44"/>
  <c r="K110" i="22"/>
  <c r="AY728" i="44"/>
  <c r="K110" i="28"/>
  <c r="AY734" i="44"/>
  <c r="J288" i="13"/>
  <c r="DZ719" i="44" s="1"/>
  <c r="DY719" i="44"/>
  <c r="J355" i="14"/>
  <c r="ES720" i="44" s="1"/>
  <c r="K110" i="18"/>
  <c r="AY724" i="44"/>
  <c r="K110" i="26"/>
  <c r="AY732" i="44"/>
  <c r="J288" i="6"/>
  <c r="DZ712" i="44" s="1"/>
  <c r="DY712" i="44"/>
  <c r="J355" i="7"/>
  <c r="ES713" i="44" s="1"/>
  <c r="J288" i="10"/>
  <c r="DZ716" i="44" s="1"/>
  <c r="DY716" i="44"/>
  <c r="J355" i="11"/>
  <c r="ES717" i="44" s="1"/>
  <c r="J355" i="4"/>
  <c r="ES710" i="44" s="1"/>
  <c r="J288" i="11"/>
  <c r="DZ717" i="44" s="1"/>
  <c r="DY717" i="44"/>
  <c r="J355" i="12"/>
  <c r="ES718" i="44" s="1"/>
  <c r="J288" i="16"/>
  <c r="DZ722" i="44" s="1"/>
  <c r="DY722" i="44"/>
  <c r="J355" i="17"/>
  <c r="ES723" i="44" s="1"/>
  <c r="K116" i="17"/>
  <c r="BI723" i="44" s="1"/>
  <c r="BB723" i="44"/>
  <c r="J737" i="44"/>
  <c r="J736" i="44"/>
  <c r="J735" i="44"/>
  <c r="J734" i="44"/>
  <c r="J733" i="44"/>
  <c r="J732" i="44"/>
  <c r="J731" i="44"/>
  <c r="J730" i="44"/>
  <c r="J729" i="44"/>
  <c r="J728" i="44"/>
  <c r="J727" i="44"/>
  <c r="J726" i="44"/>
  <c r="J725" i="44"/>
  <c r="J724" i="44"/>
  <c r="J723" i="44"/>
  <c r="J722" i="44"/>
  <c r="J721" i="44"/>
  <c r="J720" i="44"/>
  <c r="J719" i="44"/>
  <c r="J718" i="44"/>
  <c r="J717" i="44"/>
  <c r="J716" i="44"/>
  <c r="J715" i="44"/>
  <c r="J714" i="44"/>
  <c r="J713" i="44"/>
  <c r="J712" i="44"/>
  <c r="J711" i="44"/>
  <c r="J710" i="44"/>
  <c r="J709" i="44"/>
  <c r="J576" i="1"/>
  <c r="J562" i="1"/>
  <c r="J548" i="1"/>
  <c r="J532" i="1"/>
  <c r="J518" i="1"/>
  <c r="J500" i="1"/>
  <c r="J486" i="1"/>
  <c r="J472" i="1"/>
  <c r="J458" i="1"/>
  <c r="J444" i="1"/>
  <c r="J430" i="1"/>
  <c r="J413" i="1"/>
  <c r="J256" i="1"/>
  <c r="J212" i="1"/>
  <c r="J194" i="1"/>
  <c r="J180" i="1"/>
  <c r="J166" i="1"/>
  <c r="J152" i="1"/>
  <c r="J134" i="1"/>
  <c r="J120" i="1"/>
  <c r="I576" i="1"/>
  <c r="I562" i="1"/>
  <c r="I548" i="1"/>
  <c r="I532" i="1"/>
  <c r="I518" i="1"/>
  <c r="I500" i="1"/>
  <c r="I486" i="1"/>
  <c r="I472" i="1"/>
  <c r="I458" i="1"/>
  <c r="I444" i="1"/>
  <c r="I430" i="1"/>
  <c r="I413" i="1"/>
  <c r="I256" i="1"/>
  <c r="I212" i="1"/>
  <c r="I194" i="1"/>
  <c r="I180" i="1"/>
  <c r="I166" i="1"/>
  <c r="I152" i="1"/>
  <c r="I134" i="1"/>
  <c r="I120" i="1"/>
  <c r="H576" i="1"/>
  <c r="H562" i="1"/>
  <c r="H548" i="1"/>
  <c r="H532" i="1"/>
  <c r="H518" i="1"/>
  <c r="H500" i="1"/>
  <c r="H486" i="1"/>
  <c r="H472" i="1"/>
  <c r="H458" i="1"/>
  <c r="H444" i="1"/>
  <c r="H430" i="1"/>
  <c r="H413" i="1"/>
  <c r="H256" i="1"/>
  <c r="H212" i="1"/>
  <c r="H194" i="1"/>
  <c r="H180" i="1"/>
  <c r="H166" i="1"/>
  <c r="H152" i="1"/>
  <c r="H134" i="1"/>
  <c r="H120" i="1"/>
  <c r="G576" i="1"/>
  <c r="G562" i="1"/>
  <c r="G548" i="1"/>
  <c r="G532" i="1"/>
  <c r="G518" i="1"/>
  <c r="G500" i="1"/>
  <c r="G486" i="1"/>
  <c r="G472" i="1"/>
  <c r="G458" i="1"/>
  <c r="G444" i="1"/>
  <c r="G430" i="1"/>
  <c r="G413" i="1"/>
  <c r="G256" i="1"/>
  <c r="G212" i="1"/>
  <c r="G194" i="1"/>
  <c r="G180" i="1"/>
  <c r="G166" i="1"/>
  <c r="G152" i="1"/>
  <c r="G134" i="1"/>
  <c r="G120" i="1"/>
  <c r="F576" i="1"/>
  <c r="F562" i="1"/>
  <c r="F548" i="1"/>
  <c r="F532" i="1"/>
  <c r="F518" i="1"/>
  <c r="F500" i="1"/>
  <c r="F486" i="1"/>
  <c r="F472" i="1"/>
  <c r="F458" i="1"/>
  <c r="F444" i="1"/>
  <c r="F430" i="1"/>
  <c r="F413" i="1"/>
  <c r="F256" i="1"/>
  <c r="F212" i="1"/>
  <c r="F194" i="1"/>
  <c r="F180" i="1"/>
  <c r="F166" i="1"/>
  <c r="F152" i="1"/>
  <c r="F134" i="1"/>
  <c r="F120" i="1"/>
  <c r="J574" i="1"/>
  <c r="J560" i="1"/>
  <c r="J546" i="1"/>
  <c r="J530" i="1"/>
  <c r="J516" i="1"/>
  <c r="J498" i="1"/>
  <c r="J484" i="1"/>
  <c r="J470" i="1"/>
  <c r="J456" i="1"/>
  <c r="J442" i="1"/>
  <c r="J428" i="1"/>
  <c r="J411" i="1"/>
  <c r="J254" i="1"/>
  <c r="J210" i="1"/>
  <c r="J192" i="1"/>
  <c r="J178" i="1"/>
  <c r="J164" i="1"/>
  <c r="J150" i="1"/>
  <c r="J132" i="1"/>
  <c r="J118" i="1"/>
  <c r="I574" i="1"/>
  <c r="I560" i="1"/>
  <c r="I546" i="1"/>
  <c r="I530" i="1"/>
  <c r="I516" i="1"/>
  <c r="I498" i="1"/>
  <c r="I484" i="1"/>
  <c r="I470" i="1"/>
  <c r="I456" i="1"/>
  <c r="I442" i="1"/>
  <c r="I428" i="1"/>
  <c r="I411" i="1"/>
  <c r="I254" i="1"/>
  <c r="I210" i="1"/>
  <c r="I192" i="1"/>
  <c r="I178" i="1"/>
  <c r="I164" i="1"/>
  <c r="I150" i="1"/>
  <c r="I132" i="1"/>
  <c r="I118" i="1"/>
  <c r="H574" i="1"/>
  <c r="H560" i="1"/>
  <c r="H546" i="1"/>
  <c r="H530" i="1"/>
  <c r="H516" i="1"/>
  <c r="H498" i="1"/>
  <c r="H484" i="1"/>
  <c r="H470" i="1"/>
  <c r="H456" i="1"/>
  <c r="H442" i="1"/>
  <c r="H428" i="1"/>
  <c r="H411" i="1"/>
  <c r="H254" i="1"/>
  <c r="H210" i="1"/>
  <c r="H192" i="1"/>
  <c r="H178" i="1"/>
  <c r="H164" i="1"/>
  <c r="H150" i="1"/>
  <c r="H132" i="1"/>
  <c r="H118" i="1"/>
  <c r="G574" i="1"/>
  <c r="G560" i="1"/>
  <c r="G546" i="1"/>
  <c r="G530" i="1"/>
  <c r="G516" i="1"/>
  <c r="G498" i="1"/>
  <c r="G484" i="1"/>
  <c r="G470" i="1"/>
  <c r="G456" i="1"/>
  <c r="G442" i="1"/>
  <c r="G428" i="1"/>
  <c r="G411" i="1"/>
  <c r="G254" i="1"/>
  <c r="G210" i="1"/>
  <c r="G192" i="1"/>
  <c r="G178" i="1"/>
  <c r="G164" i="1"/>
  <c r="G150" i="1"/>
  <c r="G132" i="1"/>
  <c r="G118" i="1"/>
  <c r="F574" i="1"/>
  <c r="F560" i="1"/>
  <c r="F546" i="1"/>
  <c r="F530" i="1"/>
  <c r="F516" i="1"/>
  <c r="F498" i="1"/>
  <c r="F484" i="1"/>
  <c r="F470" i="1"/>
  <c r="F456" i="1"/>
  <c r="F442" i="1"/>
  <c r="F428" i="1"/>
  <c r="F411" i="1"/>
  <c r="F254" i="1"/>
  <c r="F210" i="1"/>
  <c r="F192" i="1"/>
  <c r="F178" i="1"/>
  <c r="F164" i="1"/>
  <c r="F150" i="1"/>
  <c r="F132" i="1"/>
  <c r="F118" i="1"/>
  <c r="J572" i="1"/>
  <c r="J558" i="1"/>
  <c r="J544" i="1"/>
  <c r="J528" i="1"/>
  <c r="J514" i="1"/>
  <c r="J496" i="1"/>
  <c r="J482" i="1"/>
  <c r="J468" i="1"/>
  <c r="J454" i="1"/>
  <c r="J440" i="1"/>
  <c r="J426" i="1"/>
  <c r="J409" i="1"/>
  <c r="J252" i="1"/>
  <c r="J208" i="1"/>
  <c r="J190" i="1"/>
  <c r="J176" i="1"/>
  <c r="J162" i="1"/>
  <c r="J148" i="1"/>
  <c r="J130" i="1"/>
  <c r="J116" i="1"/>
  <c r="I572" i="1"/>
  <c r="I558" i="1"/>
  <c r="I544" i="1"/>
  <c r="I528" i="1"/>
  <c r="I514" i="1"/>
  <c r="I496" i="1"/>
  <c r="I482" i="1"/>
  <c r="I468" i="1"/>
  <c r="I454" i="1"/>
  <c r="I440" i="1"/>
  <c r="I426" i="1"/>
  <c r="I409" i="1"/>
  <c r="I252" i="1"/>
  <c r="I208" i="1"/>
  <c r="I190" i="1"/>
  <c r="I176" i="1"/>
  <c r="I162" i="1"/>
  <c r="I148" i="1"/>
  <c r="I130" i="1"/>
  <c r="I116" i="1"/>
  <c r="H572" i="1"/>
  <c r="H558" i="1"/>
  <c r="H544" i="1"/>
  <c r="H528" i="1"/>
  <c r="H514" i="1"/>
  <c r="H496" i="1"/>
  <c r="H482" i="1"/>
  <c r="H468" i="1"/>
  <c r="H454" i="1"/>
  <c r="H440" i="1"/>
  <c r="H426" i="1"/>
  <c r="H409" i="1"/>
  <c r="H252" i="1"/>
  <c r="H208" i="1"/>
  <c r="H190" i="1"/>
  <c r="H176" i="1"/>
  <c r="H162" i="1"/>
  <c r="H148" i="1"/>
  <c r="H130" i="1"/>
  <c r="H116" i="1"/>
  <c r="G572" i="1"/>
  <c r="G558" i="1"/>
  <c r="G544" i="1"/>
  <c r="G528" i="1"/>
  <c r="G514" i="1"/>
  <c r="G496" i="1"/>
  <c r="G482" i="1"/>
  <c r="G468" i="1"/>
  <c r="G454" i="1"/>
  <c r="G440" i="1"/>
  <c r="G426" i="1"/>
  <c r="G409" i="1"/>
  <c r="G252" i="1"/>
  <c r="G208" i="1"/>
  <c r="G190" i="1"/>
  <c r="G176" i="1"/>
  <c r="G162" i="1"/>
  <c r="G148" i="1"/>
  <c r="G130" i="1"/>
  <c r="G116" i="1"/>
  <c r="F572" i="1"/>
  <c r="F558" i="1"/>
  <c r="F544" i="1"/>
  <c r="F528" i="1"/>
  <c r="F514" i="1"/>
  <c r="F496" i="1"/>
  <c r="F482" i="1"/>
  <c r="F468" i="1"/>
  <c r="F454" i="1"/>
  <c r="F440" i="1"/>
  <c r="F426" i="1"/>
  <c r="F409" i="1"/>
  <c r="F252" i="1"/>
  <c r="F208" i="1"/>
  <c r="F190" i="1"/>
  <c r="F176" i="1"/>
  <c r="F162" i="1"/>
  <c r="F148" i="1"/>
  <c r="F130" i="1"/>
  <c r="F116" i="1"/>
  <c r="J570" i="1"/>
  <c r="J556" i="1"/>
  <c r="J542" i="1"/>
  <c r="J526" i="1"/>
  <c r="J512" i="1"/>
  <c r="J494" i="1"/>
  <c r="J480" i="1"/>
  <c r="J466" i="1"/>
  <c r="J452" i="1"/>
  <c r="J438" i="1"/>
  <c r="J424" i="1"/>
  <c r="J407" i="1"/>
  <c r="J250" i="1"/>
  <c r="J206" i="1"/>
  <c r="J188" i="1"/>
  <c r="J174" i="1"/>
  <c r="J160" i="1"/>
  <c r="J146" i="1"/>
  <c r="J128" i="1"/>
  <c r="J114" i="1"/>
  <c r="I570" i="1"/>
  <c r="I556" i="1"/>
  <c r="I542" i="1"/>
  <c r="I526" i="1"/>
  <c r="I512" i="1"/>
  <c r="I494" i="1"/>
  <c r="I480" i="1"/>
  <c r="I466" i="1"/>
  <c r="I452" i="1"/>
  <c r="I438" i="1"/>
  <c r="I424" i="1"/>
  <c r="I407" i="1"/>
  <c r="I250" i="1"/>
  <c r="I206" i="1"/>
  <c r="I188" i="1"/>
  <c r="I174" i="1"/>
  <c r="I160" i="1"/>
  <c r="I146" i="1"/>
  <c r="I128" i="1"/>
  <c r="I114" i="1"/>
  <c r="H570" i="1"/>
  <c r="H556" i="1"/>
  <c r="H542" i="1"/>
  <c r="H526" i="1"/>
  <c r="H512" i="1"/>
  <c r="H494" i="1"/>
  <c r="H480" i="1"/>
  <c r="H466" i="1"/>
  <c r="H452" i="1"/>
  <c r="H438" i="1"/>
  <c r="H424" i="1"/>
  <c r="H407" i="1"/>
  <c r="H250" i="1"/>
  <c r="H206" i="1"/>
  <c r="H188" i="1"/>
  <c r="H174" i="1"/>
  <c r="H160" i="1"/>
  <c r="H146" i="1"/>
  <c r="H128" i="1"/>
  <c r="H114" i="1"/>
  <c r="G570" i="1"/>
  <c r="G556" i="1"/>
  <c r="G542" i="1"/>
  <c r="G526" i="1"/>
  <c r="G512" i="1"/>
  <c r="G494" i="1"/>
  <c r="G480" i="1"/>
  <c r="G466" i="1"/>
  <c r="G452" i="1"/>
  <c r="G438" i="1"/>
  <c r="G424" i="1"/>
  <c r="G407" i="1"/>
  <c r="G250" i="1"/>
  <c r="G206" i="1"/>
  <c r="G188" i="1"/>
  <c r="G174" i="1"/>
  <c r="G160" i="1"/>
  <c r="G146" i="1"/>
  <c r="G128" i="1"/>
  <c r="G114" i="1"/>
  <c r="F570" i="1"/>
  <c r="F556" i="1"/>
  <c r="F542" i="1"/>
  <c r="F526" i="1"/>
  <c r="F512" i="1"/>
  <c r="F494" i="1"/>
  <c r="F480" i="1"/>
  <c r="F466" i="1"/>
  <c r="F452" i="1"/>
  <c r="F438" i="1"/>
  <c r="F424" i="1"/>
  <c r="F407" i="1"/>
  <c r="F250" i="1"/>
  <c r="F206" i="1"/>
  <c r="F188" i="1"/>
  <c r="F174" i="1"/>
  <c r="F160" i="1"/>
  <c r="F146" i="1"/>
  <c r="F128" i="1"/>
  <c r="F114" i="1"/>
  <c r="J568" i="1"/>
  <c r="J554" i="1"/>
  <c r="J540" i="1"/>
  <c r="J524" i="1"/>
  <c r="J510" i="1"/>
  <c r="J492" i="1"/>
  <c r="J478" i="1"/>
  <c r="J464" i="1"/>
  <c r="J450" i="1"/>
  <c r="J436" i="1"/>
  <c r="J422" i="1"/>
  <c r="J405" i="1"/>
  <c r="J248" i="1"/>
  <c r="J204" i="1"/>
  <c r="J186" i="1"/>
  <c r="J172" i="1"/>
  <c r="J158" i="1"/>
  <c r="J144" i="1"/>
  <c r="J126" i="1"/>
  <c r="J112" i="1"/>
  <c r="I568" i="1"/>
  <c r="I554" i="1"/>
  <c r="I540" i="1"/>
  <c r="I524" i="1"/>
  <c r="I510" i="1"/>
  <c r="I492" i="1"/>
  <c r="I478" i="1"/>
  <c r="I464" i="1"/>
  <c r="I450" i="1"/>
  <c r="I436" i="1"/>
  <c r="I422" i="1"/>
  <c r="I405" i="1"/>
  <c r="I248" i="1"/>
  <c r="I204" i="1"/>
  <c r="I186" i="1"/>
  <c r="I172" i="1"/>
  <c r="I158" i="1"/>
  <c r="I144" i="1"/>
  <c r="I126" i="1"/>
  <c r="I112" i="1"/>
  <c r="H568" i="1"/>
  <c r="H554" i="1"/>
  <c r="H540" i="1"/>
  <c r="H524" i="1"/>
  <c r="H510" i="1"/>
  <c r="H492" i="1"/>
  <c r="H478" i="1"/>
  <c r="H464" i="1"/>
  <c r="H450" i="1"/>
  <c r="H436" i="1"/>
  <c r="H422" i="1"/>
  <c r="H405" i="1"/>
  <c r="H248" i="1"/>
  <c r="H204" i="1"/>
  <c r="H186" i="1"/>
  <c r="H172" i="1"/>
  <c r="H158" i="1"/>
  <c r="H144" i="1"/>
  <c r="H126" i="1"/>
  <c r="H112" i="1"/>
  <c r="G568" i="1"/>
  <c r="G554" i="1"/>
  <c r="G540" i="1"/>
  <c r="G524" i="1"/>
  <c r="G510" i="1"/>
  <c r="G492" i="1"/>
  <c r="G478" i="1"/>
  <c r="G464" i="1"/>
  <c r="G450" i="1"/>
  <c r="G436" i="1"/>
  <c r="G422" i="1"/>
  <c r="G405" i="1"/>
  <c r="G248" i="1"/>
  <c r="G204" i="1"/>
  <c r="G186" i="1"/>
  <c r="G172" i="1"/>
  <c r="G158" i="1"/>
  <c r="G144" i="1"/>
  <c r="G126" i="1"/>
  <c r="G112" i="1"/>
  <c r="F568" i="1"/>
  <c r="F554" i="1"/>
  <c r="F540" i="1"/>
  <c r="F524" i="1"/>
  <c r="F510" i="1"/>
  <c r="F492" i="1"/>
  <c r="F478" i="1"/>
  <c r="F464" i="1"/>
  <c r="F450" i="1"/>
  <c r="F436" i="1"/>
  <c r="F422" i="1"/>
  <c r="F405" i="1"/>
  <c r="F248" i="1"/>
  <c r="F204" i="1"/>
  <c r="F186" i="1"/>
  <c r="F172" i="1"/>
  <c r="F158" i="1"/>
  <c r="F144" i="1"/>
  <c r="F126" i="1"/>
  <c r="F112" i="1"/>
  <c r="J566" i="1"/>
  <c r="J552" i="1"/>
  <c r="J538" i="1"/>
  <c r="J522" i="1"/>
  <c r="J508" i="1"/>
  <c r="J490" i="1"/>
  <c r="J476" i="1"/>
  <c r="J462" i="1"/>
  <c r="J448" i="1"/>
  <c r="J434" i="1"/>
  <c r="J420" i="1"/>
  <c r="J403" i="1"/>
  <c r="J246" i="1"/>
  <c r="J202" i="1"/>
  <c r="J184" i="1"/>
  <c r="J170" i="1"/>
  <c r="J156" i="1"/>
  <c r="J142" i="1"/>
  <c r="J124" i="1"/>
  <c r="J110" i="1"/>
  <c r="I566" i="1"/>
  <c r="I552" i="1"/>
  <c r="I538" i="1"/>
  <c r="I522" i="1"/>
  <c r="I508" i="1"/>
  <c r="I490" i="1"/>
  <c r="I476" i="1"/>
  <c r="I462" i="1"/>
  <c r="I448" i="1"/>
  <c r="I434" i="1"/>
  <c r="I420" i="1"/>
  <c r="I403" i="1"/>
  <c r="I246" i="1"/>
  <c r="I202" i="1"/>
  <c r="I184" i="1"/>
  <c r="I170" i="1"/>
  <c r="I156" i="1"/>
  <c r="I142" i="1"/>
  <c r="I124" i="1"/>
  <c r="I110" i="1"/>
  <c r="H566" i="1"/>
  <c r="H552" i="1"/>
  <c r="H538" i="1"/>
  <c r="H522" i="1"/>
  <c r="H508" i="1"/>
  <c r="H490" i="1"/>
  <c r="H476" i="1"/>
  <c r="H462" i="1"/>
  <c r="H448" i="1"/>
  <c r="H434" i="1"/>
  <c r="H420" i="1"/>
  <c r="H403" i="1"/>
  <c r="H246" i="1"/>
  <c r="H202" i="1"/>
  <c r="H184" i="1"/>
  <c r="H170" i="1"/>
  <c r="H156" i="1"/>
  <c r="H142" i="1"/>
  <c r="H124" i="1"/>
  <c r="H110" i="1"/>
  <c r="G566" i="1"/>
  <c r="G552" i="1"/>
  <c r="G538" i="1"/>
  <c r="G522" i="1"/>
  <c r="G508" i="1"/>
  <c r="G490" i="1"/>
  <c r="G476" i="1"/>
  <c r="G462" i="1"/>
  <c r="G448" i="1"/>
  <c r="G434" i="1"/>
  <c r="G420" i="1"/>
  <c r="G403" i="1"/>
  <c r="G246" i="1"/>
  <c r="G202" i="1"/>
  <c r="G184" i="1"/>
  <c r="G170" i="1"/>
  <c r="G156" i="1"/>
  <c r="G142" i="1"/>
  <c r="G124" i="1"/>
  <c r="G110" i="1"/>
  <c r="U2" i="3"/>
  <c r="D2" i="3"/>
  <c r="K709" i="44" s="1"/>
  <c r="U2" i="4"/>
  <c r="D2" i="4"/>
  <c r="K710" i="44" s="1"/>
  <c r="U2" i="5"/>
  <c r="D2" i="5"/>
  <c r="K711" i="44" s="1"/>
  <c r="U2" i="6"/>
  <c r="D2" i="6"/>
  <c r="K712" i="44" s="1"/>
  <c r="U2" i="7"/>
  <c r="D2" i="7"/>
  <c r="K713" i="44" s="1"/>
  <c r="U2" i="8"/>
  <c r="D2" i="8"/>
  <c r="K714" i="44" s="1"/>
  <c r="U2" i="9"/>
  <c r="D2" i="9"/>
  <c r="K715" i="44" s="1"/>
  <c r="U2" i="10"/>
  <c r="D2" i="10"/>
  <c r="K716" i="44" s="1"/>
  <c r="U2" i="11"/>
  <c r="D2" i="11"/>
  <c r="K717" i="44" s="1"/>
  <c r="U2" i="12"/>
  <c r="D2" i="12"/>
  <c r="K718" i="44" s="1"/>
  <c r="U2" i="13"/>
  <c r="D2" i="13"/>
  <c r="K719" i="44" s="1"/>
  <c r="U2" i="14"/>
  <c r="D2" i="14"/>
  <c r="K720" i="44" s="1"/>
  <c r="U2" i="15"/>
  <c r="D2" i="15"/>
  <c r="K721" i="44" s="1"/>
  <c r="U2" i="16"/>
  <c r="D2" i="16"/>
  <c r="K722" i="44" s="1"/>
  <c r="U2" i="17"/>
  <c r="D2" i="17"/>
  <c r="K723" i="44" s="1"/>
  <c r="U2" i="18"/>
  <c r="D2" i="18"/>
  <c r="K724" i="44" s="1"/>
  <c r="U2" i="19"/>
  <c r="D2" i="19"/>
  <c r="K725" i="44" s="1"/>
  <c r="U2" i="20"/>
  <c r="D2" i="20"/>
  <c r="K726" i="44" s="1"/>
  <c r="U2" i="21"/>
  <c r="D2" i="21"/>
  <c r="K727" i="44" s="1"/>
  <c r="U2" i="22"/>
  <c r="D2" i="22"/>
  <c r="K728" i="44" s="1"/>
  <c r="U2" i="23"/>
  <c r="D2" i="23"/>
  <c r="K729" i="44" s="1"/>
  <c r="U2" i="24"/>
  <c r="D2" i="24"/>
  <c r="K730" i="44" s="1"/>
  <c r="U2" i="25"/>
  <c r="D2" i="25"/>
  <c r="K731" i="44" s="1"/>
  <c r="U2" i="26"/>
  <c r="D2" i="26"/>
  <c r="K732" i="44" s="1"/>
  <c r="U2" i="27"/>
  <c r="D2" i="27"/>
  <c r="K733" i="44" s="1"/>
  <c r="U2" i="28"/>
  <c r="D2" i="28"/>
  <c r="K734" i="44" s="1"/>
  <c r="U2" i="29"/>
  <c r="D2" i="29"/>
  <c r="K735" i="44" s="1"/>
  <c r="U2" i="30"/>
  <c r="D2" i="30"/>
  <c r="K736" i="44" s="1"/>
  <c r="U2" i="31"/>
  <c r="D2" i="31"/>
  <c r="K737" i="44" s="1"/>
  <c r="D1" i="44"/>
  <c r="K116" i="29" l="1"/>
  <c r="BI735" i="44" s="1"/>
  <c r="BB735" i="44"/>
  <c r="AY729" i="44"/>
  <c r="K116" i="22"/>
  <c r="BI728" i="44" s="1"/>
  <c r="BB728" i="44"/>
  <c r="K116" i="8"/>
  <c r="BI714" i="44" s="1"/>
  <c r="BB714" i="44"/>
  <c r="K116" i="3"/>
  <c r="BI709" i="44" s="1"/>
  <c r="BB709" i="44"/>
  <c r="K116" i="30"/>
  <c r="BI736" i="44" s="1"/>
  <c r="BB736" i="44"/>
  <c r="K116" i="18"/>
  <c r="BI724" i="44" s="1"/>
  <c r="BB724" i="44"/>
  <c r="K116" i="16"/>
  <c r="BI722" i="44" s="1"/>
  <c r="BB722" i="44"/>
  <c r="K116" i="4"/>
  <c r="BI710" i="44" s="1"/>
  <c r="BB710" i="44"/>
  <c r="K116" i="31"/>
  <c r="BI737" i="44" s="1"/>
  <c r="BB737" i="44"/>
  <c r="K116" i="15"/>
  <c r="BI721" i="44" s="1"/>
  <c r="BB721" i="44"/>
  <c r="K116" i="19"/>
  <c r="BI725" i="44" s="1"/>
  <c r="BB725" i="44"/>
  <c r="K116" i="11"/>
  <c r="BI717" i="44" s="1"/>
  <c r="BB717" i="44"/>
  <c r="K116" i="28"/>
  <c r="BI734" i="44" s="1"/>
  <c r="BB734" i="44"/>
  <c r="K116" i="6"/>
  <c r="BI712" i="44" s="1"/>
  <c r="BB712" i="44"/>
  <c r="K116" i="10"/>
  <c r="BI716" i="44" s="1"/>
  <c r="BB716" i="44"/>
  <c r="K116" i="26"/>
  <c r="BI732" i="44" s="1"/>
  <c r="BB732" i="44"/>
  <c r="K116" i="14"/>
  <c r="BI720" i="44" s="1"/>
  <c r="BB720" i="44"/>
  <c r="K116" i="20"/>
  <c r="BI726" i="44" s="1"/>
  <c r="BB726" i="44"/>
  <c r="K116" i="27"/>
  <c r="BI733" i="44" s="1"/>
  <c r="BB733" i="44"/>
  <c r="K116" i="23"/>
  <c r="BI729" i="44" s="1"/>
  <c r="BB729" i="44"/>
  <c r="K116" i="12"/>
  <c r="BI718" i="44" s="1"/>
  <c r="BB718" i="44"/>
  <c r="K116" i="24"/>
  <c r="BI730" i="44" s="1"/>
  <c r="BB730" i="44"/>
  <c r="K116" i="7"/>
  <c r="BI713" i="44" s="1"/>
  <c r="BB713" i="44"/>
  <c r="K2" i="1"/>
  <c r="BV708" i="44" l="1"/>
  <c r="BP708" i="44"/>
  <c r="BT708" i="44"/>
  <c r="BN708" i="44"/>
  <c r="L692" i="44" l="1"/>
  <c r="L691" i="44"/>
  <c r="L690" i="44"/>
  <c r="L689" i="44"/>
  <c r="L688" i="44"/>
  <c r="L687" i="44"/>
  <c r="L686" i="44"/>
  <c r="L685" i="44"/>
  <c r="L684" i="44"/>
  <c r="L683" i="44"/>
  <c r="L682" i="44"/>
  <c r="L681" i="44"/>
  <c r="L680" i="44"/>
  <c r="L679" i="44"/>
  <c r="L678" i="44"/>
  <c r="L677" i="44"/>
  <c r="L676" i="44"/>
  <c r="L675" i="44"/>
  <c r="L674" i="44"/>
  <c r="L673" i="44"/>
  <c r="L672" i="44"/>
  <c r="L671" i="44"/>
  <c r="L670" i="44"/>
  <c r="L669" i="44"/>
  <c r="L668" i="44"/>
  <c r="L667" i="44"/>
  <c r="L666" i="44"/>
  <c r="L665" i="44"/>
  <c r="L664" i="44"/>
  <c r="L663" i="44"/>
  <c r="FY13" i="44"/>
  <c r="FV13" i="44"/>
  <c r="I156" i="2" l="1"/>
  <c r="D156" i="2"/>
  <c r="I144" i="2"/>
  <c r="D144" i="2"/>
  <c r="O49" i="34" l="1"/>
  <c r="J101" i="1" s="1"/>
  <c r="O48" i="34"/>
  <c r="I101" i="1" s="1"/>
  <c r="O47" i="34"/>
  <c r="H101" i="1" s="1"/>
  <c r="O46" i="34"/>
  <c r="G101" i="1" s="1"/>
  <c r="O45" i="34"/>
  <c r="F101" i="1" s="1"/>
  <c r="O44" i="34"/>
  <c r="J99" i="1" s="1"/>
  <c r="O43" i="34"/>
  <c r="I99" i="1" s="1"/>
  <c r="O42" i="34"/>
  <c r="H99" i="1" s="1"/>
  <c r="O41" i="34"/>
  <c r="G99" i="1" s="1"/>
  <c r="O40" i="34"/>
  <c r="F99" i="1" s="1"/>
  <c r="O39" i="34"/>
  <c r="J97" i="1" s="1"/>
  <c r="O38" i="34"/>
  <c r="I97" i="1" s="1"/>
  <c r="O37" i="34"/>
  <c r="H97" i="1" s="1"/>
  <c r="O36" i="34"/>
  <c r="G97" i="1" s="1"/>
  <c r="O35" i="34"/>
  <c r="F97" i="1" s="1"/>
  <c r="O34" i="34"/>
  <c r="J95" i="1" s="1"/>
  <c r="O33" i="34"/>
  <c r="I95" i="1" s="1"/>
  <c r="O32" i="34"/>
  <c r="H95" i="1" s="1"/>
  <c r="O31" i="34"/>
  <c r="G95" i="1" s="1"/>
  <c r="O30" i="34"/>
  <c r="F95" i="1" s="1"/>
  <c r="O29" i="34"/>
  <c r="J93" i="1" s="1"/>
  <c r="O28" i="34"/>
  <c r="I93" i="1" s="1"/>
  <c r="O27" i="34"/>
  <c r="H93" i="1" s="1"/>
  <c r="O26" i="34"/>
  <c r="G93" i="1" s="1"/>
  <c r="O25" i="34"/>
  <c r="F93" i="1" s="1"/>
  <c r="O24" i="34"/>
  <c r="J91" i="1" s="1"/>
  <c r="O23" i="34"/>
  <c r="I91" i="1" s="1"/>
  <c r="O22" i="34"/>
  <c r="H91" i="1" s="1"/>
  <c r="O21" i="34"/>
  <c r="G91" i="1" s="1"/>
  <c r="O20" i="34"/>
  <c r="F91" i="1" s="1"/>
  <c r="J87" i="1" l="1"/>
  <c r="I87" i="1"/>
  <c r="H87" i="1"/>
  <c r="G87" i="1"/>
  <c r="F87" i="1"/>
  <c r="J85" i="1"/>
  <c r="I85" i="1"/>
  <c r="H85" i="1"/>
  <c r="G85" i="1"/>
  <c r="F85" i="1"/>
  <c r="J83" i="1"/>
  <c r="I83" i="1"/>
  <c r="H83" i="1"/>
  <c r="G83" i="1"/>
  <c r="F83" i="1"/>
  <c r="J81" i="1"/>
  <c r="I81" i="1"/>
  <c r="H81" i="1"/>
  <c r="G81" i="1"/>
  <c r="F81" i="1"/>
  <c r="J79" i="1"/>
  <c r="I79" i="1"/>
  <c r="H79" i="1"/>
  <c r="G79" i="1"/>
  <c r="F79" i="1"/>
  <c r="J77" i="1"/>
  <c r="I77" i="1"/>
  <c r="H77" i="1"/>
  <c r="G77" i="1"/>
  <c r="F77" i="1"/>
  <c r="I74" i="1"/>
  <c r="G74" i="1"/>
  <c r="I89" i="1" l="1"/>
  <c r="I103" i="1"/>
  <c r="FX13" i="44" s="1"/>
  <c r="G103" i="1"/>
  <c r="FW13" i="44" s="1"/>
  <c r="G89" i="1"/>
  <c r="G3137" i="44" l="1"/>
  <c r="G3136" i="44"/>
  <c r="G3135" i="44"/>
  <c r="G3134" i="44"/>
  <c r="G3133" i="44"/>
  <c r="G3132" i="44"/>
  <c r="E153" i="44"/>
  <c r="E152" i="44"/>
  <c r="E151" i="44"/>
  <c r="E150" i="44"/>
  <c r="E149" i="44"/>
  <c r="F149" i="44"/>
  <c r="G149" i="44"/>
  <c r="F150" i="44"/>
  <c r="G150" i="44"/>
  <c r="F151" i="44"/>
  <c r="G151" i="44"/>
  <c r="F152" i="44"/>
  <c r="G152" i="44"/>
  <c r="F153" i="44"/>
  <c r="G153" i="44"/>
  <c r="C28" i="44"/>
  <c r="B28" i="44"/>
  <c r="I354" i="2" l="1"/>
  <c r="I353" i="2"/>
  <c r="I352" i="2"/>
  <c r="I351" i="2"/>
  <c r="I350" i="2"/>
  <c r="I349" i="2"/>
  <c r="O350" i="2" l="1"/>
  <c r="H3133" i="44"/>
  <c r="O351" i="2"/>
  <c r="H3134" i="44"/>
  <c r="O352" i="2"/>
  <c r="H3135" i="44"/>
  <c r="O353" i="2"/>
  <c r="H3136" i="44"/>
  <c r="O354" i="2"/>
  <c r="H3137" i="44"/>
  <c r="H3132" i="44"/>
  <c r="O349" i="2"/>
  <c r="D658" i="44"/>
  <c r="C658" i="44"/>
  <c r="A658" i="44"/>
  <c r="D657" i="44"/>
  <c r="C657" i="44"/>
  <c r="A657" i="44"/>
  <c r="D656" i="44"/>
  <c r="C656" i="44"/>
  <c r="A656" i="44"/>
  <c r="D655" i="44"/>
  <c r="C655" i="44"/>
  <c r="A655" i="44"/>
  <c r="D654" i="44"/>
  <c r="C654" i="44"/>
  <c r="A654" i="44"/>
  <c r="D653" i="44"/>
  <c r="C653" i="44"/>
  <c r="A653" i="44"/>
  <c r="D652" i="44"/>
  <c r="C652" i="44"/>
  <c r="A652" i="44"/>
  <c r="D651" i="44"/>
  <c r="C651" i="44"/>
  <c r="A651" i="44"/>
  <c r="D650" i="44"/>
  <c r="C650" i="44"/>
  <c r="A650" i="44"/>
  <c r="D649" i="44"/>
  <c r="C649" i="44"/>
  <c r="A649" i="44"/>
  <c r="D648" i="44"/>
  <c r="C648" i="44"/>
  <c r="A648" i="44"/>
  <c r="D647" i="44"/>
  <c r="C647" i="44"/>
  <c r="A647" i="44"/>
  <c r="D646" i="44"/>
  <c r="C646" i="44"/>
  <c r="A646" i="44"/>
  <c r="D645" i="44"/>
  <c r="C645" i="44"/>
  <c r="A645" i="44"/>
  <c r="D644" i="44"/>
  <c r="C644" i="44"/>
  <c r="A644" i="44"/>
  <c r="D643" i="44"/>
  <c r="C643" i="44"/>
  <c r="A643" i="44"/>
  <c r="D642" i="44"/>
  <c r="C642" i="44"/>
  <c r="A642" i="44"/>
  <c r="D641" i="44"/>
  <c r="C641" i="44"/>
  <c r="A641" i="44"/>
  <c r="D640" i="44"/>
  <c r="C640" i="44"/>
  <c r="A640" i="44"/>
  <c r="D639" i="44"/>
  <c r="C639" i="44"/>
  <c r="A639" i="44"/>
  <c r="D638" i="44"/>
  <c r="C638" i="44"/>
  <c r="A638" i="44"/>
  <c r="D637" i="44"/>
  <c r="C637" i="44"/>
  <c r="A637" i="44"/>
  <c r="D636" i="44"/>
  <c r="C636" i="44"/>
  <c r="A636" i="44"/>
  <c r="D635" i="44"/>
  <c r="C635" i="44"/>
  <c r="A635" i="44"/>
  <c r="D634" i="44"/>
  <c r="C634" i="44"/>
  <c r="A634" i="44"/>
  <c r="D633" i="44"/>
  <c r="C633" i="44"/>
  <c r="A633" i="44"/>
  <c r="D632" i="44"/>
  <c r="C632" i="44"/>
  <c r="A632" i="44"/>
  <c r="D631" i="44"/>
  <c r="C631" i="44"/>
  <c r="A631" i="44"/>
  <c r="D630" i="44"/>
  <c r="C630" i="44"/>
  <c r="A630" i="44"/>
  <c r="D629" i="44"/>
  <c r="C629" i="44"/>
  <c r="A629" i="44"/>
  <c r="B658" i="44"/>
  <c r="B657" i="44"/>
  <c r="B656" i="44"/>
  <c r="B655" i="44"/>
  <c r="B654" i="44"/>
  <c r="B653" i="44"/>
  <c r="B652" i="44"/>
  <c r="B651" i="44"/>
  <c r="B650" i="44"/>
  <c r="B649" i="44"/>
  <c r="B648" i="44"/>
  <c r="B647" i="44"/>
  <c r="B646" i="44"/>
  <c r="B645" i="44"/>
  <c r="B644" i="44"/>
  <c r="B643" i="44"/>
  <c r="B642" i="44"/>
  <c r="B641" i="44"/>
  <c r="B640" i="44"/>
  <c r="B639" i="44"/>
  <c r="B638" i="44"/>
  <c r="B637" i="44"/>
  <c r="B636" i="44"/>
  <c r="B635" i="44"/>
  <c r="B634" i="44"/>
  <c r="B633" i="44"/>
  <c r="B632" i="44"/>
  <c r="B631" i="44"/>
  <c r="B630" i="44"/>
  <c r="B629" i="44"/>
  <c r="D625" i="44"/>
  <c r="C625" i="44"/>
  <c r="A625" i="44"/>
  <c r="D624" i="44"/>
  <c r="C624" i="44"/>
  <c r="A624" i="44"/>
  <c r="D623" i="44"/>
  <c r="C623" i="44"/>
  <c r="A623" i="44"/>
  <c r="D622" i="44"/>
  <c r="C622" i="44"/>
  <c r="A622" i="44"/>
  <c r="D621" i="44"/>
  <c r="C621" i="44"/>
  <c r="A621" i="44"/>
  <c r="D620" i="44"/>
  <c r="C620" i="44"/>
  <c r="A620" i="44"/>
  <c r="D619" i="44"/>
  <c r="C619" i="44"/>
  <c r="A619" i="44"/>
  <c r="D618" i="44"/>
  <c r="C618" i="44"/>
  <c r="A618" i="44"/>
  <c r="D617" i="44"/>
  <c r="C617" i="44"/>
  <c r="A617" i="44"/>
  <c r="D616" i="44"/>
  <c r="C616" i="44"/>
  <c r="A616" i="44"/>
  <c r="D615" i="44"/>
  <c r="C615" i="44"/>
  <c r="A615" i="44"/>
  <c r="D614" i="44"/>
  <c r="C614" i="44"/>
  <c r="A614" i="44"/>
  <c r="D613" i="44"/>
  <c r="C613" i="44"/>
  <c r="A613" i="44"/>
  <c r="D612" i="44"/>
  <c r="C612" i="44"/>
  <c r="A612" i="44"/>
  <c r="D611" i="44"/>
  <c r="C611" i="44"/>
  <c r="A611" i="44"/>
  <c r="D610" i="44"/>
  <c r="C610" i="44"/>
  <c r="A610" i="44"/>
  <c r="D609" i="44"/>
  <c r="C609" i="44"/>
  <c r="A609" i="44"/>
  <c r="D608" i="44"/>
  <c r="C608" i="44"/>
  <c r="A608" i="44"/>
  <c r="D607" i="44"/>
  <c r="C607" i="44"/>
  <c r="A607" i="44"/>
  <c r="D606" i="44"/>
  <c r="C606" i="44"/>
  <c r="A606" i="44"/>
  <c r="D605" i="44"/>
  <c r="C605" i="44"/>
  <c r="A605" i="44"/>
  <c r="D604" i="44"/>
  <c r="C604" i="44"/>
  <c r="A604" i="44"/>
  <c r="D603" i="44"/>
  <c r="C603" i="44"/>
  <c r="A603" i="44"/>
  <c r="D602" i="44"/>
  <c r="C602" i="44"/>
  <c r="A602" i="44"/>
  <c r="D601" i="44"/>
  <c r="C601" i="44"/>
  <c r="A601" i="44"/>
  <c r="D600" i="44"/>
  <c r="C600" i="44"/>
  <c r="A600" i="44"/>
  <c r="D599" i="44"/>
  <c r="C599" i="44"/>
  <c r="A599" i="44"/>
  <c r="D598" i="44"/>
  <c r="C598" i="44"/>
  <c r="A598" i="44"/>
  <c r="D597" i="44"/>
  <c r="C597" i="44"/>
  <c r="A597" i="44"/>
  <c r="D596" i="44"/>
  <c r="C596" i="44"/>
  <c r="A596" i="44"/>
  <c r="D592" i="44"/>
  <c r="D591" i="44"/>
  <c r="D590" i="44"/>
  <c r="D589" i="44"/>
  <c r="D588" i="44"/>
  <c r="D587" i="44"/>
  <c r="D586" i="44"/>
  <c r="D585" i="44"/>
  <c r="D584" i="44"/>
  <c r="D583" i="44"/>
  <c r="D582" i="44"/>
  <c r="D581" i="44"/>
  <c r="D580" i="44"/>
  <c r="D579" i="44"/>
  <c r="D578" i="44"/>
  <c r="C592" i="44"/>
  <c r="C591" i="44"/>
  <c r="C590" i="44"/>
  <c r="C589" i="44"/>
  <c r="C588" i="44"/>
  <c r="C587" i="44"/>
  <c r="C586" i="44"/>
  <c r="C585" i="44"/>
  <c r="C584" i="44"/>
  <c r="C583" i="44"/>
  <c r="C582" i="44"/>
  <c r="C581" i="44"/>
  <c r="C580" i="44"/>
  <c r="C579" i="44"/>
  <c r="C578" i="44"/>
  <c r="B577" i="44"/>
  <c r="B576" i="44"/>
  <c r="B575" i="44"/>
  <c r="B574" i="44"/>
  <c r="B573" i="44"/>
  <c r="B572" i="44"/>
  <c r="B571" i="44"/>
  <c r="B570" i="44"/>
  <c r="B569" i="44"/>
  <c r="B568" i="44"/>
  <c r="B567" i="44"/>
  <c r="B566" i="44"/>
  <c r="B565" i="44"/>
  <c r="B564" i="44"/>
  <c r="B563" i="44"/>
  <c r="B592" i="44"/>
  <c r="B591" i="44"/>
  <c r="B590" i="44"/>
  <c r="B589" i="44"/>
  <c r="B588" i="44"/>
  <c r="B587" i="44"/>
  <c r="B586" i="44"/>
  <c r="B585" i="44"/>
  <c r="B584" i="44"/>
  <c r="B583" i="44"/>
  <c r="B582" i="44"/>
  <c r="B581" i="44"/>
  <c r="B580" i="44"/>
  <c r="B579" i="44"/>
  <c r="B578" i="44"/>
  <c r="A592" i="44"/>
  <c r="A591" i="44"/>
  <c r="A590" i="44"/>
  <c r="A589" i="44"/>
  <c r="A588" i="44"/>
  <c r="A587" i="44"/>
  <c r="A586" i="44"/>
  <c r="A585" i="44"/>
  <c r="A584" i="44"/>
  <c r="A583" i="44"/>
  <c r="A582" i="44"/>
  <c r="A581" i="44"/>
  <c r="A580" i="44"/>
  <c r="A579" i="44"/>
  <c r="A578" i="44"/>
  <c r="D577" i="44"/>
  <c r="C577" i="44"/>
  <c r="A577" i="44"/>
  <c r="D576" i="44"/>
  <c r="C576" i="44"/>
  <c r="A576" i="44"/>
  <c r="D575" i="44"/>
  <c r="C575" i="44"/>
  <c r="A575" i="44"/>
  <c r="D574" i="44"/>
  <c r="C574" i="44"/>
  <c r="A574" i="44"/>
  <c r="D573" i="44"/>
  <c r="C573" i="44"/>
  <c r="A573" i="44"/>
  <c r="D572" i="44"/>
  <c r="C572" i="44"/>
  <c r="A572" i="44"/>
  <c r="D571" i="44"/>
  <c r="C571" i="44"/>
  <c r="A571" i="44"/>
  <c r="D570" i="44"/>
  <c r="C570" i="44"/>
  <c r="A570" i="44"/>
  <c r="D569" i="44"/>
  <c r="C569" i="44"/>
  <c r="A569" i="44"/>
  <c r="D568" i="44"/>
  <c r="C568" i="44"/>
  <c r="A568" i="44"/>
  <c r="D567" i="44"/>
  <c r="C567" i="44"/>
  <c r="A567" i="44"/>
  <c r="D566" i="44"/>
  <c r="C566" i="44"/>
  <c r="A566" i="44"/>
  <c r="D565" i="44"/>
  <c r="C565" i="44"/>
  <c r="A565" i="44"/>
  <c r="D564" i="44"/>
  <c r="C564" i="44"/>
  <c r="A564" i="44"/>
  <c r="D563" i="44"/>
  <c r="C563" i="44"/>
  <c r="A563" i="44"/>
  <c r="D559" i="44"/>
  <c r="D558" i="44"/>
  <c r="D557" i="44"/>
  <c r="D556" i="44"/>
  <c r="D555" i="44"/>
  <c r="D554" i="44"/>
  <c r="D553" i="44"/>
  <c r="D552" i="44"/>
  <c r="D551" i="44"/>
  <c r="D550" i="44"/>
  <c r="D549" i="44"/>
  <c r="D548" i="44"/>
  <c r="D547" i="44"/>
  <c r="D546" i="44"/>
  <c r="D545" i="44"/>
  <c r="D544" i="44"/>
  <c r="D543" i="44"/>
  <c r="D542" i="44"/>
  <c r="C559" i="44"/>
  <c r="C558" i="44"/>
  <c r="C557" i="44"/>
  <c r="C556" i="44"/>
  <c r="C555" i="44"/>
  <c r="C554" i="44"/>
  <c r="C553" i="44"/>
  <c r="C552" i="44"/>
  <c r="C551" i="44"/>
  <c r="C550" i="44"/>
  <c r="C549" i="44"/>
  <c r="C548" i="44"/>
  <c r="C547" i="44"/>
  <c r="C546" i="44"/>
  <c r="C545" i="44"/>
  <c r="C544" i="44"/>
  <c r="C543" i="44"/>
  <c r="C542" i="44"/>
  <c r="A559" i="44"/>
  <c r="A558" i="44"/>
  <c r="A557" i="44"/>
  <c r="A556" i="44"/>
  <c r="A555" i="44"/>
  <c r="A554" i="44"/>
  <c r="A553" i="44"/>
  <c r="A552" i="44"/>
  <c r="A551" i="44"/>
  <c r="A550" i="44"/>
  <c r="A549" i="44"/>
  <c r="A548" i="44"/>
  <c r="A547" i="44"/>
  <c r="A546" i="44"/>
  <c r="A545" i="44"/>
  <c r="A544" i="44"/>
  <c r="A543" i="44"/>
  <c r="A542" i="44"/>
  <c r="D541" i="44"/>
  <c r="C541" i="44"/>
  <c r="A541" i="44"/>
  <c r="D540" i="44"/>
  <c r="C540" i="44"/>
  <c r="A540" i="44"/>
  <c r="D539" i="44"/>
  <c r="C539" i="44"/>
  <c r="A539" i="44"/>
  <c r="D538" i="44"/>
  <c r="C538" i="44"/>
  <c r="A538" i="44"/>
  <c r="D537" i="44"/>
  <c r="C537" i="44"/>
  <c r="A537" i="44"/>
  <c r="D536" i="44"/>
  <c r="C536" i="44"/>
  <c r="A536" i="44"/>
  <c r="D535" i="44"/>
  <c r="C535" i="44"/>
  <c r="A535" i="44"/>
  <c r="D534" i="44"/>
  <c r="C534" i="44"/>
  <c r="A534" i="44"/>
  <c r="D533" i="44"/>
  <c r="C533" i="44"/>
  <c r="A533" i="44"/>
  <c r="D532" i="44"/>
  <c r="C532" i="44"/>
  <c r="A532" i="44"/>
  <c r="D531" i="44"/>
  <c r="C531" i="44"/>
  <c r="A531" i="44"/>
  <c r="D530" i="44"/>
  <c r="C530" i="44"/>
  <c r="A530" i="44"/>
  <c r="D529" i="44"/>
  <c r="C529" i="44"/>
  <c r="A529" i="44"/>
  <c r="D528" i="44"/>
  <c r="C528" i="44"/>
  <c r="A528" i="44"/>
  <c r="D527" i="44"/>
  <c r="C527" i="44"/>
  <c r="A527" i="44"/>
  <c r="D526" i="44"/>
  <c r="C526" i="44"/>
  <c r="A526" i="44"/>
  <c r="D525" i="44"/>
  <c r="C525" i="44"/>
  <c r="A525" i="44"/>
  <c r="D524" i="44"/>
  <c r="C524" i="44"/>
  <c r="A524" i="44"/>
  <c r="D520" i="44"/>
  <c r="C520" i="44"/>
  <c r="B520" i="44"/>
  <c r="A520" i="44"/>
  <c r="D519" i="44"/>
  <c r="C519" i="44"/>
  <c r="B519" i="44"/>
  <c r="A519" i="44"/>
  <c r="D518" i="44"/>
  <c r="C518" i="44"/>
  <c r="B518" i="44"/>
  <c r="A518" i="44"/>
  <c r="D517" i="44"/>
  <c r="C517" i="44"/>
  <c r="B517" i="44"/>
  <c r="A517" i="44"/>
  <c r="D516" i="44"/>
  <c r="C516" i="44"/>
  <c r="B516" i="44"/>
  <c r="A516" i="44"/>
  <c r="D515" i="44"/>
  <c r="C515" i="44"/>
  <c r="B515" i="44"/>
  <c r="A515" i="44"/>
  <c r="D514" i="44"/>
  <c r="C514" i="44"/>
  <c r="B514" i="44"/>
  <c r="A514" i="44"/>
  <c r="D513" i="44"/>
  <c r="C513" i="44"/>
  <c r="B513" i="44"/>
  <c r="A513" i="44"/>
  <c r="D512" i="44"/>
  <c r="C512" i="44"/>
  <c r="B512" i="44"/>
  <c r="A512" i="44"/>
  <c r="D511" i="44"/>
  <c r="C511" i="44"/>
  <c r="B511" i="44"/>
  <c r="A511" i="44"/>
  <c r="D510" i="44"/>
  <c r="C510" i="44"/>
  <c r="B510" i="44"/>
  <c r="A510" i="44"/>
  <c r="D509" i="44"/>
  <c r="C509" i="44"/>
  <c r="B509" i="44"/>
  <c r="A509" i="44"/>
  <c r="D508" i="44"/>
  <c r="C508" i="44"/>
  <c r="B508" i="44"/>
  <c r="A508" i="44"/>
  <c r="D507" i="44"/>
  <c r="C507" i="44"/>
  <c r="B507" i="44"/>
  <c r="A507" i="44"/>
  <c r="D506" i="44"/>
  <c r="C506" i="44"/>
  <c r="B506" i="44"/>
  <c r="A506" i="44"/>
  <c r="D505" i="44"/>
  <c r="C505" i="44"/>
  <c r="B505" i="44"/>
  <c r="A505" i="44"/>
  <c r="D504" i="44"/>
  <c r="C504" i="44"/>
  <c r="B504" i="44"/>
  <c r="A504" i="44"/>
  <c r="D503" i="44"/>
  <c r="C503" i="44"/>
  <c r="B503" i="44"/>
  <c r="A503" i="44"/>
  <c r="D502" i="44"/>
  <c r="C502" i="44"/>
  <c r="B502" i="44"/>
  <c r="A502" i="44"/>
  <c r="D501" i="44"/>
  <c r="C501" i="44"/>
  <c r="B501" i="44"/>
  <c r="A501" i="44"/>
  <c r="D500" i="44"/>
  <c r="C500" i="44"/>
  <c r="B500" i="44"/>
  <c r="A500" i="44"/>
  <c r="D499" i="44"/>
  <c r="C499" i="44"/>
  <c r="B499" i="44"/>
  <c r="A499" i="44"/>
  <c r="D498" i="44"/>
  <c r="C498" i="44"/>
  <c r="B498" i="44"/>
  <c r="A498" i="44"/>
  <c r="D497" i="44"/>
  <c r="C497" i="44"/>
  <c r="B497" i="44"/>
  <c r="A497" i="44"/>
  <c r="D496" i="44"/>
  <c r="C496" i="44"/>
  <c r="B496" i="44"/>
  <c r="A496" i="44"/>
  <c r="D495" i="44"/>
  <c r="C495" i="44"/>
  <c r="B495" i="44"/>
  <c r="A495" i="44"/>
  <c r="D494" i="44"/>
  <c r="C494" i="44"/>
  <c r="B494" i="44"/>
  <c r="A494" i="44"/>
  <c r="D493" i="44"/>
  <c r="C493" i="44"/>
  <c r="B493" i="44"/>
  <c r="A493" i="44"/>
  <c r="D492" i="44"/>
  <c r="C492" i="44"/>
  <c r="B492" i="44"/>
  <c r="A492" i="44"/>
  <c r="D491" i="44"/>
  <c r="C491" i="44"/>
  <c r="B491" i="44"/>
  <c r="A491" i="44"/>
  <c r="D490" i="44"/>
  <c r="C490" i="44"/>
  <c r="B490" i="44"/>
  <c r="A490" i="44"/>
  <c r="D489" i="44"/>
  <c r="C489" i="44"/>
  <c r="B489" i="44"/>
  <c r="A489" i="44"/>
  <c r="D488" i="44"/>
  <c r="C488" i="44"/>
  <c r="B488" i="44"/>
  <c r="A488" i="44"/>
  <c r="D487" i="44"/>
  <c r="C487" i="44"/>
  <c r="B487" i="44"/>
  <c r="A487" i="44"/>
  <c r="D486" i="44"/>
  <c r="C486" i="44"/>
  <c r="B486" i="44"/>
  <c r="A486" i="44"/>
  <c r="D485" i="44"/>
  <c r="C485" i="44"/>
  <c r="B485" i="44"/>
  <c r="A485" i="44"/>
  <c r="D484" i="44"/>
  <c r="C484" i="44"/>
  <c r="B484" i="44"/>
  <c r="A484" i="44"/>
  <c r="D483" i="44"/>
  <c r="C483" i="44"/>
  <c r="B483" i="44"/>
  <c r="A483" i="44"/>
  <c r="D482" i="44"/>
  <c r="C482" i="44"/>
  <c r="B482" i="44"/>
  <c r="A482" i="44"/>
  <c r="D481" i="44"/>
  <c r="C481" i="44"/>
  <c r="B481" i="44"/>
  <c r="A481" i="44"/>
  <c r="D480" i="44"/>
  <c r="C480" i="44"/>
  <c r="B480" i="44"/>
  <c r="A480" i="44"/>
  <c r="D479" i="44"/>
  <c r="C479" i="44"/>
  <c r="B479" i="44"/>
  <c r="A479" i="44"/>
  <c r="D478" i="44"/>
  <c r="C478" i="44"/>
  <c r="B478" i="44"/>
  <c r="A478" i="44"/>
  <c r="D477" i="44"/>
  <c r="C477" i="44"/>
  <c r="B477" i="44"/>
  <c r="A477" i="44"/>
  <c r="D476" i="44"/>
  <c r="C476" i="44"/>
  <c r="B476" i="44"/>
  <c r="A476" i="44"/>
  <c r="D475" i="44"/>
  <c r="C475" i="44"/>
  <c r="B475" i="44"/>
  <c r="A475" i="44"/>
  <c r="D474" i="44"/>
  <c r="C474" i="44"/>
  <c r="B474" i="44"/>
  <c r="A474" i="44"/>
  <c r="D473" i="44"/>
  <c r="C473" i="44"/>
  <c r="B473" i="44"/>
  <c r="A473" i="44"/>
  <c r="D472" i="44"/>
  <c r="C472" i="44"/>
  <c r="B472" i="44"/>
  <c r="A472" i="44"/>
  <c r="D471" i="44"/>
  <c r="C471" i="44"/>
  <c r="B471" i="44"/>
  <c r="A471" i="44"/>
  <c r="D470" i="44"/>
  <c r="C470" i="44"/>
  <c r="B470" i="44"/>
  <c r="A470" i="44"/>
  <c r="D469" i="44"/>
  <c r="C469" i="44"/>
  <c r="B469" i="44"/>
  <c r="A469" i="44"/>
  <c r="D468" i="44"/>
  <c r="C468" i="44"/>
  <c r="B468" i="44"/>
  <c r="A468" i="44"/>
  <c r="D467" i="44"/>
  <c r="C467" i="44"/>
  <c r="B467" i="44"/>
  <c r="A467" i="44"/>
  <c r="D466" i="44"/>
  <c r="C466" i="44"/>
  <c r="B466" i="44"/>
  <c r="A466" i="44"/>
  <c r="D465" i="44"/>
  <c r="C465" i="44"/>
  <c r="B465" i="44"/>
  <c r="A465" i="44"/>
  <c r="D464" i="44"/>
  <c r="C464" i="44"/>
  <c r="B464" i="44"/>
  <c r="A464" i="44"/>
  <c r="D463" i="44"/>
  <c r="C463" i="44"/>
  <c r="B463" i="44"/>
  <c r="A463" i="44"/>
  <c r="D462" i="44"/>
  <c r="C462" i="44"/>
  <c r="B462" i="44"/>
  <c r="A462" i="44"/>
  <c r="D461" i="44"/>
  <c r="C461" i="44"/>
  <c r="B461" i="44"/>
  <c r="A461" i="44"/>
  <c r="D457" i="44"/>
  <c r="D456" i="44"/>
  <c r="D455" i="44"/>
  <c r="D454" i="44"/>
  <c r="D453" i="44"/>
  <c r="D452" i="44"/>
  <c r="D451" i="44"/>
  <c r="D450" i="44"/>
  <c r="D449" i="44"/>
  <c r="D448" i="44"/>
  <c r="D447" i="44"/>
  <c r="D446" i="44"/>
  <c r="D445" i="44"/>
  <c r="D444" i="44"/>
  <c r="D443" i="44"/>
  <c r="D442" i="44"/>
  <c r="D441" i="44"/>
  <c r="D440" i="44"/>
  <c r="D439" i="44"/>
  <c r="D438" i="44"/>
  <c r="D437" i="44"/>
  <c r="D436" i="44"/>
  <c r="D435" i="44"/>
  <c r="D434" i="44"/>
  <c r="D433" i="44"/>
  <c r="D432" i="44"/>
  <c r="D431" i="44"/>
  <c r="D430" i="44"/>
  <c r="D429" i="44"/>
  <c r="D428" i="44"/>
  <c r="C457" i="44"/>
  <c r="C456" i="44"/>
  <c r="C455" i="44"/>
  <c r="C454" i="44"/>
  <c r="C453" i="44"/>
  <c r="C452" i="44"/>
  <c r="C451" i="44"/>
  <c r="C450" i="44"/>
  <c r="C449" i="44"/>
  <c r="C448" i="44"/>
  <c r="C447" i="44"/>
  <c r="C446" i="44"/>
  <c r="C445" i="44"/>
  <c r="C444" i="44"/>
  <c r="C443" i="44"/>
  <c r="C442" i="44"/>
  <c r="C441" i="44"/>
  <c r="C440" i="44"/>
  <c r="C439" i="44"/>
  <c r="C438" i="44"/>
  <c r="C437" i="44"/>
  <c r="C436" i="44"/>
  <c r="C435" i="44"/>
  <c r="C434" i="44"/>
  <c r="C433" i="44"/>
  <c r="C432" i="44"/>
  <c r="C431" i="44"/>
  <c r="C430" i="44"/>
  <c r="C429" i="44"/>
  <c r="C428" i="44"/>
  <c r="A457" i="44"/>
  <c r="A456" i="44"/>
  <c r="A455" i="44"/>
  <c r="A454" i="44"/>
  <c r="A453" i="44"/>
  <c r="A452" i="44"/>
  <c r="A451" i="44"/>
  <c r="A450" i="44"/>
  <c r="A449" i="44"/>
  <c r="A448" i="44"/>
  <c r="A447" i="44"/>
  <c r="A446" i="44"/>
  <c r="A445" i="44"/>
  <c r="A444" i="44"/>
  <c r="A443" i="44"/>
  <c r="A442" i="44"/>
  <c r="A441" i="44"/>
  <c r="A440" i="44"/>
  <c r="A439" i="44"/>
  <c r="A438" i="44"/>
  <c r="A437" i="44"/>
  <c r="A436" i="44"/>
  <c r="A435" i="44"/>
  <c r="A434" i="44"/>
  <c r="A433" i="44"/>
  <c r="A432" i="44"/>
  <c r="A431" i="44"/>
  <c r="A430" i="44"/>
  <c r="A429" i="44"/>
  <c r="A428" i="44"/>
  <c r="B457" i="44"/>
  <c r="B456" i="44"/>
  <c r="B455" i="44"/>
  <c r="B454" i="44"/>
  <c r="B453" i="44"/>
  <c r="B452" i="44"/>
  <c r="B451" i="44"/>
  <c r="B450" i="44"/>
  <c r="B449" i="44"/>
  <c r="B448" i="44"/>
  <c r="B447" i="44"/>
  <c r="B446" i="44"/>
  <c r="B445" i="44"/>
  <c r="B444" i="44"/>
  <c r="B443" i="44"/>
  <c r="B442" i="44"/>
  <c r="B441" i="44"/>
  <c r="B440" i="44"/>
  <c r="B439" i="44"/>
  <c r="B438" i="44"/>
  <c r="B437" i="44"/>
  <c r="B436" i="44"/>
  <c r="B435" i="44"/>
  <c r="B434" i="44"/>
  <c r="B433" i="44"/>
  <c r="B432" i="44"/>
  <c r="B431" i="44"/>
  <c r="B430" i="44"/>
  <c r="B429" i="44"/>
  <c r="B428" i="44"/>
  <c r="D427" i="44"/>
  <c r="D426" i="44"/>
  <c r="D425" i="44"/>
  <c r="D424" i="44"/>
  <c r="D423" i="44"/>
  <c r="D422" i="44"/>
  <c r="D421" i="44"/>
  <c r="D420" i="44"/>
  <c r="D419" i="44"/>
  <c r="D418" i="44"/>
  <c r="D417" i="44"/>
  <c r="D416" i="44"/>
  <c r="D415" i="44"/>
  <c r="D414" i="44"/>
  <c r="D413" i="44"/>
  <c r="C427" i="44"/>
  <c r="C426" i="44"/>
  <c r="C425" i="44"/>
  <c r="C424" i="44"/>
  <c r="C423" i="44"/>
  <c r="C422" i="44"/>
  <c r="C421" i="44"/>
  <c r="C420" i="44"/>
  <c r="C419" i="44"/>
  <c r="C418" i="44"/>
  <c r="C417" i="44"/>
  <c r="C416" i="44"/>
  <c r="C415" i="44"/>
  <c r="C414" i="44"/>
  <c r="C413" i="44"/>
  <c r="A427" i="44"/>
  <c r="A426" i="44"/>
  <c r="A425" i="44"/>
  <c r="A424" i="44"/>
  <c r="A423" i="44"/>
  <c r="A422" i="44"/>
  <c r="A421" i="44"/>
  <c r="A420" i="44"/>
  <c r="A419" i="44"/>
  <c r="A418" i="44"/>
  <c r="A417" i="44"/>
  <c r="A416" i="44"/>
  <c r="A415" i="44"/>
  <c r="A414" i="44"/>
  <c r="A413" i="44"/>
  <c r="B417" i="44"/>
  <c r="B416" i="44"/>
  <c r="B415" i="44"/>
  <c r="B414" i="44"/>
  <c r="B413" i="44"/>
  <c r="B427" i="44"/>
  <c r="B426" i="44"/>
  <c r="B425" i="44"/>
  <c r="B424" i="44"/>
  <c r="B423" i="44"/>
  <c r="B422" i="44"/>
  <c r="B421" i="44"/>
  <c r="B420" i="44"/>
  <c r="B419" i="44"/>
  <c r="B418" i="44"/>
  <c r="B412" i="44"/>
  <c r="B411" i="44"/>
  <c r="B410" i="44"/>
  <c r="B409" i="44"/>
  <c r="B408" i="44"/>
  <c r="B407" i="44"/>
  <c r="B406" i="44"/>
  <c r="B405" i="44"/>
  <c r="B404" i="44"/>
  <c r="B403" i="44"/>
  <c r="B402" i="44"/>
  <c r="B401" i="44"/>
  <c r="B400" i="44"/>
  <c r="B399" i="44"/>
  <c r="B398" i="44"/>
  <c r="D412" i="44"/>
  <c r="C412" i="44"/>
  <c r="A412" i="44"/>
  <c r="D411" i="44"/>
  <c r="C411" i="44"/>
  <c r="A411" i="44"/>
  <c r="D410" i="44"/>
  <c r="C410" i="44"/>
  <c r="A410" i="44"/>
  <c r="D409" i="44"/>
  <c r="C409" i="44"/>
  <c r="A409" i="44"/>
  <c r="D408" i="44"/>
  <c r="C408" i="44"/>
  <c r="A408" i="44"/>
  <c r="D407" i="44"/>
  <c r="C407" i="44"/>
  <c r="A407" i="44"/>
  <c r="D406" i="44"/>
  <c r="C406" i="44"/>
  <c r="A406" i="44"/>
  <c r="D405" i="44"/>
  <c r="C405" i="44"/>
  <c r="A405" i="44"/>
  <c r="D404" i="44"/>
  <c r="C404" i="44"/>
  <c r="A404" i="44"/>
  <c r="D403" i="44"/>
  <c r="C403" i="44"/>
  <c r="A403" i="44"/>
  <c r="D402" i="44"/>
  <c r="C402" i="44"/>
  <c r="A402" i="44"/>
  <c r="D401" i="44"/>
  <c r="C401" i="44"/>
  <c r="A401" i="44"/>
  <c r="D400" i="44"/>
  <c r="C400" i="44"/>
  <c r="A400" i="44"/>
  <c r="D399" i="44"/>
  <c r="C399" i="44"/>
  <c r="A399" i="44"/>
  <c r="D398" i="44"/>
  <c r="C398" i="44"/>
  <c r="A398" i="44"/>
  <c r="D394" i="44"/>
  <c r="C394" i="44"/>
  <c r="A394" i="44"/>
  <c r="D393" i="44"/>
  <c r="C393" i="44"/>
  <c r="A393" i="44"/>
  <c r="D392" i="44"/>
  <c r="C392" i="44"/>
  <c r="A392" i="44"/>
  <c r="D391" i="44"/>
  <c r="C391" i="44"/>
  <c r="A391" i="44"/>
  <c r="D390" i="44"/>
  <c r="C390" i="44"/>
  <c r="A390" i="44"/>
  <c r="D389" i="44"/>
  <c r="C389" i="44"/>
  <c r="A389" i="44"/>
  <c r="D388" i="44"/>
  <c r="C388" i="44"/>
  <c r="A388" i="44"/>
  <c r="D387" i="44"/>
  <c r="C387" i="44"/>
  <c r="A387" i="44"/>
  <c r="D386" i="44"/>
  <c r="C386" i="44"/>
  <c r="A386" i="44"/>
  <c r="D385" i="44"/>
  <c r="C385" i="44"/>
  <c r="A385" i="44"/>
  <c r="D384" i="44"/>
  <c r="C384" i="44"/>
  <c r="A384" i="44"/>
  <c r="D383" i="44"/>
  <c r="C383" i="44"/>
  <c r="A383" i="44"/>
  <c r="D382" i="44"/>
  <c r="C382" i="44"/>
  <c r="A382" i="44"/>
  <c r="D381" i="44"/>
  <c r="C381" i="44"/>
  <c r="A381" i="44"/>
  <c r="D380" i="44"/>
  <c r="C380" i="44"/>
  <c r="A380" i="44"/>
  <c r="D379" i="44"/>
  <c r="C379" i="44"/>
  <c r="A379" i="44"/>
  <c r="D378" i="44"/>
  <c r="C378" i="44"/>
  <c r="A378" i="44"/>
  <c r="D377" i="44"/>
  <c r="C377" i="44"/>
  <c r="A377" i="44"/>
  <c r="D376" i="44"/>
  <c r="C376" i="44"/>
  <c r="A376" i="44"/>
  <c r="D375" i="44"/>
  <c r="C375" i="44"/>
  <c r="A375" i="44"/>
  <c r="D374" i="44"/>
  <c r="C374" i="44"/>
  <c r="A374" i="44"/>
  <c r="D373" i="44"/>
  <c r="C373" i="44"/>
  <c r="A373" i="44"/>
  <c r="D372" i="44"/>
  <c r="C372" i="44"/>
  <c r="A372" i="44"/>
  <c r="D371" i="44"/>
  <c r="C371" i="44"/>
  <c r="A371" i="44"/>
  <c r="D370" i="44"/>
  <c r="C370" i="44"/>
  <c r="A370" i="44"/>
  <c r="D369" i="44"/>
  <c r="C369" i="44"/>
  <c r="A369" i="44"/>
  <c r="D368" i="44"/>
  <c r="C368" i="44"/>
  <c r="A368" i="44"/>
  <c r="D367" i="44"/>
  <c r="C367" i="44"/>
  <c r="A367" i="44"/>
  <c r="D366" i="44"/>
  <c r="C366" i="44"/>
  <c r="A366" i="44"/>
  <c r="D365" i="44"/>
  <c r="C365" i="44"/>
  <c r="A365" i="44"/>
  <c r="C361" i="44"/>
  <c r="C360" i="44"/>
  <c r="C359" i="44"/>
  <c r="C358" i="44"/>
  <c r="C357" i="44"/>
  <c r="C356" i="44"/>
  <c r="C355" i="44"/>
  <c r="C354" i="44"/>
  <c r="C353" i="44"/>
  <c r="C352" i="44"/>
  <c r="C351" i="44"/>
  <c r="C350" i="44"/>
  <c r="C349" i="44"/>
  <c r="C348" i="44"/>
  <c r="C347" i="44"/>
  <c r="C346" i="44"/>
  <c r="C345" i="44"/>
  <c r="C344" i="44"/>
  <c r="C343" i="44"/>
  <c r="C342" i="44"/>
  <c r="C341" i="44"/>
  <c r="C340" i="44"/>
  <c r="C339" i="44"/>
  <c r="C338" i="44"/>
  <c r="C337" i="44"/>
  <c r="C336" i="44"/>
  <c r="C335" i="44"/>
  <c r="C334" i="44"/>
  <c r="C333" i="44"/>
  <c r="C332" i="44"/>
  <c r="B361" i="44"/>
  <c r="B360" i="44"/>
  <c r="B359" i="44"/>
  <c r="B358" i="44"/>
  <c r="B357" i="44"/>
  <c r="B356" i="44"/>
  <c r="B355" i="44"/>
  <c r="B354" i="44"/>
  <c r="B353" i="44"/>
  <c r="B352" i="44"/>
  <c r="B351" i="44"/>
  <c r="B350" i="44"/>
  <c r="B349" i="44"/>
  <c r="B348" i="44"/>
  <c r="B347" i="44"/>
  <c r="B346" i="44"/>
  <c r="B345" i="44"/>
  <c r="B344" i="44"/>
  <c r="B343" i="44"/>
  <c r="B342" i="44"/>
  <c r="B341" i="44"/>
  <c r="B340" i="44"/>
  <c r="B339" i="44"/>
  <c r="B338" i="44"/>
  <c r="B337" i="44"/>
  <c r="B336" i="44"/>
  <c r="B335" i="44"/>
  <c r="B334" i="44"/>
  <c r="B333" i="44"/>
  <c r="B332" i="44"/>
  <c r="D229" i="44"/>
  <c r="C229" i="44"/>
  <c r="D228" i="44"/>
  <c r="C228" i="44"/>
  <c r="D227" i="44"/>
  <c r="C227" i="44"/>
  <c r="D226" i="44"/>
  <c r="C226" i="44"/>
  <c r="D225" i="44"/>
  <c r="C225" i="44"/>
  <c r="D224" i="44"/>
  <c r="C224" i="44"/>
  <c r="D223" i="44"/>
  <c r="C223" i="44"/>
  <c r="D222" i="44"/>
  <c r="C222" i="44"/>
  <c r="D221" i="44"/>
  <c r="C221" i="44"/>
  <c r="D220" i="44"/>
  <c r="C220" i="44"/>
  <c r="D219" i="44"/>
  <c r="C219" i="44"/>
  <c r="D218" i="44"/>
  <c r="C218" i="44"/>
  <c r="D217" i="44"/>
  <c r="C217" i="44"/>
  <c r="D216" i="44"/>
  <c r="C216" i="44"/>
  <c r="D215" i="44"/>
  <c r="C215" i="44"/>
  <c r="D214" i="44"/>
  <c r="C214" i="44"/>
  <c r="D213" i="44"/>
  <c r="C213" i="44"/>
  <c r="D212" i="44"/>
  <c r="C212" i="44"/>
  <c r="D211" i="44"/>
  <c r="C211" i="44"/>
  <c r="D210" i="44"/>
  <c r="C210" i="44"/>
  <c r="D209" i="44"/>
  <c r="C209" i="44"/>
  <c r="D208" i="44"/>
  <c r="C208" i="44"/>
  <c r="D207" i="44"/>
  <c r="C207" i="44"/>
  <c r="D206" i="44"/>
  <c r="C206" i="44"/>
  <c r="D205" i="44"/>
  <c r="C205" i="44"/>
  <c r="D204" i="44"/>
  <c r="C204" i="44"/>
  <c r="D203" i="44"/>
  <c r="C203" i="44"/>
  <c r="D202" i="44"/>
  <c r="C202" i="44"/>
  <c r="D201" i="44"/>
  <c r="C201" i="44"/>
  <c r="D200" i="44"/>
  <c r="C200" i="44"/>
  <c r="D191" i="44"/>
  <c r="D190" i="44"/>
  <c r="D189" i="44"/>
  <c r="D188" i="44"/>
  <c r="D187" i="44"/>
  <c r="D186" i="44"/>
  <c r="D185" i="44"/>
  <c r="D184" i="44"/>
  <c r="D183" i="44"/>
  <c r="D182" i="44"/>
  <c r="D181" i="44"/>
  <c r="D180" i="44"/>
  <c r="D179" i="44"/>
  <c r="D178" i="44"/>
  <c r="D177" i="44"/>
  <c r="C191" i="44"/>
  <c r="C190" i="44"/>
  <c r="C189" i="44"/>
  <c r="C188" i="44"/>
  <c r="C187" i="44"/>
  <c r="C186" i="44"/>
  <c r="C185" i="44"/>
  <c r="C184" i="44"/>
  <c r="C183" i="44"/>
  <c r="C182" i="44"/>
  <c r="C181" i="44"/>
  <c r="C180" i="44"/>
  <c r="C179" i="44"/>
  <c r="C178" i="44"/>
  <c r="C177" i="44"/>
  <c r="D176" i="44"/>
  <c r="C176" i="44"/>
  <c r="D175" i="44"/>
  <c r="C175" i="44"/>
  <c r="D174" i="44"/>
  <c r="C174" i="44"/>
  <c r="D173" i="44"/>
  <c r="C173" i="44"/>
  <c r="D172" i="44"/>
  <c r="C172" i="44"/>
  <c r="D171" i="44"/>
  <c r="C171" i="44"/>
  <c r="D170" i="44"/>
  <c r="C170" i="44"/>
  <c r="D169" i="44"/>
  <c r="C169" i="44"/>
  <c r="D168" i="44"/>
  <c r="C168" i="44"/>
  <c r="D167" i="44"/>
  <c r="C167" i="44"/>
  <c r="D166" i="44"/>
  <c r="C166" i="44"/>
  <c r="D165" i="44"/>
  <c r="C165" i="44"/>
  <c r="D164" i="44"/>
  <c r="D163" i="44"/>
  <c r="C164" i="44"/>
  <c r="C163" i="44"/>
  <c r="C162" i="44"/>
  <c r="D162" i="44"/>
  <c r="D361" i="44"/>
  <c r="D360" i="44"/>
  <c r="D359" i="44"/>
  <c r="D358" i="44"/>
  <c r="D357" i="44"/>
  <c r="D356" i="44"/>
  <c r="D355" i="44"/>
  <c r="D354" i="44"/>
  <c r="D353" i="44"/>
  <c r="D352" i="44"/>
  <c r="D351" i="44"/>
  <c r="D350" i="44"/>
  <c r="D349" i="44"/>
  <c r="D348" i="44"/>
  <c r="D347" i="44"/>
  <c r="D346" i="44"/>
  <c r="D345" i="44"/>
  <c r="D344" i="44"/>
  <c r="D343" i="44"/>
  <c r="D342" i="44"/>
  <c r="D341" i="44"/>
  <c r="D340" i="44"/>
  <c r="D339" i="44"/>
  <c r="D338" i="44"/>
  <c r="D337" i="44"/>
  <c r="D336" i="44"/>
  <c r="D335" i="44"/>
  <c r="D334" i="44"/>
  <c r="D333" i="44"/>
  <c r="D332" i="44"/>
  <c r="F328" i="44"/>
  <c r="E328" i="44"/>
  <c r="D328" i="44"/>
  <c r="C328" i="44"/>
  <c r="A328" i="44"/>
  <c r="F327" i="44"/>
  <c r="E327" i="44"/>
  <c r="D327" i="44"/>
  <c r="C327" i="44"/>
  <c r="A327" i="44"/>
  <c r="F326" i="44"/>
  <c r="E326" i="44"/>
  <c r="D326" i="44"/>
  <c r="C326" i="44"/>
  <c r="A326" i="44"/>
  <c r="F325" i="44"/>
  <c r="E325" i="44"/>
  <c r="D325" i="44"/>
  <c r="C325" i="44"/>
  <c r="A325" i="44"/>
  <c r="F324" i="44"/>
  <c r="E324" i="44"/>
  <c r="D324" i="44"/>
  <c r="C324" i="44"/>
  <c r="A324" i="44"/>
  <c r="F323" i="44"/>
  <c r="E323" i="44"/>
  <c r="D323" i="44"/>
  <c r="C323" i="44"/>
  <c r="A323" i="44"/>
  <c r="F322" i="44"/>
  <c r="E322" i="44"/>
  <c r="D322" i="44"/>
  <c r="C322" i="44"/>
  <c r="A322" i="44"/>
  <c r="F321" i="44"/>
  <c r="E321" i="44"/>
  <c r="D321" i="44"/>
  <c r="C321" i="44"/>
  <c r="A321" i="44"/>
  <c r="F320" i="44"/>
  <c r="E320" i="44"/>
  <c r="D320" i="44"/>
  <c r="C320" i="44"/>
  <c r="A320" i="44"/>
  <c r="F319" i="44"/>
  <c r="E319" i="44"/>
  <c r="D319" i="44"/>
  <c r="C319" i="44"/>
  <c r="A319" i="44"/>
  <c r="F318" i="44"/>
  <c r="E318" i="44"/>
  <c r="D318" i="44"/>
  <c r="C318" i="44"/>
  <c r="A318" i="44"/>
  <c r="F317" i="44"/>
  <c r="E317" i="44"/>
  <c r="D317" i="44"/>
  <c r="C317" i="44"/>
  <c r="A317" i="44"/>
  <c r="F316" i="44"/>
  <c r="E316" i="44"/>
  <c r="D316" i="44"/>
  <c r="C316" i="44"/>
  <c r="A316" i="44"/>
  <c r="F315" i="44"/>
  <c r="E315" i="44"/>
  <c r="D315" i="44"/>
  <c r="C315" i="44"/>
  <c r="A315" i="44"/>
  <c r="F314" i="44"/>
  <c r="E314" i="44"/>
  <c r="D314" i="44"/>
  <c r="C314" i="44"/>
  <c r="A314" i="44"/>
  <c r="F313" i="44"/>
  <c r="E313" i="44"/>
  <c r="D313" i="44"/>
  <c r="C313" i="44"/>
  <c r="A313" i="44"/>
  <c r="F312" i="44"/>
  <c r="E312" i="44"/>
  <c r="D312" i="44"/>
  <c r="C312" i="44"/>
  <c r="A312" i="44"/>
  <c r="F311" i="44"/>
  <c r="E311" i="44"/>
  <c r="D311" i="44"/>
  <c r="C311" i="44"/>
  <c r="A311" i="44"/>
  <c r="F310" i="44"/>
  <c r="E310" i="44"/>
  <c r="D310" i="44"/>
  <c r="C310" i="44"/>
  <c r="A310" i="44"/>
  <c r="F309" i="44"/>
  <c r="E309" i="44"/>
  <c r="D309" i="44"/>
  <c r="C309" i="44"/>
  <c r="A309" i="44"/>
  <c r="F308" i="44"/>
  <c r="E308" i="44"/>
  <c r="D308" i="44"/>
  <c r="C308" i="44"/>
  <c r="A308" i="44"/>
  <c r="F307" i="44"/>
  <c r="E307" i="44"/>
  <c r="D307" i="44"/>
  <c r="C307" i="44"/>
  <c r="A307" i="44"/>
  <c r="F306" i="44"/>
  <c r="E306" i="44"/>
  <c r="D306" i="44"/>
  <c r="C306" i="44"/>
  <c r="A306" i="44"/>
  <c r="F305" i="44"/>
  <c r="E305" i="44"/>
  <c r="D305" i="44"/>
  <c r="C305" i="44"/>
  <c r="A305" i="44"/>
  <c r="F304" i="44"/>
  <c r="E304" i="44"/>
  <c r="D304" i="44"/>
  <c r="C304" i="44"/>
  <c r="A304" i="44"/>
  <c r="F303" i="44"/>
  <c r="E303" i="44"/>
  <c r="D303" i="44"/>
  <c r="C303" i="44"/>
  <c r="A303" i="44"/>
  <c r="F302" i="44"/>
  <c r="E302" i="44"/>
  <c r="D302" i="44"/>
  <c r="C302" i="44"/>
  <c r="A302" i="44"/>
  <c r="F301" i="44"/>
  <c r="E301" i="44"/>
  <c r="D301" i="44"/>
  <c r="C301" i="44"/>
  <c r="A301" i="44"/>
  <c r="F300" i="44"/>
  <c r="E300" i="44"/>
  <c r="D300" i="44"/>
  <c r="C300" i="44"/>
  <c r="A300" i="44"/>
  <c r="F299" i="44"/>
  <c r="E299" i="44"/>
  <c r="D299" i="44"/>
  <c r="C299" i="44"/>
  <c r="A299" i="44"/>
  <c r="F295" i="44"/>
  <c r="E295" i="44"/>
  <c r="D295" i="44"/>
  <c r="C295" i="44"/>
  <c r="B295" i="44"/>
  <c r="F294" i="44"/>
  <c r="E294" i="44"/>
  <c r="D294" i="44"/>
  <c r="C294" i="44"/>
  <c r="B294" i="44"/>
  <c r="F293" i="44"/>
  <c r="E293" i="44"/>
  <c r="D293" i="44"/>
  <c r="C293" i="44"/>
  <c r="B293" i="44"/>
  <c r="F292" i="44"/>
  <c r="E292" i="44"/>
  <c r="D292" i="44"/>
  <c r="C292" i="44"/>
  <c r="B292" i="44"/>
  <c r="F291" i="44"/>
  <c r="E291" i="44"/>
  <c r="D291" i="44"/>
  <c r="C291" i="44"/>
  <c r="B291" i="44"/>
  <c r="F290" i="44"/>
  <c r="E290" i="44"/>
  <c r="D290" i="44"/>
  <c r="C290" i="44"/>
  <c r="B290" i="44"/>
  <c r="F289" i="44"/>
  <c r="E289" i="44"/>
  <c r="D289" i="44"/>
  <c r="C289" i="44"/>
  <c r="B289" i="44"/>
  <c r="F288" i="44"/>
  <c r="E288" i="44"/>
  <c r="D288" i="44"/>
  <c r="C288" i="44"/>
  <c r="B288" i="44"/>
  <c r="F287" i="44"/>
  <c r="E287" i="44"/>
  <c r="D287" i="44"/>
  <c r="C287" i="44"/>
  <c r="B287" i="44"/>
  <c r="F286" i="44"/>
  <c r="E286" i="44"/>
  <c r="D286" i="44"/>
  <c r="C286" i="44"/>
  <c r="B286" i="44"/>
  <c r="F285" i="44"/>
  <c r="E285" i="44"/>
  <c r="D285" i="44"/>
  <c r="C285" i="44"/>
  <c r="B285" i="44"/>
  <c r="F284" i="44"/>
  <c r="E284" i="44"/>
  <c r="D284" i="44"/>
  <c r="C284" i="44"/>
  <c r="B284" i="44"/>
  <c r="F283" i="44"/>
  <c r="E283" i="44"/>
  <c r="D283" i="44"/>
  <c r="C283" i="44"/>
  <c r="B283" i="44"/>
  <c r="F282" i="44"/>
  <c r="E282" i="44"/>
  <c r="D282" i="44"/>
  <c r="C282" i="44"/>
  <c r="B282" i="44"/>
  <c r="F281" i="44"/>
  <c r="E281" i="44"/>
  <c r="D281" i="44"/>
  <c r="C281" i="44"/>
  <c r="B281" i="44"/>
  <c r="F280" i="44"/>
  <c r="E280" i="44"/>
  <c r="D280" i="44"/>
  <c r="C280" i="44"/>
  <c r="B280" i="44"/>
  <c r="F279" i="44"/>
  <c r="E279" i="44"/>
  <c r="D279" i="44"/>
  <c r="C279" i="44"/>
  <c r="B279" i="44"/>
  <c r="F278" i="44"/>
  <c r="E278" i="44"/>
  <c r="D278" i="44"/>
  <c r="C278" i="44"/>
  <c r="B278" i="44"/>
  <c r="F277" i="44"/>
  <c r="E277" i="44"/>
  <c r="D277" i="44"/>
  <c r="C277" i="44"/>
  <c r="B277" i="44"/>
  <c r="F276" i="44"/>
  <c r="E276" i="44"/>
  <c r="D276" i="44"/>
  <c r="C276" i="44"/>
  <c r="B276" i="44"/>
  <c r="F275" i="44"/>
  <c r="E275" i="44"/>
  <c r="D275" i="44"/>
  <c r="C275" i="44"/>
  <c r="B275" i="44"/>
  <c r="F274" i="44"/>
  <c r="E274" i="44"/>
  <c r="D274" i="44"/>
  <c r="C274" i="44"/>
  <c r="B274" i="44"/>
  <c r="F273" i="44"/>
  <c r="E273" i="44"/>
  <c r="D273" i="44"/>
  <c r="C273" i="44"/>
  <c r="B273" i="44"/>
  <c r="F272" i="44"/>
  <c r="E272" i="44"/>
  <c r="D272" i="44"/>
  <c r="C272" i="44"/>
  <c r="B272" i="44"/>
  <c r="F271" i="44"/>
  <c r="E271" i="44"/>
  <c r="D271" i="44"/>
  <c r="C271" i="44"/>
  <c r="B271" i="44"/>
  <c r="F270" i="44"/>
  <c r="E270" i="44"/>
  <c r="D270" i="44"/>
  <c r="C270" i="44"/>
  <c r="B270" i="44"/>
  <c r="F269" i="44"/>
  <c r="E269" i="44"/>
  <c r="D269" i="44"/>
  <c r="C269" i="44"/>
  <c r="B269" i="44"/>
  <c r="F268" i="44"/>
  <c r="E268" i="44"/>
  <c r="D268" i="44"/>
  <c r="C268" i="44"/>
  <c r="B268" i="44"/>
  <c r="F267" i="44"/>
  <c r="E267" i="44"/>
  <c r="D267" i="44"/>
  <c r="C267" i="44"/>
  <c r="B267" i="44"/>
  <c r="F266" i="44"/>
  <c r="E266" i="44"/>
  <c r="D266" i="44"/>
  <c r="C266" i="44"/>
  <c r="B266" i="44"/>
  <c r="F262" i="44"/>
  <c r="F261" i="44"/>
  <c r="F260" i="44"/>
  <c r="F259" i="44"/>
  <c r="F258" i="44"/>
  <c r="F257" i="44"/>
  <c r="F256" i="44"/>
  <c r="F255" i="44"/>
  <c r="F254" i="44"/>
  <c r="F253" i="44"/>
  <c r="F252" i="44"/>
  <c r="F251" i="44"/>
  <c r="F250" i="44"/>
  <c r="F249" i="44"/>
  <c r="F248" i="44"/>
  <c r="F247" i="44"/>
  <c r="F246" i="44"/>
  <c r="F245" i="44"/>
  <c r="F244" i="44"/>
  <c r="F243" i="44"/>
  <c r="F242" i="44"/>
  <c r="F241" i="44"/>
  <c r="F240" i="44"/>
  <c r="F239" i="44"/>
  <c r="F238" i="44"/>
  <c r="F237" i="44"/>
  <c r="F236" i="44"/>
  <c r="F235" i="44"/>
  <c r="F234" i="44"/>
  <c r="F233" i="44"/>
  <c r="D262" i="44"/>
  <c r="D261" i="44"/>
  <c r="D260" i="44"/>
  <c r="D259" i="44"/>
  <c r="D258" i="44"/>
  <c r="D257" i="44"/>
  <c r="D256" i="44"/>
  <c r="D255" i="44"/>
  <c r="D254" i="44"/>
  <c r="D253" i="44"/>
  <c r="D252" i="44"/>
  <c r="D251" i="44"/>
  <c r="D250" i="44"/>
  <c r="D249" i="44"/>
  <c r="D248" i="44"/>
  <c r="D247" i="44"/>
  <c r="D246" i="44"/>
  <c r="D245" i="44"/>
  <c r="D244" i="44"/>
  <c r="D243" i="44"/>
  <c r="D242" i="44"/>
  <c r="D241" i="44"/>
  <c r="D240" i="44"/>
  <c r="D239" i="44"/>
  <c r="D238" i="44"/>
  <c r="D237" i="44"/>
  <c r="D236" i="44"/>
  <c r="D235" i="44"/>
  <c r="D234" i="44"/>
  <c r="D233" i="44"/>
  <c r="E262" i="44"/>
  <c r="E261" i="44"/>
  <c r="E260" i="44"/>
  <c r="E259" i="44"/>
  <c r="E258" i="44"/>
  <c r="E257" i="44"/>
  <c r="E256" i="44"/>
  <c r="E255" i="44"/>
  <c r="E254" i="44"/>
  <c r="E253" i="44"/>
  <c r="E252" i="44"/>
  <c r="E251" i="44"/>
  <c r="E250" i="44"/>
  <c r="E249" i="44"/>
  <c r="E248" i="44"/>
  <c r="C262" i="44"/>
  <c r="C261" i="44"/>
  <c r="C260" i="44"/>
  <c r="C259" i="44"/>
  <c r="C258" i="44"/>
  <c r="C257" i="44"/>
  <c r="C256" i="44"/>
  <c r="C255" i="44"/>
  <c r="C254" i="44"/>
  <c r="C253" i="44"/>
  <c r="C252" i="44"/>
  <c r="C251" i="44"/>
  <c r="C250" i="44"/>
  <c r="C249" i="44"/>
  <c r="C248" i="44"/>
  <c r="E247" i="44"/>
  <c r="E246" i="44"/>
  <c r="E245" i="44"/>
  <c r="E244" i="44"/>
  <c r="E243" i="44"/>
  <c r="E242" i="44"/>
  <c r="E241" i="44"/>
  <c r="E240" i="44"/>
  <c r="E239" i="44"/>
  <c r="E238" i="44"/>
  <c r="E237" i="44"/>
  <c r="E236" i="44"/>
  <c r="E235" i="44"/>
  <c r="E234" i="44"/>
  <c r="E233" i="44"/>
  <c r="C247" i="44"/>
  <c r="C246" i="44"/>
  <c r="C245" i="44"/>
  <c r="C244" i="44"/>
  <c r="C243" i="44"/>
  <c r="C242" i="44"/>
  <c r="C241" i="44"/>
  <c r="C240" i="44"/>
  <c r="C239" i="44"/>
  <c r="C238" i="44"/>
  <c r="C237" i="44"/>
  <c r="C236" i="44"/>
  <c r="C235" i="44"/>
  <c r="C234" i="44"/>
  <c r="C233" i="44"/>
  <c r="B262" i="44"/>
  <c r="B261" i="44"/>
  <c r="B260" i="44"/>
  <c r="B259" i="44"/>
  <c r="B258" i="44"/>
  <c r="B257" i="44"/>
  <c r="B256" i="44"/>
  <c r="B255" i="44"/>
  <c r="B254" i="44"/>
  <c r="B253" i="44"/>
  <c r="B252" i="44"/>
  <c r="B251" i="44"/>
  <c r="B250" i="44"/>
  <c r="B249" i="44"/>
  <c r="B248" i="44"/>
  <c r="B247" i="44"/>
  <c r="B246" i="44"/>
  <c r="B245" i="44"/>
  <c r="B244" i="44"/>
  <c r="B243" i="44"/>
  <c r="B242" i="44"/>
  <c r="B241" i="44"/>
  <c r="B240" i="44"/>
  <c r="B239" i="44"/>
  <c r="B238" i="44"/>
  <c r="B237" i="44"/>
  <c r="B236" i="44"/>
  <c r="B235" i="44"/>
  <c r="B234" i="44"/>
  <c r="B233" i="44"/>
  <c r="B229" i="44"/>
  <c r="B228" i="44"/>
  <c r="B227" i="44"/>
  <c r="B226" i="44"/>
  <c r="B225" i="44"/>
  <c r="B224" i="44"/>
  <c r="B223" i="44"/>
  <c r="B222" i="44"/>
  <c r="B221" i="44"/>
  <c r="B220" i="44"/>
  <c r="B219" i="44"/>
  <c r="B218" i="44"/>
  <c r="B217" i="44"/>
  <c r="B216" i="44"/>
  <c r="B215" i="44"/>
  <c r="B214" i="44"/>
  <c r="B213" i="44"/>
  <c r="B212" i="44"/>
  <c r="B211" i="44"/>
  <c r="B210" i="44"/>
  <c r="B209" i="44"/>
  <c r="B208" i="44"/>
  <c r="B207" i="44"/>
  <c r="B206" i="44"/>
  <c r="B205" i="44"/>
  <c r="B204" i="44"/>
  <c r="B203" i="44"/>
  <c r="B202" i="44"/>
  <c r="B201" i="44"/>
  <c r="B200" i="44"/>
  <c r="A229" i="44"/>
  <c r="A228" i="44"/>
  <c r="A227" i="44"/>
  <c r="A226" i="44"/>
  <c r="A225" i="44"/>
  <c r="A224" i="44"/>
  <c r="A223" i="44"/>
  <c r="A222" i="44"/>
  <c r="A221" i="44"/>
  <c r="A220" i="44"/>
  <c r="A219" i="44"/>
  <c r="A218" i="44"/>
  <c r="A217" i="44"/>
  <c r="A216" i="44"/>
  <c r="A215" i="44"/>
  <c r="A214" i="44"/>
  <c r="A213" i="44"/>
  <c r="A212" i="44"/>
  <c r="A211" i="44"/>
  <c r="A210" i="44"/>
  <c r="A209" i="44"/>
  <c r="A208" i="44"/>
  <c r="A207" i="44"/>
  <c r="A206" i="44"/>
  <c r="A205" i="44"/>
  <c r="B191" i="44"/>
  <c r="B190" i="44"/>
  <c r="B189" i="44"/>
  <c r="B188" i="44"/>
  <c r="B187" i="44"/>
  <c r="B186" i="44"/>
  <c r="B185" i="44"/>
  <c r="B184" i="44"/>
  <c r="B183" i="44"/>
  <c r="B182" i="44"/>
  <c r="B181" i="44"/>
  <c r="B180" i="44"/>
  <c r="B179" i="44"/>
  <c r="B178" i="44"/>
  <c r="B177" i="44"/>
  <c r="A191" i="44"/>
  <c r="A190" i="44"/>
  <c r="A189" i="44"/>
  <c r="A188" i="44"/>
  <c r="A187" i="44"/>
  <c r="A186" i="44"/>
  <c r="A185" i="44"/>
  <c r="A184" i="44"/>
  <c r="A183" i="44"/>
  <c r="A182" i="44"/>
  <c r="A181" i="44"/>
  <c r="A180" i="44"/>
  <c r="A179" i="44"/>
  <c r="A178" i="44"/>
  <c r="A177" i="44"/>
  <c r="B176" i="44"/>
  <c r="B175" i="44"/>
  <c r="B174" i="44"/>
  <c r="B173" i="44"/>
  <c r="B172" i="44"/>
  <c r="B171" i="44"/>
  <c r="B170" i="44"/>
  <c r="B169" i="44"/>
  <c r="B168" i="44"/>
  <c r="B167" i="44"/>
  <c r="B166" i="44"/>
  <c r="B165" i="44"/>
  <c r="B164" i="44"/>
  <c r="B163" i="44"/>
  <c r="B162" i="44"/>
  <c r="A176" i="44"/>
  <c r="A175" i="44"/>
  <c r="A174" i="44"/>
  <c r="A173" i="44"/>
  <c r="A172" i="44"/>
  <c r="A171" i="44"/>
  <c r="A170" i="44"/>
  <c r="A169" i="44"/>
  <c r="A168" i="44"/>
  <c r="A167" i="44"/>
  <c r="J355" i="2" l="1"/>
  <c r="J7" i="43"/>
  <c r="C7" i="40"/>
  <c r="D8" i="43"/>
  <c r="D7" i="43"/>
  <c r="K5" i="43"/>
  <c r="H5" i="43"/>
  <c r="F5" i="43"/>
  <c r="D5" i="43"/>
  <c r="B5" i="43"/>
  <c r="K4" i="43"/>
  <c r="B4" i="43"/>
  <c r="G2" i="43"/>
  <c r="E2" i="43"/>
  <c r="A2" i="43"/>
  <c r="J158" i="2" l="1"/>
  <c r="C737" i="44" l="1"/>
  <c r="C736" i="44"/>
  <c r="C735" i="44"/>
  <c r="C734" i="44"/>
  <c r="C733" i="44"/>
  <c r="C732" i="44"/>
  <c r="C731" i="44"/>
  <c r="C730" i="44"/>
  <c r="C729" i="44"/>
  <c r="C728" i="44"/>
  <c r="C727" i="44"/>
  <c r="C726" i="44"/>
  <c r="C725" i="44"/>
  <c r="C724" i="44"/>
  <c r="C723" i="44"/>
  <c r="C722" i="44"/>
  <c r="C721" i="44"/>
  <c r="C720" i="44"/>
  <c r="C719" i="44"/>
  <c r="C718" i="44"/>
  <c r="C717" i="44"/>
  <c r="C716" i="44"/>
  <c r="C715" i="44"/>
  <c r="C714" i="44"/>
  <c r="C713" i="44"/>
  <c r="C712" i="44"/>
  <c r="C711" i="44"/>
  <c r="C710" i="44"/>
  <c r="C709" i="44"/>
  <c r="C708" i="44"/>
  <c r="B737" i="44"/>
  <c r="B736" i="44"/>
  <c r="B735" i="44"/>
  <c r="B734" i="44"/>
  <c r="B733" i="44"/>
  <c r="B732" i="44"/>
  <c r="B731" i="44"/>
  <c r="B730" i="44"/>
  <c r="B729" i="44"/>
  <c r="B728" i="44"/>
  <c r="B727" i="44"/>
  <c r="B726" i="44"/>
  <c r="B725" i="44"/>
  <c r="B724" i="44"/>
  <c r="B723" i="44"/>
  <c r="B722" i="44"/>
  <c r="B721" i="44"/>
  <c r="B720" i="44"/>
  <c r="B719" i="44"/>
  <c r="B718" i="44"/>
  <c r="B717" i="44"/>
  <c r="B716" i="44"/>
  <c r="B715" i="44"/>
  <c r="B714" i="44"/>
  <c r="B713" i="44"/>
  <c r="B712" i="44"/>
  <c r="B711" i="44"/>
  <c r="B710" i="44"/>
  <c r="B709" i="44"/>
  <c r="B708" i="44"/>
  <c r="K692" i="44" l="1"/>
  <c r="K691" i="44"/>
  <c r="K690" i="44"/>
  <c r="K689" i="44"/>
  <c r="K688" i="44"/>
  <c r="K687" i="44"/>
  <c r="K686" i="44"/>
  <c r="K685" i="44"/>
  <c r="K684" i="44"/>
  <c r="K683" i="44"/>
  <c r="K682" i="44"/>
  <c r="K681" i="44"/>
  <c r="K680" i="44"/>
  <c r="K679" i="44"/>
  <c r="K678" i="44"/>
  <c r="K677" i="44"/>
  <c r="K676" i="44"/>
  <c r="K675" i="44"/>
  <c r="K674" i="44"/>
  <c r="K673" i="44"/>
  <c r="K672" i="44"/>
  <c r="K671" i="44"/>
  <c r="K670" i="44"/>
  <c r="K669" i="44"/>
  <c r="K668" i="44"/>
  <c r="K667" i="44"/>
  <c r="K666" i="44"/>
  <c r="K665" i="44"/>
  <c r="K664" i="44"/>
  <c r="J692" i="44"/>
  <c r="J691" i="44"/>
  <c r="J690" i="44"/>
  <c r="J689" i="44"/>
  <c r="J688" i="44"/>
  <c r="J687" i="44"/>
  <c r="J686" i="44"/>
  <c r="J685" i="44"/>
  <c r="J684" i="44"/>
  <c r="J683" i="44"/>
  <c r="J682" i="44"/>
  <c r="J681" i="44"/>
  <c r="J680" i="44"/>
  <c r="J679" i="44"/>
  <c r="J678" i="44"/>
  <c r="J677" i="44"/>
  <c r="J676" i="44"/>
  <c r="J675" i="44"/>
  <c r="J674" i="44"/>
  <c r="J673" i="44"/>
  <c r="J672" i="44"/>
  <c r="J671" i="44"/>
  <c r="J670" i="44"/>
  <c r="J669" i="44"/>
  <c r="J668" i="44"/>
  <c r="J667" i="44"/>
  <c r="J666" i="44"/>
  <c r="J665" i="44"/>
  <c r="J664" i="44"/>
  <c r="I692" i="44"/>
  <c r="I691" i="44"/>
  <c r="I690" i="44"/>
  <c r="I689" i="44"/>
  <c r="I688" i="44"/>
  <c r="I687" i="44"/>
  <c r="I686" i="44"/>
  <c r="I685" i="44"/>
  <c r="I684" i="44"/>
  <c r="I683" i="44"/>
  <c r="I682" i="44"/>
  <c r="I681" i="44"/>
  <c r="I680" i="44"/>
  <c r="I679" i="44"/>
  <c r="I678" i="44"/>
  <c r="I677" i="44"/>
  <c r="I676" i="44"/>
  <c r="I675" i="44"/>
  <c r="I674" i="44"/>
  <c r="I673" i="44"/>
  <c r="I672" i="44"/>
  <c r="I671" i="44"/>
  <c r="I670" i="44"/>
  <c r="I669" i="44"/>
  <c r="I668" i="44"/>
  <c r="I667" i="44"/>
  <c r="I666" i="44"/>
  <c r="I665" i="44"/>
  <c r="I664" i="44"/>
  <c r="K663" i="44"/>
  <c r="J663" i="44"/>
  <c r="I663" i="44"/>
  <c r="H692" i="44"/>
  <c r="H691" i="44"/>
  <c r="H690" i="44"/>
  <c r="H689" i="44"/>
  <c r="H688" i="44"/>
  <c r="H687" i="44"/>
  <c r="H686" i="44"/>
  <c r="H685" i="44"/>
  <c r="H684" i="44"/>
  <c r="H683" i="44"/>
  <c r="H682" i="44"/>
  <c r="H681" i="44"/>
  <c r="H680" i="44"/>
  <c r="H679" i="44"/>
  <c r="H678" i="44"/>
  <c r="H677" i="44"/>
  <c r="H676" i="44"/>
  <c r="H675" i="44"/>
  <c r="H674" i="44"/>
  <c r="H673" i="44"/>
  <c r="H672" i="44"/>
  <c r="H671" i="44"/>
  <c r="H670" i="44"/>
  <c r="H669" i="44"/>
  <c r="H668" i="44"/>
  <c r="H667" i="44"/>
  <c r="H666" i="44"/>
  <c r="H665" i="44"/>
  <c r="H664" i="44"/>
  <c r="H663" i="44"/>
  <c r="B692" i="44"/>
  <c r="B691" i="44"/>
  <c r="B690" i="44"/>
  <c r="B689" i="44"/>
  <c r="B688" i="44"/>
  <c r="B687" i="44"/>
  <c r="B686" i="44"/>
  <c r="B685" i="44"/>
  <c r="B684" i="44"/>
  <c r="B683" i="44"/>
  <c r="B682" i="44"/>
  <c r="B681" i="44"/>
  <c r="B680" i="44"/>
  <c r="B679" i="44"/>
  <c r="B678" i="44"/>
  <c r="B677" i="44"/>
  <c r="B676" i="44"/>
  <c r="B675" i="44"/>
  <c r="B674" i="44"/>
  <c r="B673" i="44"/>
  <c r="B672" i="44"/>
  <c r="B671" i="44"/>
  <c r="B670" i="44"/>
  <c r="B669" i="44"/>
  <c r="B668" i="44"/>
  <c r="B667" i="44"/>
  <c r="B666" i="44"/>
  <c r="B665" i="44"/>
  <c r="B664" i="44"/>
  <c r="B663" i="44"/>
  <c r="A692" i="44"/>
  <c r="A691" i="44"/>
  <c r="A690" i="44"/>
  <c r="A689" i="44"/>
  <c r="A688" i="44"/>
  <c r="A687" i="44"/>
  <c r="A686" i="44"/>
  <c r="A685" i="44"/>
  <c r="A684" i="44"/>
  <c r="A683" i="44"/>
  <c r="A682" i="44"/>
  <c r="A681" i="44"/>
  <c r="A680" i="44"/>
  <c r="A679" i="44"/>
  <c r="A678" i="44"/>
  <c r="A677" i="44"/>
  <c r="A676" i="44"/>
  <c r="A675" i="44"/>
  <c r="A674" i="44"/>
  <c r="A673" i="44"/>
  <c r="A672" i="44"/>
  <c r="A671" i="44"/>
  <c r="A670" i="44"/>
  <c r="A669" i="44"/>
  <c r="A668" i="44"/>
  <c r="A667" i="44"/>
  <c r="A666" i="44"/>
  <c r="A665" i="44"/>
  <c r="A664" i="44"/>
  <c r="A663" i="44"/>
  <c r="FU13" i="44"/>
  <c r="FH708" i="44"/>
  <c r="J5" i="40"/>
  <c r="J4" i="40"/>
  <c r="G5" i="40"/>
  <c r="E5" i="40"/>
  <c r="C5" i="40"/>
  <c r="B5" i="40"/>
  <c r="B4" i="40"/>
  <c r="I2" i="40"/>
  <c r="G2" i="40"/>
  <c r="E2" i="40"/>
  <c r="J5" i="39"/>
  <c r="J4" i="39"/>
  <c r="G5" i="39"/>
  <c r="E5" i="39"/>
  <c r="C5" i="39"/>
  <c r="B5" i="39"/>
  <c r="B4" i="39"/>
  <c r="G2" i="39"/>
  <c r="E2" i="39"/>
  <c r="A2" i="40"/>
  <c r="A2" i="39"/>
  <c r="I105" i="1" l="1"/>
  <c r="G105" i="1"/>
  <c r="H5" i="41"/>
  <c r="G5" i="38" l="1"/>
  <c r="G5" i="36"/>
  <c r="G5" i="34" l="1"/>
  <c r="G5" i="33"/>
  <c r="G5" i="32"/>
  <c r="X13" i="44" l="1"/>
  <c r="E708" i="44" l="1"/>
  <c r="D708" i="44"/>
  <c r="J5" i="1" l="1"/>
  <c r="J4" i="1"/>
  <c r="E5" i="33"/>
  <c r="C5" i="33"/>
  <c r="J5" i="33"/>
  <c r="J4" i="33"/>
  <c r="J5" i="34"/>
  <c r="J4" i="34"/>
  <c r="J5" i="36"/>
  <c r="J4" i="36"/>
  <c r="E5" i="36"/>
  <c r="C5" i="36"/>
  <c r="E5" i="38"/>
  <c r="C5" i="38"/>
  <c r="J5" i="38"/>
  <c r="J4" i="38"/>
  <c r="K5" i="41"/>
  <c r="K4" i="41"/>
  <c r="F5" i="41"/>
  <c r="D5" i="41"/>
  <c r="J13" i="44"/>
  <c r="I13" i="44"/>
  <c r="J5" i="32"/>
  <c r="J4" i="32"/>
  <c r="E5" i="32"/>
  <c r="C5" i="32"/>
  <c r="I239" i="1" l="1"/>
  <c r="H23" i="39" l="1"/>
  <c r="G23" i="39"/>
  <c r="E5" i="34"/>
  <c r="C5" i="34"/>
  <c r="I23" i="39" l="1"/>
  <c r="H10" i="41"/>
  <c r="H9" i="41"/>
  <c r="B696" i="44" s="1"/>
  <c r="H8" i="41"/>
  <c r="N371" i="38"/>
  <c r="M371" i="38"/>
  <c r="O371" i="38" s="1"/>
  <c r="J371" i="38"/>
  <c r="N370" i="38"/>
  <c r="M370" i="38"/>
  <c r="O370" i="38" s="1"/>
  <c r="J370" i="38"/>
  <c r="N369" i="38"/>
  <c r="M369" i="38"/>
  <c r="O369" i="38" s="1"/>
  <c r="J369" i="38"/>
  <c r="N368" i="38"/>
  <c r="M368" i="38"/>
  <c r="O368" i="38" s="1"/>
  <c r="J368" i="38"/>
  <c r="N367" i="38"/>
  <c r="M367" i="38"/>
  <c r="O367" i="38" s="1"/>
  <c r="J367" i="38"/>
  <c r="N366" i="38"/>
  <c r="M366" i="38"/>
  <c r="O366" i="38" s="1"/>
  <c r="J366" i="38"/>
  <c r="N365" i="38"/>
  <c r="M365" i="38"/>
  <c r="O365" i="38" s="1"/>
  <c r="J365" i="38"/>
  <c r="N364" i="38"/>
  <c r="M364" i="38"/>
  <c r="O364" i="38" s="1"/>
  <c r="J364" i="38"/>
  <c r="N363" i="38"/>
  <c r="M363" i="38"/>
  <c r="O363" i="38" s="1"/>
  <c r="J363" i="38"/>
  <c r="N362" i="38"/>
  <c r="M362" i="38"/>
  <c r="O362" i="38" s="1"/>
  <c r="J362" i="38"/>
  <c r="N361" i="38"/>
  <c r="M361" i="38"/>
  <c r="O361" i="38" s="1"/>
  <c r="J361" i="38"/>
  <c r="N360" i="38"/>
  <c r="M360" i="38"/>
  <c r="O360" i="38" s="1"/>
  <c r="J360" i="38"/>
  <c r="N359" i="38"/>
  <c r="M359" i="38"/>
  <c r="O359" i="38" s="1"/>
  <c r="J359" i="38"/>
  <c r="N358" i="38"/>
  <c r="M358" i="38"/>
  <c r="O358" i="38" s="1"/>
  <c r="J358" i="38"/>
  <c r="N357" i="38"/>
  <c r="M357" i="38"/>
  <c r="O357" i="38" s="1"/>
  <c r="J357" i="38"/>
  <c r="N356" i="38"/>
  <c r="M356" i="38"/>
  <c r="O356" i="38" s="1"/>
  <c r="J356" i="38"/>
  <c r="N355" i="38"/>
  <c r="M355" i="38"/>
  <c r="O355" i="38" s="1"/>
  <c r="J355" i="38"/>
  <c r="N354" i="38"/>
  <c r="M354" i="38"/>
  <c r="O354" i="38" s="1"/>
  <c r="J354" i="38"/>
  <c r="N353" i="38"/>
  <c r="M353" i="38"/>
  <c r="O353" i="38" s="1"/>
  <c r="J353" i="38"/>
  <c r="N352" i="38"/>
  <c r="M352" i="38"/>
  <c r="O352" i="38" s="1"/>
  <c r="J352" i="38"/>
  <c r="N351" i="38"/>
  <c r="M351" i="38"/>
  <c r="O351" i="38" s="1"/>
  <c r="J351" i="38"/>
  <c r="N350" i="38"/>
  <c r="M350" i="38"/>
  <c r="O350" i="38" s="1"/>
  <c r="J350" i="38"/>
  <c r="N349" i="38"/>
  <c r="M349" i="38"/>
  <c r="O349" i="38" s="1"/>
  <c r="J349" i="38"/>
  <c r="N348" i="38"/>
  <c r="M348" i="38"/>
  <c r="O348" i="38" s="1"/>
  <c r="J348" i="38"/>
  <c r="N347" i="38"/>
  <c r="M347" i="38"/>
  <c r="O347" i="38" s="1"/>
  <c r="J347" i="38"/>
  <c r="N346" i="38"/>
  <c r="M346" i="38"/>
  <c r="O346" i="38" s="1"/>
  <c r="J346" i="38"/>
  <c r="N345" i="38"/>
  <c r="M345" i="38"/>
  <c r="O345" i="38" s="1"/>
  <c r="J345" i="38"/>
  <c r="N344" i="38"/>
  <c r="M344" i="38"/>
  <c r="O344" i="38" s="1"/>
  <c r="J344" i="38"/>
  <c r="N343" i="38"/>
  <c r="M343" i="38"/>
  <c r="O343" i="38" s="1"/>
  <c r="J343" i="38"/>
  <c r="N342" i="38"/>
  <c r="M342" i="38"/>
  <c r="O342" i="38" s="1"/>
  <c r="J342" i="38"/>
  <c r="N341" i="38"/>
  <c r="M341" i="38"/>
  <c r="O341" i="38" s="1"/>
  <c r="J341" i="38"/>
  <c r="N340" i="38"/>
  <c r="M340" i="38"/>
  <c r="O340" i="38" s="1"/>
  <c r="J340" i="38"/>
  <c r="N339" i="38"/>
  <c r="M339" i="38"/>
  <c r="O339" i="38" s="1"/>
  <c r="J339" i="38"/>
  <c r="N338" i="38"/>
  <c r="M338" i="38"/>
  <c r="O338" i="38" s="1"/>
  <c r="J338" i="38"/>
  <c r="N337" i="38"/>
  <c r="M337" i="38"/>
  <c r="O337" i="38" s="1"/>
  <c r="J337" i="38"/>
  <c r="N336" i="38"/>
  <c r="M336" i="38"/>
  <c r="O336" i="38" s="1"/>
  <c r="J336" i="38"/>
  <c r="N335" i="38"/>
  <c r="M335" i="38"/>
  <c r="O335" i="38" s="1"/>
  <c r="J335" i="38"/>
  <c r="N334" i="38"/>
  <c r="M334" i="38"/>
  <c r="O334" i="38" s="1"/>
  <c r="J334" i="38"/>
  <c r="N333" i="38"/>
  <c r="M333" i="38"/>
  <c r="O333" i="38" s="1"/>
  <c r="J333" i="38"/>
  <c r="N332" i="38"/>
  <c r="M332" i="38"/>
  <c r="O332" i="38" s="1"/>
  <c r="J332" i="38"/>
  <c r="N331" i="38"/>
  <c r="M331" i="38"/>
  <c r="O331" i="38" s="1"/>
  <c r="J331" i="38"/>
  <c r="N330" i="38"/>
  <c r="M330" i="38"/>
  <c r="O330" i="38" s="1"/>
  <c r="J330" i="38"/>
  <c r="N329" i="38"/>
  <c r="M329" i="38"/>
  <c r="O329" i="38" s="1"/>
  <c r="J329" i="38"/>
  <c r="N328" i="38"/>
  <c r="M328" i="38"/>
  <c r="O328" i="38" s="1"/>
  <c r="J328" i="38"/>
  <c r="N327" i="38"/>
  <c r="M327" i="38"/>
  <c r="O327" i="38" s="1"/>
  <c r="J327" i="38"/>
  <c r="N326" i="38"/>
  <c r="M326" i="38"/>
  <c r="O326" i="38" s="1"/>
  <c r="J326" i="38"/>
  <c r="N325" i="38"/>
  <c r="M325" i="38"/>
  <c r="O325" i="38" s="1"/>
  <c r="J325" i="38"/>
  <c r="N324" i="38"/>
  <c r="M324" i="38"/>
  <c r="O324" i="38" s="1"/>
  <c r="J324" i="38"/>
  <c r="N323" i="38"/>
  <c r="M323" i="38"/>
  <c r="O323" i="38" s="1"/>
  <c r="J323" i="38"/>
  <c r="N322" i="38"/>
  <c r="M322" i="38"/>
  <c r="O322" i="38" s="1"/>
  <c r="J322" i="38"/>
  <c r="N321" i="38"/>
  <c r="M321" i="38"/>
  <c r="O321" i="38" s="1"/>
  <c r="J321" i="38"/>
  <c r="N320" i="38"/>
  <c r="M320" i="38"/>
  <c r="O320" i="38" s="1"/>
  <c r="J320" i="38"/>
  <c r="N319" i="38"/>
  <c r="M319" i="38"/>
  <c r="O319" i="38" s="1"/>
  <c r="J319" i="38"/>
  <c r="N318" i="38"/>
  <c r="M318" i="38"/>
  <c r="O318" i="38" s="1"/>
  <c r="J318" i="38"/>
  <c r="N317" i="38"/>
  <c r="M317" i="38"/>
  <c r="O317" i="38" s="1"/>
  <c r="J317" i="38"/>
  <c r="N316" i="38"/>
  <c r="M316" i="38"/>
  <c r="O316" i="38" s="1"/>
  <c r="J316" i="38"/>
  <c r="N315" i="38"/>
  <c r="M315" i="38"/>
  <c r="O315" i="38" s="1"/>
  <c r="J315" i="38"/>
  <c r="N314" i="38"/>
  <c r="M314" i="38"/>
  <c r="O314" i="38" s="1"/>
  <c r="J314" i="38"/>
  <c r="N313" i="38"/>
  <c r="M313" i="38"/>
  <c r="O313" i="38" s="1"/>
  <c r="J313" i="38"/>
  <c r="N312" i="38"/>
  <c r="M312" i="38"/>
  <c r="O312" i="38" s="1"/>
  <c r="J312" i="38"/>
  <c r="N311" i="38"/>
  <c r="M311" i="38"/>
  <c r="O311" i="38" s="1"/>
  <c r="J311" i="38"/>
  <c r="N310" i="38"/>
  <c r="M310" i="38"/>
  <c r="O310" i="38" s="1"/>
  <c r="J310" i="38"/>
  <c r="N309" i="38"/>
  <c r="M309" i="38"/>
  <c r="O309" i="38" s="1"/>
  <c r="J309" i="38"/>
  <c r="N308" i="38"/>
  <c r="M308" i="38"/>
  <c r="O308" i="38" s="1"/>
  <c r="J308" i="38"/>
  <c r="N307" i="38"/>
  <c r="M307" i="38"/>
  <c r="O307" i="38" s="1"/>
  <c r="J307" i="38"/>
  <c r="N306" i="38"/>
  <c r="M306" i="38"/>
  <c r="O306" i="38" s="1"/>
  <c r="J306" i="38"/>
  <c r="N305" i="38"/>
  <c r="M305" i="38"/>
  <c r="O305" i="38" s="1"/>
  <c r="J305" i="38"/>
  <c r="N304" i="38"/>
  <c r="M304" i="38"/>
  <c r="O304" i="38" s="1"/>
  <c r="J304" i="38"/>
  <c r="N303" i="38"/>
  <c r="M303" i="38"/>
  <c r="O303" i="38" s="1"/>
  <c r="J303" i="38"/>
  <c r="N302" i="38"/>
  <c r="M302" i="38"/>
  <c r="O302" i="38" s="1"/>
  <c r="J302" i="38"/>
  <c r="N301" i="38"/>
  <c r="M301" i="38"/>
  <c r="O301" i="38" s="1"/>
  <c r="J301" i="38"/>
  <c r="N300" i="38"/>
  <c r="M300" i="38"/>
  <c r="O300" i="38" s="1"/>
  <c r="J300" i="38"/>
  <c r="N299" i="38"/>
  <c r="M299" i="38"/>
  <c r="O299" i="38" s="1"/>
  <c r="J299" i="38"/>
  <c r="N298" i="38"/>
  <c r="M298" i="38"/>
  <c r="O298" i="38" s="1"/>
  <c r="J298" i="38"/>
  <c r="N297" i="38"/>
  <c r="M297" i="38"/>
  <c r="O297" i="38" s="1"/>
  <c r="J297" i="38"/>
  <c r="N296" i="38"/>
  <c r="M296" i="38"/>
  <c r="O296" i="38" s="1"/>
  <c r="J296" i="38"/>
  <c r="N295" i="38"/>
  <c r="M295" i="38"/>
  <c r="O295" i="38" s="1"/>
  <c r="J295" i="38"/>
  <c r="N294" i="38"/>
  <c r="M294" i="38"/>
  <c r="O294" i="38" s="1"/>
  <c r="J294" i="38"/>
  <c r="N293" i="38"/>
  <c r="M293" i="38"/>
  <c r="O293" i="38" s="1"/>
  <c r="J293" i="38"/>
  <c r="N292" i="38"/>
  <c r="M292" i="38"/>
  <c r="O292" i="38" s="1"/>
  <c r="J292" i="38"/>
  <c r="N291" i="38"/>
  <c r="M291" i="38"/>
  <c r="O291" i="38" s="1"/>
  <c r="J291" i="38"/>
  <c r="N290" i="38"/>
  <c r="M290" i="38"/>
  <c r="O290" i="38" s="1"/>
  <c r="J290" i="38"/>
  <c r="N289" i="38"/>
  <c r="M289" i="38"/>
  <c r="O289" i="38" s="1"/>
  <c r="J289" i="38"/>
  <c r="N288" i="38"/>
  <c r="M288" i="38"/>
  <c r="O288" i="38" s="1"/>
  <c r="J288" i="38"/>
  <c r="N287" i="38"/>
  <c r="M287" i="38"/>
  <c r="O287" i="38" s="1"/>
  <c r="J287" i="38"/>
  <c r="N286" i="38"/>
  <c r="M286" i="38"/>
  <c r="O286" i="38" s="1"/>
  <c r="J286" i="38"/>
  <c r="N285" i="38"/>
  <c r="M285" i="38"/>
  <c r="O285" i="38" s="1"/>
  <c r="J285" i="38"/>
  <c r="N284" i="38"/>
  <c r="M284" i="38"/>
  <c r="O284" i="38" s="1"/>
  <c r="J284" i="38"/>
  <c r="N283" i="38"/>
  <c r="M283" i="38"/>
  <c r="O283" i="38" s="1"/>
  <c r="J283" i="38"/>
  <c r="N282" i="38"/>
  <c r="M282" i="38"/>
  <c r="O282" i="38" s="1"/>
  <c r="J282" i="38"/>
  <c r="N281" i="38"/>
  <c r="M281" i="38"/>
  <c r="O281" i="38" s="1"/>
  <c r="J281" i="38"/>
  <c r="N280" i="38"/>
  <c r="M280" i="38"/>
  <c r="O280" i="38" s="1"/>
  <c r="J280" i="38"/>
  <c r="N279" i="38"/>
  <c r="M279" i="38"/>
  <c r="O279" i="38" s="1"/>
  <c r="J279" i="38"/>
  <c r="N278" i="38"/>
  <c r="M278" i="38"/>
  <c r="O278" i="38" s="1"/>
  <c r="J278" i="38"/>
  <c r="N277" i="38"/>
  <c r="M277" i="38"/>
  <c r="O277" i="38" s="1"/>
  <c r="J277" i="38"/>
  <c r="N276" i="38"/>
  <c r="M276" i="38"/>
  <c r="O276" i="38" s="1"/>
  <c r="J276" i="38"/>
  <c r="N275" i="38"/>
  <c r="M275" i="38"/>
  <c r="O275" i="38" s="1"/>
  <c r="J275" i="38"/>
  <c r="N274" i="38"/>
  <c r="M274" i="38"/>
  <c r="O274" i="38" s="1"/>
  <c r="J274" i="38"/>
  <c r="N273" i="38"/>
  <c r="M273" i="38"/>
  <c r="O273" i="38" s="1"/>
  <c r="J273" i="38"/>
  <c r="N272" i="38"/>
  <c r="M272" i="38"/>
  <c r="O272" i="38" s="1"/>
  <c r="J272" i="38"/>
  <c r="N271" i="38"/>
  <c r="M271" i="38"/>
  <c r="O271" i="38" s="1"/>
  <c r="J271" i="38"/>
  <c r="N270" i="38"/>
  <c r="M270" i="38"/>
  <c r="O270" i="38" s="1"/>
  <c r="J270" i="38"/>
  <c r="N269" i="38"/>
  <c r="M269" i="38"/>
  <c r="O269" i="38" s="1"/>
  <c r="J269" i="38"/>
  <c r="N268" i="38"/>
  <c r="M268" i="38"/>
  <c r="O268" i="38" s="1"/>
  <c r="J268" i="38"/>
  <c r="N267" i="38"/>
  <c r="M267" i="38"/>
  <c r="O267" i="38" s="1"/>
  <c r="J267" i="38"/>
  <c r="N266" i="38"/>
  <c r="M266" i="38"/>
  <c r="O266" i="38" s="1"/>
  <c r="J266" i="38"/>
  <c r="N265" i="38"/>
  <c r="M265" i="38"/>
  <c r="O265" i="38" s="1"/>
  <c r="J265" i="38"/>
  <c r="N264" i="38"/>
  <c r="M264" i="38"/>
  <c r="O264" i="38" s="1"/>
  <c r="J264" i="38"/>
  <c r="N263" i="38"/>
  <c r="M263" i="38"/>
  <c r="O263" i="38" s="1"/>
  <c r="J263" i="38"/>
  <c r="N262" i="38"/>
  <c r="M262" i="38"/>
  <c r="O262" i="38" s="1"/>
  <c r="J262" i="38"/>
  <c r="N261" i="38"/>
  <c r="M261" i="38"/>
  <c r="O261" i="38" s="1"/>
  <c r="J261" i="38"/>
  <c r="N260" i="38"/>
  <c r="M260" i="38"/>
  <c r="O260" i="38" s="1"/>
  <c r="J260" i="38"/>
  <c r="N259" i="38"/>
  <c r="M259" i="38"/>
  <c r="O259" i="38" s="1"/>
  <c r="J259" i="38"/>
  <c r="N258" i="38"/>
  <c r="M258" i="38"/>
  <c r="O258" i="38" s="1"/>
  <c r="J258" i="38"/>
  <c r="N257" i="38"/>
  <c r="M257" i="38"/>
  <c r="O257" i="38" s="1"/>
  <c r="J257" i="38"/>
  <c r="N256" i="38"/>
  <c r="M256" i="38"/>
  <c r="O256" i="38" s="1"/>
  <c r="J256" i="38"/>
  <c r="N255" i="38"/>
  <c r="M255" i="38"/>
  <c r="O255" i="38" s="1"/>
  <c r="J255" i="38"/>
  <c r="N254" i="38"/>
  <c r="M254" i="38"/>
  <c r="O254" i="38" s="1"/>
  <c r="J254" i="38"/>
  <c r="N253" i="38"/>
  <c r="M253" i="38"/>
  <c r="O253" i="38" s="1"/>
  <c r="J253" i="38"/>
  <c r="N252" i="38"/>
  <c r="M252" i="38"/>
  <c r="O252" i="38" s="1"/>
  <c r="J252" i="38"/>
  <c r="N251" i="38"/>
  <c r="M251" i="38"/>
  <c r="O251" i="38" s="1"/>
  <c r="J251" i="38"/>
  <c r="N250" i="38"/>
  <c r="M250" i="38"/>
  <c r="O250" i="38" s="1"/>
  <c r="J250" i="38"/>
  <c r="N249" i="38"/>
  <c r="M249" i="38"/>
  <c r="O249" i="38" s="1"/>
  <c r="J249" i="38"/>
  <c r="N248" i="38"/>
  <c r="M248" i="38"/>
  <c r="O248" i="38" s="1"/>
  <c r="J248" i="38"/>
  <c r="N247" i="38"/>
  <c r="M247" i="38"/>
  <c r="O247" i="38" s="1"/>
  <c r="J247" i="38"/>
  <c r="N246" i="38"/>
  <c r="M246" i="38"/>
  <c r="O246" i="38" s="1"/>
  <c r="J246" i="38"/>
  <c r="N245" i="38"/>
  <c r="M245" i="38"/>
  <c r="O245" i="38" s="1"/>
  <c r="J245" i="38"/>
  <c r="N244" i="38"/>
  <c r="M244" i="38"/>
  <c r="O244" i="38" s="1"/>
  <c r="J244" i="38"/>
  <c r="N243" i="38"/>
  <c r="M243" i="38"/>
  <c r="O243" i="38" s="1"/>
  <c r="J243" i="38"/>
  <c r="N242" i="38"/>
  <c r="M242" i="38"/>
  <c r="O242" i="38" s="1"/>
  <c r="J242" i="38"/>
  <c r="N241" i="38"/>
  <c r="M241" i="38"/>
  <c r="O241" i="38" s="1"/>
  <c r="J241" i="38"/>
  <c r="N240" i="38"/>
  <c r="M240" i="38"/>
  <c r="O240" i="38" s="1"/>
  <c r="J240" i="38"/>
  <c r="N239" i="38"/>
  <c r="M239" i="38"/>
  <c r="O239" i="38" s="1"/>
  <c r="J239" i="38"/>
  <c r="N238" i="38"/>
  <c r="M238" i="38"/>
  <c r="O238" i="38" s="1"/>
  <c r="J238" i="38"/>
  <c r="N237" i="38"/>
  <c r="M237" i="38"/>
  <c r="O237" i="38" s="1"/>
  <c r="J237" i="38"/>
  <c r="N236" i="38"/>
  <c r="M236" i="38"/>
  <c r="O236" i="38" s="1"/>
  <c r="J236" i="38"/>
  <c r="N235" i="38"/>
  <c r="M235" i="38"/>
  <c r="O235" i="38" s="1"/>
  <c r="J235" i="38"/>
  <c r="N234" i="38"/>
  <c r="M234" i="38"/>
  <c r="O234" i="38" s="1"/>
  <c r="J234" i="38"/>
  <c r="N233" i="38"/>
  <c r="M233" i="38"/>
  <c r="O233" i="38" s="1"/>
  <c r="J233" i="38"/>
  <c r="N232" i="38"/>
  <c r="M232" i="38"/>
  <c r="O232" i="38" s="1"/>
  <c r="J232" i="38"/>
  <c r="N231" i="38"/>
  <c r="M231" i="38"/>
  <c r="O231" i="38" s="1"/>
  <c r="J231" i="38"/>
  <c r="N230" i="38"/>
  <c r="M230" i="38"/>
  <c r="O230" i="38" s="1"/>
  <c r="J230" i="38"/>
  <c r="N229" i="38"/>
  <c r="M229" i="38"/>
  <c r="O229" i="38" s="1"/>
  <c r="J229" i="38"/>
  <c r="N228" i="38"/>
  <c r="M228" i="38"/>
  <c r="O228" i="38" s="1"/>
  <c r="J228" i="38"/>
  <c r="N227" i="38"/>
  <c r="M227" i="38"/>
  <c r="O227" i="38" s="1"/>
  <c r="J227" i="38"/>
  <c r="N226" i="38"/>
  <c r="M226" i="38"/>
  <c r="O226" i="38" s="1"/>
  <c r="J226" i="38"/>
  <c r="N225" i="38"/>
  <c r="M225" i="38"/>
  <c r="O225" i="38" s="1"/>
  <c r="J225" i="38"/>
  <c r="N224" i="38"/>
  <c r="M224" i="38"/>
  <c r="O224" i="38" s="1"/>
  <c r="J224" i="38"/>
  <c r="N223" i="38"/>
  <c r="M223" i="38"/>
  <c r="O223" i="38" s="1"/>
  <c r="J223" i="38"/>
  <c r="N222" i="38"/>
  <c r="M222" i="38"/>
  <c r="O222" i="38" s="1"/>
  <c r="J222" i="38"/>
  <c r="N221" i="38"/>
  <c r="M221" i="38"/>
  <c r="O221" i="38" s="1"/>
  <c r="J221" i="38"/>
  <c r="N220" i="38"/>
  <c r="M220" i="38"/>
  <c r="O220" i="38" s="1"/>
  <c r="J220" i="38"/>
  <c r="N219" i="38"/>
  <c r="M219" i="38"/>
  <c r="O219" i="38" s="1"/>
  <c r="J219" i="38"/>
  <c r="N218" i="38"/>
  <c r="M218" i="38"/>
  <c r="O218" i="38" s="1"/>
  <c r="J218" i="38"/>
  <c r="N217" i="38"/>
  <c r="M217" i="38"/>
  <c r="O217" i="38" s="1"/>
  <c r="J217" i="38"/>
  <c r="N216" i="38"/>
  <c r="M216" i="38"/>
  <c r="O216" i="38" s="1"/>
  <c r="J216" i="38"/>
  <c r="N215" i="38"/>
  <c r="M215" i="38"/>
  <c r="O215" i="38" s="1"/>
  <c r="J215" i="38"/>
  <c r="N214" i="38"/>
  <c r="M214" i="38"/>
  <c r="O214" i="38" s="1"/>
  <c r="J214" i="38"/>
  <c r="N213" i="38"/>
  <c r="M213" i="38"/>
  <c r="O213" i="38" s="1"/>
  <c r="J213" i="38"/>
  <c r="N212" i="38"/>
  <c r="M212" i="38"/>
  <c r="O212" i="38" s="1"/>
  <c r="J212" i="38"/>
  <c r="N211" i="38"/>
  <c r="M211" i="38"/>
  <c r="O211" i="38" s="1"/>
  <c r="J211" i="38"/>
  <c r="N210" i="38"/>
  <c r="M210" i="38"/>
  <c r="O210" i="38" s="1"/>
  <c r="J210" i="38"/>
  <c r="N209" i="38"/>
  <c r="M209" i="38"/>
  <c r="O209" i="38" s="1"/>
  <c r="J209" i="38"/>
  <c r="N208" i="38"/>
  <c r="M208" i="38"/>
  <c r="O208" i="38" s="1"/>
  <c r="J208" i="38"/>
  <c r="N207" i="38"/>
  <c r="M207" i="38"/>
  <c r="O207" i="38" s="1"/>
  <c r="J207" i="38"/>
  <c r="N206" i="38"/>
  <c r="M206" i="38"/>
  <c r="O206" i="38" s="1"/>
  <c r="J206" i="38"/>
  <c r="N205" i="38"/>
  <c r="M205" i="38"/>
  <c r="O205" i="38" s="1"/>
  <c r="J205" i="38"/>
  <c r="N204" i="38"/>
  <c r="M204" i="38"/>
  <c r="O204" i="38" s="1"/>
  <c r="J204" i="38"/>
  <c r="N203" i="38"/>
  <c r="M203" i="38"/>
  <c r="O203" i="38" s="1"/>
  <c r="J203" i="38"/>
  <c r="N202" i="38"/>
  <c r="M202" i="38"/>
  <c r="O202" i="38" s="1"/>
  <c r="J202" i="38"/>
  <c r="N201" i="38"/>
  <c r="M201" i="38"/>
  <c r="O201" i="38" s="1"/>
  <c r="J201" i="38"/>
  <c r="N200" i="38"/>
  <c r="M200" i="38"/>
  <c r="O200" i="38" s="1"/>
  <c r="J200" i="38"/>
  <c r="N199" i="38"/>
  <c r="M199" i="38"/>
  <c r="O199" i="38" s="1"/>
  <c r="J199" i="38"/>
  <c r="N198" i="38"/>
  <c r="M198" i="38"/>
  <c r="O198" i="38" s="1"/>
  <c r="J198" i="38"/>
  <c r="N197" i="38"/>
  <c r="M197" i="38"/>
  <c r="O197" i="38" s="1"/>
  <c r="J197" i="38"/>
  <c r="N196" i="38"/>
  <c r="M196" i="38"/>
  <c r="O196" i="38" s="1"/>
  <c r="J196" i="38"/>
  <c r="N195" i="38"/>
  <c r="M195" i="38"/>
  <c r="O195" i="38" s="1"/>
  <c r="J195" i="38"/>
  <c r="N194" i="38"/>
  <c r="M194" i="38"/>
  <c r="O194" i="38" s="1"/>
  <c r="J194" i="38"/>
  <c r="N193" i="38"/>
  <c r="M193" i="38"/>
  <c r="O193" i="38" s="1"/>
  <c r="J193" i="38"/>
  <c r="N192" i="38"/>
  <c r="M192" i="38"/>
  <c r="O192" i="38" s="1"/>
  <c r="J192" i="38"/>
  <c r="N191" i="38"/>
  <c r="M191" i="38"/>
  <c r="O191" i="38" s="1"/>
  <c r="J191" i="38"/>
  <c r="N190" i="38"/>
  <c r="M190" i="38"/>
  <c r="O190" i="38" s="1"/>
  <c r="J190" i="38"/>
  <c r="N189" i="38"/>
  <c r="M189" i="38"/>
  <c r="O189" i="38" s="1"/>
  <c r="J189" i="38"/>
  <c r="N188" i="38"/>
  <c r="M188" i="38"/>
  <c r="O188" i="38" s="1"/>
  <c r="J188" i="38"/>
  <c r="N187" i="38"/>
  <c r="M187" i="38"/>
  <c r="O187" i="38" s="1"/>
  <c r="J187" i="38"/>
  <c r="N186" i="38"/>
  <c r="M186" i="38"/>
  <c r="O186" i="38" s="1"/>
  <c r="J186" i="38"/>
  <c r="N185" i="38"/>
  <c r="M185" i="38"/>
  <c r="O185" i="38" s="1"/>
  <c r="J185" i="38"/>
  <c r="N184" i="38"/>
  <c r="M184" i="38"/>
  <c r="O184" i="38" s="1"/>
  <c r="J184" i="38"/>
  <c r="N183" i="38"/>
  <c r="M183" i="38"/>
  <c r="O183" i="38" s="1"/>
  <c r="J183" i="38"/>
  <c r="N182" i="38"/>
  <c r="M182" i="38"/>
  <c r="O182" i="38" s="1"/>
  <c r="J182" i="38"/>
  <c r="N181" i="38"/>
  <c r="M181" i="38"/>
  <c r="O181" i="38" s="1"/>
  <c r="J181" i="38"/>
  <c r="N180" i="38"/>
  <c r="M180" i="38"/>
  <c r="O180" i="38" s="1"/>
  <c r="J180" i="38"/>
  <c r="N179" i="38"/>
  <c r="M179" i="38"/>
  <c r="O179" i="38" s="1"/>
  <c r="J179" i="38"/>
  <c r="N178" i="38"/>
  <c r="M178" i="38"/>
  <c r="O178" i="38" s="1"/>
  <c r="J178" i="38"/>
  <c r="N177" i="38"/>
  <c r="M177" i="38"/>
  <c r="O177" i="38" s="1"/>
  <c r="J177" i="38"/>
  <c r="N176" i="38"/>
  <c r="M176" i="38"/>
  <c r="O176" i="38" s="1"/>
  <c r="J176" i="38"/>
  <c r="N175" i="38"/>
  <c r="M175" i="38"/>
  <c r="O175" i="38" s="1"/>
  <c r="J175" i="38"/>
  <c r="N174" i="38"/>
  <c r="M174" i="38"/>
  <c r="O174" i="38" s="1"/>
  <c r="J174" i="38"/>
  <c r="N173" i="38"/>
  <c r="M173" i="38"/>
  <c r="O173" i="38" s="1"/>
  <c r="J173" i="38"/>
  <c r="N172" i="38"/>
  <c r="M172" i="38"/>
  <c r="O172" i="38" s="1"/>
  <c r="J172" i="38"/>
  <c r="N171" i="38"/>
  <c r="M171" i="38"/>
  <c r="O171" i="38" s="1"/>
  <c r="J171" i="38"/>
  <c r="N170" i="38"/>
  <c r="M170" i="38"/>
  <c r="O170" i="38" s="1"/>
  <c r="J170" i="38"/>
  <c r="N169" i="38"/>
  <c r="M169" i="38"/>
  <c r="O169" i="38" s="1"/>
  <c r="J169" i="38"/>
  <c r="N168" i="38"/>
  <c r="M168" i="38"/>
  <c r="O168" i="38" s="1"/>
  <c r="J168" i="38"/>
  <c r="N167" i="38"/>
  <c r="M167" i="38"/>
  <c r="O167" i="38" s="1"/>
  <c r="J167" i="38"/>
  <c r="N166" i="38"/>
  <c r="M166" i="38"/>
  <c r="O166" i="38" s="1"/>
  <c r="J166" i="38"/>
  <c r="N165" i="38"/>
  <c r="M165" i="38"/>
  <c r="O165" i="38" s="1"/>
  <c r="J165" i="38"/>
  <c r="N164" i="38"/>
  <c r="M164" i="38"/>
  <c r="O164" i="38" s="1"/>
  <c r="J164" i="38"/>
  <c r="N163" i="38"/>
  <c r="M163" i="38"/>
  <c r="O163" i="38" s="1"/>
  <c r="J163" i="38"/>
  <c r="N162" i="38"/>
  <c r="M162" i="38"/>
  <c r="O162" i="38" s="1"/>
  <c r="J162" i="38"/>
  <c r="N161" i="38"/>
  <c r="M161" i="38"/>
  <c r="O161" i="38" s="1"/>
  <c r="J161" i="38"/>
  <c r="N160" i="38"/>
  <c r="M160" i="38"/>
  <c r="O160" i="38" s="1"/>
  <c r="J160" i="38"/>
  <c r="N159" i="38"/>
  <c r="M159" i="38"/>
  <c r="O159" i="38" s="1"/>
  <c r="J159" i="38"/>
  <c r="N158" i="38"/>
  <c r="M158" i="38"/>
  <c r="O158" i="38" s="1"/>
  <c r="J158" i="38"/>
  <c r="N157" i="38"/>
  <c r="M157" i="38"/>
  <c r="O157" i="38" s="1"/>
  <c r="J157" i="38"/>
  <c r="N156" i="38"/>
  <c r="M156" i="38"/>
  <c r="O156" i="38" s="1"/>
  <c r="J156" i="38"/>
  <c r="N155" i="38"/>
  <c r="M155" i="38"/>
  <c r="O155" i="38" s="1"/>
  <c r="J155" i="38"/>
  <c r="N154" i="38"/>
  <c r="M154" i="38"/>
  <c r="O154" i="38" s="1"/>
  <c r="J154" i="38"/>
  <c r="N153" i="38"/>
  <c r="M153" i="38"/>
  <c r="O153" i="38" s="1"/>
  <c r="J153" i="38"/>
  <c r="N152" i="38"/>
  <c r="M152" i="38"/>
  <c r="O152" i="38" s="1"/>
  <c r="J152" i="38"/>
  <c r="N151" i="38"/>
  <c r="M151" i="38"/>
  <c r="O151" i="38" s="1"/>
  <c r="J151" i="38"/>
  <c r="N150" i="38"/>
  <c r="M150" i="38"/>
  <c r="O150" i="38" s="1"/>
  <c r="J150" i="38"/>
  <c r="N149" i="38"/>
  <c r="M149" i="38"/>
  <c r="O149" i="38" s="1"/>
  <c r="J149" i="38"/>
  <c r="N148" i="38"/>
  <c r="M148" i="38"/>
  <c r="O148" i="38" s="1"/>
  <c r="J148" i="38"/>
  <c r="N147" i="38"/>
  <c r="M147" i="38"/>
  <c r="O147" i="38" s="1"/>
  <c r="J147" i="38"/>
  <c r="N146" i="38"/>
  <c r="M146" i="38"/>
  <c r="O146" i="38" s="1"/>
  <c r="J146" i="38"/>
  <c r="N145" i="38"/>
  <c r="M145" i="38"/>
  <c r="O145" i="38" s="1"/>
  <c r="J145" i="38"/>
  <c r="N144" i="38"/>
  <c r="M144" i="38"/>
  <c r="O144" i="38" s="1"/>
  <c r="J144" i="38"/>
  <c r="N143" i="38"/>
  <c r="M143" i="38"/>
  <c r="O143" i="38" s="1"/>
  <c r="J143" i="38"/>
  <c r="N142" i="38"/>
  <c r="M142" i="38"/>
  <c r="O142" i="38" s="1"/>
  <c r="J142" i="38"/>
  <c r="N141" i="38"/>
  <c r="M141" i="38"/>
  <c r="O141" i="38" s="1"/>
  <c r="J141" i="38"/>
  <c r="N140" i="38"/>
  <c r="M140" i="38"/>
  <c r="O140" i="38" s="1"/>
  <c r="J140" i="38"/>
  <c r="N139" i="38"/>
  <c r="M139" i="38"/>
  <c r="O139" i="38" s="1"/>
  <c r="J139" i="38"/>
  <c r="N138" i="38"/>
  <c r="M138" i="38"/>
  <c r="O138" i="38" s="1"/>
  <c r="J138" i="38"/>
  <c r="N137" i="38"/>
  <c r="M137" i="38"/>
  <c r="O137" i="38" s="1"/>
  <c r="J137" i="38"/>
  <c r="N136" i="38"/>
  <c r="M136" i="38"/>
  <c r="O136" i="38" s="1"/>
  <c r="J136" i="38"/>
  <c r="N135" i="38"/>
  <c r="M135" i="38"/>
  <c r="O135" i="38" s="1"/>
  <c r="J135" i="38"/>
  <c r="N134" i="38"/>
  <c r="M134" i="38"/>
  <c r="O134" i="38" s="1"/>
  <c r="J134" i="38"/>
  <c r="N133" i="38"/>
  <c r="M133" i="38"/>
  <c r="O133" i="38" s="1"/>
  <c r="J133" i="38"/>
  <c r="N132" i="38"/>
  <c r="M132" i="38"/>
  <c r="O132" i="38" s="1"/>
  <c r="J132" i="38"/>
  <c r="N131" i="38"/>
  <c r="M131" i="38"/>
  <c r="O131" i="38" s="1"/>
  <c r="J131" i="38"/>
  <c r="N130" i="38"/>
  <c r="M130" i="38"/>
  <c r="O130" i="38" s="1"/>
  <c r="J130" i="38"/>
  <c r="N129" i="38"/>
  <c r="M129" i="38"/>
  <c r="O129" i="38" s="1"/>
  <c r="J129" i="38"/>
  <c r="N128" i="38"/>
  <c r="M128" i="38"/>
  <c r="O128" i="38" s="1"/>
  <c r="J128" i="38"/>
  <c r="N127" i="38"/>
  <c r="M127" i="38"/>
  <c r="O127" i="38" s="1"/>
  <c r="J127" i="38"/>
  <c r="N126" i="38"/>
  <c r="M126" i="38"/>
  <c r="O126" i="38" s="1"/>
  <c r="J126" i="38"/>
  <c r="N125" i="38"/>
  <c r="M125" i="38"/>
  <c r="O125" i="38" s="1"/>
  <c r="J125" i="38"/>
  <c r="N124" i="38"/>
  <c r="M124" i="38"/>
  <c r="O124" i="38" s="1"/>
  <c r="J124" i="38"/>
  <c r="N123" i="38"/>
  <c r="M123" i="38"/>
  <c r="O123" i="38" s="1"/>
  <c r="J123" i="38"/>
  <c r="N122" i="38"/>
  <c r="M122" i="38"/>
  <c r="O122" i="38" s="1"/>
  <c r="J122" i="38"/>
  <c r="N121" i="38"/>
  <c r="M121" i="38"/>
  <c r="O121" i="38" s="1"/>
  <c r="J121" i="38"/>
  <c r="N120" i="38"/>
  <c r="M120" i="38"/>
  <c r="O120" i="38" s="1"/>
  <c r="J120" i="38"/>
  <c r="N119" i="38"/>
  <c r="M119" i="38"/>
  <c r="O119" i="38" s="1"/>
  <c r="J119" i="38"/>
  <c r="N118" i="38"/>
  <c r="M118" i="38"/>
  <c r="O118" i="38" s="1"/>
  <c r="J118" i="38"/>
  <c r="N117" i="38"/>
  <c r="M117" i="38"/>
  <c r="O117" i="38" s="1"/>
  <c r="J117" i="38"/>
  <c r="N116" i="38"/>
  <c r="M116" i="38"/>
  <c r="O116" i="38" s="1"/>
  <c r="J116" i="38"/>
  <c r="N115" i="38"/>
  <c r="M115" i="38"/>
  <c r="O115" i="38" s="1"/>
  <c r="J115" i="38"/>
  <c r="N114" i="38"/>
  <c r="M114" i="38"/>
  <c r="O114" i="38" s="1"/>
  <c r="J114" i="38"/>
  <c r="N113" i="38"/>
  <c r="M113" i="38"/>
  <c r="O113" i="38" s="1"/>
  <c r="J113" i="38"/>
  <c r="N112" i="38"/>
  <c r="M112" i="38"/>
  <c r="O112" i="38" s="1"/>
  <c r="J112" i="38"/>
  <c r="N111" i="38"/>
  <c r="M111" i="38"/>
  <c r="O111" i="38" s="1"/>
  <c r="J111" i="38"/>
  <c r="N110" i="38"/>
  <c r="M110" i="38"/>
  <c r="O110" i="38" s="1"/>
  <c r="J110" i="38"/>
  <c r="N109" i="38"/>
  <c r="M109" i="38"/>
  <c r="O109" i="38" s="1"/>
  <c r="J109" i="38"/>
  <c r="N108" i="38"/>
  <c r="M108" i="38"/>
  <c r="O108" i="38" s="1"/>
  <c r="J108" i="38"/>
  <c r="N107" i="38"/>
  <c r="M107" i="38"/>
  <c r="O107" i="38" s="1"/>
  <c r="J107" i="38"/>
  <c r="N106" i="38"/>
  <c r="M106" i="38"/>
  <c r="O106" i="38" s="1"/>
  <c r="J106" i="38"/>
  <c r="N105" i="38"/>
  <c r="M105" i="38"/>
  <c r="O105" i="38" s="1"/>
  <c r="J105" i="38"/>
  <c r="N104" i="38"/>
  <c r="M104" i="38"/>
  <c r="O104" i="38" s="1"/>
  <c r="J104" i="38"/>
  <c r="N103" i="38"/>
  <c r="M103" i="38"/>
  <c r="O103" i="38" s="1"/>
  <c r="J103" i="38"/>
  <c r="N102" i="38"/>
  <c r="M102" i="38"/>
  <c r="O102" i="38" s="1"/>
  <c r="J102" i="38"/>
  <c r="N101" i="38"/>
  <c r="M101" i="38"/>
  <c r="O101" i="38" s="1"/>
  <c r="J101" i="38"/>
  <c r="N100" i="38"/>
  <c r="M100" i="38"/>
  <c r="O100" i="38" s="1"/>
  <c r="J100" i="38"/>
  <c r="N99" i="38"/>
  <c r="M99" i="38"/>
  <c r="O99" i="38" s="1"/>
  <c r="J99" i="38"/>
  <c r="N98" i="38"/>
  <c r="M98" i="38"/>
  <c r="O98" i="38" s="1"/>
  <c r="J98" i="38"/>
  <c r="N97" i="38"/>
  <c r="M97" i="38"/>
  <c r="O97" i="38" s="1"/>
  <c r="J97" i="38"/>
  <c r="N96" i="38"/>
  <c r="M96" i="38"/>
  <c r="O96" i="38" s="1"/>
  <c r="J96" i="38"/>
  <c r="N95" i="38"/>
  <c r="M95" i="38"/>
  <c r="O95" i="38" s="1"/>
  <c r="J95" i="38"/>
  <c r="N94" i="38"/>
  <c r="M94" i="38"/>
  <c r="O94" i="38" s="1"/>
  <c r="J94" i="38"/>
  <c r="N93" i="38"/>
  <c r="M93" i="38"/>
  <c r="O93" i="38" s="1"/>
  <c r="J93" i="38"/>
  <c r="N92" i="38"/>
  <c r="M92" i="38"/>
  <c r="O92" i="38" s="1"/>
  <c r="J92" i="38"/>
  <c r="N91" i="38"/>
  <c r="M91" i="38"/>
  <c r="O91" i="38" s="1"/>
  <c r="J91" i="38"/>
  <c r="N90" i="38"/>
  <c r="M90" i="38"/>
  <c r="O90" i="38" s="1"/>
  <c r="J90" i="38"/>
  <c r="N89" i="38"/>
  <c r="M89" i="38"/>
  <c r="O89" i="38" s="1"/>
  <c r="J89" i="38"/>
  <c r="N88" i="38"/>
  <c r="M88" i="38"/>
  <c r="O88" i="38" s="1"/>
  <c r="J88" i="38"/>
  <c r="N87" i="38"/>
  <c r="M87" i="38"/>
  <c r="O87" i="38" s="1"/>
  <c r="J87" i="38"/>
  <c r="N86" i="38"/>
  <c r="M86" i="38"/>
  <c r="O86" i="38" s="1"/>
  <c r="J86" i="38"/>
  <c r="N85" i="38"/>
  <c r="M85" i="38"/>
  <c r="O85" i="38" s="1"/>
  <c r="J85" i="38"/>
  <c r="N84" i="38"/>
  <c r="M84" i="38"/>
  <c r="O84" i="38" s="1"/>
  <c r="J84" i="38"/>
  <c r="N83" i="38"/>
  <c r="M83" i="38"/>
  <c r="O83" i="38" s="1"/>
  <c r="J83" i="38"/>
  <c r="N82" i="38"/>
  <c r="M82" i="38"/>
  <c r="O82" i="38" s="1"/>
  <c r="J82" i="38"/>
  <c r="N81" i="38"/>
  <c r="M81" i="38"/>
  <c r="O81" i="38" s="1"/>
  <c r="J81" i="38"/>
  <c r="N80" i="38"/>
  <c r="M80" i="38"/>
  <c r="O80" i="38" s="1"/>
  <c r="J80" i="38"/>
  <c r="N79" i="38"/>
  <c r="M79" i="38"/>
  <c r="O79" i="38" s="1"/>
  <c r="J79" i="38"/>
  <c r="N78" i="38"/>
  <c r="M78" i="38"/>
  <c r="O78" i="38" s="1"/>
  <c r="J78" i="38"/>
  <c r="N77" i="38"/>
  <c r="M77" i="38"/>
  <c r="O77" i="38" s="1"/>
  <c r="J77" i="38"/>
  <c r="N76" i="38"/>
  <c r="M76" i="38"/>
  <c r="O76" i="38" s="1"/>
  <c r="J76" i="38"/>
  <c r="N75" i="38"/>
  <c r="M75" i="38"/>
  <c r="O75" i="38" s="1"/>
  <c r="J75" i="38"/>
  <c r="N74" i="38"/>
  <c r="M74" i="38"/>
  <c r="O74" i="38" s="1"/>
  <c r="J74" i="38"/>
  <c r="N73" i="38"/>
  <c r="M73" i="38"/>
  <c r="O73" i="38" s="1"/>
  <c r="J73" i="38"/>
  <c r="N72" i="38"/>
  <c r="M72" i="38"/>
  <c r="O72" i="38" s="1"/>
  <c r="J72" i="38"/>
  <c r="N71" i="38"/>
  <c r="M71" i="38"/>
  <c r="O71" i="38" s="1"/>
  <c r="J71" i="38"/>
  <c r="N70" i="38"/>
  <c r="M70" i="38"/>
  <c r="O70" i="38" s="1"/>
  <c r="J70" i="38"/>
  <c r="N69" i="38"/>
  <c r="M69" i="38"/>
  <c r="O69" i="38" s="1"/>
  <c r="J69" i="38"/>
  <c r="N68" i="38"/>
  <c r="M68" i="38"/>
  <c r="O68" i="38" s="1"/>
  <c r="J68" i="38"/>
  <c r="N67" i="38"/>
  <c r="M67" i="38"/>
  <c r="O67" i="38" s="1"/>
  <c r="J67" i="38"/>
  <c r="N66" i="38"/>
  <c r="M66" i="38"/>
  <c r="O66" i="38" s="1"/>
  <c r="J66" i="38"/>
  <c r="N65" i="38"/>
  <c r="M65" i="38"/>
  <c r="O65" i="38" s="1"/>
  <c r="J65" i="38"/>
  <c r="N64" i="38"/>
  <c r="M64" i="38"/>
  <c r="O64" i="38" s="1"/>
  <c r="J64" i="38"/>
  <c r="N63" i="38"/>
  <c r="M63" i="38"/>
  <c r="O63" i="38" s="1"/>
  <c r="J63" i="38"/>
  <c r="N62" i="38"/>
  <c r="M62" i="38"/>
  <c r="O62" i="38" s="1"/>
  <c r="J62" i="38"/>
  <c r="N61" i="38"/>
  <c r="M61" i="38"/>
  <c r="O61" i="38" s="1"/>
  <c r="J61" i="38"/>
  <c r="N60" i="38"/>
  <c r="M60" i="38"/>
  <c r="O60" i="38" s="1"/>
  <c r="J60" i="38"/>
  <c r="N59" i="38"/>
  <c r="M59" i="38"/>
  <c r="O59" i="38" s="1"/>
  <c r="J59" i="38"/>
  <c r="N58" i="38"/>
  <c r="M58" i="38"/>
  <c r="O58" i="38" s="1"/>
  <c r="J58" i="38"/>
  <c r="N57" i="38"/>
  <c r="M57" i="38"/>
  <c r="O57" i="38" s="1"/>
  <c r="J57" i="38"/>
  <c r="N56" i="38"/>
  <c r="M56" i="38"/>
  <c r="O56" i="38" s="1"/>
  <c r="J56" i="38"/>
  <c r="N55" i="38"/>
  <c r="M55" i="38"/>
  <c r="O55" i="38" s="1"/>
  <c r="J55" i="38"/>
  <c r="N54" i="38"/>
  <c r="M54" i="38"/>
  <c r="O54" i="38" s="1"/>
  <c r="J54" i="38"/>
  <c r="N53" i="38"/>
  <c r="M53" i="38"/>
  <c r="O53" i="38" s="1"/>
  <c r="J53" i="38"/>
  <c r="N52" i="38"/>
  <c r="M52" i="38"/>
  <c r="O52" i="38" s="1"/>
  <c r="J52" i="38"/>
  <c r="N51" i="38"/>
  <c r="M51" i="38"/>
  <c r="O51" i="38" s="1"/>
  <c r="J51" i="38"/>
  <c r="N50" i="38"/>
  <c r="M50" i="38"/>
  <c r="O50" i="38" s="1"/>
  <c r="J50" i="38"/>
  <c r="N49" i="38"/>
  <c r="M49" i="38"/>
  <c r="O49" i="38" s="1"/>
  <c r="J49" i="38"/>
  <c r="N48" i="38"/>
  <c r="M48" i="38"/>
  <c r="O48" i="38" s="1"/>
  <c r="J48" i="38"/>
  <c r="N47" i="38"/>
  <c r="M47" i="38"/>
  <c r="O47" i="38" s="1"/>
  <c r="J47" i="38"/>
  <c r="N46" i="38"/>
  <c r="M46" i="38"/>
  <c r="O46" i="38" s="1"/>
  <c r="J46" i="38"/>
  <c r="N45" i="38"/>
  <c r="M45" i="38"/>
  <c r="O45" i="38" s="1"/>
  <c r="J45" i="38"/>
  <c r="N44" i="38"/>
  <c r="M44" i="38"/>
  <c r="O44" i="38" s="1"/>
  <c r="J44" i="38"/>
  <c r="N43" i="38"/>
  <c r="M43" i="38"/>
  <c r="O43" i="38" s="1"/>
  <c r="J43" i="38"/>
  <c r="N42" i="38"/>
  <c r="M42" i="38"/>
  <c r="O42" i="38" s="1"/>
  <c r="J42" i="38"/>
  <c r="N41" i="38"/>
  <c r="M41" i="38"/>
  <c r="O41" i="38" s="1"/>
  <c r="J41" i="38"/>
  <c r="N40" i="38"/>
  <c r="M40" i="38"/>
  <c r="O40" i="38" s="1"/>
  <c r="J40" i="38"/>
  <c r="N39" i="38"/>
  <c r="M39" i="38"/>
  <c r="O39" i="38" s="1"/>
  <c r="J39" i="38"/>
  <c r="N38" i="38"/>
  <c r="M38" i="38"/>
  <c r="O38" i="38" s="1"/>
  <c r="J38" i="38"/>
  <c r="N37" i="38"/>
  <c r="M37" i="38"/>
  <c r="O37" i="38" s="1"/>
  <c r="J37" i="38"/>
  <c r="N36" i="38"/>
  <c r="M36" i="38"/>
  <c r="O36" i="38" s="1"/>
  <c r="J36" i="38"/>
  <c r="N35" i="38"/>
  <c r="M35" i="38"/>
  <c r="O35" i="38" s="1"/>
  <c r="J35" i="38"/>
  <c r="N34" i="38"/>
  <c r="M34" i="38"/>
  <c r="O34" i="38" s="1"/>
  <c r="J34" i="38"/>
  <c r="N33" i="38"/>
  <c r="M33" i="38"/>
  <c r="O33" i="38" s="1"/>
  <c r="J33" i="38"/>
  <c r="N32" i="38"/>
  <c r="M32" i="38"/>
  <c r="O32" i="38" s="1"/>
  <c r="J32" i="38"/>
  <c r="N31" i="38"/>
  <c r="M31" i="38"/>
  <c r="O31" i="38" s="1"/>
  <c r="J31" i="38"/>
  <c r="N30" i="38"/>
  <c r="M30" i="38"/>
  <c r="O30" i="38" s="1"/>
  <c r="J30" i="38"/>
  <c r="N29" i="38"/>
  <c r="M29" i="38"/>
  <c r="O29" i="38" s="1"/>
  <c r="J29" i="38"/>
  <c r="N28" i="38"/>
  <c r="M28" i="38"/>
  <c r="O28" i="38" s="1"/>
  <c r="J28" i="38"/>
  <c r="N27" i="38"/>
  <c r="M27" i="38"/>
  <c r="O27" i="38" s="1"/>
  <c r="J27" i="38"/>
  <c r="N26" i="38"/>
  <c r="M26" i="38"/>
  <c r="O26" i="38" s="1"/>
  <c r="J26" i="38"/>
  <c r="N25" i="38"/>
  <c r="M25" i="38"/>
  <c r="O25" i="38" s="1"/>
  <c r="J25" i="38"/>
  <c r="N24" i="38"/>
  <c r="M24" i="38"/>
  <c r="O24" i="38" s="1"/>
  <c r="J24" i="38"/>
  <c r="N23" i="38"/>
  <c r="M23" i="38"/>
  <c r="O23" i="38" s="1"/>
  <c r="J23" i="38"/>
  <c r="N22" i="38"/>
  <c r="M22" i="38"/>
  <c r="O22" i="38" s="1"/>
  <c r="J22" i="38"/>
  <c r="N21" i="38"/>
  <c r="M21" i="38"/>
  <c r="O21" i="38" s="1"/>
  <c r="J21" i="38"/>
  <c r="N20" i="38"/>
  <c r="M20" i="38"/>
  <c r="O20" i="38" s="1"/>
  <c r="J20" i="38"/>
  <c r="N19" i="38"/>
  <c r="M19" i="38"/>
  <c r="O19" i="38" s="1"/>
  <c r="J19" i="38"/>
  <c r="N18" i="38"/>
  <c r="M18" i="38"/>
  <c r="O18" i="38" s="1"/>
  <c r="J18" i="38"/>
  <c r="N17" i="38"/>
  <c r="M17" i="38"/>
  <c r="O17" i="38" s="1"/>
  <c r="J17" i="38"/>
  <c r="N16" i="38"/>
  <c r="M16" i="38"/>
  <c r="O16" i="38" s="1"/>
  <c r="J16" i="38"/>
  <c r="N15" i="38"/>
  <c r="M15" i="38"/>
  <c r="O15" i="38" s="1"/>
  <c r="J15" i="38"/>
  <c r="N14" i="38"/>
  <c r="M14" i="38"/>
  <c r="O14" i="38" s="1"/>
  <c r="J14" i="38"/>
  <c r="N13" i="38"/>
  <c r="M13" i="38"/>
  <c r="O13" i="38" s="1"/>
  <c r="J13" i="38"/>
  <c r="N12" i="38"/>
  <c r="M12" i="38"/>
  <c r="O12" i="38" s="1"/>
  <c r="J12" i="38"/>
  <c r="N11" i="38"/>
  <c r="M11" i="38"/>
  <c r="O11" i="38" s="1"/>
  <c r="J11" i="38"/>
  <c r="N10" i="38"/>
  <c r="M10" i="38"/>
  <c r="J10" i="38"/>
  <c r="AL1811" i="36"/>
  <c r="AM1811" i="36" s="1"/>
  <c r="AG1811" i="36"/>
  <c r="AH1811" i="36" s="1"/>
  <c r="AB1811" i="36"/>
  <c r="AC1811" i="36" s="1"/>
  <c r="W1811" i="36"/>
  <c r="V1811" i="36"/>
  <c r="X1811" i="36" s="1"/>
  <c r="L1811" i="36"/>
  <c r="AL1810" i="36"/>
  <c r="AM1810" i="36" s="1"/>
  <c r="AG1810" i="36"/>
  <c r="AH1810" i="36" s="1"/>
  <c r="AB1810" i="36"/>
  <c r="AC1810" i="36" s="1"/>
  <c r="W1810" i="36"/>
  <c r="V1810" i="36"/>
  <c r="X1810" i="36" s="1"/>
  <c r="L1810" i="36"/>
  <c r="AL1809" i="36"/>
  <c r="AM1809" i="36" s="1"/>
  <c r="AG1809" i="36"/>
  <c r="AH1809" i="36" s="1"/>
  <c r="AB1809" i="36"/>
  <c r="AC1809" i="36" s="1"/>
  <c r="W1809" i="36"/>
  <c r="V1809" i="36"/>
  <c r="X1809" i="36" s="1"/>
  <c r="L1809" i="36"/>
  <c r="AL1808" i="36"/>
  <c r="AM1808" i="36" s="1"/>
  <c r="AG1808" i="36"/>
  <c r="AH1808" i="36" s="1"/>
  <c r="AB1808" i="36"/>
  <c r="AC1808" i="36" s="1"/>
  <c r="W1808" i="36"/>
  <c r="V1808" i="36"/>
  <c r="X1808" i="36" s="1"/>
  <c r="L1808" i="36"/>
  <c r="AL1807" i="36"/>
  <c r="AM1807" i="36" s="1"/>
  <c r="AG1807" i="36"/>
  <c r="AH1807" i="36" s="1"/>
  <c r="AB1807" i="36"/>
  <c r="AC1807" i="36" s="1"/>
  <c r="W1807" i="36"/>
  <c r="V1807" i="36"/>
  <c r="X1807" i="36" s="1"/>
  <c r="L1807" i="36"/>
  <c r="AL1806" i="36"/>
  <c r="AM1806" i="36" s="1"/>
  <c r="AG1806" i="36"/>
  <c r="AH1806" i="36" s="1"/>
  <c r="AB1806" i="36"/>
  <c r="AC1806" i="36" s="1"/>
  <c r="W1806" i="36"/>
  <c r="V1806" i="36"/>
  <c r="X1806" i="36" s="1"/>
  <c r="L1806" i="36"/>
  <c r="AL1805" i="36"/>
  <c r="AM1805" i="36" s="1"/>
  <c r="AG1805" i="36"/>
  <c r="AH1805" i="36" s="1"/>
  <c r="AB1805" i="36"/>
  <c r="AC1805" i="36" s="1"/>
  <c r="W1805" i="36"/>
  <c r="V1805" i="36"/>
  <c r="X1805" i="36" s="1"/>
  <c r="L1805" i="36"/>
  <c r="AL1804" i="36"/>
  <c r="AM1804" i="36" s="1"/>
  <c r="AG1804" i="36"/>
  <c r="AH1804" i="36" s="1"/>
  <c r="AB1804" i="36"/>
  <c r="AC1804" i="36" s="1"/>
  <c r="W1804" i="36"/>
  <c r="V1804" i="36"/>
  <c r="X1804" i="36" s="1"/>
  <c r="L1804" i="36"/>
  <c r="AL1803" i="36"/>
  <c r="AM1803" i="36" s="1"/>
  <c r="AG1803" i="36"/>
  <c r="AH1803" i="36" s="1"/>
  <c r="AB1803" i="36"/>
  <c r="AC1803" i="36" s="1"/>
  <c r="W1803" i="36"/>
  <c r="V1803" i="36"/>
  <c r="X1803" i="36" s="1"/>
  <c r="L1803" i="36"/>
  <c r="AL1802" i="36"/>
  <c r="AM1802" i="36" s="1"/>
  <c r="AG1802" i="36"/>
  <c r="AH1802" i="36" s="1"/>
  <c r="AB1802" i="36"/>
  <c r="AC1802" i="36" s="1"/>
  <c r="W1802" i="36"/>
  <c r="V1802" i="36"/>
  <c r="X1802" i="36" s="1"/>
  <c r="L1802" i="36"/>
  <c r="AL1801" i="36"/>
  <c r="AM1801" i="36" s="1"/>
  <c r="AG1801" i="36"/>
  <c r="AH1801" i="36" s="1"/>
  <c r="AB1801" i="36"/>
  <c r="AC1801" i="36" s="1"/>
  <c r="W1801" i="36"/>
  <c r="V1801" i="36"/>
  <c r="X1801" i="36" s="1"/>
  <c r="L1801" i="36"/>
  <c r="AL1800" i="36"/>
  <c r="AM1800" i="36" s="1"/>
  <c r="AG1800" i="36"/>
  <c r="AH1800" i="36" s="1"/>
  <c r="AB1800" i="36"/>
  <c r="AC1800" i="36" s="1"/>
  <c r="W1800" i="36"/>
  <c r="V1800" i="36"/>
  <c r="X1800" i="36" s="1"/>
  <c r="L1800" i="36"/>
  <c r="AL1799" i="36"/>
  <c r="AM1799" i="36" s="1"/>
  <c r="AG1799" i="36"/>
  <c r="AH1799" i="36" s="1"/>
  <c r="AB1799" i="36"/>
  <c r="AC1799" i="36" s="1"/>
  <c r="W1799" i="36"/>
  <c r="V1799" i="36"/>
  <c r="X1799" i="36" s="1"/>
  <c r="L1799" i="36"/>
  <c r="AL1798" i="36"/>
  <c r="AM1798" i="36" s="1"/>
  <c r="AG1798" i="36"/>
  <c r="AH1798" i="36" s="1"/>
  <c r="AB1798" i="36"/>
  <c r="AC1798" i="36" s="1"/>
  <c r="W1798" i="36"/>
  <c r="V1798" i="36"/>
  <c r="X1798" i="36" s="1"/>
  <c r="L1798" i="36"/>
  <c r="AL1797" i="36"/>
  <c r="AM1797" i="36" s="1"/>
  <c r="AG1797" i="36"/>
  <c r="AH1797" i="36" s="1"/>
  <c r="AB1797" i="36"/>
  <c r="AC1797" i="36" s="1"/>
  <c r="W1797" i="36"/>
  <c r="V1797" i="36"/>
  <c r="X1797" i="36" s="1"/>
  <c r="L1797" i="36"/>
  <c r="AL1796" i="36"/>
  <c r="AM1796" i="36" s="1"/>
  <c r="AG1796" i="36"/>
  <c r="AH1796" i="36" s="1"/>
  <c r="AB1796" i="36"/>
  <c r="AC1796" i="36" s="1"/>
  <c r="W1796" i="36"/>
  <c r="V1796" i="36"/>
  <c r="X1796" i="36" s="1"/>
  <c r="L1796" i="36"/>
  <c r="AL1795" i="36"/>
  <c r="AM1795" i="36" s="1"/>
  <c r="AG1795" i="36"/>
  <c r="AH1795" i="36" s="1"/>
  <c r="AB1795" i="36"/>
  <c r="AC1795" i="36" s="1"/>
  <c r="W1795" i="36"/>
  <c r="V1795" i="36"/>
  <c r="X1795" i="36" s="1"/>
  <c r="L1795" i="36"/>
  <c r="AL1794" i="36"/>
  <c r="AM1794" i="36" s="1"/>
  <c r="AG1794" i="36"/>
  <c r="AH1794" i="36" s="1"/>
  <c r="AB1794" i="36"/>
  <c r="AC1794" i="36" s="1"/>
  <c r="W1794" i="36"/>
  <c r="V1794" i="36"/>
  <c r="X1794" i="36" s="1"/>
  <c r="L1794" i="36"/>
  <c r="AL1793" i="36"/>
  <c r="AM1793" i="36" s="1"/>
  <c r="AG1793" i="36"/>
  <c r="AH1793" i="36" s="1"/>
  <c r="AB1793" i="36"/>
  <c r="AC1793" i="36" s="1"/>
  <c r="W1793" i="36"/>
  <c r="V1793" i="36"/>
  <c r="X1793" i="36" s="1"/>
  <c r="L1793" i="36"/>
  <c r="AL1792" i="36"/>
  <c r="AM1792" i="36" s="1"/>
  <c r="AG1792" i="36"/>
  <c r="AH1792" i="36" s="1"/>
  <c r="AB1792" i="36"/>
  <c r="AC1792" i="36" s="1"/>
  <c r="W1792" i="36"/>
  <c r="V1792" i="36"/>
  <c r="X1792" i="36" s="1"/>
  <c r="L1792" i="36"/>
  <c r="AL1791" i="36"/>
  <c r="AM1791" i="36" s="1"/>
  <c r="AG1791" i="36"/>
  <c r="AH1791" i="36" s="1"/>
  <c r="AB1791" i="36"/>
  <c r="AC1791" i="36" s="1"/>
  <c r="W1791" i="36"/>
  <c r="V1791" i="36"/>
  <c r="X1791" i="36" s="1"/>
  <c r="L1791" i="36"/>
  <c r="AL1790" i="36"/>
  <c r="AM1790" i="36" s="1"/>
  <c r="AG1790" i="36"/>
  <c r="AH1790" i="36" s="1"/>
  <c r="AB1790" i="36"/>
  <c r="AC1790" i="36" s="1"/>
  <c r="W1790" i="36"/>
  <c r="V1790" i="36"/>
  <c r="X1790" i="36" s="1"/>
  <c r="L1790" i="36"/>
  <c r="AL1789" i="36"/>
  <c r="AM1789" i="36" s="1"/>
  <c r="AG1789" i="36"/>
  <c r="AH1789" i="36" s="1"/>
  <c r="AB1789" i="36"/>
  <c r="AC1789" i="36" s="1"/>
  <c r="W1789" i="36"/>
  <c r="V1789" i="36"/>
  <c r="X1789" i="36" s="1"/>
  <c r="L1789" i="36"/>
  <c r="AL1788" i="36"/>
  <c r="AM1788" i="36" s="1"/>
  <c r="AG1788" i="36"/>
  <c r="AH1788" i="36" s="1"/>
  <c r="AB1788" i="36"/>
  <c r="AC1788" i="36" s="1"/>
  <c r="W1788" i="36"/>
  <c r="V1788" i="36"/>
  <c r="X1788" i="36" s="1"/>
  <c r="L1788" i="36"/>
  <c r="AL1787" i="36"/>
  <c r="AM1787" i="36" s="1"/>
  <c r="AG1787" i="36"/>
  <c r="AH1787" i="36" s="1"/>
  <c r="AB1787" i="36"/>
  <c r="AC1787" i="36" s="1"/>
  <c r="W1787" i="36"/>
  <c r="V1787" i="36"/>
  <c r="X1787" i="36" s="1"/>
  <c r="L1787" i="36"/>
  <c r="AL1786" i="36"/>
  <c r="AM1786" i="36" s="1"/>
  <c r="AG1786" i="36"/>
  <c r="AH1786" i="36" s="1"/>
  <c r="AB1786" i="36"/>
  <c r="AC1786" i="36" s="1"/>
  <c r="W1786" i="36"/>
  <c r="V1786" i="36"/>
  <c r="X1786" i="36" s="1"/>
  <c r="L1786" i="36"/>
  <c r="AL1785" i="36"/>
  <c r="AM1785" i="36" s="1"/>
  <c r="AG1785" i="36"/>
  <c r="AH1785" i="36" s="1"/>
  <c r="AB1785" i="36"/>
  <c r="AC1785" i="36" s="1"/>
  <c r="W1785" i="36"/>
  <c r="V1785" i="36"/>
  <c r="X1785" i="36" s="1"/>
  <c r="L1785" i="36"/>
  <c r="AL1784" i="36"/>
  <c r="AM1784" i="36" s="1"/>
  <c r="AG1784" i="36"/>
  <c r="AH1784" i="36" s="1"/>
  <c r="AB1784" i="36"/>
  <c r="AC1784" i="36" s="1"/>
  <c r="W1784" i="36"/>
  <c r="V1784" i="36"/>
  <c r="X1784" i="36" s="1"/>
  <c r="L1784" i="36"/>
  <c r="AL1783" i="36"/>
  <c r="AM1783" i="36" s="1"/>
  <c r="AG1783" i="36"/>
  <c r="AH1783" i="36" s="1"/>
  <c r="AB1783" i="36"/>
  <c r="AC1783" i="36" s="1"/>
  <c r="W1783" i="36"/>
  <c r="V1783" i="36"/>
  <c r="X1783" i="36" s="1"/>
  <c r="L1783" i="36"/>
  <c r="AL1782" i="36"/>
  <c r="AM1782" i="36" s="1"/>
  <c r="AG1782" i="36"/>
  <c r="AH1782" i="36" s="1"/>
  <c r="AB1782" i="36"/>
  <c r="AC1782" i="36" s="1"/>
  <c r="W1782" i="36"/>
  <c r="V1782" i="36"/>
  <c r="X1782" i="36" s="1"/>
  <c r="L1782" i="36"/>
  <c r="AL1781" i="36"/>
  <c r="AM1781" i="36" s="1"/>
  <c r="AG1781" i="36"/>
  <c r="AH1781" i="36" s="1"/>
  <c r="AB1781" i="36"/>
  <c r="AC1781" i="36" s="1"/>
  <c r="W1781" i="36"/>
  <c r="V1781" i="36"/>
  <c r="X1781" i="36" s="1"/>
  <c r="L1781" i="36"/>
  <c r="AL1780" i="36"/>
  <c r="AM1780" i="36" s="1"/>
  <c r="AG1780" i="36"/>
  <c r="AH1780" i="36" s="1"/>
  <c r="AB1780" i="36"/>
  <c r="AC1780" i="36" s="1"/>
  <c r="W1780" i="36"/>
  <c r="V1780" i="36"/>
  <c r="X1780" i="36" s="1"/>
  <c r="L1780" i="36"/>
  <c r="AL1779" i="36"/>
  <c r="AM1779" i="36" s="1"/>
  <c r="AG1779" i="36"/>
  <c r="AH1779" i="36" s="1"/>
  <c r="AB1779" i="36"/>
  <c r="AC1779" i="36" s="1"/>
  <c r="W1779" i="36"/>
  <c r="V1779" i="36"/>
  <c r="X1779" i="36" s="1"/>
  <c r="L1779" i="36"/>
  <c r="AL1778" i="36"/>
  <c r="AM1778" i="36" s="1"/>
  <c r="AG1778" i="36"/>
  <c r="AH1778" i="36" s="1"/>
  <c r="AB1778" i="36"/>
  <c r="AC1778" i="36" s="1"/>
  <c r="W1778" i="36"/>
  <c r="V1778" i="36"/>
  <c r="X1778" i="36" s="1"/>
  <c r="L1778" i="36"/>
  <c r="AL1777" i="36"/>
  <c r="AM1777" i="36" s="1"/>
  <c r="AG1777" i="36"/>
  <c r="AH1777" i="36" s="1"/>
  <c r="AB1777" i="36"/>
  <c r="AC1777" i="36" s="1"/>
  <c r="W1777" i="36"/>
  <c r="V1777" i="36"/>
  <c r="X1777" i="36" s="1"/>
  <c r="L1777" i="36"/>
  <c r="AL1776" i="36"/>
  <c r="AM1776" i="36" s="1"/>
  <c r="AG1776" i="36"/>
  <c r="AH1776" i="36" s="1"/>
  <c r="AB1776" i="36"/>
  <c r="AC1776" i="36" s="1"/>
  <c r="W1776" i="36"/>
  <c r="V1776" i="36"/>
  <c r="X1776" i="36" s="1"/>
  <c r="L1776" i="36"/>
  <c r="AL1775" i="36"/>
  <c r="AM1775" i="36" s="1"/>
  <c r="AG1775" i="36"/>
  <c r="AH1775" i="36" s="1"/>
  <c r="AB1775" i="36"/>
  <c r="AC1775" i="36" s="1"/>
  <c r="W1775" i="36"/>
  <c r="V1775" i="36"/>
  <c r="X1775" i="36" s="1"/>
  <c r="L1775" i="36"/>
  <c r="AL1774" i="36"/>
  <c r="AM1774" i="36" s="1"/>
  <c r="AG1774" i="36"/>
  <c r="AH1774" i="36" s="1"/>
  <c r="AB1774" i="36"/>
  <c r="AC1774" i="36" s="1"/>
  <c r="W1774" i="36"/>
  <c r="V1774" i="36"/>
  <c r="X1774" i="36" s="1"/>
  <c r="L1774" i="36"/>
  <c r="AL1773" i="36"/>
  <c r="AM1773" i="36" s="1"/>
  <c r="AG1773" i="36"/>
  <c r="AH1773" i="36" s="1"/>
  <c r="AB1773" i="36"/>
  <c r="AC1773" i="36" s="1"/>
  <c r="W1773" i="36"/>
  <c r="V1773" i="36"/>
  <c r="X1773" i="36" s="1"/>
  <c r="L1773" i="36"/>
  <c r="AL1772" i="36"/>
  <c r="AM1772" i="36" s="1"/>
  <c r="AG1772" i="36"/>
  <c r="AH1772" i="36" s="1"/>
  <c r="AB1772" i="36"/>
  <c r="AC1772" i="36" s="1"/>
  <c r="W1772" i="36"/>
  <c r="V1772" i="36"/>
  <c r="X1772" i="36" s="1"/>
  <c r="L1772" i="36"/>
  <c r="AL1771" i="36"/>
  <c r="AM1771" i="36" s="1"/>
  <c r="AG1771" i="36"/>
  <c r="AH1771" i="36" s="1"/>
  <c r="AB1771" i="36"/>
  <c r="AC1771" i="36" s="1"/>
  <c r="W1771" i="36"/>
  <c r="V1771" i="36"/>
  <c r="X1771" i="36" s="1"/>
  <c r="L1771" i="36"/>
  <c r="AL1770" i="36"/>
  <c r="AM1770" i="36" s="1"/>
  <c r="AG1770" i="36"/>
  <c r="AH1770" i="36" s="1"/>
  <c r="AB1770" i="36"/>
  <c r="AC1770" i="36" s="1"/>
  <c r="W1770" i="36"/>
  <c r="V1770" i="36"/>
  <c r="X1770" i="36" s="1"/>
  <c r="L1770" i="36"/>
  <c r="AL1769" i="36"/>
  <c r="AM1769" i="36" s="1"/>
  <c r="AG1769" i="36"/>
  <c r="AH1769" i="36" s="1"/>
  <c r="AB1769" i="36"/>
  <c r="AC1769" i="36" s="1"/>
  <c r="W1769" i="36"/>
  <c r="V1769" i="36"/>
  <c r="X1769" i="36" s="1"/>
  <c r="L1769" i="36"/>
  <c r="AL1768" i="36"/>
  <c r="AM1768" i="36" s="1"/>
  <c r="AG1768" i="36"/>
  <c r="AH1768" i="36" s="1"/>
  <c r="AB1768" i="36"/>
  <c r="AC1768" i="36" s="1"/>
  <c r="W1768" i="36"/>
  <c r="V1768" i="36"/>
  <c r="X1768" i="36" s="1"/>
  <c r="L1768" i="36"/>
  <c r="AL1767" i="36"/>
  <c r="AM1767" i="36" s="1"/>
  <c r="AG1767" i="36"/>
  <c r="AH1767" i="36" s="1"/>
  <c r="AB1767" i="36"/>
  <c r="AC1767" i="36" s="1"/>
  <c r="W1767" i="36"/>
  <c r="V1767" i="36"/>
  <c r="X1767" i="36" s="1"/>
  <c r="L1767" i="36"/>
  <c r="AL1766" i="36"/>
  <c r="AM1766" i="36" s="1"/>
  <c r="AG1766" i="36"/>
  <c r="AH1766" i="36" s="1"/>
  <c r="AB1766" i="36"/>
  <c r="AC1766" i="36" s="1"/>
  <c r="W1766" i="36"/>
  <c r="V1766" i="36"/>
  <c r="X1766" i="36" s="1"/>
  <c r="L1766" i="36"/>
  <c r="AL1765" i="36"/>
  <c r="AM1765" i="36" s="1"/>
  <c r="AG1765" i="36"/>
  <c r="AH1765" i="36" s="1"/>
  <c r="AB1765" i="36"/>
  <c r="AC1765" i="36" s="1"/>
  <c r="W1765" i="36"/>
  <c r="V1765" i="36"/>
  <c r="X1765" i="36" s="1"/>
  <c r="L1765" i="36"/>
  <c r="AL1764" i="36"/>
  <c r="AM1764" i="36" s="1"/>
  <c r="AG1764" i="36"/>
  <c r="AH1764" i="36" s="1"/>
  <c r="AB1764" i="36"/>
  <c r="AC1764" i="36" s="1"/>
  <c r="W1764" i="36"/>
  <c r="V1764" i="36"/>
  <c r="X1764" i="36" s="1"/>
  <c r="L1764" i="36"/>
  <c r="AL1763" i="36"/>
  <c r="AM1763" i="36" s="1"/>
  <c r="AG1763" i="36"/>
  <c r="AH1763" i="36" s="1"/>
  <c r="AB1763" i="36"/>
  <c r="AC1763" i="36" s="1"/>
  <c r="W1763" i="36"/>
  <c r="V1763" i="36"/>
  <c r="X1763" i="36" s="1"/>
  <c r="L1763" i="36"/>
  <c r="AL1762" i="36"/>
  <c r="AM1762" i="36" s="1"/>
  <c r="AG1762" i="36"/>
  <c r="AH1762" i="36" s="1"/>
  <c r="AB1762" i="36"/>
  <c r="AC1762" i="36" s="1"/>
  <c r="W1762" i="36"/>
  <c r="V1762" i="36"/>
  <c r="X1762" i="36" s="1"/>
  <c r="L1762" i="36"/>
  <c r="AL1761" i="36"/>
  <c r="AM1761" i="36" s="1"/>
  <c r="AG1761" i="36"/>
  <c r="AH1761" i="36" s="1"/>
  <c r="AB1761" i="36"/>
  <c r="AC1761" i="36" s="1"/>
  <c r="W1761" i="36"/>
  <c r="V1761" i="36"/>
  <c r="X1761" i="36" s="1"/>
  <c r="L1761" i="36"/>
  <c r="AL1760" i="36"/>
  <c r="AM1760" i="36" s="1"/>
  <c r="AG1760" i="36"/>
  <c r="AH1760" i="36" s="1"/>
  <c r="AB1760" i="36"/>
  <c r="AC1760" i="36" s="1"/>
  <c r="W1760" i="36"/>
  <c r="V1760" i="36"/>
  <c r="X1760" i="36" s="1"/>
  <c r="L1760" i="36"/>
  <c r="AL1759" i="36"/>
  <c r="AM1759" i="36" s="1"/>
  <c r="AG1759" i="36"/>
  <c r="AH1759" i="36" s="1"/>
  <c r="AB1759" i="36"/>
  <c r="AC1759" i="36" s="1"/>
  <c r="W1759" i="36"/>
  <c r="V1759" i="36"/>
  <c r="X1759" i="36" s="1"/>
  <c r="L1759" i="36"/>
  <c r="AL1758" i="36"/>
  <c r="AM1758" i="36" s="1"/>
  <c r="AG1758" i="36"/>
  <c r="AH1758" i="36" s="1"/>
  <c r="AB1758" i="36"/>
  <c r="AC1758" i="36" s="1"/>
  <c r="W1758" i="36"/>
  <c r="V1758" i="36"/>
  <c r="X1758" i="36" s="1"/>
  <c r="L1758" i="36"/>
  <c r="AL1757" i="36"/>
  <c r="AM1757" i="36" s="1"/>
  <c r="AG1757" i="36"/>
  <c r="AH1757" i="36" s="1"/>
  <c r="AB1757" i="36"/>
  <c r="AC1757" i="36" s="1"/>
  <c r="W1757" i="36"/>
  <c r="V1757" i="36"/>
  <c r="X1757" i="36" s="1"/>
  <c r="L1757" i="36"/>
  <c r="AL1756" i="36"/>
  <c r="AM1756" i="36" s="1"/>
  <c r="AG1756" i="36"/>
  <c r="AH1756" i="36" s="1"/>
  <c r="AB1756" i="36"/>
  <c r="AC1756" i="36" s="1"/>
  <c r="W1756" i="36"/>
  <c r="V1756" i="36"/>
  <c r="X1756" i="36" s="1"/>
  <c r="L1756" i="36"/>
  <c r="AL1755" i="36"/>
  <c r="AM1755" i="36" s="1"/>
  <c r="AG1755" i="36"/>
  <c r="AH1755" i="36" s="1"/>
  <c r="AB1755" i="36"/>
  <c r="AC1755" i="36" s="1"/>
  <c r="W1755" i="36"/>
  <c r="V1755" i="36"/>
  <c r="X1755" i="36" s="1"/>
  <c r="L1755" i="36"/>
  <c r="AL1754" i="36"/>
  <c r="AM1754" i="36" s="1"/>
  <c r="AG1754" i="36"/>
  <c r="AH1754" i="36" s="1"/>
  <c r="AB1754" i="36"/>
  <c r="AC1754" i="36" s="1"/>
  <c r="W1754" i="36"/>
  <c r="V1754" i="36"/>
  <c r="X1754" i="36" s="1"/>
  <c r="L1754" i="36"/>
  <c r="AL1753" i="36"/>
  <c r="AM1753" i="36" s="1"/>
  <c r="AG1753" i="36"/>
  <c r="AH1753" i="36" s="1"/>
  <c r="AB1753" i="36"/>
  <c r="AC1753" i="36" s="1"/>
  <c r="W1753" i="36"/>
  <c r="V1753" i="36"/>
  <c r="X1753" i="36" s="1"/>
  <c r="L1753" i="36"/>
  <c r="AL1752" i="36"/>
  <c r="AM1752" i="36" s="1"/>
  <c r="AG1752" i="36"/>
  <c r="AH1752" i="36" s="1"/>
  <c r="AB1752" i="36"/>
  <c r="AC1752" i="36" s="1"/>
  <c r="W1752" i="36"/>
  <c r="V1752" i="36"/>
  <c r="X1752" i="36" s="1"/>
  <c r="L1752" i="36"/>
  <c r="AL1751" i="36"/>
  <c r="AM1751" i="36" s="1"/>
  <c r="AG1751" i="36"/>
  <c r="AH1751" i="36" s="1"/>
  <c r="AB1751" i="36"/>
  <c r="AC1751" i="36" s="1"/>
  <c r="W1751" i="36"/>
  <c r="V1751" i="36"/>
  <c r="X1751" i="36" s="1"/>
  <c r="L1751" i="36"/>
  <c r="AL1750" i="36"/>
  <c r="AM1750" i="36" s="1"/>
  <c r="AG1750" i="36"/>
  <c r="AH1750" i="36" s="1"/>
  <c r="AB1750" i="36"/>
  <c r="AC1750" i="36" s="1"/>
  <c r="W1750" i="36"/>
  <c r="V1750" i="36"/>
  <c r="X1750" i="36" s="1"/>
  <c r="L1750" i="36"/>
  <c r="AL1749" i="36"/>
  <c r="AM1749" i="36" s="1"/>
  <c r="AG1749" i="36"/>
  <c r="AH1749" i="36" s="1"/>
  <c r="AB1749" i="36"/>
  <c r="AC1749" i="36" s="1"/>
  <c r="W1749" i="36"/>
  <c r="V1749" i="36"/>
  <c r="X1749" i="36" s="1"/>
  <c r="L1749" i="36"/>
  <c r="AL1748" i="36"/>
  <c r="AM1748" i="36" s="1"/>
  <c r="AG1748" i="36"/>
  <c r="AH1748" i="36" s="1"/>
  <c r="AB1748" i="36"/>
  <c r="AC1748" i="36" s="1"/>
  <c r="W1748" i="36"/>
  <c r="V1748" i="36"/>
  <c r="X1748" i="36" s="1"/>
  <c r="L1748" i="36"/>
  <c r="AL1747" i="36"/>
  <c r="AM1747" i="36" s="1"/>
  <c r="AG1747" i="36"/>
  <c r="AH1747" i="36" s="1"/>
  <c r="AB1747" i="36"/>
  <c r="AC1747" i="36" s="1"/>
  <c r="W1747" i="36"/>
  <c r="V1747" i="36"/>
  <c r="X1747" i="36" s="1"/>
  <c r="L1747" i="36"/>
  <c r="AL1746" i="36"/>
  <c r="AM1746" i="36" s="1"/>
  <c r="AG1746" i="36"/>
  <c r="AH1746" i="36" s="1"/>
  <c r="AB1746" i="36"/>
  <c r="AC1746" i="36" s="1"/>
  <c r="W1746" i="36"/>
  <c r="V1746" i="36"/>
  <c r="X1746" i="36" s="1"/>
  <c r="L1746" i="36"/>
  <c r="AL1745" i="36"/>
  <c r="AM1745" i="36" s="1"/>
  <c r="AG1745" i="36"/>
  <c r="AH1745" i="36" s="1"/>
  <c r="AB1745" i="36"/>
  <c r="AC1745" i="36" s="1"/>
  <c r="W1745" i="36"/>
  <c r="V1745" i="36"/>
  <c r="X1745" i="36" s="1"/>
  <c r="L1745" i="36"/>
  <c r="AL1744" i="36"/>
  <c r="AM1744" i="36" s="1"/>
  <c r="AG1744" i="36"/>
  <c r="AH1744" i="36" s="1"/>
  <c r="AB1744" i="36"/>
  <c r="AC1744" i="36" s="1"/>
  <c r="W1744" i="36"/>
  <c r="V1744" i="36"/>
  <c r="X1744" i="36" s="1"/>
  <c r="L1744" i="36"/>
  <c r="AL1743" i="36"/>
  <c r="AM1743" i="36" s="1"/>
  <c r="AG1743" i="36"/>
  <c r="AH1743" i="36" s="1"/>
  <c r="AB1743" i="36"/>
  <c r="AC1743" i="36" s="1"/>
  <c r="W1743" i="36"/>
  <c r="V1743" i="36"/>
  <c r="X1743" i="36" s="1"/>
  <c r="L1743" i="36"/>
  <c r="AL1742" i="36"/>
  <c r="AM1742" i="36" s="1"/>
  <c r="AG1742" i="36"/>
  <c r="AH1742" i="36" s="1"/>
  <c r="AB1742" i="36"/>
  <c r="AC1742" i="36" s="1"/>
  <c r="W1742" i="36"/>
  <c r="V1742" i="36"/>
  <c r="X1742" i="36" s="1"/>
  <c r="L1742" i="36"/>
  <c r="AL1741" i="36"/>
  <c r="AM1741" i="36" s="1"/>
  <c r="AG1741" i="36"/>
  <c r="AH1741" i="36" s="1"/>
  <c r="AB1741" i="36"/>
  <c r="AC1741" i="36" s="1"/>
  <c r="W1741" i="36"/>
  <c r="V1741" i="36"/>
  <c r="X1741" i="36" s="1"/>
  <c r="L1741" i="36"/>
  <c r="AL1740" i="36"/>
  <c r="AM1740" i="36" s="1"/>
  <c r="AG1740" i="36"/>
  <c r="AH1740" i="36" s="1"/>
  <c r="AB1740" i="36"/>
  <c r="AC1740" i="36" s="1"/>
  <c r="W1740" i="36"/>
  <c r="V1740" i="36"/>
  <c r="X1740" i="36" s="1"/>
  <c r="L1740" i="36"/>
  <c r="AL1739" i="36"/>
  <c r="AM1739" i="36" s="1"/>
  <c r="AG1739" i="36"/>
  <c r="AH1739" i="36" s="1"/>
  <c r="AB1739" i="36"/>
  <c r="AC1739" i="36" s="1"/>
  <c r="W1739" i="36"/>
  <c r="V1739" i="36"/>
  <c r="X1739" i="36" s="1"/>
  <c r="L1739" i="36"/>
  <c r="AL1738" i="36"/>
  <c r="AM1738" i="36" s="1"/>
  <c r="AG1738" i="36"/>
  <c r="AH1738" i="36" s="1"/>
  <c r="AB1738" i="36"/>
  <c r="AC1738" i="36" s="1"/>
  <c r="W1738" i="36"/>
  <c r="V1738" i="36"/>
  <c r="X1738" i="36" s="1"/>
  <c r="L1738" i="36"/>
  <c r="AL1737" i="36"/>
  <c r="AM1737" i="36" s="1"/>
  <c r="AG1737" i="36"/>
  <c r="AH1737" i="36" s="1"/>
  <c r="AB1737" i="36"/>
  <c r="AC1737" i="36" s="1"/>
  <c r="W1737" i="36"/>
  <c r="V1737" i="36"/>
  <c r="X1737" i="36" s="1"/>
  <c r="L1737" i="36"/>
  <c r="AL1736" i="36"/>
  <c r="AM1736" i="36" s="1"/>
  <c r="AG1736" i="36"/>
  <c r="AH1736" i="36" s="1"/>
  <c r="AB1736" i="36"/>
  <c r="AC1736" i="36" s="1"/>
  <c r="W1736" i="36"/>
  <c r="V1736" i="36"/>
  <c r="X1736" i="36" s="1"/>
  <c r="L1736" i="36"/>
  <c r="AL1735" i="36"/>
  <c r="AM1735" i="36" s="1"/>
  <c r="AG1735" i="36"/>
  <c r="AH1735" i="36" s="1"/>
  <c r="AB1735" i="36"/>
  <c r="AC1735" i="36" s="1"/>
  <c r="W1735" i="36"/>
  <c r="V1735" i="36"/>
  <c r="X1735" i="36" s="1"/>
  <c r="L1735" i="36"/>
  <c r="AL1734" i="36"/>
  <c r="AM1734" i="36" s="1"/>
  <c r="AG1734" i="36"/>
  <c r="AH1734" i="36" s="1"/>
  <c r="AB1734" i="36"/>
  <c r="AC1734" i="36" s="1"/>
  <c r="W1734" i="36"/>
  <c r="V1734" i="36"/>
  <c r="X1734" i="36" s="1"/>
  <c r="L1734" i="36"/>
  <c r="AL1733" i="36"/>
  <c r="AM1733" i="36" s="1"/>
  <c r="AG1733" i="36"/>
  <c r="AH1733" i="36" s="1"/>
  <c r="AB1733" i="36"/>
  <c r="AC1733" i="36" s="1"/>
  <c r="W1733" i="36"/>
  <c r="V1733" i="36"/>
  <c r="X1733" i="36" s="1"/>
  <c r="L1733" i="36"/>
  <c r="AL1732" i="36"/>
  <c r="AM1732" i="36" s="1"/>
  <c r="AG1732" i="36"/>
  <c r="AH1732" i="36" s="1"/>
  <c r="AB1732" i="36"/>
  <c r="AC1732" i="36" s="1"/>
  <c r="W1732" i="36"/>
  <c r="V1732" i="36"/>
  <c r="X1732" i="36" s="1"/>
  <c r="L1732" i="36"/>
  <c r="AL1731" i="36"/>
  <c r="AM1731" i="36" s="1"/>
  <c r="AG1731" i="36"/>
  <c r="AH1731" i="36" s="1"/>
  <c r="AB1731" i="36"/>
  <c r="AC1731" i="36" s="1"/>
  <c r="W1731" i="36"/>
  <c r="V1731" i="36"/>
  <c r="X1731" i="36" s="1"/>
  <c r="L1731" i="36"/>
  <c r="AL1730" i="36"/>
  <c r="AM1730" i="36" s="1"/>
  <c r="AG1730" i="36"/>
  <c r="AH1730" i="36" s="1"/>
  <c r="AB1730" i="36"/>
  <c r="AC1730" i="36" s="1"/>
  <c r="W1730" i="36"/>
  <c r="V1730" i="36"/>
  <c r="X1730" i="36" s="1"/>
  <c r="L1730" i="36"/>
  <c r="AL1729" i="36"/>
  <c r="AM1729" i="36" s="1"/>
  <c r="AG1729" i="36"/>
  <c r="AH1729" i="36" s="1"/>
  <c r="AB1729" i="36"/>
  <c r="AC1729" i="36" s="1"/>
  <c r="W1729" i="36"/>
  <c r="V1729" i="36"/>
  <c r="X1729" i="36" s="1"/>
  <c r="L1729" i="36"/>
  <c r="AL1728" i="36"/>
  <c r="AM1728" i="36" s="1"/>
  <c r="AG1728" i="36"/>
  <c r="AH1728" i="36" s="1"/>
  <c r="AB1728" i="36"/>
  <c r="AC1728" i="36" s="1"/>
  <c r="W1728" i="36"/>
  <c r="V1728" i="36"/>
  <c r="X1728" i="36" s="1"/>
  <c r="L1728" i="36"/>
  <c r="AL1727" i="36"/>
  <c r="AM1727" i="36" s="1"/>
  <c r="AG1727" i="36"/>
  <c r="AH1727" i="36" s="1"/>
  <c r="AB1727" i="36"/>
  <c r="AC1727" i="36" s="1"/>
  <c r="W1727" i="36"/>
  <c r="V1727" i="36"/>
  <c r="X1727" i="36" s="1"/>
  <c r="L1727" i="36"/>
  <c r="AL1726" i="36"/>
  <c r="AM1726" i="36" s="1"/>
  <c r="AG1726" i="36"/>
  <c r="AH1726" i="36" s="1"/>
  <c r="AB1726" i="36"/>
  <c r="AC1726" i="36" s="1"/>
  <c r="W1726" i="36"/>
  <c r="V1726" i="36"/>
  <c r="X1726" i="36" s="1"/>
  <c r="L1726" i="36"/>
  <c r="AL1725" i="36"/>
  <c r="AM1725" i="36" s="1"/>
  <c r="AG1725" i="36"/>
  <c r="AH1725" i="36" s="1"/>
  <c r="AB1725" i="36"/>
  <c r="AC1725" i="36" s="1"/>
  <c r="W1725" i="36"/>
  <c r="V1725" i="36"/>
  <c r="X1725" i="36" s="1"/>
  <c r="L1725" i="36"/>
  <c r="AL1724" i="36"/>
  <c r="AM1724" i="36" s="1"/>
  <c r="AG1724" i="36"/>
  <c r="AH1724" i="36" s="1"/>
  <c r="AB1724" i="36"/>
  <c r="AC1724" i="36" s="1"/>
  <c r="W1724" i="36"/>
  <c r="V1724" i="36"/>
  <c r="X1724" i="36" s="1"/>
  <c r="L1724" i="36"/>
  <c r="AL1723" i="36"/>
  <c r="AM1723" i="36" s="1"/>
  <c r="AG1723" i="36"/>
  <c r="AH1723" i="36" s="1"/>
  <c r="AB1723" i="36"/>
  <c r="AC1723" i="36" s="1"/>
  <c r="W1723" i="36"/>
  <c r="V1723" i="36"/>
  <c r="X1723" i="36" s="1"/>
  <c r="L1723" i="36"/>
  <c r="AL1722" i="36"/>
  <c r="AM1722" i="36" s="1"/>
  <c r="AG1722" i="36"/>
  <c r="AH1722" i="36" s="1"/>
  <c r="AB1722" i="36"/>
  <c r="AC1722" i="36" s="1"/>
  <c r="W1722" i="36"/>
  <c r="V1722" i="36"/>
  <c r="X1722" i="36" s="1"/>
  <c r="L1722" i="36"/>
  <c r="AL1721" i="36"/>
  <c r="AM1721" i="36" s="1"/>
  <c r="AG1721" i="36"/>
  <c r="AH1721" i="36" s="1"/>
  <c r="AB1721" i="36"/>
  <c r="AC1721" i="36" s="1"/>
  <c r="W1721" i="36"/>
  <c r="V1721" i="36"/>
  <c r="X1721" i="36" s="1"/>
  <c r="L1721" i="36"/>
  <c r="AL1720" i="36"/>
  <c r="AM1720" i="36" s="1"/>
  <c r="AG1720" i="36"/>
  <c r="AH1720" i="36" s="1"/>
  <c r="AB1720" i="36"/>
  <c r="AC1720" i="36" s="1"/>
  <c r="W1720" i="36"/>
  <c r="V1720" i="36"/>
  <c r="X1720" i="36" s="1"/>
  <c r="L1720" i="36"/>
  <c r="AL1719" i="36"/>
  <c r="AM1719" i="36" s="1"/>
  <c r="AG1719" i="36"/>
  <c r="AH1719" i="36" s="1"/>
  <c r="AB1719" i="36"/>
  <c r="AC1719" i="36" s="1"/>
  <c r="W1719" i="36"/>
  <c r="V1719" i="36"/>
  <c r="X1719" i="36" s="1"/>
  <c r="L1719" i="36"/>
  <c r="AL1718" i="36"/>
  <c r="AM1718" i="36" s="1"/>
  <c r="AG1718" i="36"/>
  <c r="AH1718" i="36" s="1"/>
  <c r="AB1718" i="36"/>
  <c r="AC1718" i="36" s="1"/>
  <c r="W1718" i="36"/>
  <c r="V1718" i="36"/>
  <c r="X1718" i="36" s="1"/>
  <c r="L1718" i="36"/>
  <c r="AL1717" i="36"/>
  <c r="AM1717" i="36" s="1"/>
  <c r="AG1717" i="36"/>
  <c r="AH1717" i="36" s="1"/>
  <c r="AB1717" i="36"/>
  <c r="AC1717" i="36" s="1"/>
  <c r="W1717" i="36"/>
  <c r="V1717" i="36"/>
  <c r="X1717" i="36" s="1"/>
  <c r="L1717" i="36"/>
  <c r="AL1716" i="36"/>
  <c r="AM1716" i="36" s="1"/>
  <c r="AG1716" i="36"/>
  <c r="AH1716" i="36" s="1"/>
  <c r="AB1716" i="36"/>
  <c r="AC1716" i="36" s="1"/>
  <c r="W1716" i="36"/>
  <c r="V1716" i="36"/>
  <c r="X1716" i="36" s="1"/>
  <c r="L1716" i="36"/>
  <c r="AL1715" i="36"/>
  <c r="AM1715" i="36" s="1"/>
  <c r="AG1715" i="36"/>
  <c r="AH1715" i="36" s="1"/>
  <c r="AB1715" i="36"/>
  <c r="AC1715" i="36" s="1"/>
  <c r="W1715" i="36"/>
  <c r="V1715" i="36"/>
  <c r="X1715" i="36" s="1"/>
  <c r="L1715" i="36"/>
  <c r="AL1714" i="36"/>
  <c r="AM1714" i="36" s="1"/>
  <c r="AG1714" i="36"/>
  <c r="AH1714" i="36" s="1"/>
  <c r="AB1714" i="36"/>
  <c r="AC1714" i="36" s="1"/>
  <c r="W1714" i="36"/>
  <c r="V1714" i="36"/>
  <c r="X1714" i="36" s="1"/>
  <c r="L1714" i="36"/>
  <c r="AL1713" i="36"/>
  <c r="AM1713" i="36" s="1"/>
  <c r="AG1713" i="36"/>
  <c r="AH1713" i="36" s="1"/>
  <c r="AB1713" i="36"/>
  <c r="AC1713" i="36" s="1"/>
  <c r="W1713" i="36"/>
  <c r="V1713" i="36"/>
  <c r="X1713" i="36" s="1"/>
  <c r="L1713" i="36"/>
  <c r="AL1712" i="36"/>
  <c r="AM1712" i="36" s="1"/>
  <c r="AG1712" i="36"/>
  <c r="AH1712" i="36" s="1"/>
  <c r="AB1712" i="36"/>
  <c r="AC1712" i="36" s="1"/>
  <c r="W1712" i="36"/>
  <c r="V1712" i="36"/>
  <c r="X1712" i="36" s="1"/>
  <c r="L1712" i="36"/>
  <c r="AL1711" i="36"/>
  <c r="AM1711" i="36" s="1"/>
  <c r="AG1711" i="36"/>
  <c r="AH1711" i="36" s="1"/>
  <c r="AB1711" i="36"/>
  <c r="AC1711" i="36" s="1"/>
  <c r="W1711" i="36"/>
  <c r="V1711" i="36"/>
  <c r="X1711" i="36" s="1"/>
  <c r="L1711" i="36"/>
  <c r="AL1710" i="36"/>
  <c r="AM1710" i="36" s="1"/>
  <c r="AG1710" i="36"/>
  <c r="AH1710" i="36" s="1"/>
  <c r="AB1710" i="36"/>
  <c r="AC1710" i="36" s="1"/>
  <c r="W1710" i="36"/>
  <c r="V1710" i="36"/>
  <c r="X1710" i="36" s="1"/>
  <c r="L1710" i="36"/>
  <c r="AL1709" i="36"/>
  <c r="AM1709" i="36" s="1"/>
  <c r="AG1709" i="36"/>
  <c r="AH1709" i="36" s="1"/>
  <c r="AB1709" i="36"/>
  <c r="AC1709" i="36" s="1"/>
  <c r="W1709" i="36"/>
  <c r="V1709" i="36"/>
  <c r="X1709" i="36" s="1"/>
  <c r="L1709" i="36"/>
  <c r="AL1708" i="36"/>
  <c r="AM1708" i="36" s="1"/>
  <c r="AG1708" i="36"/>
  <c r="AH1708" i="36" s="1"/>
  <c r="AB1708" i="36"/>
  <c r="AC1708" i="36" s="1"/>
  <c r="W1708" i="36"/>
  <c r="V1708" i="36"/>
  <c r="X1708" i="36" s="1"/>
  <c r="L1708" i="36"/>
  <c r="AL1707" i="36"/>
  <c r="AM1707" i="36" s="1"/>
  <c r="AG1707" i="36"/>
  <c r="AH1707" i="36" s="1"/>
  <c r="AB1707" i="36"/>
  <c r="AC1707" i="36" s="1"/>
  <c r="W1707" i="36"/>
  <c r="V1707" i="36"/>
  <c r="X1707" i="36" s="1"/>
  <c r="L1707" i="36"/>
  <c r="AL1706" i="36"/>
  <c r="AM1706" i="36" s="1"/>
  <c r="AG1706" i="36"/>
  <c r="AH1706" i="36" s="1"/>
  <c r="AB1706" i="36"/>
  <c r="AC1706" i="36" s="1"/>
  <c r="W1706" i="36"/>
  <c r="V1706" i="36"/>
  <c r="X1706" i="36" s="1"/>
  <c r="L1706" i="36"/>
  <c r="AL1705" i="36"/>
  <c r="AM1705" i="36" s="1"/>
  <c r="AG1705" i="36"/>
  <c r="AH1705" i="36" s="1"/>
  <c r="AB1705" i="36"/>
  <c r="AC1705" i="36" s="1"/>
  <c r="W1705" i="36"/>
  <c r="V1705" i="36"/>
  <c r="X1705" i="36" s="1"/>
  <c r="L1705" i="36"/>
  <c r="AL1704" i="36"/>
  <c r="AM1704" i="36" s="1"/>
  <c r="AG1704" i="36"/>
  <c r="AH1704" i="36" s="1"/>
  <c r="AB1704" i="36"/>
  <c r="AC1704" i="36" s="1"/>
  <c r="W1704" i="36"/>
  <c r="V1704" i="36"/>
  <c r="X1704" i="36" s="1"/>
  <c r="L1704" i="36"/>
  <c r="AL1703" i="36"/>
  <c r="AM1703" i="36" s="1"/>
  <c r="AG1703" i="36"/>
  <c r="AH1703" i="36" s="1"/>
  <c r="AB1703" i="36"/>
  <c r="AC1703" i="36" s="1"/>
  <c r="W1703" i="36"/>
  <c r="V1703" i="36"/>
  <c r="X1703" i="36" s="1"/>
  <c r="L1703" i="36"/>
  <c r="AL1702" i="36"/>
  <c r="AM1702" i="36" s="1"/>
  <c r="AG1702" i="36"/>
  <c r="AH1702" i="36" s="1"/>
  <c r="AB1702" i="36"/>
  <c r="AC1702" i="36" s="1"/>
  <c r="W1702" i="36"/>
  <c r="V1702" i="36"/>
  <c r="X1702" i="36" s="1"/>
  <c r="L1702" i="36"/>
  <c r="AL1701" i="36"/>
  <c r="AM1701" i="36" s="1"/>
  <c r="AG1701" i="36"/>
  <c r="AH1701" i="36" s="1"/>
  <c r="AB1701" i="36"/>
  <c r="AC1701" i="36" s="1"/>
  <c r="W1701" i="36"/>
  <c r="V1701" i="36"/>
  <c r="X1701" i="36" s="1"/>
  <c r="L1701" i="36"/>
  <c r="AL1700" i="36"/>
  <c r="AM1700" i="36" s="1"/>
  <c r="AG1700" i="36"/>
  <c r="AH1700" i="36" s="1"/>
  <c r="AB1700" i="36"/>
  <c r="AC1700" i="36" s="1"/>
  <c r="W1700" i="36"/>
  <c r="V1700" i="36"/>
  <c r="X1700" i="36" s="1"/>
  <c r="L1700" i="36"/>
  <c r="AL1699" i="36"/>
  <c r="AM1699" i="36" s="1"/>
  <c r="AG1699" i="36"/>
  <c r="AH1699" i="36" s="1"/>
  <c r="AB1699" i="36"/>
  <c r="AC1699" i="36" s="1"/>
  <c r="W1699" i="36"/>
  <c r="V1699" i="36"/>
  <c r="X1699" i="36" s="1"/>
  <c r="L1699" i="36"/>
  <c r="AL1698" i="36"/>
  <c r="AM1698" i="36" s="1"/>
  <c r="AG1698" i="36"/>
  <c r="AH1698" i="36" s="1"/>
  <c r="AB1698" i="36"/>
  <c r="AC1698" i="36" s="1"/>
  <c r="W1698" i="36"/>
  <c r="V1698" i="36"/>
  <c r="X1698" i="36" s="1"/>
  <c r="L1698" i="36"/>
  <c r="AL1697" i="36"/>
  <c r="AM1697" i="36" s="1"/>
  <c r="AG1697" i="36"/>
  <c r="AH1697" i="36" s="1"/>
  <c r="AB1697" i="36"/>
  <c r="AC1697" i="36" s="1"/>
  <c r="W1697" i="36"/>
  <c r="V1697" i="36"/>
  <c r="X1697" i="36" s="1"/>
  <c r="L1697" i="36"/>
  <c r="AL1696" i="36"/>
  <c r="AM1696" i="36" s="1"/>
  <c r="AG1696" i="36"/>
  <c r="AH1696" i="36" s="1"/>
  <c r="AB1696" i="36"/>
  <c r="AC1696" i="36" s="1"/>
  <c r="W1696" i="36"/>
  <c r="V1696" i="36"/>
  <c r="X1696" i="36" s="1"/>
  <c r="L1696" i="36"/>
  <c r="AL1695" i="36"/>
  <c r="AM1695" i="36" s="1"/>
  <c r="AG1695" i="36"/>
  <c r="AH1695" i="36" s="1"/>
  <c r="AB1695" i="36"/>
  <c r="AC1695" i="36" s="1"/>
  <c r="W1695" i="36"/>
  <c r="V1695" i="36"/>
  <c r="X1695" i="36" s="1"/>
  <c r="L1695" i="36"/>
  <c r="AL1694" i="36"/>
  <c r="AM1694" i="36" s="1"/>
  <c r="AG1694" i="36"/>
  <c r="AH1694" i="36" s="1"/>
  <c r="AB1694" i="36"/>
  <c r="AC1694" i="36" s="1"/>
  <c r="W1694" i="36"/>
  <c r="V1694" i="36"/>
  <c r="X1694" i="36" s="1"/>
  <c r="L1694" i="36"/>
  <c r="AL1693" i="36"/>
  <c r="AM1693" i="36" s="1"/>
  <c r="AG1693" i="36"/>
  <c r="AH1693" i="36" s="1"/>
  <c r="AB1693" i="36"/>
  <c r="AC1693" i="36" s="1"/>
  <c r="W1693" i="36"/>
  <c r="V1693" i="36"/>
  <c r="X1693" i="36" s="1"/>
  <c r="L1693" i="36"/>
  <c r="AL1692" i="36"/>
  <c r="AM1692" i="36" s="1"/>
  <c r="AG1692" i="36"/>
  <c r="AH1692" i="36" s="1"/>
  <c r="AB1692" i="36"/>
  <c r="AC1692" i="36" s="1"/>
  <c r="W1692" i="36"/>
  <c r="V1692" i="36"/>
  <c r="X1692" i="36" s="1"/>
  <c r="L1692" i="36"/>
  <c r="AL1691" i="36"/>
  <c r="AM1691" i="36" s="1"/>
  <c r="AG1691" i="36"/>
  <c r="AH1691" i="36" s="1"/>
  <c r="AB1691" i="36"/>
  <c r="AC1691" i="36" s="1"/>
  <c r="W1691" i="36"/>
  <c r="V1691" i="36"/>
  <c r="X1691" i="36" s="1"/>
  <c r="L1691" i="36"/>
  <c r="AL1690" i="36"/>
  <c r="AM1690" i="36" s="1"/>
  <c r="AG1690" i="36"/>
  <c r="AH1690" i="36" s="1"/>
  <c r="AB1690" i="36"/>
  <c r="AC1690" i="36" s="1"/>
  <c r="W1690" i="36"/>
  <c r="V1690" i="36"/>
  <c r="X1690" i="36" s="1"/>
  <c r="L1690" i="36"/>
  <c r="AL1689" i="36"/>
  <c r="AM1689" i="36" s="1"/>
  <c r="AG1689" i="36"/>
  <c r="AH1689" i="36" s="1"/>
  <c r="AB1689" i="36"/>
  <c r="AC1689" i="36" s="1"/>
  <c r="W1689" i="36"/>
  <c r="V1689" i="36"/>
  <c r="X1689" i="36" s="1"/>
  <c r="L1689" i="36"/>
  <c r="AL1688" i="36"/>
  <c r="AM1688" i="36" s="1"/>
  <c r="AG1688" i="36"/>
  <c r="AH1688" i="36" s="1"/>
  <c r="AB1688" i="36"/>
  <c r="AC1688" i="36" s="1"/>
  <c r="W1688" i="36"/>
  <c r="V1688" i="36"/>
  <c r="X1688" i="36" s="1"/>
  <c r="L1688" i="36"/>
  <c r="AL1687" i="36"/>
  <c r="AM1687" i="36" s="1"/>
  <c r="AG1687" i="36"/>
  <c r="AH1687" i="36" s="1"/>
  <c r="AB1687" i="36"/>
  <c r="AC1687" i="36" s="1"/>
  <c r="W1687" i="36"/>
  <c r="V1687" i="36"/>
  <c r="X1687" i="36" s="1"/>
  <c r="L1687" i="36"/>
  <c r="AL1686" i="36"/>
  <c r="AM1686" i="36" s="1"/>
  <c r="AG1686" i="36"/>
  <c r="AH1686" i="36" s="1"/>
  <c r="AB1686" i="36"/>
  <c r="AC1686" i="36" s="1"/>
  <c r="W1686" i="36"/>
  <c r="V1686" i="36"/>
  <c r="X1686" i="36" s="1"/>
  <c r="L1686" i="36"/>
  <c r="AL1685" i="36"/>
  <c r="AM1685" i="36" s="1"/>
  <c r="AG1685" i="36"/>
  <c r="AH1685" i="36" s="1"/>
  <c r="AB1685" i="36"/>
  <c r="AC1685" i="36" s="1"/>
  <c r="W1685" i="36"/>
  <c r="V1685" i="36"/>
  <c r="X1685" i="36" s="1"/>
  <c r="L1685" i="36"/>
  <c r="AL1684" i="36"/>
  <c r="AM1684" i="36" s="1"/>
  <c r="AG1684" i="36"/>
  <c r="AH1684" i="36" s="1"/>
  <c r="AB1684" i="36"/>
  <c r="AC1684" i="36" s="1"/>
  <c r="W1684" i="36"/>
  <c r="V1684" i="36"/>
  <c r="X1684" i="36" s="1"/>
  <c r="L1684" i="36"/>
  <c r="AL1683" i="36"/>
  <c r="AM1683" i="36" s="1"/>
  <c r="AG1683" i="36"/>
  <c r="AH1683" i="36" s="1"/>
  <c r="AB1683" i="36"/>
  <c r="AC1683" i="36" s="1"/>
  <c r="W1683" i="36"/>
  <c r="V1683" i="36"/>
  <c r="X1683" i="36" s="1"/>
  <c r="L1683" i="36"/>
  <c r="AL1682" i="36"/>
  <c r="AM1682" i="36" s="1"/>
  <c r="AG1682" i="36"/>
  <c r="AH1682" i="36" s="1"/>
  <c r="AB1682" i="36"/>
  <c r="AC1682" i="36" s="1"/>
  <c r="W1682" i="36"/>
  <c r="V1682" i="36"/>
  <c r="X1682" i="36" s="1"/>
  <c r="L1682" i="36"/>
  <c r="AL1681" i="36"/>
  <c r="AM1681" i="36" s="1"/>
  <c r="AG1681" i="36"/>
  <c r="AH1681" i="36" s="1"/>
  <c r="AB1681" i="36"/>
  <c r="AC1681" i="36" s="1"/>
  <c r="W1681" i="36"/>
  <c r="V1681" i="36"/>
  <c r="X1681" i="36" s="1"/>
  <c r="L1681" i="36"/>
  <c r="AL1680" i="36"/>
  <c r="AM1680" i="36" s="1"/>
  <c r="AG1680" i="36"/>
  <c r="AH1680" i="36" s="1"/>
  <c r="AB1680" i="36"/>
  <c r="AC1680" i="36" s="1"/>
  <c r="W1680" i="36"/>
  <c r="V1680" i="36"/>
  <c r="X1680" i="36" s="1"/>
  <c r="L1680" i="36"/>
  <c r="AL1679" i="36"/>
  <c r="AM1679" i="36" s="1"/>
  <c r="AG1679" i="36"/>
  <c r="AH1679" i="36" s="1"/>
  <c r="AB1679" i="36"/>
  <c r="AC1679" i="36" s="1"/>
  <c r="W1679" i="36"/>
  <c r="V1679" i="36"/>
  <c r="X1679" i="36" s="1"/>
  <c r="L1679" i="36"/>
  <c r="AL1678" i="36"/>
  <c r="AM1678" i="36" s="1"/>
  <c r="AG1678" i="36"/>
  <c r="AH1678" i="36" s="1"/>
  <c r="AB1678" i="36"/>
  <c r="AC1678" i="36" s="1"/>
  <c r="W1678" i="36"/>
  <c r="V1678" i="36"/>
  <c r="X1678" i="36" s="1"/>
  <c r="L1678" i="36"/>
  <c r="AL1677" i="36"/>
  <c r="AM1677" i="36" s="1"/>
  <c r="AG1677" i="36"/>
  <c r="AH1677" i="36" s="1"/>
  <c r="AB1677" i="36"/>
  <c r="AC1677" i="36" s="1"/>
  <c r="W1677" i="36"/>
  <c r="V1677" i="36"/>
  <c r="X1677" i="36" s="1"/>
  <c r="L1677" i="36"/>
  <c r="AL1676" i="36"/>
  <c r="AM1676" i="36" s="1"/>
  <c r="AG1676" i="36"/>
  <c r="AH1676" i="36" s="1"/>
  <c r="AB1676" i="36"/>
  <c r="AC1676" i="36" s="1"/>
  <c r="W1676" i="36"/>
  <c r="V1676" i="36"/>
  <c r="X1676" i="36" s="1"/>
  <c r="L1676" i="36"/>
  <c r="AL1675" i="36"/>
  <c r="AM1675" i="36" s="1"/>
  <c r="AG1675" i="36"/>
  <c r="AH1675" i="36" s="1"/>
  <c r="AB1675" i="36"/>
  <c r="AC1675" i="36" s="1"/>
  <c r="W1675" i="36"/>
  <c r="V1675" i="36"/>
  <c r="X1675" i="36" s="1"/>
  <c r="L1675" i="36"/>
  <c r="AL1674" i="36"/>
  <c r="AM1674" i="36" s="1"/>
  <c r="AG1674" i="36"/>
  <c r="AH1674" i="36" s="1"/>
  <c r="AB1674" i="36"/>
  <c r="AC1674" i="36" s="1"/>
  <c r="W1674" i="36"/>
  <c r="V1674" i="36"/>
  <c r="X1674" i="36" s="1"/>
  <c r="L1674" i="36"/>
  <c r="AL1673" i="36"/>
  <c r="AM1673" i="36" s="1"/>
  <c r="AG1673" i="36"/>
  <c r="AH1673" i="36" s="1"/>
  <c r="AB1673" i="36"/>
  <c r="AC1673" i="36" s="1"/>
  <c r="W1673" i="36"/>
  <c r="V1673" i="36"/>
  <c r="X1673" i="36" s="1"/>
  <c r="L1673" i="36"/>
  <c r="AL1672" i="36"/>
  <c r="AM1672" i="36" s="1"/>
  <c r="AG1672" i="36"/>
  <c r="AH1672" i="36" s="1"/>
  <c r="AB1672" i="36"/>
  <c r="AC1672" i="36" s="1"/>
  <c r="W1672" i="36"/>
  <c r="V1672" i="36"/>
  <c r="X1672" i="36" s="1"/>
  <c r="L1672" i="36"/>
  <c r="AL1671" i="36"/>
  <c r="AM1671" i="36" s="1"/>
  <c r="AG1671" i="36"/>
  <c r="AH1671" i="36" s="1"/>
  <c r="AB1671" i="36"/>
  <c r="AC1671" i="36" s="1"/>
  <c r="W1671" i="36"/>
  <c r="V1671" i="36"/>
  <c r="X1671" i="36" s="1"/>
  <c r="L1671" i="36"/>
  <c r="AL1670" i="36"/>
  <c r="AM1670" i="36" s="1"/>
  <c r="AG1670" i="36"/>
  <c r="AH1670" i="36" s="1"/>
  <c r="AB1670" i="36"/>
  <c r="AC1670" i="36" s="1"/>
  <c r="W1670" i="36"/>
  <c r="V1670" i="36"/>
  <c r="X1670" i="36" s="1"/>
  <c r="L1670" i="36"/>
  <c r="AL1669" i="36"/>
  <c r="AM1669" i="36" s="1"/>
  <c r="AG1669" i="36"/>
  <c r="AH1669" i="36" s="1"/>
  <c r="AB1669" i="36"/>
  <c r="AC1669" i="36" s="1"/>
  <c r="W1669" i="36"/>
  <c r="V1669" i="36"/>
  <c r="X1669" i="36" s="1"/>
  <c r="L1669" i="36"/>
  <c r="AL1668" i="36"/>
  <c r="AM1668" i="36" s="1"/>
  <c r="AG1668" i="36"/>
  <c r="AH1668" i="36" s="1"/>
  <c r="AB1668" i="36"/>
  <c r="AC1668" i="36" s="1"/>
  <c r="W1668" i="36"/>
  <c r="V1668" i="36"/>
  <c r="X1668" i="36" s="1"/>
  <c r="L1668" i="36"/>
  <c r="AL1667" i="36"/>
  <c r="AM1667" i="36" s="1"/>
  <c r="AG1667" i="36"/>
  <c r="AH1667" i="36" s="1"/>
  <c r="AB1667" i="36"/>
  <c r="AC1667" i="36" s="1"/>
  <c r="W1667" i="36"/>
  <c r="V1667" i="36"/>
  <c r="X1667" i="36" s="1"/>
  <c r="L1667" i="36"/>
  <c r="AL1666" i="36"/>
  <c r="AM1666" i="36" s="1"/>
  <c r="AG1666" i="36"/>
  <c r="AH1666" i="36" s="1"/>
  <c r="AB1666" i="36"/>
  <c r="AC1666" i="36" s="1"/>
  <c r="W1666" i="36"/>
  <c r="V1666" i="36"/>
  <c r="X1666" i="36" s="1"/>
  <c r="L1666" i="36"/>
  <c r="AL1665" i="36"/>
  <c r="AM1665" i="36" s="1"/>
  <c r="AG1665" i="36"/>
  <c r="AH1665" i="36" s="1"/>
  <c r="AB1665" i="36"/>
  <c r="AC1665" i="36" s="1"/>
  <c r="W1665" i="36"/>
  <c r="V1665" i="36"/>
  <c r="X1665" i="36" s="1"/>
  <c r="L1665" i="36"/>
  <c r="AL1664" i="36"/>
  <c r="AM1664" i="36" s="1"/>
  <c r="AG1664" i="36"/>
  <c r="AH1664" i="36" s="1"/>
  <c r="AB1664" i="36"/>
  <c r="AC1664" i="36" s="1"/>
  <c r="W1664" i="36"/>
  <c r="V1664" i="36"/>
  <c r="X1664" i="36" s="1"/>
  <c r="L1664" i="36"/>
  <c r="AL1663" i="36"/>
  <c r="AM1663" i="36" s="1"/>
  <c r="AG1663" i="36"/>
  <c r="AH1663" i="36" s="1"/>
  <c r="AB1663" i="36"/>
  <c r="AC1663" i="36" s="1"/>
  <c r="W1663" i="36"/>
  <c r="V1663" i="36"/>
  <c r="X1663" i="36" s="1"/>
  <c r="L1663" i="36"/>
  <c r="AL1662" i="36"/>
  <c r="AM1662" i="36" s="1"/>
  <c r="AG1662" i="36"/>
  <c r="AH1662" i="36" s="1"/>
  <c r="AB1662" i="36"/>
  <c r="AC1662" i="36" s="1"/>
  <c r="W1662" i="36"/>
  <c r="V1662" i="36"/>
  <c r="X1662" i="36" s="1"/>
  <c r="L1662" i="36"/>
  <c r="AL1661" i="36"/>
  <c r="AM1661" i="36" s="1"/>
  <c r="AG1661" i="36"/>
  <c r="AH1661" i="36" s="1"/>
  <c r="AB1661" i="36"/>
  <c r="AC1661" i="36" s="1"/>
  <c r="W1661" i="36"/>
  <c r="V1661" i="36"/>
  <c r="X1661" i="36" s="1"/>
  <c r="L1661" i="36"/>
  <c r="AL1660" i="36"/>
  <c r="AM1660" i="36" s="1"/>
  <c r="AG1660" i="36"/>
  <c r="AH1660" i="36" s="1"/>
  <c r="AB1660" i="36"/>
  <c r="AC1660" i="36" s="1"/>
  <c r="W1660" i="36"/>
  <c r="V1660" i="36"/>
  <c r="X1660" i="36" s="1"/>
  <c r="L1660" i="36"/>
  <c r="AL1659" i="36"/>
  <c r="AM1659" i="36" s="1"/>
  <c r="AG1659" i="36"/>
  <c r="AH1659" i="36" s="1"/>
  <c r="AB1659" i="36"/>
  <c r="AC1659" i="36" s="1"/>
  <c r="W1659" i="36"/>
  <c r="V1659" i="36"/>
  <c r="X1659" i="36" s="1"/>
  <c r="L1659" i="36"/>
  <c r="AL1658" i="36"/>
  <c r="AM1658" i="36" s="1"/>
  <c r="AG1658" i="36"/>
  <c r="AH1658" i="36" s="1"/>
  <c r="AB1658" i="36"/>
  <c r="AC1658" i="36" s="1"/>
  <c r="W1658" i="36"/>
  <c r="V1658" i="36"/>
  <c r="X1658" i="36" s="1"/>
  <c r="L1658" i="36"/>
  <c r="AL1657" i="36"/>
  <c r="AM1657" i="36" s="1"/>
  <c r="AG1657" i="36"/>
  <c r="AH1657" i="36" s="1"/>
  <c r="AB1657" i="36"/>
  <c r="AC1657" i="36" s="1"/>
  <c r="W1657" i="36"/>
  <c r="V1657" i="36"/>
  <c r="X1657" i="36" s="1"/>
  <c r="L1657" i="36"/>
  <c r="AL1656" i="36"/>
  <c r="AM1656" i="36" s="1"/>
  <c r="AG1656" i="36"/>
  <c r="AH1656" i="36" s="1"/>
  <c r="AB1656" i="36"/>
  <c r="AC1656" i="36" s="1"/>
  <c r="W1656" i="36"/>
  <c r="V1656" i="36"/>
  <c r="X1656" i="36" s="1"/>
  <c r="L1656" i="36"/>
  <c r="AL1655" i="36"/>
  <c r="AM1655" i="36" s="1"/>
  <c r="AG1655" i="36"/>
  <c r="AH1655" i="36" s="1"/>
  <c r="AB1655" i="36"/>
  <c r="AC1655" i="36" s="1"/>
  <c r="W1655" i="36"/>
  <c r="V1655" i="36"/>
  <c r="X1655" i="36" s="1"/>
  <c r="L1655" i="36"/>
  <c r="AL1654" i="36"/>
  <c r="AM1654" i="36" s="1"/>
  <c r="AG1654" i="36"/>
  <c r="AH1654" i="36" s="1"/>
  <c r="AB1654" i="36"/>
  <c r="AC1654" i="36" s="1"/>
  <c r="W1654" i="36"/>
  <c r="V1654" i="36"/>
  <c r="X1654" i="36" s="1"/>
  <c r="L1654" i="36"/>
  <c r="AL1653" i="36"/>
  <c r="AM1653" i="36" s="1"/>
  <c r="AG1653" i="36"/>
  <c r="AH1653" i="36" s="1"/>
  <c r="AB1653" i="36"/>
  <c r="AC1653" i="36" s="1"/>
  <c r="W1653" i="36"/>
  <c r="V1653" i="36"/>
  <c r="X1653" i="36" s="1"/>
  <c r="L1653" i="36"/>
  <c r="AL1652" i="36"/>
  <c r="AM1652" i="36" s="1"/>
  <c r="AG1652" i="36"/>
  <c r="AH1652" i="36" s="1"/>
  <c r="AB1652" i="36"/>
  <c r="AC1652" i="36" s="1"/>
  <c r="W1652" i="36"/>
  <c r="V1652" i="36"/>
  <c r="X1652" i="36" s="1"/>
  <c r="L1652" i="36"/>
  <c r="AL1651" i="36"/>
  <c r="AM1651" i="36" s="1"/>
  <c r="AG1651" i="36"/>
  <c r="AH1651" i="36" s="1"/>
  <c r="AB1651" i="36"/>
  <c r="AC1651" i="36" s="1"/>
  <c r="W1651" i="36"/>
  <c r="V1651" i="36"/>
  <c r="X1651" i="36" s="1"/>
  <c r="L1651" i="36"/>
  <c r="AL1650" i="36"/>
  <c r="AM1650" i="36" s="1"/>
  <c r="AG1650" i="36"/>
  <c r="AH1650" i="36" s="1"/>
  <c r="AB1650" i="36"/>
  <c r="AC1650" i="36" s="1"/>
  <c r="W1650" i="36"/>
  <c r="V1650" i="36"/>
  <c r="X1650" i="36" s="1"/>
  <c r="L1650" i="36"/>
  <c r="AL1649" i="36"/>
  <c r="AM1649" i="36" s="1"/>
  <c r="AG1649" i="36"/>
  <c r="AH1649" i="36" s="1"/>
  <c r="AB1649" i="36"/>
  <c r="AC1649" i="36" s="1"/>
  <c r="W1649" i="36"/>
  <c r="V1649" i="36"/>
  <c r="X1649" i="36" s="1"/>
  <c r="L1649" i="36"/>
  <c r="AL1648" i="36"/>
  <c r="AM1648" i="36" s="1"/>
  <c r="AG1648" i="36"/>
  <c r="AH1648" i="36" s="1"/>
  <c r="AB1648" i="36"/>
  <c r="AC1648" i="36" s="1"/>
  <c r="W1648" i="36"/>
  <c r="V1648" i="36"/>
  <c r="X1648" i="36" s="1"/>
  <c r="L1648" i="36"/>
  <c r="AL1647" i="36"/>
  <c r="AM1647" i="36" s="1"/>
  <c r="AG1647" i="36"/>
  <c r="AH1647" i="36" s="1"/>
  <c r="AB1647" i="36"/>
  <c r="AC1647" i="36" s="1"/>
  <c r="W1647" i="36"/>
  <c r="V1647" i="36"/>
  <c r="X1647" i="36" s="1"/>
  <c r="L1647" i="36"/>
  <c r="AL1646" i="36"/>
  <c r="AM1646" i="36" s="1"/>
  <c r="AG1646" i="36"/>
  <c r="AH1646" i="36" s="1"/>
  <c r="AB1646" i="36"/>
  <c r="AC1646" i="36" s="1"/>
  <c r="W1646" i="36"/>
  <c r="V1646" i="36"/>
  <c r="X1646" i="36" s="1"/>
  <c r="L1646" i="36"/>
  <c r="AL1645" i="36"/>
  <c r="AM1645" i="36" s="1"/>
  <c r="AG1645" i="36"/>
  <c r="AH1645" i="36" s="1"/>
  <c r="AB1645" i="36"/>
  <c r="AC1645" i="36" s="1"/>
  <c r="W1645" i="36"/>
  <c r="V1645" i="36"/>
  <c r="X1645" i="36" s="1"/>
  <c r="L1645" i="36"/>
  <c r="AL1644" i="36"/>
  <c r="AM1644" i="36" s="1"/>
  <c r="AG1644" i="36"/>
  <c r="AH1644" i="36" s="1"/>
  <c r="AB1644" i="36"/>
  <c r="AC1644" i="36" s="1"/>
  <c r="W1644" i="36"/>
  <c r="V1644" i="36"/>
  <c r="X1644" i="36" s="1"/>
  <c r="L1644" i="36"/>
  <c r="AL1643" i="36"/>
  <c r="AM1643" i="36" s="1"/>
  <c r="AG1643" i="36"/>
  <c r="AH1643" i="36" s="1"/>
  <c r="AB1643" i="36"/>
  <c r="AC1643" i="36" s="1"/>
  <c r="W1643" i="36"/>
  <c r="V1643" i="36"/>
  <c r="X1643" i="36" s="1"/>
  <c r="L1643" i="36"/>
  <c r="AL1642" i="36"/>
  <c r="AM1642" i="36" s="1"/>
  <c r="AG1642" i="36"/>
  <c r="AH1642" i="36" s="1"/>
  <c r="AB1642" i="36"/>
  <c r="AC1642" i="36" s="1"/>
  <c r="W1642" i="36"/>
  <c r="V1642" i="36"/>
  <c r="X1642" i="36" s="1"/>
  <c r="L1642" i="36"/>
  <c r="AL1641" i="36"/>
  <c r="AM1641" i="36" s="1"/>
  <c r="AG1641" i="36"/>
  <c r="AH1641" i="36" s="1"/>
  <c r="AB1641" i="36"/>
  <c r="AC1641" i="36" s="1"/>
  <c r="W1641" i="36"/>
  <c r="V1641" i="36"/>
  <c r="X1641" i="36" s="1"/>
  <c r="L1641" i="36"/>
  <c r="AL1640" i="36"/>
  <c r="AM1640" i="36" s="1"/>
  <c r="AG1640" i="36"/>
  <c r="AH1640" i="36" s="1"/>
  <c r="AB1640" i="36"/>
  <c r="AC1640" i="36" s="1"/>
  <c r="W1640" i="36"/>
  <c r="V1640" i="36"/>
  <c r="X1640" i="36" s="1"/>
  <c r="L1640" i="36"/>
  <c r="AL1639" i="36"/>
  <c r="AM1639" i="36" s="1"/>
  <c r="AG1639" i="36"/>
  <c r="AH1639" i="36" s="1"/>
  <c r="AB1639" i="36"/>
  <c r="AC1639" i="36" s="1"/>
  <c r="W1639" i="36"/>
  <c r="V1639" i="36"/>
  <c r="X1639" i="36" s="1"/>
  <c r="L1639" i="36"/>
  <c r="AL1638" i="36"/>
  <c r="AM1638" i="36" s="1"/>
  <c r="AG1638" i="36"/>
  <c r="AH1638" i="36" s="1"/>
  <c r="AB1638" i="36"/>
  <c r="AC1638" i="36" s="1"/>
  <c r="W1638" i="36"/>
  <c r="V1638" i="36"/>
  <c r="X1638" i="36" s="1"/>
  <c r="L1638" i="36"/>
  <c r="AL1637" i="36"/>
  <c r="AM1637" i="36" s="1"/>
  <c r="AG1637" i="36"/>
  <c r="AH1637" i="36" s="1"/>
  <c r="AB1637" i="36"/>
  <c r="AC1637" i="36" s="1"/>
  <c r="W1637" i="36"/>
  <c r="V1637" i="36"/>
  <c r="X1637" i="36" s="1"/>
  <c r="L1637" i="36"/>
  <c r="AL1636" i="36"/>
  <c r="AM1636" i="36" s="1"/>
  <c r="AG1636" i="36"/>
  <c r="AH1636" i="36" s="1"/>
  <c r="AB1636" i="36"/>
  <c r="AC1636" i="36" s="1"/>
  <c r="W1636" i="36"/>
  <c r="V1636" i="36"/>
  <c r="X1636" i="36" s="1"/>
  <c r="L1636" i="36"/>
  <c r="AL1635" i="36"/>
  <c r="AM1635" i="36" s="1"/>
  <c r="AG1635" i="36"/>
  <c r="AH1635" i="36" s="1"/>
  <c r="AB1635" i="36"/>
  <c r="AC1635" i="36" s="1"/>
  <c r="W1635" i="36"/>
  <c r="V1635" i="36"/>
  <c r="X1635" i="36" s="1"/>
  <c r="L1635" i="36"/>
  <c r="AL1634" i="36"/>
  <c r="AM1634" i="36" s="1"/>
  <c r="AG1634" i="36"/>
  <c r="AH1634" i="36" s="1"/>
  <c r="AB1634" i="36"/>
  <c r="AC1634" i="36" s="1"/>
  <c r="W1634" i="36"/>
  <c r="V1634" i="36"/>
  <c r="X1634" i="36" s="1"/>
  <c r="L1634" i="36"/>
  <c r="AL1633" i="36"/>
  <c r="AM1633" i="36" s="1"/>
  <c r="AG1633" i="36"/>
  <c r="AH1633" i="36" s="1"/>
  <c r="AB1633" i="36"/>
  <c r="AC1633" i="36" s="1"/>
  <c r="W1633" i="36"/>
  <c r="V1633" i="36"/>
  <c r="X1633" i="36" s="1"/>
  <c r="L1633" i="36"/>
  <c r="AL1632" i="36"/>
  <c r="AM1632" i="36" s="1"/>
  <c r="AG1632" i="36"/>
  <c r="AH1632" i="36" s="1"/>
  <c r="AB1632" i="36"/>
  <c r="AC1632" i="36" s="1"/>
  <c r="W1632" i="36"/>
  <c r="V1632" i="36"/>
  <c r="X1632" i="36" s="1"/>
  <c r="L1632" i="36"/>
  <c r="AL1631" i="36"/>
  <c r="AM1631" i="36" s="1"/>
  <c r="AG1631" i="36"/>
  <c r="AH1631" i="36" s="1"/>
  <c r="AB1631" i="36"/>
  <c r="AC1631" i="36" s="1"/>
  <c r="W1631" i="36"/>
  <c r="V1631" i="36"/>
  <c r="X1631" i="36" s="1"/>
  <c r="L1631" i="36"/>
  <c r="AL1630" i="36"/>
  <c r="AM1630" i="36" s="1"/>
  <c r="AG1630" i="36"/>
  <c r="AH1630" i="36" s="1"/>
  <c r="AB1630" i="36"/>
  <c r="AC1630" i="36" s="1"/>
  <c r="W1630" i="36"/>
  <c r="V1630" i="36"/>
  <c r="X1630" i="36" s="1"/>
  <c r="L1630" i="36"/>
  <c r="AL1629" i="36"/>
  <c r="AM1629" i="36" s="1"/>
  <c r="AG1629" i="36"/>
  <c r="AH1629" i="36" s="1"/>
  <c r="AB1629" i="36"/>
  <c r="AC1629" i="36" s="1"/>
  <c r="W1629" i="36"/>
  <c r="V1629" i="36"/>
  <c r="X1629" i="36" s="1"/>
  <c r="L1629" i="36"/>
  <c r="AL1628" i="36"/>
  <c r="AM1628" i="36" s="1"/>
  <c r="AG1628" i="36"/>
  <c r="AH1628" i="36" s="1"/>
  <c r="AB1628" i="36"/>
  <c r="AC1628" i="36" s="1"/>
  <c r="W1628" i="36"/>
  <c r="V1628" i="36"/>
  <c r="X1628" i="36" s="1"/>
  <c r="L1628" i="36"/>
  <c r="AL1627" i="36"/>
  <c r="AM1627" i="36" s="1"/>
  <c r="AG1627" i="36"/>
  <c r="AH1627" i="36" s="1"/>
  <c r="AB1627" i="36"/>
  <c r="AC1627" i="36" s="1"/>
  <c r="W1627" i="36"/>
  <c r="V1627" i="36"/>
  <c r="X1627" i="36" s="1"/>
  <c r="L1627" i="36"/>
  <c r="AL1626" i="36"/>
  <c r="AM1626" i="36" s="1"/>
  <c r="AG1626" i="36"/>
  <c r="AH1626" i="36" s="1"/>
  <c r="AB1626" i="36"/>
  <c r="AC1626" i="36" s="1"/>
  <c r="W1626" i="36"/>
  <c r="V1626" i="36"/>
  <c r="X1626" i="36" s="1"/>
  <c r="L1626" i="36"/>
  <c r="AL1625" i="36"/>
  <c r="AM1625" i="36" s="1"/>
  <c r="AG1625" i="36"/>
  <c r="AH1625" i="36" s="1"/>
  <c r="AB1625" i="36"/>
  <c r="AC1625" i="36" s="1"/>
  <c r="W1625" i="36"/>
  <c r="V1625" i="36"/>
  <c r="X1625" i="36" s="1"/>
  <c r="L1625" i="36"/>
  <c r="AL1624" i="36"/>
  <c r="AM1624" i="36" s="1"/>
  <c r="AG1624" i="36"/>
  <c r="AH1624" i="36" s="1"/>
  <c r="AB1624" i="36"/>
  <c r="AC1624" i="36" s="1"/>
  <c r="W1624" i="36"/>
  <c r="V1624" i="36"/>
  <c r="X1624" i="36" s="1"/>
  <c r="L1624" i="36"/>
  <c r="AL1623" i="36"/>
  <c r="AM1623" i="36" s="1"/>
  <c r="AG1623" i="36"/>
  <c r="AH1623" i="36" s="1"/>
  <c r="AB1623" i="36"/>
  <c r="AC1623" i="36" s="1"/>
  <c r="W1623" i="36"/>
  <c r="V1623" i="36"/>
  <c r="X1623" i="36" s="1"/>
  <c r="L1623" i="36"/>
  <c r="AL1622" i="36"/>
  <c r="AM1622" i="36" s="1"/>
  <c r="AG1622" i="36"/>
  <c r="AH1622" i="36" s="1"/>
  <c r="AB1622" i="36"/>
  <c r="AC1622" i="36" s="1"/>
  <c r="W1622" i="36"/>
  <c r="V1622" i="36"/>
  <c r="X1622" i="36" s="1"/>
  <c r="L1622" i="36"/>
  <c r="AL1621" i="36"/>
  <c r="AM1621" i="36" s="1"/>
  <c r="AG1621" i="36"/>
  <c r="AH1621" i="36" s="1"/>
  <c r="AB1621" i="36"/>
  <c r="AC1621" i="36" s="1"/>
  <c r="W1621" i="36"/>
  <c r="V1621" i="36"/>
  <c r="X1621" i="36" s="1"/>
  <c r="L1621" i="36"/>
  <c r="AL1620" i="36"/>
  <c r="AM1620" i="36" s="1"/>
  <c r="AG1620" i="36"/>
  <c r="AH1620" i="36" s="1"/>
  <c r="AB1620" i="36"/>
  <c r="AC1620" i="36" s="1"/>
  <c r="W1620" i="36"/>
  <c r="V1620" i="36"/>
  <c r="X1620" i="36" s="1"/>
  <c r="L1620" i="36"/>
  <c r="AL1619" i="36"/>
  <c r="AM1619" i="36" s="1"/>
  <c r="AG1619" i="36"/>
  <c r="AH1619" i="36" s="1"/>
  <c r="AB1619" i="36"/>
  <c r="AC1619" i="36" s="1"/>
  <c r="W1619" i="36"/>
  <c r="V1619" i="36"/>
  <c r="X1619" i="36" s="1"/>
  <c r="L1619" i="36"/>
  <c r="AL1618" i="36"/>
  <c r="AM1618" i="36" s="1"/>
  <c r="AG1618" i="36"/>
  <c r="AH1618" i="36" s="1"/>
  <c r="AB1618" i="36"/>
  <c r="AC1618" i="36" s="1"/>
  <c r="W1618" i="36"/>
  <c r="V1618" i="36"/>
  <c r="X1618" i="36" s="1"/>
  <c r="L1618" i="36"/>
  <c r="AL1617" i="36"/>
  <c r="AM1617" i="36" s="1"/>
  <c r="AG1617" i="36"/>
  <c r="AH1617" i="36" s="1"/>
  <c r="AB1617" i="36"/>
  <c r="AC1617" i="36" s="1"/>
  <c r="W1617" i="36"/>
  <c r="V1617" i="36"/>
  <c r="X1617" i="36" s="1"/>
  <c r="L1617" i="36"/>
  <c r="AL1616" i="36"/>
  <c r="AM1616" i="36" s="1"/>
  <c r="AG1616" i="36"/>
  <c r="AH1616" i="36" s="1"/>
  <c r="AB1616" i="36"/>
  <c r="AC1616" i="36" s="1"/>
  <c r="W1616" i="36"/>
  <c r="V1616" i="36"/>
  <c r="X1616" i="36" s="1"/>
  <c r="L1616" i="36"/>
  <c r="AL1615" i="36"/>
  <c r="AM1615" i="36" s="1"/>
  <c r="AG1615" i="36"/>
  <c r="AH1615" i="36" s="1"/>
  <c r="AB1615" i="36"/>
  <c r="AC1615" i="36" s="1"/>
  <c r="W1615" i="36"/>
  <c r="V1615" i="36"/>
  <c r="X1615" i="36" s="1"/>
  <c r="L1615" i="36"/>
  <c r="AL1614" i="36"/>
  <c r="AM1614" i="36" s="1"/>
  <c r="AG1614" i="36"/>
  <c r="AH1614" i="36" s="1"/>
  <c r="AB1614" i="36"/>
  <c r="AC1614" i="36" s="1"/>
  <c r="W1614" i="36"/>
  <c r="V1614" i="36"/>
  <c r="X1614" i="36" s="1"/>
  <c r="L1614" i="36"/>
  <c r="AL1613" i="36"/>
  <c r="AM1613" i="36" s="1"/>
  <c r="AG1613" i="36"/>
  <c r="AH1613" i="36" s="1"/>
  <c r="AB1613" i="36"/>
  <c r="AC1613" i="36" s="1"/>
  <c r="W1613" i="36"/>
  <c r="V1613" i="36"/>
  <c r="X1613" i="36" s="1"/>
  <c r="L1613" i="36"/>
  <c r="AL1612" i="36"/>
  <c r="AM1612" i="36" s="1"/>
  <c r="AG1612" i="36"/>
  <c r="AH1612" i="36" s="1"/>
  <c r="AB1612" i="36"/>
  <c r="AC1612" i="36" s="1"/>
  <c r="W1612" i="36"/>
  <c r="V1612" i="36"/>
  <c r="X1612" i="36" s="1"/>
  <c r="L1612" i="36"/>
  <c r="AL1611" i="36"/>
  <c r="AM1611" i="36" s="1"/>
  <c r="AG1611" i="36"/>
  <c r="AH1611" i="36" s="1"/>
  <c r="AB1611" i="36"/>
  <c r="AC1611" i="36" s="1"/>
  <c r="W1611" i="36"/>
  <c r="V1611" i="36"/>
  <c r="X1611" i="36" s="1"/>
  <c r="L1611" i="36"/>
  <c r="AL1610" i="36"/>
  <c r="AM1610" i="36" s="1"/>
  <c r="AG1610" i="36"/>
  <c r="AH1610" i="36" s="1"/>
  <c r="AB1610" i="36"/>
  <c r="AC1610" i="36" s="1"/>
  <c r="W1610" i="36"/>
  <c r="V1610" i="36"/>
  <c r="X1610" i="36" s="1"/>
  <c r="L1610" i="36"/>
  <c r="AL1609" i="36"/>
  <c r="AM1609" i="36" s="1"/>
  <c r="AG1609" i="36"/>
  <c r="AH1609" i="36" s="1"/>
  <c r="AB1609" i="36"/>
  <c r="AC1609" i="36" s="1"/>
  <c r="W1609" i="36"/>
  <c r="V1609" i="36"/>
  <c r="X1609" i="36" s="1"/>
  <c r="L1609" i="36"/>
  <c r="AL1608" i="36"/>
  <c r="AM1608" i="36" s="1"/>
  <c r="AG1608" i="36"/>
  <c r="AH1608" i="36" s="1"/>
  <c r="AB1608" i="36"/>
  <c r="AC1608" i="36" s="1"/>
  <c r="W1608" i="36"/>
  <c r="V1608" i="36"/>
  <c r="X1608" i="36" s="1"/>
  <c r="L1608" i="36"/>
  <c r="AL1607" i="36"/>
  <c r="AM1607" i="36" s="1"/>
  <c r="AG1607" i="36"/>
  <c r="AH1607" i="36" s="1"/>
  <c r="AB1607" i="36"/>
  <c r="AC1607" i="36" s="1"/>
  <c r="W1607" i="36"/>
  <c r="V1607" i="36"/>
  <c r="X1607" i="36" s="1"/>
  <c r="L1607" i="36"/>
  <c r="AL1606" i="36"/>
  <c r="AM1606" i="36" s="1"/>
  <c r="AG1606" i="36"/>
  <c r="AH1606" i="36" s="1"/>
  <c r="AB1606" i="36"/>
  <c r="AC1606" i="36" s="1"/>
  <c r="W1606" i="36"/>
  <c r="V1606" i="36"/>
  <c r="X1606" i="36" s="1"/>
  <c r="L1606" i="36"/>
  <c r="AL1605" i="36"/>
  <c r="AM1605" i="36" s="1"/>
  <c r="AG1605" i="36"/>
  <c r="AH1605" i="36" s="1"/>
  <c r="AB1605" i="36"/>
  <c r="AC1605" i="36" s="1"/>
  <c r="W1605" i="36"/>
  <c r="V1605" i="36"/>
  <c r="X1605" i="36" s="1"/>
  <c r="L1605" i="36"/>
  <c r="AL1604" i="36"/>
  <c r="AM1604" i="36" s="1"/>
  <c r="AG1604" i="36"/>
  <c r="AH1604" i="36" s="1"/>
  <c r="AB1604" i="36"/>
  <c r="AC1604" i="36" s="1"/>
  <c r="W1604" i="36"/>
  <c r="V1604" i="36"/>
  <c r="X1604" i="36" s="1"/>
  <c r="L1604" i="36"/>
  <c r="AL1603" i="36"/>
  <c r="AM1603" i="36" s="1"/>
  <c r="AG1603" i="36"/>
  <c r="AH1603" i="36" s="1"/>
  <c r="AB1603" i="36"/>
  <c r="AC1603" i="36" s="1"/>
  <c r="W1603" i="36"/>
  <c r="V1603" i="36"/>
  <c r="X1603" i="36" s="1"/>
  <c r="L1603" i="36"/>
  <c r="AL1602" i="36"/>
  <c r="AM1602" i="36" s="1"/>
  <c r="AG1602" i="36"/>
  <c r="AH1602" i="36" s="1"/>
  <c r="AB1602" i="36"/>
  <c r="AC1602" i="36" s="1"/>
  <c r="W1602" i="36"/>
  <c r="V1602" i="36"/>
  <c r="X1602" i="36" s="1"/>
  <c r="L1602" i="36"/>
  <c r="AL1601" i="36"/>
  <c r="AM1601" i="36" s="1"/>
  <c r="AG1601" i="36"/>
  <c r="AH1601" i="36" s="1"/>
  <c r="AB1601" i="36"/>
  <c r="AC1601" i="36" s="1"/>
  <c r="W1601" i="36"/>
  <c r="V1601" i="36"/>
  <c r="X1601" i="36" s="1"/>
  <c r="L1601" i="36"/>
  <c r="AL1600" i="36"/>
  <c r="AM1600" i="36" s="1"/>
  <c r="AG1600" i="36"/>
  <c r="AH1600" i="36" s="1"/>
  <c r="AB1600" i="36"/>
  <c r="AC1600" i="36" s="1"/>
  <c r="W1600" i="36"/>
  <c r="V1600" i="36"/>
  <c r="X1600" i="36" s="1"/>
  <c r="L1600" i="36"/>
  <c r="AL1599" i="36"/>
  <c r="AM1599" i="36" s="1"/>
  <c r="AG1599" i="36"/>
  <c r="AH1599" i="36" s="1"/>
  <c r="AB1599" i="36"/>
  <c r="AC1599" i="36" s="1"/>
  <c r="W1599" i="36"/>
  <c r="V1599" i="36"/>
  <c r="X1599" i="36" s="1"/>
  <c r="L1599" i="36"/>
  <c r="AL1598" i="36"/>
  <c r="AM1598" i="36" s="1"/>
  <c r="AG1598" i="36"/>
  <c r="AH1598" i="36" s="1"/>
  <c r="AB1598" i="36"/>
  <c r="AC1598" i="36" s="1"/>
  <c r="W1598" i="36"/>
  <c r="V1598" i="36"/>
  <c r="X1598" i="36" s="1"/>
  <c r="L1598" i="36"/>
  <c r="AL1597" i="36"/>
  <c r="AM1597" i="36" s="1"/>
  <c r="AG1597" i="36"/>
  <c r="AH1597" i="36" s="1"/>
  <c r="AB1597" i="36"/>
  <c r="AC1597" i="36" s="1"/>
  <c r="W1597" i="36"/>
  <c r="V1597" i="36"/>
  <c r="X1597" i="36" s="1"/>
  <c r="L1597" i="36"/>
  <c r="AL1596" i="36"/>
  <c r="AM1596" i="36" s="1"/>
  <c r="AG1596" i="36"/>
  <c r="AH1596" i="36" s="1"/>
  <c r="AB1596" i="36"/>
  <c r="AC1596" i="36" s="1"/>
  <c r="W1596" i="36"/>
  <c r="V1596" i="36"/>
  <c r="X1596" i="36" s="1"/>
  <c r="L1596" i="36"/>
  <c r="AL1595" i="36"/>
  <c r="AM1595" i="36" s="1"/>
  <c r="AG1595" i="36"/>
  <c r="AH1595" i="36" s="1"/>
  <c r="AB1595" i="36"/>
  <c r="AC1595" i="36" s="1"/>
  <c r="W1595" i="36"/>
  <c r="V1595" i="36"/>
  <c r="X1595" i="36" s="1"/>
  <c r="L1595" i="36"/>
  <c r="AL1594" i="36"/>
  <c r="AM1594" i="36" s="1"/>
  <c r="AG1594" i="36"/>
  <c r="AH1594" i="36" s="1"/>
  <c r="AB1594" i="36"/>
  <c r="AC1594" i="36" s="1"/>
  <c r="W1594" i="36"/>
  <c r="V1594" i="36"/>
  <c r="X1594" i="36" s="1"/>
  <c r="L1594" i="36"/>
  <c r="AL1593" i="36"/>
  <c r="AM1593" i="36" s="1"/>
  <c r="AG1593" i="36"/>
  <c r="AH1593" i="36" s="1"/>
  <c r="AB1593" i="36"/>
  <c r="AC1593" i="36" s="1"/>
  <c r="W1593" i="36"/>
  <c r="V1593" i="36"/>
  <c r="X1593" i="36" s="1"/>
  <c r="L1593" i="36"/>
  <c r="AL1592" i="36"/>
  <c r="AM1592" i="36" s="1"/>
  <c r="AG1592" i="36"/>
  <c r="AH1592" i="36" s="1"/>
  <c r="AB1592" i="36"/>
  <c r="AC1592" i="36" s="1"/>
  <c r="W1592" i="36"/>
  <c r="V1592" i="36"/>
  <c r="X1592" i="36" s="1"/>
  <c r="L1592" i="36"/>
  <c r="AL1591" i="36"/>
  <c r="AM1591" i="36" s="1"/>
  <c r="AG1591" i="36"/>
  <c r="AH1591" i="36" s="1"/>
  <c r="AB1591" i="36"/>
  <c r="AC1591" i="36" s="1"/>
  <c r="W1591" i="36"/>
  <c r="V1591" i="36"/>
  <c r="X1591" i="36" s="1"/>
  <c r="L1591" i="36"/>
  <c r="AL1590" i="36"/>
  <c r="AM1590" i="36" s="1"/>
  <c r="AG1590" i="36"/>
  <c r="AH1590" i="36" s="1"/>
  <c r="AB1590" i="36"/>
  <c r="AC1590" i="36" s="1"/>
  <c r="W1590" i="36"/>
  <c r="V1590" i="36"/>
  <c r="X1590" i="36" s="1"/>
  <c r="L1590" i="36"/>
  <c r="AL1589" i="36"/>
  <c r="AM1589" i="36" s="1"/>
  <c r="AG1589" i="36"/>
  <c r="AH1589" i="36" s="1"/>
  <c r="AB1589" i="36"/>
  <c r="AC1589" i="36" s="1"/>
  <c r="W1589" i="36"/>
  <c r="V1589" i="36"/>
  <c r="X1589" i="36" s="1"/>
  <c r="L1589" i="36"/>
  <c r="AL1588" i="36"/>
  <c r="AM1588" i="36" s="1"/>
  <c r="AG1588" i="36"/>
  <c r="AH1588" i="36" s="1"/>
  <c r="AB1588" i="36"/>
  <c r="AC1588" i="36" s="1"/>
  <c r="W1588" i="36"/>
  <c r="V1588" i="36"/>
  <c r="X1588" i="36" s="1"/>
  <c r="L1588" i="36"/>
  <c r="AL1587" i="36"/>
  <c r="AM1587" i="36" s="1"/>
  <c r="AG1587" i="36"/>
  <c r="AH1587" i="36" s="1"/>
  <c r="AB1587" i="36"/>
  <c r="AC1587" i="36" s="1"/>
  <c r="W1587" i="36"/>
  <c r="V1587" i="36"/>
  <c r="X1587" i="36" s="1"/>
  <c r="L1587" i="36"/>
  <c r="AL1586" i="36"/>
  <c r="AM1586" i="36" s="1"/>
  <c r="AG1586" i="36"/>
  <c r="AH1586" i="36" s="1"/>
  <c r="AB1586" i="36"/>
  <c r="AC1586" i="36" s="1"/>
  <c r="W1586" i="36"/>
  <c r="V1586" i="36"/>
  <c r="X1586" i="36" s="1"/>
  <c r="L1586" i="36"/>
  <c r="AL1585" i="36"/>
  <c r="AM1585" i="36" s="1"/>
  <c r="AG1585" i="36"/>
  <c r="AH1585" i="36" s="1"/>
  <c r="AB1585" i="36"/>
  <c r="AC1585" i="36" s="1"/>
  <c r="W1585" i="36"/>
  <c r="V1585" i="36"/>
  <c r="X1585" i="36" s="1"/>
  <c r="L1585" i="36"/>
  <c r="AL1584" i="36"/>
  <c r="AM1584" i="36" s="1"/>
  <c r="AG1584" i="36"/>
  <c r="AH1584" i="36" s="1"/>
  <c r="AB1584" i="36"/>
  <c r="AC1584" i="36" s="1"/>
  <c r="W1584" i="36"/>
  <c r="V1584" i="36"/>
  <c r="X1584" i="36" s="1"/>
  <c r="L1584" i="36"/>
  <c r="AL1583" i="36"/>
  <c r="AM1583" i="36" s="1"/>
  <c r="AG1583" i="36"/>
  <c r="AH1583" i="36" s="1"/>
  <c r="AB1583" i="36"/>
  <c r="AC1583" i="36" s="1"/>
  <c r="W1583" i="36"/>
  <c r="V1583" i="36"/>
  <c r="X1583" i="36" s="1"/>
  <c r="L1583" i="36"/>
  <c r="AL1582" i="36"/>
  <c r="AM1582" i="36" s="1"/>
  <c r="AG1582" i="36"/>
  <c r="AH1582" i="36" s="1"/>
  <c r="AB1582" i="36"/>
  <c r="AC1582" i="36" s="1"/>
  <c r="W1582" i="36"/>
  <c r="V1582" i="36"/>
  <c r="X1582" i="36" s="1"/>
  <c r="L1582" i="36"/>
  <c r="AL1581" i="36"/>
  <c r="AM1581" i="36" s="1"/>
  <c r="AG1581" i="36"/>
  <c r="AH1581" i="36" s="1"/>
  <c r="AB1581" i="36"/>
  <c r="AC1581" i="36" s="1"/>
  <c r="W1581" i="36"/>
  <c r="V1581" i="36"/>
  <c r="X1581" i="36" s="1"/>
  <c r="L1581" i="36"/>
  <c r="AL1580" i="36"/>
  <c r="AM1580" i="36" s="1"/>
  <c r="AG1580" i="36"/>
  <c r="AH1580" i="36" s="1"/>
  <c r="AB1580" i="36"/>
  <c r="AC1580" i="36" s="1"/>
  <c r="W1580" i="36"/>
  <c r="V1580" i="36"/>
  <c r="X1580" i="36" s="1"/>
  <c r="L1580" i="36"/>
  <c r="AL1579" i="36"/>
  <c r="AM1579" i="36" s="1"/>
  <c r="AG1579" i="36"/>
  <c r="AH1579" i="36" s="1"/>
  <c r="AB1579" i="36"/>
  <c r="AC1579" i="36" s="1"/>
  <c r="W1579" i="36"/>
  <c r="V1579" i="36"/>
  <c r="X1579" i="36" s="1"/>
  <c r="L1579" i="36"/>
  <c r="AL1578" i="36"/>
  <c r="AM1578" i="36" s="1"/>
  <c r="AG1578" i="36"/>
  <c r="AH1578" i="36" s="1"/>
  <c r="AB1578" i="36"/>
  <c r="AC1578" i="36" s="1"/>
  <c r="W1578" i="36"/>
  <c r="V1578" i="36"/>
  <c r="X1578" i="36" s="1"/>
  <c r="L1578" i="36"/>
  <c r="AL1577" i="36"/>
  <c r="AM1577" i="36" s="1"/>
  <c r="AG1577" i="36"/>
  <c r="AH1577" i="36" s="1"/>
  <c r="AB1577" i="36"/>
  <c r="AC1577" i="36" s="1"/>
  <c r="W1577" i="36"/>
  <c r="V1577" i="36"/>
  <c r="X1577" i="36" s="1"/>
  <c r="L1577" i="36"/>
  <c r="AL1576" i="36"/>
  <c r="AM1576" i="36" s="1"/>
  <c r="AG1576" i="36"/>
  <c r="AH1576" i="36" s="1"/>
  <c r="AB1576" i="36"/>
  <c r="AC1576" i="36" s="1"/>
  <c r="W1576" i="36"/>
  <c r="V1576" i="36"/>
  <c r="X1576" i="36" s="1"/>
  <c r="L1576" i="36"/>
  <c r="AL1575" i="36"/>
  <c r="AM1575" i="36" s="1"/>
  <c r="AG1575" i="36"/>
  <c r="AH1575" i="36" s="1"/>
  <c r="AB1575" i="36"/>
  <c r="AC1575" i="36" s="1"/>
  <c r="W1575" i="36"/>
  <c r="V1575" i="36"/>
  <c r="X1575" i="36" s="1"/>
  <c r="L1575" i="36"/>
  <c r="AL1574" i="36"/>
  <c r="AM1574" i="36" s="1"/>
  <c r="AG1574" i="36"/>
  <c r="AH1574" i="36" s="1"/>
  <c r="AB1574" i="36"/>
  <c r="AC1574" i="36" s="1"/>
  <c r="W1574" i="36"/>
  <c r="V1574" i="36"/>
  <c r="X1574" i="36" s="1"/>
  <c r="L1574" i="36"/>
  <c r="AL1573" i="36"/>
  <c r="AM1573" i="36" s="1"/>
  <c r="AG1573" i="36"/>
  <c r="AH1573" i="36" s="1"/>
  <c r="AB1573" i="36"/>
  <c r="AC1573" i="36" s="1"/>
  <c r="W1573" i="36"/>
  <c r="V1573" i="36"/>
  <c r="X1573" i="36" s="1"/>
  <c r="L1573" i="36"/>
  <c r="AL1572" i="36"/>
  <c r="AM1572" i="36" s="1"/>
  <c r="AG1572" i="36"/>
  <c r="AH1572" i="36" s="1"/>
  <c r="AB1572" i="36"/>
  <c r="AC1572" i="36" s="1"/>
  <c r="W1572" i="36"/>
  <c r="V1572" i="36"/>
  <c r="X1572" i="36" s="1"/>
  <c r="L1572" i="36"/>
  <c r="AL1571" i="36"/>
  <c r="AM1571" i="36" s="1"/>
  <c r="AG1571" i="36"/>
  <c r="AH1571" i="36" s="1"/>
  <c r="AB1571" i="36"/>
  <c r="AC1571" i="36" s="1"/>
  <c r="W1571" i="36"/>
  <c r="V1571" i="36"/>
  <c r="X1571" i="36" s="1"/>
  <c r="L1571" i="36"/>
  <c r="AL1570" i="36"/>
  <c r="AM1570" i="36" s="1"/>
  <c r="AG1570" i="36"/>
  <c r="AH1570" i="36" s="1"/>
  <c r="AB1570" i="36"/>
  <c r="AC1570" i="36" s="1"/>
  <c r="W1570" i="36"/>
  <c r="V1570" i="36"/>
  <c r="X1570" i="36" s="1"/>
  <c r="L1570" i="36"/>
  <c r="AL1569" i="36"/>
  <c r="AM1569" i="36" s="1"/>
  <c r="AG1569" i="36"/>
  <c r="AH1569" i="36" s="1"/>
  <c r="AB1569" i="36"/>
  <c r="AC1569" i="36" s="1"/>
  <c r="W1569" i="36"/>
  <c r="V1569" i="36"/>
  <c r="X1569" i="36" s="1"/>
  <c r="L1569" i="36"/>
  <c r="AL1568" i="36"/>
  <c r="AM1568" i="36" s="1"/>
  <c r="AG1568" i="36"/>
  <c r="AH1568" i="36" s="1"/>
  <c r="AB1568" i="36"/>
  <c r="AC1568" i="36" s="1"/>
  <c r="W1568" i="36"/>
  <c r="V1568" i="36"/>
  <c r="X1568" i="36" s="1"/>
  <c r="L1568" i="36"/>
  <c r="AL1567" i="36"/>
  <c r="AM1567" i="36" s="1"/>
  <c r="AG1567" i="36"/>
  <c r="AH1567" i="36" s="1"/>
  <c r="AB1567" i="36"/>
  <c r="AC1567" i="36" s="1"/>
  <c r="W1567" i="36"/>
  <c r="V1567" i="36"/>
  <c r="X1567" i="36" s="1"/>
  <c r="L1567" i="36"/>
  <c r="AL1566" i="36"/>
  <c r="AM1566" i="36" s="1"/>
  <c r="AG1566" i="36"/>
  <c r="AH1566" i="36" s="1"/>
  <c r="AB1566" i="36"/>
  <c r="AC1566" i="36" s="1"/>
  <c r="W1566" i="36"/>
  <c r="V1566" i="36"/>
  <c r="X1566" i="36" s="1"/>
  <c r="L1566" i="36"/>
  <c r="AL1565" i="36"/>
  <c r="AM1565" i="36" s="1"/>
  <c r="AG1565" i="36"/>
  <c r="AH1565" i="36" s="1"/>
  <c r="AB1565" i="36"/>
  <c r="AC1565" i="36" s="1"/>
  <c r="W1565" i="36"/>
  <c r="V1565" i="36"/>
  <c r="X1565" i="36" s="1"/>
  <c r="L1565" i="36"/>
  <c r="AL1564" i="36"/>
  <c r="AM1564" i="36" s="1"/>
  <c r="AG1564" i="36"/>
  <c r="AH1564" i="36" s="1"/>
  <c r="AB1564" i="36"/>
  <c r="AC1564" i="36" s="1"/>
  <c r="W1564" i="36"/>
  <c r="V1564" i="36"/>
  <c r="X1564" i="36" s="1"/>
  <c r="L1564" i="36"/>
  <c r="AL1563" i="36"/>
  <c r="AM1563" i="36" s="1"/>
  <c r="AG1563" i="36"/>
  <c r="AH1563" i="36" s="1"/>
  <c r="AB1563" i="36"/>
  <c r="AC1563" i="36" s="1"/>
  <c r="W1563" i="36"/>
  <c r="V1563" i="36"/>
  <c r="X1563" i="36" s="1"/>
  <c r="L1563" i="36"/>
  <c r="AL1562" i="36"/>
  <c r="AM1562" i="36" s="1"/>
  <c r="AG1562" i="36"/>
  <c r="AH1562" i="36" s="1"/>
  <c r="AB1562" i="36"/>
  <c r="AC1562" i="36" s="1"/>
  <c r="W1562" i="36"/>
  <c r="V1562" i="36"/>
  <c r="X1562" i="36" s="1"/>
  <c r="L1562" i="36"/>
  <c r="AL1561" i="36"/>
  <c r="AM1561" i="36" s="1"/>
  <c r="AG1561" i="36"/>
  <c r="AH1561" i="36" s="1"/>
  <c r="AB1561" i="36"/>
  <c r="AC1561" i="36" s="1"/>
  <c r="W1561" i="36"/>
  <c r="V1561" i="36"/>
  <c r="X1561" i="36" s="1"/>
  <c r="L1561" i="36"/>
  <c r="AL1560" i="36"/>
  <c r="AM1560" i="36" s="1"/>
  <c r="AG1560" i="36"/>
  <c r="AH1560" i="36" s="1"/>
  <c r="AB1560" i="36"/>
  <c r="AC1560" i="36" s="1"/>
  <c r="W1560" i="36"/>
  <c r="V1560" i="36"/>
  <c r="X1560" i="36" s="1"/>
  <c r="L1560" i="36"/>
  <c r="AL1559" i="36"/>
  <c r="AM1559" i="36" s="1"/>
  <c r="AG1559" i="36"/>
  <c r="AH1559" i="36" s="1"/>
  <c r="AB1559" i="36"/>
  <c r="AC1559" i="36" s="1"/>
  <c r="W1559" i="36"/>
  <c r="V1559" i="36"/>
  <c r="X1559" i="36" s="1"/>
  <c r="L1559" i="36"/>
  <c r="AL1558" i="36"/>
  <c r="AM1558" i="36" s="1"/>
  <c r="AG1558" i="36"/>
  <c r="AH1558" i="36" s="1"/>
  <c r="AB1558" i="36"/>
  <c r="AC1558" i="36" s="1"/>
  <c r="W1558" i="36"/>
  <c r="V1558" i="36"/>
  <c r="X1558" i="36" s="1"/>
  <c r="L1558" i="36"/>
  <c r="AL1557" i="36"/>
  <c r="AM1557" i="36" s="1"/>
  <c r="AG1557" i="36"/>
  <c r="AH1557" i="36" s="1"/>
  <c r="AB1557" i="36"/>
  <c r="AC1557" i="36" s="1"/>
  <c r="W1557" i="36"/>
  <c r="V1557" i="36"/>
  <c r="X1557" i="36" s="1"/>
  <c r="L1557" i="36"/>
  <c r="AL1556" i="36"/>
  <c r="AM1556" i="36" s="1"/>
  <c r="AG1556" i="36"/>
  <c r="AH1556" i="36" s="1"/>
  <c r="AB1556" i="36"/>
  <c r="AC1556" i="36" s="1"/>
  <c r="W1556" i="36"/>
  <c r="V1556" i="36"/>
  <c r="X1556" i="36" s="1"/>
  <c r="L1556" i="36"/>
  <c r="AL1555" i="36"/>
  <c r="AM1555" i="36" s="1"/>
  <c r="AG1555" i="36"/>
  <c r="AH1555" i="36" s="1"/>
  <c r="AB1555" i="36"/>
  <c r="AC1555" i="36" s="1"/>
  <c r="W1555" i="36"/>
  <c r="V1555" i="36"/>
  <c r="X1555" i="36" s="1"/>
  <c r="L1555" i="36"/>
  <c r="AL1554" i="36"/>
  <c r="AM1554" i="36" s="1"/>
  <c r="AG1554" i="36"/>
  <c r="AH1554" i="36" s="1"/>
  <c r="AB1554" i="36"/>
  <c r="AC1554" i="36" s="1"/>
  <c r="W1554" i="36"/>
  <c r="V1554" i="36"/>
  <c r="X1554" i="36" s="1"/>
  <c r="L1554" i="36"/>
  <c r="AL1553" i="36"/>
  <c r="AM1553" i="36" s="1"/>
  <c r="AG1553" i="36"/>
  <c r="AH1553" i="36" s="1"/>
  <c r="AB1553" i="36"/>
  <c r="AC1553" i="36" s="1"/>
  <c r="W1553" i="36"/>
  <c r="V1553" i="36"/>
  <c r="X1553" i="36" s="1"/>
  <c r="L1553" i="36"/>
  <c r="AL1552" i="36"/>
  <c r="AM1552" i="36" s="1"/>
  <c r="AG1552" i="36"/>
  <c r="AH1552" i="36" s="1"/>
  <c r="AB1552" i="36"/>
  <c r="AC1552" i="36" s="1"/>
  <c r="W1552" i="36"/>
  <c r="V1552" i="36"/>
  <c r="X1552" i="36" s="1"/>
  <c r="L1552" i="36"/>
  <c r="AL1551" i="36"/>
  <c r="AM1551" i="36" s="1"/>
  <c r="AG1551" i="36"/>
  <c r="AH1551" i="36" s="1"/>
  <c r="AB1551" i="36"/>
  <c r="AC1551" i="36" s="1"/>
  <c r="W1551" i="36"/>
  <c r="V1551" i="36"/>
  <c r="X1551" i="36" s="1"/>
  <c r="L1551" i="36"/>
  <c r="AL1550" i="36"/>
  <c r="AM1550" i="36" s="1"/>
  <c r="AG1550" i="36"/>
  <c r="AH1550" i="36" s="1"/>
  <c r="AB1550" i="36"/>
  <c r="AC1550" i="36" s="1"/>
  <c r="W1550" i="36"/>
  <c r="V1550" i="36"/>
  <c r="X1550" i="36" s="1"/>
  <c r="L1550" i="36"/>
  <c r="AL1549" i="36"/>
  <c r="AM1549" i="36" s="1"/>
  <c r="AG1549" i="36"/>
  <c r="AH1549" i="36" s="1"/>
  <c r="AB1549" i="36"/>
  <c r="AC1549" i="36" s="1"/>
  <c r="W1549" i="36"/>
  <c r="V1549" i="36"/>
  <c r="X1549" i="36" s="1"/>
  <c r="L1549" i="36"/>
  <c r="AL1548" i="36"/>
  <c r="AM1548" i="36" s="1"/>
  <c r="AG1548" i="36"/>
  <c r="AH1548" i="36" s="1"/>
  <c r="AB1548" i="36"/>
  <c r="AC1548" i="36" s="1"/>
  <c r="W1548" i="36"/>
  <c r="V1548" i="36"/>
  <c r="X1548" i="36" s="1"/>
  <c r="L1548" i="36"/>
  <c r="AL1547" i="36"/>
  <c r="AM1547" i="36" s="1"/>
  <c r="AG1547" i="36"/>
  <c r="AH1547" i="36" s="1"/>
  <c r="AB1547" i="36"/>
  <c r="AC1547" i="36" s="1"/>
  <c r="W1547" i="36"/>
  <c r="V1547" i="36"/>
  <c r="X1547" i="36" s="1"/>
  <c r="L1547" i="36"/>
  <c r="AL1546" i="36"/>
  <c r="AM1546" i="36" s="1"/>
  <c r="AG1546" i="36"/>
  <c r="AH1546" i="36" s="1"/>
  <c r="AB1546" i="36"/>
  <c r="AC1546" i="36" s="1"/>
  <c r="W1546" i="36"/>
  <c r="V1546" i="36"/>
  <c r="X1546" i="36" s="1"/>
  <c r="L1546" i="36"/>
  <c r="AL1545" i="36"/>
  <c r="AM1545" i="36" s="1"/>
  <c r="AG1545" i="36"/>
  <c r="AH1545" i="36" s="1"/>
  <c r="AB1545" i="36"/>
  <c r="AC1545" i="36" s="1"/>
  <c r="W1545" i="36"/>
  <c r="V1545" i="36"/>
  <c r="X1545" i="36" s="1"/>
  <c r="L1545" i="36"/>
  <c r="AL1544" i="36"/>
  <c r="AM1544" i="36" s="1"/>
  <c r="AG1544" i="36"/>
  <c r="AH1544" i="36" s="1"/>
  <c r="AB1544" i="36"/>
  <c r="AC1544" i="36" s="1"/>
  <c r="W1544" i="36"/>
  <c r="V1544" i="36"/>
  <c r="X1544" i="36" s="1"/>
  <c r="L1544" i="36"/>
  <c r="AL1543" i="36"/>
  <c r="AM1543" i="36" s="1"/>
  <c r="AG1543" i="36"/>
  <c r="AH1543" i="36" s="1"/>
  <c r="AB1543" i="36"/>
  <c r="AC1543" i="36" s="1"/>
  <c r="W1543" i="36"/>
  <c r="V1543" i="36"/>
  <c r="X1543" i="36" s="1"/>
  <c r="L1543" i="36"/>
  <c r="AL1542" i="36"/>
  <c r="AM1542" i="36" s="1"/>
  <c r="AG1542" i="36"/>
  <c r="AH1542" i="36" s="1"/>
  <c r="AB1542" i="36"/>
  <c r="AC1542" i="36" s="1"/>
  <c r="W1542" i="36"/>
  <c r="V1542" i="36"/>
  <c r="X1542" i="36" s="1"/>
  <c r="L1542" i="36"/>
  <c r="AL1541" i="36"/>
  <c r="AM1541" i="36" s="1"/>
  <c r="AG1541" i="36"/>
  <c r="AH1541" i="36" s="1"/>
  <c r="AB1541" i="36"/>
  <c r="AC1541" i="36" s="1"/>
  <c r="W1541" i="36"/>
  <c r="V1541" i="36"/>
  <c r="X1541" i="36" s="1"/>
  <c r="L1541" i="36"/>
  <c r="AL1540" i="36"/>
  <c r="AM1540" i="36" s="1"/>
  <c r="AG1540" i="36"/>
  <c r="AH1540" i="36" s="1"/>
  <c r="AB1540" i="36"/>
  <c r="AC1540" i="36" s="1"/>
  <c r="W1540" i="36"/>
  <c r="V1540" i="36"/>
  <c r="X1540" i="36" s="1"/>
  <c r="L1540" i="36"/>
  <c r="AL1539" i="36"/>
  <c r="AM1539" i="36" s="1"/>
  <c r="AG1539" i="36"/>
  <c r="AH1539" i="36" s="1"/>
  <c r="AB1539" i="36"/>
  <c r="AC1539" i="36" s="1"/>
  <c r="W1539" i="36"/>
  <c r="V1539" i="36"/>
  <c r="X1539" i="36" s="1"/>
  <c r="L1539" i="36"/>
  <c r="AL1538" i="36"/>
  <c r="AM1538" i="36" s="1"/>
  <c r="AG1538" i="36"/>
  <c r="AH1538" i="36" s="1"/>
  <c r="AB1538" i="36"/>
  <c r="AC1538" i="36" s="1"/>
  <c r="W1538" i="36"/>
  <c r="V1538" i="36"/>
  <c r="X1538" i="36" s="1"/>
  <c r="L1538" i="36"/>
  <c r="AL1537" i="36"/>
  <c r="AM1537" i="36" s="1"/>
  <c r="AG1537" i="36"/>
  <c r="AH1537" i="36" s="1"/>
  <c r="AB1537" i="36"/>
  <c r="AC1537" i="36" s="1"/>
  <c r="W1537" i="36"/>
  <c r="V1537" i="36"/>
  <c r="X1537" i="36" s="1"/>
  <c r="L1537" i="36"/>
  <c r="AL1536" i="36"/>
  <c r="AM1536" i="36" s="1"/>
  <c r="AG1536" i="36"/>
  <c r="AH1536" i="36" s="1"/>
  <c r="AB1536" i="36"/>
  <c r="AC1536" i="36" s="1"/>
  <c r="W1536" i="36"/>
  <c r="V1536" i="36"/>
  <c r="X1536" i="36" s="1"/>
  <c r="L1536" i="36"/>
  <c r="AL1535" i="36"/>
  <c r="AM1535" i="36" s="1"/>
  <c r="AG1535" i="36"/>
  <c r="AH1535" i="36" s="1"/>
  <c r="AB1535" i="36"/>
  <c r="AC1535" i="36" s="1"/>
  <c r="W1535" i="36"/>
  <c r="V1535" i="36"/>
  <c r="X1535" i="36" s="1"/>
  <c r="L1535" i="36"/>
  <c r="AL1534" i="36"/>
  <c r="AM1534" i="36" s="1"/>
  <c r="AG1534" i="36"/>
  <c r="AH1534" i="36" s="1"/>
  <c r="AB1534" i="36"/>
  <c r="AC1534" i="36" s="1"/>
  <c r="W1534" i="36"/>
  <c r="V1534" i="36"/>
  <c r="X1534" i="36" s="1"/>
  <c r="L1534" i="36"/>
  <c r="AL1533" i="36"/>
  <c r="AM1533" i="36" s="1"/>
  <c r="AG1533" i="36"/>
  <c r="AH1533" i="36" s="1"/>
  <c r="AB1533" i="36"/>
  <c r="AC1533" i="36" s="1"/>
  <c r="W1533" i="36"/>
  <c r="V1533" i="36"/>
  <c r="X1533" i="36" s="1"/>
  <c r="L1533" i="36"/>
  <c r="AL1532" i="36"/>
  <c r="AM1532" i="36" s="1"/>
  <c r="AG1532" i="36"/>
  <c r="AH1532" i="36" s="1"/>
  <c r="AB1532" i="36"/>
  <c r="AC1532" i="36" s="1"/>
  <c r="W1532" i="36"/>
  <c r="V1532" i="36"/>
  <c r="X1532" i="36" s="1"/>
  <c r="L1532" i="36"/>
  <c r="AL1531" i="36"/>
  <c r="AM1531" i="36" s="1"/>
  <c r="AG1531" i="36"/>
  <c r="AH1531" i="36" s="1"/>
  <c r="AB1531" i="36"/>
  <c r="AC1531" i="36" s="1"/>
  <c r="W1531" i="36"/>
  <c r="V1531" i="36"/>
  <c r="X1531" i="36" s="1"/>
  <c r="L1531" i="36"/>
  <c r="AL1530" i="36"/>
  <c r="AM1530" i="36" s="1"/>
  <c r="AG1530" i="36"/>
  <c r="AH1530" i="36" s="1"/>
  <c r="AB1530" i="36"/>
  <c r="AC1530" i="36" s="1"/>
  <c r="W1530" i="36"/>
  <c r="V1530" i="36"/>
  <c r="X1530" i="36" s="1"/>
  <c r="L1530" i="36"/>
  <c r="AL1529" i="36"/>
  <c r="AM1529" i="36" s="1"/>
  <c r="AG1529" i="36"/>
  <c r="AH1529" i="36" s="1"/>
  <c r="AB1529" i="36"/>
  <c r="AC1529" i="36" s="1"/>
  <c r="W1529" i="36"/>
  <c r="V1529" i="36"/>
  <c r="X1529" i="36" s="1"/>
  <c r="L1529" i="36"/>
  <c r="AL1528" i="36"/>
  <c r="AM1528" i="36" s="1"/>
  <c r="AG1528" i="36"/>
  <c r="AH1528" i="36" s="1"/>
  <c r="AB1528" i="36"/>
  <c r="AC1528" i="36" s="1"/>
  <c r="W1528" i="36"/>
  <c r="V1528" i="36"/>
  <c r="X1528" i="36" s="1"/>
  <c r="L1528" i="36"/>
  <c r="AL1527" i="36"/>
  <c r="AM1527" i="36" s="1"/>
  <c r="AG1527" i="36"/>
  <c r="AH1527" i="36" s="1"/>
  <c r="AB1527" i="36"/>
  <c r="AC1527" i="36" s="1"/>
  <c r="W1527" i="36"/>
  <c r="V1527" i="36"/>
  <c r="X1527" i="36" s="1"/>
  <c r="L1527" i="36"/>
  <c r="AL1526" i="36"/>
  <c r="AM1526" i="36" s="1"/>
  <c r="AG1526" i="36"/>
  <c r="AH1526" i="36" s="1"/>
  <c r="AB1526" i="36"/>
  <c r="AC1526" i="36" s="1"/>
  <c r="W1526" i="36"/>
  <c r="V1526" i="36"/>
  <c r="X1526" i="36" s="1"/>
  <c r="L1526" i="36"/>
  <c r="AL1525" i="36"/>
  <c r="AM1525" i="36" s="1"/>
  <c r="AG1525" i="36"/>
  <c r="AH1525" i="36" s="1"/>
  <c r="AB1525" i="36"/>
  <c r="AC1525" i="36" s="1"/>
  <c r="W1525" i="36"/>
  <c r="V1525" i="36"/>
  <c r="X1525" i="36" s="1"/>
  <c r="L1525" i="36"/>
  <c r="AL1524" i="36"/>
  <c r="AM1524" i="36" s="1"/>
  <c r="AG1524" i="36"/>
  <c r="AH1524" i="36" s="1"/>
  <c r="AB1524" i="36"/>
  <c r="AC1524" i="36" s="1"/>
  <c r="W1524" i="36"/>
  <c r="V1524" i="36"/>
  <c r="X1524" i="36" s="1"/>
  <c r="L1524" i="36"/>
  <c r="AL1523" i="36"/>
  <c r="AM1523" i="36" s="1"/>
  <c r="AG1523" i="36"/>
  <c r="AH1523" i="36" s="1"/>
  <c r="AB1523" i="36"/>
  <c r="AC1523" i="36" s="1"/>
  <c r="W1523" i="36"/>
  <c r="V1523" i="36"/>
  <c r="X1523" i="36" s="1"/>
  <c r="L1523" i="36"/>
  <c r="AL1522" i="36"/>
  <c r="AM1522" i="36" s="1"/>
  <c r="AG1522" i="36"/>
  <c r="AH1522" i="36" s="1"/>
  <c r="AB1522" i="36"/>
  <c r="AC1522" i="36" s="1"/>
  <c r="W1522" i="36"/>
  <c r="V1522" i="36"/>
  <c r="X1522" i="36" s="1"/>
  <c r="L1522" i="36"/>
  <c r="AL1521" i="36"/>
  <c r="AM1521" i="36" s="1"/>
  <c r="AG1521" i="36"/>
  <c r="AH1521" i="36" s="1"/>
  <c r="AB1521" i="36"/>
  <c r="AC1521" i="36" s="1"/>
  <c r="W1521" i="36"/>
  <c r="V1521" i="36"/>
  <c r="X1521" i="36" s="1"/>
  <c r="L1521" i="36"/>
  <c r="AL1520" i="36"/>
  <c r="AM1520" i="36" s="1"/>
  <c r="AG1520" i="36"/>
  <c r="AH1520" i="36" s="1"/>
  <c r="AB1520" i="36"/>
  <c r="AC1520" i="36" s="1"/>
  <c r="W1520" i="36"/>
  <c r="V1520" i="36"/>
  <c r="X1520" i="36" s="1"/>
  <c r="L1520" i="36"/>
  <c r="AL1519" i="36"/>
  <c r="AM1519" i="36" s="1"/>
  <c r="AG1519" i="36"/>
  <c r="AH1519" i="36" s="1"/>
  <c r="AB1519" i="36"/>
  <c r="AC1519" i="36" s="1"/>
  <c r="W1519" i="36"/>
  <c r="V1519" i="36"/>
  <c r="X1519" i="36" s="1"/>
  <c r="L1519" i="36"/>
  <c r="AL1518" i="36"/>
  <c r="AM1518" i="36" s="1"/>
  <c r="AG1518" i="36"/>
  <c r="AH1518" i="36" s="1"/>
  <c r="AB1518" i="36"/>
  <c r="AC1518" i="36" s="1"/>
  <c r="W1518" i="36"/>
  <c r="V1518" i="36"/>
  <c r="X1518" i="36" s="1"/>
  <c r="L1518" i="36"/>
  <c r="AL1517" i="36"/>
  <c r="AM1517" i="36" s="1"/>
  <c r="AG1517" i="36"/>
  <c r="AH1517" i="36" s="1"/>
  <c r="AB1517" i="36"/>
  <c r="AC1517" i="36" s="1"/>
  <c r="W1517" i="36"/>
  <c r="V1517" i="36"/>
  <c r="X1517" i="36" s="1"/>
  <c r="L1517" i="36"/>
  <c r="AL1516" i="36"/>
  <c r="AM1516" i="36" s="1"/>
  <c r="AG1516" i="36"/>
  <c r="AH1516" i="36" s="1"/>
  <c r="AB1516" i="36"/>
  <c r="AC1516" i="36" s="1"/>
  <c r="W1516" i="36"/>
  <c r="V1516" i="36"/>
  <c r="X1516" i="36" s="1"/>
  <c r="L1516" i="36"/>
  <c r="AL1515" i="36"/>
  <c r="AM1515" i="36" s="1"/>
  <c r="AG1515" i="36"/>
  <c r="AH1515" i="36" s="1"/>
  <c r="AB1515" i="36"/>
  <c r="AC1515" i="36" s="1"/>
  <c r="W1515" i="36"/>
  <c r="V1515" i="36"/>
  <c r="X1515" i="36" s="1"/>
  <c r="L1515" i="36"/>
  <c r="AL1514" i="36"/>
  <c r="AM1514" i="36" s="1"/>
  <c r="AG1514" i="36"/>
  <c r="AH1514" i="36" s="1"/>
  <c r="AB1514" i="36"/>
  <c r="AC1514" i="36" s="1"/>
  <c r="W1514" i="36"/>
  <c r="V1514" i="36"/>
  <c r="X1514" i="36" s="1"/>
  <c r="L1514" i="36"/>
  <c r="AL1513" i="36"/>
  <c r="AM1513" i="36" s="1"/>
  <c r="AG1513" i="36"/>
  <c r="AH1513" i="36" s="1"/>
  <c r="AB1513" i="36"/>
  <c r="AC1513" i="36" s="1"/>
  <c r="W1513" i="36"/>
  <c r="V1513" i="36"/>
  <c r="X1513" i="36" s="1"/>
  <c r="L1513" i="36"/>
  <c r="AL1512" i="36"/>
  <c r="AM1512" i="36" s="1"/>
  <c r="AG1512" i="36"/>
  <c r="AH1512" i="36" s="1"/>
  <c r="AB1512" i="36"/>
  <c r="AC1512" i="36" s="1"/>
  <c r="W1512" i="36"/>
  <c r="V1512" i="36"/>
  <c r="X1512" i="36" s="1"/>
  <c r="L1512" i="36"/>
  <c r="AL1511" i="36"/>
  <c r="AM1511" i="36" s="1"/>
  <c r="AG1511" i="36"/>
  <c r="AH1511" i="36" s="1"/>
  <c r="AB1511" i="36"/>
  <c r="AC1511" i="36" s="1"/>
  <c r="W1511" i="36"/>
  <c r="V1511" i="36"/>
  <c r="X1511" i="36" s="1"/>
  <c r="L1511" i="36"/>
  <c r="AL1510" i="36"/>
  <c r="AM1510" i="36" s="1"/>
  <c r="AG1510" i="36"/>
  <c r="AH1510" i="36" s="1"/>
  <c r="AB1510" i="36"/>
  <c r="AC1510" i="36" s="1"/>
  <c r="W1510" i="36"/>
  <c r="V1510" i="36"/>
  <c r="X1510" i="36" s="1"/>
  <c r="L1510" i="36"/>
  <c r="AL1509" i="36"/>
  <c r="AM1509" i="36" s="1"/>
  <c r="AG1509" i="36"/>
  <c r="AH1509" i="36" s="1"/>
  <c r="AB1509" i="36"/>
  <c r="AC1509" i="36" s="1"/>
  <c r="W1509" i="36"/>
  <c r="V1509" i="36"/>
  <c r="X1509" i="36" s="1"/>
  <c r="L1509" i="36"/>
  <c r="AL1508" i="36"/>
  <c r="AM1508" i="36" s="1"/>
  <c r="AG1508" i="36"/>
  <c r="AH1508" i="36" s="1"/>
  <c r="AB1508" i="36"/>
  <c r="AC1508" i="36" s="1"/>
  <c r="W1508" i="36"/>
  <c r="V1508" i="36"/>
  <c r="X1508" i="36" s="1"/>
  <c r="L1508" i="36"/>
  <c r="AL1507" i="36"/>
  <c r="AM1507" i="36" s="1"/>
  <c r="AG1507" i="36"/>
  <c r="AH1507" i="36" s="1"/>
  <c r="AB1507" i="36"/>
  <c r="AC1507" i="36" s="1"/>
  <c r="W1507" i="36"/>
  <c r="V1507" i="36"/>
  <c r="X1507" i="36" s="1"/>
  <c r="L1507" i="36"/>
  <c r="AL1506" i="36"/>
  <c r="AM1506" i="36" s="1"/>
  <c r="AG1506" i="36"/>
  <c r="AH1506" i="36" s="1"/>
  <c r="AB1506" i="36"/>
  <c r="AC1506" i="36" s="1"/>
  <c r="W1506" i="36"/>
  <c r="V1506" i="36"/>
  <c r="X1506" i="36" s="1"/>
  <c r="L1506" i="36"/>
  <c r="AL1505" i="36"/>
  <c r="AM1505" i="36" s="1"/>
  <c r="AG1505" i="36"/>
  <c r="AH1505" i="36" s="1"/>
  <c r="AB1505" i="36"/>
  <c r="AC1505" i="36" s="1"/>
  <c r="W1505" i="36"/>
  <c r="V1505" i="36"/>
  <c r="X1505" i="36" s="1"/>
  <c r="L1505" i="36"/>
  <c r="AL1504" i="36"/>
  <c r="AM1504" i="36" s="1"/>
  <c r="AG1504" i="36"/>
  <c r="AH1504" i="36" s="1"/>
  <c r="AB1504" i="36"/>
  <c r="AC1504" i="36" s="1"/>
  <c r="W1504" i="36"/>
  <c r="V1504" i="36"/>
  <c r="X1504" i="36" s="1"/>
  <c r="L1504" i="36"/>
  <c r="AL1503" i="36"/>
  <c r="AM1503" i="36" s="1"/>
  <c r="AG1503" i="36"/>
  <c r="AH1503" i="36" s="1"/>
  <c r="AB1503" i="36"/>
  <c r="AC1503" i="36" s="1"/>
  <c r="W1503" i="36"/>
  <c r="V1503" i="36"/>
  <c r="X1503" i="36" s="1"/>
  <c r="L1503" i="36"/>
  <c r="AL1502" i="36"/>
  <c r="AM1502" i="36" s="1"/>
  <c r="AG1502" i="36"/>
  <c r="AH1502" i="36" s="1"/>
  <c r="AB1502" i="36"/>
  <c r="AC1502" i="36" s="1"/>
  <c r="W1502" i="36"/>
  <c r="V1502" i="36"/>
  <c r="X1502" i="36" s="1"/>
  <c r="L1502" i="36"/>
  <c r="AL1501" i="36"/>
  <c r="AM1501" i="36" s="1"/>
  <c r="AG1501" i="36"/>
  <c r="AH1501" i="36" s="1"/>
  <c r="AB1501" i="36"/>
  <c r="AC1501" i="36" s="1"/>
  <c r="W1501" i="36"/>
  <c r="V1501" i="36"/>
  <c r="X1501" i="36" s="1"/>
  <c r="L1501" i="36"/>
  <c r="AL1500" i="36"/>
  <c r="AM1500" i="36" s="1"/>
  <c r="AG1500" i="36"/>
  <c r="AH1500" i="36" s="1"/>
  <c r="AB1500" i="36"/>
  <c r="AC1500" i="36" s="1"/>
  <c r="W1500" i="36"/>
  <c r="V1500" i="36"/>
  <c r="X1500" i="36" s="1"/>
  <c r="L1500" i="36"/>
  <c r="AL1499" i="36"/>
  <c r="AM1499" i="36" s="1"/>
  <c r="AG1499" i="36"/>
  <c r="AH1499" i="36" s="1"/>
  <c r="AB1499" i="36"/>
  <c r="AC1499" i="36" s="1"/>
  <c r="W1499" i="36"/>
  <c r="V1499" i="36"/>
  <c r="X1499" i="36" s="1"/>
  <c r="L1499" i="36"/>
  <c r="AL1498" i="36"/>
  <c r="AM1498" i="36" s="1"/>
  <c r="AG1498" i="36"/>
  <c r="AH1498" i="36" s="1"/>
  <c r="AB1498" i="36"/>
  <c r="AC1498" i="36" s="1"/>
  <c r="W1498" i="36"/>
  <c r="V1498" i="36"/>
  <c r="X1498" i="36" s="1"/>
  <c r="L1498" i="36"/>
  <c r="AL1497" i="36"/>
  <c r="AM1497" i="36" s="1"/>
  <c r="AG1497" i="36"/>
  <c r="AH1497" i="36" s="1"/>
  <c r="AB1497" i="36"/>
  <c r="AC1497" i="36" s="1"/>
  <c r="W1497" i="36"/>
  <c r="V1497" i="36"/>
  <c r="X1497" i="36" s="1"/>
  <c r="L1497" i="36"/>
  <c r="AL1496" i="36"/>
  <c r="AM1496" i="36" s="1"/>
  <c r="AG1496" i="36"/>
  <c r="AH1496" i="36" s="1"/>
  <c r="AB1496" i="36"/>
  <c r="AC1496" i="36" s="1"/>
  <c r="W1496" i="36"/>
  <c r="V1496" i="36"/>
  <c r="X1496" i="36" s="1"/>
  <c r="L1496" i="36"/>
  <c r="AL1495" i="36"/>
  <c r="AM1495" i="36" s="1"/>
  <c r="AG1495" i="36"/>
  <c r="AH1495" i="36" s="1"/>
  <c r="AB1495" i="36"/>
  <c r="AC1495" i="36" s="1"/>
  <c r="W1495" i="36"/>
  <c r="V1495" i="36"/>
  <c r="X1495" i="36" s="1"/>
  <c r="L1495" i="36"/>
  <c r="AL1494" i="36"/>
  <c r="AM1494" i="36" s="1"/>
  <c r="AG1494" i="36"/>
  <c r="AH1494" i="36" s="1"/>
  <c r="AB1494" i="36"/>
  <c r="AC1494" i="36" s="1"/>
  <c r="W1494" i="36"/>
  <c r="V1494" i="36"/>
  <c r="X1494" i="36" s="1"/>
  <c r="L1494" i="36"/>
  <c r="AL1493" i="36"/>
  <c r="AM1493" i="36" s="1"/>
  <c r="AG1493" i="36"/>
  <c r="AH1493" i="36" s="1"/>
  <c r="AB1493" i="36"/>
  <c r="AC1493" i="36" s="1"/>
  <c r="W1493" i="36"/>
  <c r="V1493" i="36"/>
  <c r="X1493" i="36" s="1"/>
  <c r="L1493" i="36"/>
  <c r="AL1492" i="36"/>
  <c r="AM1492" i="36" s="1"/>
  <c r="AG1492" i="36"/>
  <c r="AH1492" i="36" s="1"/>
  <c r="AB1492" i="36"/>
  <c r="AC1492" i="36" s="1"/>
  <c r="W1492" i="36"/>
  <c r="V1492" i="36"/>
  <c r="X1492" i="36" s="1"/>
  <c r="L1492" i="36"/>
  <c r="AL1491" i="36"/>
  <c r="AM1491" i="36" s="1"/>
  <c r="AG1491" i="36"/>
  <c r="AH1491" i="36" s="1"/>
  <c r="AB1491" i="36"/>
  <c r="AC1491" i="36" s="1"/>
  <c r="W1491" i="36"/>
  <c r="V1491" i="36"/>
  <c r="X1491" i="36" s="1"/>
  <c r="L1491" i="36"/>
  <c r="AL1490" i="36"/>
  <c r="AM1490" i="36" s="1"/>
  <c r="AG1490" i="36"/>
  <c r="AH1490" i="36" s="1"/>
  <c r="AB1490" i="36"/>
  <c r="AC1490" i="36" s="1"/>
  <c r="W1490" i="36"/>
  <c r="V1490" i="36"/>
  <c r="X1490" i="36" s="1"/>
  <c r="L1490" i="36"/>
  <c r="AL1489" i="36"/>
  <c r="AM1489" i="36" s="1"/>
  <c r="AG1489" i="36"/>
  <c r="AH1489" i="36" s="1"/>
  <c r="AB1489" i="36"/>
  <c r="AC1489" i="36" s="1"/>
  <c r="W1489" i="36"/>
  <c r="V1489" i="36"/>
  <c r="X1489" i="36" s="1"/>
  <c r="L1489" i="36"/>
  <c r="AL1488" i="36"/>
  <c r="AM1488" i="36" s="1"/>
  <c r="AG1488" i="36"/>
  <c r="AH1488" i="36" s="1"/>
  <c r="AB1488" i="36"/>
  <c r="AC1488" i="36" s="1"/>
  <c r="W1488" i="36"/>
  <c r="V1488" i="36"/>
  <c r="X1488" i="36" s="1"/>
  <c r="L1488" i="36"/>
  <c r="AL1487" i="36"/>
  <c r="AM1487" i="36" s="1"/>
  <c r="AG1487" i="36"/>
  <c r="AH1487" i="36" s="1"/>
  <c r="AB1487" i="36"/>
  <c r="AC1487" i="36" s="1"/>
  <c r="W1487" i="36"/>
  <c r="V1487" i="36"/>
  <c r="X1487" i="36" s="1"/>
  <c r="L1487" i="36"/>
  <c r="AL1486" i="36"/>
  <c r="AM1486" i="36" s="1"/>
  <c r="AG1486" i="36"/>
  <c r="AH1486" i="36" s="1"/>
  <c r="AB1486" i="36"/>
  <c r="AC1486" i="36" s="1"/>
  <c r="W1486" i="36"/>
  <c r="V1486" i="36"/>
  <c r="X1486" i="36" s="1"/>
  <c r="L1486" i="36"/>
  <c r="AL1485" i="36"/>
  <c r="AM1485" i="36" s="1"/>
  <c r="AG1485" i="36"/>
  <c r="AH1485" i="36" s="1"/>
  <c r="AB1485" i="36"/>
  <c r="AC1485" i="36" s="1"/>
  <c r="W1485" i="36"/>
  <c r="V1485" i="36"/>
  <c r="X1485" i="36" s="1"/>
  <c r="L1485" i="36"/>
  <c r="AL1484" i="36"/>
  <c r="AM1484" i="36" s="1"/>
  <c r="AG1484" i="36"/>
  <c r="AH1484" i="36" s="1"/>
  <c r="AB1484" i="36"/>
  <c r="AC1484" i="36" s="1"/>
  <c r="W1484" i="36"/>
  <c r="V1484" i="36"/>
  <c r="X1484" i="36" s="1"/>
  <c r="L1484" i="36"/>
  <c r="AL1483" i="36"/>
  <c r="AM1483" i="36" s="1"/>
  <c r="AG1483" i="36"/>
  <c r="AH1483" i="36" s="1"/>
  <c r="AB1483" i="36"/>
  <c r="AC1483" i="36" s="1"/>
  <c r="W1483" i="36"/>
  <c r="V1483" i="36"/>
  <c r="X1483" i="36" s="1"/>
  <c r="L1483" i="36"/>
  <c r="AL1482" i="36"/>
  <c r="AM1482" i="36" s="1"/>
  <c r="AG1482" i="36"/>
  <c r="AH1482" i="36" s="1"/>
  <c r="AB1482" i="36"/>
  <c r="AC1482" i="36" s="1"/>
  <c r="W1482" i="36"/>
  <c r="V1482" i="36"/>
  <c r="X1482" i="36" s="1"/>
  <c r="L1482" i="36"/>
  <c r="AL1481" i="36"/>
  <c r="AM1481" i="36" s="1"/>
  <c r="AG1481" i="36"/>
  <c r="AH1481" i="36" s="1"/>
  <c r="AB1481" i="36"/>
  <c r="AC1481" i="36" s="1"/>
  <c r="W1481" i="36"/>
  <c r="V1481" i="36"/>
  <c r="X1481" i="36" s="1"/>
  <c r="L1481" i="36"/>
  <c r="AL1480" i="36"/>
  <c r="AM1480" i="36" s="1"/>
  <c r="AG1480" i="36"/>
  <c r="AH1480" i="36" s="1"/>
  <c r="AB1480" i="36"/>
  <c r="AC1480" i="36" s="1"/>
  <c r="W1480" i="36"/>
  <c r="V1480" i="36"/>
  <c r="X1480" i="36" s="1"/>
  <c r="L1480" i="36"/>
  <c r="AL1479" i="36"/>
  <c r="AM1479" i="36" s="1"/>
  <c r="AG1479" i="36"/>
  <c r="AH1479" i="36" s="1"/>
  <c r="AB1479" i="36"/>
  <c r="AC1479" i="36" s="1"/>
  <c r="W1479" i="36"/>
  <c r="V1479" i="36"/>
  <c r="X1479" i="36" s="1"/>
  <c r="L1479" i="36"/>
  <c r="AL1478" i="36"/>
  <c r="AM1478" i="36" s="1"/>
  <c r="AG1478" i="36"/>
  <c r="AH1478" i="36" s="1"/>
  <c r="AB1478" i="36"/>
  <c r="AC1478" i="36" s="1"/>
  <c r="W1478" i="36"/>
  <c r="V1478" i="36"/>
  <c r="X1478" i="36" s="1"/>
  <c r="L1478" i="36"/>
  <c r="AL1477" i="36"/>
  <c r="AM1477" i="36" s="1"/>
  <c r="AG1477" i="36"/>
  <c r="AH1477" i="36" s="1"/>
  <c r="AB1477" i="36"/>
  <c r="AC1477" i="36" s="1"/>
  <c r="W1477" i="36"/>
  <c r="V1477" i="36"/>
  <c r="X1477" i="36" s="1"/>
  <c r="L1477" i="36"/>
  <c r="AL1476" i="36"/>
  <c r="AM1476" i="36" s="1"/>
  <c r="AG1476" i="36"/>
  <c r="AH1476" i="36" s="1"/>
  <c r="AB1476" i="36"/>
  <c r="AC1476" i="36" s="1"/>
  <c r="W1476" i="36"/>
  <c r="V1476" i="36"/>
  <c r="X1476" i="36" s="1"/>
  <c r="L1476" i="36"/>
  <c r="AL1475" i="36"/>
  <c r="AM1475" i="36" s="1"/>
  <c r="AG1475" i="36"/>
  <c r="AH1475" i="36" s="1"/>
  <c r="AB1475" i="36"/>
  <c r="AC1475" i="36" s="1"/>
  <c r="W1475" i="36"/>
  <c r="V1475" i="36"/>
  <c r="X1475" i="36" s="1"/>
  <c r="L1475" i="36"/>
  <c r="AL1474" i="36"/>
  <c r="AM1474" i="36" s="1"/>
  <c r="AG1474" i="36"/>
  <c r="AH1474" i="36" s="1"/>
  <c r="AB1474" i="36"/>
  <c r="AC1474" i="36" s="1"/>
  <c r="W1474" i="36"/>
  <c r="V1474" i="36"/>
  <c r="X1474" i="36" s="1"/>
  <c r="L1474" i="36"/>
  <c r="AL1473" i="36"/>
  <c r="AM1473" i="36" s="1"/>
  <c r="AG1473" i="36"/>
  <c r="AH1473" i="36" s="1"/>
  <c r="AB1473" i="36"/>
  <c r="AC1473" i="36" s="1"/>
  <c r="W1473" i="36"/>
  <c r="V1473" i="36"/>
  <c r="X1473" i="36" s="1"/>
  <c r="L1473" i="36"/>
  <c r="AL1472" i="36"/>
  <c r="AM1472" i="36" s="1"/>
  <c r="AG1472" i="36"/>
  <c r="AH1472" i="36" s="1"/>
  <c r="AB1472" i="36"/>
  <c r="AC1472" i="36" s="1"/>
  <c r="W1472" i="36"/>
  <c r="V1472" i="36"/>
  <c r="X1472" i="36" s="1"/>
  <c r="L1472" i="36"/>
  <c r="AL1471" i="36"/>
  <c r="AM1471" i="36" s="1"/>
  <c r="AG1471" i="36"/>
  <c r="AH1471" i="36" s="1"/>
  <c r="AB1471" i="36"/>
  <c r="AC1471" i="36" s="1"/>
  <c r="W1471" i="36"/>
  <c r="V1471" i="36"/>
  <c r="X1471" i="36" s="1"/>
  <c r="L1471" i="36"/>
  <c r="AL1470" i="36"/>
  <c r="AM1470" i="36" s="1"/>
  <c r="AG1470" i="36"/>
  <c r="AH1470" i="36" s="1"/>
  <c r="AB1470" i="36"/>
  <c r="AC1470" i="36" s="1"/>
  <c r="W1470" i="36"/>
  <c r="V1470" i="36"/>
  <c r="X1470" i="36" s="1"/>
  <c r="L1470" i="36"/>
  <c r="AL1469" i="36"/>
  <c r="AM1469" i="36" s="1"/>
  <c r="AG1469" i="36"/>
  <c r="AH1469" i="36" s="1"/>
  <c r="AB1469" i="36"/>
  <c r="AC1469" i="36" s="1"/>
  <c r="W1469" i="36"/>
  <c r="V1469" i="36"/>
  <c r="X1469" i="36" s="1"/>
  <c r="L1469" i="36"/>
  <c r="AL1468" i="36"/>
  <c r="AM1468" i="36" s="1"/>
  <c r="AG1468" i="36"/>
  <c r="AH1468" i="36" s="1"/>
  <c r="AB1468" i="36"/>
  <c r="AC1468" i="36" s="1"/>
  <c r="W1468" i="36"/>
  <c r="V1468" i="36"/>
  <c r="X1468" i="36" s="1"/>
  <c r="L1468" i="36"/>
  <c r="AL1467" i="36"/>
  <c r="AM1467" i="36" s="1"/>
  <c r="AG1467" i="36"/>
  <c r="AH1467" i="36" s="1"/>
  <c r="AB1467" i="36"/>
  <c r="AC1467" i="36" s="1"/>
  <c r="W1467" i="36"/>
  <c r="V1467" i="36"/>
  <c r="X1467" i="36" s="1"/>
  <c r="L1467" i="36"/>
  <c r="AL1466" i="36"/>
  <c r="AM1466" i="36" s="1"/>
  <c r="AG1466" i="36"/>
  <c r="AH1466" i="36" s="1"/>
  <c r="AB1466" i="36"/>
  <c r="AC1466" i="36" s="1"/>
  <c r="W1466" i="36"/>
  <c r="V1466" i="36"/>
  <c r="X1466" i="36" s="1"/>
  <c r="L1466" i="36"/>
  <c r="AL1465" i="36"/>
  <c r="AM1465" i="36" s="1"/>
  <c r="AG1465" i="36"/>
  <c r="AH1465" i="36" s="1"/>
  <c r="AB1465" i="36"/>
  <c r="AC1465" i="36" s="1"/>
  <c r="W1465" i="36"/>
  <c r="V1465" i="36"/>
  <c r="X1465" i="36" s="1"/>
  <c r="L1465" i="36"/>
  <c r="AL1464" i="36"/>
  <c r="AM1464" i="36" s="1"/>
  <c r="AG1464" i="36"/>
  <c r="AH1464" i="36" s="1"/>
  <c r="AB1464" i="36"/>
  <c r="AC1464" i="36" s="1"/>
  <c r="W1464" i="36"/>
  <c r="V1464" i="36"/>
  <c r="X1464" i="36" s="1"/>
  <c r="L1464" i="36"/>
  <c r="AL1463" i="36"/>
  <c r="AM1463" i="36" s="1"/>
  <c r="AG1463" i="36"/>
  <c r="AH1463" i="36" s="1"/>
  <c r="AB1463" i="36"/>
  <c r="AC1463" i="36" s="1"/>
  <c r="W1463" i="36"/>
  <c r="V1463" i="36"/>
  <c r="X1463" i="36" s="1"/>
  <c r="L1463" i="36"/>
  <c r="AL1462" i="36"/>
  <c r="AM1462" i="36" s="1"/>
  <c r="AG1462" i="36"/>
  <c r="AH1462" i="36" s="1"/>
  <c r="AB1462" i="36"/>
  <c r="AC1462" i="36" s="1"/>
  <c r="W1462" i="36"/>
  <c r="V1462" i="36"/>
  <c r="X1462" i="36" s="1"/>
  <c r="L1462" i="36"/>
  <c r="AL1461" i="36"/>
  <c r="AM1461" i="36" s="1"/>
  <c r="AG1461" i="36"/>
  <c r="AH1461" i="36" s="1"/>
  <c r="AB1461" i="36"/>
  <c r="AC1461" i="36" s="1"/>
  <c r="W1461" i="36"/>
  <c r="V1461" i="36"/>
  <c r="X1461" i="36" s="1"/>
  <c r="L1461" i="36"/>
  <c r="AL1460" i="36"/>
  <c r="AM1460" i="36" s="1"/>
  <c r="AG1460" i="36"/>
  <c r="AH1460" i="36" s="1"/>
  <c r="AB1460" i="36"/>
  <c r="AC1460" i="36" s="1"/>
  <c r="W1460" i="36"/>
  <c r="V1460" i="36"/>
  <c r="X1460" i="36" s="1"/>
  <c r="L1460" i="36"/>
  <c r="AL1459" i="36"/>
  <c r="AM1459" i="36" s="1"/>
  <c r="AG1459" i="36"/>
  <c r="AH1459" i="36" s="1"/>
  <c r="AB1459" i="36"/>
  <c r="AC1459" i="36" s="1"/>
  <c r="W1459" i="36"/>
  <c r="V1459" i="36"/>
  <c r="X1459" i="36" s="1"/>
  <c r="L1459" i="36"/>
  <c r="AL1458" i="36"/>
  <c r="AM1458" i="36" s="1"/>
  <c r="AG1458" i="36"/>
  <c r="AH1458" i="36" s="1"/>
  <c r="AB1458" i="36"/>
  <c r="AC1458" i="36" s="1"/>
  <c r="W1458" i="36"/>
  <c r="V1458" i="36"/>
  <c r="X1458" i="36" s="1"/>
  <c r="L1458" i="36"/>
  <c r="AL1457" i="36"/>
  <c r="AM1457" i="36" s="1"/>
  <c r="AG1457" i="36"/>
  <c r="AH1457" i="36" s="1"/>
  <c r="AB1457" i="36"/>
  <c r="AC1457" i="36" s="1"/>
  <c r="W1457" i="36"/>
  <c r="V1457" i="36"/>
  <c r="X1457" i="36" s="1"/>
  <c r="L1457" i="36"/>
  <c r="AL1456" i="36"/>
  <c r="AM1456" i="36" s="1"/>
  <c r="AG1456" i="36"/>
  <c r="AH1456" i="36" s="1"/>
  <c r="AB1456" i="36"/>
  <c r="AC1456" i="36" s="1"/>
  <c r="W1456" i="36"/>
  <c r="V1456" i="36"/>
  <c r="X1456" i="36" s="1"/>
  <c r="L1456" i="36"/>
  <c r="AL1455" i="36"/>
  <c r="AM1455" i="36" s="1"/>
  <c r="AG1455" i="36"/>
  <c r="AH1455" i="36" s="1"/>
  <c r="AB1455" i="36"/>
  <c r="AC1455" i="36" s="1"/>
  <c r="W1455" i="36"/>
  <c r="V1455" i="36"/>
  <c r="X1455" i="36" s="1"/>
  <c r="L1455" i="36"/>
  <c r="AL1454" i="36"/>
  <c r="AM1454" i="36" s="1"/>
  <c r="AG1454" i="36"/>
  <c r="AH1454" i="36" s="1"/>
  <c r="AB1454" i="36"/>
  <c r="AC1454" i="36" s="1"/>
  <c r="W1454" i="36"/>
  <c r="V1454" i="36"/>
  <c r="X1454" i="36" s="1"/>
  <c r="L1454" i="36"/>
  <c r="AL1453" i="36"/>
  <c r="AM1453" i="36" s="1"/>
  <c r="AG1453" i="36"/>
  <c r="AH1453" i="36" s="1"/>
  <c r="AB1453" i="36"/>
  <c r="AC1453" i="36" s="1"/>
  <c r="W1453" i="36"/>
  <c r="V1453" i="36"/>
  <c r="X1453" i="36" s="1"/>
  <c r="L1453" i="36"/>
  <c r="AL1452" i="36"/>
  <c r="AM1452" i="36" s="1"/>
  <c r="AG1452" i="36"/>
  <c r="AH1452" i="36" s="1"/>
  <c r="AB1452" i="36"/>
  <c r="AC1452" i="36" s="1"/>
  <c r="W1452" i="36"/>
  <c r="V1452" i="36"/>
  <c r="X1452" i="36" s="1"/>
  <c r="L1452" i="36"/>
  <c r="AL1451" i="36"/>
  <c r="AM1451" i="36" s="1"/>
  <c r="AG1451" i="36"/>
  <c r="AH1451" i="36" s="1"/>
  <c r="AB1451" i="36"/>
  <c r="AC1451" i="36" s="1"/>
  <c r="W1451" i="36"/>
  <c r="V1451" i="36"/>
  <c r="X1451" i="36" s="1"/>
  <c r="L1451" i="36"/>
  <c r="AL1450" i="36"/>
  <c r="AM1450" i="36" s="1"/>
  <c r="AG1450" i="36"/>
  <c r="AH1450" i="36" s="1"/>
  <c r="AB1450" i="36"/>
  <c r="AC1450" i="36" s="1"/>
  <c r="W1450" i="36"/>
  <c r="V1450" i="36"/>
  <c r="X1450" i="36" s="1"/>
  <c r="L1450" i="36"/>
  <c r="AL1449" i="36"/>
  <c r="AM1449" i="36" s="1"/>
  <c r="AG1449" i="36"/>
  <c r="AH1449" i="36" s="1"/>
  <c r="AB1449" i="36"/>
  <c r="AC1449" i="36" s="1"/>
  <c r="W1449" i="36"/>
  <c r="V1449" i="36"/>
  <c r="X1449" i="36" s="1"/>
  <c r="L1449" i="36"/>
  <c r="AL1448" i="36"/>
  <c r="AM1448" i="36" s="1"/>
  <c r="AG1448" i="36"/>
  <c r="AH1448" i="36" s="1"/>
  <c r="AB1448" i="36"/>
  <c r="AC1448" i="36" s="1"/>
  <c r="W1448" i="36"/>
  <c r="V1448" i="36"/>
  <c r="X1448" i="36" s="1"/>
  <c r="L1448" i="36"/>
  <c r="AL1447" i="36"/>
  <c r="AM1447" i="36" s="1"/>
  <c r="AG1447" i="36"/>
  <c r="AH1447" i="36" s="1"/>
  <c r="AB1447" i="36"/>
  <c r="AC1447" i="36" s="1"/>
  <c r="W1447" i="36"/>
  <c r="V1447" i="36"/>
  <c r="X1447" i="36" s="1"/>
  <c r="L1447" i="36"/>
  <c r="AL1446" i="36"/>
  <c r="AM1446" i="36" s="1"/>
  <c r="AG1446" i="36"/>
  <c r="AH1446" i="36" s="1"/>
  <c r="AB1446" i="36"/>
  <c r="AC1446" i="36" s="1"/>
  <c r="W1446" i="36"/>
  <c r="V1446" i="36"/>
  <c r="X1446" i="36" s="1"/>
  <c r="L1446" i="36"/>
  <c r="AL1445" i="36"/>
  <c r="AM1445" i="36" s="1"/>
  <c r="AG1445" i="36"/>
  <c r="AH1445" i="36" s="1"/>
  <c r="AB1445" i="36"/>
  <c r="AC1445" i="36" s="1"/>
  <c r="W1445" i="36"/>
  <c r="V1445" i="36"/>
  <c r="X1445" i="36" s="1"/>
  <c r="L1445" i="36"/>
  <c r="AL1444" i="36"/>
  <c r="AM1444" i="36" s="1"/>
  <c r="AG1444" i="36"/>
  <c r="AH1444" i="36" s="1"/>
  <c r="AB1444" i="36"/>
  <c r="AC1444" i="36" s="1"/>
  <c r="W1444" i="36"/>
  <c r="V1444" i="36"/>
  <c r="X1444" i="36" s="1"/>
  <c r="L1444" i="36"/>
  <c r="AL1443" i="36"/>
  <c r="AM1443" i="36" s="1"/>
  <c r="AG1443" i="36"/>
  <c r="AH1443" i="36" s="1"/>
  <c r="AB1443" i="36"/>
  <c r="AC1443" i="36" s="1"/>
  <c r="W1443" i="36"/>
  <c r="V1443" i="36"/>
  <c r="X1443" i="36" s="1"/>
  <c r="L1443" i="36"/>
  <c r="AL1442" i="36"/>
  <c r="AM1442" i="36" s="1"/>
  <c r="AG1442" i="36"/>
  <c r="AH1442" i="36" s="1"/>
  <c r="AB1442" i="36"/>
  <c r="AC1442" i="36" s="1"/>
  <c r="W1442" i="36"/>
  <c r="V1442" i="36"/>
  <c r="X1442" i="36" s="1"/>
  <c r="L1442" i="36"/>
  <c r="AL1441" i="36"/>
  <c r="AM1441" i="36" s="1"/>
  <c r="AG1441" i="36"/>
  <c r="AH1441" i="36" s="1"/>
  <c r="AB1441" i="36"/>
  <c r="AC1441" i="36" s="1"/>
  <c r="W1441" i="36"/>
  <c r="V1441" i="36"/>
  <c r="X1441" i="36" s="1"/>
  <c r="L1441" i="36"/>
  <c r="AL1440" i="36"/>
  <c r="AM1440" i="36" s="1"/>
  <c r="AG1440" i="36"/>
  <c r="AH1440" i="36" s="1"/>
  <c r="AB1440" i="36"/>
  <c r="AC1440" i="36" s="1"/>
  <c r="W1440" i="36"/>
  <c r="V1440" i="36"/>
  <c r="X1440" i="36" s="1"/>
  <c r="L1440" i="36"/>
  <c r="AL1439" i="36"/>
  <c r="AM1439" i="36" s="1"/>
  <c r="AG1439" i="36"/>
  <c r="AH1439" i="36" s="1"/>
  <c r="AB1439" i="36"/>
  <c r="AC1439" i="36" s="1"/>
  <c r="W1439" i="36"/>
  <c r="V1439" i="36"/>
  <c r="X1439" i="36" s="1"/>
  <c r="L1439" i="36"/>
  <c r="AL1438" i="36"/>
  <c r="AM1438" i="36" s="1"/>
  <c r="AG1438" i="36"/>
  <c r="AH1438" i="36" s="1"/>
  <c r="AB1438" i="36"/>
  <c r="AC1438" i="36" s="1"/>
  <c r="W1438" i="36"/>
  <c r="V1438" i="36"/>
  <c r="X1438" i="36" s="1"/>
  <c r="L1438" i="36"/>
  <c r="AL1437" i="36"/>
  <c r="AM1437" i="36" s="1"/>
  <c r="AG1437" i="36"/>
  <c r="AH1437" i="36" s="1"/>
  <c r="AB1437" i="36"/>
  <c r="AC1437" i="36" s="1"/>
  <c r="W1437" i="36"/>
  <c r="V1437" i="36"/>
  <c r="X1437" i="36" s="1"/>
  <c r="L1437" i="36"/>
  <c r="AL1436" i="36"/>
  <c r="AM1436" i="36" s="1"/>
  <c r="AG1436" i="36"/>
  <c r="AH1436" i="36" s="1"/>
  <c r="AB1436" i="36"/>
  <c r="AC1436" i="36" s="1"/>
  <c r="W1436" i="36"/>
  <c r="V1436" i="36"/>
  <c r="X1436" i="36" s="1"/>
  <c r="L1436" i="36"/>
  <c r="AL1435" i="36"/>
  <c r="AM1435" i="36" s="1"/>
  <c r="AG1435" i="36"/>
  <c r="AH1435" i="36" s="1"/>
  <c r="AB1435" i="36"/>
  <c r="AC1435" i="36" s="1"/>
  <c r="W1435" i="36"/>
  <c r="V1435" i="36"/>
  <c r="X1435" i="36" s="1"/>
  <c r="L1435" i="36"/>
  <c r="AL1434" i="36"/>
  <c r="AM1434" i="36" s="1"/>
  <c r="AG1434" i="36"/>
  <c r="AH1434" i="36" s="1"/>
  <c r="AB1434" i="36"/>
  <c r="AC1434" i="36" s="1"/>
  <c r="W1434" i="36"/>
  <c r="V1434" i="36"/>
  <c r="X1434" i="36" s="1"/>
  <c r="L1434" i="36"/>
  <c r="AL1433" i="36"/>
  <c r="AM1433" i="36" s="1"/>
  <c r="AG1433" i="36"/>
  <c r="AH1433" i="36" s="1"/>
  <c r="AB1433" i="36"/>
  <c r="AC1433" i="36" s="1"/>
  <c r="W1433" i="36"/>
  <c r="V1433" i="36"/>
  <c r="X1433" i="36" s="1"/>
  <c r="L1433" i="36"/>
  <c r="AL1432" i="36"/>
  <c r="AM1432" i="36" s="1"/>
  <c r="AG1432" i="36"/>
  <c r="AH1432" i="36" s="1"/>
  <c r="AB1432" i="36"/>
  <c r="AC1432" i="36" s="1"/>
  <c r="W1432" i="36"/>
  <c r="V1432" i="36"/>
  <c r="X1432" i="36" s="1"/>
  <c r="L1432" i="36"/>
  <c r="AL1431" i="36"/>
  <c r="AM1431" i="36" s="1"/>
  <c r="AG1431" i="36"/>
  <c r="AH1431" i="36" s="1"/>
  <c r="AB1431" i="36"/>
  <c r="AC1431" i="36" s="1"/>
  <c r="W1431" i="36"/>
  <c r="V1431" i="36"/>
  <c r="X1431" i="36" s="1"/>
  <c r="L1431" i="36"/>
  <c r="AL1430" i="36"/>
  <c r="AM1430" i="36" s="1"/>
  <c r="AG1430" i="36"/>
  <c r="AH1430" i="36" s="1"/>
  <c r="AB1430" i="36"/>
  <c r="AC1430" i="36" s="1"/>
  <c r="W1430" i="36"/>
  <c r="V1430" i="36"/>
  <c r="X1430" i="36" s="1"/>
  <c r="L1430" i="36"/>
  <c r="AL1429" i="36"/>
  <c r="AM1429" i="36" s="1"/>
  <c r="AG1429" i="36"/>
  <c r="AH1429" i="36" s="1"/>
  <c r="AB1429" i="36"/>
  <c r="AC1429" i="36" s="1"/>
  <c r="W1429" i="36"/>
  <c r="V1429" i="36"/>
  <c r="X1429" i="36" s="1"/>
  <c r="L1429" i="36"/>
  <c r="AL1428" i="36"/>
  <c r="AM1428" i="36" s="1"/>
  <c r="AG1428" i="36"/>
  <c r="AH1428" i="36" s="1"/>
  <c r="AB1428" i="36"/>
  <c r="AC1428" i="36" s="1"/>
  <c r="W1428" i="36"/>
  <c r="V1428" i="36"/>
  <c r="X1428" i="36" s="1"/>
  <c r="L1428" i="36"/>
  <c r="AL1427" i="36"/>
  <c r="AM1427" i="36" s="1"/>
  <c r="AG1427" i="36"/>
  <c r="AH1427" i="36" s="1"/>
  <c r="AB1427" i="36"/>
  <c r="AC1427" i="36" s="1"/>
  <c r="W1427" i="36"/>
  <c r="V1427" i="36"/>
  <c r="X1427" i="36" s="1"/>
  <c r="L1427" i="36"/>
  <c r="AL1426" i="36"/>
  <c r="AM1426" i="36" s="1"/>
  <c r="AG1426" i="36"/>
  <c r="AH1426" i="36" s="1"/>
  <c r="AB1426" i="36"/>
  <c r="AC1426" i="36" s="1"/>
  <c r="W1426" i="36"/>
  <c r="V1426" i="36"/>
  <c r="X1426" i="36" s="1"/>
  <c r="L1426" i="36"/>
  <c r="AL1425" i="36"/>
  <c r="AM1425" i="36" s="1"/>
  <c r="AG1425" i="36"/>
  <c r="AH1425" i="36" s="1"/>
  <c r="AB1425" i="36"/>
  <c r="AC1425" i="36" s="1"/>
  <c r="W1425" i="36"/>
  <c r="V1425" i="36"/>
  <c r="X1425" i="36" s="1"/>
  <c r="L1425" i="36"/>
  <c r="AL1424" i="36"/>
  <c r="AM1424" i="36" s="1"/>
  <c r="AG1424" i="36"/>
  <c r="AH1424" i="36" s="1"/>
  <c r="AB1424" i="36"/>
  <c r="AC1424" i="36" s="1"/>
  <c r="W1424" i="36"/>
  <c r="V1424" i="36"/>
  <c r="X1424" i="36" s="1"/>
  <c r="L1424" i="36"/>
  <c r="AL1423" i="36"/>
  <c r="AM1423" i="36" s="1"/>
  <c r="AG1423" i="36"/>
  <c r="AH1423" i="36" s="1"/>
  <c r="AB1423" i="36"/>
  <c r="AC1423" i="36" s="1"/>
  <c r="W1423" i="36"/>
  <c r="V1423" i="36"/>
  <c r="X1423" i="36" s="1"/>
  <c r="L1423" i="36"/>
  <c r="AL1422" i="36"/>
  <c r="AM1422" i="36" s="1"/>
  <c r="AG1422" i="36"/>
  <c r="AH1422" i="36" s="1"/>
  <c r="AB1422" i="36"/>
  <c r="AC1422" i="36" s="1"/>
  <c r="W1422" i="36"/>
  <c r="V1422" i="36"/>
  <c r="X1422" i="36" s="1"/>
  <c r="L1422" i="36"/>
  <c r="AL1421" i="36"/>
  <c r="AM1421" i="36" s="1"/>
  <c r="AG1421" i="36"/>
  <c r="AH1421" i="36" s="1"/>
  <c r="AB1421" i="36"/>
  <c r="AC1421" i="36" s="1"/>
  <c r="W1421" i="36"/>
  <c r="V1421" i="36"/>
  <c r="X1421" i="36" s="1"/>
  <c r="L1421" i="36"/>
  <c r="AL1420" i="36"/>
  <c r="AM1420" i="36" s="1"/>
  <c r="AG1420" i="36"/>
  <c r="AH1420" i="36" s="1"/>
  <c r="AB1420" i="36"/>
  <c r="AC1420" i="36" s="1"/>
  <c r="W1420" i="36"/>
  <c r="V1420" i="36"/>
  <c r="X1420" i="36" s="1"/>
  <c r="L1420" i="36"/>
  <c r="AL1419" i="36"/>
  <c r="AM1419" i="36" s="1"/>
  <c r="AG1419" i="36"/>
  <c r="AH1419" i="36" s="1"/>
  <c r="AB1419" i="36"/>
  <c r="AC1419" i="36" s="1"/>
  <c r="W1419" i="36"/>
  <c r="V1419" i="36"/>
  <c r="X1419" i="36" s="1"/>
  <c r="L1419" i="36"/>
  <c r="AL1418" i="36"/>
  <c r="AM1418" i="36" s="1"/>
  <c r="AG1418" i="36"/>
  <c r="AH1418" i="36" s="1"/>
  <c r="AB1418" i="36"/>
  <c r="AC1418" i="36" s="1"/>
  <c r="W1418" i="36"/>
  <c r="V1418" i="36"/>
  <c r="X1418" i="36" s="1"/>
  <c r="L1418" i="36"/>
  <c r="AL1417" i="36"/>
  <c r="AM1417" i="36" s="1"/>
  <c r="AG1417" i="36"/>
  <c r="AH1417" i="36" s="1"/>
  <c r="AB1417" i="36"/>
  <c r="AC1417" i="36" s="1"/>
  <c r="W1417" i="36"/>
  <c r="V1417" i="36"/>
  <c r="X1417" i="36" s="1"/>
  <c r="L1417" i="36"/>
  <c r="AL1416" i="36"/>
  <c r="AM1416" i="36" s="1"/>
  <c r="AG1416" i="36"/>
  <c r="AH1416" i="36" s="1"/>
  <c r="AB1416" i="36"/>
  <c r="AC1416" i="36" s="1"/>
  <c r="W1416" i="36"/>
  <c r="V1416" i="36"/>
  <c r="X1416" i="36" s="1"/>
  <c r="L1416" i="36"/>
  <c r="AL1415" i="36"/>
  <c r="AM1415" i="36" s="1"/>
  <c r="AG1415" i="36"/>
  <c r="AH1415" i="36" s="1"/>
  <c r="AB1415" i="36"/>
  <c r="AC1415" i="36" s="1"/>
  <c r="W1415" i="36"/>
  <c r="V1415" i="36"/>
  <c r="X1415" i="36" s="1"/>
  <c r="L1415" i="36"/>
  <c r="AL1414" i="36"/>
  <c r="AM1414" i="36" s="1"/>
  <c r="AG1414" i="36"/>
  <c r="AH1414" i="36" s="1"/>
  <c r="AB1414" i="36"/>
  <c r="AC1414" i="36" s="1"/>
  <c r="W1414" i="36"/>
  <c r="V1414" i="36"/>
  <c r="X1414" i="36" s="1"/>
  <c r="L1414" i="36"/>
  <c r="AL1413" i="36"/>
  <c r="AM1413" i="36" s="1"/>
  <c r="AG1413" i="36"/>
  <c r="AH1413" i="36" s="1"/>
  <c r="AB1413" i="36"/>
  <c r="AC1413" i="36" s="1"/>
  <c r="W1413" i="36"/>
  <c r="V1413" i="36"/>
  <c r="X1413" i="36" s="1"/>
  <c r="L1413" i="36"/>
  <c r="AL1412" i="36"/>
  <c r="AM1412" i="36" s="1"/>
  <c r="AG1412" i="36"/>
  <c r="AH1412" i="36" s="1"/>
  <c r="AB1412" i="36"/>
  <c r="AC1412" i="36" s="1"/>
  <c r="W1412" i="36"/>
  <c r="V1412" i="36"/>
  <c r="X1412" i="36" s="1"/>
  <c r="L1412" i="36"/>
  <c r="AL1411" i="36"/>
  <c r="AM1411" i="36" s="1"/>
  <c r="AG1411" i="36"/>
  <c r="AH1411" i="36" s="1"/>
  <c r="AB1411" i="36"/>
  <c r="AC1411" i="36" s="1"/>
  <c r="W1411" i="36"/>
  <c r="V1411" i="36"/>
  <c r="X1411" i="36" s="1"/>
  <c r="L1411" i="36"/>
  <c r="AL1410" i="36"/>
  <c r="AM1410" i="36" s="1"/>
  <c r="AG1410" i="36"/>
  <c r="AH1410" i="36" s="1"/>
  <c r="AB1410" i="36"/>
  <c r="AC1410" i="36" s="1"/>
  <c r="W1410" i="36"/>
  <c r="V1410" i="36"/>
  <c r="X1410" i="36" s="1"/>
  <c r="L1410" i="36"/>
  <c r="AL1409" i="36"/>
  <c r="AM1409" i="36" s="1"/>
  <c r="AG1409" i="36"/>
  <c r="AH1409" i="36" s="1"/>
  <c r="AB1409" i="36"/>
  <c r="AC1409" i="36" s="1"/>
  <c r="W1409" i="36"/>
  <c r="V1409" i="36"/>
  <c r="X1409" i="36" s="1"/>
  <c r="L1409" i="36"/>
  <c r="AL1408" i="36"/>
  <c r="AM1408" i="36" s="1"/>
  <c r="AG1408" i="36"/>
  <c r="AH1408" i="36" s="1"/>
  <c r="AB1408" i="36"/>
  <c r="AC1408" i="36" s="1"/>
  <c r="W1408" i="36"/>
  <c r="V1408" i="36"/>
  <c r="X1408" i="36" s="1"/>
  <c r="L1408" i="36"/>
  <c r="AL1407" i="36"/>
  <c r="AM1407" i="36" s="1"/>
  <c r="AG1407" i="36"/>
  <c r="AH1407" i="36" s="1"/>
  <c r="AB1407" i="36"/>
  <c r="AC1407" i="36" s="1"/>
  <c r="W1407" i="36"/>
  <c r="V1407" i="36"/>
  <c r="X1407" i="36" s="1"/>
  <c r="L1407" i="36"/>
  <c r="AL1406" i="36"/>
  <c r="AM1406" i="36" s="1"/>
  <c r="AG1406" i="36"/>
  <c r="AH1406" i="36" s="1"/>
  <c r="AB1406" i="36"/>
  <c r="AC1406" i="36" s="1"/>
  <c r="W1406" i="36"/>
  <c r="V1406" i="36"/>
  <c r="X1406" i="36" s="1"/>
  <c r="L1406" i="36"/>
  <c r="AL1405" i="36"/>
  <c r="AM1405" i="36" s="1"/>
  <c r="AG1405" i="36"/>
  <c r="AH1405" i="36" s="1"/>
  <c r="AB1405" i="36"/>
  <c r="AC1405" i="36" s="1"/>
  <c r="W1405" i="36"/>
  <c r="V1405" i="36"/>
  <c r="X1405" i="36" s="1"/>
  <c r="L1405" i="36"/>
  <c r="AL1404" i="36"/>
  <c r="AM1404" i="36" s="1"/>
  <c r="AG1404" i="36"/>
  <c r="AH1404" i="36" s="1"/>
  <c r="AB1404" i="36"/>
  <c r="AC1404" i="36" s="1"/>
  <c r="W1404" i="36"/>
  <c r="V1404" i="36"/>
  <c r="X1404" i="36" s="1"/>
  <c r="L1404" i="36"/>
  <c r="AL1403" i="36"/>
  <c r="AM1403" i="36" s="1"/>
  <c r="AG1403" i="36"/>
  <c r="AH1403" i="36" s="1"/>
  <c r="AB1403" i="36"/>
  <c r="AC1403" i="36" s="1"/>
  <c r="W1403" i="36"/>
  <c r="V1403" i="36"/>
  <c r="X1403" i="36" s="1"/>
  <c r="L1403" i="36"/>
  <c r="AL1402" i="36"/>
  <c r="AM1402" i="36" s="1"/>
  <c r="AG1402" i="36"/>
  <c r="AH1402" i="36" s="1"/>
  <c r="AB1402" i="36"/>
  <c r="AC1402" i="36" s="1"/>
  <c r="W1402" i="36"/>
  <c r="V1402" i="36"/>
  <c r="X1402" i="36" s="1"/>
  <c r="L1402" i="36"/>
  <c r="AL1401" i="36"/>
  <c r="AM1401" i="36" s="1"/>
  <c r="AG1401" i="36"/>
  <c r="AH1401" i="36" s="1"/>
  <c r="AB1401" i="36"/>
  <c r="AC1401" i="36" s="1"/>
  <c r="W1401" i="36"/>
  <c r="V1401" i="36"/>
  <c r="X1401" i="36" s="1"/>
  <c r="L1401" i="36"/>
  <c r="AL1400" i="36"/>
  <c r="AM1400" i="36" s="1"/>
  <c r="AG1400" i="36"/>
  <c r="AH1400" i="36" s="1"/>
  <c r="AB1400" i="36"/>
  <c r="AC1400" i="36" s="1"/>
  <c r="W1400" i="36"/>
  <c r="V1400" i="36"/>
  <c r="X1400" i="36" s="1"/>
  <c r="L1400" i="36"/>
  <c r="AL1399" i="36"/>
  <c r="AM1399" i="36" s="1"/>
  <c r="AG1399" i="36"/>
  <c r="AH1399" i="36" s="1"/>
  <c r="AB1399" i="36"/>
  <c r="AC1399" i="36" s="1"/>
  <c r="W1399" i="36"/>
  <c r="V1399" i="36"/>
  <c r="X1399" i="36" s="1"/>
  <c r="L1399" i="36"/>
  <c r="AL1398" i="36"/>
  <c r="AM1398" i="36" s="1"/>
  <c r="AG1398" i="36"/>
  <c r="AH1398" i="36" s="1"/>
  <c r="AB1398" i="36"/>
  <c r="AC1398" i="36" s="1"/>
  <c r="W1398" i="36"/>
  <c r="V1398" i="36"/>
  <c r="X1398" i="36" s="1"/>
  <c r="L1398" i="36"/>
  <c r="AL1397" i="36"/>
  <c r="AM1397" i="36" s="1"/>
  <c r="AG1397" i="36"/>
  <c r="AH1397" i="36" s="1"/>
  <c r="AB1397" i="36"/>
  <c r="AC1397" i="36" s="1"/>
  <c r="W1397" i="36"/>
  <c r="V1397" i="36"/>
  <c r="X1397" i="36" s="1"/>
  <c r="L1397" i="36"/>
  <c r="AL1396" i="36"/>
  <c r="AM1396" i="36" s="1"/>
  <c r="AG1396" i="36"/>
  <c r="AH1396" i="36" s="1"/>
  <c r="AB1396" i="36"/>
  <c r="AC1396" i="36" s="1"/>
  <c r="W1396" i="36"/>
  <c r="V1396" i="36"/>
  <c r="X1396" i="36" s="1"/>
  <c r="L1396" i="36"/>
  <c r="AL1395" i="36"/>
  <c r="AM1395" i="36" s="1"/>
  <c r="AG1395" i="36"/>
  <c r="AH1395" i="36" s="1"/>
  <c r="AB1395" i="36"/>
  <c r="AC1395" i="36" s="1"/>
  <c r="W1395" i="36"/>
  <c r="V1395" i="36"/>
  <c r="X1395" i="36" s="1"/>
  <c r="L1395" i="36"/>
  <c r="AL1394" i="36"/>
  <c r="AM1394" i="36" s="1"/>
  <c r="AG1394" i="36"/>
  <c r="AH1394" i="36" s="1"/>
  <c r="AB1394" i="36"/>
  <c r="AC1394" i="36" s="1"/>
  <c r="W1394" i="36"/>
  <c r="V1394" i="36"/>
  <c r="X1394" i="36" s="1"/>
  <c r="L1394" i="36"/>
  <c r="AL1393" i="36"/>
  <c r="AM1393" i="36" s="1"/>
  <c r="AG1393" i="36"/>
  <c r="AH1393" i="36" s="1"/>
  <c r="AB1393" i="36"/>
  <c r="AC1393" i="36" s="1"/>
  <c r="W1393" i="36"/>
  <c r="V1393" i="36"/>
  <c r="X1393" i="36" s="1"/>
  <c r="L1393" i="36"/>
  <c r="AL1392" i="36"/>
  <c r="AM1392" i="36" s="1"/>
  <c r="AG1392" i="36"/>
  <c r="AH1392" i="36" s="1"/>
  <c r="AB1392" i="36"/>
  <c r="AC1392" i="36" s="1"/>
  <c r="W1392" i="36"/>
  <c r="V1392" i="36"/>
  <c r="X1392" i="36" s="1"/>
  <c r="L1392" i="36"/>
  <c r="AL1391" i="36"/>
  <c r="AM1391" i="36" s="1"/>
  <c r="AG1391" i="36"/>
  <c r="AH1391" i="36" s="1"/>
  <c r="AB1391" i="36"/>
  <c r="AC1391" i="36" s="1"/>
  <c r="W1391" i="36"/>
  <c r="V1391" i="36"/>
  <c r="X1391" i="36" s="1"/>
  <c r="L1391" i="36"/>
  <c r="AL1390" i="36"/>
  <c r="AM1390" i="36" s="1"/>
  <c r="AG1390" i="36"/>
  <c r="AH1390" i="36" s="1"/>
  <c r="AB1390" i="36"/>
  <c r="AC1390" i="36" s="1"/>
  <c r="W1390" i="36"/>
  <c r="V1390" i="36"/>
  <c r="X1390" i="36" s="1"/>
  <c r="L1390" i="36"/>
  <c r="AL1389" i="36"/>
  <c r="AM1389" i="36" s="1"/>
  <c r="AG1389" i="36"/>
  <c r="AH1389" i="36" s="1"/>
  <c r="AB1389" i="36"/>
  <c r="AC1389" i="36" s="1"/>
  <c r="W1389" i="36"/>
  <c r="V1389" i="36"/>
  <c r="X1389" i="36" s="1"/>
  <c r="L1389" i="36"/>
  <c r="AL1388" i="36"/>
  <c r="AM1388" i="36" s="1"/>
  <c r="AG1388" i="36"/>
  <c r="AH1388" i="36" s="1"/>
  <c r="AB1388" i="36"/>
  <c r="AC1388" i="36" s="1"/>
  <c r="W1388" i="36"/>
  <c r="V1388" i="36"/>
  <c r="X1388" i="36" s="1"/>
  <c r="L1388" i="36"/>
  <c r="AL1387" i="36"/>
  <c r="AM1387" i="36" s="1"/>
  <c r="AG1387" i="36"/>
  <c r="AH1387" i="36" s="1"/>
  <c r="AB1387" i="36"/>
  <c r="AC1387" i="36" s="1"/>
  <c r="W1387" i="36"/>
  <c r="V1387" i="36"/>
  <c r="X1387" i="36" s="1"/>
  <c r="L1387" i="36"/>
  <c r="AL1386" i="36"/>
  <c r="AM1386" i="36" s="1"/>
  <c r="AG1386" i="36"/>
  <c r="AH1386" i="36" s="1"/>
  <c r="AB1386" i="36"/>
  <c r="AC1386" i="36" s="1"/>
  <c r="W1386" i="36"/>
  <c r="V1386" i="36"/>
  <c r="X1386" i="36" s="1"/>
  <c r="L1386" i="36"/>
  <c r="AL1385" i="36"/>
  <c r="AM1385" i="36" s="1"/>
  <c r="AG1385" i="36"/>
  <c r="AH1385" i="36" s="1"/>
  <c r="AB1385" i="36"/>
  <c r="AC1385" i="36" s="1"/>
  <c r="W1385" i="36"/>
  <c r="V1385" i="36"/>
  <c r="X1385" i="36" s="1"/>
  <c r="L1385" i="36"/>
  <c r="AL1384" i="36"/>
  <c r="AM1384" i="36" s="1"/>
  <c r="AG1384" i="36"/>
  <c r="AH1384" i="36" s="1"/>
  <c r="AB1384" i="36"/>
  <c r="AC1384" i="36" s="1"/>
  <c r="W1384" i="36"/>
  <c r="V1384" i="36"/>
  <c r="X1384" i="36" s="1"/>
  <c r="L1384" i="36"/>
  <c r="AL1383" i="36"/>
  <c r="AM1383" i="36" s="1"/>
  <c r="AG1383" i="36"/>
  <c r="AH1383" i="36" s="1"/>
  <c r="AB1383" i="36"/>
  <c r="AC1383" i="36" s="1"/>
  <c r="W1383" i="36"/>
  <c r="V1383" i="36"/>
  <c r="X1383" i="36" s="1"/>
  <c r="L1383" i="36"/>
  <c r="AL1382" i="36"/>
  <c r="AM1382" i="36" s="1"/>
  <c r="AG1382" i="36"/>
  <c r="AH1382" i="36" s="1"/>
  <c r="AB1382" i="36"/>
  <c r="AC1382" i="36" s="1"/>
  <c r="W1382" i="36"/>
  <c r="V1382" i="36"/>
  <c r="X1382" i="36" s="1"/>
  <c r="L1382" i="36"/>
  <c r="AL1381" i="36"/>
  <c r="AM1381" i="36" s="1"/>
  <c r="AG1381" i="36"/>
  <c r="AH1381" i="36" s="1"/>
  <c r="AB1381" i="36"/>
  <c r="AC1381" i="36" s="1"/>
  <c r="W1381" i="36"/>
  <c r="V1381" i="36"/>
  <c r="X1381" i="36" s="1"/>
  <c r="L1381" i="36"/>
  <c r="AL1380" i="36"/>
  <c r="AM1380" i="36" s="1"/>
  <c r="AG1380" i="36"/>
  <c r="AH1380" i="36" s="1"/>
  <c r="AB1380" i="36"/>
  <c r="AC1380" i="36" s="1"/>
  <c r="W1380" i="36"/>
  <c r="V1380" i="36"/>
  <c r="X1380" i="36" s="1"/>
  <c r="L1380" i="36"/>
  <c r="AL1379" i="36"/>
  <c r="AM1379" i="36" s="1"/>
  <c r="AG1379" i="36"/>
  <c r="AH1379" i="36" s="1"/>
  <c r="AB1379" i="36"/>
  <c r="AC1379" i="36" s="1"/>
  <c r="W1379" i="36"/>
  <c r="V1379" i="36"/>
  <c r="X1379" i="36" s="1"/>
  <c r="L1379" i="36"/>
  <c r="AL1378" i="36"/>
  <c r="AM1378" i="36" s="1"/>
  <c r="AG1378" i="36"/>
  <c r="AH1378" i="36" s="1"/>
  <c r="AB1378" i="36"/>
  <c r="AC1378" i="36" s="1"/>
  <c r="W1378" i="36"/>
  <c r="V1378" i="36"/>
  <c r="X1378" i="36" s="1"/>
  <c r="L1378" i="36"/>
  <c r="AL1377" i="36"/>
  <c r="AM1377" i="36" s="1"/>
  <c r="AG1377" i="36"/>
  <c r="AH1377" i="36" s="1"/>
  <c r="AB1377" i="36"/>
  <c r="AC1377" i="36" s="1"/>
  <c r="W1377" i="36"/>
  <c r="V1377" i="36"/>
  <c r="X1377" i="36" s="1"/>
  <c r="L1377" i="36"/>
  <c r="AL1376" i="36"/>
  <c r="AM1376" i="36" s="1"/>
  <c r="AG1376" i="36"/>
  <c r="AH1376" i="36" s="1"/>
  <c r="AB1376" i="36"/>
  <c r="AC1376" i="36" s="1"/>
  <c r="W1376" i="36"/>
  <c r="V1376" i="36"/>
  <c r="X1376" i="36" s="1"/>
  <c r="L1376" i="36"/>
  <c r="AL1375" i="36"/>
  <c r="AM1375" i="36" s="1"/>
  <c r="AG1375" i="36"/>
  <c r="AH1375" i="36" s="1"/>
  <c r="AB1375" i="36"/>
  <c r="AC1375" i="36" s="1"/>
  <c r="W1375" i="36"/>
  <c r="V1375" i="36"/>
  <c r="X1375" i="36" s="1"/>
  <c r="L1375" i="36"/>
  <c r="AL1374" i="36"/>
  <c r="AM1374" i="36" s="1"/>
  <c r="AG1374" i="36"/>
  <c r="AH1374" i="36" s="1"/>
  <c r="AB1374" i="36"/>
  <c r="AC1374" i="36" s="1"/>
  <c r="W1374" i="36"/>
  <c r="V1374" i="36"/>
  <c r="X1374" i="36" s="1"/>
  <c r="L1374" i="36"/>
  <c r="AL1373" i="36"/>
  <c r="AM1373" i="36" s="1"/>
  <c r="AG1373" i="36"/>
  <c r="AH1373" i="36" s="1"/>
  <c r="AB1373" i="36"/>
  <c r="AC1373" i="36" s="1"/>
  <c r="W1373" i="36"/>
  <c r="V1373" i="36"/>
  <c r="X1373" i="36" s="1"/>
  <c r="L1373" i="36"/>
  <c r="AL1372" i="36"/>
  <c r="AM1372" i="36" s="1"/>
  <c r="AG1372" i="36"/>
  <c r="AH1372" i="36" s="1"/>
  <c r="AB1372" i="36"/>
  <c r="AC1372" i="36" s="1"/>
  <c r="W1372" i="36"/>
  <c r="V1372" i="36"/>
  <c r="X1372" i="36" s="1"/>
  <c r="L1372" i="36"/>
  <c r="AL1371" i="36"/>
  <c r="AM1371" i="36" s="1"/>
  <c r="AG1371" i="36"/>
  <c r="AH1371" i="36" s="1"/>
  <c r="AB1371" i="36"/>
  <c r="AC1371" i="36" s="1"/>
  <c r="W1371" i="36"/>
  <c r="V1371" i="36"/>
  <c r="X1371" i="36" s="1"/>
  <c r="L1371" i="36"/>
  <c r="AL1370" i="36"/>
  <c r="AM1370" i="36" s="1"/>
  <c r="AG1370" i="36"/>
  <c r="AH1370" i="36" s="1"/>
  <c r="AB1370" i="36"/>
  <c r="AC1370" i="36" s="1"/>
  <c r="W1370" i="36"/>
  <c r="V1370" i="36"/>
  <c r="X1370" i="36" s="1"/>
  <c r="L1370" i="36"/>
  <c r="AL1369" i="36"/>
  <c r="AM1369" i="36" s="1"/>
  <c r="AG1369" i="36"/>
  <c r="AH1369" i="36" s="1"/>
  <c r="AB1369" i="36"/>
  <c r="AC1369" i="36" s="1"/>
  <c r="W1369" i="36"/>
  <c r="V1369" i="36"/>
  <c r="X1369" i="36" s="1"/>
  <c r="L1369" i="36"/>
  <c r="AL1368" i="36"/>
  <c r="AM1368" i="36" s="1"/>
  <c r="AG1368" i="36"/>
  <c r="AH1368" i="36" s="1"/>
  <c r="AB1368" i="36"/>
  <c r="AC1368" i="36" s="1"/>
  <c r="W1368" i="36"/>
  <c r="V1368" i="36"/>
  <c r="X1368" i="36" s="1"/>
  <c r="L1368" i="36"/>
  <c r="AL1367" i="36"/>
  <c r="AM1367" i="36" s="1"/>
  <c r="AG1367" i="36"/>
  <c r="AH1367" i="36" s="1"/>
  <c r="AB1367" i="36"/>
  <c r="AC1367" i="36" s="1"/>
  <c r="W1367" i="36"/>
  <c r="V1367" i="36"/>
  <c r="X1367" i="36" s="1"/>
  <c r="L1367" i="36"/>
  <c r="AL1366" i="36"/>
  <c r="AM1366" i="36" s="1"/>
  <c r="AG1366" i="36"/>
  <c r="AH1366" i="36" s="1"/>
  <c r="AB1366" i="36"/>
  <c r="AC1366" i="36" s="1"/>
  <c r="W1366" i="36"/>
  <c r="V1366" i="36"/>
  <c r="X1366" i="36" s="1"/>
  <c r="L1366" i="36"/>
  <c r="AL1365" i="36"/>
  <c r="AM1365" i="36" s="1"/>
  <c r="AG1365" i="36"/>
  <c r="AH1365" i="36" s="1"/>
  <c r="AB1365" i="36"/>
  <c r="AC1365" i="36" s="1"/>
  <c r="W1365" i="36"/>
  <c r="V1365" i="36"/>
  <c r="X1365" i="36" s="1"/>
  <c r="L1365" i="36"/>
  <c r="AL1364" i="36"/>
  <c r="AM1364" i="36" s="1"/>
  <c r="AG1364" i="36"/>
  <c r="AH1364" i="36" s="1"/>
  <c r="AB1364" i="36"/>
  <c r="AC1364" i="36" s="1"/>
  <c r="W1364" i="36"/>
  <c r="V1364" i="36"/>
  <c r="X1364" i="36" s="1"/>
  <c r="L1364" i="36"/>
  <c r="AL1363" i="36"/>
  <c r="AM1363" i="36" s="1"/>
  <c r="AG1363" i="36"/>
  <c r="AH1363" i="36" s="1"/>
  <c r="AB1363" i="36"/>
  <c r="AC1363" i="36" s="1"/>
  <c r="W1363" i="36"/>
  <c r="V1363" i="36"/>
  <c r="X1363" i="36" s="1"/>
  <c r="L1363" i="36"/>
  <c r="AL1362" i="36"/>
  <c r="AM1362" i="36" s="1"/>
  <c r="AG1362" i="36"/>
  <c r="AH1362" i="36" s="1"/>
  <c r="AB1362" i="36"/>
  <c r="AC1362" i="36" s="1"/>
  <c r="W1362" i="36"/>
  <c r="V1362" i="36"/>
  <c r="X1362" i="36" s="1"/>
  <c r="L1362" i="36"/>
  <c r="AL1361" i="36"/>
  <c r="AM1361" i="36" s="1"/>
  <c r="AG1361" i="36"/>
  <c r="AH1361" i="36" s="1"/>
  <c r="AB1361" i="36"/>
  <c r="AC1361" i="36" s="1"/>
  <c r="W1361" i="36"/>
  <c r="V1361" i="36"/>
  <c r="X1361" i="36" s="1"/>
  <c r="L1361" i="36"/>
  <c r="AL1360" i="36"/>
  <c r="AM1360" i="36" s="1"/>
  <c r="AG1360" i="36"/>
  <c r="AH1360" i="36" s="1"/>
  <c r="AB1360" i="36"/>
  <c r="AC1360" i="36" s="1"/>
  <c r="W1360" i="36"/>
  <c r="V1360" i="36"/>
  <c r="X1360" i="36" s="1"/>
  <c r="L1360" i="36"/>
  <c r="AL1359" i="36"/>
  <c r="AM1359" i="36" s="1"/>
  <c r="AG1359" i="36"/>
  <c r="AH1359" i="36" s="1"/>
  <c r="AB1359" i="36"/>
  <c r="AC1359" i="36" s="1"/>
  <c r="W1359" i="36"/>
  <c r="V1359" i="36"/>
  <c r="X1359" i="36" s="1"/>
  <c r="L1359" i="36"/>
  <c r="AL1358" i="36"/>
  <c r="AM1358" i="36" s="1"/>
  <c r="AG1358" i="36"/>
  <c r="AH1358" i="36" s="1"/>
  <c r="AB1358" i="36"/>
  <c r="AC1358" i="36" s="1"/>
  <c r="W1358" i="36"/>
  <c r="V1358" i="36"/>
  <c r="X1358" i="36" s="1"/>
  <c r="L1358" i="36"/>
  <c r="AL1357" i="36"/>
  <c r="AM1357" i="36" s="1"/>
  <c r="AG1357" i="36"/>
  <c r="AH1357" i="36" s="1"/>
  <c r="AB1357" i="36"/>
  <c r="AC1357" i="36" s="1"/>
  <c r="W1357" i="36"/>
  <c r="V1357" i="36"/>
  <c r="X1357" i="36" s="1"/>
  <c r="L1357" i="36"/>
  <c r="AL1356" i="36"/>
  <c r="AM1356" i="36" s="1"/>
  <c r="AG1356" i="36"/>
  <c r="AH1356" i="36" s="1"/>
  <c r="AB1356" i="36"/>
  <c r="AC1356" i="36" s="1"/>
  <c r="W1356" i="36"/>
  <c r="V1356" i="36"/>
  <c r="X1356" i="36" s="1"/>
  <c r="L1356" i="36"/>
  <c r="AL1355" i="36"/>
  <c r="AM1355" i="36" s="1"/>
  <c r="AG1355" i="36"/>
  <c r="AH1355" i="36" s="1"/>
  <c r="AB1355" i="36"/>
  <c r="AC1355" i="36" s="1"/>
  <c r="W1355" i="36"/>
  <c r="V1355" i="36"/>
  <c r="X1355" i="36" s="1"/>
  <c r="L1355" i="36"/>
  <c r="AL1354" i="36"/>
  <c r="AM1354" i="36" s="1"/>
  <c r="AG1354" i="36"/>
  <c r="AH1354" i="36" s="1"/>
  <c r="AB1354" i="36"/>
  <c r="AC1354" i="36" s="1"/>
  <c r="W1354" i="36"/>
  <c r="V1354" i="36"/>
  <c r="X1354" i="36" s="1"/>
  <c r="L1354" i="36"/>
  <c r="AL1353" i="36"/>
  <c r="AM1353" i="36" s="1"/>
  <c r="AG1353" i="36"/>
  <c r="AH1353" i="36" s="1"/>
  <c r="AB1353" i="36"/>
  <c r="AC1353" i="36" s="1"/>
  <c r="W1353" i="36"/>
  <c r="V1353" i="36"/>
  <c r="X1353" i="36" s="1"/>
  <c r="L1353" i="36"/>
  <c r="AL1352" i="36"/>
  <c r="AM1352" i="36" s="1"/>
  <c r="AG1352" i="36"/>
  <c r="AH1352" i="36" s="1"/>
  <c r="AB1352" i="36"/>
  <c r="AC1352" i="36" s="1"/>
  <c r="W1352" i="36"/>
  <c r="V1352" i="36"/>
  <c r="X1352" i="36" s="1"/>
  <c r="L1352" i="36"/>
  <c r="AL1351" i="36"/>
  <c r="AM1351" i="36" s="1"/>
  <c r="AG1351" i="36"/>
  <c r="AH1351" i="36" s="1"/>
  <c r="AB1351" i="36"/>
  <c r="AC1351" i="36" s="1"/>
  <c r="W1351" i="36"/>
  <c r="V1351" i="36"/>
  <c r="X1351" i="36" s="1"/>
  <c r="L1351" i="36"/>
  <c r="AL1350" i="36"/>
  <c r="AM1350" i="36" s="1"/>
  <c r="AG1350" i="36"/>
  <c r="AH1350" i="36" s="1"/>
  <c r="AB1350" i="36"/>
  <c r="AC1350" i="36" s="1"/>
  <c r="W1350" i="36"/>
  <c r="V1350" i="36"/>
  <c r="X1350" i="36" s="1"/>
  <c r="L1350" i="36"/>
  <c r="AL1349" i="36"/>
  <c r="AM1349" i="36" s="1"/>
  <c r="AG1349" i="36"/>
  <c r="AH1349" i="36" s="1"/>
  <c r="AB1349" i="36"/>
  <c r="AC1349" i="36" s="1"/>
  <c r="W1349" i="36"/>
  <c r="V1349" i="36"/>
  <c r="X1349" i="36" s="1"/>
  <c r="L1349" i="36"/>
  <c r="AL1348" i="36"/>
  <c r="AM1348" i="36" s="1"/>
  <c r="AG1348" i="36"/>
  <c r="AH1348" i="36" s="1"/>
  <c r="AB1348" i="36"/>
  <c r="AC1348" i="36" s="1"/>
  <c r="W1348" i="36"/>
  <c r="V1348" i="36"/>
  <c r="X1348" i="36" s="1"/>
  <c r="L1348" i="36"/>
  <c r="AL1347" i="36"/>
  <c r="AM1347" i="36" s="1"/>
  <c r="AG1347" i="36"/>
  <c r="AH1347" i="36" s="1"/>
  <c r="AB1347" i="36"/>
  <c r="AC1347" i="36" s="1"/>
  <c r="W1347" i="36"/>
  <c r="V1347" i="36"/>
  <c r="X1347" i="36" s="1"/>
  <c r="L1347" i="36"/>
  <c r="AL1346" i="36"/>
  <c r="AM1346" i="36" s="1"/>
  <c r="AG1346" i="36"/>
  <c r="AH1346" i="36" s="1"/>
  <c r="AB1346" i="36"/>
  <c r="AC1346" i="36" s="1"/>
  <c r="W1346" i="36"/>
  <c r="V1346" i="36"/>
  <c r="X1346" i="36" s="1"/>
  <c r="L1346" i="36"/>
  <c r="AL1345" i="36"/>
  <c r="AM1345" i="36" s="1"/>
  <c r="AG1345" i="36"/>
  <c r="AH1345" i="36" s="1"/>
  <c r="AB1345" i="36"/>
  <c r="AC1345" i="36" s="1"/>
  <c r="W1345" i="36"/>
  <c r="V1345" i="36"/>
  <c r="X1345" i="36" s="1"/>
  <c r="L1345" i="36"/>
  <c r="AL1344" i="36"/>
  <c r="AM1344" i="36" s="1"/>
  <c r="AG1344" i="36"/>
  <c r="AH1344" i="36" s="1"/>
  <c r="AB1344" i="36"/>
  <c r="AC1344" i="36" s="1"/>
  <c r="W1344" i="36"/>
  <c r="V1344" i="36"/>
  <c r="X1344" i="36" s="1"/>
  <c r="L1344" i="36"/>
  <c r="AL1343" i="36"/>
  <c r="AM1343" i="36" s="1"/>
  <c r="AG1343" i="36"/>
  <c r="AH1343" i="36" s="1"/>
  <c r="AB1343" i="36"/>
  <c r="AC1343" i="36" s="1"/>
  <c r="W1343" i="36"/>
  <c r="V1343" i="36"/>
  <c r="X1343" i="36" s="1"/>
  <c r="L1343" i="36"/>
  <c r="AL1342" i="36"/>
  <c r="AM1342" i="36" s="1"/>
  <c r="AG1342" i="36"/>
  <c r="AH1342" i="36" s="1"/>
  <c r="AB1342" i="36"/>
  <c r="AC1342" i="36" s="1"/>
  <c r="W1342" i="36"/>
  <c r="V1342" i="36"/>
  <c r="X1342" i="36" s="1"/>
  <c r="L1342" i="36"/>
  <c r="AL1341" i="36"/>
  <c r="AM1341" i="36" s="1"/>
  <c r="AG1341" i="36"/>
  <c r="AH1341" i="36" s="1"/>
  <c r="AB1341" i="36"/>
  <c r="AC1341" i="36" s="1"/>
  <c r="W1341" i="36"/>
  <c r="V1341" i="36"/>
  <c r="X1341" i="36" s="1"/>
  <c r="L1341" i="36"/>
  <c r="AL1340" i="36"/>
  <c r="AM1340" i="36" s="1"/>
  <c r="AG1340" i="36"/>
  <c r="AH1340" i="36" s="1"/>
  <c r="AB1340" i="36"/>
  <c r="AC1340" i="36" s="1"/>
  <c r="W1340" i="36"/>
  <c r="V1340" i="36"/>
  <c r="X1340" i="36" s="1"/>
  <c r="L1340" i="36"/>
  <c r="AL1339" i="36"/>
  <c r="AM1339" i="36" s="1"/>
  <c r="AG1339" i="36"/>
  <c r="AH1339" i="36" s="1"/>
  <c r="AB1339" i="36"/>
  <c r="AC1339" i="36" s="1"/>
  <c r="W1339" i="36"/>
  <c r="V1339" i="36"/>
  <c r="X1339" i="36" s="1"/>
  <c r="L1339" i="36"/>
  <c r="AL1338" i="36"/>
  <c r="AM1338" i="36" s="1"/>
  <c r="AG1338" i="36"/>
  <c r="AH1338" i="36" s="1"/>
  <c r="AB1338" i="36"/>
  <c r="AC1338" i="36" s="1"/>
  <c r="W1338" i="36"/>
  <c r="V1338" i="36"/>
  <c r="X1338" i="36" s="1"/>
  <c r="L1338" i="36"/>
  <c r="AL1337" i="36"/>
  <c r="AM1337" i="36" s="1"/>
  <c r="AG1337" i="36"/>
  <c r="AH1337" i="36" s="1"/>
  <c r="AB1337" i="36"/>
  <c r="AC1337" i="36" s="1"/>
  <c r="W1337" i="36"/>
  <c r="V1337" i="36"/>
  <c r="X1337" i="36" s="1"/>
  <c r="L1337" i="36"/>
  <c r="AL1336" i="36"/>
  <c r="AM1336" i="36" s="1"/>
  <c r="AG1336" i="36"/>
  <c r="AH1336" i="36" s="1"/>
  <c r="AB1336" i="36"/>
  <c r="AC1336" i="36" s="1"/>
  <c r="W1336" i="36"/>
  <c r="V1336" i="36"/>
  <c r="X1336" i="36" s="1"/>
  <c r="L1336" i="36"/>
  <c r="AL1335" i="36"/>
  <c r="AM1335" i="36" s="1"/>
  <c r="AG1335" i="36"/>
  <c r="AH1335" i="36" s="1"/>
  <c r="AB1335" i="36"/>
  <c r="AC1335" i="36" s="1"/>
  <c r="W1335" i="36"/>
  <c r="V1335" i="36"/>
  <c r="X1335" i="36" s="1"/>
  <c r="L1335" i="36"/>
  <c r="AL1334" i="36"/>
  <c r="AM1334" i="36" s="1"/>
  <c r="AG1334" i="36"/>
  <c r="AH1334" i="36" s="1"/>
  <c r="AB1334" i="36"/>
  <c r="AC1334" i="36" s="1"/>
  <c r="W1334" i="36"/>
  <c r="V1334" i="36"/>
  <c r="X1334" i="36" s="1"/>
  <c r="L1334" i="36"/>
  <c r="AL1333" i="36"/>
  <c r="AM1333" i="36" s="1"/>
  <c r="AG1333" i="36"/>
  <c r="AH1333" i="36" s="1"/>
  <c r="AB1333" i="36"/>
  <c r="AC1333" i="36" s="1"/>
  <c r="W1333" i="36"/>
  <c r="V1333" i="36"/>
  <c r="X1333" i="36" s="1"/>
  <c r="L1333" i="36"/>
  <c r="AL1332" i="36"/>
  <c r="AM1332" i="36" s="1"/>
  <c r="AG1332" i="36"/>
  <c r="AH1332" i="36" s="1"/>
  <c r="AB1332" i="36"/>
  <c r="AC1332" i="36" s="1"/>
  <c r="W1332" i="36"/>
  <c r="V1332" i="36"/>
  <c r="X1332" i="36" s="1"/>
  <c r="L1332" i="36"/>
  <c r="AL1331" i="36"/>
  <c r="AM1331" i="36" s="1"/>
  <c r="AG1331" i="36"/>
  <c r="AH1331" i="36" s="1"/>
  <c r="AB1331" i="36"/>
  <c r="AC1331" i="36" s="1"/>
  <c r="W1331" i="36"/>
  <c r="V1331" i="36"/>
  <c r="X1331" i="36" s="1"/>
  <c r="L1331" i="36"/>
  <c r="AL1330" i="36"/>
  <c r="AM1330" i="36" s="1"/>
  <c r="AG1330" i="36"/>
  <c r="AH1330" i="36" s="1"/>
  <c r="AB1330" i="36"/>
  <c r="AC1330" i="36" s="1"/>
  <c r="W1330" i="36"/>
  <c r="V1330" i="36"/>
  <c r="X1330" i="36" s="1"/>
  <c r="L1330" i="36"/>
  <c r="AL1329" i="36"/>
  <c r="AM1329" i="36" s="1"/>
  <c r="AG1329" i="36"/>
  <c r="AH1329" i="36" s="1"/>
  <c r="AB1329" i="36"/>
  <c r="AC1329" i="36" s="1"/>
  <c r="W1329" i="36"/>
  <c r="V1329" i="36"/>
  <c r="X1329" i="36" s="1"/>
  <c r="L1329" i="36"/>
  <c r="AL1328" i="36"/>
  <c r="AM1328" i="36" s="1"/>
  <c r="AG1328" i="36"/>
  <c r="AH1328" i="36" s="1"/>
  <c r="AB1328" i="36"/>
  <c r="AC1328" i="36" s="1"/>
  <c r="W1328" i="36"/>
  <c r="V1328" i="36"/>
  <c r="X1328" i="36" s="1"/>
  <c r="L1328" i="36"/>
  <c r="AL1327" i="36"/>
  <c r="AM1327" i="36" s="1"/>
  <c r="AG1327" i="36"/>
  <c r="AH1327" i="36" s="1"/>
  <c r="AB1327" i="36"/>
  <c r="AC1327" i="36" s="1"/>
  <c r="W1327" i="36"/>
  <c r="V1327" i="36"/>
  <c r="X1327" i="36" s="1"/>
  <c r="L1327" i="36"/>
  <c r="AL1326" i="36"/>
  <c r="AM1326" i="36" s="1"/>
  <c r="AG1326" i="36"/>
  <c r="AH1326" i="36" s="1"/>
  <c r="AB1326" i="36"/>
  <c r="AC1326" i="36" s="1"/>
  <c r="W1326" i="36"/>
  <c r="V1326" i="36"/>
  <c r="X1326" i="36" s="1"/>
  <c r="L1326" i="36"/>
  <c r="AL1325" i="36"/>
  <c r="AM1325" i="36" s="1"/>
  <c r="AG1325" i="36"/>
  <c r="AH1325" i="36" s="1"/>
  <c r="AB1325" i="36"/>
  <c r="AC1325" i="36" s="1"/>
  <c r="W1325" i="36"/>
  <c r="V1325" i="36"/>
  <c r="X1325" i="36" s="1"/>
  <c r="L1325" i="36"/>
  <c r="AL1324" i="36"/>
  <c r="AM1324" i="36" s="1"/>
  <c r="AG1324" i="36"/>
  <c r="AH1324" i="36" s="1"/>
  <c r="AB1324" i="36"/>
  <c r="AC1324" i="36" s="1"/>
  <c r="W1324" i="36"/>
  <c r="V1324" i="36"/>
  <c r="X1324" i="36" s="1"/>
  <c r="L1324" i="36"/>
  <c r="AL1323" i="36"/>
  <c r="AM1323" i="36" s="1"/>
  <c r="AG1323" i="36"/>
  <c r="AH1323" i="36" s="1"/>
  <c r="AB1323" i="36"/>
  <c r="AC1323" i="36" s="1"/>
  <c r="W1323" i="36"/>
  <c r="V1323" i="36"/>
  <c r="X1323" i="36" s="1"/>
  <c r="L1323" i="36"/>
  <c r="AL1322" i="36"/>
  <c r="AM1322" i="36" s="1"/>
  <c r="AG1322" i="36"/>
  <c r="AH1322" i="36" s="1"/>
  <c r="AB1322" i="36"/>
  <c r="AC1322" i="36" s="1"/>
  <c r="W1322" i="36"/>
  <c r="V1322" i="36"/>
  <c r="X1322" i="36" s="1"/>
  <c r="L1322" i="36"/>
  <c r="AL1321" i="36"/>
  <c r="AM1321" i="36" s="1"/>
  <c r="AG1321" i="36"/>
  <c r="AH1321" i="36" s="1"/>
  <c r="AB1321" i="36"/>
  <c r="AC1321" i="36" s="1"/>
  <c r="W1321" i="36"/>
  <c r="V1321" i="36"/>
  <c r="X1321" i="36" s="1"/>
  <c r="L1321" i="36"/>
  <c r="AL1320" i="36"/>
  <c r="AM1320" i="36" s="1"/>
  <c r="AG1320" i="36"/>
  <c r="AH1320" i="36" s="1"/>
  <c r="AB1320" i="36"/>
  <c r="AC1320" i="36" s="1"/>
  <c r="W1320" i="36"/>
  <c r="V1320" i="36"/>
  <c r="X1320" i="36" s="1"/>
  <c r="L1320" i="36"/>
  <c r="AL1319" i="36"/>
  <c r="AM1319" i="36" s="1"/>
  <c r="AG1319" i="36"/>
  <c r="AH1319" i="36" s="1"/>
  <c r="AB1319" i="36"/>
  <c r="AC1319" i="36" s="1"/>
  <c r="W1319" i="36"/>
  <c r="V1319" i="36"/>
  <c r="X1319" i="36" s="1"/>
  <c r="L1319" i="36"/>
  <c r="AL1318" i="36"/>
  <c r="AM1318" i="36" s="1"/>
  <c r="AG1318" i="36"/>
  <c r="AH1318" i="36" s="1"/>
  <c r="AB1318" i="36"/>
  <c r="AC1318" i="36" s="1"/>
  <c r="W1318" i="36"/>
  <c r="V1318" i="36"/>
  <c r="X1318" i="36" s="1"/>
  <c r="L1318" i="36"/>
  <c r="AL1317" i="36"/>
  <c r="AM1317" i="36" s="1"/>
  <c r="AG1317" i="36"/>
  <c r="AH1317" i="36" s="1"/>
  <c r="AB1317" i="36"/>
  <c r="AC1317" i="36" s="1"/>
  <c r="W1317" i="36"/>
  <c r="V1317" i="36"/>
  <c r="X1317" i="36" s="1"/>
  <c r="L1317" i="36"/>
  <c r="AL1316" i="36"/>
  <c r="AM1316" i="36" s="1"/>
  <c r="AG1316" i="36"/>
  <c r="AH1316" i="36" s="1"/>
  <c r="AB1316" i="36"/>
  <c r="AC1316" i="36" s="1"/>
  <c r="W1316" i="36"/>
  <c r="V1316" i="36"/>
  <c r="X1316" i="36" s="1"/>
  <c r="L1316" i="36"/>
  <c r="AL1315" i="36"/>
  <c r="AM1315" i="36" s="1"/>
  <c r="AG1315" i="36"/>
  <c r="AH1315" i="36" s="1"/>
  <c r="AB1315" i="36"/>
  <c r="AC1315" i="36" s="1"/>
  <c r="W1315" i="36"/>
  <c r="V1315" i="36"/>
  <c r="X1315" i="36" s="1"/>
  <c r="L1315" i="36"/>
  <c r="AL1314" i="36"/>
  <c r="AM1314" i="36" s="1"/>
  <c r="AG1314" i="36"/>
  <c r="AH1314" i="36" s="1"/>
  <c r="AB1314" i="36"/>
  <c r="AC1314" i="36" s="1"/>
  <c r="W1314" i="36"/>
  <c r="V1314" i="36"/>
  <c r="X1314" i="36" s="1"/>
  <c r="L1314" i="36"/>
  <c r="AL1313" i="36"/>
  <c r="AM1313" i="36" s="1"/>
  <c r="AG1313" i="36"/>
  <c r="AH1313" i="36" s="1"/>
  <c r="AB1313" i="36"/>
  <c r="AC1313" i="36" s="1"/>
  <c r="W1313" i="36"/>
  <c r="V1313" i="36"/>
  <c r="X1313" i="36" s="1"/>
  <c r="L1313" i="36"/>
  <c r="AL1312" i="36"/>
  <c r="AM1312" i="36" s="1"/>
  <c r="AG1312" i="36"/>
  <c r="AH1312" i="36" s="1"/>
  <c r="AB1312" i="36"/>
  <c r="AC1312" i="36" s="1"/>
  <c r="W1312" i="36"/>
  <c r="V1312" i="36"/>
  <c r="X1312" i="36" s="1"/>
  <c r="L1312" i="36"/>
  <c r="AL1311" i="36"/>
  <c r="AM1311" i="36" s="1"/>
  <c r="AG1311" i="36"/>
  <c r="AH1311" i="36" s="1"/>
  <c r="AB1311" i="36"/>
  <c r="AC1311" i="36" s="1"/>
  <c r="W1311" i="36"/>
  <c r="V1311" i="36"/>
  <c r="X1311" i="36" s="1"/>
  <c r="L1311" i="36"/>
  <c r="AL1310" i="36"/>
  <c r="AM1310" i="36" s="1"/>
  <c r="AG1310" i="36"/>
  <c r="AH1310" i="36" s="1"/>
  <c r="AB1310" i="36"/>
  <c r="AC1310" i="36" s="1"/>
  <c r="W1310" i="36"/>
  <c r="V1310" i="36"/>
  <c r="X1310" i="36" s="1"/>
  <c r="L1310" i="36"/>
  <c r="AL1309" i="36"/>
  <c r="AM1309" i="36" s="1"/>
  <c r="AG1309" i="36"/>
  <c r="AH1309" i="36" s="1"/>
  <c r="AB1309" i="36"/>
  <c r="AC1309" i="36" s="1"/>
  <c r="W1309" i="36"/>
  <c r="V1309" i="36"/>
  <c r="X1309" i="36" s="1"/>
  <c r="L1309" i="36"/>
  <c r="AL1308" i="36"/>
  <c r="AM1308" i="36" s="1"/>
  <c r="AG1308" i="36"/>
  <c r="AH1308" i="36" s="1"/>
  <c r="AB1308" i="36"/>
  <c r="AC1308" i="36" s="1"/>
  <c r="W1308" i="36"/>
  <c r="V1308" i="36"/>
  <c r="X1308" i="36" s="1"/>
  <c r="L1308" i="36"/>
  <c r="AL1307" i="36"/>
  <c r="AM1307" i="36" s="1"/>
  <c r="AG1307" i="36"/>
  <c r="AH1307" i="36" s="1"/>
  <c r="AB1307" i="36"/>
  <c r="AC1307" i="36" s="1"/>
  <c r="W1307" i="36"/>
  <c r="V1307" i="36"/>
  <c r="X1307" i="36" s="1"/>
  <c r="L1307" i="36"/>
  <c r="AL1306" i="36"/>
  <c r="AM1306" i="36" s="1"/>
  <c r="AG1306" i="36"/>
  <c r="AH1306" i="36" s="1"/>
  <c r="AB1306" i="36"/>
  <c r="AC1306" i="36" s="1"/>
  <c r="W1306" i="36"/>
  <c r="V1306" i="36"/>
  <c r="X1306" i="36" s="1"/>
  <c r="L1306" i="36"/>
  <c r="AL1305" i="36"/>
  <c r="AM1305" i="36" s="1"/>
  <c r="AG1305" i="36"/>
  <c r="AH1305" i="36" s="1"/>
  <c r="AB1305" i="36"/>
  <c r="AC1305" i="36" s="1"/>
  <c r="W1305" i="36"/>
  <c r="V1305" i="36"/>
  <c r="X1305" i="36" s="1"/>
  <c r="L1305" i="36"/>
  <c r="AL1304" i="36"/>
  <c r="AM1304" i="36" s="1"/>
  <c r="AG1304" i="36"/>
  <c r="AH1304" i="36" s="1"/>
  <c r="AB1304" i="36"/>
  <c r="AC1304" i="36" s="1"/>
  <c r="W1304" i="36"/>
  <c r="V1304" i="36"/>
  <c r="X1304" i="36" s="1"/>
  <c r="L1304" i="36"/>
  <c r="AL1303" i="36"/>
  <c r="AM1303" i="36" s="1"/>
  <c r="AG1303" i="36"/>
  <c r="AH1303" i="36" s="1"/>
  <c r="AB1303" i="36"/>
  <c r="AC1303" i="36" s="1"/>
  <c r="W1303" i="36"/>
  <c r="V1303" i="36"/>
  <c r="X1303" i="36" s="1"/>
  <c r="L1303" i="36"/>
  <c r="AL1302" i="36"/>
  <c r="AM1302" i="36" s="1"/>
  <c r="AG1302" i="36"/>
  <c r="AH1302" i="36" s="1"/>
  <c r="AB1302" i="36"/>
  <c r="AC1302" i="36" s="1"/>
  <c r="W1302" i="36"/>
  <c r="V1302" i="36"/>
  <c r="X1302" i="36" s="1"/>
  <c r="L1302" i="36"/>
  <c r="AL1301" i="36"/>
  <c r="AM1301" i="36" s="1"/>
  <c r="AG1301" i="36"/>
  <c r="AH1301" i="36" s="1"/>
  <c r="AB1301" i="36"/>
  <c r="AC1301" i="36" s="1"/>
  <c r="W1301" i="36"/>
  <c r="V1301" i="36"/>
  <c r="X1301" i="36" s="1"/>
  <c r="L1301" i="36"/>
  <c r="AL1300" i="36"/>
  <c r="AM1300" i="36" s="1"/>
  <c r="AG1300" i="36"/>
  <c r="AH1300" i="36" s="1"/>
  <c r="AB1300" i="36"/>
  <c r="AC1300" i="36" s="1"/>
  <c r="W1300" i="36"/>
  <c r="V1300" i="36"/>
  <c r="X1300" i="36" s="1"/>
  <c r="L1300" i="36"/>
  <c r="AL1299" i="36"/>
  <c r="AM1299" i="36" s="1"/>
  <c r="AG1299" i="36"/>
  <c r="AH1299" i="36" s="1"/>
  <c r="AB1299" i="36"/>
  <c r="AC1299" i="36" s="1"/>
  <c r="W1299" i="36"/>
  <c r="V1299" i="36"/>
  <c r="X1299" i="36" s="1"/>
  <c r="L1299" i="36"/>
  <c r="AL1298" i="36"/>
  <c r="AM1298" i="36" s="1"/>
  <c r="AG1298" i="36"/>
  <c r="AH1298" i="36" s="1"/>
  <c r="AB1298" i="36"/>
  <c r="AC1298" i="36" s="1"/>
  <c r="W1298" i="36"/>
  <c r="V1298" i="36"/>
  <c r="X1298" i="36" s="1"/>
  <c r="L1298" i="36"/>
  <c r="AL1297" i="36"/>
  <c r="AM1297" i="36" s="1"/>
  <c r="AG1297" i="36"/>
  <c r="AH1297" i="36" s="1"/>
  <c r="AB1297" i="36"/>
  <c r="AC1297" i="36" s="1"/>
  <c r="W1297" i="36"/>
  <c r="V1297" i="36"/>
  <c r="X1297" i="36" s="1"/>
  <c r="L1297" i="36"/>
  <c r="AL1296" i="36"/>
  <c r="AM1296" i="36" s="1"/>
  <c r="AG1296" i="36"/>
  <c r="AH1296" i="36" s="1"/>
  <c r="AB1296" i="36"/>
  <c r="AC1296" i="36" s="1"/>
  <c r="W1296" i="36"/>
  <c r="V1296" i="36"/>
  <c r="X1296" i="36" s="1"/>
  <c r="L1296" i="36"/>
  <c r="AL1295" i="36"/>
  <c r="AM1295" i="36" s="1"/>
  <c r="AG1295" i="36"/>
  <c r="AH1295" i="36" s="1"/>
  <c r="AB1295" i="36"/>
  <c r="AC1295" i="36" s="1"/>
  <c r="W1295" i="36"/>
  <c r="V1295" i="36"/>
  <c r="X1295" i="36" s="1"/>
  <c r="L1295" i="36"/>
  <c r="AL1294" i="36"/>
  <c r="AM1294" i="36" s="1"/>
  <c r="AG1294" i="36"/>
  <c r="AH1294" i="36" s="1"/>
  <c r="AB1294" i="36"/>
  <c r="AC1294" i="36" s="1"/>
  <c r="W1294" i="36"/>
  <c r="V1294" i="36"/>
  <c r="X1294" i="36" s="1"/>
  <c r="L1294" i="36"/>
  <c r="AL1293" i="36"/>
  <c r="AM1293" i="36" s="1"/>
  <c r="AG1293" i="36"/>
  <c r="AH1293" i="36" s="1"/>
  <c r="AB1293" i="36"/>
  <c r="AC1293" i="36" s="1"/>
  <c r="W1293" i="36"/>
  <c r="V1293" i="36"/>
  <c r="X1293" i="36" s="1"/>
  <c r="L1293" i="36"/>
  <c r="AL1292" i="36"/>
  <c r="AM1292" i="36" s="1"/>
  <c r="AG1292" i="36"/>
  <c r="AH1292" i="36" s="1"/>
  <c r="AB1292" i="36"/>
  <c r="AC1292" i="36" s="1"/>
  <c r="W1292" i="36"/>
  <c r="V1292" i="36"/>
  <c r="X1292" i="36" s="1"/>
  <c r="L1292" i="36"/>
  <c r="AL1291" i="36"/>
  <c r="AM1291" i="36" s="1"/>
  <c r="AG1291" i="36"/>
  <c r="AH1291" i="36" s="1"/>
  <c r="AB1291" i="36"/>
  <c r="AC1291" i="36" s="1"/>
  <c r="W1291" i="36"/>
  <c r="V1291" i="36"/>
  <c r="X1291" i="36" s="1"/>
  <c r="L1291" i="36"/>
  <c r="AL1290" i="36"/>
  <c r="AM1290" i="36" s="1"/>
  <c r="AG1290" i="36"/>
  <c r="AH1290" i="36" s="1"/>
  <c r="AB1290" i="36"/>
  <c r="AC1290" i="36" s="1"/>
  <c r="W1290" i="36"/>
  <c r="V1290" i="36"/>
  <c r="X1290" i="36" s="1"/>
  <c r="L1290" i="36"/>
  <c r="AL1289" i="36"/>
  <c r="AM1289" i="36" s="1"/>
  <c r="AG1289" i="36"/>
  <c r="AH1289" i="36" s="1"/>
  <c r="AB1289" i="36"/>
  <c r="AC1289" i="36" s="1"/>
  <c r="W1289" i="36"/>
  <c r="V1289" i="36"/>
  <c r="X1289" i="36" s="1"/>
  <c r="L1289" i="36"/>
  <c r="AL1288" i="36"/>
  <c r="AM1288" i="36" s="1"/>
  <c r="AG1288" i="36"/>
  <c r="AH1288" i="36" s="1"/>
  <c r="AB1288" i="36"/>
  <c r="AC1288" i="36" s="1"/>
  <c r="W1288" i="36"/>
  <c r="V1288" i="36"/>
  <c r="X1288" i="36" s="1"/>
  <c r="L1288" i="36"/>
  <c r="AL1287" i="36"/>
  <c r="AM1287" i="36" s="1"/>
  <c r="AG1287" i="36"/>
  <c r="AH1287" i="36" s="1"/>
  <c r="AB1287" i="36"/>
  <c r="AC1287" i="36" s="1"/>
  <c r="W1287" i="36"/>
  <c r="V1287" i="36"/>
  <c r="X1287" i="36" s="1"/>
  <c r="L1287" i="36"/>
  <c r="AL1286" i="36"/>
  <c r="AM1286" i="36" s="1"/>
  <c r="AG1286" i="36"/>
  <c r="AH1286" i="36" s="1"/>
  <c r="AB1286" i="36"/>
  <c r="AC1286" i="36" s="1"/>
  <c r="W1286" i="36"/>
  <c r="V1286" i="36"/>
  <c r="X1286" i="36" s="1"/>
  <c r="L1286" i="36"/>
  <c r="AL1285" i="36"/>
  <c r="AM1285" i="36" s="1"/>
  <c r="AG1285" i="36"/>
  <c r="AH1285" i="36" s="1"/>
  <c r="AB1285" i="36"/>
  <c r="AC1285" i="36" s="1"/>
  <c r="W1285" i="36"/>
  <c r="V1285" i="36"/>
  <c r="X1285" i="36" s="1"/>
  <c r="L1285" i="36"/>
  <c r="AL1284" i="36"/>
  <c r="AM1284" i="36" s="1"/>
  <c r="AG1284" i="36"/>
  <c r="AH1284" i="36" s="1"/>
  <c r="AB1284" i="36"/>
  <c r="AC1284" i="36" s="1"/>
  <c r="W1284" i="36"/>
  <c r="V1284" i="36"/>
  <c r="X1284" i="36" s="1"/>
  <c r="L1284" i="36"/>
  <c r="AL1283" i="36"/>
  <c r="AM1283" i="36" s="1"/>
  <c r="AG1283" i="36"/>
  <c r="AH1283" i="36" s="1"/>
  <c r="AB1283" i="36"/>
  <c r="AC1283" i="36" s="1"/>
  <c r="W1283" i="36"/>
  <c r="V1283" i="36"/>
  <c r="X1283" i="36" s="1"/>
  <c r="L1283" i="36"/>
  <c r="AL1282" i="36"/>
  <c r="AM1282" i="36" s="1"/>
  <c r="AG1282" i="36"/>
  <c r="AH1282" i="36" s="1"/>
  <c r="AB1282" i="36"/>
  <c r="AC1282" i="36" s="1"/>
  <c r="W1282" i="36"/>
  <c r="V1282" i="36"/>
  <c r="X1282" i="36" s="1"/>
  <c r="L1282" i="36"/>
  <c r="AL1281" i="36"/>
  <c r="AM1281" i="36" s="1"/>
  <c r="AG1281" i="36"/>
  <c r="AH1281" i="36" s="1"/>
  <c r="AB1281" i="36"/>
  <c r="AC1281" i="36" s="1"/>
  <c r="W1281" i="36"/>
  <c r="V1281" i="36"/>
  <c r="X1281" i="36" s="1"/>
  <c r="L1281" i="36"/>
  <c r="AL1280" i="36"/>
  <c r="AM1280" i="36" s="1"/>
  <c r="AG1280" i="36"/>
  <c r="AH1280" i="36" s="1"/>
  <c r="AB1280" i="36"/>
  <c r="AC1280" i="36" s="1"/>
  <c r="W1280" i="36"/>
  <c r="V1280" i="36"/>
  <c r="X1280" i="36" s="1"/>
  <c r="L1280" i="36"/>
  <c r="AL1279" i="36"/>
  <c r="AM1279" i="36" s="1"/>
  <c r="AG1279" i="36"/>
  <c r="AH1279" i="36" s="1"/>
  <c r="AB1279" i="36"/>
  <c r="AC1279" i="36" s="1"/>
  <c r="W1279" i="36"/>
  <c r="V1279" i="36"/>
  <c r="X1279" i="36" s="1"/>
  <c r="L1279" i="36"/>
  <c r="AL1278" i="36"/>
  <c r="AM1278" i="36" s="1"/>
  <c r="AG1278" i="36"/>
  <c r="AH1278" i="36" s="1"/>
  <c r="AB1278" i="36"/>
  <c r="AC1278" i="36" s="1"/>
  <c r="W1278" i="36"/>
  <c r="V1278" i="36"/>
  <c r="X1278" i="36" s="1"/>
  <c r="L1278" i="36"/>
  <c r="AL1277" i="36"/>
  <c r="AM1277" i="36" s="1"/>
  <c r="AG1277" i="36"/>
  <c r="AH1277" i="36" s="1"/>
  <c r="AB1277" i="36"/>
  <c r="AC1277" i="36" s="1"/>
  <c r="W1277" i="36"/>
  <c r="V1277" i="36"/>
  <c r="X1277" i="36" s="1"/>
  <c r="L1277" i="36"/>
  <c r="AL1276" i="36"/>
  <c r="AM1276" i="36" s="1"/>
  <c r="AG1276" i="36"/>
  <c r="AH1276" i="36" s="1"/>
  <c r="AB1276" i="36"/>
  <c r="AC1276" i="36" s="1"/>
  <c r="W1276" i="36"/>
  <c r="V1276" i="36"/>
  <c r="X1276" i="36" s="1"/>
  <c r="L1276" i="36"/>
  <c r="AL1275" i="36"/>
  <c r="AM1275" i="36" s="1"/>
  <c r="AG1275" i="36"/>
  <c r="AH1275" i="36" s="1"/>
  <c r="AB1275" i="36"/>
  <c r="AC1275" i="36" s="1"/>
  <c r="W1275" i="36"/>
  <c r="V1275" i="36"/>
  <c r="X1275" i="36" s="1"/>
  <c r="L1275" i="36"/>
  <c r="AL1274" i="36"/>
  <c r="AM1274" i="36" s="1"/>
  <c r="AG1274" i="36"/>
  <c r="AH1274" i="36" s="1"/>
  <c r="AB1274" i="36"/>
  <c r="AC1274" i="36" s="1"/>
  <c r="W1274" i="36"/>
  <c r="V1274" i="36"/>
  <c r="X1274" i="36" s="1"/>
  <c r="L1274" i="36"/>
  <c r="AL1273" i="36"/>
  <c r="AM1273" i="36" s="1"/>
  <c r="AG1273" i="36"/>
  <c r="AH1273" i="36" s="1"/>
  <c r="AB1273" i="36"/>
  <c r="AC1273" i="36" s="1"/>
  <c r="W1273" i="36"/>
  <c r="V1273" i="36"/>
  <c r="X1273" i="36" s="1"/>
  <c r="L1273" i="36"/>
  <c r="AL1272" i="36"/>
  <c r="AM1272" i="36" s="1"/>
  <c r="AG1272" i="36"/>
  <c r="AH1272" i="36" s="1"/>
  <c r="AB1272" i="36"/>
  <c r="AC1272" i="36" s="1"/>
  <c r="W1272" i="36"/>
  <c r="V1272" i="36"/>
  <c r="X1272" i="36" s="1"/>
  <c r="L1272" i="36"/>
  <c r="AL1271" i="36"/>
  <c r="AM1271" i="36" s="1"/>
  <c r="AG1271" i="36"/>
  <c r="AH1271" i="36" s="1"/>
  <c r="AB1271" i="36"/>
  <c r="AC1271" i="36" s="1"/>
  <c r="W1271" i="36"/>
  <c r="V1271" i="36"/>
  <c r="X1271" i="36" s="1"/>
  <c r="L1271" i="36"/>
  <c r="AL1270" i="36"/>
  <c r="AM1270" i="36" s="1"/>
  <c r="AG1270" i="36"/>
  <c r="AH1270" i="36" s="1"/>
  <c r="AB1270" i="36"/>
  <c r="AC1270" i="36" s="1"/>
  <c r="W1270" i="36"/>
  <c r="V1270" i="36"/>
  <c r="X1270" i="36" s="1"/>
  <c r="L1270" i="36"/>
  <c r="AL1269" i="36"/>
  <c r="AM1269" i="36" s="1"/>
  <c r="AG1269" i="36"/>
  <c r="AH1269" i="36" s="1"/>
  <c r="AB1269" i="36"/>
  <c r="AC1269" i="36" s="1"/>
  <c r="W1269" i="36"/>
  <c r="V1269" i="36"/>
  <c r="X1269" i="36" s="1"/>
  <c r="L1269" i="36"/>
  <c r="AL1268" i="36"/>
  <c r="AM1268" i="36" s="1"/>
  <c r="AG1268" i="36"/>
  <c r="AH1268" i="36" s="1"/>
  <c r="AB1268" i="36"/>
  <c r="AC1268" i="36" s="1"/>
  <c r="W1268" i="36"/>
  <c r="V1268" i="36"/>
  <c r="X1268" i="36" s="1"/>
  <c r="L1268" i="36"/>
  <c r="AL1267" i="36"/>
  <c r="AM1267" i="36" s="1"/>
  <c r="AG1267" i="36"/>
  <c r="AH1267" i="36" s="1"/>
  <c r="AB1267" i="36"/>
  <c r="AC1267" i="36" s="1"/>
  <c r="W1267" i="36"/>
  <c r="V1267" i="36"/>
  <c r="X1267" i="36" s="1"/>
  <c r="L1267" i="36"/>
  <c r="AL1266" i="36"/>
  <c r="AM1266" i="36" s="1"/>
  <c r="AG1266" i="36"/>
  <c r="AH1266" i="36" s="1"/>
  <c r="AB1266" i="36"/>
  <c r="AC1266" i="36" s="1"/>
  <c r="W1266" i="36"/>
  <c r="V1266" i="36"/>
  <c r="X1266" i="36" s="1"/>
  <c r="L1266" i="36"/>
  <c r="AL1265" i="36"/>
  <c r="AM1265" i="36" s="1"/>
  <c r="AG1265" i="36"/>
  <c r="AH1265" i="36" s="1"/>
  <c r="AB1265" i="36"/>
  <c r="AC1265" i="36" s="1"/>
  <c r="W1265" i="36"/>
  <c r="V1265" i="36"/>
  <c r="X1265" i="36" s="1"/>
  <c r="L1265" i="36"/>
  <c r="AL1264" i="36"/>
  <c r="AM1264" i="36" s="1"/>
  <c r="AG1264" i="36"/>
  <c r="AH1264" i="36" s="1"/>
  <c r="AB1264" i="36"/>
  <c r="AC1264" i="36" s="1"/>
  <c r="W1264" i="36"/>
  <c r="V1264" i="36"/>
  <c r="X1264" i="36" s="1"/>
  <c r="L1264" i="36"/>
  <c r="AL1263" i="36"/>
  <c r="AM1263" i="36" s="1"/>
  <c r="AG1263" i="36"/>
  <c r="AH1263" i="36" s="1"/>
  <c r="AB1263" i="36"/>
  <c r="AC1263" i="36" s="1"/>
  <c r="W1263" i="36"/>
  <c r="V1263" i="36"/>
  <c r="X1263" i="36" s="1"/>
  <c r="L1263" i="36"/>
  <c r="AL1262" i="36"/>
  <c r="AM1262" i="36" s="1"/>
  <c r="AG1262" i="36"/>
  <c r="AH1262" i="36" s="1"/>
  <c r="AB1262" i="36"/>
  <c r="AC1262" i="36" s="1"/>
  <c r="W1262" i="36"/>
  <c r="V1262" i="36"/>
  <c r="X1262" i="36" s="1"/>
  <c r="L1262" i="36"/>
  <c r="AL1261" i="36"/>
  <c r="AM1261" i="36" s="1"/>
  <c r="AG1261" i="36"/>
  <c r="AH1261" i="36" s="1"/>
  <c r="AB1261" i="36"/>
  <c r="AC1261" i="36" s="1"/>
  <c r="W1261" i="36"/>
  <c r="V1261" i="36"/>
  <c r="X1261" i="36" s="1"/>
  <c r="L1261" i="36"/>
  <c r="AL1260" i="36"/>
  <c r="AM1260" i="36" s="1"/>
  <c r="AG1260" i="36"/>
  <c r="AH1260" i="36" s="1"/>
  <c r="AB1260" i="36"/>
  <c r="AC1260" i="36" s="1"/>
  <c r="W1260" i="36"/>
  <c r="V1260" i="36"/>
  <c r="X1260" i="36" s="1"/>
  <c r="L1260" i="36"/>
  <c r="AL1259" i="36"/>
  <c r="AM1259" i="36" s="1"/>
  <c r="AG1259" i="36"/>
  <c r="AH1259" i="36" s="1"/>
  <c r="AB1259" i="36"/>
  <c r="AC1259" i="36" s="1"/>
  <c r="W1259" i="36"/>
  <c r="V1259" i="36"/>
  <c r="X1259" i="36" s="1"/>
  <c r="L1259" i="36"/>
  <c r="AL1258" i="36"/>
  <c r="AM1258" i="36" s="1"/>
  <c r="AG1258" i="36"/>
  <c r="AH1258" i="36" s="1"/>
  <c r="AB1258" i="36"/>
  <c r="AC1258" i="36" s="1"/>
  <c r="W1258" i="36"/>
  <c r="V1258" i="36"/>
  <c r="X1258" i="36" s="1"/>
  <c r="L1258" i="36"/>
  <c r="AL1257" i="36"/>
  <c r="AM1257" i="36" s="1"/>
  <c r="AG1257" i="36"/>
  <c r="AH1257" i="36" s="1"/>
  <c r="AB1257" i="36"/>
  <c r="AC1257" i="36" s="1"/>
  <c r="W1257" i="36"/>
  <c r="V1257" i="36"/>
  <c r="X1257" i="36" s="1"/>
  <c r="L1257" i="36"/>
  <c r="AL1256" i="36"/>
  <c r="AM1256" i="36" s="1"/>
  <c r="AG1256" i="36"/>
  <c r="AH1256" i="36" s="1"/>
  <c r="AB1256" i="36"/>
  <c r="AC1256" i="36" s="1"/>
  <c r="W1256" i="36"/>
  <c r="V1256" i="36"/>
  <c r="X1256" i="36" s="1"/>
  <c r="L1256" i="36"/>
  <c r="AL1255" i="36"/>
  <c r="AM1255" i="36" s="1"/>
  <c r="AG1255" i="36"/>
  <c r="AH1255" i="36" s="1"/>
  <c r="AB1255" i="36"/>
  <c r="AC1255" i="36" s="1"/>
  <c r="W1255" i="36"/>
  <c r="V1255" i="36"/>
  <c r="X1255" i="36" s="1"/>
  <c r="L1255" i="36"/>
  <c r="AL1254" i="36"/>
  <c r="AM1254" i="36" s="1"/>
  <c r="AG1254" i="36"/>
  <c r="AH1254" i="36" s="1"/>
  <c r="AB1254" i="36"/>
  <c r="AC1254" i="36" s="1"/>
  <c r="W1254" i="36"/>
  <c r="V1254" i="36"/>
  <c r="X1254" i="36" s="1"/>
  <c r="L1254" i="36"/>
  <c r="AL1253" i="36"/>
  <c r="AM1253" i="36" s="1"/>
  <c r="AG1253" i="36"/>
  <c r="AH1253" i="36" s="1"/>
  <c r="AB1253" i="36"/>
  <c r="AC1253" i="36" s="1"/>
  <c r="W1253" i="36"/>
  <c r="V1253" i="36"/>
  <c r="X1253" i="36" s="1"/>
  <c r="L1253" i="36"/>
  <c r="AL1252" i="36"/>
  <c r="AM1252" i="36" s="1"/>
  <c r="AG1252" i="36"/>
  <c r="AH1252" i="36" s="1"/>
  <c r="AB1252" i="36"/>
  <c r="AC1252" i="36" s="1"/>
  <c r="W1252" i="36"/>
  <c r="V1252" i="36"/>
  <c r="X1252" i="36" s="1"/>
  <c r="L1252" i="36"/>
  <c r="AL1251" i="36"/>
  <c r="AM1251" i="36" s="1"/>
  <c r="AG1251" i="36"/>
  <c r="AH1251" i="36" s="1"/>
  <c r="AB1251" i="36"/>
  <c r="AC1251" i="36" s="1"/>
  <c r="W1251" i="36"/>
  <c r="V1251" i="36"/>
  <c r="X1251" i="36" s="1"/>
  <c r="L1251" i="36"/>
  <c r="AL1250" i="36"/>
  <c r="AM1250" i="36" s="1"/>
  <c r="AG1250" i="36"/>
  <c r="AH1250" i="36" s="1"/>
  <c r="AB1250" i="36"/>
  <c r="AC1250" i="36" s="1"/>
  <c r="W1250" i="36"/>
  <c r="V1250" i="36"/>
  <c r="X1250" i="36" s="1"/>
  <c r="L1250" i="36"/>
  <c r="AL1249" i="36"/>
  <c r="AM1249" i="36" s="1"/>
  <c r="AG1249" i="36"/>
  <c r="AH1249" i="36" s="1"/>
  <c r="AB1249" i="36"/>
  <c r="AC1249" i="36" s="1"/>
  <c r="W1249" i="36"/>
  <c r="V1249" i="36"/>
  <c r="X1249" i="36" s="1"/>
  <c r="L1249" i="36"/>
  <c r="AL1248" i="36"/>
  <c r="AM1248" i="36" s="1"/>
  <c r="AG1248" i="36"/>
  <c r="AH1248" i="36" s="1"/>
  <c r="AB1248" i="36"/>
  <c r="AC1248" i="36" s="1"/>
  <c r="W1248" i="36"/>
  <c r="V1248" i="36"/>
  <c r="X1248" i="36" s="1"/>
  <c r="L1248" i="36"/>
  <c r="AL1247" i="36"/>
  <c r="AM1247" i="36" s="1"/>
  <c r="AG1247" i="36"/>
  <c r="AH1247" i="36" s="1"/>
  <c r="AB1247" i="36"/>
  <c r="AC1247" i="36" s="1"/>
  <c r="W1247" i="36"/>
  <c r="V1247" i="36"/>
  <c r="X1247" i="36" s="1"/>
  <c r="L1247" i="36"/>
  <c r="AL1246" i="36"/>
  <c r="AM1246" i="36" s="1"/>
  <c r="AG1246" i="36"/>
  <c r="AH1246" i="36" s="1"/>
  <c r="AB1246" i="36"/>
  <c r="AC1246" i="36" s="1"/>
  <c r="W1246" i="36"/>
  <c r="V1246" i="36"/>
  <c r="X1246" i="36" s="1"/>
  <c r="L1246" i="36"/>
  <c r="AL1245" i="36"/>
  <c r="AM1245" i="36" s="1"/>
  <c r="AG1245" i="36"/>
  <c r="AH1245" i="36" s="1"/>
  <c r="AB1245" i="36"/>
  <c r="AC1245" i="36" s="1"/>
  <c r="W1245" i="36"/>
  <c r="V1245" i="36"/>
  <c r="X1245" i="36" s="1"/>
  <c r="L1245" i="36"/>
  <c r="AL1244" i="36"/>
  <c r="AM1244" i="36" s="1"/>
  <c r="AG1244" i="36"/>
  <c r="AH1244" i="36" s="1"/>
  <c r="AB1244" i="36"/>
  <c r="AC1244" i="36" s="1"/>
  <c r="W1244" i="36"/>
  <c r="V1244" i="36"/>
  <c r="X1244" i="36" s="1"/>
  <c r="L1244" i="36"/>
  <c r="AL1243" i="36"/>
  <c r="AM1243" i="36" s="1"/>
  <c r="AG1243" i="36"/>
  <c r="AH1243" i="36" s="1"/>
  <c r="AB1243" i="36"/>
  <c r="AC1243" i="36" s="1"/>
  <c r="W1243" i="36"/>
  <c r="V1243" i="36"/>
  <c r="X1243" i="36" s="1"/>
  <c r="L1243" i="36"/>
  <c r="AL1242" i="36"/>
  <c r="AM1242" i="36" s="1"/>
  <c r="AG1242" i="36"/>
  <c r="AH1242" i="36" s="1"/>
  <c r="AB1242" i="36"/>
  <c r="AC1242" i="36" s="1"/>
  <c r="W1242" i="36"/>
  <c r="V1242" i="36"/>
  <c r="X1242" i="36" s="1"/>
  <c r="L1242" i="36"/>
  <c r="AL1241" i="36"/>
  <c r="AM1241" i="36" s="1"/>
  <c r="AG1241" i="36"/>
  <c r="AH1241" i="36" s="1"/>
  <c r="AB1241" i="36"/>
  <c r="AC1241" i="36" s="1"/>
  <c r="W1241" i="36"/>
  <c r="V1241" i="36"/>
  <c r="X1241" i="36" s="1"/>
  <c r="L1241" i="36"/>
  <c r="AL1240" i="36"/>
  <c r="AM1240" i="36" s="1"/>
  <c r="AG1240" i="36"/>
  <c r="AH1240" i="36" s="1"/>
  <c r="AB1240" i="36"/>
  <c r="AC1240" i="36" s="1"/>
  <c r="W1240" i="36"/>
  <c r="V1240" i="36"/>
  <c r="X1240" i="36" s="1"/>
  <c r="L1240" i="36"/>
  <c r="AL1239" i="36"/>
  <c r="AM1239" i="36" s="1"/>
  <c r="AG1239" i="36"/>
  <c r="AH1239" i="36" s="1"/>
  <c r="AB1239" i="36"/>
  <c r="AC1239" i="36" s="1"/>
  <c r="W1239" i="36"/>
  <c r="V1239" i="36"/>
  <c r="X1239" i="36" s="1"/>
  <c r="L1239" i="36"/>
  <c r="AL1238" i="36"/>
  <c r="AM1238" i="36" s="1"/>
  <c r="AG1238" i="36"/>
  <c r="AH1238" i="36" s="1"/>
  <c r="AB1238" i="36"/>
  <c r="AC1238" i="36" s="1"/>
  <c r="W1238" i="36"/>
  <c r="V1238" i="36"/>
  <c r="X1238" i="36" s="1"/>
  <c r="L1238" i="36"/>
  <c r="AL1237" i="36"/>
  <c r="AM1237" i="36" s="1"/>
  <c r="AG1237" i="36"/>
  <c r="AH1237" i="36" s="1"/>
  <c r="AB1237" i="36"/>
  <c r="AC1237" i="36" s="1"/>
  <c r="W1237" i="36"/>
  <c r="V1237" i="36"/>
  <c r="X1237" i="36" s="1"/>
  <c r="L1237" i="36"/>
  <c r="AL1236" i="36"/>
  <c r="AM1236" i="36" s="1"/>
  <c r="AG1236" i="36"/>
  <c r="AH1236" i="36" s="1"/>
  <c r="AB1236" i="36"/>
  <c r="AC1236" i="36" s="1"/>
  <c r="W1236" i="36"/>
  <c r="V1236" i="36"/>
  <c r="X1236" i="36" s="1"/>
  <c r="L1236" i="36"/>
  <c r="AL1235" i="36"/>
  <c r="AM1235" i="36" s="1"/>
  <c r="AG1235" i="36"/>
  <c r="AH1235" i="36" s="1"/>
  <c r="AB1235" i="36"/>
  <c r="AC1235" i="36" s="1"/>
  <c r="W1235" i="36"/>
  <c r="V1235" i="36"/>
  <c r="X1235" i="36" s="1"/>
  <c r="L1235" i="36"/>
  <c r="AL1234" i="36"/>
  <c r="AM1234" i="36" s="1"/>
  <c r="AG1234" i="36"/>
  <c r="AH1234" i="36" s="1"/>
  <c r="AB1234" i="36"/>
  <c r="AC1234" i="36" s="1"/>
  <c r="W1234" i="36"/>
  <c r="V1234" i="36"/>
  <c r="X1234" i="36" s="1"/>
  <c r="L1234" i="36"/>
  <c r="AL1233" i="36"/>
  <c r="AM1233" i="36" s="1"/>
  <c r="AG1233" i="36"/>
  <c r="AH1233" i="36" s="1"/>
  <c r="AB1233" i="36"/>
  <c r="AC1233" i="36" s="1"/>
  <c r="W1233" i="36"/>
  <c r="V1233" i="36"/>
  <c r="X1233" i="36" s="1"/>
  <c r="L1233" i="36"/>
  <c r="AL1232" i="36"/>
  <c r="AM1232" i="36" s="1"/>
  <c r="AG1232" i="36"/>
  <c r="AH1232" i="36" s="1"/>
  <c r="AB1232" i="36"/>
  <c r="AC1232" i="36" s="1"/>
  <c r="W1232" i="36"/>
  <c r="V1232" i="36"/>
  <c r="X1232" i="36" s="1"/>
  <c r="L1232" i="36"/>
  <c r="AL1231" i="36"/>
  <c r="AM1231" i="36" s="1"/>
  <c r="AG1231" i="36"/>
  <c r="AH1231" i="36" s="1"/>
  <c r="AB1231" i="36"/>
  <c r="AC1231" i="36" s="1"/>
  <c r="W1231" i="36"/>
  <c r="V1231" i="36"/>
  <c r="X1231" i="36" s="1"/>
  <c r="L1231" i="36"/>
  <c r="AL1230" i="36"/>
  <c r="AM1230" i="36" s="1"/>
  <c r="AG1230" i="36"/>
  <c r="AH1230" i="36" s="1"/>
  <c r="AB1230" i="36"/>
  <c r="AC1230" i="36" s="1"/>
  <c r="W1230" i="36"/>
  <c r="V1230" i="36"/>
  <c r="X1230" i="36" s="1"/>
  <c r="L1230" i="36"/>
  <c r="AL1229" i="36"/>
  <c r="AM1229" i="36" s="1"/>
  <c r="AG1229" i="36"/>
  <c r="AH1229" i="36" s="1"/>
  <c r="AB1229" i="36"/>
  <c r="AC1229" i="36" s="1"/>
  <c r="W1229" i="36"/>
  <c r="V1229" i="36"/>
  <c r="X1229" i="36" s="1"/>
  <c r="L1229" i="36"/>
  <c r="AL1228" i="36"/>
  <c r="AM1228" i="36" s="1"/>
  <c r="AG1228" i="36"/>
  <c r="AH1228" i="36" s="1"/>
  <c r="AB1228" i="36"/>
  <c r="AC1228" i="36" s="1"/>
  <c r="W1228" i="36"/>
  <c r="V1228" i="36"/>
  <c r="X1228" i="36" s="1"/>
  <c r="L1228" i="36"/>
  <c r="AL1227" i="36"/>
  <c r="AM1227" i="36" s="1"/>
  <c r="AG1227" i="36"/>
  <c r="AH1227" i="36" s="1"/>
  <c r="AB1227" i="36"/>
  <c r="AC1227" i="36" s="1"/>
  <c r="W1227" i="36"/>
  <c r="V1227" i="36"/>
  <c r="X1227" i="36" s="1"/>
  <c r="L1227" i="36"/>
  <c r="AL1226" i="36"/>
  <c r="AM1226" i="36" s="1"/>
  <c r="AG1226" i="36"/>
  <c r="AH1226" i="36" s="1"/>
  <c r="AB1226" i="36"/>
  <c r="AC1226" i="36" s="1"/>
  <c r="W1226" i="36"/>
  <c r="V1226" i="36"/>
  <c r="X1226" i="36" s="1"/>
  <c r="L1226" i="36"/>
  <c r="AL1225" i="36"/>
  <c r="AM1225" i="36" s="1"/>
  <c r="AG1225" i="36"/>
  <c r="AH1225" i="36" s="1"/>
  <c r="AB1225" i="36"/>
  <c r="AC1225" i="36" s="1"/>
  <c r="W1225" i="36"/>
  <c r="V1225" i="36"/>
  <c r="X1225" i="36" s="1"/>
  <c r="L1225" i="36"/>
  <c r="AL1224" i="36"/>
  <c r="AM1224" i="36" s="1"/>
  <c r="AG1224" i="36"/>
  <c r="AH1224" i="36" s="1"/>
  <c r="AB1224" i="36"/>
  <c r="AC1224" i="36" s="1"/>
  <c r="W1224" i="36"/>
  <c r="V1224" i="36"/>
  <c r="X1224" i="36" s="1"/>
  <c r="L1224" i="36"/>
  <c r="AL1223" i="36"/>
  <c r="AM1223" i="36" s="1"/>
  <c r="AG1223" i="36"/>
  <c r="AH1223" i="36" s="1"/>
  <c r="AB1223" i="36"/>
  <c r="AC1223" i="36" s="1"/>
  <c r="W1223" i="36"/>
  <c r="V1223" i="36"/>
  <c r="X1223" i="36" s="1"/>
  <c r="L1223" i="36"/>
  <c r="AL1222" i="36"/>
  <c r="AM1222" i="36" s="1"/>
  <c r="AG1222" i="36"/>
  <c r="AH1222" i="36" s="1"/>
  <c r="AB1222" i="36"/>
  <c r="AC1222" i="36" s="1"/>
  <c r="W1222" i="36"/>
  <c r="V1222" i="36"/>
  <c r="X1222" i="36" s="1"/>
  <c r="L1222" i="36"/>
  <c r="AL1221" i="36"/>
  <c r="AM1221" i="36" s="1"/>
  <c r="AG1221" i="36"/>
  <c r="AH1221" i="36" s="1"/>
  <c r="AB1221" i="36"/>
  <c r="AC1221" i="36" s="1"/>
  <c r="W1221" i="36"/>
  <c r="V1221" i="36"/>
  <c r="X1221" i="36" s="1"/>
  <c r="L1221" i="36"/>
  <c r="AL1220" i="36"/>
  <c r="AM1220" i="36" s="1"/>
  <c r="AG1220" i="36"/>
  <c r="AH1220" i="36" s="1"/>
  <c r="AB1220" i="36"/>
  <c r="AC1220" i="36" s="1"/>
  <c r="W1220" i="36"/>
  <c r="V1220" i="36"/>
  <c r="X1220" i="36" s="1"/>
  <c r="L1220" i="36"/>
  <c r="AL1219" i="36"/>
  <c r="AM1219" i="36" s="1"/>
  <c r="AG1219" i="36"/>
  <c r="AH1219" i="36" s="1"/>
  <c r="AB1219" i="36"/>
  <c r="AC1219" i="36" s="1"/>
  <c r="W1219" i="36"/>
  <c r="V1219" i="36"/>
  <c r="X1219" i="36" s="1"/>
  <c r="L1219" i="36"/>
  <c r="AL1218" i="36"/>
  <c r="AM1218" i="36" s="1"/>
  <c r="AG1218" i="36"/>
  <c r="AH1218" i="36" s="1"/>
  <c r="AB1218" i="36"/>
  <c r="AC1218" i="36" s="1"/>
  <c r="W1218" i="36"/>
  <c r="V1218" i="36"/>
  <c r="X1218" i="36" s="1"/>
  <c r="L1218" i="36"/>
  <c r="AL1217" i="36"/>
  <c r="AM1217" i="36" s="1"/>
  <c r="AG1217" i="36"/>
  <c r="AH1217" i="36" s="1"/>
  <c r="AB1217" i="36"/>
  <c r="AC1217" i="36" s="1"/>
  <c r="W1217" i="36"/>
  <c r="V1217" i="36"/>
  <c r="X1217" i="36" s="1"/>
  <c r="L1217" i="36"/>
  <c r="AL1216" i="36"/>
  <c r="AM1216" i="36" s="1"/>
  <c r="AG1216" i="36"/>
  <c r="AH1216" i="36" s="1"/>
  <c r="AB1216" i="36"/>
  <c r="AC1216" i="36" s="1"/>
  <c r="W1216" i="36"/>
  <c r="V1216" i="36"/>
  <c r="X1216" i="36" s="1"/>
  <c r="L1216" i="36"/>
  <c r="AL1215" i="36"/>
  <c r="AM1215" i="36" s="1"/>
  <c r="AG1215" i="36"/>
  <c r="AH1215" i="36" s="1"/>
  <c r="AB1215" i="36"/>
  <c r="AC1215" i="36" s="1"/>
  <c r="W1215" i="36"/>
  <c r="V1215" i="36"/>
  <c r="X1215" i="36" s="1"/>
  <c r="L1215" i="36"/>
  <c r="AL1214" i="36"/>
  <c r="AM1214" i="36" s="1"/>
  <c r="AG1214" i="36"/>
  <c r="AH1214" i="36" s="1"/>
  <c r="AB1214" i="36"/>
  <c r="AC1214" i="36" s="1"/>
  <c r="W1214" i="36"/>
  <c r="V1214" i="36"/>
  <c r="X1214" i="36" s="1"/>
  <c r="L1214" i="36"/>
  <c r="AL1213" i="36"/>
  <c r="AM1213" i="36" s="1"/>
  <c r="AG1213" i="36"/>
  <c r="AH1213" i="36" s="1"/>
  <c r="AB1213" i="36"/>
  <c r="AC1213" i="36" s="1"/>
  <c r="W1213" i="36"/>
  <c r="V1213" i="36"/>
  <c r="X1213" i="36" s="1"/>
  <c r="L1213" i="36"/>
  <c r="AL1212" i="36"/>
  <c r="AM1212" i="36" s="1"/>
  <c r="AG1212" i="36"/>
  <c r="AH1212" i="36" s="1"/>
  <c r="AB1212" i="36"/>
  <c r="AC1212" i="36" s="1"/>
  <c r="W1212" i="36"/>
  <c r="V1212" i="36"/>
  <c r="X1212" i="36" s="1"/>
  <c r="L1212" i="36"/>
  <c r="AL1211" i="36"/>
  <c r="AM1211" i="36" s="1"/>
  <c r="AG1211" i="36"/>
  <c r="AH1211" i="36" s="1"/>
  <c r="AB1211" i="36"/>
  <c r="AC1211" i="36" s="1"/>
  <c r="W1211" i="36"/>
  <c r="V1211" i="36"/>
  <c r="X1211" i="36" s="1"/>
  <c r="L1211" i="36"/>
  <c r="AL1210" i="36"/>
  <c r="AM1210" i="36" s="1"/>
  <c r="AG1210" i="36"/>
  <c r="AH1210" i="36" s="1"/>
  <c r="AB1210" i="36"/>
  <c r="AC1210" i="36" s="1"/>
  <c r="W1210" i="36"/>
  <c r="V1210" i="36"/>
  <c r="X1210" i="36" s="1"/>
  <c r="L1210" i="36"/>
  <c r="AL1209" i="36"/>
  <c r="AM1209" i="36" s="1"/>
  <c r="AG1209" i="36"/>
  <c r="AH1209" i="36" s="1"/>
  <c r="AB1209" i="36"/>
  <c r="AC1209" i="36" s="1"/>
  <c r="W1209" i="36"/>
  <c r="V1209" i="36"/>
  <c r="X1209" i="36" s="1"/>
  <c r="L1209" i="36"/>
  <c r="AL1208" i="36"/>
  <c r="AM1208" i="36" s="1"/>
  <c r="AG1208" i="36"/>
  <c r="AH1208" i="36" s="1"/>
  <c r="AB1208" i="36"/>
  <c r="AC1208" i="36" s="1"/>
  <c r="W1208" i="36"/>
  <c r="V1208" i="36"/>
  <c r="X1208" i="36" s="1"/>
  <c r="L1208" i="36"/>
  <c r="AL1207" i="36"/>
  <c r="AM1207" i="36" s="1"/>
  <c r="AG1207" i="36"/>
  <c r="AH1207" i="36" s="1"/>
  <c r="AB1207" i="36"/>
  <c r="AC1207" i="36" s="1"/>
  <c r="W1207" i="36"/>
  <c r="V1207" i="36"/>
  <c r="X1207" i="36" s="1"/>
  <c r="L1207" i="36"/>
  <c r="AL1206" i="36"/>
  <c r="AM1206" i="36" s="1"/>
  <c r="AG1206" i="36"/>
  <c r="AH1206" i="36" s="1"/>
  <c r="AB1206" i="36"/>
  <c r="AC1206" i="36" s="1"/>
  <c r="W1206" i="36"/>
  <c r="V1206" i="36"/>
  <c r="X1206" i="36" s="1"/>
  <c r="L1206" i="36"/>
  <c r="AL1205" i="36"/>
  <c r="AM1205" i="36" s="1"/>
  <c r="AG1205" i="36"/>
  <c r="AH1205" i="36" s="1"/>
  <c r="AB1205" i="36"/>
  <c r="AC1205" i="36" s="1"/>
  <c r="W1205" i="36"/>
  <c r="V1205" i="36"/>
  <c r="X1205" i="36" s="1"/>
  <c r="L1205" i="36"/>
  <c r="AL1204" i="36"/>
  <c r="AM1204" i="36" s="1"/>
  <c r="AG1204" i="36"/>
  <c r="AH1204" i="36" s="1"/>
  <c r="AB1204" i="36"/>
  <c r="AC1204" i="36" s="1"/>
  <c r="W1204" i="36"/>
  <c r="V1204" i="36"/>
  <c r="X1204" i="36" s="1"/>
  <c r="L1204" i="36"/>
  <c r="AL1203" i="36"/>
  <c r="AM1203" i="36" s="1"/>
  <c r="AG1203" i="36"/>
  <c r="AH1203" i="36" s="1"/>
  <c r="AB1203" i="36"/>
  <c r="AC1203" i="36" s="1"/>
  <c r="W1203" i="36"/>
  <c r="V1203" i="36"/>
  <c r="X1203" i="36" s="1"/>
  <c r="L1203" i="36"/>
  <c r="AL1202" i="36"/>
  <c r="AM1202" i="36" s="1"/>
  <c r="AG1202" i="36"/>
  <c r="AH1202" i="36" s="1"/>
  <c r="AB1202" i="36"/>
  <c r="AC1202" i="36" s="1"/>
  <c r="W1202" i="36"/>
  <c r="V1202" i="36"/>
  <c r="X1202" i="36" s="1"/>
  <c r="L1202" i="36"/>
  <c r="AL1201" i="36"/>
  <c r="AM1201" i="36" s="1"/>
  <c r="AG1201" i="36"/>
  <c r="AH1201" i="36" s="1"/>
  <c r="AB1201" i="36"/>
  <c r="AC1201" i="36" s="1"/>
  <c r="W1201" i="36"/>
  <c r="V1201" i="36"/>
  <c r="X1201" i="36" s="1"/>
  <c r="L1201" i="36"/>
  <c r="AL1200" i="36"/>
  <c r="AM1200" i="36" s="1"/>
  <c r="AG1200" i="36"/>
  <c r="AH1200" i="36" s="1"/>
  <c r="AB1200" i="36"/>
  <c r="AC1200" i="36" s="1"/>
  <c r="W1200" i="36"/>
  <c r="V1200" i="36"/>
  <c r="X1200" i="36" s="1"/>
  <c r="L1200" i="36"/>
  <c r="AL1199" i="36"/>
  <c r="AM1199" i="36" s="1"/>
  <c r="AG1199" i="36"/>
  <c r="AH1199" i="36" s="1"/>
  <c r="AB1199" i="36"/>
  <c r="AC1199" i="36" s="1"/>
  <c r="W1199" i="36"/>
  <c r="V1199" i="36"/>
  <c r="X1199" i="36" s="1"/>
  <c r="L1199" i="36"/>
  <c r="AL1198" i="36"/>
  <c r="AM1198" i="36" s="1"/>
  <c r="AG1198" i="36"/>
  <c r="AH1198" i="36" s="1"/>
  <c r="AB1198" i="36"/>
  <c r="AC1198" i="36" s="1"/>
  <c r="W1198" i="36"/>
  <c r="V1198" i="36"/>
  <c r="X1198" i="36" s="1"/>
  <c r="L1198" i="36"/>
  <c r="AL1197" i="36"/>
  <c r="AM1197" i="36" s="1"/>
  <c r="AG1197" i="36"/>
  <c r="AH1197" i="36" s="1"/>
  <c r="AB1197" i="36"/>
  <c r="AC1197" i="36" s="1"/>
  <c r="W1197" i="36"/>
  <c r="V1197" i="36"/>
  <c r="X1197" i="36" s="1"/>
  <c r="L1197" i="36"/>
  <c r="AL1196" i="36"/>
  <c r="AM1196" i="36" s="1"/>
  <c r="AG1196" i="36"/>
  <c r="AH1196" i="36" s="1"/>
  <c r="AB1196" i="36"/>
  <c r="AC1196" i="36" s="1"/>
  <c r="W1196" i="36"/>
  <c r="V1196" i="36"/>
  <c r="X1196" i="36" s="1"/>
  <c r="L1196" i="36"/>
  <c r="AL1195" i="36"/>
  <c r="AM1195" i="36" s="1"/>
  <c r="AG1195" i="36"/>
  <c r="AH1195" i="36" s="1"/>
  <c r="AB1195" i="36"/>
  <c r="AC1195" i="36" s="1"/>
  <c r="W1195" i="36"/>
  <c r="V1195" i="36"/>
  <c r="X1195" i="36" s="1"/>
  <c r="L1195" i="36"/>
  <c r="AL1194" i="36"/>
  <c r="AM1194" i="36" s="1"/>
  <c r="AG1194" i="36"/>
  <c r="AH1194" i="36" s="1"/>
  <c r="AB1194" i="36"/>
  <c r="AC1194" i="36" s="1"/>
  <c r="W1194" i="36"/>
  <c r="V1194" i="36"/>
  <c r="X1194" i="36" s="1"/>
  <c r="L1194" i="36"/>
  <c r="AL1193" i="36"/>
  <c r="AM1193" i="36" s="1"/>
  <c r="AG1193" i="36"/>
  <c r="AH1193" i="36" s="1"/>
  <c r="AB1193" i="36"/>
  <c r="AC1193" i="36" s="1"/>
  <c r="W1193" i="36"/>
  <c r="V1193" i="36"/>
  <c r="X1193" i="36" s="1"/>
  <c r="L1193" i="36"/>
  <c r="AL1192" i="36"/>
  <c r="AM1192" i="36" s="1"/>
  <c r="AG1192" i="36"/>
  <c r="AH1192" i="36" s="1"/>
  <c r="AB1192" i="36"/>
  <c r="AC1192" i="36" s="1"/>
  <c r="W1192" i="36"/>
  <c r="V1192" i="36"/>
  <c r="X1192" i="36" s="1"/>
  <c r="L1192" i="36"/>
  <c r="AL1191" i="36"/>
  <c r="AM1191" i="36" s="1"/>
  <c r="AG1191" i="36"/>
  <c r="AH1191" i="36" s="1"/>
  <c r="AB1191" i="36"/>
  <c r="AC1191" i="36" s="1"/>
  <c r="W1191" i="36"/>
  <c r="V1191" i="36"/>
  <c r="X1191" i="36" s="1"/>
  <c r="L1191" i="36"/>
  <c r="AL1190" i="36"/>
  <c r="AM1190" i="36" s="1"/>
  <c r="AG1190" i="36"/>
  <c r="AH1190" i="36" s="1"/>
  <c r="AB1190" i="36"/>
  <c r="AC1190" i="36" s="1"/>
  <c r="W1190" i="36"/>
  <c r="V1190" i="36"/>
  <c r="X1190" i="36" s="1"/>
  <c r="L1190" i="36"/>
  <c r="AL1189" i="36"/>
  <c r="AM1189" i="36" s="1"/>
  <c r="AG1189" i="36"/>
  <c r="AH1189" i="36" s="1"/>
  <c r="AB1189" i="36"/>
  <c r="AC1189" i="36" s="1"/>
  <c r="W1189" i="36"/>
  <c r="V1189" i="36"/>
  <c r="X1189" i="36" s="1"/>
  <c r="L1189" i="36"/>
  <c r="AL1188" i="36"/>
  <c r="AM1188" i="36" s="1"/>
  <c r="AG1188" i="36"/>
  <c r="AH1188" i="36" s="1"/>
  <c r="AB1188" i="36"/>
  <c r="AC1188" i="36" s="1"/>
  <c r="W1188" i="36"/>
  <c r="V1188" i="36"/>
  <c r="X1188" i="36" s="1"/>
  <c r="L1188" i="36"/>
  <c r="AL1187" i="36"/>
  <c r="AM1187" i="36" s="1"/>
  <c r="AG1187" i="36"/>
  <c r="AH1187" i="36" s="1"/>
  <c r="AB1187" i="36"/>
  <c r="AC1187" i="36" s="1"/>
  <c r="W1187" i="36"/>
  <c r="V1187" i="36"/>
  <c r="X1187" i="36" s="1"/>
  <c r="L1187" i="36"/>
  <c r="AL1186" i="36"/>
  <c r="AM1186" i="36" s="1"/>
  <c r="AG1186" i="36"/>
  <c r="AH1186" i="36" s="1"/>
  <c r="AB1186" i="36"/>
  <c r="AC1186" i="36" s="1"/>
  <c r="W1186" i="36"/>
  <c r="V1186" i="36"/>
  <c r="X1186" i="36" s="1"/>
  <c r="L1186" i="36"/>
  <c r="AL1185" i="36"/>
  <c r="AM1185" i="36" s="1"/>
  <c r="AG1185" i="36"/>
  <c r="AH1185" i="36" s="1"/>
  <c r="AB1185" i="36"/>
  <c r="AC1185" i="36" s="1"/>
  <c r="W1185" i="36"/>
  <c r="V1185" i="36"/>
  <c r="X1185" i="36" s="1"/>
  <c r="L1185" i="36"/>
  <c r="AL1184" i="36"/>
  <c r="AM1184" i="36" s="1"/>
  <c r="AG1184" i="36"/>
  <c r="AH1184" i="36" s="1"/>
  <c r="AB1184" i="36"/>
  <c r="AC1184" i="36" s="1"/>
  <c r="W1184" i="36"/>
  <c r="V1184" i="36"/>
  <c r="X1184" i="36" s="1"/>
  <c r="L1184" i="36"/>
  <c r="AL1183" i="36"/>
  <c r="AM1183" i="36" s="1"/>
  <c r="AG1183" i="36"/>
  <c r="AH1183" i="36" s="1"/>
  <c r="AB1183" i="36"/>
  <c r="AC1183" i="36" s="1"/>
  <c r="W1183" i="36"/>
  <c r="V1183" i="36"/>
  <c r="X1183" i="36" s="1"/>
  <c r="L1183" i="36"/>
  <c r="AL1182" i="36"/>
  <c r="AM1182" i="36" s="1"/>
  <c r="AG1182" i="36"/>
  <c r="AH1182" i="36" s="1"/>
  <c r="AB1182" i="36"/>
  <c r="AC1182" i="36" s="1"/>
  <c r="W1182" i="36"/>
  <c r="V1182" i="36"/>
  <c r="X1182" i="36" s="1"/>
  <c r="L1182" i="36"/>
  <c r="AL1181" i="36"/>
  <c r="AM1181" i="36" s="1"/>
  <c r="AG1181" i="36"/>
  <c r="AH1181" i="36" s="1"/>
  <c r="AB1181" i="36"/>
  <c r="AC1181" i="36" s="1"/>
  <c r="W1181" i="36"/>
  <c r="V1181" i="36"/>
  <c r="X1181" i="36" s="1"/>
  <c r="L1181" i="36"/>
  <c r="AL1180" i="36"/>
  <c r="AM1180" i="36" s="1"/>
  <c r="AG1180" i="36"/>
  <c r="AH1180" i="36" s="1"/>
  <c r="AB1180" i="36"/>
  <c r="AC1180" i="36" s="1"/>
  <c r="W1180" i="36"/>
  <c r="V1180" i="36"/>
  <c r="X1180" i="36" s="1"/>
  <c r="L1180" i="36"/>
  <c r="AL1179" i="36"/>
  <c r="AM1179" i="36" s="1"/>
  <c r="AG1179" i="36"/>
  <c r="AH1179" i="36" s="1"/>
  <c r="AB1179" i="36"/>
  <c r="AC1179" i="36" s="1"/>
  <c r="W1179" i="36"/>
  <c r="V1179" i="36"/>
  <c r="X1179" i="36" s="1"/>
  <c r="L1179" i="36"/>
  <c r="AL1178" i="36"/>
  <c r="AM1178" i="36" s="1"/>
  <c r="AG1178" i="36"/>
  <c r="AH1178" i="36" s="1"/>
  <c r="AB1178" i="36"/>
  <c r="AC1178" i="36" s="1"/>
  <c r="W1178" i="36"/>
  <c r="V1178" i="36"/>
  <c r="X1178" i="36" s="1"/>
  <c r="L1178" i="36"/>
  <c r="AL1177" i="36"/>
  <c r="AM1177" i="36" s="1"/>
  <c r="AG1177" i="36"/>
  <c r="AH1177" i="36" s="1"/>
  <c r="AB1177" i="36"/>
  <c r="AC1177" i="36" s="1"/>
  <c r="W1177" i="36"/>
  <c r="V1177" i="36"/>
  <c r="X1177" i="36" s="1"/>
  <c r="L1177" i="36"/>
  <c r="AL1176" i="36"/>
  <c r="AM1176" i="36" s="1"/>
  <c r="AG1176" i="36"/>
  <c r="AH1176" i="36" s="1"/>
  <c r="AB1176" i="36"/>
  <c r="AC1176" i="36" s="1"/>
  <c r="W1176" i="36"/>
  <c r="V1176" i="36"/>
  <c r="X1176" i="36" s="1"/>
  <c r="L1176" i="36"/>
  <c r="AL1175" i="36"/>
  <c r="AM1175" i="36" s="1"/>
  <c r="AG1175" i="36"/>
  <c r="AH1175" i="36" s="1"/>
  <c r="AB1175" i="36"/>
  <c r="AC1175" i="36" s="1"/>
  <c r="W1175" i="36"/>
  <c r="V1175" i="36"/>
  <c r="X1175" i="36" s="1"/>
  <c r="L1175" i="36"/>
  <c r="AL1174" i="36"/>
  <c r="AM1174" i="36" s="1"/>
  <c r="AG1174" i="36"/>
  <c r="AH1174" i="36" s="1"/>
  <c r="AB1174" i="36"/>
  <c r="AC1174" i="36" s="1"/>
  <c r="W1174" i="36"/>
  <c r="V1174" i="36"/>
  <c r="X1174" i="36" s="1"/>
  <c r="L1174" i="36"/>
  <c r="AL1173" i="36"/>
  <c r="AM1173" i="36" s="1"/>
  <c r="AG1173" i="36"/>
  <c r="AH1173" i="36" s="1"/>
  <c r="AB1173" i="36"/>
  <c r="AC1173" i="36" s="1"/>
  <c r="W1173" i="36"/>
  <c r="V1173" i="36"/>
  <c r="X1173" i="36" s="1"/>
  <c r="L1173" i="36"/>
  <c r="AL1172" i="36"/>
  <c r="AM1172" i="36" s="1"/>
  <c r="AG1172" i="36"/>
  <c r="AH1172" i="36" s="1"/>
  <c r="AB1172" i="36"/>
  <c r="AC1172" i="36" s="1"/>
  <c r="W1172" i="36"/>
  <c r="V1172" i="36"/>
  <c r="X1172" i="36" s="1"/>
  <c r="L1172" i="36"/>
  <c r="AL1171" i="36"/>
  <c r="AM1171" i="36" s="1"/>
  <c r="AG1171" i="36"/>
  <c r="AH1171" i="36" s="1"/>
  <c r="AB1171" i="36"/>
  <c r="AC1171" i="36" s="1"/>
  <c r="W1171" i="36"/>
  <c r="V1171" i="36"/>
  <c r="X1171" i="36" s="1"/>
  <c r="L1171" i="36"/>
  <c r="AL1170" i="36"/>
  <c r="AM1170" i="36" s="1"/>
  <c r="AG1170" i="36"/>
  <c r="AH1170" i="36" s="1"/>
  <c r="AB1170" i="36"/>
  <c r="AC1170" i="36" s="1"/>
  <c r="W1170" i="36"/>
  <c r="V1170" i="36"/>
  <c r="X1170" i="36" s="1"/>
  <c r="L1170" i="36"/>
  <c r="AL1169" i="36"/>
  <c r="AM1169" i="36" s="1"/>
  <c r="AG1169" i="36"/>
  <c r="AH1169" i="36" s="1"/>
  <c r="AB1169" i="36"/>
  <c r="AC1169" i="36" s="1"/>
  <c r="W1169" i="36"/>
  <c r="V1169" i="36"/>
  <c r="X1169" i="36" s="1"/>
  <c r="L1169" i="36"/>
  <c r="AL1168" i="36"/>
  <c r="AM1168" i="36" s="1"/>
  <c r="AG1168" i="36"/>
  <c r="AH1168" i="36" s="1"/>
  <c r="AB1168" i="36"/>
  <c r="AC1168" i="36" s="1"/>
  <c r="W1168" i="36"/>
  <c r="V1168" i="36"/>
  <c r="X1168" i="36" s="1"/>
  <c r="L1168" i="36"/>
  <c r="AL1167" i="36"/>
  <c r="AM1167" i="36" s="1"/>
  <c r="AG1167" i="36"/>
  <c r="AH1167" i="36" s="1"/>
  <c r="AB1167" i="36"/>
  <c r="AC1167" i="36" s="1"/>
  <c r="W1167" i="36"/>
  <c r="V1167" i="36"/>
  <c r="X1167" i="36" s="1"/>
  <c r="L1167" i="36"/>
  <c r="AL1166" i="36"/>
  <c r="AM1166" i="36" s="1"/>
  <c r="AG1166" i="36"/>
  <c r="AH1166" i="36" s="1"/>
  <c r="AB1166" i="36"/>
  <c r="AC1166" i="36" s="1"/>
  <c r="W1166" i="36"/>
  <c r="V1166" i="36"/>
  <c r="X1166" i="36" s="1"/>
  <c r="L1166" i="36"/>
  <c r="AL1165" i="36"/>
  <c r="AM1165" i="36" s="1"/>
  <c r="AG1165" i="36"/>
  <c r="AH1165" i="36" s="1"/>
  <c r="AB1165" i="36"/>
  <c r="AC1165" i="36" s="1"/>
  <c r="W1165" i="36"/>
  <c r="V1165" i="36"/>
  <c r="X1165" i="36" s="1"/>
  <c r="L1165" i="36"/>
  <c r="AL1164" i="36"/>
  <c r="AM1164" i="36" s="1"/>
  <c r="AG1164" i="36"/>
  <c r="AH1164" i="36" s="1"/>
  <c r="AB1164" i="36"/>
  <c r="AC1164" i="36" s="1"/>
  <c r="W1164" i="36"/>
  <c r="V1164" i="36"/>
  <c r="X1164" i="36" s="1"/>
  <c r="L1164" i="36"/>
  <c r="AL1163" i="36"/>
  <c r="AM1163" i="36" s="1"/>
  <c r="AG1163" i="36"/>
  <c r="AH1163" i="36" s="1"/>
  <c r="AB1163" i="36"/>
  <c r="AC1163" i="36" s="1"/>
  <c r="W1163" i="36"/>
  <c r="V1163" i="36"/>
  <c r="X1163" i="36" s="1"/>
  <c r="L1163" i="36"/>
  <c r="AL1162" i="36"/>
  <c r="AM1162" i="36" s="1"/>
  <c r="AG1162" i="36"/>
  <c r="AH1162" i="36" s="1"/>
  <c r="AB1162" i="36"/>
  <c r="AC1162" i="36" s="1"/>
  <c r="W1162" i="36"/>
  <c r="V1162" i="36"/>
  <c r="X1162" i="36" s="1"/>
  <c r="L1162" i="36"/>
  <c r="AL1161" i="36"/>
  <c r="AM1161" i="36" s="1"/>
  <c r="AG1161" i="36"/>
  <c r="AH1161" i="36" s="1"/>
  <c r="AB1161" i="36"/>
  <c r="AC1161" i="36" s="1"/>
  <c r="W1161" i="36"/>
  <c r="V1161" i="36"/>
  <c r="X1161" i="36" s="1"/>
  <c r="L1161" i="36"/>
  <c r="AL1160" i="36"/>
  <c r="AM1160" i="36" s="1"/>
  <c r="AG1160" i="36"/>
  <c r="AH1160" i="36" s="1"/>
  <c r="AB1160" i="36"/>
  <c r="AC1160" i="36" s="1"/>
  <c r="W1160" i="36"/>
  <c r="V1160" i="36"/>
  <c r="X1160" i="36" s="1"/>
  <c r="L1160" i="36"/>
  <c r="AL1159" i="36"/>
  <c r="AM1159" i="36" s="1"/>
  <c r="AG1159" i="36"/>
  <c r="AH1159" i="36" s="1"/>
  <c r="AB1159" i="36"/>
  <c r="AC1159" i="36" s="1"/>
  <c r="W1159" i="36"/>
  <c r="V1159" i="36"/>
  <c r="X1159" i="36" s="1"/>
  <c r="L1159" i="36"/>
  <c r="AL1158" i="36"/>
  <c r="AM1158" i="36" s="1"/>
  <c r="AG1158" i="36"/>
  <c r="AH1158" i="36" s="1"/>
  <c r="AB1158" i="36"/>
  <c r="AC1158" i="36" s="1"/>
  <c r="W1158" i="36"/>
  <c r="V1158" i="36"/>
  <c r="X1158" i="36" s="1"/>
  <c r="L1158" i="36"/>
  <c r="AL1157" i="36"/>
  <c r="AM1157" i="36" s="1"/>
  <c r="AG1157" i="36"/>
  <c r="AH1157" i="36" s="1"/>
  <c r="AB1157" i="36"/>
  <c r="AC1157" i="36" s="1"/>
  <c r="W1157" i="36"/>
  <c r="V1157" i="36"/>
  <c r="X1157" i="36" s="1"/>
  <c r="L1157" i="36"/>
  <c r="AL1156" i="36"/>
  <c r="AM1156" i="36" s="1"/>
  <c r="AG1156" i="36"/>
  <c r="AH1156" i="36" s="1"/>
  <c r="AB1156" i="36"/>
  <c r="AC1156" i="36" s="1"/>
  <c r="W1156" i="36"/>
  <c r="V1156" i="36"/>
  <c r="X1156" i="36" s="1"/>
  <c r="L1156" i="36"/>
  <c r="AL1155" i="36"/>
  <c r="AM1155" i="36" s="1"/>
  <c r="AG1155" i="36"/>
  <c r="AH1155" i="36" s="1"/>
  <c r="AB1155" i="36"/>
  <c r="AC1155" i="36" s="1"/>
  <c r="W1155" i="36"/>
  <c r="V1155" i="36"/>
  <c r="X1155" i="36" s="1"/>
  <c r="L1155" i="36"/>
  <c r="AL1154" i="36"/>
  <c r="AM1154" i="36" s="1"/>
  <c r="AG1154" i="36"/>
  <c r="AH1154" i="36" s="1"/>
  <c r="AB1154" i="36"/>
  <c r="AC1154" i="36" s="1"/>
  <c r="W1154" i="36"/>
  <c r="V1154" i="36"/>
  <c r="X1154" i="36" s="1"/>
  <c r="L1154" i="36"/>
  <c r="AL1153" i="36"/>
  <c r="AM1153" i="36" s="1"/>
  <c r="AG1153" i="36"/>
  <c r="AH1153" i="36" s="1"/>
  <c r="AB1153" i="36"/>
  <c r="AC1153" i="36" s="1"/>
  <c r="W1153" i="36"/>
  <c r="V1153" i="36"/>
  <c r="X1153" i="36" s="1"/>
  <c r="L1153" i="36"/>
  <c r="AL1152" i="36"/>
  <c r="AM1152" i="36" s="1"/>
  <c r="AG1152" i="36"/>
  <c r="AH1152" i="36" s="1"/>
  <c r="AB1152" i="36"/>
  <c r="AC1152" i="36" s="1"/>
  <c r="W1152" i="36"/>
  <c r="V1152" i="36"/>
  <c r="X1152" i="36" s="1"/>
  <c r="L1152" i="36"/>
  <c r="AL1151" i="36"/>
  <c r="AM1151" i="36" s="1"/>
  <c r="AG1151" i="36"/>
  <c r="AH1151" i="36" s="1"/>
  <c r="AB1151" i="36"/>
  <c r="AC1151" i="36" s="1"/>
  <c r="W1151" i="36"/>
  <c r="V1151" i="36"/>
  <c r="X1151" i="36" s="1"/>
  <c r="L1151" i="36"/>
  <c r="AL1150" i="36"/>
  <c r="AM1150" i="36" s="1"/>
  <c r="AG1150" i="36"/>
  <c r="AH1150" i="36" s="1"/>
  <c r="AB1150" i="36"/>
  <c r="AC1150" i="36" s="1"/>
  <c r="W1150" i="36"/>
  <c r="V1150" i="36"/>
  <c r="X1150" i="36" s="1"/>
  <c r="L1150" i="36"/>
  <c r="AL1149" i="36"/>
  <c r="AM1149" i="36" s="1"/>
  <c r="AG1149" i="36"/>
  <c r="AH1149" i="36" s="1"/>
  <c r="AB1149" i="36"/>
  <c r="AC1149" i="36" s="1"/>
  <c r="W1149" i="36"/>
  <c r="V1149" i="36"/>
  <c r="X1149" i="36" s="1"/>
  <c r="L1149" i="36"/>
  <c r="AL1148" i="36"/>
  <c r="AM1148" i="36" s="1"/>
  <c r="AG1148" i="36"/>
  <c r="AH1148" i="36" s="1"/>
  <c r="AB1148" i="36"/>
  <c r="AC1148" i="36" s="1"/>
  <c r="W1148" i="36"/>
  <c r="V1148" i="36"/>
  <c r="X1148" i="36" s="1"/>
  <c r="L1148" i="36"/>
  <c r="AL1147" i="36"/>
  <c r="AM1147" i="36" s="1"/>
  <c r="AG1147" i="36"/>
  <c r="AH1147" i="36" s="1"/>
  <c r="AB1147" i="36"/>
  <c r="AC1147" i="36" s="1"/>
  <c r="W1147" i="36"/>
  <c r="V1147" i="36"/>
  <c r="X1147" i="36" s="1"/>
  <c r="L1147" i="36"/>
  <c r="AL1146" i="36"/>
  <c r="AM1146" i="36" s="1"/>
  <c r="AG1146" i="36"/>
  <c r="AH1146" i="36" s="1"/>
  <c r="AB1146" i="36"/>
  <c r="AC1146" i="36" s="1"/>
  <c r="W1146" i="36"/>
  <c r="V1146" i="36"/>
  <c r="X1146" i="36" s="1"/>
  <c r="L1146" i="36"/>
  <c r="AL1145" i="36"/>
  <c r="AM1145" i="36" s="1"/>
  <c r="AG1145" i="36"/>
  <c r="AH1145" i="36" s="1"/>
  <c r="AB1145" i="36"/>
  <c r="AC1145" i="36" s="1"/>
  <c r="W1145" i="36"/>
  <c r="V1145" i="36"/>
  <c r="X1145" i="36" s="1"/>
  <c r="L1145" i="36"/>
  <c r="AL1144" i="36"/>
  <c r="AM1144" i="36" s="1"/>
  <c r="AG1144" i="36"/>
  <c r="AH1144" i="36" s="1"/>
  <c r="AB1144" i="36"/>
  <c r="AC1144" i="36" s="1"/>
  <c r="W1144" i="36"/>
  <c r="V1144" i="36"/>
  <c r="X1144" i="36" s="1"/>
  <c r="L1144" i="36"/>
  <c r="AL1143" i="36"/>
  <c r="AM1143" i="36" s="1"/>
  <c r="AG1143" i="36"/>
  <c r="AH1143" i="36" s="1"/>
  <c r="AB1143" i="36"/>
  <c r="AC1143" i="36" s="1"/>
  <c r="W1143" i="36"/>
  <c r="V1143" i="36"/>
  <c r="X1143" i="36" s="1"/>
  <c r="L1143" i="36"/>
  <c r="AL1142" i="36"/>
  <c r="AM1142" i="36" s="1"/>
  <c r="AG1142" i="36"/>
  <c r="AH1142" i="36" s="1"/>
  <c r="AB1142" i="36"/>
  <c r="AC1142" i="36" s="1"/>
  <c r="W1142" i="36"/>
  <c r="V1142" i="36"/>
  <c r="X1142" i="36" s="1"/>
  <c r="L1142" i="36"/>
  <c r="AL1141" i="36"/>
  <c r="AM1141" i="36" s="1"/>
  <c r="AG1141" i="36"/>
  <c r="AH1141" i="36" s="1"/>
  <c r="AB1141" i="36"/>
  <c r="AC1141" i="36" s="1"/>
  <c r="W1141" i="36"/>
  <c r="V1141" i="36"/>
  <c r="X1141" i="36" s="1"/>
  <c r="L1141" i="36"/>
  <c r="AL1140" i="36"/>
  <c r="AM1140" i="36" s="1"/>
  <c r="AG1140" i="36"/>
  <c r="AH1140" i="36" s="1"/>
  <c r="AB1140" i="36"/>
  <c r="AC1140" i="36" s="1"/>
  <c r="W1140" i="36"/>
  <c r="V1140" i="36"/>
  <c r="X1140" i="36" s="1"/>
  <c r="L1140" i="36"/>
  <c r="AL1139" i="36"/>
  <c r="AM1139" i="36" s="1"/>
  <c r="AG1139" i="36"/>
  <c r="AH1139" i="36" s="1"/>
  <c r="AB1139" i="36"/>
  <c r="AC1139" i="36" s="1"/>
  <c r="W1139" i="36"/>
  <c r="V1139" i="36"/>
  <c r="X1139" i="36" s="1"/>
  <c r="L1139" i="36"/>
  <c r="AL1138" i="36"/>
  <c r="AM1138" i="36" s="1"/>
  <c r="AG1138" i="36"/>
  <c r="AH1138" i="36" s="1"/>
  <c r="AB1138" i="36"/>
  <c r="AC1138" i="36" s="1"/>
  <c r="W1138" i="36"/>
  <c r="V1138" i="36"/>
  <c r="X1138" i="36" s="1"/>
  <c r="L1138" i="36"/>
  <c r="AL1137" i="36"/>
  <c r="AM1137" i="36" s="1"/>
  <c r="AG1137" i="36"/>
  <c r="AH1137" i="36" s="1"/>
  <c r="AB1137" i="36"/>
  <c r="AC1137" i="36" s="1"/>
  <c r="W1137" i="36"/>
  <c r="V1137" i="36"/>
  <c r="X1137" i="36" s="1"/>
  <c r="L1137" i="36"/>
  <c r="AL1136" i="36"/>
  <c r="AM1136" i="36" s="1"/>
  <c r="AG1136" i="36"/>
  <c r="AH1136" i="36" s="1"/>
  <c r="AB1136" i="36"/>
  <c r="AC1136" i="36" s="1"/>
  <c r="W1136" i="36"/>
  <c r="V1136" i="36"/>
  <c r="X1136" i="36" s="1"/>
  <c r="L1136" i="36"/>
  <c r="AL1135" i="36"/>
  <c r="AM1135" i="36" s="1"/>
  <c r="AG1135" i="36"/>
  <c r="AH1135" i="36" s="1"/>
  <c r="AB1135" i="36"/>
  <c r="AC1135" i="36" s="1"/>
  <c r="W1135" i="36"/>
  <c r="V1135" i="36"/>
  <c r="X1135" i="36" s="1"/>
  <c r="L1135" i="36"/>
  <c r="AL1134" i="36"/>
  <c r="AM1134" i="36" s="1"/>
  <c r="AG1134" i="36"/>
  <c r="AH1134" i="36" s="1"/>
  <c r="AB1134" i="36"/>
  <c r="AC1134" i="36" s="1"/>
  <c r="W1134" i="36"/>
  <c r="V1134" i="36"/>
  <c r="X1134" i="36" s="1"/>
  <c r="L1134" i="36"/>
  <c r="AL1133" i="36"/>
  <c r="AM1133" i="36" s="1"/>
  <c r="AG1133" i="36"/>
  <c r="AH1133" i="36" s="1"/>
  <c r="AB1133" i="36"/>
  <c r="AC1133" i="36" s="1"/>
  <c r="W1133" i="36"/>
  <c r="V1133" i="36"/>
  <c r="X1133" i="36" s="1"/>
  <c r="L1133" i="36"/>
  <c r="AL1132" i="36"/>
  <c r="AM1132" i="36" s="1"/>
  <c r="AG1132" i="36"/>
  <c r="AH1132" i="36" s="1"/>
  <c r="AB1132" i="36"/>
  <c r="AC1132" i="36" s="1"/>
  <c r="W1132" i="36"/>
  <c r="V1132" i="36"/>
  <c r="X1132" i="36" s="1"/>
  <c r="L1132" i="36"/>
  <c r="AL1131" i="36"/>
  <c r="AM1131" i="36" s="1"/>
  <c r="AG1131" i="36"/>
  <c r="AH1131" i="36" s="1"/>
  <c r="AB1131" i="36"/>
  <c r="AC1131" i="36" s="1"/>
  <c r="W1131" i="36"/>
  <c r="V1131" i="36"/>
  <c r="X1131" i="36" s="1"/>
  <c r="L1131" i="36"/>
  <c r="AL1130" i="36"/>
  <c r="AM1130" i="36" s="1"/>
  <c r="AG1130" i="36"/>
  <c r="AH1130" i="36" s="1"/>
  <c r="AB1130" i="36"/>
  <c r="AC1130" i="36" s="1"/>
  <c r="W1130" i="36"/>
  <c r="V1130" i="36"/>
  <c r="X1130" i="36" s="1"/>
  <c r="L1130" i="36"/>
  <c r="AL1129" i="36"/>
  <c r="AM1129" i="36" s="1"/>
  <c r="AG1129" i="36"/>
  <c r="AH1129" i="36" s="1"/>
  <c r="AB1129" i="36"/>
  <c r="AC1129" i="36" s="1"/>
  <c r="W1129" i="36"/>
  <c r="V1129" i="36"/>
  <c r="X1129" i="36" s="1"/>
  <c r="L1129" i="36"/>
  <c r="AL1128" i="36"/>
  <c r="AM1128" i="36" s="1"/>
  <c r="AG1128" i="36"/>
  <c r="AH1128" i="36" s="1"/>
  <c r="AB1128" i="36"/>
  <c r="AC1128" i="36" s="1"/>
  <c r="W1128" i="36"/>
  <c r="V1128" i="36"/>
  <c r="X1128" i="36" s="1"/>
  <c r="L1128" i="36"/>
  <c r="AL1127" i="36"/>
  <c r="AM1127" i="36" s="1"/>
  <c r="AG1127" i="36"/>
  <c r="AH1127" i="36" s="1"/>
  <c r="AB1127" i="36"/>
  <c r="AC1127" i="36" s="1"/>
  <c r="W1127" i="36"/>
  <c r="V1127" i="36"/>
  <c r="X1127" i="36" s="1"/>
  <c r="L1127" i="36"/>
  <c r="AL1126" i="36"/>
  <c r="AM1126" i="36" s="1"/>
  <c r="AG1126" i="36"/>
  <c r="AH1126" i="36" s="1"/>
  <c r="AB1126" i="36"/>
  <c r="AC1126" i="36" s="1"/>
  <c r="W1126" i="36"/>
  <c r="V1126" i="36"/>
  <c r="X1126" i="36" s="1"/>
  <c r="L1126" i="36"/>
  <c r="AL1125" i="36"/>
  <c r="AM1125" i="36" s="1"/>
  <c r="AG1125" i="36"/>
  <c r="AH1125" i="36" s="1"/>
  <c r="AB1125" i="36"/>
  <c r="AC1125" i="36" s="1"/>
  <c r="W1125" i="36"/>
  <c r="V1125" i="36"/>
  <c r="X1125" i="36" s="1"/>
  <c r="L1125" i="36"/>
  <c r="AL1124" i="36"/>
  <c r="AM1124" i="36" s="1"/>
  <c r="AG1124" i="36"/>
  <c r="AH1124" i="36" s="1"/>
  <c r="AB1124" i="36"/>
  <c r="AC1124" i="36" s="1"/>
  <c r="W1124" i="36"/>
  <c r="V1124" i="36"/>
  <c r="X1124" i="36" s="1"/>
  <c r="L1124" i="36"/>
  <c r="AL1123" i="36"/>
  <c r="AM1123" i="36" s="1"/>
  <c r="AG1123" i="36"/>
  <c r="AH1123" i="36" s="1"/>
  <c r="AB1123" i="36"/>
  <c r="AC1123" i="36" s="1"/>
  <c r="W1123" i="36"/>
  <c r="V1123" i="36"/>
  <c r="X1123" i="36" s="1"/>
  <c r="L1123" i="36"/>
  <c r="AL1122" i="36"/>
  <c r="AM1122" i="36" s="1"/>
  <c r="AG1122" i="36"/>
  <c r="AH1122" i="36" s="1"/>
  <c r="AB1122" i="36"/>
  <c r="AC1122" i="36" s="1"/>
  <c r="W1122" i="36"/>
  <c r="V1122" i="36"/>
  <c r="X1122" i="36" s="1"/>
  <c r="L1122" i="36"/>
  <c r="AL1121" i="36"/>
  <c r="AM1121" i="36" s="1"/>
  <c r="AG1121" i="36"/>
  <c r="AH1121" i="36" s="1"/>
  <c r="AB1121" i="36"/>
  <c r="AC1121" i="36" s="1"/>
  <c r="W1121" i="36"/>
  <c r="V1121" i="36"/>
  <c r="X1121" i="36" s="1"/>
  <c r="L1121" i="36"/>
  <c r="AL1120" i="36"/>
  <c r="AM1120" i="36" s="1"/>
  <c r="AG1120" i="36"/>
  <c r="AH1120" i="36" s="1"/>
  <c r="AB1120" i="36"/>
  <c r="AC1120" i="36" s="1"/>
  <c r="W1120" i="36"/>
  <c r="V1120" i="36"/>
  <c r="X1120" i="36" s="1"/>
  <c r="L1120" i="36"/>
  <c r="AL1119" i="36"/>
  <c r="AM1119" i="36" s="1"/>
  <c r="AG1119" i="36"/>
  <c r="AH1119" i="36" s="1"/>
  <c r="AB1119" i="36"/>
  <c r="AC1119" i="36" s="1"/>
  <c r="W1119" i="36"/>
  <c r="V1119" i="36"/>
  <c r="X1119" i="36" s="1"/>
  <c r="L1119" i="36"/>
  <c r="AL1118" i="36"/>
  <c r="AM1118" i="36" s="1"/>
  <c r="AG1118" i="36"/>
  <c r="AH1118" i="36" s="1"/>
  <c r="AB1118" i="36"/>
  <c r="AC1118" i="36" s="1"/>
  <c r="W1118" i="36"/>
  <c r="V1118" i="36"/>
  <c r="X1118" i="36" s="1"/>
  <c r="L1118" i="36"/>
  <c r="AL1117" i="36"/>
  <c r="AM1117" i="36" s="1"/>
  <c r="AG1117" i="36"/>
  <c r="AH1117" i="36" s="1"/>
  <c r="AB1117" i="36"/>
  <c r="AC1117" i="36" s="1"/>
  <c r="W1117" i="36"/>
  <c r="V1117" i="36"/>
  <c r="X1117" i="36" s="1"/>
  <c r="L1117" i="36"/>
  <c r="AL1116" i="36"/>
  <c r="AM1116" i="36" s="1"/>
  <c r="AG1116" i="36"/>
  <c r="AH1116" i="36" s="1"/>
  <c r="AB1116" i="36"/>
  <c r="AC1116" i="36" s="1"/>
  <c r="W1116" i="36"/>
  <c r="V1116" i="36"/>
  <c r="X1116" i="36" s="1"/>
  <c r="L1116" i="36"/>
  <c r="AL1115" i="36"/>
  <c r="AM1115" i="36" s="1"/>
  <c r="AG1115" i="36"/>
  <c r="AH1115" i="36" s="1"/>
  <c r="AB1115" i="36"/>
  <c r="AC1115" i="36" s="1"/>
  <c r="W1115" i="36"/>
  <c r="V1115" i="36"/>
  <c r="X1115" i="36" s="1"/>
  <c r="L1115" i="36"/>
  <c r="AL1114" i="36"/>
  <c r="AM1114" i="36" s="1"/>
  <c r="AG1114" i="36"/>
  <c r="AH1114" i="36" s="1"/>
  <c r="AB1114" i="36"/>
  <c r="AC1114" i="36" s="1"/>
  <c r="W1114" i="36"/>
  <c r="V1114" i="36"/>
  <c r="X1114" i="36" s="1"/>
  <c r="L1114" i="36"/>
  <c r="AL1113" i="36"/>
  <c r="AM1113" i="36" s="1"/>
  <c r="AG1113" i="36"/>
  <c r="AH1113" i="36" s="1"/>
  <c r="AB1113" i="36"/>
  <c r="AC1113" i="36" s="1"/>
  <c r="W1113" i="36"/>
  <c r="V1113" i="36"/>
  <c r="X1113" i="36" s="1"/>
  <c r="L1113" i="36"/>
  <c r="AL1112" i="36"/>
  <c r="AM1112" i="36" s="1"/>
  <c r="AG1112" i="36"/>
  <c r="AH1112" i="36" s="1"/>
  <c r="AB1112" i="36"/>
  <c r="AC1112" i="36" s="1"/>
  <c r="W1112" i="36"/>
  <c r="V1112" i="36"/>
  <c r="X1112" i="36" s="1"/>
  <c r="L1112" i="36"/>
  <c r="AL1111" i="36"/>
  <c r="AM1111" i="36" s="1"/>
  <c r="AG1111" i="36"/>
  <c r="AH1111" i="36" s="1"/>
  <c r="AB1111" i="36"/>
  <c r="AC1111" i="36" s="1"/>
  <c r="W1111" i="36"/>
  <c r="V1111" i="36"/>
  <c r="X1111" i="36" s="1"/>
  <c r="L1111" i="36"/>
  <c r="AL1110" i="36"/>
  <c r="AM1110" i="36" s="1"/>
  <c r="AG1110" i="36"/>
  <c r="AH1110" i="36" s="1"/>
  <c r="AB1110" i="36"/>
  <c r="AC1110" i="36" s="1"/>
  <c r="W1110" i="36"/>
  <c r="V1110" i="36"/>
  <c r="X1110" i="36" s="1"/>
  <c r="L1110" i="36"/>
  <c r="AL1109" i="36"/>
  <c r="AM1109" i="36" s="1"/>
  <c r="AG1109" i="36"/>
  <c r="AH1109" i="36" s="1"/>
  <c r="AB1109" i="36"/>
  <c r="AC1109" i="36" s="1"/>
  <c r="W1109" i="36"/>
  <c r="V1109" i="36"/>
  <c r="X1109" i="36" s="1"/>
  <c r="L1109" i="36"/>
  <c r="AL1108" i="36"/>
  <c r="AM1108" i="36" s="1"/>
  <c r="AG1108" i="36"/>
  <c r="AH1108" i="36" s="1"/>
  <c r="AB1108" i="36"/>
  <c r="AC1108" i="36" s="1"/>
  <c r="W1108" i="36"/>
  <c r="V1108" i="36"/>
  <c r="X1108" i="36" s="1"/>
  <c r="L1108" i="36"/>
  <c r="AL1107" i="36"/>
  <c r="AM1107" i="36" s="1"/>
  <c r="AG1107" i="36"/>
  <c r="AH1107" i="36" s="1"/>
  <c r="AB1107" i="36"/>
  <c r="AC1107" i="36" s="1"/>
  <c r="W1107" i="36"/>
  <c r="V1107" i="36"/>
  <c r="X1107" i="36" s="1"/>
  <c r="L1107" i="36"/>
  <c r="AL1106" i="36"/>
  <c r="AM1106" i="36" s="1"/>
  <c r="AG1106" i="36"/>
  <c r="AH1106" i="36" s="1"/>
  <c r="AB1106" i="36"/>
  <c r="AC1106" i="36" s="1"/>
  <c r="W1106" i="36"/>
  <c r="V1106" i="36"/>
  <c r="X1106" i="36" s="1"/>
  <c r="L1106" i="36"/>
  <c r="AL1105" i="36"/>
  <c r="AM1105" i="36" s="1"/>
  <c r="AG1105" i="36"/>
  <c r="AH1105" i="36" s="1"/>
  <c r="AB1105" i="36"/>
  <c r="AC1105" i="36" s="1"/>
  <c r="W1105" i="36"/>
  <c r="V1105" i="36"/>
  <c r="X1105" i="36" s="1"/>
  <c r="L1105" i="36"/>
  <c r="AL1104" i="36"/>
  <c r="AM1104" i="36" s="1"/>
  <c r="AG1104" i="36"/>
  <c r="AH1104" i="36" s="1"/>
  <c r="AB1104" i="36"/>
  <c r="AC1104" i="36" s="1"/>
  <c r="W1104" i="36"/>
  <c r="V1104" i="36"/>
  <c r="X1104" i="36" s="1"/>
  <c r="L1104" i="36"/>
  <c r="AL1103" i="36"/>
  <c r="AM1103" i="36" s="1"/>
  <c r="AG1103" i="36"/>
  <c r="AH1103" i="36" s="1"/>
  <c r="AB1103" i="36"/>
  <c r="AC1103" i="36" s="1"/>
  <c r="W1103" i="36"/>
  <c r="V1103" i="36"/>
  <c r="X1103" i="36" s="1"/>
  <c r="L1103" i="36"/>
  <c r="AL1102" i="36"/>
  <c r="AM1102" i="36" s="1"/>
  <c r="AG1102" i="36"/>
  <c r="AH1102" i="36" s="1"/>
  <c r="AB1102" i="36"/>
  <c r="AC1102" i="36" s="1"/>
  <c r="W1102" i="36"/>
  <c r="V1102" i="36"/>
  <c r="X1102" i="36" s="1"/>
  <c r="L1102" i="36"/>
  <c r="AL1101" i="36"/>
  <c r="AM1101" i="36" s="1"/>
  <c r="AG1101" i="36"/>
  <c r="AH1101" i="36" s="1"/>
  <c r="AB1101" i="36"/>
  <c r="AC1101" i="36" s="1"/>
  <c r="W1101" i="36"/>
  <c r="V1101" i="36"/>
  <c r="X1101" i="36" s="1"/>
  <c r="L1101" i="36"/>
  <c r="AL1100" i="36"/>
  <c r="AM1100" i="36" s="1"/>
  <c r="AG1100" i="36"/>
  <c r="AH1100" i="36" s="1"/>
  <c r="AB1100" i="36"/>
  <c r="AC1100" i="36" s="1"/>
  <c r="W1100" i="36"/>
  <c r="V1100" i="36"/>
  <c r="X1100" i="36" s="1"/>
  <c r="L1100" i="36"/>
  <c r="AL1099" i="36"/>
  <c r="AM1099" i="36" s="1"/>
  <c r="AG1099" i="36"/>
  <c r="AH1099" i="36" s="1"/>
  <c r="AB1099" i="36"/>
  <c r="AC1099" i="36" s="1"/>
  <c r="W1099" i="36"/>
  <c r="V1099" i="36"/>
  <c r="X1099" i="36" s="1"/>
  <c r="L1099" i="36"/>
  <c r="AL1098" i="36"/>
  <c r="AM1098" i="36" s="1"/>
  <c r="AG1098" i="36"/>
  <c r="AH1098" i="36" s="1"/>
  <c r="AB1098" i="36"/>
  <c r="AC1098" i="36" s="1"/>
  <c r="W1098" i="36"/>
  <c r="V1098" i="36"/>
  <c r="X1098" i="36" s="1"/>
  <c r="L1098" i="36"/>
  <c r="AL1097" i="36"/>
  <c r="AM1097" i="36" s="1"/>
  <c r="AG1097" i="36"/>
  <c r="AH1097" i="36" s="1"/>
  <c r="AB1097" i="36"/>
  <c r="AC1097" i="36" s="1"/>
  <c r="W1097" i="36"/>
  <c r="V1097" i="36"/>
  <c r="X1097" i="36" s="1"/>
  <c r="L1097" i="36"/>
  <c r="AL1096" i="36"/>
  <c r="AM1096" i="36" s="1"/>
  <c r="AG1096" i="36"/>
  <c r="AH1096" i="36" s="1"/>
  <c r="AB1096" i="36"/>
  <c r="AC1096" i="36" s="1"/>
  <c r="W1096" i="36"/>
  <c r="V1096" i="36"/>
  <c r="X1096" i="36" s="1"/>
  <c r="L1096" i="36"/>
  <c r="AL1095" i="36"/>
  <c r="AM1095" i="36" s="1"/>
  <c r="AG1095" i="36"/>
  <c r="AH1095" i="36" s="1"/>
  <c r="AB1095" i="36"/>
  <c r="AC1095" i="36" s="1"/>
  <c r="W1095" i="36"/>
  <c r="V1095" i="36"/>
  <c r="X1095" i="36" s="1"/>
  <c r="L1095" i="36"/>
  <c r="AL1094" i="36"/>
  <c r="AM1094" i="36" s="1"/>
  <c r="AG1094" i="36"/>
  <c r="AH1094" i="36" s="1"/>
  <c r="AB1094" i="36"/>
  <c r="AC1094" i="36" s="1"/>
  <c r="W1094" i="36"/>
  <c r="V1094" i="36"/>
  <c r="X1094" i="36" s="1"/>
  <c r="L1094" i="36"/>
  <c r="AL1093" i="36"/>
  <c r="AM1093" i="36" s="1"/>
  <c r="AG1093" i="36"/>
  <c r="AH1093" i="36" s="1"/>
  <c r="AB1093" i="36"/>
  <c r="AC1093" i="36" s="1"/>
  <c r="W1093" i="36"/>
  <c r="V1093" i="36"/>
  <c r="X1093" i="36" s="1"/>
  <c r="L1093" i="36"/>
  <c r="AL1092" i="36"/>
  <c r="AM1092" i="36" s="1"/>
  <c r="AG1092" i="36"/>
  <c r="AH1092" i="36" s="1"/>
  <c r="AB1092" i="36"/>
  <c r="AC1092" i="36" s="1"/>
  <c r="W1092" i="36"/>
  <c r="V1092" i="36"/>
  <c r="X1092" i="36" s="1"/>
  <c r="L1092" i="36"/>
  <c r="AL1091" i="36"/>
  <c r="AM1091" i="36" s="1"/>
  <c r="AG1091" i="36"/>
  <c r="AH1091" i="36" s="1"/>
  <c r="AB1091" i="36"/>
  <c r="AC1091" i="36" s="1"/>
  <c r="W1091" i="36"/>
  <c r="V1091" i="36"/>
  <c r="X1091" i="36" s="1"/>
  <c r="L1091" i="36"/>
  <c r="AL1090" i="36"/>
  <c r="AM1090" i="36" s="1"/>
  <c r="AG1090" i="36"/>
  <c r="AH1090" i="36" s="1"/>
  <c r="AB1090" i="36"/>
  <c r="AC1090" i="36" s="1"/>
  <c r="W1090" i="36"/>
  <c r="V1090" i="36"/>
  <c r="X1090" i="36" s="1"/>
  <c r="L1090" i="36"/>
  <c r="AL1089" i="36"/>
  <c r="AM1089" i="36" s="1"/>
  <c r="AG1089" i="36"/>
  <c r="AH1089" i="36" s="1"/>
  <c r="AB1089" i="36"/>
  <c r="AC1089" i="36" s="1"/>
  <c r="W1089" i="36"/>
  <c r="V1089" i="36"/>
  <c r="X1089" i="36" s="1"/>
  <c r="L1089" i="36"/>
  <c r="AL1088" i="36"/>
  <c r="AM1088" i="36" s="1"/>
  <c r="AG1088" i="36"/>
  <c r="AH1088" i="36" s="1"/>
  <c r="AB1088" i="36"/>
  <c r="AC1088" i="36" s="1"/>
  <c r="W1088" i="36"/>
  <c r="V1088" i="36"/>
  <c r="X1088" i="36" s="1"/>
  <c r="L1088" i="36"/>
  <c r="AL1087" i="36"/>
  <c r="AM1087" i="36" s="1"/>
  <c r="AG1087" i="36"/>
  <c r="AH1087" i="36" s="1"/>
  <c r="AB1087" i="36"/>
  <c r="AC1087" i="36" s="1"/>
  <c r="W1087" i="36"/>
  <c r="V1087" i="36"/>
  <c r="X1087" i="36" s="1"/>
  <c r="L1087" i="36"/>
  <c r="AL1086" i="36"/>
  <c r="AM1086" i="36" s="1"/>
  <c r="AG1086" i="36"/>
  <c r="AH1086" i="36" s="1"/>
  <c r="AB1086" i="36"/>
  <c r="AC1086" i="36" s="1"/>
  <c r="W1086" i="36"/>
  <c r="V1086" i="36"/>
  <c r="X1086" i="36" s="1"/>
  <c r="L1086" i="36"/>
  <c r="AL1085" i="36"/>
  <c r="AM1085" i="36" s="1"/>
  <c r="AG1085" i="36"/>
  <c r="AH1085" i="36" s="1"/>
  <c r="AB1085" i="36"/>
  <c r="AC1085" i="36" s="1"/>
  <c r="W1085" i="36"/>
  <c r="V1085" i="36"/>
  <c r="X1085" i="36" s="1"/>
  <c r="L1085" i="36"/>
  <c r="AL1084" i="36"/>
  <c r="AM1084" i="36" s="1"/>
  <c r="AG1084" i="36"/>
  <c r="AH1084" i="36" s="1"/>
  <c r="AB1084" i="36"/>
  <c r="AC1084" i="36" s="1"/>
  <c r="W1084" i="36"/>
  <c r="V1084" i="36"/>
  <c r="X1084" i="36" s="1"/>
  <c r="L1084" i="36"/>
  <c r="AL1083" i="36"/>
  <c r="AM1083" i="36" s="1"/>
  <c r="AG1083" i="36"/>
  <c r="AH1083" i="36" s="1"/>
  <c r="AB1083" i="36"/>
  <c r="AC1083" i="36" s="1"/>
  <c r="W1083" i="36"/>
  <c r="V1083" i="36"/>
  <c r="X1083" i="36" s="1"/>
  <c r="L1083" i="36"/>
  <c r="AL1082" i="36"/>
  <c r="AM1082" i="36" s="1"/>
  <c r="AG1082" i="36"/>
  <c r="AH1082" i="36" s="1"/>
  <c r="AB1082" i="36"/>
  <c r="AC1082" i="36" s="1"/>
  <c r="W1082" i="36"/>
  <c r="V1082" i="36"/>
  <c r="X1082" i="36" s="1"/>
  <c r="L1082" i="36"/>
  <c r="AL1081" i="36"/>
  <c r="AM1081" i="36" s="1"/>
  <c r="AG1081" i="36"/>
  <c r="AH1081" i="36" s="1"/>
  <c r="AB1081" i="36"/>
  <c r="AC1081" i="36" s="1"/>
  <c r="W1081" i="36"/>
  <c r="V1081" i="36"/>
  <c r="X1081" i="36" s="1"/>
  <c r="L1081" i="36"/>
  <c r="AL1080" i="36"/>
  <c r="AM1080" i="36" s="1"/>
  <c r="AG1080" i="36"/>
  <c r="AH1080" i="36" s="1"/>
  <c r="AB1080" i="36"/>
  <c r="AC1080" i="36" s="1"/>
  <c r="W1080" i="36"/>
  <c r="V1080" i="36"/>
  <c r="X1080" i="36" s="1"/>
  <c r="L1080" i="36"/>
  <c r="AL1079" i="36"/>
  <c r="AM1079" i="36" s="1"/>
  <c r="AG1079" i="36"/>
  <c r="AH1079" i="36" s="1"/>
  <c r="AB1079" i="36"/>
  <c r="AC1079" i="36" s="1"/>
  <c r="W1079" i="36"/>
  <c r="V1079" i="36"/>
  <c r="X1079" i="36" s="1"/>
  <c r="L1079" i="36"/>
  <c r="AL1078" i="36"/>
  <c r="AM1078" i="36" s="1"/>
  <c r="AG1078" i="36"/>
  <c r="AH1078" i="36" s="1"/>
  <c r="AB1078" i="36"/>
  <c r="AC1078" i="36" s="1"/>
  <c r="W1078" i="36"/>
  <c r="V1078" i="36"/>
  <c r="X1078" i="36" s="1"/>
  <c r="L1078" i="36"/>
  <c r="AL1077" i="36"/>
  <c r="AM1077" i="36" s="1"/>
  <c r="AG1077" i="36"/>
  <c r="AH1077" i="36" s="1"/>
  <c r="AB1077" i="36"/>
  <c r="AC1077" i="36" s="1"/>
  <c r="W1077" i="36"/>
  <c r="V1077" i="36"/>
  <c r="X1077" i="36" s="1"/>
  <c r="L1077" i="36"/>
  <c r="AL1076" i="36"/>
  <c r="AM1076" i="36" s="1"/>
  <c r="AG1076" i="36"/>
  <c r="AH1076" i="36" s="1"/>
  <c r="AB1076" i="36"/>
  <c r="AC1076" i="36" s="1"/>
  <c r="W1076" i="36"/>
  <c r="V1076" i="36"/>
  <c r="X1076" i="36" s="1"/>
  <c r="L1076" i="36"/>
  <c r="AL1075" i="36"/>
  <c r="AM1075" i="36" s="1"/>
  <c r="AG1075" i="36"/>
  <c r="AH1075" i="36" s="1"/>
  <c r="AB1075" i="36"/>
  <c r="AC1075" i="36" s="1"/>
  <c r="W1075" i="36"/>
  <c r="V1075" i="36"/>
  <c r="X1075" i="36" s="1"/>
  <c r="L1075" i="36"/>
  <c r="AL1074" i="36"/>
  <c r="AM1074" i="36" s="1"/>
  <c r="AG1074" i="36"/>
  <c r="AH1074" i="36" s="1"/>
  <c r="AB1074" i="36"/>
  <c r="AC1074" i="36" s="1"/>
  <c r="W1074" i="36"/>
  <c r="V1074" i="36"/>
  <c r="X1074" i="36" s="1"/>
  <c r="L1074" i="36"/>
  <c r="AL1073" i="36"/>
  <c r="AM1073" i="36" s="1"/>
  <c r="AG1073" i="36"/>
  <c r="AH1073" i="36" s="1"/>
  <c r="AB1073" i="36"/>
  <c r="AC1073" i="36" s="1"/>
  <c r="W1073" i="36"/>
  <c r="V1073" i="36"/>
  <c r="X1073" i="36" s="1"/>
  <c r="L1073" i="36"/>
  <c r="AL1072" i="36"/>
  <c r="AM1072" i="36" s="1"/>
  <c r="AG1072" i="36"/>
  <c r="AH1072" i="36" s="1"/>
  <c r="AB1072" i="36"/>
  <c r="AC1072" i="36" s="1"/>
  <c r="W1072" i="36"/>
  <c r="V1072" i="36"/>
  <c r="X1072" i="36" s="1"/>
  <c r="L1072" i="36"/>
  <c r="AL1071" i="36"/>
  <c r="AM1071" i="36" s="1"/>
  <c r="AG1071" i="36"/>
  <c r="AH1071" i="36" s="1"/>
  <c r="AB1071" i="36"/>
  <c r="AC1071" i="36" s="1"/>
  <c r="W1071" i="36"/>
  <c r="V1071" i="36"/>
  <c r="X1071" i="36" s="1"/>
  <c r="L1071" i="36"/>
  <c r="AL1070" i="36"/>
  <c r="AM1070" i="36" s="1"/>
  <c r="AG1070" i="36"/>
  <c r="AH1070" i="36" s="1"/>
  <c r="AB1070" i="36"/>
  <c r="AC1070" i="36" s="1"/>
  <c r="W1070" i="36"/>
  <c r="V1070" i="36"/>
  <c r="X1070" i="36" s="1"/>
  <c r="L1070" i="36"/>
  <c r="AL1069" i="36"/>
  <c r="AM1069" i="36" s="1"/>
  <c r="AG1069" i="36"/>
  <c r="AH1069" i="36" s="1"/>
  <c r="AB1069" i="36"/>
  <c r="AC1069" i="36" s="1"/>
  <c r="W1069" i="36"/>
  <c r="V1069" i="36"/>
  <c r="X1069" i="36" s="1"/>
  <c r="L1069" i="36"/>
  <c r="AL1068" i="36"/>
  <c r="AM1068" i="36" s="1"/>
  <c r="AG1068" i="36"/>
  <c r="AH1068" i="36" s="1"/>
  <c r="AB1068" i="36"/>
  <c r="AC1068" i="36" s="1"/>
  <c r="W1068" i="36"/>
  <c r="V1068" i="36"/>
  <c r="X1068" i="36" s="1"/>
  <c r="L1068" i="36"/>
  <c r="AL1067" i="36"/>
  <c r="AM1067" i="36" s="1"/>
  <c r="AG1067" i="36"/>
  <c r="AH1067" i="36" s="1"/>
  <c r="AB1067" i="36"/>
  <c r="AC1067" i="36" s="1"/>
  <c r="W1067" i="36"/>
  <c r="V1067" i="36"/>
  <c r="X1067" i="36" s="1"/>
  <c r="L1067" i="36"/>
  <c r="AL1066" i="36"/>
  <c r="AM1066" i="36" s="1"/>
  <c r="AG1066" i="36"/>
  <c r="AH1066" i="36" s="1"/>
  <c r="AB1066" i="36"/>
  <c r="AC1066" i="36" s="1"/>
  <c r="W1066" i="36"/>
  <c r="V1066" i="36"/>
  <c r="X1066" i="36" s="1"/>
  <c r="L1066" i="36"/>
  <c r="AL1065" i="36"/>
  <c r="AM1065" i="36" s="1"/>
  <c r="AG1065" i="36"/>
  <c r="AH1065" i="36" s="1"/>
  <c r="AB1065" i="36"/>
  <c r="AC1065" i="36" s="1"/>
  <c r="W1065" i="36"/>
  <c r="V1065" i="36"/>
  <c r="X1065" i="36" s="1"/>
  <c r="L1065" i="36"/>
  <c r="AL1064" i="36"/>
  <c r="AM1064" i="36" s="1"/>
  <c r="AG1064" i="36"/>
  <c r="AH1064" i="36" s="1"/>
  <c r="AB1064" i="36"/>
  <c r="AC1064" i="36" s="1"/>
  <c r="W1064" i="36"/>
  <c r="V1064" i="36"/>
  <c r="X1064" i="36" s="1"/>
  <c r="L1064" i="36"/>
  <c r="AL1063" i="36"/>
  <c r="AM1063" i="36" s="1"/>
  <c r="AG1063" i="36"/>
  <c r="AH1063" i="36" s="1"/>
  <c r="AB1063" i="36"/>
  <c r="AC1063" i="36" s="1"/>
  <c r="W1063" i="36"/>
  <c r="V1063" i="36"/>
  <c r="X1063" i="36" s="1"/>
  <c r="L1063" i="36"/>
  <c r="AL1062" i="36"/>
  <c r="AM1062" i="36" s="1"/>
  <c r="AG1062" i="36"/>
  <c r="AH1062" i="36" s="1"/>
  <c r="AB1062" i="36"/>
  <c r="AC1062" i="36" s="1"/>
  <c r="W1062" i="36"/>
  <c r="V1062" i="36"/>
  <c r="X1062" i="36" s="1"/>
  <c r="L1062" i="36"/>
  <c r="AL1061" i="36"/>
  <c r="AM1061" i="36" s="1"/>
  <c r="AG1061" i="36"/>
  <c r="AH1061" i="36" s="1"/>
  <c r="AB1061" i="36"/>
  <c r="AC1061" i="36" s="1"/>
  <c r="W1061" i="36"/>
  <c r="V1061" i="36"/>
  <c r="X1061" i="36" s="1"/>
  <c r="L1061" i="36"/>
  <c r="AL1060" i="36"/>
  <c r="AM1060" i="36" s="1"/>
  <c r="AG1060" i="36"/>
  <c r="AH1060" i="36" s="1"/>
  <c r="AB1060" i="36"/>
  <c r="AC1060" i="36" s="1"/>
  <c r="W1060" i="36"/>
  <c r="V1060" i="36"/>
  <c r="X1060" i="36" s="1"/>
  <c r="L1060" i="36"/>
  <c r="AL1059" i="36"/>
  <c r="AM1059" i="36" s="1"/>
  <c r="AG1059" i="36"/>
  <c r="AH1059" i="36" s="1"/>
  <c r="AB1059" i="36"/>
  <c r="AC1059" i="36" s="1"/>
  <c r="W1059" i="36"/>
  <c r="V1059" i="36"/>
  <c r="X1059" i="36" s="1"/>
  <c r="L1059" i="36"/>
  <c r="AL1058" i="36"/>
  <c r="AM1058" i="36" s="1"/>
  <c r="AG1058" i="36"/>
  <c r="AH1058" i="36" s="1"/>
  <c r="AB1058" i="36"/>
  <c r="AC1058" i="36" s="1"/>
  <c r="W1058" i="36"/>
  <c r="V1058" i="36"/>
  <c r="X1058" i="36" s="1"/>
  <c r="L1058" i="36"/>
  <c r="AL1057" i="36"/>
  <c r="AM1057" i="36" s="1"/>
  <c r="AG1057" i="36"/>
  <c r="AH1057" i="36" s="1"/>
  <c r="AB1057" i="36"/>
  <c r="AC1057" i="36" s="1"/>
  <c r="W1057" i="36"/>
  <c r="V1057" i="36"/>
  <c r="X1057" i="36" s="1"/>
  <c r="L1057" i="36"/>
  <c r="AL1056" i="36"/>
  <c r="AM1056" i="36" s="1"/>
  <c r="AG1056" i="36"/>
  <c r="AH1056" i="36" s="1"/>
  <c r="AB1056" i="36"/>
  <c r="AC1056" i="36" s="1"/>
  <c r="W1056" i="36"/>
  <c r="V1056" i="36"/>
  <c r="X1056" i="36" s="1"/>
  <c r="L1056" i="36"/>
  <c r="AL1055" i="36"/>
  <c r="AM1055" i="36" s="1"/>
  <c r="AG1055" i="36"/>
  <c r="AH1055" i="36" s="1"/>
  <c r="AB1055" i="36"/>
  <c r="AC1055" i="36" s="1"/>
  <c r="W1055" i="36"/>
  <c r="V1055" i="36"/>
  <c r="X1055" i="36" s="1"/>
  <c r="L1055" i="36"/>
  <c r="AL1054" i="36"/>
  <c r="AM1054" i="36" s="1"/>
  <c r="AG1054" i="36"/>
  <c r="AH1054" i="36" s="1"/>
  <c r="AB1054" i="36"/>
  <c r="AC1054" i="36" s="1"/>
  <c r="W1054" i="36"/>
  <c r="V1054" i="36"/>
  <c r="X1054" i="36" s="1"/>
  <c r="L1054" i="36"/>
  <c r="AL1053" i="36"/>
  <c r="AM1053" i="36" s="1"/>
  <c r="AG1053" i="36"/>
  <c r="AH1053" i="36" s="1"/>
  <c r="AB1053" i="36"/>
  <c r="AC1053" i="36" s="1"/>
  <c r="W1053" i="36"/>
  <c r="V1053" i="36"/>
  <c r="X1053" i="36" s="1"/>
  <c r="L1053" i="36"/>
  <c r="AL1052" i="36"/>
  <c r="AM1052" i="36" s="1"/>
  <c r="AG1052" i="36"/>
  <c r="AH1052" i="36" s="1"/>
  <c r="AB1052" i="36"/>
  <c r="AC1052" i="36" s="1"/>
  <c r="W1052" i="36"/>
  <c r="V1052" i="36"/>
  <c r="X1052" i="36" s="1"/>
  <c r="L1052" i="36"/>
  <c r="AL1051" i="36"/>
  <c r="AM1051" i="36" s="1"/>
  <c r="AG1051" i="36"/>
  <c r="AH1051" i="36" s="1"/>
  <c r="AB1051" i="36"/>
  <c r="AC1051" i="36" s="1"/>
  <c r="W1051" i="36"/>
  <c r="V1051" i="36"/>
  <c r="X1051" i="36" s="1"/>
  <c r="L1051" i="36"/>
  <c r="AL1050" i="36"/>
  <c r="AM1050" i="36" s="1"/>
  <c r="AG1050" i="36"/>
  <c r="AH1050" i="36" s="1"/>
  <c r="AB1050" i="36"/>
  <c r="AC1050" i="36" s="1"/>
  <c r="W1050" i="36"/>
  <c r="V1050" i="36"/>
  <c r="X1050" i="36" s="1"/>
  <c r="L1050" i="36"/>
  <c r="AL1049" i="36"/>
  <c r="AM1049" i="36" s="1"/>
  <c r="AG1049" i="36"/>
  <c r="AH1049" i="36" s="1"/>
  <c r="AB1049" i="36"/>
  <c r="AC1049" i="36" s="1"/>
  <c r="W1049" i="36"/>
  <c r="V1049" i="36"/>
  <c r="X1049" i="36" s="1"/>
  <c r="L1049" i="36"/>
  <c r="AL1048" i="36"/>
  <c r="AM1048" i="36" s="1"/>
  <c r="AG1048" i="36"/>
  <c r="AH1048" i="36" s="1"/>
  <c r="AB1048" i="36"/>
  <c r="AC1048" i="36" s="1"/>
  <c r="W1048" i="36"/>
  <c r="V1048" i="36"/>
  <c r="X1048" i="36" s="1"/>
  <c r="L1048" i="36"/>
  <c r="AL1047" i="36"/>
  <c r="AM1047" i="36" s="1"/>
  <c r="AG1047" i="36"/>
  <c r="AH1047" i="36" s="1"/>
  <c r="AB1047" i="36"/>
  <c r="AC1047" i="36" s="1"/>
  <c r="W1047" i="36"/>
  <c r="V1047" i="36"/>
  <c r="X1047" i="36" s="1"/>
  <c r="L1047" i="36"/>
  <c r="AL1046" i="36"/>
  <c r="AM1046" i="36" s="1"/>
  <c r="AG1046" i="36"/>
  <c r="AH1046" i="36" s="1"/>
  <c r="AB1046" i="36"/>
  <c r="AC1046" i="36" s="1"/>
  <c r="W1046" i="36"/>
  <c r="V1046" i="36"/>
  <c r="X1046" i="36" s="1"/>
  <c r="L1046" i="36"/>
  <c r="AL1045" i="36"/>
  <c r="AM1045" i="36" s="1"/>
  <c r="AG1045" i="36"/>
  <c r="AH1045" i="36" s="1"/>
  <c r="AB1045" i="36"/>
  <c r="AC1045" i="36" s="1"/>
  <c r="W1045" i="36"/>
  <c r="V1045" i="36"/>
  <c r="X1045" i="36" s="1"/>
  <c r="L1045" i="36"/>
  <c r="AL1044" i="36"/>
  <c r="AM1044" i="36" s="1"/>
  <c r="AG1044" i="36"/>
  <c r="AH1044" i="36" s="1"/>
  <c r="AB1044" i="36"/>
  <c r="AC1044" i="36" s="1"/>
  <c r="W1044" i="36"/>
  <c r="V1044" i="36"/>
  <c r="X1044" i="36" s="1"/>
  <c r="L1044" i="36"/>
  <c r="AL1043" i="36"/>
  <c r="AM1043" i="36" s="1"/>
  <c r="AG1043" i="36"/>
  <c r="AH1043" i="36" s="1"/>
  <c r="AB1043" i="36"/>
  <c r="AC1043" i="36" s="1"/>
  <c r="W1043" i="36"/>
  <c r="V1043" i="36"/>
  <c r="X1043" i="36" s="1"/>
  <c r="L1043" i="36"/>
  <c r="AL1042" i="36"/>
  <c r="AM1042" i="36" s="1"/>
  <c r="AG1042" i="36"/>
  <c r="AH1042" i="36" s="1"/>
  <c r="AB1042" i="36"/>
  <c r="AC1042" i="36" s="1"/>
  <c r="W1042" i="36"/>
  <c r="V1042" i="36"/>
  <c r="X1042" i="36" s="1"/>
  <c r="L1042" i="36"/>
  <c r="AL1041" i="36"/>
  <c r="AM1041" i="36" s="1"/>
  <c r="AG1041" i="36"/>
  <c r="AH1041" i="36" s="1"/>
  <c r="AB1041" i="36"/>
  <c r="AC1041" i="36" s="1"/>
  <c r="W1041" i="36"/>
  <c r="V1041" i="36"/>
  <c r="X1041" i="36" s="1"/>
  <c r="L1041" i="36"/>
  <c r="AL1040" i="36"/>
  <c r="AM1040" i="36" s="1"/>
  <c r="AG1040" i="36"/>
  <c r="AH1040" i="36" s="1"/>
  <c r="AB1040" i="36"/>
  <c r="AC1040" i="36" s="1"/>
  <c r="W1040" i="36"/>
  <c r="V1040" i="36"/>
  <c r="X1040" i="36" s="1"/>
  <c r="L1040" i="36"/>
  <c r="AL1039" i="36"/>
  <c r="AM1039" i="36" s="1"/>
  <c r="AG1039" i="36"/>
  <c r="AH1039" i="36" s="1"/>
  <c r="AB1039" i="36"/>
  <c r="AC1039" i="36" s="1"/>
  <c r="W1039" i="36"/>
  <c r="V1039" i="36"/>
  <c r="X1039" i="36" s="1"/>
  <c r="L1039" i="36"/>
  <c r="AL1038" i="36"/>
  <c r="AM1038" i="36" s="1"/>
  <c r="AG1038" i="36"/>
  <c r="AH1038" i="36" s="1"/>
  <c r="AB1038" i="36"/>
  <c r="AC1038" i="36" s="1"/>
  <c r="W1038" i="36"/>
  <c r="V1038" i="36"/>
  <c r="X1038" i="36" s="1"/>
  <c r="L1038" i="36"/>
  <c r="AL1037" i="36"/>
  <c r="AM1037" i="36" s="1"/>
  <c r="AG1037" i="36"/>
  <c r="AH1037" i="36" s="1"/>
  <c r="AB1037" i="36"/>
  <c r="AC1037" i="36" s="1"/>
  <c r="W1037" i="36"/>
  <c r="V1037" i="36"/>
  <c r="X1037" i="36" s="1"/>
  <c r="L1037" i="36"/>
  <c r="AL1036" i="36"/>
  <c r="AM1036" i="36" s="1"/>
  <c r="AG1036" i="36"/>
  <c r="AH1036" i="36" s="1"/>
  <c r="AB1036" i="36"/>
  <c r="AC1036" i="36" s="1"/>
  <c r="W1036" i="36"/>
  <c r="V1036" i="36"/>
  <c r="X1036" i="36" s="1"/>
  <c r="L1036" i="36"/>
  <c r="AL1035" i="36"/>
  <c r="AM1035" i="36" s="1"/>
  <c r="AG1035" i="36"/>
  <c r="AH1035" i="36" s="1"/>
  <c r="AB1035" i="36"/>
  <c r="AC1035" i="36" s="1"/>
  <c r="W1035" i="36"/>
  <c r="V1035" i="36"/>
  <c r="X1035" i="36" s="1"/>
  <c r="L1035" i="36"/>
  <c r="AL1034" i="36"/>
  <c r="AM1034" i="36" s="1"/>
  <c r="AG1034" i="36"/>
  <c r="AH1034" i="36" s="1"/>
  <c r="AB1034" i="36"/>
  <c r="AC1034" i="36" s="1"/>
  <c r="W1034" i="36"/>
  <c r="V1034" i="36"/>
  <c r="X1034" i="36" s="1"/>
  <c r="L1034" i="36"/>
  <c r="AL1033" i="36"/>
  <c r="AM1033" i="36" s="1"/>
  <c r="AG1033" i="36"/>
  <c r="AH1033" i="36" s="1"/>
  <c r="AB1033" i="36"/>
  <c r="AC1033" i="36" s="1"/>
  <c r="W1033" i="36"/>
  <c r="V1033" i="36"/>
  <c r="X1033" i="36" s="1"/>
  <c r="L1033" i="36"/>
  <c r="AL1032" i="36"/>
  <c r="AM1032" i="36" s="1"/>
  <c r="AG1032" i="36"/>
  <c r="AH1032" i="36" s="1"/>
  <c r="AB1032" i="36"/>
  <c r="AC1032" i="36" s="1"/>
  <c r="W1032" i="36"/>
  <c r="V1032" i="36"/>
  <c r="X1032" i="36" s="1"/>
  <c r="L1032" i="36"/>
  <c r="AL1031" i="36"/>
  <c r="AM1031" i="36" s="1"/>
  <c r="AG1031" i="36"/>
  <c r="AH1031" i="36" s="1"/>
  <c r="AB1031" i="36"/>
  <c r="AC1031" i="36" s="1"/>
  <c r="W1031" i="36"/>
  <c r="V1031" i="36"/>
  <c r="X1031" i="36" s="1"/>
  <c r="L1031" i="36"/>
  <c r="AL1030" i="36"/>
  <c r="AM1030" i="36" s="1"/>
  <c r="AG1030" i="36"/>
  <c r="AH1030" i="36" s="1"/>
  <c r="AB1030" i="36"/>
  <c r="AC1030" i="36" s="1"/>
  <c r="W1030" i="36"/>
  <c r="V1030" i="36"/>
  <c r="X1030" i="36" s="1"/>
  <c r="L1030" i="36"/>
  <c r="AL1029" i="36"/>
  <c r="AM1029" i="36" s="1"/>
  <c r="AG1029" i="36"/>
  <c r="AH1029" i="36" s="1"/>
  <c r="AB1029" i="36"/>
  <c r="AC1029" i="36" s="1"/>
  <c r="W1029" i="36"/>
  <c r="V1029" i="36"/>
  <c r="X1029" i="36" s="1"/>
  <c r="L1029" i="36"/>
  <c r="AL1028" i="36"/>
  <c r="AM1028" i="36" s="1"/>
  <c r="AG1028" i="36"/>
  <c r="AH1028" i="36" s="1"/>
  <c r="AB1028" i="36"/>
  <c r="AC1028" i="36" s="1"/>
  <c r="W1028" i="36"/>
  <c r="V1028" i="36"/>
  <c r="X1028" i="36" s="1"/>
  <c r="L1028" i="36"/>
  <c r="AL1027" i="36"/>
  <c r="AM1027" i="36" s="1"/>
  <c r="AG1027" i="36"/>
  <c r="AH1027" i="36" s="1"/>
  <c r="AB1027" i="36"/>
  <c r="AC1027" i="36" s="1"/>
  <c r="W1027" i="36"/>
  <c r="V1027" i="36"/>
  <c r="X1027" i="36" s="1"/>
  <c r="L1027" i="36"/>
  <c r="AL1026" i="36"/>
  <c r="AM1026" i="36" s="1"/>
  <c r="AG1026" i="36"/>
  <c r="AH1026" i="36" s="1"/>
  <c r="AB1026" i="36"/>
  <c r="AC1026" i="36" s="1"/>
  <c r="W1026" i="36"/>
  <c r="V1026" i="36"/>
  <c r="X1026" i="36" s="1"/>
  <c r="L1026" i="36"/>
  <c r="AL1025" i="36"/>
  <c r="AM1025" i="36" s="1"/>
  <c r="AG1025" i="36"/>
  <c r="AH1025" i="36" s="1"/>
  <c r="AB1025" i="36"/>
  <c r="AC1025" i="36" s="1"/>
  <c r="W1025" i="36"/>
  <c r="V1025" i="36"/>
  <c r="X1025" i="36" s="1"/>
  <c r="L1025" i="36"/>
  <c r="AL1024" i="36"/>
  <c r="AM1024" i="36" s="1"/>
  <c r="AG1024" i="36"/>
  <c r="AH1024" i="36" s="1"/>
  <c r="AB1024" i="36"/>
  <c r="AC1024" i="36" s="1"/>
  <c r="W1024" i="36"/>
  <c r="V1024" i="36"/>
  <c r="X1024" i="36" s="1"/>
  <c r="L1024" i="36"/>
  <c r="AL1023" i="36"/>
  <c r="AM1023" i="36" s="1"/>
  <c r="AG1023" i="36"/>
  <c r="AH1023" i="36" s="1"/>
  <c r="AB1023" i="36"/>
  <c r="AC1023" i="36" s="1"/>
  <c r="W1023" i="36"/>
  <c r="V1023" i="36"/>
  <c r="X1023" i="36" s="1"/>
  <c r="L1023" i="36"/>
  <c r="AL1022" i="36"/>
  <c r="AM1022" i="36" s="1"/>
  <c r="AG1022" i="36"/>
  <c r="AH1022" i="36" s="1"/>
  <c r="AB1022" i="36"/>
  <c r="AC1022" i="36" s="1"/>
  <c r="W1022" i="36"/>
  <c r="V1022" i="36"/>
  <c r="X1022" i="36" s="1"/>
  <c r="L1022" i="36"/>
  <c r="AL1021" i="36"/>
  <c r="AM1021" i="36" s="1"/>
  <c r="AG1021" i="36"/>
  <c r="AH1021" i="36" s="1"/>
  <c r="AB1021" i="36"/>
  <c r="AC1021" i="36" s="1"/>
  <c r="W1021" i="36"/>
  <c r="V1021" i="36"/>
  <c r="X1021" i="36" s="1"/>
  <c r="L1021" i="36"/>
  <c r="AL1020" i="36"/>
  <c r="AM1020" i="36" s="1"/>
  <c r="AG1020" i="36"/>
  <c r="AH1020" i="36" s="1"/>
  <c r="AB1020" i="36"/>
  <c r="AC1020" i="36" s="1"/>
  <c r="W1020" i="36"/>
  <c r="V1020" i="36"/>
  <c r="X1020" i="36" s="1"/>
  <c r="L1020" i="36"/>
  <c r="AL1019" i="36"/>
  <c r="AM1019" i="36" s="1"/>
  <c r="AG1019" i="36"/>
  <c r="AH1019" i="36" s="1"/>
  <c r="AB1019" i="36"/>
  <c r="AC1019" i="36" s="1"/>
  <c r="W1019" i="36"/>
  <c r="V1019" i="36"/>
  <c r="X1019" i="36" s="1"/>
  <c r="L1019" i="36"/>
  <c r="AL1018" i="36"/>
  <c r="AM1018" i="36" s="1"/>
  <c r="AG1018" i="36"/>
  <c r="AH1018" i="36" s="1"/>
  <c r="AB1018" i="36"/>
  <c r="AC1018" i="36" s="1"/>
  <c r="W1018" i="36"/>
  <c r="V1018" i="36"/>
  <c r="X1018" i="36" s="1"/>
  <c r="L1018" i="36"/>
  <c r="AL1017" i="36"/>
  <c r="AM1017" i="36" s="1"/>
  <c r="AG1017" i="36"/>
  <c r="AH1017" i="36" s="1"/>
  <c r="AB1017" i="36"/>
  <c r="AC1017" i="36" s="1"/>
  <c r="W1017" i="36"/>
  <c r="V1017" i="36"/>
  <c r="X1017" i="36" s="1"/>
  <c r="L1017" i="36"/>
  <c r="AL1016" i="36"/>
  <c r="AM1016" i="36" s="1"/>
  <c r="AG1016" i="36"/>
  <c r="AH1016" i="36" s="1"/>
  <c r="AB1016" i="36"/>
  <c r="AC1016" i="36" s="1"/>
  <c r="W1016" i="36"/>
  <c r="V1016" i="36"/>
  <c r="X1016" i="36" s="1"/>
  <c r="L1016" i="36"/>
  <c r="AL1015" i="36"/>
  <c r="AM1015" i="36" s="1"/>
  <c r="AG1015" i="36"/>
  <c r="AH1015" i="36" s="1"/>
  <c r="AB1015" i="36"/>
  <c r="AC1015" i="36" s="1"/>
  <c r="W1015" i="36"/>
  <c r="V1015" i="36"/>
  <c r="X1015" i="36" s="1"/>
  <c r="L1015" i="36"/>
  <c r="AL1014" i="36"/>
  <c r="AM1014" i="36" s="1"/>
  <c r="AG1014" i="36"/>
  <c r="AH1014" i="36" s="1"/>
  <c r="AB1014" i="36"/>
  <c r="AC1014" i="36" s="1"/>
  <c r="W1014" i="36"/>
  <c r="V1014" i="36"/>
  <c r="X1014" i="36" s="1"/>
  <c r="L1014" i="36"/>
  <c r="AL1013" i="36"/>
  <c r="AM1013" i="36" s="1"/>
  <c r="AG1013" i="36"/>
  <c r="AH1013" i="36" s="1"/>
  <c r="AB1013" i="36"/>
  <c r="AC1013" i="36" s="1"/>
  <c r="W1013" i="36"/>
  <c r="V1013" i="36"/>
  <c r="X1013" i="36" s="1"/>
  <c r="L1013" i="36"/>
  <c r="AL1012" i="36"/>
  <c r="AM1012" i="36" s="1"/>
  <c r="AG1012" i="36"/>
  <c r="AH1012" i="36" s="1"/>
  <c r="AB1012" i="36"/>
  <c r="AC1012" i="36" s="1"/>
  <c r="W1012" i="36"/>
  <c r="V1012" i="36"/>
  <c r="X1012" i="36" s="1"/>
  <c r="L1012" i="36"/>
  <c r="AL1011" i="36"/>
  <c r="AM1011" i="36" s="1"/>
  <c r="AG1011" i="36"/>
  <c r="AH1011" i="36" s="1"/>
  <c r="AB1011" i="36"/>
  <c r="AC1011" i="36" s="1"/>
  <c r="W1011" i="36"/>
  <c r="V1011" i="36"/>
  <c r="X1011" i="36" s="1"/>
  <c r="L1011" i="36"/>
  <c r="AL1010" i="36"/>
  <c r="AM1010" i="36" s="1"/>
  <c r="AG1010" i="36"/>
  <c r="AH1010" i="36" s="1"/>
  <c r="AB1010" i="36"/>
  <c r="AC1010" i="36" s="1"/>
  <c r="W1010" i="36"/>
  <c r="V1010" i="36"/>
  <c r="X1010" i="36" s="1"/>
  <c r="L1010" i="36"/>
  <c r="AL1009" i="36"/>
  <c r="AM1009" i="36" s="1"/>
  <c r="AG1009" i="36"/>
  <c r="AH1009" i="36" s="1"/>
  <c r="AB1009" i="36"/>
  <c r="AC1009" i="36" s="1"/>
  <c r="W1009" i="36"/>
  <c r="V1009" i="36"/>
  <c r="X1009" i="36" s="1"/>
  <c r="L1009" i="36"/>
  <c r="AL1008" i="36"/>
  <c r="AM1008" i="36" s="1"/>
  <c r="AG1008" i="36"/>
  <c r="AH1008" i="36" s="1"/>
  <c r="AB1008" i="36"/>
  <c r="AC1008" i="36" s="1"/>
  <c r="W1008" i="36"/>
  <c r="V1008" i="36"/>
  <c r="X1008" i="36" s="1"/>
  <c r="L1008" i="36"/>
  <c r="AL1007" i="36"/>
  <c r="AM1007" i="36" s="1"/>
  <c r="AG1007" i="36"/>
  <c r="AH1007" i="36" s="1"/>
  <c r="AB1007" i="36"/>
  <c r="AC1007" i="36" s="1"/>
  <c r="W1007" i="36"/>
  <c r="V1007" i="36"/>
  <c r="X1007" i="36" s="1"/>
  <c r="L1007" i="36"/>
  <c r="AL1006" i="36"/>
  <c r="AM1006" i="36" s="1"/>
  <c r="AG1006" i="36"/>
  <c r="AH1006" i="36" s="1"/>
  <c r="AB1006" i="36"/>
  <c r="AC1006" i="36" s="1"/>
  <c r="W1006" i="36"/>
  <c r="V1006" i="36"/>
  <c r="X1006" i="36" s="1"/>
  <c r="L1006" i="36"/>
  <c r="AL1005" i="36"/>
  <c r="AM1005" i="36" s="1"/>
  <c r="AG1005" i="36"/>
  <c r="AH1005" i="36" s="1"/>
  <c r="AB1005" i="36"/>
  <c r="AC1005" i="36" s="1"/>
  <c r="W1005" i="36"/>
  <c r="V1005" i="36"/>
  <c r="X1005" i="36" s="1"/>
  <c r="L1005" i="36"/>
  <c r="AL1004" i="36"/>
  <c r="AM1004" i="36" s="1"/>
  <c r="AG1004" i="36"/>
  <c r="AH1004" i="36" s="1"/>
  <c r="AB1004" i="36"/>
  <c r="AC1004" i="36" s="1"/>
  <c r="W1004" i="36"/>
  <c r="V1004" i="36"/>
  <c r="X1004" i="36" s="1"/>
  <c r="L1004" i="36"/>
  <c r="AL1003" i="36"/>
  <c r="AM1003" i="36" s="1"/>
  <c r="AG1003" i="36"/>
  <c r="AH1003" i="36" s="1"/>
  <c r="AB1003" i="36"/>
  <c r="AC1003" i="36" s="1"/>
  <c r="W1003" i="36"/>
  <c r="V1003" i="36"/>
  <c r="X1003" i="36" s="1"/>
  <c r="L1003" i="36"/>
  <c r="AL1002" i="36"/>
  <c r="AM1002" i="36" s="1"/>
  <c r="AG1002" i="36"/>
  <c r="AH1002" i="36" s="1"/>
  <c r="AB1002" i="36"/>
  <c r="AC1002" i="36" s="1"/>
  <c r="W1002" i="36"/>
  <c r="V1002" i="36"/>
  <c r="X1002" i="36" s="1"/>
  <c r="L1002" i="36"/>
  <c r="AL1001" i="36"/>
  <c r="AM1001" i="36" s="1"/>
  <c r="AG1001" i="36"/>
  <c r="AH1001" i="36" s="1"/>
  <c r="AB1001" i="36"/>
  <c r="AC1001" i="36" s="1"/>
  <c r="W1001" i="36"/>
  <c r="V1001" i="36"/>
  <c r="X1001" i="36" s="1"/>
  <c r="L1001" i="36"/>
  <c r="AL1000" i="36"/>
  <c r="AM1000" i="36" s="1"/>
  <c r="AG1000" i="36"/>
  <c r="AH1000" i="36" s="1"/>
  <c r="AB1000" i="36"/>
  <c r="AC1000" i="36" s="1"/>
  <c r="W1000" i="36"/>
  <c r="V1000" i="36"/>
  <c r="X1000" i="36" s="1"/>
  <c r="L1000" i="36"/>
  <c r="AL999" i="36"/>
  <c r="AM999" i="36" s="1"/>
  <c r="AG999" i="36"/>
  <c r="AH999" i="36" s="1"/>
  <c r="AB999" i="36"/>
  <c r="AC999" i="36" s="1"/>
  <c r="W999" i="36"/>
  <c r="V999" i="36"/>
  <c r="X999" i="36" s="1"/>
  <c r="L999" i="36"/>
  <c r="AL998" i="36"/>
  <c r="AM998" i="36" s="1"/>
  <c r="AG998" i="36"/>
  <c r="AH998" i="36" s="1"/>
  <c r="AB998" i="36"/>
  <c r="AC998" i="36" s="1"/>
  <c r="W998" i="36"/>
  <c r="V998" i="36"/>
  <c r="X998" i="36" s="1"/>
  <c r="L998" i="36"/>
  <c r="AL997" i="36"/>
  <c r="AM997" i="36" s="1"/>
  <c r="AG997" i="36"/>
  <c r="AH997" i="36" s="1"/>
  <c r="AB997" i="36"/>
  <c r="AC997" i="36" s="1"/>
  <c r="W997" i="36"/>
  <c r="V997" i="36"/>
  <c r="X997" i="36" s="1"/>
  <c r="L997" i="36"/>
  <c r="AL996" i="36"/>
  <c r="AM996" i="36" s="1"/>
  <c r="AG996" i="36"/>
  <c r="AH996" i="36" s="1"/>
  <c r="AB996" i="36"/>
  <c r="AC996" i="36" s="1"/>
  <c r="W996" i="36"/>
  <c r="V996" i="36"/>
  <c r="X996" i="36" s="1"/>
  <c r="L996" i="36"/>
  <c r="AL995" i="36"/>
  <c r="AM995" i="36" s="1"/>
  <c r="AG995" i="36"/>
  <c r="AH995" i="36" s="1"/>
  <c r="AB995" i="36"/>
  <c r="AC995" i="36" s="1"/>
  <c r="W995" i="36"/>
  <c r="V995" i="36"/>
  <c r="X995" i="36" s="1"/>
  <c r="L995" i="36"/>
  <c r="AL994" i="36"/>
  <c r="AM994" i="36" s="1"/>
  <c r="AG994" i="36"/>
  <c r="AH994" i="36" s="1"/>
  <c r="AB994" i="36"/>
  <c r="AC994" i="36" s="1"/>
  <c r="W994" i="36"/>
  <c r="V994" i="36"/>
  <c r="X994" i="36" s="1"/>
  <c r="L994" i="36"/>
  <c r="AL993" i="36"/>
  <c r="AM993" i="36" s="1"/>
  <c r="AG993" i="36"/>
  <c r="AH993" i="36" s="1"/>
  <c r="AB993" i="36"/>
  <c r="AC993" i="36" s="1"/>
  <c r="W993" i="36"/>
  <c r="V993" i="36"/>
  <c r="X993" i="36" s="1"/>
  <c r="L993" i="36"/>
  <c r="AL992" i="36"/>
  <c r="AM992" i="36" s="1"/>
  <c r="AG992" i="36"/>
  <c r="AH992" i="36" s="1"/>
  <c r="AB992" i="36"/>
  <c r="AC992" i="36" s="1"/>
  <c r="W992" i="36"/>
  <c r="V992" i="36"/>
  <c r="X992" i="36" s="1"/>
  <c r="L992" i="36"/>
  <c r="AL991" i="36"/>
  <c r="AM991" i="36" s="1"/>
  <c r="AG991" i="36"/>
  <c r="AH991" i="36" s="1"/>
  <c r="AB991" i="36"/>
  <c r="AC991" i="36" s="1"/>
  <c r="W991" i="36"/>
  <c r="V991" i="36"/>
  <c r="X991" i="36" s="1"/>
  <c r="L991" i="36"/>
  <c r="AL990" i="36"/>
  <c r="AM990" i="36" s="1"/>
  <c r="AG990" i="36"/>
  <c r="AH990" i="36" s="1"/>
  <c r="AB990" i="36"/>
  <c r="AC990" i="36" s="1"/>
  <c r="W990" i="36"/>
  <c r="V990" i="36"/>
  <c r="X990" i="36" s="1"/>
  <c r="L990" i="36"/>
  <c r="AL989" i="36"/>
  <c r="AM989" i="36" s="1"/>
  <c r="AG989" i="36"/>
  <c r="AH989" i="36" s="1"/>
  <c r="AB989" i="36"/>
  <c r="AC989" i="36" s="1"/>
  <c r="W989" i="36"/>
  <c r="V989" i="36"/>
  <c r="X989" i="36" s="1"/>
  <c r="L989" i="36"/>
  <c r="AL988" i="36"/>
  <c r="AM988" i="36" s="1"/>
  <c r="AG988" i="36"/>
  <c r="AH988" i="36" s="1"/>
  <c r="AB988" i="36"/>
  <c r="AC988" i="36" s="1"/>
  <c r="W988" i="36"/>
  <c r="V988" i="36"/>
  <c r="X988" i="36" s="1"/>
  <c r="L988" i="36"/>
  <c r="AL987" i="36"/>
  <c r="AM987" i="36" s="1"/>
  <c r="AG987" i="36"/>
  <c r="AH987" i="36" s="1"/>
  <c r="AB987" i="36"/>
  <c r="AC987" i="36" s="1"/>
  <c r="W987" i="36"/>
  <c r="V987" i="36"/>
  <c r="X987" i="36" s="1"/>
  <c r="L987" i="36"/>
  <c r="AL986" i="36"/>
  <c r="AM986" i="36" s="1"/>
  <c r="AG986" i="36"/>
  <c r="AH986" i="36" s="1"/>
  <c r="AB986" i="36"/>
  <c r="AC986" i="36" s="1"/>
  <c r="W986" i="36"/>
  <c r="V986" i="36"/>
  <c r="X986" i="36" s="1"/>
  <c r="L986" i="36"/>
  <c r="AL985" i="36"/>
  <c r="AM985" i="36" s="1"/>
  <c r="AG985" i="36"/>
  <c r="AH985" i="36" s="1"/>
  <c r="AB985" i="36"/>
  <c r="AC985" i="36" s="1"/>
  <c r="W985" i="36"/>
  <c r="V985" i="36"/>
  <c r="X985" i="36" s="1"/>
  <c r="L985" i="36"/>
  <c r="AL984" i="36"/>
  <c r="AM984" i="36" s="1"/>
  <c r="AG984" i="36"/>
  <c r="AH984" i="36" s="1"/>
  <c r="AB984" i="36"/>
  <c r="AC984" i="36" s="1"/>
  <c r="W984" i="36"/>
  <c r="V984" i="36"/>
  <c r="X984" i="36" s="1"/>
  <c r="L984" i="36"/>
  <c r="AL983" i="36"/>
  <c r="AM983" i="36" s="1"/>
  <c r="AG983" i="36"/>
  <c r="AH983" i="36" s="1"/>
  <c r="AB983" i="36"/>
  <c r="AC983" i="36" s="1"/>
  <c r="W983" i="36"/>
  <c r="V983" i="36"/>
  <c r="X983" i="36" s="1"/>
  <c r="L983" i="36"/>
  <c r="AL982" i="36"/>
  <c r="AM982" i="36" s="1"/>
  <c r="AG982" i="36"/>
  <c r="AH982" i="36" s="1"/>
  <c r="AB982" i="36"/>
  <c r="AC982" i="36" s="1"/>
  <c r="W982" i="36"/>
  <c r="V982" i="36"/>
  <c r="X982" i="36" s="1"/>
  <c r="L982" i="36"/>
  <c r="AL981" i="36"/>
  <c r="AM981" i="36" s="1"/>
  <c r="AG981" i="36"/>
  <c r="AH981" i="36" s="1"/>
  <c r="AB981" i="36"/>
  <c r="AC981" i="36" s="1"/>
  <c r="W981" i="36"/>
  <c r="V981" i="36"/>
  <c r="X981" i="36" s="1"/>
  <c r="L981" i="36"/>
  <c r="AL980" i="36"/>
  <c r="AM980" i="36" s="1"/>
  <c r="AG980" i="36"/>
  <c r="AH980" i="36" s="1"/>
  <c r="AB980" i="36"/>
  <c r="AC980" i="36" s="1"/>
  <c r="W980" i="36"/>
  <c r="V980" i="36"/>
  <c r="X980" i="36" s="1"/>
  <c r="L980" i="36"/>
  <c r="AL979" i="36"/>
  <c r="AM979" i="36" s="1"/>
  <c r="AG979" i="36"/>
  <c r="AH979" i="36" s="1"/>
  <c r="AB979" i="36"/>
  <c r="AC979" i="36" s="1"/>
  <c r="W979" i="36"/>
  <c r="V979" i="36"/>
  <c r="X979" i="36" s="1"/>
  <c r="L979" i="36"/>
  <c r="AL978" i="36"/>
  <c r="AM978" i="36" s="1"/>
  <c r="AG978" i="36"/>
  <c r="AH978" i="36" s="1"/>
  <c r="AB978" i="36"/>
  <c r="AC978" i="36" s="1"/>
  <c r="W978" i="36"/>
  <c r="V978" i="36"/>
  <c r="X978" i="36" s="1"/>
  <c r="L978" i="36"/>
  <c r="AL977" i="36"/>
  <c r="AM977" i="36" s="1"/>
  <c r="AG977" i="36"/>
  <c r="AH977" i="36" s="1"/>
  <c r="AB977" i="36"/>
  <c r="AC977" i="36" s="1"/>
  <c r="W977" i="36"/>
  <c r="V977" i="36"/>
  <c r="X977" i="36" s="1"/>
  <c r="L977" i="36"/>
  <c r="AL976" i="36"/>
  <c r="AM976" i="36" s="1"/>
  <c r="AG976" i="36"/>
  <c r="AH976" i="36" s="1"/>
  <c r="AB976" i="36"/>
  <c r="AC976" i="36" s="1"/>
  <c r="W976" i="36"/>
  <c r="V976" i="36"/>
  <c r="X976" i="36" s="1"/>
  <c r="L976" i="36"/>
  <c r="AL975" i="36"/>
  <c r="AM975" i="36" s="1"/>
  <c r="AG975" i="36"/>
  <c r="AH975" i="36" s="1"/>
  <c r="AB975" i="36"/>
  <c r="AC975" i="36" s="1"/>
  <c r="W975" i="36"/>
  <c r="V975" i="36"/>
  <c r="X975" i="36" s="1"/>
  <c r="L975" i="36"/>
  <c r="AL974" i="36"/>
  <c r="AM974" i="36" s="1"/>
  <c r="AG974" i="36"/>
  <c r="AH974" i="36" s="1"/>
  <c r="AB974" i="36"/>
  <c r="AC974" i="36" s="1"/>
  <c r="W974" i="36"/>
  <c r="V974" i="36"/>
  <c r="X974" i="36" s="1"/>
  <c r="L974" i="36"/>
  <c r="AL973" i="36"/>
  <c r="AM973" i="36" s="1"/>
  <c r="AG973" i="36"/>
  <c r="AH973" i="36" s="1"/>
  <c r="AB973" i="36"/>
  <c r="AC973" i="36" s="1"/>
  <c r="W973" i="36"/>
  <c r="V973" i="36"/>
  <c r="X973" i="36" s="1"/>
  <c r="L973" i="36"/>
  <c r="AL972" i="36"/>
  <c r="AM972" i="36" s="1"/>
  <c r="AG972" i="36"/>
  <c r="AH972" i="36" s="1"/>
  <c r="AB972" i="36"/>
  <c r="AC972" i="36" s="1"/>
  <c r="W972" i="36"/>
  <c r="V972" i="36"/>
  <c r="X972" i="36" s="1"/>
  <c r="L972" i="36"/>
  <c r="AL971" i="36"/>
  <c r="AM971" i="36" s="1"/>
  <c r="AG971" i="36"/>
  <c r="AH971" i="36" s="1"/>
  <c r="AB971" i="36"/>
  <c r="AC971" i="36" s="1"/>
  <c r="W971" i="36"/>
  <c r="V971" i="36"/>
  <c r="X971" i="36" s="1"/>
  <c r="L971" i="36"/>
  <c r="AL970" i="36"/>
  <c r="AM970" i="36" s="1"/>
  <c r="AG970" i="36"/>
  <c r="AH970" i="36" s="1"/>
  <c r="AB970" i="36"/>
  <c r="AC970" i="36" s="1"/>
  <c r="W970" i="36"/>
  <c r="V970" i="36"/>
  <c r="X970" i="36" s="1"/>
  <c r="L970" i="36"/>
  <c r="AL969" i="36"/>
  <c r="AM969" i="36" s="1"/>
  <c r="AG969" i="36"/>
  <c r="AH969" i="36" s="1"/>
  <c r="AB969" i="36"/>
  <c r="AC969" i="36" s="1"/>
  <c r="W969" i="36"/>
  <c r="V969" i="36"/>
  <c r="X969" i="36" s="1"/>
  <c r="L969" i="36"/>
  <c r="AL968" i="36"/>
  <c r="AM968" i="36" s="1"/>
  <c r="AG968" i="36"/>
  <c r="AH968" i="36" s="1"/>
  <c r="AB968" i="36"/>
  <c r="AC968" i="36" s="1"/>
  <c r="W968" i="36"/>
  <c r="V968" i="36"/>
  <c r="X968" i="36" s="1"/>
  <c r="L968" i="36"/>
  <c r="AL967" i="36"/>
  <c r="AM967" i="36" s="1"/>
  <c r="AG967" i="36"/>
  <c r="AH967" i="36" s="1"/>
  <c r="AB967" i="36"/>
  <c r="AC967" i="36" s="1"/>
  <c r="W967" i="36"/>
  <c r="V967" i="36"/>
  <c r="X967" i="36" s="1"/>
  <c r="L967" i="36"/>
  <c r="AL966" i="36"/>
  <c r="AM966" i="36" s="1"/>
  <c r="AG966" i="36"/>
  <c r="AH966" i="36" s="1"/>
  <c r="AB966" i="36"/>
  <c r="AC966" i="36" s="1"/>
  <c r="W966" i="36"/>
  <c r="V966" i="36"/>
  <c r="X966" i="36" s="1"/>
  <c r="L966" i="36"/>
  <c r="AL965" i="36"/>
  <c r="AM965" i="36" s="1"/>
  <c r="AG965" i="36"/>
  <c r="AH965" i="36" s="1"/>
  <c r="AB965" i="36"/>
  <c r="AC965" i="36" s="1"/>
  <c r="W965" i="36"/>
  <c r="V965" i="36"/>
  <c r="X965" i="36" s="1"/>
  <c r="L965" i="36"/>
  <c r="AL964" i="36"/>
  <c r="AM964" i="36" s="1"/>
  <c r="AG964" i="36"/>
  <c r="AH964" i="36" s="1"/>
  <c r="AB964" i="36"/>
  <c r="AC964" i="36" s="1"/>
  <c r="W964" i="36"/>
  <c r="V964" i="36"/>
  <c r="X964" i="36" s="1"/>
  <c r="L964" i="36"/>
  <c r="AL963" i="36"/>
  <c r="AM963" i="36" s="1"/>
  <c r="AG963" i="36"/>
  <c r="AH963" i="36" s="1"/>
  <c r="AB963" i="36"/>
  <c r="AC963" i="36" s="1"/>
  <c r="W963" i="36"/>
  <c r="V963" i="36"/>
  <c r="X963" i="36" s="1"/>
  <c r="L963" i="36"/>
  <c r="AL962" i="36"/>
  <c r="AM962" i="36" s="1"/>
  <c r="AG962" i="36"/>
  <c r="AH962" i="36" s="1"/>
  <c r="AB962" i="36"/>
  <c r="AC962" i="36" s="1"/>
  <c r="W962" i="36"/>
  <c r="V962" i="36"/>
  <c r="X962" i="36" s="1"/>
  <c r="L962" i="36"/>
  <c r="AL961" i="36"/>
  <c r="AM961" i="36" s="1"/>
  <c r="AG961" i="36"/>
  <c r="AH961" i="36" s="1"/>
  <c r="AB961" i="36"/>
  <c r="AC961" i="36" s="1"/>
  <c r="W961" i="36"/>
  <c r="V961" i="36"/>
  <c r="X961" i="36" s="1"/>
  <c r="L961" i="36"/>
  <c r="AL960" i="36"/>
  <c r="AM960" i="36" s="1"/>
  <c r="AG960" i="36"/>
  <c r="AH960" i="36" s="1"/>
  <c r="AB960" i="36"/>
  <c r="AC960" i="36" s="1"/>
  <c r="W960" i="36"/>
  <c r="V960" i="36"/>
  <c r="X960" i="36" s="1"/>
  <c r="L960" i="36"/>
  <c r="AL959" i="36"/>
  <c r="AM959" i="36" s="1"/>
  <c r="AG959" i="36"/>
  <c r="AH959" i="36" s="1"/>
  <c r="AB959" i="36"/>
  <c r="AC959" i="36" s="1"/>
  <c r="W959" i="36"/>
  <c r="V959" i="36"/>
  <c r="X959" i="36" s="1"/>
  <c r="L959" i="36"/>
  <c r="AL958" i="36"/>
  <c r="AM958" i="36" s="1"/>
  <c r="AG958" i="36"/>
  <c r="AH958" i="36" s="1"/>
  <c r="AB958" i="36"/>
  <c r="AC958" i="36" s="1"/>
  <c r="W958" i="36"/>
  <c r="V958" i="36"/>
  <c r="X958" i="36" s="1"/>
  <c r="L958" i="36"/>
  <c r="AL957" i="36"/>
  <c r="AM957" i="36" s="1"/>
  <c r="AG957" i="36"/>
  <c r="AH957" i="36" s="1"/>
  <c r="AB957" i="36"/>
  <c r="AC957" i="36" s="1"/>
  <c r="W957" i="36"/>
  <c r="V957" i="36"/>
  <c r="X957" i="36" s="1"/>
  <c r="L957" i="36"/>
  <c r="AL956" i="36"/>
  <c r="AM956" i="36" s="1"/>
  <c r="AG956" i="36"/>
  <c r="AH956" i="36" s="1"/>
  <c r="AB956" i="36"/>
  <c r="AC956" i="36" s="1"/>
  <c r="W956" i="36"/>
  <c r="V956" i="36"/>
  <c r="X956" i="36" s="1"/>
  <c r="L956" i="36"/>
  <c r="AL955" i="36"/>
  <c r="AM955" i="36" s="1"/>
  <c r="AG955" i="36"/>
  <c r="AH955" i="36" s="1"/>
  <c r="AB955" i="36"/>
  <c r="AC955" i="36" s="1"/>
  <c r="W955" i="36"/>
  <c r="V955" i="36"/>
  <c r="X955" i="36" s="1"/>
  <c r="L955" i="36"/>
  <c r="AL954" i="36"/>
  <c r="AM954" i="36" s="1"/>
  <c r="AG954" i="36"/>
  <c r="AH954" i="36" s="1"/>
  <c r="AB954" i="36"/>
  <c r="AC954" i="36" s="1"/>
  <c r="W954" i="36"/>
  <c r="V954" i="36"/>
  <c r="X954" i="36" s="1"/>
  <c r="L954" i="36"/>
  <c r="AL953" i="36"/>
  <c r="AM953" i="36" s="1"/>
  <c r="AG953" i="36"/>
  <c r="AH953" i="36" s="1"/>
  <c r="AB953" i="36"/>
  <c r="AC953" i="36" s="1"/>
  <c r="W953" i="36"/>
  <c r="V953" i="36"/>
  <c r="X953" i="36" s="1"/>
  <c r="L953" i="36"/>
  <c r="AL952" i="36"/>
  <c r="AM952" i="36" s="1"/>
  <c r="AG952" i="36"/>
  <c r="AH952" i="36" s="1"/>
  <c r="AB952" i="36"/>
  <c r="AC952" i="36" s="1"/>
  <c r="W952" i="36"/>
  <c r="V952" i="36"/>
  <c r="X952" i="36" s="1"/>
  <c r="L952" i="36"/>
  <c r="AL951" i="36"/>
  <c r="AM951" i="36" s="1"/>
  <c r="AG951" i="36"/>
  <c r="AH951" i="36" s="1"/>
  <c r="AB951" i="36"/>
  <c r="AC951" i="36" s="1"/>
  <c r="W951" i="36"/>
  <c r="V951" i="36"/>
  <c r="X951" i="36" s="1"/>
  <c r="L951" i="36"/>
  <c r="AL950" i="36"/>
  <c r="AM950" i="36" s="1"/>
  <c r="AG950" i="36"/>
  <c r="AH950" i="36" s="1"/>
  <c r="AB950" i="36"/>
  <c r="AC950" i="36" s="1"/>
  <c r="W950" i="36"/>
  <c r="V950" i="36"/>
  <c r="X950" i="36" s="1"/>
  <c r="L950" i="36"/>
  <c r="AL949" i="36"/>
  <c r="AM949" i="36" s="1"/>
  <c r="AG949" i="36"/>
  <c r="AH949" i="36" s="1"/>
  <c r="AB949" i="36"/>
  <c r="AC949" i="36" s="1"/>
  <c r="W949" i="36"/>
  <c r="V949" i="36"/>
  <c r="X949" i="36" s="1"/>
  <c r="L949" i="36"/>
  <c r="AL948" i="36"/>
  <c r="AM948" i="36" s="1"/>
  <c r="AG948" i="36"/>
  <c r="AH948" i="36" s="1"/>
  <c r="AB948" i="36"/>
  <c r="AC948" i="36" s="1"/>
  <c r="W948" i="36"/>
  <c r="V948" i="36"/>
  <c r="X948" i="36" s="1"/>
  <c r="L948" i="36"/>
  <c r="AL947" i="36"/>
  <c r="AM947" i="36" s="1"/>
  <c r="AG947" i="36"/>
  <c r="AH947" i="36" s="1"/>
  <c r="AB947" i="36"/>
  <c r="AC947" i="36" s="1"/>
  <c r="W947" i="36"/>
  <c r="V947" i="36"/>
  <c r="X947" i="36" s="1"/>
  <c r="L947" i="36"/>
  <c r="AL946" i="36"/>
  <c r="AM946" i="36" s="1"/>
  <c r="AG946" i="36"/>
  <c r="AH946" i="36" s="1"/>
  <c r="AB946" i="36"/>
  <c r="AC946" i="36" s="1"/>
  <c r="W946" i="36"/>
  <c r="V946" i="36"/>
  <c r="X946" i="36" s="1"/>
  <c r="L946" i="36"/>
  <c r="AL945" i="36"/>
  <c r="AM945" i="36" s="1"/>
  <c r="AG945" i="36"/>
  <c r="AH945" i="36" s="1"/>
  <c r="AB945" i="36"/>
  <c r="AC945" i="36" s="1"/>
  <c r="W945" i="36"/>
  <c r="V945" i="36"/>
  <c r="X945" i="36" s="1"/>
  <c r="L945" i="36"/>
  <c r="AL944" i="36"/>
  <c r="AM944" i="36" s="1"/>
  <c r="AG944" i="36"/>
  <c r="AH944" i="36" s="1"/>
  <c r="AB944" i="36"/>
  <c r="AC944" i="36" s="1"/>
  <c r="W944" i="36"/>
  <c r="V944" i="36"/>
  <c r="X944" i="36" s="1"/>
  <c r="L944" i="36"/>
  <c r="AL943" i="36"/>
  <c r="AM943" i="36" s="1"/>
  <c r="AG943" i="36"/>
  <c r="AH943" i="36" s="1"/>
  <c r="AB943" i="36"/>
  <c r="AC943" i="36" s="1"/>
  <c r="W943" i="36"/>
  <c r="V943" i="36"/>
  <c r="X943" i="36" s="1"/>
  <c r="L943" i="36"/>
  <c r="AL942" i="36"/>
  <c r="AM942" i="36" s="1"/>
  <c r="AG942" i="36"/>
  <c r="AH942" i="36" s="1"/>
  <c r="AB942" i="36"/>
  <c r="AC942" i="36" s="1"/>
  <c r="W942" i="36"/>
  <c r="V942" i="36"/>
  <c r="X942" i="36" s="1"/>
  <c r="L942" i="36"/>
  <c r="AL941" i="36"/>
  <c r="AM941" i="36" s="1"/>
  <c r="AG941" i="36"/>
  <c r="AH941" i="36" s="1"/>
  <c r="AB941" i="36"/>
  <c r="AC941" i="36" s="1"/>
  <c r="W941" i="36"/>
  <c r="V941" i="36"/>
  <c r="X941" i="36" s="1"/>
  <c r="L941" i="36"/>
  <c r="AL940" i="36"/>
  <c r="AM940" i="36" s="1"/>
  <c r="AG940" i="36"/>
  <c r="AH940" i="36" s="1"/>
  <c r="AB940" i="36"/>
  <c r="AC940" i="36" s="1"/>
  <c r="W940" i="36"/>
  <c r="V940" i="36"/>
  <c r="X940" i="36" s="1"/>
  <c r="L940" i="36"/>
  <c r="AL939" i="36"/>
  <c r="AM939" i="36" s="1"/>
  <c r="AG939" i="36"/>
  <c r="AH939" i="36" s="1"/>
  <c r="AB939" i="36"/>
  <c r="AC939" i="36" s="1"/>
  <c r="W939" i="36"/>
  <c r="V939" i="36"/>
  <c r="X939" i="36" s="1"/>
  <c r="L939" i="36"/>
  <c r="AL938" i="36"/>
  <c r="AM938" i="36" s="1"/>
  <c r="AG938" i="36"/>
  <c r="AH938" i="36" s="1"/>
  <c r="AB938" i="36"/>
  <c r="AC938" i="36" s="1"/>
  <c r="W938" i="36"/>
  <c r="V938" i="36"/>
  <c r="X938" i="36" s="1"/>
  <c r="L938" i="36"/>
  <c r="AL937" i="36"/>
  <c r="AM937" i="36" s="1"/>
  <c r="AG937" i="36"/>
  <c r="AH937" i="36" s="1"/>
  <c r="AB937" i="36"/>
  <c r="AC937" i="36" s="1"/>
  <c r="W937" i="36"/>
  <c r="V937" i="36"/>
  <c r="X937" i="36" s="1"/>
  <c r="L937" i="36"/>
  <c r="AL936" i="36"/>
  <c r="AM936" i="36" s="1"/>
  <c r="AG936" i="36"/>
  <c r="AH936" i="36" s="1"/>
  <c r="AB936" i="36"/>
  <c r="AC936" i="36" s="1"/>
  <c r="W936" i="36"/>
  <c r="V936" i="36"/>
  <c r="X936" i="36" s="1"/>
  <c r="L936" i="36"/>
  <c r="AL935" i="36"/>
  <c r="AM935" i="36" s="1"/>
  <c r="AG935" i="36"/>
  <c r="AH935" i="36" s="1"/>
  <c r="AB935" i="36"/>
  <c r="AC935" i="36" s="1"/>
  <c r="W935" i="36"/>
  <c r="V935" i="36"/>
  <c r="X935" i="36" s="1"/>
  <c r="L935" i="36"/>
  <c r="AL934" i="36"/>
  <c r="AM934" i="36" s="1"/>
  <c r="AG934" i="36"/>
  <c r="AH934" i="36" s="1"/>
  <c r="AB934" i="36"/>
  <c r="AC934" i="36" s="1"/>
  <c r="W934" i="36"/>
  <c r="V934" i="36"/>
  <c r="X934" i="36" s="1"/>
  <c r="L934" i="36"/>
  <c r="AL933" i="36"/>
  <c r="AM933" i="36" s="1"/>
  <c r="AG933" i="36"/>
  <c r="AH933" i="36" s="1"/>
  <c r="AB933" i="36"/>
  <c r="AC933" i="36" s="1"/>
  <c r="W933" i="36"/>
  <c r="V933" i="36"/>
  <c r="X933" i="36" s="1"/>
  <c r="L933" i="36"/>
  <c r="AL932" i="36"/>
  <c r="AM932" i="36" s="1"/>
  <c r="AG932" i="36"/>
  <c r="AH932" i="36" s="1"/>
  <c r="AB932" i="36"/>
  <c r="AC932" i="36" s="1"/>
  <c r="W932" i="36"/>
  <c r="V932" i="36"/>
  <c r="X932" i="36" s="1"/>
  <c r="L932" i="36"/>
  <c r="AL931" i="36"/>
  <c r="AM931" i="36" s="1"/>
  <c r="AG931" i="36"/>
  <c r="AH931" i="36" s="1"/>
  <c r="AB931" i="36"/>
  <c r="AC931" i="36" s="1"/>
  <c r="W931" i="36"/>
  <c r="V931" i="36"/>
  <c r="X931" i="36" s="1"/>
  <c r="L931" i="36"/>
  <c r="AL930" i="36"/>
  <c r="AM930" i="36" s="1"/>
  <c r="AG930" i="36"/>
  <c r="AH930" i="36" s="1"/>
  <c r="AB930" i="36"/>
  <c r="AC930" i="36" s="1"/>
  <c r="W930" i="36"/>
  <c r="V930" i="36"/>
  <c r="X930" i="36" s="1"/>
  <c r="L930" i="36"/>
  <c r="AL929" i="36"/>
  <c r="AM929" i="36" s="1"/>
  <c r="AG929" i="36"/>
  <c r="AH929" i="36" s="1"/>
  <c r="AB929" i="36"/>
  <c r="AC929" i="36" s="1"/>
  <c r="W929" i="36"/>
  <c r="V929" i="36"/>
  <c r="X929" i="36" s="1"/>
  <c r="L929" i="36"/>
  <c r="AL928" i="36"/>
  <c r="AM928" i="36" s="1"/>
  <c r="AG928" i="36"/>
  <c r="AH928" i="36" s="1"/>
  <c r="AB928" i="36"/>
  <c r="AC928" i="36" s="1"/>
  <c r="W928" i="36"/>
  <c r="V928" i="36"/>
  <c r="X928" i="36" s="1"/>
  <c r="L928" i="36"/>
  <c r="AL927" i="36"/>
  <c r="AM927" i="36" s="1"/>
  <c r="AG927" i="36"/>
  <c r="AH927" i="36" s="1"/>
  <c r="AB927" i="36"/>
  <c r="AC927" i="36" s="1"/>
  <c r="W927" i="36"/>
  <c r="V927" i="36"/>
  <c r="X927" i="36" s="1"/>
  <c r="L927" i="36"/>
  <c r="AL926" i="36"/>
  <c r="AM926" i="36" s="1"/>
  <c r="AG926" i="36"/>
  <c r="AH926" i="36" s="1"/>
  <c r="AB926" i="36"/>
  <c r="AC926" i="36" s="1"/>
  <c r="W926" i="36"/>
  <c r="V926" i="36"/>
  <c r="X926" i="36" s="1"/>
  <c r="L926" i="36"/>
  <c r="AL925" i="36"/>
  <c r="AM925" i="36" s="1"/>
  <c r="AG925" i="36"/>
  <c r="AH925" i="36" s="1"/>
  <c r="AB925" i="36"/>
  <c r="AC925" i="36" s="1"/>
  <c r="W925" i="36"/>
  <c r="V925" i="36"/>
  <c r="X925" i="36" s="1"/>
  <c r="L925" i="36"/>
  <c r="AL924" i="36"/>
  <c r="AM924" i="36" s="1"/>
  <c r="AG924" i="36"/>
  <c r="AH924" i="36" s="1"/>
  <c r="AB924" i="36"/>
  <c r="AC924" i="36" s="1"/>
  <c r="W924" i="36"/>
  <c r="V924" i="36"/>
  <c r="X924" i="36" s="1"/>
  <c r="L924" i="36"/>
  <c r="AL923" i="36"/>
  <c r="AM923" i="36" s="1"/>
  <c r="AG923" i="36"/>
  <c r="AH923" i="36" s="1"/>
  <c r="AB923" i="36"/>
  <c r="AC923" i="36" s="1"/>
  <c r="W923" i="36"/>
  <c r="V923" i="36"/>
  <c r="X923" i="36" s="1"/>
  <c r="L923" i="36"/>
  <c r="AL922" i="36"/>
  <c r="AM922" i="36" s="1"/>
  <c r="AG922" i="36"/>
  <c r="AH922" i="36" s="1"/>
  <c r="AB922" i="36"/>
  <c r="AC922" i="36" s="1"/>
  <c r="W922" i="36"/>
  <c r="V922" i="36"/>
  <c r="X922" i="36" s="1"/>
  <c r="L922" i="36"/>
  <c r="AL921" i="36"/>
  <c r="AM921" i="36" s="1"/>
  <c r="AG921" i="36"/>
  <c r="AH921" i="36" s="1"/>
  <c r="AB921" i="36"/>
  <c r="AC921" i="36" s="1"/>
  <c r="W921" i="36"/>
  <c r="V921" i="36"/>
  <c r="X921" i="36" s="1"/>
  <c r="L921" i="36"/>
  <c r="AL920" i="36"/>
  <c r="AM920" i="36" s="1"/>
  <c r="AG920" i="36"/>
  <c r="AH920" i="36" s="1"/>
  <c r="AB920" i="36"/>
  <c r="AC920" i="36" s="1"/>
  <c r="W920" i="36"/>
  <c r="V920" i="36"/>
  <c r="X920" i="36" s="1"/>
  <c r="L920" i="36"/>
  <c r="AL919" i="36"/>
  <c r="AM919" i="36" s="1"/>
  <c r="AG919" i="36"/>
  <c r="AH919" i="36" s="1"/>
  <c r="AB919" i="36"/>
  <c r="AC919" i="36" s="1"/>
  <c r="W919" i="36"/>
  <c r="V919" i="36"/>
  <c r="X919" i="36" s="1"/>
  <c r="L919" i="36"/>
  <c r="AL918" i="36"/>
  <c r="AM918" i="36" s="1"/>
  <c r="AG918" i="36"/>
  <c r="AH918" i="36" s="1"/>
  <c r="AB918" i="36"/>
  <c r="AC918" i="36" s="1"/>
  <c r="W918" i="36"/>
  <c r="V918" i="36"/>
  <c r="X918" i="36" s="1"/>
  <c r="L918" i="36"/>
  <c r="AL917" i="36"/>
  <c r="AM917" i="36" s="1"/>
  <c r="AG917" i="36"/>
  <c r="AH917" i="36" s="1"/>
  <c r="AB917" i="36"/>
  <c r="AC917" i="36" s="1"/>
  <c r="W917" i="36"/>
  <c r="V917" i="36"/>
  <c r="X917" i="36" s="1"/>
  <c r="L917" i="36"/>
  <c r="AL916" i="36"/>
  <c r="AM916" i="36" s="1"/>
  <c r="AG916" i="36"/>
  <c r="AH916" i="36" s="1"/>
  <c r="AB916" i="36"/>
  <c r="AC916" i="36" s="1"/>
  <c r="W916" i="36"/>
  <c r="V916" i="36"/>
  <c r="X916" i="36" s="1"/>
  <c r="L916" i="36"/>
  <c r="AL915" i="36"/>
  <c r="AM915" i="36" s="1"/>
  <c r="AG915" i="36"/>
  <c r="AH915" i="36" s="1"/>
  <c r="AB915" i="36"/>
  <c r="AC915" i="36" s="1"/>
  <c r="W915" i="36"/>
  <c r="V915" i="36"/>
  <c r="X915" i="36" s="1"/>
  <c r="L915" i="36"/>
  <c r="AL914" i="36"/>
  <c r="AM914" i="36" s="1"/>
  <c r="AG914" i="36"/>
  <c r="AH914" i="36" s="1"/>
  <c r="AB914" i="36"/>
  <c r="AC914" i="36" s="1"/>
  <c r="W914" i="36"/>
  <c r="V914" i="36"/>
  <c r="X914" i="36" s="1"/>
  <c r="L914" i="36"/>
  <c r="AL913" i="36"/>
  <c r="AM913" i="36" s="1"/>
  <c r="AG913" i="36"/>
  <c r="AH913" i="36" s="1"/>
  <c r="AB913" i="36"/>
  <c r="AC913" i="36" s="1"/>
  <c r="W913" i="36"/>
  <c r="V913" i="36"/>
  <c r="X913" i="36" s="1"/>
  <c r="L913" i="36"/>
  <c r="AL912" i="36"/>
  <c r="AM912" i="36" s="1"/>
  <c r="AG912" i="36"/>
  <c r="AH912" i="36" s="1"/>
  <c r="AB912" i="36"/>
  <c r="AC912" i="36" s="1"/>
  <c r="W912" i="36"/>
  <c r="V912" i="36"/>
  <c r="X912" i="36" s="1"/>
  <c r="L912" i="36"/>
  <c r="AL911" i="36"/>
  <c r="AM911" i="36" s="1"/>
  <c r="AG911" i="36"/>
  <c r="AH911" i="36" s="1"/>
  <c r="AB911" i="36"/>
  <c r="AC911" i="36" s="1"/>
  <c r="W911" i="36"/>
  <c r="V911" i="36"/>
  <c r="X911" i="36" s="1"/>
  <c r="L911" i="36"/>
  <c r="AL910" i="36"/>
  <c r="AM910" i="36" s="1"/>
  <c r="AG910" i="36"/>
  <c r="AH910" i="36" s="1"/>
  <c r="AB910" i="36"/>
  <c r="AC910" i="36" s="1"/>
  <c r="W910" i="36"/>
  <c r="V910" i="36"/>
  <c r="X910" i="36" s="1"/>
  <c r="L910" i="36"/>
  <c r="AL909" i="36"/>
  <c r="AM909" i="36" s="1"/>
  <c r="AG909" i="36"/>
  <c r="AH909" i="36" s="1"/>
  <c r="AB909" i="36"/>
  <c r="AC909" i="36" s="1"/>
  <c r="W909" i="36"/>
  <c r="V909" i="36"/>
  <c r="X909" i="36" s="1"/>
  <c r="L909" i="36"/>
  <c r="AL908" i="36"/>
  <c r="AM908" i="36" s="1"/>
  <c r="AG908" i="36"/>
  <c r="AH908" i="36" s="1"/>
  <c r="AB908" i="36"/>
  <c r="AC908" i="36" s="1"/>
  <c r="W908" i="36"/>
  <c r="V908" i="36"/>
  <c r="X908" i="36" s="1"/>
  <c r="L908" i="36"/>
  <c r="AL907" i="36"/>
  <c r="AM907" i="36" s="1"/>
  <c r="AG907" i="36"/>
  <c r="AH907" i="36" s="1"/>
  <c r="AB907" i="36"/>
  <c r="AC907" i="36" s="1"/>
  <c r="W907" i="36"/>
  <c r="V907" i="36"/>
  <c r="X907" i="36" s="1"/>
  <c r="L907" i="36"/>
  <c r="AL906" i="36"/>
  <c r="AM906" i="36" s="1"/>
  <c r="AG906" i="36"/>
  <c r="AH906" i="36" s="1"/>
  <c r="AB906" i="36"/>
  <c r="AC906" i="36" s="1"/>
  <c r="W906" i="36"/>
  <c r="V906" i="36"/>
  <c r="X906" i="36" s="1"/>
  <c r="L906" i="36"/>
  <c r="AL905" i="36"/>
  <c r="AM905" i="36" s="1"/>
  <c r="AG905" i="36"/>
  <c r="AH905" i="36" s="1"/>
  <c r="AB905" i="36"/>
  <c r="AC905" i="36" s="1"/>
  <c r="W905" i="36"/>
  <c r="V905" i="36"/>
  <c r="X905" i="36" s="1"/>
  <c r="L905" i="36"/>
  <c r="AL904" i="36"/>
  <c r="AM904" i="36" s="1"/>
  <c r="AG904" i="36"/>
  <c r="AH904" i="36" s="1"/>
  <c r="AB904" i="36"/>
  <c r="AC904" i="36" s="1"/>
  <c r="W904" i="36"/>
  <c r="V904" i="36"/>
  <c r="X904" i="36" s="1"/>
  <c r="L904" i="36"/>
  <c r="AL903" i="36"/>
  <c r="AM903" i="36" s="1"/>
  <c r="AG903" i="36"/>
  <c r="AH903" i="36" s="1"/>
  <c r="AB903" i="36"/>
  <c r="AC903" i="36" s="1"/>
  <c r="W903" i="36"/>
  <c r="V903" i="36"/>
  <c r="X903" i="36" s="1"/>
  <c r="L903" i="36"/>
  <c r="AL902" i="36"/>
  <c r="AM902" i="36" s="1"/>
  <c r="AG902" i="36"/>
  <c r="AH902" i="36" s="1"/>
  <c r="AB902" i="36"/>
  <c r="AC902" i="36" s="1"/>
  <c r="W902" i="36"/>
  <c r="V902" i="36"/>
  <c r="X902" i="36" s="1"/>
  <c r="L902" i="36"/>
  <c r="AL901" i="36"/>
  <c r="AM901" i="36" s="1"/>
  <c r="AG901" i="36"/>
  <c r="AH901" i="36" s="1"/>
  <c r="AB901" i="36"/>
  <c r="AC901" i="36" s="1"/>
  <c r="W901" i="36"/>
  <c r="V901" i="36"/>
  <c r="X901" i="36" s="1"/>
  <c r="L901" i="36"/>
  <c r="AL900" i="36"/>
  <c r="AM900" i="36" s="1"/>
  <c r="AG900" i="36"/>
  <c r="AH900" i="36" s="1"/>
  <c r="AB900" i="36"/>
  <c r="AC900" i="36" s="1"/>
  <c r="W900" i="36"/>
  <c r="V900" i="36"/>
  <c r="X900" i="36" s="1"/>
  <c r="L900" i="36"/>
  <c r="AL899" i="36"/>
  <c r="AM899" i="36" s="1"/>
  <c r="AG899" i="36"/>
  <c r="AH899" i="36" s="1"/>
  <c r="AB899" i="36"/>
  <c r="AC899" i="36" s="1"/>
  <c r="W899" i="36"/>
  <c r="V899" i="36"/>
  <c r="X899" i="36" s="1"/>
  <c r="L899" i="36"/>
  <c r="AL898" i="36"/>
  <c r="AM898" i="36" s="1"/>
  <c r="AG898" i="36"/>
  <c r="AH898" i="36" s="1"/>
  <c r="AB898" i="36"/>
  <c r="AC898" i="36" s="1"/>
  <c r="W898" i="36"/>
  <c r="V898" i="36"/>
  <c r="X898" i="36" s="1"/>
  <c r="L898" i="36"/>
  <c r="AL897" i="36"/>
  <c r="AM897" i="36" s="1"/>
  <c r="AG897" i="36"/>
  <c r="AH897" i="36" s="1"/>
  <c r="AB897" i="36"/>
  <c r="AC897" i="36" s="1"/>
  <c r="W897" i="36"/>
  <c r="V897" i="36"/>
  <c r="X897" i="36" s="1"/>
  <c r="L897" i="36"/>
  <c r="AL896" i="36"/>
  <c r="AM896" i="36" s="1"/>
  <c r="AG896" i="36"/>
  <c r="AH896" i="36" s="1"/>
  <c r="AB896" i="36"/>
  <c r="AC896" i="36" s="1"/>
  <c r="W896" i="36"/>
  <c r="V896" i="36"/>
  <c r="X896" i="36" s="1"/>
  <c r="L896" i="36"/>
  <c r="AL895" i="36"/>
  <c r="AM895" i="36" s="1"/>
  <c r="AG895" i="36"/>
  <c r="AH895" i="36" s="1"/>
  <c r="AB895" i="36"/>
  <c r="AC895" i="36" s="1"/>
  <c r="W895" i="36"/>
  <c r="V895" i="36"/>
  <c r="X895" i="36" s="1"/>
  <c r="L895" i="36"/>
  <c r="AL894" i="36"/>
  <c r="AM894" i="36" s="1"/>
  <c r="AG894" i="36"/>
  <c r="AH894" i="36" s="1"/>
  <c r="AB894" i="36"/>
  <c r="AC894" i="36" s="1"/>
  <c r="W894" i="36"/>
  <c r="V894" i="36"/>
  <c r="X894" i="36" s="1"/>
  <c r="L894" i="36"/>
  <c r="AL893" i="36"/>
  <c r="AM893" i="36" s="1"/>
  <c r="AG893" i="36"/>
  <c r="AH893" i="36" s="1"/>
  <c r="AB893" i="36"/>
  <c r="AC893" i="36" s="1"/>
  <c r="W893" i="36"/>
  <c r="V893" i="36"/>
  <c r="X893" i="36" s="1"/>
  <c r="L893" i="36"/>
  <c r="AL892" i="36"/>
  <c r="AM892" i="36" s="1"/>
  <c r="AG892" i="36"/>
  <c r="AH892" i="36" s="1"/>
  <c r="AB892" i="36"/>
  <c r="AC892" i="36" s="1"/>
  <c r="W892" i="36"/>
  <c r="V892" i="36"/>
  <c r="X892" i="36" s="1"/>
  <c r="L892" i="36"/>
  <c r="AL891" i="36"/>
  <c r="AM891" i="36" s="1"/>
  <c r="AG891" i="36"/>
  <c r="AH891" i="36" s="1"/>
  <c r="AB891" i="36"/>
  <c r="AC891" i="36" s="1"/>
  <c r="W891" i="36"/>
  <c r="V891" i="36"/>
  <c r="X891" i="36" s="1"/>
  <c r="L891" i="36"/>
  <c r="AL890" i="36"/>
  <c r="AM890" i="36" s="1"/>
  <c r="AG890" i="36"/>
  <c r="AH890" i="36" s="1"/>
  <c r="AB890" i="36"/>
  <c r="AC890" i="36" s="1"/>
  <c r="W890" i="36"/>
  <c r="V890" i="36"/>
  <c r="X890" i="36" s="1"/>
  <c r="L890" i="36"/>
  <c r="AL889" i="36"/>
  <c r="AM889" i="36" s="1"/>
  <c r="AG889" i="36"/>
  <c r="AH889" i="36" s="1"/>
  <c r="AB889" i="36"/>
  <c r="AC889" i="36" s="1"/>
  <c r="W889" i="36"/>
  <c r="V889" i="36"/>
  <c r="X889" i="36" s="1"/>
  <c r="L889" i="36"/>
  <c r="AL888" i="36"/>
  <c r="AM888" i="36" s="1"/>
  <c r="AG888" i="36"/>
  <c r="AH888" i="36" s="1"/>
  <c r="AB888" i="36"/>
  <c r="AC888" i="36" s="1"/>
  <c r="W888" i="36"/>
  <c r="V888" i="36"/>
  <c r="X888" i="36" s="1"/>
  <c r="L888" i="36"/>
  <c r="AL887" i="36"/>
  <c r="AM887" i="36" s="1"/>
  <c r="AG887" i="36"/>
  <c r="AH887" i="36" s="1"/>
  <c r="AB887" i="36"/>
  <c r="AC887" i="36" s="1"/>
  <c r="W887" i="36"/>
  <c r="V887" i="36"/>
  <c r="X887" i="36" s="1"/>
  <c r="L887" i="36"/>
  <c r="AL886" i="36"/>
  <c r="AM886" i="36" s="1"/>
  <c r="AG886" i="36"/>
  <c r="AH886" i="36" s="1"/>
  <c r="AB886" i="36"/>
  <c r="AC886" i="36" s="1"/>
  <c r="W886" i="36"/>
  <c r="V886" i="36"/>
  <c r="X886" i="36" s="1"/>
  <c r="L886" i="36"/>
  <c r="AL885" i="36"/>
  <c r="AM885" i="36" s="1"/>
  <c r="AG885" i="36"/>
  <c r="AH885" i="36" s="1"/>
  <c r="AB885" i="36"/>
  <c r="AC885" i="36" s="1"/>
  <c r="W885" i="36"/>
  <c r="V885" i="36"/>
  <c r="X885" i="36" s="1"/>
  <c r="L885" i="36"/>
  <c r="AL884" i="36"/>
  <c r="AM884" i="36" s="1"/>
  <c r="AG884" i="36"/>
  <c r="AH884" i="36" s="1"/>
  <c r="AB884" i="36"/>
  <c r="AC884" i="36" s="1"/>
  <c r="W884" i="36"/>
  <c r="V884" i="36"/>
  <c r="X884" i="36" s="1"/>
  <c r="L884" i="36"/>
  <c r="AL883" i="36"/>
  <c r="AM883" i="36" s="1"/>
  <c r="AG883" i="36"/>
  <c r="AH883" i="36" s="1"/>
  <c r="AB883" i="36"/>
  <c r="AC883" i="36" s="1"/>
  <c r="W883" i="36"/>
  <c r="V883" i="36"/>
  <c r="X883" i="36" s="1"/>
  <c r="L883" i="36"/>
  <c r="AL882" i="36"/>
  <c r="AM882" i="36" s="1"/>
  <c r="AG882" i="36"/>
  <c r="AH882" i="36" s="1"/>
  <c r="AB882" i="36"/>
  <c r="AC882" i="36" s="1"/>
  <c r="W882" i="36"/>
  <c r="V882" i="36"/>
  <c r="X882" i="36" s="1"/>
  <c r="L882" i="36"/>
  <c r="AL881" i="36"/>
  <c r="AM881" i="36" s="1"/>
  <c r="AG881" i="36"/>
  <c r="AH881" i="36" s="1"/>
  <c r="AB881" i="36"/>
  <c r="AC881" i="36" s="1"/>
  <c r="W881" i="36"/>
  <c r="V881" i="36"/>
  <c r="X881" i="36" s="1"/>
  <c r="L881" i="36"/>
  <c r="AL880" i="36"/>
  <c r="AM880" i="36" s="1"/>
  <c r="AG880" i="36"/>
  <c r="AH880" i="36" s="1"/>
  <c r="AB880" i="36"/>
  <c r="AC880" i="36" s="1"/>
  <c r="W880" i="36"/>
  <c r="V880" i="36"/>
  <c r="X880" i="36" s="1"/>
  <c r="L880" i="36"/>
  <c r="AL879" i="36"/>
  <c r="AM879" i="36" s="1"/>
  <c r="AG879" i="36"/>
  <c r="AH879" i="36" s="1"/>
  <c r="AB879" i="36"/>
  <c r="AC879" i="36" s="1"/>
  <c r="W879" i="36"/>
  <c r="V879" i="36"/>
  <c r="X879" i="36" s="1"/>
  <c r="L879" i="36"/>
  <c r="AL878" i="36"/>
  <c r="AM878" i="36" s="1"/>
  <c r="AG878" i="36"/>
  <c r="AH878" i="36" s="1"/>
  <c r="AB878" i="36"/>
  <c r="AC878" i="36" s="1"/>
  <c r="W878" i="36"/>
  <c r="V878" i="36"/>
  <c r="X878" i="36" s="1"/>
  <c r="L878" i="36"/>
  <c r="AL877" i="36"/>
  <c r="AM877" i="36" s="1"/>
  <c r="AG877" i="36"/>
  <c r="AH877" i="36" s="1"/>
  <c r="AB877" i="36"/>
  <c r="AC877" i="36" s="1"/>
  <c r="W877" i="36"/>
  <c r="V877" i="36"/>
  <c r="X877" i="36" s="1"/>
  <c r="L877" i="36"/>
  <c r="AL876" i="36"/>
  <c r="AM876" i="36" s="1"/>
  <c r="AG876" i="36"/>
  <c r="AH876" i="36" s="1"/>
  <c r="AB876" i="36"/>
  <c r="AC876" i="36" s="1"/>
  <c r="W876" i="36"/>
  <c r="V876" i="36"/>
  <c r="X876" i="36" s="1"/>
  <c r="L876" i="36"/>
  <c r="AL875" i="36"/>
  <c r="AM875" i="36" s="1"/>
  <c r="AG875" i="36"/>
  <c r="AH875" i="36" s="1"/>
  <c r="AB875" i="36"/>
  <c r="AC875" i="36" s="1"/>
  <c r="W875" i="36"/>
  <c r="V875" i="36"/>
  <c r="X875" i="36" s="1"/>
  <c r="L875" i="36"/>
  <c r="AL874" i="36"/>
  <c r="AM874" i="36" s="1"/>
  <c r="AG874" i="36"/>
  <c r="AH874" i="36" s="1"/>
  <c r="AB874" i="36"/>
  <c r="AC874" i="36" s="1"/>
  <c r="W874" i="36"/>
  <c r="V874" i="36"/>
  <c r="X874" i="36" s="1"/>
  <c r="L874" i="36"/>
  <c r="AL873" i="36"/>
  <c r="AM873" i="36" s="1"/>
  <c r="AG873" i="36"/>
  <c r="AH873" i="36" s="1"/>
  <c r="AB873" i="36"/>
  <c r="AC873" i="36" s="1"/>
  <c r="W873" i="36"/>
  <c r="V873" i="36"/>
  <c r="X873" i="36" s="1"/>
  <c r="L873" i="36"/>
  <c r="AL872" i="36"/>
  <c r="AM872" i="36" s="1"/>
  <c r="AG872" i="36"/>
  <c r="AH872" i="36" s="1"/>
  <c r="AB872" i="36"/>
  <c r="AC872" i="36" s="1"/>
  <c r="W872" i="36"/>
  <c r="V872" i="36"/>
  <c r="X872" i="36" s="1"/>
  <c r="L872" i="36"/>
  <c r="AL871" i="36"/>
  <c r="AM871" i="36" s="1"/>
  <c r="AG871" i="36"/>
  <c r="AH871" i="36" s="1"/>
  <c r="AB871" i="36"/>
  <c r="AC871" i="36" s="1"/>
  <c r="W871" i="36"/>
  <c r="V871" i="36"/>
  <c r="X871" i="36" s="1"/>
  <c r="L871" i="36"/>
  <c r="AL870" i="36"/>
  <c r="AM870" i="36" s="1"/>
  <c r="AG870" i="36"/>
  <c r="AH870" i="36" s="1"/>
  <c r="AB870" i="36"/>
  <c r="AC870" i="36" s="1"/>
  <c r="W870" i="36"/>
  <c r="V870" i="36"/>
  <c r="X870" i="36" s="1"/>
  <c r="L870" i="36"/>
  <c r="AL869" i="36"/>
  <c r="AM869" i="36" s="1"/>
  <c r="AG869" i="36"/>
  <c r="AH869" i="36" s="1"/>
  <c r="AB869" i="36"/>
  <c r="AC869" i="36" s="1"/>
  <c r="W869" i="36"/>
  <c r="V869" i="36"/>
  <c r="X869" i="36" s="1"/>
  <c r="L869" i="36"/>
  <c r="AL868" i="36"/>
  <c r="AM868" i="36" s="1"/>
  <c r="AG868" i="36"/>
  <c r="AH868" i="36" s="1"/>
  <c r="AB868" i="36"/>
  <c r="AC868" i="36" s="1"/>
  <c r="W868" i="36"/>
  <c r="V868" i="36"/>
  <c r="X868" i="36" s="1"/>
  <c r="L868" i="36"/>
  <c r="AL867" i="36"/>
  <c r="AM867" i="36" s="1"/>
  <c r="AG867" i="36"/>
  <c r="AH867" i="36" s="1"/>
  <c r="AB867" i="36"/>
  <c r="AC867" i="36" s="1"/>
  <c r="W867" i="36"/>
  <c r="V867" i="36"/>
  <c r="X867" i="36" s="1"/>
  <c r="L867" i="36"/>
  <c r="AL866" i="36"/>
  <c r="AM866" i="36" s="1"/>
  <c r="AG866" i="36"/>
  <c r="AH866" i="36" s="1"/>
  <c r="AB866" i="36"/>
  <c r="AC866" i="36" s="1"/>
  <c r="W866" i="36"/>
  <c r="V866" i="36"/>
  <c r="X866" i="36" s="1"/>
  <c r="L866" i="36"/>
  <c r="AL865" i="36"/>
  <c r="AM865" i="36" s="1"/>
  <c r="AG865" i="36"/>
  <c r="AH865" i="36" s="1"/>
  <c r="AB865" i="36"/>
  <c r="AC865" i="36" s="1"/>
  <c r="W865" i="36"/>
  <c r="V865" i="36"/>
  <c r="X865" i="36" s="1"/>
  <c r="L865" i="36"/>
  <c r="AL864" i="36"/>
  <c r="AM864" i="36" s="1"/>
  <c r="AG864" i="36"/>
  <c r="AH864" i="36" s="1"/>
  <c r="AB864" i="36"/>
  <c r="AC864" i="36" s="1"/>
  <c r="W864" i="36"/>
  <c r="V864" i="36"/>
  <c r="X864" i="36" s="1"/>
  <c r="L864" i="36"/>
  <c r="AL863" i="36"/>
  <c r="AM863" i="36" s="1"/>
  <c r="AG863" i="36"/>
  <c r="AH863" i="36" s="1"/>
  <c r="AB863" i="36"/>
  <c r="AC863" i="36" s="1"/>
  <c r="W863" i="36"/>
  <c r="V863" i="36"/>
  <c r="X863" i="36" s="1"/>
  <c r="L863" i="36"/>
  <c r="AL862" i="36"/>
  <c r="AM862" i="36" s="1"/>
  <c r="AG862" i="36"/>
  <c r="AH862" i="36" s="1"/>
  <c r="AB862" i="36"/>
  <c r="AC862" i="36" s="1"/>
  <c r="W862" i="36"/>
  <c r="V862" i="36"/>
  <c r="X862" i="36" s="1"/>
  <c r="L862" i="36"/>
  <c r="AL861" i="36"/>
  <c r="AM861" i="36" s="1"/>
  <c r="AG861" i="36"/>
  <c r="AH861" i="36" s="1"/>
  <c r="AB861" i="36"/>
  <c r="AC861" i="36" s="1"/>
  <c r="W861" i="36"/>
  <c r="V861" i="36"/>
  <c r="X861" i="36" s="1"/>
  <c r="L861" i="36"/>
  <c r="AL860" i="36"/>
  <c r="AM860" i="36" s="1"/>
  <c r="AG860" i="36"/>
  <c r="AH860" i="36" s="1"/>
  <c r="AB860" i="36"/>
  <c r="AC860" i="36" s="1"/>
  <c r="W860" i="36"/>
  <c r="V860" i="36"/>
  <c r="X860" i="36" s="1"/>
  <c r="L860" i="36"/>
  <c r="AL859" i="36"/>
  <c r="AM859" i="36" s="1"/>
  <c r="AG859" i="36"/>
  <c r="AH859" i="36" s="1"/>
  <c r="AB859" i="36"/>
  <c r="AC859" i="36" s="1"/>
  <c r="W859" i="36"/>
  <c r="V859" i="36"/>
  <c r="X859" i="36" s="1"/>
  <c r="L859" i="36"/>
  <c r="AL858" i="36"/>
  <c r="AM858" i="36" s="1"/>
  <c r="AG858" i="36"/>
  <c r="AH858" i="36" s="1"/>
  <c r="AB858" i="36"/>
  <c r="AC858" i="36" s="1"/>
  <c r="W858" i="36"/>
  <c r="V858" i="36"/>
  <c r="X858" i="36" s="1"/>
  <c r="L858" i="36"/>
  <c r="AL857" i="36"/>
  <c r="AM857" i="36" s="1"/>
  <c r="AG857" i="36"/>
  <c r="AH857" i="36" s="1"/>
  <c r="AB857" i="36"/>
  <c r="AC857" i="36" s="1"/>
  <c r="W857" i="36"/>
  <c r="V857" i="36"/>
  <c r="X857" i="36" s="1"/>
  <c r="L857" i="36"/>
  <c r="AL856" i="36"/>
  <c r="AM856" i="36" s="1"/>
  <c r="AG856" i="36"/>
  <c r="AH856" i="36" s="1"/>
  <c r="AB856" i="36"/>
  <c r="AC856" i="36" s="1"/>
  <c r="W856" i="36"/>
  <c r="V856" i="36"/>
  <c r="X856" i="36" s="1"/>
  <c r="L856" i="36"/>
  <c r="AL855" i="36"/>
  <c r="AM855" i="36" s="1"/>
  <c r="AG855" i="36"/>
  <c r="AH855" i="36" s="1"/>
  <c r="AB855" i="36"/>
  <c r="AC855" i="36" s="1"/>
  <c r="W855" i="36"/>
  <c r="V855" i="36"/>
  <c r="X855" i="36" s="1"/>
  <c r="L855" i="36"/>
  <c r="AL854" i="36"/>
  <c r="AM854" i="36" s="1"/>
  <c r="AG854" i="36"/>
  <c r="AH854" i="36" s="1"/>
  <c r="AB854" i="36"/>
  <c r="AC854" i="36" s="1"/>
  <c r="W854" i="36"/>
  <c r="V854" i="36"/>
  <c r="X854" i="36" s="1"/>
  <c r="L854" i="36"/>
  <c r="AL853" i="36"/>
  <c r="AM853" i="36" s="1"/>
  <c r="AG853" i="36"/>
  <c r="AH853" i="36" s="1"/>
  <c r="AB853" i="36"/>
  <c r="AC853" i="36" s="1"/>
  <c r="W853" i="36"/>
  <c r="V853" i="36"/>
  <c r="X853" i="36" s="1"/>
  <c r="L853" i="36"/>
  <c r="AL852" i="36"/>
  <c r="AM852" i="36" s="1"/>
  <c r="AG852" i="36"/>
  <c r="AH852" i="36" s="1"/>
  <c r="AB852" i="36"/>
  <c r="AC852" i="36" s="1"/>
  <c r="W852" i="36"/>
  <c r="V852" i="36"/>
  <c r="X852" i="36" s="1"/>
  <c r="L852" i="36"/>
  <c r="AL851" i="36"/>
  <c r="AM851" i="36" s="1"/>
  <c r="AG851" i="36"/>
  <c r="AH851" i="36" s="1"/>
  <c r="AB851" i="36"/>
  <c r="AC851" i="36" s="1"/>
  <c r="W851" i="36"/>
  <c r="V851" i="36"/>
  <c r="X851" i="36" s="1"/>
  <c r="L851" i="36"/>
  <c r="AL850" i="36"/>
  <c r="AM850" i="36" s="1"/>
  <c r="AG850" i="36"/>
  <c r="AH850" i="36" s="1"/>
  <c r="AB850" i="36"/>
  <c r="AC850" i="36" s="1"/>
  <c r="W850" i="36"/>
  <c r="V850" i="36"/>
  <c r="X850" i="36" s="1"/>
  <c r="L850" i="36"/>
  <c r="AL849" i="36"/>
  <c r="AM849" i="36" s="1"/>
  <c r="AG849" i="36"/>
  <c r="AH849" i="36" s="1"/>
  <c r="AB849" i="36"/>
  <c r="AC849" i="36" s="1"/>
  <c r="W849" i="36"/>
  <c r="V849" i="36"/>
  <c r="X849" i="36" s="1"/>
  <c r="L849" i="36"/>
  <c r="AL848" i="36"/>
  <c r="AM848" i="36" s="1"/>
  <c r="AG848" i="36"/>
  <c r="AH848" i="36" s="1"/>
  <c r="AB848" i="36"/>
  <c r="AC848" i="36" s="1"/>
  <c r="W848" i="36"/>
  <c r="V848" i="36"/>
  <c r="X848" i="36" s="1"/>
  <c r="L848" i="36"/>
  <c r="AL847" i="36"/>
  <c r="AM847" i="36" s="1"/>
  <c r="AG847" i="36"/>
  <c r="AH847" i="36" s="1"/>
  <c r="AB847" i="36"/>
  <c r="AC847" i="36" s="1"/>
  <c r="W847" i="36"/>
  <c r="V847" i="36"/>
  <c r="X847" i="36" s="1"/>
  <c r="L847" i="36"/>
  <c r="AL846" i="36"/>
  <c r="AM846" i="36" s="1"/>
  <c r="AG846" i="36"/>
  <c r="AH846" i="36" s="1"/>
  <c r="AB846" i="36"/>
  <c r="AC846" i="36" s="1"/>
  <c r="W846" i="36"/>
  <c r="V846" i="36"/>
  <c r="X846" i="36" s="1"/>
  <c r="L846" i="36"/>
  <c r="AL845" i="36"/>
  <c r="AM845" i="36" s="1"/>
  <c r="AG845" i="36"/>
  <c r="AH845" i="36" s="1"/>
  <c r="AB845" i="36"/>
  <c r="AC845" i="36" s="1"/>
  <c r="W845" i="36"/>
  <c r="V845" i="36"/>
  <c r="X845" i="36" s="1"/>
  <c r="L845" i="36"/>
  <c r="AL844" i="36"/>
  <c r="AM844" i="36" s="1"/>
  <c r="AG844" i="36"/>
  <c r="AH844" i="36" s="1"/>
  <c r="AB844" i="36"/>
  <c r="AC844" i="36" s="1"/>
  <c r="W844" i="36"/>
  <c r="V844" i="36"/>
  <c r="X844" i="36" s="1"/>
  <c r="L844" i="36"/>
  <c r="AL843" i="36"/>
  <c r="AM843" i="36" s="1"/>
  <c r="AG843" i="36"/>
  <c r="AH843" i="36" s="1"/>
  <c r="AB843" i="36"/>
  <c r="AC843" i="36" s="1"/>
  <c r="W843" i="36"/>
  <c r="V843" i="36"/>
  <c r="X843" i="36" s="1"/>
  <c r="L843" i="36"/>
  <c r="AL842" i="36"/>
  <c r="AM842" i="36" s="1"/>
  <c r="AG842" i="36"/>
  <c r="AH842" i="36" s="1"/>
  <c r="AB842" i="36"/>
  <c r="AC842" i="36" s="1"/>
  <c r="W842" i="36"/>
  <c r="V842" i="36"/>
  <c r="X842" i="36" s="1"/>
  <c r="L842" i="36"/>
  <c r="AL841" i="36"/>
  <c r="AM841" i="36" s="1"/>
  <c r="AG841" i="36"/>
  <c r="AH841" i="36" s="1"/>
  <c r="AB841" i="36"/>
  <c r="AC841" i="36" s="1"/>
  <c r="W841" i="36"/>
  <c r="V841" i="36"/>
  <c r="X841" i="36" s="1"/>
  <c r="L841" i="36"/>
  <c r="AL840" i="36"/>
  <c r="AM840" i="36" s="1"/>
  <c r="AG840" i="36"/>
  <c r="AH840" i="36" s="1"/>
  <c r="AB840" i="36"/>
  <c r="AC840" i="36" s="1"/>
  <c r="W840" i="36"/>
  <c r="V840" i="36"/>
  <c r="X840" i="36" s="1"/>
  <c r="L840" i="36"/>
  <c r="AL839" i="36"/>
  <c r="AM839" i="36" s="1"/>
  <c r="AG839" i="36"/>
  <c r="AH839" i="36" s="1"/>
  <c r="AB839" i="36"/>
  <c r="AC839" i="36" s="1"/>
  <c r="W839" i="36"/>
  <c r="V839" i="36"/>
  <c r="X839" i="36" s="1"/>
  <c r="L839" i="36"/>
  <c r="AL838" i="36"/>
  <c r="AM838" i="36" s="1"/>
  <c r="AG838" i="36"/>
  <c r="AH838" i="36" s="1"/>
  <c r="AB838" i="36"/>
  <c r="AC838" i="36" s="1"/>
  <c r="W838" i="36"/>
  <c r="V838" i="36"/>
  <c r="X838" i="36" s="1"/>
  <c r="L838" i="36"/>
  <c r="AL837" i="36"/>
  <c r="AM837" i="36" s="1"/>
  <c r="AG837" i="36"/>
  <c r="AH837" i="36" s="1"/>
  <c r="AB837" i="36"/>
  <c r="AC837" i="36" s="1"/>
  <c r="W837" i="36"/>
  <c r="V837" i="36"/>
  <c r="X837" i="36" s="1"/>
  <c r="L837" i="36"/>
  <c r="AL836" i="36"/>
  <c r="AM836" i="36" s="1"/>
  <c r="AG836" i="36"/>
  <c r="AH836" i="36" s="1"/>
  <c r="AB836" i="36"/>
  <c r="AC836" i="36" s="1"/>
  <c r="W836" i="36"/>
  <c r="V836" i="36"/>
  <c r="X836" i="36" s="1"/>
  <c r="L836" i="36"/>
  <c r="AL835" i="36"/>
  <c r="AM835" i="36" s="1"/>
  <c r="AG835" i="36"/>
  <c r="AH835" i="36" s="1"/>
  <c r="AB835" i="36"/>
  <c r="AC835" i="36" s="1"/>
  <c r="W835" i="36"/>
  <c r="V835" i="36"/>
  <c r="X835" i="36" s="1"/>
  <c r="L835" i="36"/>
  <c r="AL834" i="36"/>
  <c r="AM834" i="36" s="1"/>
  <c r="AG834" i="36"/>
  <c r="AH834" i="36" s="1"/>
  <c r="AB834" i="36"/>
  <c r="AC834" i="36" s="1"/>
  <c r="W834" i="36"/>
  <c r="V834" i="36"/>
  <c r="X834" i="36" s="1"/>
  <c r="L834" i="36"/>
  <c r="AL833" i="36"/>
  <c r="AM833" i="36" s="1"/>
  <c r="AG833" i="36"/>
  <c r="AH833" i="36" s="1"/>
  <c r="AB833" i="36"/>
  <c r="AC833" i="36" s="1"/>
  <c r="W833" i="36"/>
  <c r="V833" i="36"/>
  <c r="X833" i="36" s="1"/>
  <c r="L833" i="36"/>
  <c r="AL832" i="36"/>
  <c r="AM832" i="36" s="1"/>
  <c r="AG832" i="36"/>
  <c r="AH832" i="36" s="1"/>
  <c r="AB832" i="36"/>
  <c r="AC832" i="36" s="1"/>
  <c r="W832" i="36"/>
  <c r="V832" i="36"/>
  <c r="X832" i="36" s="1"/>
  <c r="L832" i="36"/>
  <c r="AL831" i="36"/>
  <c r="AM831" i="36" s="1"/>
  <c r="AG831" i="36"/>
  <c r="AH831" i="36" s="1"/>
  <c r="AB831" i="36"/>
  <c r="AC831" i="36" s="1"/>
  <c r="W831" i="36"/>
  <c r="V831" i="36"/>
  <c r="X831" i="36" s="1"/>
  <c r="L831" i="36"/>
  <c r="AL830" i="36"/>
  <c r="AM830" i="36" s="1"/>
  <c r="AG830" i="36"/>
  <c r="AH830" i="36" s="1"/>
  <c r="AB830" i="36"/>
  <c r="AC830" i="36" s="1"/>
  <c r="W830" i="36"/>
  <c r="V830" i="36"/>
  <c r="X830" i="36" s="1"/>
  <c r="L830" i="36"/>
  <c r="AL829" i="36"/>
  <c r="AM829" i="36" s="1"/>
  <c r="AG829" i="36"/>
  <c r="AH829" i="36" s="1"/>
  <c r="AB829" i="36"/>
  <c r="AC829" i="36" s="1"/>
  <c r="W829" i="36"/>
  <c r="V829" i="36"/>
  <c r="X829" i="36" s="1"/>
  <c r="L829" i="36"/>
  <c r="AL828" i="36"/>
  <c r="AM828" i="36" s="1"/>
  <c r="AG828" i="36"/>
  <c r="AH828" i="36" s="1"/>
  <c r="AB828" i="36"/>
  <c r="AC828" i="36" s="1"/>
  <c r="W828" i="36"/>
  <c r="V828" i="36"/>
  <c r="X828" i="36" s="1"/>
  <c r="L828" i="36"/>
  <c r="AL827" i="36"/>
  <c r="AM827" i="36" s="1"/>
  <c r="AG827" i="36"/>
  <c r="AH827" i="36" s="1"/>
  <c r="AB827" i="36"/>
  <c r="AC827" i="36" s="1"/>
  <c r="W827" i="36"/>
  <c r="V827" i="36"/>
  <c r="X827" i="36" s="1"/>
  <c r="L827" i="36"/>
  <c r="AL826" i="36"/>
  <c r="AM826" i="36" s="1"/>
  <c r="AG826" i="36"/>
  <c r="AH826" i="36" s="1"/>
  <c r="AB826" i="36"/>
  <c r="AC826" i="36" s="1"/>
  <c r="W826" i="36"/>
  <c r="V826" i="36"/>
  <c r="X826" i="36" s="1"/>
  <c r="L826" i="36"/>
  <c r="AL825" i="36"/>
  <c r="AM825" i="36" s="1"/>
  <c r="AG825" i="36"/>
  <c r="AH825" i="36" s="1"/>
  <c r="AB825" i="36"/>
  <c r="AC825" i="36" s="1"/>
  <c r="W825" i="36"/>
  <c r="V825" i="36"/>
  <c r="X825" i="36" s="1"/>
  <c r="L825" i="36"/>
  <c r="AL824" i="36"/>
  <c r="AM824" i="36" s="1"/>
  <c r="AG824" i="36"/>
  <c r="AH824" i="36" s="1"/>
  <c r="AB824" i="36"/>
  <c r="AC824" i="36" s="1"/>
  <c r="W824" i="36"/>
  <c r="V824" i="36"/>
  <c r="X824" i="36" s="1"/>
  <c r="L824" i="36"/>
  <c r="AL823" i="36"/>
  <c r="AM823" i="36" s="1"/>
  <c r="AG823" i="36"/>
  <c r="AH823" i="36" s="1"/>
  <c r="AB823" i="36"/>
  <c r="AC823" i="36" s="1"/>
  <c r="W823" i="36"/>
  <c r="V823" i="36"/>
  <c r="X823" i="36" s="1"/>
  <c r="L823" i="36"/>
  <c r="AL822" i="36"/>
  <c r="AM822" i="36" s="1"/>
  <c r="AG822" i="36"/>
  <c r="AH822" i="36" s="1"/>
  <c r="AB822" i="36"/>
  <c r="AC822" i="36" s="1"/>
  <c r="W822" i="36"/>
  <c r="V822" i="36"/>
  <c r="X822" i="36" s="1"/>
  <c r="L822" i="36"/>
  <c r="AL821" i="36"/>
  <c r="AM821" i="36" s="1"/>
  <c r="AG821" i="36"/>
  <c r="AH821" i="36" s="1"/>
  <c r="AB821" i="36"/>
  <c r="AC821" i="36" s="1"/>
  <c r="W821" i="36"/>
  <c r="V821" i="36"/>
  <c r="X821" i="36" s="1"/>
  <c r="L821" i="36"/>
  <c r="AL820" i="36"/>
  <c r="AM820" i="36" s="1"/>
  <c r="AG820" i="36"/>
  <c r="AH820" i="36" s="1"/>
  <c r="AB820" i="36"/>
  <c r="AC820" i="36" s="1"/>
  <c r="W820" i="36"/>
  <c r="V820" i="36"/>
  <c r="X820" i="36" s="1"/>
  <c r="L820" i="36"/>
  <c r="AL819" i="36"/>
  <c r="AM819" i="36" s="1"/>
  <c r="AG819" i="36"/>
  <c r="AH819" i="36" s="1"/>
  <c r="AB819" i="36"/>
  <c r="AC819" i="36" s="1"/>
  <c r="W819" i="36"/>
  <c r="V819" i="36"/>
  <c r="X819" i="36" s="1"/>
  <c r="L819" i="36"/>
  <c r="AL818" i="36"/>
  <c r="AM818" i="36" s="1"/>
  <c r="AG818" i="36"/>
  <c r="AH818" i="36" s="1"/>
  <c r="AB818" i="36"/>
  <c r="AC818" i="36" s="1"/>
  <c r="W818" i="36"/>
  <c r="V818" i="36"/>
  <c r="X818" i="36" s="1"/>
  <c r="L818" i="36"/>
  <c r="AL817" i="36"/>
  <c r="AM817" i="36" s="1"/>
  <c r="AG817" i="36"/>
  <c r="AH817" i="36" s="1"/>
  <c r="AB817" i="36"/>
  <c r="AC817" i="36" s="1"/>
  <c r="W817" i="36"/>
  <c r="V817" i="36"/>
  <c r="X817" i="36" s="1"/>
  <c r="L817" i="36"/>
  <c r="AL816" i="36"/>
  <c r="AM816" i="36" s="1"/>
  <c r="AG816" i="36"/>
  <c r="AH816" i="36" s="1"/>
  <c r="AB816" i="36"/>
  <c r="AC816" i="36" s="1"/>
  <c r="W816" i="36"/>
  <c r="V816" i="36"/>
  <c r="X816" i="36" s="1"/>
  <c r="L816" i="36"/>
  <c r="AL815" i="36"/>
  <c r="AM815" i="36" s="1"/>
  <c r="AG815" i="36"/>
  <c r="AH815" i="36" s="1"/>
  <c r="AB815" i="36"/>
  <c r="AC815" i="36" s="1"/>
  <c r="W815" i="36"/>
  <c r="V815" i="36"/>
  <c r="X815" i="36" s="1"/>
  <c r="L815" i="36"/>
  <c r="AL814" i="36"/>
  <c r="AM814" i="36" s="1"/>
  <c r="AG814" i="36"/>
  <c r="AH814" i="36" s="1"/>
  <c r="AB814" i="36"/>
  <c r="AC814" i="36" s="1"/>
  <c r="W814" i="36"/>
  <c r="V814" i="36"/>
  <c r="X814" i="36" s="1"/>
  <c r="L814" i="36"/>
  <c r="AL813" i="36"/>
  <c r="AM813" i="36" s="1"/>
  <c r="AG813" i="36"/>
  <c r="AH813" i="36" s="1"/>
  <c r="AB813" i="36"/>
  <c r="AC813" i="36" s="1"/>
  <c r="W813" i="36"/>
  <c r="V813" i="36"/>
  <c r="X813" i="36" s="1"/>
  <c r="L813" i="36"/>
  <c r="AL812" i="36"/>
  <c r="AM812" i="36" s="1"/>
  <c r="AG812" i="36"/>
  <c r="AH812" i="36" s="1"/>
  <c r="AB812" i="36"/>
  <c r="AC812" i="36" s="1"/>
  <c r="W812" i="36"/>
  <c r="V812" i="36"/>
  <c r="X812" i="36" s="1"/>
  <c r="L812" i="36"/>
  <c r="AL811" i="36"/>
  <c r="AM811" i="36" s="1"/>
  <c r="AG811" i="36"/>
  <c r="AH811" i="36" s="1"/>
  <c r="AB811" i="36"/>
  <c r="AC811" i="36" s="1"/>
  <c r="W811" i="36"/>
  <c r="V811" i="36"/>
  <c r="X811" i="36" s="1"/>
  <c r="L811" i="36"/>
  <c r="AL810" i="36"/>
  <c r="AM810" i="36" s="1"/>
  <c r="AG810" i="36"/>
  <c r="AH810" i="36" s="1"/>
  <c r="AB810" i="36"/>
  <c r="AC810" i="36" s="1"/>
  <c r="W810" i="36"/>
  <c r="V810" i="36"/>
  <c r="X810" i="36" s="1"/>
  <c r="L810" i="36"/>
  <c r="AL809" i="36"/>
  <c r="AM809" i="36" s="1"/>
  <c r="AG809" i="36"/>
  <c r="AH809" i="36" s="1"/>
  <c r="AB809" i="36"/>
  <c r="AC809" i="36" s="1"/>
  <c r="W809" i="36"/>
  <c r="V809" i="36"/>
  <c r="X809" i="36" s="1"/>
  <c r="L809" i="36"/>
  <c r="AL808" i="36"/>
  <c r="AM808" i="36" s="1"/>
  <c r="AG808" i="36"/>
  <c r="AH808" i="36" s="1"/>
  <c r="AB808" i="36"/>
  <c r="AC808" i="36" s="1"/>
  <c r="W808" i="36"/>
  <c r="V808" i="36"/>
  <c r="X808" i="36" s="1"/>
  <c r="L808" i="36"/>
  <c r="AL807" i="36"/>
  <c r="AM807" i="36" s="1"/>
  <c r="AG807" i="36"/>
  <c r="AH807" i="36" s="1"/>
  <c r="AB807" i="36"/>
  <c r="AC807" i="36" s="1"/>
  <c r="W807" i="36"/>
  <c r="V807" i="36"/>
  <c r="X807" i="36" s="1"/>
  <c r="L807" i="36"/>
  <c r="AL806" i="36"/>
  <c r="AM806" i="36" s="1"/>
  <c r="AG806" i="36"/>
  <c r="AH806" i="36" s="1"/>
  <c r="AB806" i="36"/>
  <c r="AC806" i="36" s="1"/>
  <c r="W806" i="36"/>
  <c r="V806" i="36"/>
  <c r="X806" i="36" s="1"/>
  <c r="L806" i="36"/>
  <c r="AL805" i="36"/>
  <c r="AM805" i="36" s="1"/>
  <c r="AG805" i="36"/>
  <c r="AH805" i="36" s="1"/>
  <c r="AB805" i="36"/>
  <c r="AC805" i="36" s="1"/>
  <c r="W805" i="36"/>
  <c r="V805" i="36"/>
  <c r="X805" i="36" s="1"/>
  <c r="L805" i="36"/>
  <c r="AL804" i="36"/>
  <c r="AM804" i="36" s="1"/>
  <c r="AG804" i="36"/>
  <c r="AH804" i="36" s="1"/>
  <c r="AB804" i="36"/>
  <c r="AC804" i="36" s="1"/>
  <c r="W804" i="36"/>
  <c r="V804" i="36"/>
  <c r="X804" i="36" s="1"/>
  <c r="L804" i="36"/>
  <c r="AL803" i="36"/>
  <c r="AM803" i="36" s="1"/>
  <c r="AG803" i="36"/>
  <c r="AH803" i="36" s="1"/>
  <c r="AB803" i="36"/>
  <c r="AC803" i="36" s="1"/>
  <c r="W803" i="36"/>
  <c r="V803" i="36"/>
  <c r="X803" i="36" s="1"/>
  <c r="L803" i="36"/>
  <c r="AL802" i="36"/>
  <c r="AM802" i="36" s="1"/>
  <c r="AG802" i="36"/>
  <c r="AH802" i="36" s="1"/>
  <c r="AB802" i="36"/>
  <c r="AC802" i="36" s="1"/>
  <c r="W802" i="36"/>
  <c r="V802" i="36"/>
  <c r="X802" i="36" s="1"/>
  <c r="L802" i="36"/>
  <c r="AL801" i="36"/>
  <c r="AM801" i="36" s="1"/>
  <c r="AG801" i="36"/>
  <c r="AH801" i="36" s="1"/>
  <c r="AB801" i="36"/>
  <c r="AC801" i="36" s="1"/>
  <c r="W801" i="36"/>
  <c r="V801" i="36"/>
  <c r="X801" i="36" s="1"/>
  <c r="L801" i="36"/>
  <c r="AL800" i="36"/>
  <c r="AM800" i="36" s="1"/>
  <c r="AG800" i="36"/>
  <c r="AH800" i="36" s="1"/>
  <c r="AB800" i="36"/>
  <c r="AC800" i="36" s="1"/>
  <c r="W800" i="36"/>
  <c r="V800" i="36"/>
  <c r="X800" i="36" s="1"/>
  <c r="L800" i="36"/>
  <c r="AL799" i="36"/>
  <c r="AM799" i="36" s="1"/>
  <c r="AG799" i="36"/>
  <c r="AH799" i="36" s="1"/>
  <c r="AB799" i="36"/>
  <c r="AC799" i="36" s="1"/>
  <c r="W799" i="36"/>
  <c r="V799" i="36"/>
  <c r="X799" i="36" s="1"/>
  <c r="L799" i="36"/>
  <c r="AL798" i="36"/>
  <c r="AM798" i="36" s="1"/>
  <c r="AG798" i="36"/>
  <c r="AH798" i="36" s="1"/>
  <c r="AB798" i="36"/>
  <c r="AC798" i="36" s="1"/>
  <c r="W798" i="36"/>
  <c r="V798" i="36"/>
  <c r="X798" i="36" s="1"/>
  <c r="L798" i="36"/>
  <c r="AL797" i="36"/>
  <c r="AM797" i="36" s="1"/>
  <c r="AG797" i="36"/>
  <c r="AH797" i="36" s="1"/>
  <c r="AB797" i="36"/>
  <c r="AC797" i="36" s="1"/>
  <c r="W797" i="36"/>
  <c r="V797" i="36"/>
  <c r="X797" i="36" s="1"/>
  <c r="L797" i="36"/>
  <c r="AL796" i="36"/>
  <c r="AM796" i="36" s="1"/>
  <c r="AG796" i="36"/>
  <c r="AH796" i="36" s="1"/>
  <c r="AB796" i="36"/>
  <c r="AC796" i="36" s="1"/>
  <c r="W796" i="36"/>
  <c r="V796" i="36"/>
  <c r="X796" i="36" s="1"/>
  <c r="L796" i="36"/>
  <c r="AL795" i="36"/>
  <c r="AM795" i="36" s="1"/>
  <c r="AG795" i="36"/>
  <c r="AH795" i="36" s="1"/>
  <c r="AB795" i="36"/>
  <c r="AC795" i="36" s="1"/>
  <c r="W795" i="36"/>
  <c r="V795" i="36"/>
  <c r="X795" i="36" s="1"/>
  <c r="L795" i="36"/>
  <c r="AL794" i="36"/>
  <c r="AM794" i="36" s="1"/>
  <c r="AG794" i="36"/>
  <c r="AH794" i="36" s="1"/>
  <c r="AB794" i="36"/>
  <c r="AC794" i="36" s="1"/>
  <c r="W794" i="36"/>
  <c r="V794" i="36"/>
  <c r="X794" i="36" s="1"/>
  <c r="L794" i="36"/>
  <c r="AL793" i="36"/>
  <c r="AM793" i="36" s="1"/>
  <c r="AG793" i="36"/>
  <c r="AH793" i="36" s="1"/>
  <c r="AB793" i="36"/>
  <c r="AC793" i="36" s="1"/>
  <c r="W793" i="36"/>
  <c r="V793" i="36"/>
  <c r="X793" i="36" s="1"/>
  <c r="L793" i="36"/>
  <c r="AL792" i="36"/>
  <c r="AM792" i="36" s="1"/>
  <c r="AG792" i="36"/>
  <c r="AH792" i="36" s="1"/>
  <c r="AB792" i="36"/>
  <c r="AC792" i="36" s="1"/>
  <c r="W792" i="36"/>
  <c r="V792" i="36"/>
  <c r="X792" i="36" s="1"/>
  <c r="L792" i="36"/>
  <c r="AL791" i="36"/>
  <c r="AM791" i="36" s="1"/>
  <c r="AG791" i="36"/>
  <c r="AH791" i="36" s="1"/>
  <c r="AB791" i="36"/>
  <c r="AC791" i="36" s="1"/>
  <c r="W791" i="36"/>
  <c r="V791" i="36"/>
  <c r="X791" i="36" s="1"/>
  <c r="L791" i="36"/>
  <c r="AL790" i="36"/>
  <c r="AM790" i="36" s="1"/>
  <c r="AG790" i="36"/>
  <c r="AH790" i="36" s="1"/>
  <c r="AB790" i="36"/>
  <c r="AC790" i="36" s="1"/>
  <c r="W790" i="36"/>
  <c r="V790" i="36"/>
  <c r="X790" i="36" s="1"/>
  <c r="L790" i="36"/>
  <c r="AL789" i="36"/>
  <c r="AM789" i="36" s="1"/>
  <c r="AG789" i="36"/>
  <c r="AH789" i="36" s="1"/>
  <c r="AB789" i="36"/>
  <c r="AC789" i="36" s="1"/>
  <c r="W789" i="36"/>
  <c r="V789" i="36"/>
  <c r="X789" i="36" s="1"/>
  <c r="L789" i="36"/>
  <c r="AL788" i="36"/>
  <c r="AM788" i="36" s="1"/>
  <c r="AG788" i="36"/>
  <c r="AH788" i="36" s="1"/>
  <c r="AB788" i="36"/>
  <c r="AC788" i="36" s="1"/>
  <c r="W788" i="36"/>
  <c r="V788" i="36"/>
  <c r="X788" i="36" s="1"/>
  <c r="L788" i="36"/>
  <c r="AL787" i="36"/>
  <c r="AM787" i="36" s="1"/>
  <c r="AG787" i="36"/>
  <c r="AH787" i="36" s="1"/>
  <c r="AB787" i="36"/>
  <c r="AC787" i="36" s="1"/>
  <c r="W787" i="36"/>
  <c r="V787" i="36"/>
  <c r="X787" i="36" s="1"/>
  <c r="L787" i="36"/>
  <c r="AL786" i="36"/>
  <c r="AM786" i="36" s="1"/>
  <c r="AG786" i="36"/>
  <c r="AH786" i="36" s="1"/>
  <c r="AB786" i="36"/>
  <c r="AC786" i="36" s="1"/>
  <c r="W786" i="36"/>
  <c r="V786" i="36"/>
  <c r="X786" i="36" s="1"/>
  <c r="L786" i="36"/>
  <c r="AL785" i="36"/>
  <c r="AM785" i="36" s="1"/>
  <c r="AG785" i="36"/>
  <c r="AH785" i="36" s="1"/>
  <c r="AB785" i="36"/>
  <c r="AC785" i="36" s="1"/>
  <c r="W785" i="36"/>
  <c r="V785" i="36"/>
  <c r="X785" i="36" s="1"/>
  <c r="L785" i="36"/>
  <c r="AL784" i="36"/>
  <c r="AM784" i="36" s="1"/>
  <c r="AG784" i="36"/>
  <c r="AH784" i="36" s="1"/>
  <c r="AB784" i="36"/>
  <c r="AC784" i="36" s="1"/>
  <c r="W784" i="36"/>
  <c r="V784" i="36"/>
  <c r="X784" i="36" s="1"/>
  <c r="L784" i="36"/>
  <c r="AL783" i="36"/>
  <c r="AM783" i="36" s="1"/>
  <c r="AG783" i="36"/>
  <c r="AH783" i="36" s="1"/>
  <c r="AB783" i="36"/>
  <c r="AC783" i="36" s="1"/>
  <c r="W783" i="36"/>
  <c r="V783" i="36"/>
  <c r="X783" i="36" s="1"/>
  <c r="L783" i="36"/>
  <c r="AL782" i="36"/>
  <c r="AM782" i="36" s="1"/>
  <c r="AG782" i="36"/>
  <c r="AH782" i="36" s="1"/>
  <c r="AB782" i="36"/>
  <c r="AC782" i="36" s="1"/>
  <c r="W782" i="36"/>
  <c r="V782" i="36"/>
  <c r="X782" i="36" s="1"/>
  <c r="L782" i="36"/>
  <c r="AL781" i="36"/>
  <c r="AM781" i="36" s="1"/>
  <c r="AG781" i="36"/>
  <c r="AH781" i="36" s="1"/>
  <c r="AB781" i="36"/>
  <c r="AC781" i="36" s="1"/>
  <c r="W781" i="36"/>
  <c r="V781" i="36"/>
  <c r="X781" i="36" s="1"/>
  <c r="L781" i="36"/>
  <c r="AL780" i="36"/>
  <c r="AM780" i="36" s="1"/>
  <c r="AG780" i="36"/>
  <c r="AH780" i="36" s="1"/>
  <c r="AB780" i="36"/>
  <c r="AC780" i="36" s="1"/>
  <c r="W780" i="36"/>
  <c r="V780" i="36"/>
  <c r="X780" i="36" s="1"/>
  <c r="L780" i="36"/>
  <c r="AL779" i="36"/>
  <c r="AM779" i="36" s="1"/>
  <c r="AG779" i="36"/>
  <c r="AH779" i="36" s="1"/>
  <c r="AB779" i="36"/>
  <c r="AC779" i="36" s="1"/>
  <c r="W779" i="36"/>
  <c r="V779" i="36"/>
  <c r="X779" i="36" s="1"/>
  <c r="L779" i="36"/>
  <c r="AL778" i="36"/>
  <c r="AM778" i="36" s="1"/>
  <c r="AG778" i="36"/>
  <c r="AH778" i="36" s="1"/>
  <c r="AB778" i="36"/>
  <c r="AC778" i="36" s="1"/>
  <c r="W778" i="36"/>
  <c r="V778" i="36"/>
  <c r="X778" i="36" s="1"/>
  <c r="L778" i="36"/>
  <c r="AL777" i="36"/>
  <c r="AM777" i="36" s="1"/>
  <c r="AG777" i="36"/>
  <c r="AH777" i="36" s="1"/>
  <c r="AB777" i="36"/>
  <c r="AC777" i="36" s="1"/>
  <c r="W777" i="36"/>
  <c r="V777" i="36"/>
  <c r="X777" i="36" s="1"/>
  <c r="L777" i="36"/>
  <c r="AL776" i="36"/>
  <c r="AM776" i="36" s="1"/>
  <c r="AG776" i="36"/>
  <c r="AH776" i="36" s="1"/>
  <c r="AB776" i="36"/>
  <c r="AC776" i="36" s="1"/>
  <c r="W776" i="36"/>
  <c r="V776" i="36"/>
  <c r="X776" i="36" s="1"/>
  <c r="L776" i="36"/>
  <c r="AL775" i="36"/>
  <c r="AM775" i="36" s="1"/>
  <c r="AG775" i="36"/>
  <c r="AH775" i="36" s="1"/>
  <c r="AB775" i="36"/>
  <c r="AC775" i="36" s="1"/>
  <c r="W775" i="36"/>
  <c r="V775" i="36"/>
  <c r="X775" i="36" s="1"/>
  <c r="L775" i="36"/>
  <c r="AL774" i="36"/>
  <c r="AM774" i="36" s="1"/>
  <c r="AG774" i="36"/>
  <c r="AH774" i="36" s="1"/>
  <c r="AB774" i="36"/>
  <c r="AC774" i="36" s="1"/>
  <c r="W774" i="36"/>
  <c r="V774" i="36"/>
  <c r="X774" i="36" s="1"/>
  <c r="L774" i="36"/>
  <c r="AL773" i="36"/>
  <c r="AM773" i="36" s="1"/>
  <c r="AG773" i="36"/>
  <c r="AH773" i="36" s="1"/>
  <c r="AB773" i="36"/>
  <c r="AC773" i="36" s="1"/>
  <c r="W773" i="36"/>
  <c r="V773" i="36"/>
  <c r="X773" i="36" s="1"/>
  <c r="L773" i="36"/>
  <c r="AL772" i="36"/>
  <c r="AM772" i="36" s="1"/>
  <c r="AG772" i="36"/>
  <c r="AH772" i="36" s="1"/>
  <c r="AB772" i="36"/>
  <c r="AC772" i="36" s="1"/>
  <c r="W772" i="36"/>
  <c r="V772" i="36"/>
  <c r="X772" i="36" s="1"/>
  <c r="L772" i="36"/>
  <c r="AL771" i="36"/>
  <c r="AM771" i="36" s="1"/>
  <c r="AG771" i="36"/>
  <c r="AH771" i="36" s="1"/>
  <c r="AB771" i="36"/>
  <c r="AC771" i="36" s="1"/>
  <c r="W771" i="36"/>
  <c r="V771" i="36"/>
  <c r="X771" i="36" s="1"/>
  <c r="L771" i="36"/>
  <c r="AL770" i="36"/>
  <c r="AM770" i="36" s="1"/>
  <c r="AG770" i="36"/>
  <c r="AH770" i="36" s="1"/>
  <c r="AB770" i="36"/>
  <c r="AC770" i="36" s="1"/>
  <c r="W770" i="36"/>
  <c r="V770" i="36"/>
  <c r="X770" i="36" s="1"/>
  <c r="L770" i="36"/>
  <c r="AL769" i="36"/>
  <c r="AM769" i="36" s="1"/>
  <c r="AG769" i="36"/>
  <c r="AH769" i="36" s="1"/>
  <c r="AB769" i="36"/>
  <c r="AC769" i="36" s="1"/>
  <c r="W769" i="36"/>
  <c r="V769" i="36"/>
  <c r="X769" i="36" s="1"/>
  <c r="L769" i="36"/>
  <c r="AL768" i="36"/>
  <c r="AM768" i="36" s="1"/>
  <c r="AG768" i="36"/>
  <c r="AH768" i="36" s="1"/>
  <c r="AB768" i="36"/>
  <c r="AC768" i="36" s="1"/>
  <c r="W768" i="36"/>
  <c r="V768" i="36"/>
  <c r="X768" i="36" s="1"/>
  <c r="L768" i="36"/>
  <c r="AL767" i="36"/>
  <c r="AM767" i="36" s="1"/>
  <c r="AG767" i="36"/>
  <c r="AH767" i="36" s="1"/>
  <c r="AB767" i="36"/>
  <c r="AC767" i="36" s="1"/>
  <c r="W767" i="36"/>
  <c r="V767" i="36"/>
  <c r="X767" i="36" s="1"/>
  <c r="L767" i="36"/>
  <c r="AL766" i="36"/>
  <c r="AM766" i="36" s="1"/>
  <c r="AG766" i="36"/>
  <c r="AH766" i="36" s="1"/>
  <c r="AB766" i="36"/>
  <c r="AC766" i="36" s="1"/>
  <c r="W766" i="36"/>
  <c r="V766" i="36"/>
  <c r="X766" i="36" s="1"/>
  <c r="L766" i="36"/>
  <c r="AL765" i="36"/>
  <c r="AM765" i="36" s="1"/>
  <c r="AG765" i="36"/>
  <c r="AH765" i="36" s="1"/>
  <c r="AB765" i="36"/>
  <c r="AC765" i="36" s="1"/>
  <c r="W765" i="36"/>
  <c r="V765" i="36"/>
  <c r="X765" i="36" s="1"/>
  <c r="L765" i="36"/>
  <c r="AL764" i="36"/>
  <c r="AM764" i="36" s="1"/>
  <c r="AG764" i="36"/>
  <c r="AH764" i="36" s="1"/>
  <c r="AB764" i="36"/>
  <c r="AC764" i="36" s="1"/>
  <c r="W764" i="36"/>
  <c r="V764" i="36"/>
  <c r="X764" i="36" s="1"/>
  <c r="L764" i="36"/>
  <c r="AL763" i="36"/>
  <c r="AM763" i="36" s="1"/>
  <c r="AG763" i="36"/>
  <c r="AH763" i="36" s="1"/>
  <c r="AB763" i="36"/>
  <c r="AC763" i="36" s="1"/>
  <c r="W763" i="36"/>
  <c r="V763" i="36"/>
  <c r="X763" i="36" s="1"/>
  <c r="L763" i="36"/>
  <c r="AL762" i="36"/>
  <c r="AM762" i="36" s="1"/>
  <c r="AG762" i="36"/>
  <c r="AH762" i="36" s="1"/>
  <c r="AB762" i="36"/>
  <c r="AC762" i="36" s="1"/>
  <c r="W762" i="36"/>
  <c r="V762" i="36"/>
  <c r="X762" i="36" s="1"/>
  <c r="L762" i="36"/>
  <c r="AL761" i="36"/>
  <c r="AM761" i="36" s="1"/>
  <c r="AG761" i="36"/>
  <c r="AH761" i="36" s="1"/>
  <c r="AB761" i="36"/>
  <c r="AC761" i="36" s="1"/>
  <c r="W761" i="36"/>
  <c r="V761" i="36"/>
  <c r="X761" i="36" s="1"/>
  <c r="L761" i="36"/>
  <c r="AL760" i="36"/>
  <c r="AM760" i="36" s="1"/>
  <c r="AG760" i="36"/>
  <c r="AH760" i="36" s="1"/>
  <c r="AB760" i="36"/>
  <c r="AC760" i="36" s="1"/>
  <c r="W760" i="36"/>
  <c r="V760" i="36"/>
  <c r="X760" i="36" s="1"/>
  <c r="L760" i="36"/>
  <c r="AL759" i="36"/>
  <c r="AM759" i="36" s="1"/>
  <c r="AG759" i="36"/>
  <c r="AH759" i="36" s="1"/>
  <c r="AB759" i="36"/>
  <c r="AC759" i="36" s="1"/>
  <c r="W759" i="36"/>
  <c r="V759" i="36"/>
  <c r="X759" i="36" s="1"/>
  <c r="L759" i="36"/>
  <c r="AL758" i="36"/>
  <c r="AM758" i="36" s="1"/>
  <c r="AG758" i="36"/>
  <c r="AH758" i="36" s="1"/>
  <c r="AB758" i="36"/>
  <c r="AC758" i="36" s="1"/>
  <c r="W758" i="36"/>
  <c r="V758" i="36"/>
  <c r="X758" i="36" s="1"/>
  <c r="L758" i="36"/>
  <c r="AL757" i="36"/>
  <c r="AM757" i="36" s="1"/>
  <c r="AG757" i="36"/>
  <c r="AH757" i="36" s="1"/>
  <c r="AB757" i="36"/>
  <c r="AC757" i="36" s="1"/>
  <c r="W757" i="36"/>
  <c r="V757" i="36"/>
  <c r="X757" i="36" s="1"/>
  <c r="L757" i="36"/>
  <c r="AL756" i="36"/>
  <c r="AM756" i="36" s="1"/>
  <c r="AG756" i="36"/>
  <c r="AH756" i="36" s="1"/>
  <c r="AB756" i="36"/>
  <c r="AC756" i="36" s="1"/>
  <c r="W756" i="36"/>
  <c r="V756" i="36"/>
  <c r="X756" i="36" s="1"/>
  <c r="L756" i="36"/>
  <c r="AL755" i="36"/>
  <c r="AM755" i="36" s="1"/>
  <c r="AG755" i="36"/>
  <c r="AH755" i="36" s="1"/>
  <c r="AB755" i="36"/>
  <c r="AC755" i="36" s="1"/>
  <c r="W755" i="36"/>
  <c r="V755" i="36"/>
  <c r="X755" i="36" s="1"/>
  <c r="L755" i="36"/>
  <c r="AL754" i="36"/>
  <c r="AM754" i="36" s="1"/>
  <c r="AG754" i="36"/>
  <c r="AH754" i="36" s="1"/>
  <c r="AB754" i="36"/>
  <c r="AC754" i="36" s="1"/>
  <c r="W754" i="36"/>
  <c r="V754" i="36"/>
  <c r="X754" i="36" s="1"/>
  <c r="L754" i="36"/>
  <c r="AL753" i="36"/>
  <c r="AM753" i="36" s="1"/>
  <c r="AG753" i="36"/>
  <c r="AH753" i="36" s="1"/>
  <c r="AB753" i="36"/>
  <c r="AC753" i="36" s="1"/>
  <c r="W753" i="36"/>
  <c r="V753" i="36"/>
  <c r="X753" i="36" s="1"/>
  <c r="L753" i="36"/>
  <c r="AL752" i="36"/>
  <c r="AM752" i="36" s="1"/>
  <c r="AG752" i="36"/>
  <c r="AH752" i="36" s="1"/>
  <c r="AB752" i="36"/>
  <c r="AC752" i="36" s="1"/>
  <c r="W752" i="36"/>
  <c r="V752" i="36"/>
  <c r="X752" i="36" s="1"/>
  <c r="L752" i="36"/>
  <c r="AL751" i="36"/>
  <c r="AM751" i="36" s="1"/>
  <c r="AG751" i="36"/>
  <c r="AH751" i="36" s="1"/>
  <c r="AB751" i="36"/>
  <c r="AC751" i="36" s="1"/>
  <c r="W751" i="36"/>
  <c r="V751" i="36"/>
  <c r="X751" i="36" s="1"/>
  <c r="L751" i="36"/>
  <c r="AL750" i="36"/>
  <c r="AM750" i="36" s="1"/>
  <c r="AG750" i="36"/>
  <c r="AH750" i="36" s="1"/>
  <c r="AB750" i="36"/>
  <c r="AC750" i="36" s="1"/>
  <c r="W750" i="36"/>
  <c r="V750" i="36"/>
  <c r="X750" i="36" s="1"/>
  <c r="L750" i="36"/>
  <c r="AL749" i="36"/>
  <c r="AM749" i="36" s="1"/>
  <c r="AG749" i="36"/>
  <c r="AH749" i="36" s="1"/>
  <c r="AB749" i="36"/>
  <c r="AC749" i="36" s="1"/>
  <c r="W749" i="36"/>
  <c r="V749" i="36"/>
  <c r="X749" i="36" s="1"/>
  <c r="L749" i="36"/>
  <c r="AL748" i="36"/>
  <c r="AM748" i="36" s="1"/>
  <c r="AG748" i="36"/>
  <c r="AH748" i="36" s="1"/>
  <c r="AB748" i="36"/>
  <c r="AC748" i="36" s="1"/>
  <c r="W748" i="36"/>
  <c r="V748" i="36"/>
  <c r="X748" i="36" s="1"/>
  <c r="L748" i="36"/>
  <c r="AL747" i="36"/>
  <c r="AM747" i="36" s="1"/>
  <c r="AG747" i="36"/>
  <c r="AH747" i="36" s="1"/>
  <c r="AB747" i="36"/>
  <c r="AC747" i="36" s="1"/>
  <c r="W747" i="36"/>
  <c r="V747" i="36"/>
  <c r="X747" i="36" s="1"/>
  <c r="L747" i="36"/>
  <c r="AL746" i="36"/>
  <c r="AM746" i="36" s="1"/>
  <c r="AG746" i="36"/>
  <c r="AH746" i="36" s="1"/>
  <c r="AB746" i="36"/>
  <c r="AC746" i="36" s="1"/>
  <c r="W746" i="36"/>
  <c r="V746" i="36"/>
  <c r="X746" i="36" s="1"/>
  <c r="L746" i="36"/>
  <c r="AL745" i="36"/>
  <c r="AM745" i="36" s="1"/>
  <c r="AG745" i="36"/>
  <c r="AH745" i="36" s="1"/>
  <c r="AB745" i="36"/>
  <c r="AC745" i="36" s="1"/>
  <c r="W745" i="36"/>
  <c r="V745" i="36"/>
  <c r="X745" i="36" s="1"/>
  <c r="L745" i="36"/>
  <c r="AL744" i="36"/>
  <c r="AM744" i="36" s="1"/>
  <c r="AG744" i="36"/>
  <c r="AH744" i="36" s="1"/>
  <c r="AB744" i="36"/>
  <c r="AC744" i="36" s="1"/>
  <c r="W744" i="36"/>
  <c r="V744" i="36"/>
  <c r="X744" i="36" s="1"/>
  <c r="L744" i="36"/>
  <c r="AL743" i="36"/>
  <c r="AM743" i="36" s="1"/>
  <c r="AG743" i="36"/>
  <c r="AH743" i="36" s="1"/>
  <c r="AB743" i="36"/>
  <c r="AC743" i="36" s="1"/>
  <c r="W743" i="36"/>
  <c r="V743" i="36"/>
  <c r="X743" i="36" s="1"/>
  <c r="L743" i="36"/>
  <c r="AL742" i="36"/>
  <c r="AM742" i="36" s="1"/>
  <c r="AG742" i="36"/>
  <c r="AH742" i="36" s="1"/>
  <c r="AB742" i="36"/>
  <c r="AC742" i="36" s="1"/>
  <c r="W742" i="36"/>
  <c r="V742" i="36"/>
  <c r="X742" i="36" s="1"/>
  <c r="L742" i="36"/>
  <c r="AL741" i="36"/>
  <c r="AM741" i="36" s="1"/>
  <c r="AG741" i="36"/>
  <c r="AH741" i="36" s="1"/>
  <c r="AB741" i="36"/>
  <c r="AC741" i="36" s="1"/>
  <c r="W741" i="36"/>
  <c r="V741" i="36"/>
  <c r="X741" i="36" s="1"/>
  <c r="L741" i="36"/>
  <c r="AL740" i="36"/>
  <c r="AM740" i="36" s="1"/>
  <c r="AG740" i="36"/>
  <c r="AH740" i="36" s="1"/>
  <c r="AB740" i="36"/>
  <c r="AC740" i="36" s="1"/>
  <c r="W740" i="36"/>
  <c r="V740" i="36"/>
  <c r="X740" i="36" s="1"/>
  <c r="L740" i="36"/>
  <c r="AL739" i="36"/>
  <c r="AM739" i="36" s="1"/>
  <c r="AG739" i="36"/>
  <c r="AH739" i="36" s="1"/>
  <c r="AB739" i="36"/>
  <c r="AC739" i="36" s="1"/>
  <c r="W739" i="36"/>
  <c r="V739" i="36"/>
  <c r="X739" i="36" s="1"/>
  <c r="L739" i="36"/>
  <c r="AL738" i="36"/>
  <c r="AM738" i="36" s="1"/>
  <c r="AG738" i="36"/>
  <c r="AH738" i="36" s="1"/>
  <c r="AB738" i="36"/>
  <c r="AC738" i="36" s="1"/>
  <c r="W738" i="36"/>
  <c r="V738" i="36"/>
  <c r="X738" i="36" s="1"/>
  <c r="L738" i="36"/>
  <c r="AL737" i="36"/>
  <c r="AM737" i="36" s="1"/>
  <c r="AG737" i="36"/>
  <c r="AH737" i="36" s="1"/>
  <c r="AB737" i="36"/>
  <c r="AC737" i="36" s="1"/>
  <c r="W737" i="36"/>
  <c r="V737" i="36"/>
  <c r="X737" i="36" s="1"/>
  <c r="L737" i="36"/>
  <c r="AL736" i="36"/>
  <c r="AM736" i="36" s="1"/>
  <c r="AG736" i="36"/>
  <c r="AH736" i="36" s="1"/>
  <c r="AB736" i="36"/>
  <c r="AC736" i="36" s="1"/>
  <c r="W736" i="36"/>
  <c r="V736" i="36"/>
  <c r="X736" i="36" s="1"/>
  <c r="L736" i="36"/>
  <c r="AL735" i="36"/>
  <c r="AM735" i="36" s="1"/>
  <c r="AG735" i="36"/>
  <c r="AH735" i="36" s="1"/>
  <c r="AB735" i="36"/>
  <c r="AC735" i="36" s="1"/>
  <c r="W735" i="36"/>
  <c r="V735" i="36"/>
  <c r="X735" i="36" s="1"/>
  <c r="L735" i="36"/>
  <c r="AL734" i="36"/>
  <c r="AM734" i="36" s="1"/>
  <c r="AG734" i="36"/>
  <c r="AH734" i="36" s="1"/>
  <c r="AB734" i="36"/>
  <c r="AC734" i="36" s="1"/>
  <c r="W734" i="36"/>
  <c r="V734" i="36"/>
  <c r="X734" i="36" s="1"/>
  <c r="L734" i="36"/>
  <c r="AL733" i="36"/>
  <c r="AM733" i="36" s="1"/>
  <c r="AG733" i="36"/>
  <c r="AH733" i="36" s="1"/>
  <c r="AB733" i="36"/>
  <c r="AC733" i="36" s="1"/>
  <c r="W733" i="36"/>
  <c r="V733" i="36"/>
  <c r="X733" i="36" s="1"/>
  <c r="L733" i="36"/>
  <c r="AL732" i="36"/>
  <c r="AM732" i="36" s="1"/>
  <c r="AG732" i="36"/>
  <c r="AH732" i="36" s="1"/>
  <c r="AB732" i="36"/>
  <c r="AC732" i="36" s="1"/>
  <c r="W732" i="36"/>
  <c r="V732" i="36"/>
  <c r="X732" i="36" s="1"/>
  <c r="L732" i="36"/>
  <c r="AL731" i="36"/>
  <c r="AM731" i="36" s="1"/>
  <c r="AG731" i="36"/>
  <c r="AH731" i="36" s="1"/>
  <c r="AB731" i="36"/>
  <c r="AC731" i="36" s="1"/>
  <c r="W731" i="36"/>
  <c r="V731" i="36"/>
  <c r="X731" i="36" s="1"/>
  <c r="L731" i="36"/>
  <c r="AL730" i="36"/>
  <c r="AM730" i="36" s="1"/>
  <c r="AG730" i="36"/>
  <c r="AH730" i="36" s="1"/>
  <c r="AB730" i="36"/>
  <c r="AC730" i="36" s="1"/>
  <c r="W730" i="36"/>
  <c r="V730" i="36"/>
  <c r="X730" i="36" s="1"/>
  <c r="L730" i="36"/>
  <c r="AL729" i="36"/>
  <c r="AM729" i="36" s="1"/>
  <c r="AG729" i="36"/>
  <c r="AH729" i="36" s="1"/>
  <c r="AB729" i="36"/>
  <c r="AC729" i="36" s="1"/>
  <c r="W729" i="36"/>
  <c r="V729" i="36"/>
  <c r="X729" i="36" s="1"/>
  <c r="L729" i="36"/>
  <c r="AL728" i="36"/>
  <c r="AM728" i="36" s="1"/>
  <c r="AG728" i="36"/>
  <c r="AH728" i="36" s="1"/>
  <c r="AB728" i="36"/>
  <c r="AC728" i="36" s="1"/>
  <c r="W728" i="36"/>
  <c r="V728" i="36"/>
  <c r="X728" i="36" s="1"/>
  <c r="L728" i="36"/>
  <c r="AL727" i="36"/>
  <c r="AM727" i="36" s="1"/>
  <c r="AG727" i="36"/>
  <c r="AH727" i="36" s="1"/>
  <c r="AB727" i="36"/>
  <c r="AC727" i="36" s="1"/>
  <c r="W727" i="36"/>
  <c r="V727" i="36"/>
  <c r="X727" i="36" s="1"/>
  <c r="L727" i="36"/>
  <c r="AL726" i="36"/>
  <c r="AM726" i="36" s="1"/>
  <c r="AG726" i="36"/>
  <c r="AH726" i="36" s="1"/>
  <c r="AB726" i="36"/>
  <c r="AC726" i="36" s="1"/>
  <c r="W726" i="36"/>
  <c r="V726" i="36"/>
  <c r="X726" i="36" s="1"/>
  <c r="L726" i="36"/>
  <c r="AL725" i="36"/>
  <c r="AM725" i="36" s="1"/>
  <c r="AG725" i="36"/>
  <c r="AH725" i="36" s="1"/>
  <c r="AB725" i="36"/>
  <c r="AC725" i="36" s="1"/>
  <c r="W725" i="36"/>
  <c r="V725" i="36"/>
  <c r="X725" i="36" s="1"/>
  <c r="L725" i="36"/>
  <c r="AL724" i="36"/>
  <c r="AM724" i="36" s="1"/>
  <c r="AG724" i="36"/>
  <c r="AH724" i="36" s="1"/>
  <c r="AB724" i="36"/>
  <c r="AC724" i="36" s="1"/>
  <c r="W724" i="36"/>
  <c r="V724" i="36"/>
  <c r="X724" i="36" s="1"/>
  <c r="L724" i="36"/>
  <c r="AL723" i="36"/>
  <c r="AM723" i="36" s="1"/>
  <c r="AG723" i="36"/>
  <c r="AH723" i="36" s="1"/>
  <c r="AB723" i="36"/>
  <c r="AC723" i="36" s="1"/>
  <c r="W723" i="36"/>
  <c r="V723" i="36"/>
  <c r="X723" i="36" s="1"/>
  <c r="L723" i="36"/>
  <c r="AL722" i="36"/>
  <c r="AM722" i="36" s="1"/>
  <c r="AG722" i="36"/>
  <c r="AH722" i="36" s="1"/>
  <c r="AB722" i="36"/>
  <c r="AC722" i="36" s="1"/>
  <c r="W722" i="36"/>
  <c r="V722" i="36"/>
  <c r="X722" i="36" s="1"/>
  <c r="L722" i="36"/>
  <c r="AL721" i="36"/>
  <c r="AM721" i="36" s="1"/>
  <c r="AG721" i="36"/>
  <c r="AH721" i="36" s="1"/>
  <c r="AB721" i="36"/>
  <c r="AC721" i="36" s="1"/>
  <c r="W721" i="36"/>
  <c r="V721" i="36"/>
  <c r="X721" i="36" s="1"/>
  <c r="L721" i="36"/>
  <c r="AL720" i="36"/>
  <c r="AM720" i="36" s="1"/>
  <c r="AG720" i="36"/>
  <c r="AH720" i="36" s="1"/>
  <c r="AB720" i="36"/>
  <c r="AC720" i="36" s="1"/>
  <c r="W720" i="36"/>
  <c r="V720" i="36"/>
  <c r="X720" i="36" s="1"/>
  <c r="L720" i="36"/>
  <c r="AL719" i="36"/>
  <c r="AM719" i="36" s="1"/>
  <c r="AG719" i="36"/>
  <c r="AH719" i="36" s="1"/>
  <c r="AB719" i="36"/>
  <c r="AC719" i="36" s="1"/>
  <c r="W719" i="36"/>
  <c r="V719" i="36"/>
  <c r="X719" i="36" s="1"/>
  <c r="L719" i="36"/>
  <c r="AL718" i="36"/>
  <c r="AM718" i="36" s="1"/>
  <c r="AG718" i="36"/>
  <c r="AH718" i="36" s="1"/>
  <c r="AB718" i="36"/>
  <c r="AC718" i="36" s="1"/>
  <c r="W718" i="36"/>
  <c r="V718" i="36"/>
  <c r="X718" i="36" s="1"/>
  <c r="L718" i="36"/>
  <c r="AL717" i="36"/>
  <c r="AM717" i="36" s="1"/>
  <c r="AG717" i="36"/>
  <c r="AH717" i="36" s="1"/>
  <c r="AB717" i="36"/>
  <c r="AC717" i="36" s="1"/>
  <c r="W717" i="36"/>
  <c r="V717" i="36"/>
  <c r="X717" i="36" s="1"/>
  <c r="L717" i="36"/>
  <c r="AL716" i="36"/>
  <c r="AM716" i="36" s="1"/>
  <c r="AG716" i="36"/>
  <c r="AH716" i="36" s="1"/>
  <c r="AB716" i="36"/>
  <c r="AC716" i="36" s="1"/>
  <c r="W716" i="36"/>
  <c r="V716" i="36"/>
  <c r="X716" i="36" s="1"/>
  <c r="L716" i="36"/>
  <c r="AL715" i="36"/>
  <c r="AM715" i="36" s="1"/>
  <c r="AG715" i="36"/>
  <c r="AH715" i="36" s="1"/>
  <c r="AB715" i="36"/>
  <c r="AC715" i="36" s="1"/>
  <c r="W715" i="36"/>
  <c r="V715" i="36"/>
  <c r="X715" i="36" s="1"/>
  <c r="L715" i="36"/>
  <c r="AL714" i="36"/>
  <c r="AM714" i="36" s="1"/>
  <c r="AG714" i="36"/>
  <c r="AH714" i="36" s="1"/>
  <c r="AB714" i="36"/>
  <c r="AC714" i="36" s="1"/>
  <c r="W714" i="36"/>
  <c r="V714" i="36"/>
  <c r="X714" i="36" s="1"/>
  <c r="L714" i="36"/>
  <c r="AL713" i="36"/>
  <c r="AM713" i="36" s="1"/>
  <c r="AG713" i="36"/>
  <c r="AH713" i="36" s="1"/>
  <c r="AB713" i="36"/>
  <c r="AC713" i="36" s="1"/>
  <c r="W713" i="36"/>
  <c r="V713" i="36"/>
  <c r="X713" i="36" s="1"/>
  <c r="L713" i="36"/>
  <c r="AL712" i="36"/>
  <c r="AM712" i="36" s="1"/>
  <c r="AG712" i="36"/>
  <c r="AH712" i="36" s="1"/>
  <c r="AB712" i="36"/>
  <c r="AC712" i="36" s="1"/>
  <c r="W712" i="36"/>
  <c r="V712" i="36"/>
  <c r="X712" i="36" s="1"/>
  <c r="L712" i="36"/>
  <c r="AL711" i="36"/>
  <c r="AM711" i="36" s="1"/>
  <c r="AG711" i="36"/>
  <c r="AH711" i="36" s="1"/>
  <c r="AB711" i="36"/>
  <c r="AC711" i="36" s="1"/>
  <c r="W711" i="36"/>
  <c r="V711" i="36"/>
  <c r="X711" i="36" s="1"/>
  <c r="L711" i="36"/>
  <c r="AL710" i="36"/>
  <c r="AM710" i="36" s="1"/>
  <c r="AG710" i="36"/>
  <c r="AH710" i="36" s="1"/>
  <c r="AB710" i="36"/>
  <c r="AC710" i="36" s="1"/>
  <c r="W710" i="36"/>
  <c r="V710" i="36"/>
  <c r="X710" i="36" s="1"/>
  <c r="L710" i="36"/>
  <c r="AL709" i="36"/>
  <c r="AM709" i="36" s="1"/>
  <c r="AG709" i="36"/>
  <c r="AH709" i="36" s="1"/>
  <c r="AB709" i="36"/>
  <c r="AC709" i="36" s="1"/>
  <c r="W709" i="36"/>
  <c r="V709" i="36"/>
  <c r="X709" i="36" s="1"/>
  <c r="L709" i="36"/>
  <c r="AL708" i="36"/>
  <c r="AM708" i="36" s="1"/>
  <c r="AG708" i="36"/>
  <c r="AH708" i="36" s="1"/>
  <c r="AB708" i="36"/>
  <c r="AC708" i="36" s="1"/>
  <c r="W708" i="36"/>
  <c r="V708" i="36"/>
  <c r="X708" i="36" s="1"/>
  <c r="L708" i="36"/>
  <c r="AL707" i="36"/>
  <c r="AM707" i="36" s="1"/>
  <c r="AG707" i="36"/>
  <c r="AH707" i="36" s="1"/>
  <c r="AB707" i="36"/>
  <c r="AC707" i="36" s="1"/>
  <c r="W707" i="36"/>
  <c r="V707" i="36"/>
  <c r="X707" i="36" s="1"/>
  <c r="L707" i="36"/>
  <c r="AL706" i="36"/>
  <c r="AM706" i="36" s="1"/>
  <c r="AG706" i="36"/>
  <c r="AH706" i="36" s="1"/>
  <c r="AB706" i="36"/>
  <c r="AC706" i="36" s="1"/>
  <c r="W706" i="36"/>
  <c r="V706" i="36"/>
  <c r="X706" i="36" s="1"/>
  <c r="L706" i="36"/>
  <c r="AL705" i="36"/>
  <c r="AM705" i="36" s="1"/>
  <c r="AG705" i="36"/>
  <c r="AH705" i="36" s="1"/>
  <c r="AB705" i="36"/>
  <c r="AC705" i="36" s="1"/>
  <c r="W705" i="36"/>
  <c r="V705" i="36"/>
  <c r="X705" i="36" s="1"/>
  <c r="L705" i="36"/>
  <c r="AL704" i="36"/>
  <c r="AM704" i="36" s="1"/>
  <c r="AG704" i="36"/>
  <c r="AH704" i="36" s="1"/>
  <c r="AB704" i="36"/>
  <c r="AC704" i="36" s="1"/>
  <c r="W704" i="36"/>
  <c r="V704" i="36"/>
  <c r="X704" i="36" s="1"/>
  <c r="L704" i="36"/>
  <c r="AL703" i="36"/>
  <c r="AM703" i="36" s="1"/>
  <c r="AG703" i="36"/>
  <c r="AH703" i="36" s="1"/>
  <c r="AB703" i="36"/>
  <c r="AC703" i="36" s="1"/>
  <c r="W703" i="36"/>
  <c r="V703" i="36"/>
  <c r="X703" i="36" s="1"/>
  <c r="L703" i="36"/>
  <c r="AL702" i="36"/>
  <c r="AM702" i="36" s="1"/>
  <c r="AG702" i="36"/>
  <c r="AH702" i="36" s="1"/>
  <c r="AB702" i="36"/>
  <c r="AC702" i="36" s="1"/>
  <c r="W702" i="36"/>
  <c r="V702" i="36"/>
  <c r="X702" i="36" s="1"/>
  <c r="L702" i="36"/>
  <c r="AL701" i="36"/>
  <c r="AM701" i="36" s="1"/>
  <c r="AG701" i="36"/>
  <c r="AH701" i="36" s="1"/>
  <c r="AB701" i="36"/>
  <c r="AC701" i="36" s="1"/>
  <c r="W701" i="36"/>
  <c r="V701" i="36"/>
  <c r="X701" i="36" s="1"/>
  <c r="L701" i="36"/>
  <c r="AL700" i="36"/>
  <c r="AM700" i="36" s="1"/>
  <c r="AG700" i="36"/>
  <c r="AH700" i="36" s="1"/>
  <c r="AB700" i="36"/>
  <c r="AC700" i="36" s="1"/>
  <c r="W700" i="36"/>
  <c r="V700" i="36"/>
  <c r="X700" i="36" s="1"/>
  <c r="L700" i="36"/>
  <c r="AL699" i="36"/>
  <c r="AM699" i="36" s="1"/>
  <c r="AG699" i="36"/>
  <c r="AH699" i="36" s="1"/>
  <c r="AB699" i="36"/>
  <c r="AC699" i="36" s="1"/>
  <c r="W699" i="36"/>
  <c r="V699" i="36"/>
  <c r="X699" i="36" s="1"/>
  <c r="L699" i="36"/>
  <c r="AL698" i="36"/>
  <c r="AM698" i="36" s="1"/>
  <c r="AG698" i="36"/>
  <c r="AH698" i="36" s="1"/>
  <c r="AB698" i="36"/>
  <c r="AC698" i="36" s="1"/>
  <c r="W698" i="36"/>
  <c r="V698" i="36"/>
  <c r="X698" i="36" s="1"/>
  <c r="L698" i="36"/>
  <c r="AL697" i="36"/>
  <c r="AM697" i="36" s="1"/>
  <c r="AG697" i="36"/>
  <c r="AH697" i="36" s="1"/>
  <c r="AB697" i="36"/>
  <c r="AC697" i="36" s="1"/>
  <c r="W697" i="36"/>
  <c r="V697" i="36"/>
  <c r="X697" i="36" s="1"/>
  <c r="L697" i="36"/>
  <c r="AL696" i="36"/>
  <c r="AM696" i="36" s="1"/>
  <c r="AG696" i="36"/>
  <c r="AH696" i="36" s="1"/>
  <c r="AB696" i="36"/>
  <c r="AC696" i="36" s="1"/>
  <c r="W696" i="36"/>
  <c r="V696" i="36"/>
  <c r="X696" i="36" s="1"/>
  <c r="L696" i="36"/>
  <c r="AL695" i="36"/>
  <c r="AM695" i="36" s="1"/>
  <c r="AG695" i="36"/>
  <c r="AH695" i="36" s="1"/>
  <c r="AB695" i="36"/>
  <c r="AC695" i="36" s="1"/>
  <c r="W695" i="36"/>
  <c r="V695" i="36"/>
  <c r="X695" i="36" s="1"/>
  <c r="L695" i="36"/>
  <c r="AL694" i="36"/>
  <c r="AM694" i="36" s="1"/>
  <c r="AG694" i="36"/>
  <c r="AH694" i="36" s="1"/>
  <c r="AB694" i="36"/>
  <c r="AC694" i="36" s="1"/>
  <c r="W694" i="36"/>
  <c r="V694" i="36"/>
  <c r="X694" i="36" s="1"/>
  <c r="L694" i="36"/>
  <c r="AL693" i="36"/>
  <c r="AM693" i="36" s="1"/>
  <c r="AG693" i="36"/>
  <c r="AH693" i="36" s="1"/>
  <c r="AB693" i="36"/>
  <c r="AC693" i="36" s="1"/>
  <c r="W693" i="36"/>
  <c r="V693" i="36"/>
  <c r="X693" i="36" s="1"/>
  <c r="L693" i="36"/>
  <c r="AL692" i="36"/>
  <c r="AM692" i="36" s="1"/>
  <c r="AG692" i="36"/>
  <c r="AH692" i="36" s="1"/>
  <c r="AB692" i="36"/>
  <c r="AC692" i="36" s="1"/>
  <c r="W692" i="36"/>
  <c r="V692" i="36"/>
  <c r="X692" i="36" s="1"/>
  <c r="L692" i="36"/>
  <c r="AL691" i="36"/>
  <c r="AM691" i="36" s="1"/>
  <c r="AG691" i="36"/>
  <c r="AH691" i="36" s="1"/>
  <c r="AB691" i="36"/>
  <c r="AC691" i="36" s="1"/>
  <c r="W691" i="36"/>
  <c r="V691" i="36"/>
  <c r="X691" i="36" s="1"/>
  <c r="L691" i="36"/>
  <c r="AL690" i="36"/>
  <c r="AM690" i="36" s="1"/>
  <c r="AG690" i="36"/>
  <c r="AH690" i="36" s="1"/>
  <c r="AB690" i="36"/>
  <c r="AC690" i="36" s="1"/>
  <c r="W690" i="36"/>
  <c r="V690" i="36"/>
  <c r="X690" i="36" s="1"/>
  <c r="L690" i="36"/>
  <c r="AL689" i="36"/>
  <c r="AM689" i="36" s="1"/>
  <c r="AG689" i="36"/>
  <c r="AH689" i="36" s="1"/>
  <c r="AB689" i="36"/>
  <c r="AC689" i="36" s="1"/>
  <c r="W689" i="36"/>
  <c r="V689" i="36"/>
  <c r="X689" i="36" s="1"/>
  <c r="L689" i="36"/>
  <c r="AL688" i="36"/>
  <c r="AM688" i="36" s="1"/>
  <c r="AG688" i="36"/>
  <c r="AH688" i="36" s="1"/>
  <c r="AB688" i="36"/>
  <c r="AC688" i="36" s="1"/>
  <c r="W688" i="36"/>
  <c r="V688" i="36"/>
  <c r="X688" i="36" s="1"/>
  <c r="L688" i="36"/>
  <c r="AL687" i="36"/>
  <c r="AM687" i="36" s="1"/>
  <c r="AG687" i="36"/>
  <c r="AH687" i="36" s="1"/>
  <c r="AB687" i="36"/>
  <c r="AC687" i="36" s="1"/>
  <c r="W687" i="36"/>
  <c r="V687" i="36"/>
  <c r="X687" i="36" s="1"/>
  <c r="L687" i="36"/>
  <c r="AL686" i="36"/>
  <c r="AM686" i="36" s="1"/>
  <c r="AG686" i="36"/>
  <c r="AH686" i="36" s="1"/>
  <c r="AB686" i="36"/>
  <c r="AC686" i="36" s="1"/>
  <c r="W686" i="36"/>
  <c r="V686" i="36"/>
  <c r="X686" i="36" s="1"/>
  <c r="L686" i="36"/>
  <c r="AL685" i="36"/>
  <c r="AM685" i="36" s="1"/>
  <c r="AG685" i="36"/>
  <c r="AH685" i="36" s="1"/>
  <c r="AB685" i="36"/>
  <c r="AC685" i="36" s="1"/>
  <c r="W685" i="36"/>
  <c r="V685" i="36"/>
  <c r="X685" i="36" s="1"/>
  <c r="L685" i="36"/>
  <c r="AL684" i="36"/>
  <c r="AM684" i="36" s="1"/>
  <c r="AG684" i="36"/>
  <c r="AH684" i="36" s="1"/>
  <c r="AB684" i="36"/>
  <c r="AC684" i="36" s="1"/>
  <c r="W684" i="36"/>
  <c r="V684" i="36"/>
  <c r="X684" i="36" s="1"/>
  <c r="L684" i="36"/>
  <c r="AL683" i="36"/>
  <c r="AM683" i="36" s="1"/>
  <c r="AG683" i="36"/>
  <c r="AH683" i="36" s="1"/>
  <c r="AB683" i="36"/>
  <c r="AC683" i="36" s="1"/>
  <c r="W683" i="36"/>
  <c r="V683" i="36"/>
  <c r="X683" i="36" s="1"/>
  <c r="L683" i="36"/>
  <c r="AL682" i="36"/>
  <c r="AM682" i="36" s="1"/>
  <c r="AG682" i="36"/>
  <c r="AH682" i="36" s="1"/>
  <c r="AB682" i="36"/>
  <c r="AC682" i="36" s="1"/>
  <c r="W682" i="36"/>
  <c r="V682" i="36"/>
  <c r="X682" i="36" s="1"/>
  <c r="L682" i="36"/>
  <c r="AL681" i="36"/>
  <c r="AM681" i="36" s="1"/>
  <c r="AG681" i="36"/>
  <c r="AH681" i="36" s="1"/>
  <c r="AB681" i="36"/>
  <c r="AC681" i="36" s="1"/>
  <c r="W681" i="36"/>
  <c r="V681" i="36"/>
  <c r="X681" i="36" s="1"/>
  <c r="L681" i="36"/>
  <c r="AL680" i="36"/>
  <c r="AM680" i="36" s="1"/>
  <c r="AG680" i="36"/>
  <c r="AH680" i="36" s="1"/>
  <c r="AB680" i="36"/>
  <c r="AC680" i="36" s="1"/>
  <c r="W680" i="36"/>
  <c r="V680" i="36"/>
  <c r="X680" i="36" s="1"/>
  <c r="L680" i="36"/>
  <c r="AL679" i="36"/>
  <c r="AM679" i="36" s="1"/>
  <c r="AG679" i="36"/>
  <c r="AH679" i="36" s="1"/>
  <c r="AB679" i="36"/>
  <c r="AC679" i="36" s="1"/>
  <c r="W679" i="36"/>
  <c r="V679" i="36"/>
  <c r="X679" i="36" s="1"/>
  <c r="L679" i="36"/>
  <c r="AL678" i="36"/>
  <c r="AM678" i="36" s="1"/>
  <c r="AG678" i="36"/>
  <c r="AH678" i="36" s="1"/>
  <c r="AB678" i="36"/>
  <c r="AC678" i="36" s="1"/>
  <c r="W678" i="36"/>
  <c r="V678" i="36"/>
  <c r="X678" i="36" s="1"/>
  <c r="L678" i="36"/>
  <c r="AL677" i="36"/>
  <c r="AM677" i="36" s="1"/>
  <c r="AG677" i="36"/>
  <c r="AH677" i="36" s="1"/>
  <c r="AB677" i="36"/>
  <c r="AC677" i="36" s="1"/>
  <c r="W677" i="36"/>
  <c r="V677" i="36"/>
  <c r="X677" i="36" s="1"/>
  <c r="L677" i="36"/>
  <c r="AL676" i="36"/>
  <c r="AM676" i="36" s="1"/>
  <c r="AG676" i="36"/>
  <c r="AH676" i="36" s="1"/>
  <c r="AB676" i="36"/>
  <c r="AC676" i="36" s="1"/>
  <c r="W676" i="36"/>
  <c r="V676" i="36"/>
  <c r="X676" i="36" s="1"/>
  <c r="L676" i="36"/>
  <c r="AL675" i="36"/>
  <c r="AM675" i="36" s="1"/>
  <c r="AG675" i="36"/>
  <c r="AH675" i="36" s="1"/>
  <c r="AB675" i="36"/>
  <c r="AC675" i="36" s="1"/>
  <c r="W675" i="36"/>
  <c r="V675" i="36"/>
  <c r="X675" i="36" s="1"/>
  <c r="L675" i="36"/>
  <c r="AL674" i="36"/>
  <c r="AM674" i="36" s="1"/>
  <c r="AG674" i="36"/>
  <c r="AH674" i="36" s="1"/>
  <c r="AB674" i="36"/>
  <c r="AC674" i="36" s="1"/>
  <c r="W674" i="36"/>
  <c r="V674" i="36"/>
  <c r="X674" i="36" s="1"/>
  <c r="L674" i="36"/>
  <c r="AL673" i="36"/>
  <c r="AM673" i="36" s="1"/>
  <c r="AG673" i="36"/>
  <c r="AH673" i="36" s="1"/>
  <c r="AB673" i="36"/>
  <c r="AC673" i="36" s="1"/>
  <c r="W673" i="36"/>
  <c r="V673" i="36"/>
  <c r="X673" i="36" s="1"/>
  <c r="L673" i="36"/>
  <c r="AL672" i="36"/>
  <c r="AM672" i="36" s="1"/>
  <c r="AG672" i="36"/>
  <c r="AH672" i="36" s="1"/>
  <c r="AB672" i="36"/>
  <c r="AC672" i="36" s="1"/>
  <c r="W672" i="36"/>
  <c r="V672" i="36"/>
  <c r="X672" i="36" s="1"/>
  <c r="L672" i="36"/>
  <c r="AL671" i="36"/>
  <c r="AM671" i="36" s="1"/>
  <c r="AG671" i="36"/>
  <c r="AH671" i="36" s="1"/>
  <c r="AB671" i="36"/>
  <c r="AC671" i="36" s="1"/>
  <c r="W671" i="36"/>
  <c r="V671" i="36"/>
  <c r="X671" i="36" s="1"/>
  <c r="L671" i="36"/>
  <c r="AL670" i="36"/>
  <c r="AM670" i="36" s="1"/>
  <c r="AG670" i="36"/>
  <c r="AH670" i="36" s="1"/>
  <c r="AB670" i="36"/>
  <c r="AC670" i="36" s="1"/>
  <c r="W670" i="36"/>
  <c r="V670" i="36"/>
  <c r="X670" i="36" s="1"/>
  <c r="L670" i="36"/>
  <c r="AL669" i="36"/>
  <c r="AM669" i="36" s="1"/>
  <c r="AG669" i="36"/>
  <c r="AH669" i="36" s="1"/>
  <c r="AB669" i="36"/>
  <c r="AC669" i="36" s="1"/>
  <c r="W669" i="36"/>
  <c r="V669" i="36"/>
  <c r="X669" i="36" s="1"/>
  <c r="L669" i="36"/>
  <c r="AL668" i="36"/>
  <c r="AM668" i="36" s="1"/>
  <c r="AG668" i="36"/>
  <c r="AH668" i="36" s="1"/>
  <c r="AB668" i="36"/>
  <c r="AC668" i="36" s="1"/>
  <c r="W668" i="36"/>
  <c r="V668" i="36"/>
  <c r="X668" i="36" s="1"/>
  <c r="L668" i="36"/>
  <c r="AL667" i="36"/>
  <c r="AM667" i="36" s="1"/>
  <c r="AG667" i="36"/>
  <c r="AH667" i="36" s="1"/>
  <c r="AB667" i="36"/>
  <c r="AC667" i="36" s="1"/>
  <c r="W667" i="36"/>
  <c r="V667" i="36"/>
  <c r="X667" i="36" s="1"/>
  <c r="L667" i="36"/>
  <c r="AL666" i="36"/>
  <c r="AM666" i="36" s="1"/>
  <c r="AG666" i="36"/>
  <c r="AH666" i="36" s="1"/>
  <c r="AB666" i="36"/>
  <c r="AC666" i="36" s="1"/>
  <c r="W666" i="36"/>
  <c r="V666" i="36"/>
  <c r="X666" i="36" s="1"/>
  <c r="L666" i="36"/>
  <c r="AL665" i="36"/>
  <c r="AM665" i="36" s="1"/>
  <c r="AG665" i="36"/>
  <c r="AH665" i="36" s="1"/>
  <c r="AB665" i="36"/>
  <c r="AC665" i="36" s="1"/>
  <c r="W665" i="36"/>
  <c r="V665" i="36"/>
  <c r="X665" i="36" s="1"/>
  <c r="L665" i="36"/>
  <c r="AL664" i="36"/>
  <c r="AM664" i="36" s="1"/>
  <c r="AG664" i="36"/>
  <c r="AH664" i="36" s="1"/>
  <c r="AB664" i="36"/>
  <c r="AC664" i="36" s="1"/>
  <c r="W664" i="36"/>
  <c r="V664" i="36"/>
  <c r="X664" i="36" s="1"/>
  <c r="L664" i="36"/>
  <c r="AL663" i="36"/>
  <c r="AM663" i="36" s="1"/>
  <c r="AG663" i="36"/>
  <c r="AH663" i="36" s="1"/>
  <c r="AB663" i="36"/>
  <c r="AC663" i="36" s="1"/>
  <c r="W663" i="36"/>
  <c r="V663" i="36"/>
  <c r="X663" i="36" s="1"/>
  <c r="L663" i="36"/>
  <c r="AL662" i="36"/>
  <c r="AM662" i="36" s="1"/>
  <c r="AG662" i="36"/>
  <c r="AH662" i="36" s="1"/>
  <c r="AB662" i="36"/>
  <c r="AC662" i="36" s="1"/>
  <c r="W662" i="36"/>
  <c r="V662" i="36"/>
  <c r="X662" i="36" s="1"/>
  <c r="L662" i="36"/>
  <c r="AL661" i="36"/>
  <c r="AM661" i="36" s="1"/>
  <c r="AG661" i="36"/>
  <c r="AH661" i="36" s="1"/>
  <c r="AB661" i="36"/>
  <c r="AC661" i="36" s="1"/>
  <c r="W661" i="36"/>
  <c r="V661" i="36"/>
  <c r="X661" i="36" s="1"/>
  <c r="L661" i="36"/>
  <c r="AL660" i="36"/>
  <c r="AM660" i="36" s="1"/>
  <c r="AG660" i="36"/>
  <c r="AH660" i="36" s="1"/>
  <c r="AB660" i="36"/>
  <c r="AC660" i="36" s="1"/>
  <c r="W660" i="36"/>
  <c r="V660" i="36"/>
  <c r="X660" i="36" s="1"/>
  <c r="L660" i="36"/>
  <c r="AL659" i="36"/>
  <c r="AM659" i="36" s="1"/>
  <c r="AG659" i="36"/>
  <c r="AH659" i="36" s="1"/>
  <c r="AB659" i="36"/>
  <c r="AC659" i="36" s="1"/>
  <c r="W659" i="36"/>
  <c r="V659" i="36"/>
  <c r="X659" i="36" s="1"/>
  <c r="L659" i="36"/>
  <c r="AL658" i="36"/>
  <c r="AM658" i="36" s="1"/>
  <c r="AG658" i="36"/>
  <c r="AH658" i="36" s="1"/>
  <c r="AB658" i="36"/>
  <c r="AC658" i="36" s="1"/>
  <c r="W658" i="36"/>
  <c r="V658" i="36"/>
  <c r="X658" i="36" s="1"/>
  <c r="L658" i="36"/>
  <c r="AL657" i="36"/>
  <c r="AM657" i="36" s="1"/>
  <c r="AG657" i="36"/>
  <c r="AH657" i="36" s="1"/>
  <c r="AB657" i="36"/>
  <c r="AC657" i="36" s="1"/>
  <c r="W657" i="36"/>
  <c r="V657" i="36"/>
  <c r="X657" i="36" s="1"/>
  <c r="L657" i="36"/>
  <c r="AL656" i="36"/>
  <c r="AM656" i="36" s="1"/>
  <c r="AG656" i="36"/>
  <c r="AH656" i="36" s="1"/>
  <c r="AB656" i="36"/>
  <c r="AC656" i="36" s="1"/>
  <c r="W656" i="36"/>
  <c r="V656" i="36"/>
  <c r="X656" i="36" s="1"/>
  <c r="L656" i="36"/>
  <c r="AL655" i="36"/>
  <c r="AM655" i="36" s="1"/>
  <c r="AG655" i="36"/>
  <c r="AH655" i="36" s="1"/>
  <c r="AB655" i="36"/>
  <c r="AC655" i="36" s="1"/>
  <c r="W655" i="36"/>
  <c r="V655" i="36"/>
  <c r="X655" i="36" s="1"/>
  <c r="L655" i="36"/>
  <c r="AL654" i="36"/>
  <c r="AM654" i="36" s="1"/>
  <c r="AG654" i="36"/>
  <c r="AH654" i="36" s="1"/>
  <c r="AB654" i="36"/>
  <c r="AC654" i="36" s="1"/>
  <c r="W654" i="36"/>
  <c r="V654" i="36"/>
  <c r="X654" i="36" s="1"/>
  <c r="L654" i="36"/>
  <c r="AL653" i="36"/>
  <c r="AM653" i="36" s="1"/>
  <c r="AG653" i="36"/>
  <c r="AH653" i="36" s="1"/>
  <c r="AB653" i="36"/>
  <c r="AC653" i="36" s="1"/>
  <c r="W653" i="36"/>
  <c r="V653" i="36"/>
  <c r="X653" i="36" s="1"/>
  <c r="L653" i="36"/>
  <c r="AL652" i="36"/>
  <c r="AM652" i="36" s="1"/>
  <c r="AG652" i="36"/>
  <c r="AH652" i="36" s="1"/>
  <c r="AB652" i="36"/>
  <c r="AC652" i="36" s="1"/>
  <c r="W652" i="36"/>
  <c r="V652" i="36"/>
  <c r="X652" i="36" s="1"/>
  <c r="L652" i="36"/>
  <c r="AL651" i="36"/>
  <c r="AM651" i="36" s="1"/>
  <c r="AG651" i="36"/>
  <c r="AH651" i="36" s="1"/>
  <c r="AB651" i="36"/>
  <c r="AC651" i="36" s="1"/>
  <c r="W651" i="36"/>
  <c r="V651" i="36"/>
  <c r="X651" i="36" s="1"/>
  <c r="L651" i="36"/>
  <c r="AL650" i="36"/>
  <c r="AM650" i="36" s="1"/>
  <c r="AG650" i="36"/>
  <c r="AH650" i="36" s="1"/>
  <c r="AB650" i="36"/>
  <c r="AC650" i="36" s="1"/>
  <c r="W650" i="36"/>
  <c r="V650" i="36"/>
  <c r="X650" i="36" s="1"/>
  <c r="L650" i="36"/>
  <c r="AL649" i="36"/>
  <c r="AM649" i="36" s="1"/>
  <c r="AG649" i="36"/>
  <c r="AH649" i="36" s="1"/>
  <c r="AB649" i="36"/>
  <c r="AC649" i="36" s="1"/>
  <c r="W649" i="36"/>
  <c r="V649" i="36"/>
  <c r="X649" i="36" s="1"/>
  <c r="L649" i="36"/>
  <c r="AL648" i="36"/>
  <c r="AM648" i="36" s="1"/>
  <c r="AG648" i="36"/>
  <c r="AH648" i="36" s="1"/>
  <c r="AB648" i="36"/>
  <c r="AC648" i="36" s="1"/>
  <c r="W648" i="36"/>
  <c r="V648" i="36"/>
  <c r="X648" i="36" s="1"/>
  <c r="L648" i="36"/>
  <c r="AL647" i="36"/>
  <c r="AM647" i="36" s="1"/>
  <c r="AG647" i="36"/>
  <c r="AH647" i="36" s="1"/>
  <c r="AB647" i="36"/>
  <c r="AC647" i="36" s="1"/>
  <c r="W647" i="36"/>
  <c r="V647" i="36"/>
  <c r="X647" i="36" s="1"/>
  <c r="L647" i="36"/>
  <c r="AL646" i="36"/>
  <c r="AM646" i="36" s="1"/>
  <c r="AG646" i="36"/>
  <c r="AH646" i="36" s="1"/>
  <c r="AB646" i="36"/>
  <c r="AC646" i="36" s="1"/>
  <c r="W646" i="36"/>
  <c r="V646" i="36"/>
  <c r="X646" i="36" s="1"/>
  <c r="L646" i="36"/>
  <c r="AL645" i="36"/>
  <c r="AM645" i="36" s="1"/>
  <c r="AG645" i="36"/>
  <c r="AH645" i="36" s="1"/>
  <c r="AB645" i="36"/>
  <c r="AC645" i="36" s="1"/>
  <c r="W645" i="36"/>
  <c r="V645" i="36"/>
  <c r="X645" i="36" s="1"/>
  <c r="L645" i="36"/>
  <c r="AL644" i="36"/>
  <c r="AM644" i="36" s="1"/>
  <c r="AG644" i="36"/>
  <c r="AH644" i="36" s="1"/>
  <c r="AB644" i="36"/>
  <c r="AC644" i="36" s="1"/>
  <c r="W644" i="36"/>
  <c r="V644" i="36"/>
  <c r="X644" i="36" s="1"/>
  <c r="L644" i="36"/>
  <c r="AL643" i="36"/>
  <c r="AM643" i="36" s="1"/>
  <c r="AG643" i="36"/>
  <c r="AH643" i="36" s="1"/>
  <c r="AB643" i="36"/>
  <c r="AC643" i="36" s="1"/>
  <c r="W643" i="36"/>
  <c r="V643" i="36"/>
  <c r="X643" i="36" s="1"/>
  <c r="L643" i="36"/>
  <c r="AL642" i="36"/>
  <c r="AM642" i="36" s="1"/>
  <c r="AG642" i="36"/>
  <c r="AH642" i="36" s="1"/>
  <c r="AB642" i="36"/>
  <c r="AC642" i="36" s="1"/>
  <c r="W642" i="36"/>
  <c r="V642" i="36"/>
  <c r="X642" i="36" s="1"/>
  <c r="L642" i="36"/>
  <c r="AL641" i="36"/>
  <c r="AM641" i="36" s="1"/>
  <c r="AG641" i="36"/>
  <c r="AH641" i="36" s="1"/>
  <c r="AB641" i="36"/>
  <c r="AC641" i="36" s="1"/>
  <c r="W641" i="36"/>
  <c r="V641" i="36"/>
  <c r="X641" i="36" s="1"/>
  <c r="L641" i="36"/>
  <c r="AL640" i="36"/>
  <c r="AM640" i="36" s="1"/>
  <c r="AG640" i="36"/>
  <c r="AH640" i="36" s="1"/>
  <c r="AB640" i="36"/>
  <c r="AC640" i="36" s="1"/>
  <c r="W640" i="36"/>
  <c r="V640" i="36"/>
  <c r="X640" i="36" s="1"/>
  <c r="L640" i="36"/>
  <c r="AL639" i="36"/>
  <c r="AM639" i="36" s="1"/>
  <c r="AG639" i="36"/>
  <c r="AH639" i="36" s="1"/>
  <c r="AB639" i="36"/>
  <c r="AC639" i="36" s="1"/>
  <c r="W639" i="36"/>
  <c r="V639" i="36"/>
  <c r="X639" i="36" s="1"/>
  <c r="L639" i="36"/>
  <c r="AL638" i="36"/>
  <c r="AM638" i="36" s="1"/>
  <c r="AG638" i="36"/>
  <c r="AH638" i="36" s="1"/>
  <c r="AB638" i="36"/>
  <c r="AC638" i="36" s="1"/>
  <c r="W638" i="36"/>
  <c r="V638" i="36"/>
  <c r="X638" i="36" s="1"/>
  <c r="L638" i="36"/>
  <c r="AL637" i="36"/>
  <c r="AM637" i="36" s="1"/>
  <c r="AG637" i="36"/>
  <c r="AH637" i="36" s="1"/>
  <c r="AB637" i="36"/>
  <c r="AC637" i="36" s="1"/>
  <c r="W637" i="36"/>
  <c r="V637" i="36"/>
  <c r="X637" i="36" s="1"/>
  <c r="L637" i="36"/>
  <c r="AL636" i="36"/>
  <c r="AM636" i="36" s="1"/>
  <c r="AG636" i="36"/>
  <c r="AH636" i="36" s="1"/>
  <c r="AB636" i="36"/>
  <c r="AC636" i="36" s="1"/>
  <c r="W636" i="36"/>
  <c r="V636" i="36"/>
  <c r="X636" i="36" s="1"/>
  <c r="L636" i="36"/>
  <c r="AL635" i="36"/>
  <c r="AM635" i="36" s="1"/>
  <c r="AG635" i="36"/>
  <c r="AH635" i="36" s="1"/>
  <c r="AB635" i="36"/>
  <c r="AC635" i="36" s="1"/>
  <c r="W635" i="36"/>
  <c r="V635" i="36"/>
  <c r="X635" i="36" s="1"/>
  <c r="L635" i="36"/>
  <c r="AL634" i="36"/>
  <c r="AM634" i="36" s="1"/>
  <c r="AG634" i="36"/>
  <c r="AH634" i="36" s="1"/>
  <c r="AB634" i="36"/>
  <c r="AC634" i="36" s="1"/>
  <c r="W634" i="36"/>
  <c r="V634" i="36"/>
  <c r="X634" i="36" s="1"/>
  <c r="L634" i="36"/>
  <c r="AL633" i="36"/>
  <c r="AM633" i="36" s="1"/>
  <c r="AG633" i="36"/>
  <c r="AH633" i="36" s="1"/>
  <c r="AB633" i="36"/>
  <c r="AC633" i="36" s="1"/>
  <c r="W633" i="36"/>
  <c r="V633" i="36"/>
  <c r="X633" i="36" s="1"/>
  <c r="L633" i="36"/>
  <c r="AL632" i="36"/>
  <c r="AM632" i="36" s="1"/>
  <c r="AG632" i="36"/>
  <c r="AH632" i="36" s="1"/>
  <c r="AB632" i="36"/>
  <c r="AC632" i="36" s="1"/>
  <c r="W632" i="36"/>
  <c r="V632" i="36"/>
  <c r="X632" i="36" s="1"/>
  <c r="L632" i="36"/>
  <c r="AL631" i="36"/>
  <c r="AM631" i="36" s="1"/>
  <c r="AG631" i="36"/>
  <c r="AH631" i="36" s="1"/>
  <c r="AB631" i="36"/>
  <c r="AC631" i="36" s="1"/>
  <c r="W631" i="36"/>
  <c r="V631" i="36"/>
  <c r="X631" i="36" s="1"/>
  <c r="L631" i="36"/>
  <c r="AL630" i="36"/>
  <c r="AM630" i="36" s="1"/>
  <c r="AG630" i="36"/>
  <c r="AH630" i="36" s="1"/>
  <c r="AB630" i="36"/>
  <c r="AC630" i="36" s="1"/>
  <c r="W630" i="36"/>
  <c r="V630" i="36"/>
  <c r="X630" i="36" s="1"/>
  <c r="L630" i="36"/>
  <c r="AL629" i="36"/>
  <c r="AM629" i="36" s="1"/>
  <c r="AG629" i="36"/>
  <c r="AH629" i="36" s="1"/>
  <c r="AB629" i="36"/>
  <c r="AC629" i="36" s="1"/>
  <c r="W629" i="36"/>
  <c r="V629" i="36"/>
  <c r="X629" i="36" s="1"/>
  <c r="L629" i="36"/>
  <c r="AL628" i="36"/>
  <c r="AM628" i="36" s="1"/>
  <c r="AG628" i="36"/>
  <c r="AH628" i="36" s="1"/>
  <c r="AB628" i="36"/>
  <c r="AC628" i="36" s="1"/>
  <c r="W628" i="36"/>
  <c r="V628" i="36"/>
  <c r="X628" i="36" s="1"/>
  <c r="L628" i="36"/>
  <c r="AL627" i="36"/>
  <c r="AM627" i="36" s="1"/>
  <c r="AG627" i="36"/>
  <c r="AH627" i="36" s="1"/>
  <c r="AB627" i="36"/>
  <c r="AC627" i="36" s="1"/>
  <c r="W627" i="36"/>
  <c r="V627" i="36"/>
  <c r="X627" i="36" s="1"/>
  <c r="L627" i="36"/>
  <c r="AL626" i="36"/>
  <c r="AM626" i="36" s="1"/>
  <c r="AG626" i="36"/>
  <c r="AH626" i="36" s="1"/>
  <c r="AB626" i="36"/>
  <c r="AC626" i="36" s="1"/>
  <c r="W626" i="36"/>
  <c r="V626" i="36"/>
  <c r="X626" i="36" s="1"/>
  <c r="L626" i="36"/>
  <c r="AL625" i="36"/>
  <c r="AM625" i="36" s="1"/>
  <c r="AG625" i="36"/>
  <c r="AH625" i="36" s="1"/>
  <c r="AB625" i="36"/>
  <c r="AC625" i="36" s="1"/>
  <c r="W625" i="36"/>
  <c r="V625" i="36"/>
  <c r="X625" i="36" s="1"/>
  <c r="L625" i="36"/>
  <c r="AL624" i="36"/>
  <c r="AM624" i="36" s="1"/>
  <c r="AG624" i="36"/>
  <c r="AH624" i="36" s="1"/>
  <c r="AB624" i="36"/>
  <c r="AC624" i="36" s="1"/>
  <c r="W624" i="36"/>
  <c r="V624" i="36"/>
  <c r="X624" i="36" s="1"/>
  <c r="L624" i="36"/>
  <c r="AL623" i="36"/>
  <c r="AM623" i="36" s="1"/>
  <c r="AG623" i="36"/>
  <c r="AH623" i="36" s="1"/>
  <c r="AB623" i="36"/>
  <c r="AC623" i="36" s="1"/>
  <c r="W623" i="36"/>
  <c r="V623" i="36"/>
  <c r="X623" i="36" s="1"/>
  <c r="L623" i="36"/>
  <c r="AL622" i="36"/>
  <c r="AM622" i="36" s="1"/>
  <c r="AG622" i="36"/>
  <c r="AH622" i="36" s="1"/>
  <c r="AB622" i="36"/>
  <c r="AC622" i="36" s="1"/>
  <c r="W622" i="36"/>
  <c r="V622" i="36"/>
  <c r="X622" i="36" s="1"/>
  <c r="L622" i="36"/>
  <c r="AL621" i="36"/>
  <c r="AM621" i="36" s="1"/>
  <c r="AG621" i="36"/>
  <c r="AH621" i="36" s="1"/>
  <c r="AB621" i="36"/>
  <c r="AC621" i="36" s="1"/>
  <c r="W621" i="36"/>
  <c r="V621" i="36"/>
  <c r="X621" i="36" s="1"/>
  <c r="L621" i="36"/>
  <c r="AL620" i="36"/>
  <c r="AM620" i="36" s="1"/>
  <c r="AG620" i="36"/>
  <c r="AH620" i="36" s="1"/>
  <c r="AB620" i="36"/>
  <c r="AC620" i="36" s="1"/>
  <c r="W620" i="36"/>
  <c r="V620" i="36"/>
  <c r="X620" i="36" s="1"/>
  <c r="L620" i="36"/>
  <c r="AL619" i="36"/>
  <c r="AM619" i="36" s="1"/>
  <c r="AG619" i="36"/>
  <c r="AH619" i="36" s="1"/>
  <c r="AB619" i="36"/>
  <c r="AC619" i="36" s="1"/>
  <c r="W619" i="36"/>
  <c r="V619" i="36"/>
  <c r="X619" i="36" s="1"/>
  <c r="L619" i="36"/>
  <c r="AL618" i="36"/>
  <c r="AM618" i="36" s="1"/>
  <c r="AG618" i="36"/>
  <c r="AH618" i="36" s="1"/>
  <c r="AB618" i="36"/>
  <c r="AC618" i="36" s="1"/>
  <c r="W618" i="36"/>
  <c r="V618" i="36"/>
  <c r="X618" i="36" s="1"/>
  <c r="L618" i="36"/>
  <c r="AL617" i="36"/>
  <c r="AM617" i="36" s="1"/>
  <c r="AG617" i="36"/>
  <c r="AH617" i="36" s="1"/>
  <c r="AB617" i="36"/>
  <c r="AC617" i="36" s="1"/>
  <c r="W617" i="36"/>
  <c r="V617" i="36"/>
  <c r="X617" i="36" s="1"/>
  <c r="L617" i="36"/>
  <c r="AL616" i="36"/>
  <c r="AM616" i="36" s="1"/>
  <c r="AG616" i="36"/>
  <c r="AH616" i="36" s="1"/>
  <c r="AB616" i="36"/>
  <c r="AC616" i="36" s="1"/>
  <c r="W616" i="36"/>
  <c r="V616" i="36"/>
  <c r="X616" i="36" s="1"/>
  <c r="L616" i="36"/>
  <c r="AL615" i="36"/>
  <c r="AM615" i="36" s="1"/>
  <c r="AG615" i="36"/>
  <c r="AH615" i="36" s="1"/>
  <c r="AB615" i="36"/>
  <c r="AC615" i="36" s="1"/>
  <c r="W615" i="36"/>
  <c r="V615" i="36"/>
  <c r="X615" i="36" s="1"/>
  <c r="L615" i="36"/>
  <c r="AL614" i="36"/>
  <c r="AM614" i="36" s="1"/>
  <c r="AG614" i="36"/>
  <c r="AH614" i="36" s="1"/>
  <c r="AB614" i="36"/>
  <c r="AC614" i="36" s="1"/>
  <c r="W614" i="36"/>
  <c r="V614" i="36"/>
  <c r="X614" i="36" s="1"/>
  <c r="L614" i="36"/>
  <c r="AL613" i="36"/>
  <c r="AM613" i="36" s="1"/>
  <c r="AG613" i="36"/>
  <c r="AH613" i="36" s="1"/>
  <c r="AB613" i="36"/>
  <c r="AC613" i="36" s="1"/>
  <c r="W613" i="36"/>
  <c r="V613" i="36"/>
  <c r="X613" i="36" s="1"/>
  <c r="L613" i="36"/>
  <c r="AL612" i="36"/>
  <c r="AM612" i="36" s="1"/>
  <c r="AG612" i="36"/>
  <c r="AH612" i="36" s="1"/>
  <c r="AB612" i="36"/>
  <c r="AC612" i="36" s="1"/>
  <c r="W612" i="36"/>
  <c r="V612" i="36"/>
  <c r="X612" i="36" s="1"/>
  <c r="L612" i="36"/>
  <c r="AL611" i="36"/>
  <c r="AM611" i="36" s="1"/>
  <c r="AG611" i="36"/>
  <c r="AH611" i="36" s="1"/>
  <c r="AB611" i="36"/>
  <c r="AC611" i="36" s="1"/>
  <c r="W611" i="36"/>
  <c r="V611" i="36"/>
  <c r="X611" i="36" s="1"/>
  <c r="L611" i="36"/>
  <c r="AL610" i="36"/>
  <c r="AM610" i="36" s="1"/>
  <c r="AG610" i="36"/>
  <c r="AH610" i="36" s="1"/>
  <c r="AB610" i="36"/>
  <c r="AC610" i="36" s="1"/>
  <c r="W610" i="36"/>
  <c r="V610" i="36"/>
  <c r="X610" i="36" s="1"/>
  <c r="L610" i="36"/>
  <c r="AL609" i="36"/>
  <c r="AM609" i="36" s="1"/>
  <c r="AG609" i="36"/>
  <c r="AH609" i="36" s="1"/>
  <c r="AB609" i="36"/>
  <c r="AC609" i="36" s="1"/>
  <c r="W609" i="36"/>
  <c r="V609" i="36"/>
  <c r="X609" i="36" s="1"/>
  <c r="L609" i="36"/>
  <c r="AL608" i="36"/>
  <c r="AM608" i="36" s="1"/>
  <c r="AG608" i="36"/>
  <c r="AH608" i="36" s="1"/>
  <c r="AB608" i="36"/>
  <c r="AC608" i="36" s="1"/>
  <c r="W608" i="36"/>
  <c r="V608" i="36"/>
  <c r="X608" i="36" s="1"/>
  <c r="L608" i="36"/>
  <c r="AL607" i="36"/>
  <c r="AM607" i="36" s="1"/>
  <c r="AG607" i="36"/>
  <c r="AH607" i="36" s="1"/>
  <c r="AB607" i="36"/>
  <c r="AC607" i="36" s="1"/>
  <c r="W607" i="36"/>
  <c r="V607" i="36"/>
  <c r="X607" i="36" s="1"/>
  <c r="L607" i="36"/>
  <c r="AL606" i="36"/>
  <c r="AM606" i="36" s="1"/>
  <c r="AG606" i="36"/>
  <c r="AH606" i="36" s="1"/>
  <c r="AB606" i="36"/>
  <c r="AC606" i="36" s="1"/>
  <c r="W606" i="36"/>
  <c r="V606" i="36"/>
  <c r="X606" i="36" s="1"/>
  <c r="L606" i="36"/>
  <c r="AL605" i="36"/>
  <c r="AM605" i="36" s="1"/>
  <c r="AG605" i="36"/>
  <c r="AH605" i="36" s="1"/>
  <c r="AB605" i="36"/>
  <c r="AC605" i="36" s="1"/>
  <c r="W605" i="36"/>
  <c r="V605" i="36"/>
  <c r="X605" i="36" s="1"/>
  <c r="L605" i="36"/>
  <c r="AL604" i="36"/>
  <c r="AM604" i="36" s="1"/>
  <c r="AG604" i="36"/>
  <c r="AH604" i="36" s="1"/>
  <c r="AB604" i="36"/>
  <c r="AC604" i="36" s="1"/>
  <c r="W604" i="36"/>
  <c r="V604" i="36"/>
  <c r="X604" i="36" s="1"/>
  <c r="L604" i="36"/>
  <c r="AL603" i="36"/>
  <c r="AM603" i="36" s="1"/>
  <c r="AG603" i="36"/>
  <c r="AH603" i="36" s="1"/>
  <c r="AB603" i="36"/>
  <c r="AC603" i="36" s="1"/>
  <c r="W603" i="36"/>
  <c r="V603" i="36"/>
  <c r="X603" i="36" s="1"/>
  <c r="L603" i="36"/>
  <c r="AL602" i="36"/>
  <c r="AM602" i="36" s="1"/>
  <c r="AG602" i="36"/>
  <c r="AH602" i="36" s="1"/>
  <c r="AB602" i="36"/>
  <c r="AC602" i="36" s="1"/>
  <c r="W602" i="36"/>
  <c r="V602" i="36"/>
  <c r="X602" i="36" s="1"/>
  <c r="L602" i="36"/>
  <c r="AL601" i="36"/>
  <c r="AM601" i="36" s="1"/>
  <c r="AG601" i="36"/>
  <c r="AH601" i="36" s="1"/>
  <c r="AB601" i="36"/>
  <c r="AC601" i="36" s="1"/>
  <c r="W601" i="36"/>
  <c r="V601" i="36"/>
  <c r="X601" i="36" s="1"/>
  <c r="L601" i="36"/>
  <c r="AL600" i="36"/>
  <c r="AM600" i="36" s="1"/>
  <c r="AG600" i="36"/>
  <c r="AH600" i="36" s="1"/>
  <c r="AB600" i="36"/>
  <c r="AC600" i="36" s="1"/>
  <c r="W600" i="36"/>
  <c r="V600" i="36"/>
  <c r="X600" i="36" s="1"/>
  <c r="L600" i="36"/>
  <c r="AL599" i="36"/>
  <c r="AM599" i="36" s="1"/>
  <c r="AG599" i="36"/>
  <c r="AH599" i="36" s="1"/>
  <c r="AB599" i="36"/>
  <c r="AC599" i="36" s="1"/>
  <c r="W599" i="36"/>
  <c r="V599" i="36"/>
  <c r="X599" i="36" s="1"/>
  <c r="L599" i="36"/>
  <c r="AL598" i="36"/>
  <c r="AM598" i="36" s="1"/>
  <c r="AG598" i="36"/>
  <c r="AH598" i="36" s="1"/>
  <c r="AB598" i="36"/>
  <c r="AC598" i="36" s="1"/>
  <c r="W598" i="36"/>
  <c r="V598" i="36"/>
  <c r="X598" i="36" s="1"/>
  <c r="L598" i="36"/>
  <c r="AL597" i="36"/>
  <c r="AM597" i="36" s="1"/>
  <c r="AG597" i="36"/>
  <c r="AH597" i="36" s="1"/>
  <c r="AB597" i="36"/>
  <c r="AC597" i="36" s="1"/>
  <c r="W597" i="36"/>
  <c r="V597" i="36"/>
  <c r="X597" i="36" s="1"/>
  <c r="L597" i="36"/>
  <c r="AL596" i="36"/>
  <c r="AM596" i="36" s="1"/>
  <c r="AG596" i="36"/>
  <c r="AH596" i="36" s="1"/>
  <c r="AB596" i="36"/>
  <c r="AC596" i="36" s="1"/>
  <c r="W596" i="36"/>
  <c r="V596" i="36"/>
  <c r="X596" i="36" s="1"/>
  <c r="L596" i="36"/>
  <c r="AL595" i="36"/>
  <c r="AM595" i="36" s="1"/>
  <c r="AG595" i="36"/>
  <c r="AH595" i="36" s="1"/>
  <c r="AB595" i="36"/>
  <c r="AC595" i="36" s="1"/>
  <c r="W595" i="36"/>
  <c r="V595" i="36"/>
  <c r="X595" i="36" s="1"/>
  <c r="L595" i="36"/>
  <c r="AL594" i="36"/>
  <c r="AM594" i="36" s="1"/>
  <c r="AG594" i="36"/>
  <c r="AH594" i="36" s="1"/>
  <c r="AB594" i="36"/>
  <c r="AC594" i="36" s="1"/>
  <c r="W594" i="36"/>
  <c r="V594" i="36"/>
  <c r="X594" i="36" s="1"/>
  <c r="L594" i="36"/>
  <c r="AL593" i="36"/>
  <c r="AM593" i="36" s="1"/>
  <c r="AG593" i="36"/>
  <c r="AH593" i="36" s="1"/>
  <c r="AB593" i="36"/>
  <c r="AC593" i="36" s="1"/>
  <c r="W593" i="36"/>
  <c r="V593" i="36"/>
  <c r="X593" i="36" s="1"/>
  <c r="L593" i="36"/>
  <c r="AL592" i="36"/>
  <c r="AM592" i="36" s="1"/>
  <c r="AG592" i="36"/>
  <c r="AH592" i="36" s="1"/>
  <c r="AB592" i="36"/>
  <c r="AC592" i="36" s="1"/>
  <c r="W592" i="36"/>
  <c r="V592" i="36"/>
  <c r="X592" i="36" s="1"/>
  <c r="L592" i="36"/>
  <c r="AL591" i="36"/>
  <c r="AM591" i="36" s="1"/>
  <c r="AG591" i="36"/>
  <c r="AH591" i="36" s="1"/>
  <c r="AB591" i="36"/>
  <c r="AC591" i="36" s="1"/>
  <c r="W591" i="36"/>
  <c r="V591" i="36"/>
  <c r="X591" i="36" s="1"/>
  <c r="L591" i="36"/>
  <c r="AL590" i="36"/>
  <c r="AM590" i="36" s="1"/>
  <c r="AG590" i="36"/>
  <c r="AH590" i="36" s="1"/>
  <c r="AB590" i="36"/>
  <c r="AC590" i="36" s="1"/>
  <c r="W590" i="36"/>
  <c r="V590" i="36"/>
  <c r="X590" i="36" s="1"/>
  <c r="L590" i="36"/>
  <c r="AL589" i="36"/>
  <c r="AM589" i="36" s="1"/>
  <c r="AG589" i="36"/>
  <c r="AH589" i="36" s="1"/>
  <c r="AB589" i="36"/>
  <c r="AC589" i="36" s="1"/>
  <c r="W589" i="36"/>
  <c r="V589" i="36"/>
  <c r="X589" i="36" s="1"/>
  <c r="L589" i="36"/>
  <c r="AL588" i="36"/>
  <c r="AM588" i="36" s="1"/>
  <c r="AG588" i="36"/>
  <c r="AH588" i="36" s="1"/>
  <c r="AB588" i="36"/>
  <c r="AC588" i="36" s="1"/>
  <c r="W588" i="36"/>
  <c r="V588" i="36"/>
  <c r="X588" i="36" s="1"/>
  <c r="L588" i="36"/>
  <c r="AL587" i="36"/>
  <c r="AM587" i="36" s="1"/>
  <c r="AG587" i="36"/>
  <c r="AH587" i="36" s="1"/>
  <c r="AB587" i="36"/>
  <c r="AC587" i="36" s="1"/>
  <c r="W587" i="36"/>
  <c r="V587" i="36"/>
  <c r="X587" i="36" s="1"/>
  <c r="L587" i="36"/>
  <c r="AL586" i="36"/>
  <c r="AM586" i="36" s="1"/>
  <c r="AG586" i="36"/>
  <c r="AH586" i="36" s="1"/>
  <c r="AB586" i="36"/>
  <c r="AC586" i="36" s="1"/>
  <c r="W586" i="36"/>
  <c r="V586" i="36"/>
  <c r="X586" i="36" s="1"/>
  <c r="L586" i="36"/>
  <c r="AL585" i="36"/>
  <c r="AM585" i="36" s="1"/>
  <c r="AG585" i="36"/>
  <c r="AH585" i="36" s="1"/>
  <c r="AB585" i="36"/>
  <c r="AC585" i="36" s="1"/>
  <c r="W585" i="36"/>
  <c r="V585" i="36"/>
  <c r="X585" i="36" s="1"/>
  <c r="L585" i="36"/>
  <c r="AL584" i="36"/>
  <c r="AM584" i="36" s="1"/>
  <c r="AG584" i="36"/>
  <c r="AH584" i="36" s="1"/>
  <c r="AB584" i="36"/>
  <c r="AC584" i="36" s="1"/>
  <c r="W584" i="36"/>
  <c r="V584" i="36"/>
  <c r="X584" i="36" s="1"/>
  <c r="L584" i="36"/>
  <c r="AL583" i="36"/>
  <c r="AM583" i="36" s="1"/>
  <c r="AG583" i="36"/>
  <c r="AH583" i="36" s="1"/>
  <c r="AB583" i="36"/>
  <c r="AC583" i="36" s="1"/>
  <c r="W583" i="36"/>
  <c r="V583" i="36"/>
  <c r="X583" i="36" s="1"/>
  <c r="L583" i="36"/>
  <c r="AL582" i="36"/>
  <c r="AM582" i="36" s="1"/>
  <c r="AG582" i="36"/>
  <c r="AH582" i="36" s="1"/>
  <c r="AB582" i="36"/>
  <c r="AC582" i="36" s="1"/>
  <c r="W582" i="36"/>
  <c r="V582" i="36"/>
  <c r="X582" i="36" s="1"/>
  <c r="L582" i="36"/>
  <c r="AL581" i="36"/>
  <c r="AM581" i="36" s="1"/>
  <c r="AG581" i="36"/>
  <c r="AH581" i="36" s="1"/>
  <c r="AB581" i="36"/>
  <c r="AC581" i="36" s="1"/>
  <c r="W581" i="36"/>
  <c r="V581" i="36"/>
  <c r="X581" i="36" s="1"/>
  <c r="L581" i="36"/>
  <c r="AL580" i="36"/>
  <c r="AM580" i="36" s="1"/>
  <c r="AG580" i="36"/>
  <c r="AH580" i="36" s="1"/>
  <c r="AB580" i="36"/>
  <c r="AC580" i="36" s="1"/>
  <c r="W580" i="36"/>
  <c r="V580" i="36"/>
  <c r="X580" i="36" s="1"/>
  <c r="L580" i="36"/>
  <c r="AL579" i="36"/>
  <c r="AM579" i="36" s="1"/>
  <c r="AG579" i="36"/>
  <c r="AH579" i="36" s="1"/>
  <c r="AB579" i="36"/>
  <c r="AC579" i="36" s="1"/>
  <c r="W579" i="36"/>
  <c r="V579" i="36"/>
  <c r="X579" i="36" s="1"/>
  <c r="L579" i="36"/>
  <c r="AL578" i="36"/>
  <c r="AM578" i="36" s="1"/>
  <c r="AG578" i="36"/>
  <c r="AH578" i="36" s="1"/>
  <c r="AB578" i="36"/>
  <c r="AC578" i="36" s="1"/>
  <c r="W578" i="36"/>
  <c r="V578" i="36"/>
  <c r="X578" i="36" s="1"/>
  <c r="L578" i="36"/>
  <c r="AL577" i="36"/>
  <c r="AM577" i="36" s="1"/>
  <c r="AG577" i="36"/>
  <c r="AH577" i="36" s="1"/>
  <c r="AB577" i="36"/>
  <c r="AC577" i="36" s="1"/>
  <c r="W577" i="36"/>
  <c r="V577" i="36"/>
  <c r="X577" i="36" s="1"/>
  <c r="L577" i="36"/>
  <c r="AL576" i="36"/>
  <c r="AM576" i="36" s="1"/>
  <c r="AG576" i="36"/>
  <c r="AH576" i="36" s="1"/>
  <c r="AB576" i="36"/>
  <c r="AC576" i="36" s="1"/>
  <c r="W576" i="36"/>
  <c r="V576" i="36"/>
  <c r="X576" i="36" s="1"/>
  <c r="L576" i="36"/>
  <c r="AL575" i="36"/>
  <c r="AM575" i="36" s="1"/>
  <c r="AG575" i="36"/>
  <c r="AH575" i="36" s="1"/>
  <c r="AB575" i="36"/>
  <c r="AC575" i="36" s="1"/>
  <c r="W575" i="36"/>
  <c r="V575" i="36"/>
  <c r="X575" i="36" s="1"/>
  <c r="L575" i="36"/>
  <c r="AL574" i="36"/>
  <c r="AM574" i="36" s="1"/>
  <c r="AG574" i="36"/>
  <c r="AH574" i="36" s="1"/>
  <c r="AB574" i="36"/>
  <c r="AC574" i="36" s="1"/>
  <c r="W574" i="36"/>
  <c r="V574" i="36"/>
  <c r="X574" i="36" s="1"/>
  <c r="L574" i="36"/>
  <c r="AL573" i="36"/>
  <c r="AM573" i="36" s="1"/>
  <c r="AG573" i="36"/>
  <c r="AH573" i="36" s="1"/>
  <c r="AB573" i="36"/>
  <c r="AC573" i="36" s="1"/>
  <c r="W573" i="36"/>
  <c r="V573" i="36"/>
  <c r="X573" i="36" s="1"/>
  <c r="L573" i="36"/>
  <c r="AL572" i="36"/>
  <c r="AM572" i="36" s="1"/>
  <c r="AG572" i="36"/>
  <c r="AH572" i="36" s="1"/>
  <c r="AB572" i="36"/>
  <c r="AC572" i="36" s="1"/>
  <c r="W572" i="36"/>
  <c r="V572" i="36"/>
  <c r="X572" i="36" s="1"/>
  <c r="L572" i="36"/>
  <c r="AL571" i="36"/>
  <c r="AM571" i="36" s="1"/>
  <c r="AG571" i="36"/>
  <c r="AH571" i="36" s="1"/>
  <c r="AB571" i="36"/>
  <c r="AC571" i="36" s="1"/>
  <c r="W571" i="36"/>
  <c r="V571" i="36"/>
  <c r="X571" i="36" s="1"/>
  <c r="L571" i="36"/>
  <c r="AL570" i="36"/>
  <c r="AM570" i="36" s="1"/>
  <c r="AG570" i="36"/>
  <c r="AH570" i="36" s="1"/>
  <c r="AB570" i="36"/>
  <c r="AC570" i="36" s="1"/>
  <c r="W570" i="36"/>
  <c r="V570" i="36"/>
  <c r="X570" i="36" s="1"/>
  <c r="L570" i="36"/>
  <c r="AL569" i="36"/>
  <c r="AM569" i="36" s="1"/>
  <c r="AG569" i="36"/>
  <c r="AH569" i="36" s="1"/>
  <c r="AB569" i="36"/>
  <c r="AC569" i="36" s="1"/>
  <c r="W569" i="36"/>
  <c r="V569" i="36"/>
  <c r="X569" i="36" s="1"/>
  <c r="L569" i="36"/>
  <c r="AL568" i="36"/>
  <c r="AM568" i="36" s="1"/>
  <c r="AG568" i="36"/>
  <c r="AH568" i="36" s="1"/>
  <c r="AB568" i="36"/>
  <c r="AC568" i="36" s="1"/>
  <c r="W568" i="36"/>
  <c r="V568" i="36"/>
  <c r="X568" i="36" s="1"/>
  <c r="L568" i="36"/>
  <c r="AL567" i="36"/>
  <c r="AM567" i="36" s="1"/>
  <c r="AG567" i="36"/>
  <c r="AH567" i="36" s="1"/>
  <c r="AB567" i="36"/>
  <c r="AC567" i="36" s="1"/>
  <c r="W567" i="36"/>
  <c r="V567" i="36"/>
  <c r="X567" i="36" s="1"/>
  <c r="L567" i="36"/>
  <c r="AL566" i="36"/>
  <c r="AM566" i="36" s="1"/>
  <c r="AG566" i="36"/>
  <c r="AH566" i="36" s="1"/>
  <c r="AB566" i="36"/>
  <c r="AC566" i="36" s="1"/>
  <c r="W566" i="36"/>
  <c r="V566" i="36"/>
  <c r="X566" i="36" s="1"/>
  <c r="L566" i="36"/>
  <c r="AL565" i="36"/>
  <c r="AM565" i="36" s="1"/>
  <c r="AG565" i="36"/>
  <c r="AH565" i="36" s="1"/>
  <c r="AB565" i="36"/>
  <c r="AC565" i="36" s="1"/>
  <c r="W565" i="36"/>
  <c r="V565" i="36"/>
  <c r="X565" i="36" s="1"/>
  <c r="L565" i="36"/>
  <c r="AL564" i="36"/>
  <c r="AM564" i="36" s="1"/>
  <c r="AG564" i="36"/>
  <c r="AH564" i="36" s="1"/>
  <c r="AB564" i="36"/>
  <c r="AC564" i="36" s="1"/>
  <c r="W564" i="36"/>
  <c r="V564" i="36"/>
  <c r="X564" i="36" s="1"/>
  <c r="L564" i="36"/>
  <c r="AL563" i="36"/>
  <c r="AM563" i="36" s="1"/>
  <c r="AG563" i="36"/>
  <c r="AH563" i="36" s="1"/>
  <c r="AB563" i="36"/>
  <c r="AC563" i="36" s="1"/>
  <c r="W563" i="36"/>
  <c r="V563" i="36"/>
  <c r="X563" i="36" s="1"/>
  <c r="L563" i="36"/>
  <c r="AL562" i="36"/>
  <c r="AM562" i="36" s="1"/>
  <c r="AG562" i="36"/>
  <c r="AH562" i="36" s="1"/>
  <c r="AB562" i="36"/>
  <c r="AC562" i="36" s="1"/>
  <c r="W562" i="36"/>
  <c r="V562" i="36"/>
  <c r="X562" i="36" s="1"/>
  <c r="L562" i="36"/>
  <c r="AL561" i="36"/>
  <c r="AM561" i="36" s="1"/>
  <c r="AG561" i="36"/>
  <c r="AH561" i="36" s="1"/>
  <c r="AB561" i="36"/>
  <c r="AC561" i="36" s="1"/>
  <c r="W561" i="36"/>
  <c r="V561" i="36"/>
  <c r="X561" i="36" s="1"/>
  <c r="L561" i="36"/>
  <c r="AL560" i="36"/>
  <c r="AM560" i="36" s="1"/>
  <c r="AG560" i="36"/>
  <c r="AH560" i="36" s="1"/>
  <c r="AB560" i="36"/>
  <c r="AC560" i="36" s="1"/>
  <c r="W560" i="36"/>
  <c r="V560" i="36"/>
  <c r="X560" i="36" s="1"/>
  <c r="L560" i="36"/>
  <c r="AL559" i="36"/>
  <c r="AM559" i="36" s="1"/>
  <c r="AG559" i="36"/>
  <c r="AH559" i="36" s="1"/>
  <c r="AB559" i="36"/>
  <c r="AC559" i="36" s="1"/>
  <c r="W559" i="36"/>
  <c r="V559" i="36"/>
  <c r="X559" i="36" s="1"/>
  <c r="L559" i="36"/>
  <c r="AL558" i="36"/>
  <c r="AM558" i="36" s="1"/>
  <c r="AG558" i="36"/>
  <c r="AH558" i="36" s="1"/>
  <c r="AB558" i="36"/>
  <c r="AC558" i="36" s="1"/>
  <c r="W558" i="36"/>
  <c r="V558" i="36"/>
  <c r="X558" i="36" s="1"/>
  <c r="L558" i="36"/>
  <c r="AL557" i="36"/>
  <c r="AM557" i="36" s="1"/>
  <c r="AG557" i="36"/>
  <c r="AH557" i="36" s="1"/>
  <c r="AB557" i="36"/>
  <c r="AC557" i="36" s="1"/>
  <c r="W557" i="36"/>
  <c r="V557" i="36"/>
  <c r="X557" i="36" s="1"/>
  <c r="L557" i="36"/>
  <c r="AL556" i="36"/>
  <c r="AM556" i="36" s="1"/>
  <c r="AG556" i="36"/>
  <c r="AH556" i="36" s="1"/>
  <c r="AB556" i="36"/>
  <c r="AC556" i="36" s="1"/>
  <c r="W556" i="36"/>
  <c r="V556" i="36"/>
  <c r="X556" i="36" s="1"/>
  <c r="L556" i="36"/>
  <c r="AL555" i="36"/>
  <c r="AM555" i="36" s="1"/>
  <c r="AG555" i="36"/>
  <c r="AH555" i="36" s="1"/>
  <c r="AB555" i="36"/>
  <c r="AC555" i="36" s="1"/>
  <c r="W555" i="36"/>
  <c r="V555" i="36"/>
  <c r="X555" i="36" s="1"/>
  <c r="L555" i="36"/>
  <c r="AL554" i="36"/>
  <c r="AM554" i="36" s="1"/>
  <c r="AG554" i="36"/>
  <c r="AH554" i="36" s="1"/>
  <c r="AB554" i="36"/>
  <c r="AC554" i="36" s="1"/>
  <c r="W554" i="36"/>
  <c r="V554" i="36"/>
  <c r="X554" i="36" s="1"/>
  <c r="L554" i="36"/>
  <c r="AL553" i="36"/>
  <c r="AM553" i="36" s="1"/>
  <c r="AG553" i="36"/>
  <c r="AH553" i="36" s="1"/>
  <c r="AB553" i="36"/>
  <c r="AC553" i="36" s="1"/>
  <c r="W553" i="36"/>
  <c r="V553" i="36"/>
  <c r="X553" i="36" s="1"/>
  <c r="L553" i="36"/>
  <c r="AL552" i="36"/>
  <c r="AM552" i="36" s="1"/>
  <c r="AG552" i="36"/>
  <c r="AH552" i="36" s="1"/>
  <c r="AB552" i="36"/>
  <c r="AC552" i="36" s="1"/>
  <c r="W552" i="36"/>
  <c r="V552" i="36"/>
  <c r="X552" i="36" s="1"/>
  <c r="L552" i="36"/>
  <c r="AL551" i="36"/>
  <c r="AM551" i="36" s="1"/>
  <c r="AG551" i="36"/>
  <c r="AH551" i="36" s="1"/>
  <c r="AB551" i="36"/>
  <c r="AC551" i="36" s="1"/>
  <c r="W551" i="36"/>
  <c r="V551" i="36"/>
  <c r="X551" i="36" s="1"/>
  <c r="L551" i="36"/>
  <c r="AL550" i="36"/>
  <c r="AM550" i="36" s="1"/>
  <c r="AG550" i="36"/>
  <c r="AH550" i="36" s="1"/>
  <c r="AB550" i="36"/>
  <c r="AC550" i="36" s="1"/>
  <c r="W550" i="36"/>
  <c r="V550" i="36"/>
  <c r="X550" i="36" s="1"/>
  <c r="L550" i="36"/>
  <c r="AL549" i="36"/>
  <c r="AM549" i="36" s="1"/>
  <c r="AG549" i="36"/>
  <c r="AH549" i="36" s="1"/>
  <c r="AB549" i="36"/>
  <c r="AC549" i="36" s="1"/>
  <c r="W549" i="36"/>
  <c r="V549" i="36"/>
  <c r="X549" i="36" s="1"/>
  <c r="L549" i="36"/>
  <c r="AL548" i="36"/>
  <c r="AM548" i="36" s="1"/>
  <c r="AG548" i="36"/>
  <c r="AH548" i="36" s="1"/>
  <c r="AB548" i="36"/>
  <c r="AC548" i="36" s="1"/>
  <c r="W548" i="36"/>
  <c r="V548" i="36"/>
  <c r="X548" i="36" s="1"/>
  <c r="L548" i="36"/>
  <c r="AL547" i="36"/>
  <c r="AM547" i="36" s="1"/>
  <c r="AG547" i="36"/>
  <c r="AH547" i="36" s="1"/>
  <c r="AB547" i="36"/>
  <c r="AC547" i="36" s="1"/>
  <c r="W547" i="36"/>
  <c r="V547" i="36"/>
  <c r="X547" i="36" s="1"/>
  <c r="L547" i="36"/>
  <c r="AL546" i="36"/>
  <c r="AM546" i="36" s="1"/>
  <c r="AG546" i="36"/>
  <c r="AH546" i="36" s="1"/>
  <c r="AB546" i="36"/>
  <c r="AC546" i="36" s="1"/>
  <c r="W546" i="36"/>
  <c r="V546" i="36"/>
  <c r="X546" i="36" s="1"/>
  <c r="L546" i="36"/>
  <c r="AL545" i="36"/>
  <c r="AM545" i="36" s="1"/>
  <c r="AG545" i="36"/>
  <c r="AH545" i="36" s="1"/>
  <c r="AB545" i="36"/>
  <c r="AC545" i="36" s="1"/>
  <c r="W545" i="36"/>
  <c r="V545" i="36"/>
  <c r="X545" i="36" s="1"/>
  <c r="L545" i="36"/>
  <c r="AL544" i="36"/>
  <c r="AM544" i="36" s="1"/>
  <c r="AG544" i="36"/>
  <c r="AH544" i="36" s="1"/>
  <c r="AB544" i="36"/>
  <c r="AC544" i="36" s="1"/>
  <c r="W544" i="36"/>
  <c r="V544" i="36"/>
  <c r="X544" i="36" s="1"/>
  <c r="L544" i="36"/>
  <c r="AL543" i="36"/>
  <c r="AM543" i="36" s="1"/>
  <c r="AG543" i="36"/>
  <c r="AH543" i="36" s="1"/>
  <c r="AB543" i="36"/>
  <c r="AC543" i="36" s="1"/>
  <c r="W543" i="36"/>
  <c r="V543" i="36"/>
  <c r="X543" i="36" s="1"/>
  <c r="L543" i="36"/>
  <c r="AL542" i="36"/>
  <c r="AM542" i="36" s="1"/>
  <c r="AG542" i="36"/>
  <c r="AH542" i="36" s="1"/>
  <c r="AB542" i="36"/>
  <c r="AC542" i="36" s="1"/>
  <c r="W542" i="36"/>
  <c r="V542" i="36"/>
  <c r="X542" i="36" s="1"/>
  <c r="L542" i="36"/>
  <c r="AL541" i="36"/>
  <c r="AM541" i="36" s="1"/>
  <c r="AG541" i="36"/>
  <c r="AH541" i="36" s="1"/>
  <c r="AB541" i="36"/>
  <c r="AC541" i="36" s="1"/>
  <c r="W541" i="36"/>
  <c r="V541" i="36"/>
  <c r="X541" i="36" s="1"/>
  <c r="L541" i="36"/>
  <c r="AL540" i="36"/>
  <c r="AM540" i="36" s="1"/>
  <c r="AG540" i="36"/>
  <c r="AH540" i="36" s="1"/>
  <c r="AB540" i="36"/>
  <c r="AC540" i="36" s="1"/>
  <c r="W540" i="36"/>
  <c r="V540" i="36"/>
  <c r="X540" i="36" s="1"/>
  <c r="L540" i="36"/>
  <c r="AL539" i="36"/>
  <c r="AM539" i="36" s="1"/>
  <c r="AG539" i="36"/>
  <c r="AH539" i="36" s="1"/>
  <c r="AB539" i="36"/>
  <c r="AC539" i="36" s="1"/>
  <c r="W539" i="36"/>
  <c r="V539" i="36"/>
  <c r="X539" i="36" s="1"/>
  <c r="L539" i="36"/>
  <c r="AL538" i="36"/>
  <c r="AM538" i="36" s="1"/>
  <c r="AG538" i="36"/>
  <c r="AH538" i="36" s="1"/>
  <c r="AB538" i="36"/>
  <c r="AC538" i="36" s="1"/>
  <c r="W538" i="36"/>
  <c r="V538" i="36"/>
  <c r="X538" i="36" s="1"/>
  <c r="L538" i="36"/>
  <c r="AL537" i="36"/>
  <c r="AM537" i="36" s="1"/>
  <c r="AG537" i="36"/>
  <c r="AH537" i="36" s="1"/>
  <c r="AB537" i="36"/>
  <c r="AC537" i="36" s="1"/>
  <c r="W537" i="36"/>
  <c r="V537" i="36"/>
  <c r="X537" i="36" s="1"/>
  <c r="L537" i="36"/>
  <c r="AL536" i="36"/>
  <c r="AM536" i="36" s="1"/>
  <c r="AG536" i="36"/>
  <c r="AH536" i="36" s="1"/>
  <c r="AB536" i="36"/>
  <c r="AC536" i="36" s="1"/>
  <c r="W536" i="36"/>
  <c r="V536" i="36"/>
  <c r="X536" i="36" s="1"/>
  <c r="L536" i="36"/>
  <c r="AL535" i="36"/>
  <c r="AM535" i="36" s="1"/>
  <c r="AG535" i="36"/>
  <c r="AH535" i="36" s="1"/>
  <c r="AB535" i="36"/>
  <c r="AC535" i="36" s="1"/>
  <c r="W535" i="36"/>
  <c r="V535" i="36"/>
  <c r="X535" i="36" s="1"/>
  <c r="L535" i="36"/>
  <c r="AL534" i="36"/>
  <c r="AM534" i="36" s="1"/>
  <c r="AG534" i="36"/>
  <c r="AH534" i="36" s="1"/>
  <c r="AB534" i="36"/>
  <c r="AC534" i="36" s="1"/>
  <c r="W534" i="36"/>
  <c r="V534" i="36"/>
  <c r="X534" i="36" s="1"/>
  <c r="L534" i="36"/>
  <c r="AL533" i="36"/>
  <c r="AM533" i="36" s="1"/>
  <c r="AG533" i="36"/>
  <c r="AH533" i="36" s="1"/>
  <c r="AB533" i="36"/>
  <c r="AC533" i="36" s="1"/>
  <c r="W533" i="36"/>
  <c r="V533" i="36"/>
  <c r="X533" i="36" s="1"/>
  <c r="L533" i="36"/>
  <c r="AL532" i="36"/>
  <c r="AM532" i="36" s="1"/>
  <c r="AG532" i="36"/>
  <c r="AH532" i="36" s="1"/>
  <c r="AB532" i="36"/>
  <c r="AC532" i="36" s="1"/>
  <c r="W532" i="36"/>
  <c r="V532" i="36"/>
  <c r="X532" i="36" s="1"/>
  <c r="L532" i="36"/>
  <c r="AL531" i="36"/>
  <c r="AM531" i="36" s="1"/>
  <c r="AG531" i="36"/>
  <c r="AH531" i="36" s="1"/>
  <c r="AB531" i="36"/>
  <c r="AC531" i="36" s="1"/>
  <c r="W531" i="36"/>
  <c r="V531" i="36"/>
  <c r="X531" i="36" s="1"/>
  <c r="L531" i="36"/>
  <c r="AL530" i="36"/>
  <c r="AM530" i="36" s="1"/>
  <c r="AG530" i="36"/>
  <c r="AH530" i="36" s="1"/>
  <c r="AB530" i="36"/>
  <c r="AC530" i="36" s="1"/>
  <c r="W530" i="36"/>
  <c r="V530" i="36"/>
  <c r="X530" i="36" s="1"/>
  <c r="L530" i="36"/>
  <c r="AL529" i="36"/>
  <c r="AM529" i="36" s="1"/>
  <c r="AG529" i="36"/>
  <c r="AH529" i="36" s="1"/>
  <c r="AB529" i="36"/>
  <c r="AC529" i="36" s="1"/>
  <c r="W529" i="36"/>
  <c r="V529" i="36"/>
  <c r="X529" i="36" s="1"/>
  <c r="L529" i="36"/>
  <c r="AL528" i="36"/>
  <c r="AM528" i="36" s="1"/>
  <c r="AG528" i="36"/>
  <c r="AH528" i="36" s="1"/>
  <c r="AB528" i="36"/>
  <c r="AC528" i="36" s="1"/>
  <c r="W528" i="36"/>
  <c r="V528" i="36"/>
  <c r="X528" i="36" s="1"/>
  <c r="L528" i="36"/>
  <c r="AL527" i="36"/>
  <c r="AM527" i="36" s="1"/>
  <c r="AG527" i="36"/>
  <c r="AH527" i="36" s="1"/>
  <c r="AB527" i="36"/>
  <c r="AC527" i="36" s="1"/>
  <c r="W527" i="36"/>
  <c r="V527" i="36"/>
  <c r="X527" i="36" s="1"/>
  <c r="L527" i="36"/>
  <c r="AL526" i="36"/>
  <c r="AM526" i="36" s="1"/>
  <c r="AG526" i="36"/>
  <c r="AH526" i="36" s="1"/>
  <c r="AB526" i="36"/>
  <c r="AC526" i="36" s="1"/>
  <c r="W526" i="36"/>
  <c r="V526" i="36"/>
  <c r="X526" i="36" s="1"/>
  <c r="L526" i="36"/>
  <c r="AL525" i="36"/>
  <c r="AM525" i="36" s="1"/>
  <c r="AG525" i="36"/>
  <c r="AH525" i="36" s="1"/>
  <c r="AB525" i="36"/>
  <c r="AC525" i="36" s="1"/>
  <c r="W525" i="36"/>
  <c r="V525" i="36"/>
  <c r="X525" i="36" s="1"/>
  <c r="L525" i="36"/>
  <c r="AL524" i="36"/>
  <c r="AM524" i="36" s="1"/>
  <c r="AG524" i="36"/>
  <c r="AH524" i="36" s="1"/>
  <c r="AB524" i="36"/>
  <c r="AC524" i="36" s="1"/>
  <c r="W524" i="36"/>
  <c r="V524" i="36"/>
  <c r="X524" i="36" s="1"/>
  <c r="L524" i="36"/>
  <c r="AL523" i="36"/>
  <c r="AM523" i="36" s="1"/>
  <c r="AG523" i="36"/>
  <c r="AH523" i="36" s="1"/>
  <c r="AB523" i="36"/>
  <c r="AC523" i="36" s="1"/>
  <c r="W523" i="36"/>
  <c r="V523" i="36"/>
  <c r="X523" i="36" s="1"/>
  <c r="L523" i="36"/>
  <c r="AL522" i="36"/>
  <c r="AM522" i="36" s="1"/>
  <c r="AG522" i="36"/>
  <c r="AH522" i="36" s="1"/>
  <c r="AB522" i="36"/>
  <c r="AC522" i="36" s="1"/>
  <c r="W522" i="36"/>
  <c r="V522" i="36"/>
  <c r="X522" i="36" s="1"/>
  <c r="L522" i="36"/>
  <c r="AL521" i="36"/>
  <c r="AM521" i="36" s="1"/>
  <c r="AG521" i="36"/>
  <c r="AH521" i="36" s="1"/>
  <c r="AB521" i="36"/>
  <c r="AC521" i="36" s="1"/>
  <c r="W521" i="36"/>
  <c r="V521" i="36"/>
  <c r="X521" i="36" s="1"/>
  <c r="L521" i="36"/>
  <c r="AL520" i="36"/>
  <c r="AM520" i="36" s="1"/>
  <c r="AG520" i="36"/>
  <c r="AH520" i="36" s="1"/>
  <c r="AB520" i="36"/>
  <c r="AC520" i="36" s="1"/>
  <c r="W520" i="36"/>
  <c r="V520" i="36"/>
  <c r="X520" i="36" s="1"/>
  <c r="L520" i="36"/>
  <c r="AL519" i="36"/>
  <c r="AM519" i="36" s="1"/>
  <c r="AG519" i="36"/>
  <c r="AH519" i="36" s="1"/>
  <c r="AB519" i="36"/>
  <c r="AC519" i="36" s="1"/>
  <c r="W519" i="36"/>
  <c r="V519" i="36"/>
  <c r="X519" i="36" s="1"/>
  <c r="L519" i="36"/>
  <c r="AL518" i="36"/>
  <c r="AM518" i="36" s="1"/>
  <c r="AG518" i="36"/>
  <c r="AH518" i="36" s="1"/>
  <c r="AB518" i="36"/>
  <c r="AC518" i="36" s="1"/>
  <c r="W518" i="36"/>
  <c r="V518" i="36"/>
  <c r="X518" i="36" s="1"/>
  <c r="L518" i="36"/>
  <c r="AL517" i="36"/>
  <c r="AM517" i="36" s="1"/>
  <c r="AG517" i="36"/>
  <c r="AH517" i="36" s="1"/>
  <c r="AB517" i="36"/>
  <c r="AC517" i="36" s="1"/>
  <c r="W517" i="36"/>
  <c r="V517" i="36"/>
  <c r="X517" i="36" s="1"/>
  <c r="L517" i="36"/>
  <c r="AL516" i="36"/>
  <c r="AM516" i="36" s="1"/>
  <c r="AG516" i="36"/>
  <c r="AH516" i="36" s="1"/>
  <c r="AB516" i="36"/>
  <c r="AC516" i="36" s="1"/>
  <c r="W516" i="36"/>
  <c r="V516" i="36"/>
  <c r="X516" i="36" s="1"/>
  <c r="L516" i="36"/>
  <c r="AL515" i="36"/>
  <c r="AM515" i="36" s="1"/>
  <c r="AG515" i="36"/>
  <c r="AH515" i="36" s="1"/>
  <c r="AB515" i="36"/>
  <c r="AC515" i="36" s="1"/>
  <c r="W515" i="36"/>
  <c r="V515" i="36"/>
  <c r="X515" i="36" s="1"/>
  <c r="L515" i="36"/>
  <c r="AL514" i="36"/>
  <c r="AM514" i="36" s="1"/>
  <c r="AG514" i="36"/>
  <c r="AH514" i="36" s="1"/>
  <c r="AB514" i="36"/>
  <c r="AC514" i="36" s="1"/>
  <c r="W514" i="36"/>
  <c r="V514" i="36"/>
  <c r="X514" i="36" s="1"/>
  <c r="L514" i="36"/>
  <c r="AL513" i="36"/>
  <c r="AM513" i="36" s="1"/>
  <c r="AG513" i="36"/>
  <c r="AH513" i="36" s="1"/>
  <c r="AB513" i="36"/>
  <c r="AC513" i="36" s="1"/>
  <c r="W513" i="36"/>
  <c r="V513" i="36"/>
  <c r="X513" i="36" s="1"/>
  <c r="L513" i="36"/>
  <c r="AL512" i="36"/>
  <c r="AM512" i="36" s="1"/>
  <c r="AG512" i="36"/>
  <c r="AH512" i="36" s="1"/>
  <c r="AB512" i="36"/>
  <c r="AC512" i="36" s="1"/>
  <c r="W512" i="36"/>
  <c r="V512" i="36"/>
  <c r="X512" i="36" s="1"/>
  <c r="L512" i="36"/>
  <c r="AL511" i="36"/>
  <c r="AM511" i="36" s="1"/>
  <c r="AG511" i="36"/>
  <c r="AH511" i="36" s="1"/>
  <c r="AB511" i="36"/>
  <c r="AC511" i="36" s="1"/>
  <c r="W511" i="36"/>
  <c r="V511" i="36"/>
  <c r="X511" i="36" s="1"/>
  <c r="L511" i="36"/>
  <c r="AL510" i="36"/>
  <c r="AM510" i="36" s="1"/>
  <c r="AG510" i="36"/>
  <c r="AH510" i="36" s="1"/>
  <c r="AB510" i="36"/>
  <c r="AC510" i="36" s="1"/>
  <c r="W510" i="36"/>
  <c r="V510" i="36"/>
  <c r="X510" i="36" s="1"/>
  <c r="L510" i="36"/>
  <c r="AL509" i="36"/>
  <c r="AM509" i="36" s="1"/>
  <c r="AG509" i="36"/>
  <c r="AH509" i="36" s="1"/>
  <c r="AB509" i="36"/>
  <c r="AC509" i="36" s="1"/>
  <c r="W509" i="36"/>
  <c r="V509" i="36"/>
  <c r="X509" i="36" s="1"/>
  <c r="L509" i="36"/>
  <c r="AL508" i="36"/>
  <c r="AM508" i="36" s="1"/>
  <c r="AG508" i="36"/>
  <c r="AH508" i="36" s="1"/>
  <c r="AB508" i="36"/>
  <c r="AC508" i="36" s="1"/>
  <c r="W508" i="36"/>
  <c r="V508" i="36"/>
  <c r="X508" i="36" s="1"/>
  <c r="L508" i="36"/>
  <c r="AL507" i="36"/>
  <c r="AM507" i="36" s="1"/>
  <c r="AG507" i="36"/>
  <c r="AH507" i="36" s="1"/>
  <c r="AB507" i="36"/>
  <c r="AC507" i="36" s="1"/>
  <c r="W507" i="36"/>
  <c r="V507" i="36"/>
  <c r="X507" i="36" s="1"/>
  <c r="L507" i="36"/>
  <c r="AL506" i="36"/>
  <c r="AM506" i="36" s="1"/>
  <c r="AG506" i="36"/>
  <c r="AH506" i="36" s="1"/>
  <c r="AB506" i="36"/>
  <c r="AC506" i="36" s="1"/>
  <c r="W506" i="36"/>
  <c r="V506" i="36"/>
  <c r="X506" i="36" s="1"/>
  <c r="L506" i="36"/>
  <c r="AL505" i="36"/>
  <c r="AM505" i="36" s="1"/>
  <c r="AG505" i="36"/>
  <c r="AH505" i="36" s="1"/>
  <c r="AB505" i="36"/>
  <c r="AC505" i="36" s="1"/>
  <c r="W505" i="36"/>
  <c r="V505" i="36"/>
  <c r="X505" i="36" s="1"/>
  <c r="L505" i="36"/>
  <c r="AL504" i="36"/>
  <c r="AM504" i="36" s="1"/>
  <c r="AG504" i="36"/>
  <c r="AH504" i="36" s="1"/>
  <c r="AB504" i="36"/>
  <c r="AC504" i="36" s="1"/>
  <c r="W504" i="36"/>
  <c r="V504" i="36"/>
  <c r="X504" i="36" s="1"/>
  <c r="L504" i="36"/>
  <c r="AL503" i="36"/>
  <c r="AM503" i="36" s="1"/>
  <c r="AG503" i="36"/>
  <c r="AH503" i="36" s="1"/>
  <c r="AB503" i="36"/>
  <c r="AC503" i="36" s="1"/>
  <c r="W503" i="36"/>
  <c r="V503" i="36"/>
  <c r="X503" i="36" s="1"/>
  <c r="L503" i="36"/>
  <c r="AL502" i="36"/>
  <c r="AM502" i="36" s="1"/>
  <c r="AG502" i="36"/>
  <c r="AH502" i="36" s="1"/>
  <c r="AB502" i="36"/>
  <c r="AC502" i="36" s="1"/>
  <c r="W502" i="36"/>
  <c r="V502" i="36"/>
  <c r="X502" i="36" s="1"/>
  <c r="L502" i="36"/>
  <c r="AL501" i="36"/>
  <c r="AM501" i="36" s="1"/>
  <c r="AG501" i="36"/>
  <c r="AH501" i="36" s="1"/>
  <c r="AB501" i="36"/>
  <c r="AC501" i="36" s="1"/>
  <c r="W501" i="36"/>
  <c r="V501" i="36"/>
  <c r="X501" i="36" s="1"/>
  <c r="L501" i="36"/>
  <c r="AL500" i="36"/>
  <c r="AM500" i="36" s="1"/>
  <c r="AG500" i="36"/>
  <c r="AH500" i="36" s="1"/>
  <c r="AB500" i="36"/>
  <c r="AC500" i="36" s="1"/>
  <c r="W500" i="36"/>
  <c r="V500" i="36"/>
  <c r="X500" i="36" s="1"/>
  <c r="L500" i="36"/>
  <c r="AL499" i="36"/>
  <c r="AM499" i="36" s="1"/>
  <c r="AG499" i="36"/>
  <c r="AH499" i="36" s="1"/>
  <c r="AB499" i="36"/>
  <c r="AC499" i="36" s="1"/>
  <c r="W499" i="36"/>
  <c r="V499" i="36"/>
  <c r="X499" i="36" s="1"/>
  <c r="L499" i="36"/>
  <c r="AL498" i="36"/>
  <c r="AM498" i="36" s="1"/>
  <c r="AG498" i="36"/>
  <c r="AH498" i="36" s="1"/>
  <c r="AB498" i="36"/>
  <c r="AC498" i="36" s="1"/>
  <c r="W498" i="36"/>
  <c r="V498" i="36"/>
  <c r="X498" i="36" s="1"/>
  <c r="L498" i="36"/>
  <c r="AL497" i="36"/>
  <c r="AM497" i="36" s="1"/>
  <c r="AG497" i="36"/>
  <c r="AH497" i="36" s="1"/>
  <c r="AB497" i="36"/>
  <c r="AC497" i="36" s="1"/>
  <c r="W497" i="36"/>
  <c r="V497" i="36"/>
  <c r="X497" i="36" s="1"/>
  <c r="L497" i="36"/>
  <c r="AL496" i="36"/>
  <c r="AM496" i="36" s="1"/>
  <c r="AG496" i="36"/>
  <c r="AH496" i="36" s="1"/>
  <c r="AB496" i="36"/>
  <c r="AC496" i="36" s="1"/>
  <c r="W496" i="36"/>
  <c r="V496" i="36"/>
  <c r="X496" i="36" s="1"/>
  <c r="L496" i="36"/>
  <c r="AL495" i="36"/>
  <c r="AM495" i="36" s="1"/>
  <c r="AG495" i="36"/>
  <c r="AH495" i="36" s="1"/>
  <c r="AB495" i="36"/>
  <c r="AC495" i="36" s="1"/>
  <c r="W495" i="36"/>
  <c r="V495" i="36"/>
  <c r="X495" i="36" s="1"/>
  <c r="L495" i="36"/>
  <c r="AL494" i="36"/>
  <c r="AM494" i="36" s="1"/>
  <c r="AG494" i="36"/>
  <c r="AH494" i="36" s="1"/>
  <c r="AB494" i="36"/>
  <c r="AC494" i="36" s="1"/>
  <c r="W494" i="36"/>
  <c r="V494" i="36"/>
  <c r="X494" i="36" s="1"/>
  <c r="L494" i="36"/>
  <c r="AL493" i="36"/>
  <c r="AM493" i="36" s="1"/>
  <c r="AG493" i="36"/>
  <c r="AH493" i="36" s="1"/>
  <c r="AB493" i="36"/>
  <c r="AC493" i="36" s="1"/>
  <c r="W493" i="36"/>
  <c r="V493" i="36"/>
  <c r="X493" i="36" s="1"/>
  <c r="L493" i="36"/>
  <c r="AL492" i="36"/>
  <c r="AM492" i="36" s="1"/>
  <c r="AG492" i="36"/>
  <c r="AH492" i="36" s="1"/>
  <c r="AB492" i="36"/>
  <c r="AC492" i="36" s="1"/>
  <c r="W492" i="36"/>
  <c r="V492" i="36"/>
  <c r="X492" i="36" s="1"/>
  <c r="L492" i="36"/>
  <c r="AL491" i="36"/>
  <c r="AM491" i="36" s="1"/>
  <c r="AG491" i="36"/>
  <c r="AH491" i="36" s="1"/>
  <c r="AB491" i="36"/>
  <c r="AC491" i="36" s="1"/>
  <c r="W491" i="36"/>
  <c r="V491" i="36"/>
  <c r="X491" i="36" s="1"/>
  <c r="L491" i="36"/>
  <c r="AL490" i="36"/>
  <c r="AM490" i="36" s="1"/>
  <c r="AG490" i="36"/>
  <c r="AH490" i="36" s="1"/>
  <c r="AB490" i="36"/>
  <c r="AC490" i="36" s="1"/>
  <c r="W490" i="36"/>
  <c r="V490" i="36"/>
  <c r="X490" i="36" s="1"/>
  <c r="L490" i="36"/>
  <c r="AL489" i="36"/>
  <c r="AM489" i="36" s="1"/>
  <c r="AG489" i="36"/>
  <c r="AH489" i="36" s="1"/>
  <c r="AB489" i="36"/>
  <c r="AC489" i="36" s="1"/>
  <c r="W489" i="36"/>
  <c r="V489" i="36"/>
  <c r="X489" i="36" s="1"/>
  <c r="L489" i="36"/>
  <c r="AL488" i="36"/>
  <c r="AM488" i="36" s="1"/>
  <c r="AG488" i="36"/>
  <c r="AH488" i="36" s="1"/>
  <c r="AB488" i="36"/>
  <c r="AC488" i="36" s="1"/>
  <c r="W488" i="36"/>
  <c r="V488" i="36"/>
  <c r="X488" i="36" s="1"/>
  <c r="L488" i="36"/>
  <c r="AL487" i="36"/>
  <c r="AM487" i="36" s="1"/>
  <c r="AG487" i="36"/>
  <c r="AH487" i="36" s="1"/>
  <c r="AB487" i="36"/>
  <c r="AC487" i="36" s="1"/>
  <c r="W487" i="36"/>
  <c r="V487" i="36"/>
  <c r="X487" i="36" s="1"/>
  <c r="L487" i="36"/>
  <c r="AL486" i="36"/>
  <c r="AM486" i="36" s="1"/>
  <c r="AG486" i="36"/>
  <c r="AH486" i="36" s="1"/>
  <c r="AB486" i="36"/>
  <c r="AC486" i="36" s="1"/>
  <c r="W486" i="36"/>
  <c r="V486" i="36"/>
  <c r="X486" i="36" s="1"/>
  <c r="L486" i="36"/>
  <c r="AL485" i="36"/>
  <c r="AM485" i="36" s="1"/>
  <c r="AG485" i="36"/>
  <c r="AH485" i="36" s="1"/>
  <c r="AB485" i="36"/>
  <c r="AC485" i="36" s="1"/>
  <c r="W485" i="36"/>
  <c r="V485" i="36"/>
  <c r="X485" i="36" s="1"/>
  <c r="L485" i="36"/>
  <c r="AL484" i="36"/>
  <c r="AM484" i="36" s="1"/>
  <c r="AG484" i="36"/>
  <c r="AH484" i="36" s="1"/>
  <c r="AB484" i="36"/>
  <c r="AC484" i="36" s="1"/>
  <c r="W484" i="36"/>
  <c r="V484" i="36"/>
  <c r="X484" i="36" s="1"/>
  <c r="L484" i="36"/>
  <c r="AL483" i="36"/>
  <c r="AM483" i="36" s="1"/>
  <c r="AG483" i="36"/>
  <c r="AH483" i="36" s="1"/>
  <c r="AB483" i="36"/>
  <c r="AC483" i="36" s="1"/>
  <c r="W483" i="36"/>
  <c r="V483" i="36"/>
  <c r="X483" i="36" s="1"/>
  <c r="L483" i="36"/>
  <c r="AL482" i="36"/>
  <c r="AM482" i="36" s="1"/>
  <c r="AG482" i="36"/>
  <c r="AH482" i="36" s="1"/>
  <c r="AB482" i="36"/>
  <c r="AC482" i="36" s="1"/>
  <c r="W482" i="36"/>
  <c r="V482" i="36"/>
  <c r="X482" i="36" s="1"/>
  <c r="L482" i="36"/>
  <c r="AL481" i="36"/>
  <c r="AM481" i="36" s="1"/>
  <c r="AG481" i="36"/>
  <c r="AH481" i="36" s="1"/>
  <c r="AB481" i="36"/>
  <c r="AC481" i="36" s="1"/>
  <c r="W481" i="36"/>
  <c r="V481" i="36"/>
  <c r="X481" i="36" s="1"/>
  <c r="L481" i="36"/>
  <c r="AL480" i="36"/>
  <c r="AM480" i="36" s="1"/>
  <c r="AG480" i="36"/>
  <c r="AH480" i="36" s="1"/>
  <c r="AB480" i="36"/>
  <c r="AC480" i="36" s="1"/>
  <c r="W480" i="36"/>
  <c r="V480" i="36"/>
  <c r="X480" i="36" s="1"/>
  <c r="L480" i="36"/>
  <c r="AL479" i="36"/>
  <c r="AM479" i="36" s="1"/>
  <c r="AG479" i="36"/>
  <c r="AH479" i="36" s="1"/>
  <c r="AB479" i="36"/>
  <c r="AC479" i="36" s="1"/>
  <c r="W479" i="36"/>
  <c r="V479" i="36"/>
  <c r="X479" i="36" s="1"/>
  <c r="L479" i="36"/>
  <c r="AL478" i="36"/>
  <c r="AM478" i="36" s="1"/>
  <c r="AG478" i="36"/>
  <c r="AH478" i="36" s="1"/>
  <c r="AB478" i="36"/>
  <c r="AC478" i="36" s="1"/>
  <c r="W478" i="36"/>
  <c r="V478" i="36"/>
  <c r="X478" i="36" s="1"/>
  <c r="L478" i="36"/>
  <c r="AL477" i="36"/>
  <c r="AM477" i="36" s="1"/>
  <c r="AG477" i="36"/>
  <c r="AH477" i="36" s="1"/>
  <c r="AB477" i="36"/>
  <c r="AC477" i="36" s="1"/>
  <c r="W477" i="36"/>
  <c r="V477" i="36"/>
  <c r="X477" i="36" s="1"/>
  <c r="L477" i="36"/>
  <c r="AL476" i="36"/>
  <c r="AM476" i="36" s="1"/>
  <c r="AG476" i="36"/>
  <c r="AH476" i="36" s="1"/>
  <c r="AB476" i="36"/>
  <c r="AC476" i="36" s="1"/>
  <c r="W476" i="36"/>
  <c r="V476" i="36"/>
  <c r="X476" i="36" s="1"/>
  <c r="L476" i="36"/>
  <c r="AL475" i="36"/>
  <c r="AM475" i="36" s="1"/>
  <c r="AG475" i="36"/>
  <c r="AH475" i="36" s="1"/>
  <c r="AB475" i="36"/>
  <c r="AC475" i="36" s="1"/>
  <c r="W475" i="36"/>
  <c r="V475" i="36"/>
  <c r="X475" i="36" s="1"/>
  <c r="L475" i="36"/>
  <c r="AL474" i="36"/>
  <c r="AM474" i="36" s="1"/>
  <c r="AG474" i="36"/>
  <c r="AH474" i="36" s="1"/>
  <c r="AB474" i="36"/>
  <c r="AC474" i="36" s="1"/>
  <c r="W474" i="36"/>
  <c r="V474" i="36"/>
  <c r="X474" i="36" s="1"/>
  <c r="L474" i="36"/>
  <c r="AL473" i="36"/>
  <c r="AM473" i="36" s="1"/>
  <c r="AG473" i="36"/>
  <c r="AH473" i="36" s="1"/>
  <c r="AB473" i="36"/>
  <c r="AC473" i="36" s="1"/>
  <c r="W473" i="36"/>
  <c r="V473" i="36"/>
  <c r="X473" i="36" s="1"/>
  <c r="L473" i="36"/>
  <c r="AL472" i="36"/>
  <c r="AM472" i="36" s="1"/>
  <c r="AG472" i="36"/>
  <c r="AH472" i="36" s="1"/>
  <c r="AB472" i="36"/>
  <c r="AC472" i="36" s="1"/>
  <c r="W472" i="36"/>
  <c r="V472" i="36"/>
  <c r="X472" i="36" s="1"/>
  <c r="L472" i="36"/>
  <c r="AL471" i="36"/>
  <c r="AM471" i="36" s="1"/>
  <c r="AG471" i="36"/>
  <c r="AH471" i="36" s="1"/>
  <c r="AB471" i="36"/>
  <c r="AC471" i="36" s="1"/>
  <c r="W471" i="36"/>
  <c r="V471" i="36"/>
  <c r="X471" i="36" s="1"/>
  <c r="L471" i="36"/>
  <c r="AL470" i="36"/>
  <c r="AM470" i="36" s="1"/>
  <c r="AG470" i="36"/>
  <c r="AH470" i="36" s="1"/>
  <c r="AB470" i="36"/>
  <c r="AC470" i="36" s="1"/>
  <c r="W470" i="36"/>
  <c r="V470" i="36"/>
  <c r="X470" i="36" s="1"/>
  <c r="L470" i="36"/>
  <c r="AL469" i="36"/>
  <c r="AM469" i="36" s="1"/>
  <c r="AG469" i="36"/>
  <c r="AH469" i="36" s="1"/>
  <c r="AB469" i="36"/>
  <c r="AC469" i="36" s="1"/>
  <c r="W469" i="36"/>
  <c r="V469" i="36"/>
  <c r="X469" i="36" s="1"/>
  <c r="L469" i="36"/>
  <c r="AL468" i="36"/>
  <c r="AM468" i="36" s="1"/>
  <c r="AG468" i="36"/>
  <c r="AH468" i="36" s="1"/>
  <c r="AB468" i="36"/>
  <c r="AC468" i="36" s="1"/>
  <c r="W468" i="36"/>
  <c r="V468" i="36"/>
  <c r="X468" i="36" s="1"/>
  <c r="L468" i="36"/>
  <c r="AL467" i="36"/>
  <c r="AM467" i="36" s="1"/>
  <c r="AG467" i="36"/>
  <c r="AH467" i="36" s="1"/>
  <c r="AB467" i="36"/>
  <c r="AC467" i="36" s="1"/>
  <c r="W467" i="36"/>
  <c r="V467" i="36"/>
  <c r="X467" i="36" s="1"/>
  <c r="L467" i="36"/>
  <c r="AL466" i="36"/>
  <c r="AM466" i="36" s="1"/>
  <c r="AG466" i="36"/>
  <c r="AH466" i="36" s="1"/>
  <c r="AB466" i="36"/>
  <c r="AC466" i="36" s="1"/>
  <c r="W466" i="36"/>
  <c r="V466" i="36"/>
  <c r="X466" i="36" s="1"/>
  <c r="L466" i="36"/>
  <c r="AL465" i="36"/>
  <c r="AM465" i="36" s="1"/>
  <c r="AG465" i="36"/>
  <c r="AH465" i="36" s="1"/>
  <c r="AB465" i="36"/>
  <c r="AC465" i="36" s="1"/>
  <c r="W465" i="36"/>
  <c r="V465" i="36"/>
  <c r="X465" i="36" s="1"/>
  <c r="L465" i="36"/>
  <c r="AL464" i="36"/>
  <c r="AM464" i="36" s="1"/>
  <c r="AG464" i="36"/>
  <c r="AH464" i="36" s="1"/>
  <c r="AB464" i="36"/>
  <c r="AC464" i="36" s="1"/>
  <c r="W464" i="36"/>
  <c r="V464" i="36"/>
  <c r="X464" i="36" s="1"/>
  <c r="L464" i="36"/>
  <c r="AL463" i="36"/>
  <c r="AM463" i="36" s="1"/>
  <c r="AG463" i="36"/>
  <c r="AH463" i="36" s="1"/>
  <c r="AB463" i="36"/>
  <c r="AC463" i="36" s="1"/>
  <c r="W463" i="36"/>
  <c r="V463" i="36"/>
  <c r="X463" i="36" s="1"/>
  <c r="L463" i="36"/>
  <c r="AL462" i="36"/>
  <c r="AM462" i="36" s="1"/>
  <c r="AG462" i="36"/>
  <c r="AH462" i="36" s="1"/>
  <c r="AB462" i="36"/>
  <c r="AC462" i="36" s="1"/>
  <c r="W462" i="36"/>
  <c r="V462" i="36"/>
  <c r="X462" i="36" s="1"/>
  <c r="L462" i="36"/>
  <c r="AL461" i="36"/>
  <c r="AM461" i="36" s="1"/>
  <c r="AG461" i="36"/>
  <c r="AH461" i="36" s="1"/>
  <c r="AB461" i="36"/>
  <c r="AC461" i="36" s="1"/>
  <c r="W461" i="36"/>
  <c r="V461" i="36"/>
  <c r="X461" i="36" s="1"/>
  <c r="L461" i="36"/>
  <c r="AL460" i="36"/>
  <c r="AM460" i="36" s="1"/>
  <c r="AG460" i="36"/>
  <c r="AH460" i="36" s="1"/>
  <c r="AB460" i="36"/>
  <c r="AC460" i="36" s="1"/>
  <c r="W460" i="36"/>
  <c r="V460" i="36"/>
  <c r="X460" i="36" s="1"/>
  <c r="L460" i="36"/>
  <c r="AL459" i="36"/>
  <c r="AM459" i="36" s="1"/>
  <c r="AG459" i="36"/>
  <c r="AH459" i="36" s="1"/>
  <c r="AB459" i="36"/>
  <c r="AC459" i="36" s="1"/>
  <c r="W459" i="36"/>
  <c r="V459" i="36"/>
  <c r="X459" i="36" s="1"/>
  <c r="L459" i="36"/>
  <c r="AL458" i="36"/>
  <c r="AM458" i="36" s="1"/>
  <c r="AG458" i="36"/>
  <c r="AH458" i="36" s="1"/>
  <c r="AB458" i="36"/>
  <c r="AC458" i="36" s="1"/>
  <c r="W458" i="36"/>
  <c r="V458" i="36"/>
  <c r="X458" i="36" s="1"/>
  <c r="L458" i="36"/>
  <c r="AL457" i="36"/>
  <c r="AM457" i="36" s="1"/>
  <c r="AG457" i="36"/>
  <c r="AH457" i="36" s="1"/>
  <c r="AB457" i="36"/>
  <c r="AC457" i="36" s="1"/>
  <c r="W457" i="36"/>
  <c r="V457" i="36"/>
  <c r="X457" i="36" s="1"/>
  <c r="L457" i="36"/>
  <c r="AL456" i="36"/>
  <c r="AM456" i="36" s="1"/>
  <c r="AG456" i="36"/>
  <c r="AH456" i="36" s="1"/>
  <c r="AB456" i="36"/>
  <c r="AC456" i="36" s="1"/>
  <c r="W456" i="36"/>
  <c r="V456" i="36"/>
  <c r="X456" i="36" s="1"/>
  <c r="L456" i="36"/>
  <c r="AL455" i="36"/>
  <c r="AM455" i="36" s="1"/>
  <c r="AG455" i="36"/>
  <c r="AH455" i="36" s="1"/>
  <c r="AB455" i="36"/>
  <c r="AC455" i="36" s="1"/>
  <c r="W455" i="36"/>
  <c r="V455" i="36"/>
  <c r="X455" i="36" s="1"/>
  <c r="L455" i="36"/>
  <c r="AL454" i="36"/>
  <c r="AM454" i="36" s="1"/>
  <c r="AG454" i="36"/>
  <c r="AH454" i="36" s="1"/>
  <c r="AB454" i="36"/>
  <c r="AC454" i="36" s="1"/>
  <c r="W454" i="36"/>
  <c r="V454" i="36"/>
  <c r="X454" i="36" s="1"/>
  <c r="L454" i="36"/>
  <c r="AL453" i="36"/>
  <c r="AM453" i="36" s="1"/>
  <c r="AG453" i="36"/>
  <c r="AH453" i="36" s="1"/>
  <c r="AB453" i="36"/>
  <c r="AC453" i="36" s="1"/>
  <c r="W453" i="36"/>
  <c r="V453" i="36"/>
  <c r="X453" i="36" s="1"/>
  <c r="L453" i="36"/>
  <c r="AL452" i="36"/>
  <c r="AM452" i="36" s="1"/>
  <c r="AG452" i="36"/>
  <c r="AH452" i="36" s="1"/>
  <c r="AB452" i="36"/>
  <c r="AC452" i="36" s="1"/>
  <c r="W452" i="36"/>
  <c r="V452" i="36"/>
  <c r="X452" i="36" s="1"/>
  <c r="L452" i="36"/>
  <c r="AL451" i="36"/>
  <c r="AM451" i="36" s="1"/>
  <c r="AG451" i="36"/>
  <c r="AH451" i="36" s="1"/>
  <c r="AB451" i="36"/>
  <c r="AC451" i="36" s="1"/>
  <c r="W451" i="36"/>
  <c r="V451" i="36"/>
  <c r="X451" i="36" s="1"/>
  <c r="L451" i="36"/>
  <c r="AL450" i="36"/>
  <c r="AM450" i="36" s="1"/>
  <c r="AG450" i="36"/>
  <c r="AH450" i="36" s="1"/>
  <c r="AB450" i="36"/>
  <c r="AC450" i="36" s="1"/>
  <c r="W450" i="36"/>
  <c r="V450" i="36"/>
  <c r="X450" i="36" s="1"/>
  <c r="L450" i="36"/>
  <c r="AL449" i="36"/>
  <c r="AM449" i="36" s="1"/>
  <c r="AG449" i="36"/>
  <c r="AH449" i="36" s="1"/>
  <c r="AB449" i="36"/>
  <c r="AC449" i="36" s="1"/>
  <c r="W449" i="36"/>
  <c r="V449" i="36"/>
  <c r="X449" i="36" s="1"/>
  <c r="L449" i="36"/>
  <c r="AL448" i="36"/>
  <c r="AM448" i="36" s="1"/>
  <c r="AG448" i="36"/>
  <c r="AH448" i="36" s="1"/>
  <c r="AB448" i="36"/>
  <c r="AC448" i="36" s="1"/>
  <c r="W448" i="36"/>
  <c r="V448" i="36"/>
  <c r="X448" i="36" s="1"/>
  <c r="L448" i="36"/>
  <c r="AL447" i="36"/>
  <c r="AM447" i="36" s="1"/>
  <c r="AG447" i="36"/>
  <c r="AH447" i="36" s="1"/>
  <c r="AB447" i="36"/>
  <c r="AC447" i="36" s="1"/>
  <c r="W447" i="36"/>
  <c r="V447" i="36"/>
  <c r="X447" i="36" s="1"/>
  <c r="L447" i="36"/>
  <c r="AL446" i="36"/>
  <c r="AM446" i="36" s="1"/>
  <c r="AG446" i="36"/>
  <c r="AH446" i="36" s="1"/>
  <c r="AB446" i="36"/>
  <c r="AC446" i="36" s="1"/>
  <c r="W446" i="36"/>
  <c r="V446" i="36"/>
  <c r="X446" i="36" s="1"/>
  <c r="L446" i="36"/>
  <c r="AL445" i="36"/>
  <c r="AM445" i="36" s="1"/>
  <c r="AG445" i="36"/>
  <c r="AH445" i="36" s="1"/>
  <c r="AB445" i="36"/>
  <c r="AC445" i="36" s="1"/>
  <c r="W445" i="36"/>
  <c r="V445" i="36"/>
  <c r="X445" i="36" s="1"/>
  <c r="L445" i="36"/>
  <c r="AL444" i="36"/>
  <c r="AM444" i="36" s="1"/>
  <c r="AG444" i="36"/>
  <c r="AH444" i="36" s="1"/>
  <c r="AB444" i="36"/>
  <c r="AC444" i="36" s="1"/>
  <c r="W444" i="36"/>
  <c r="V444" i="36"/>
  <c r="X444" i="36" s="1"/>
  <c r="L444" i="36"/>
  <c r="AL443" i="36"/>
  <c r="AM443" i="36" s="1"/>
  <c r="AG443" i="36"/>
  <c r="AH443" i="36" s="1"/>
  <c r="AB443" i="36"/>
  <c r="AC443" i="36" s="1"/>
  <c r="W443" i="36"/>
  <c r="V443" i="36"/>
  <c r="X443" i="36" s="1"/>
  <c r="L443" i="36"/>
  <c r="AL442" i="36"/>
  <c r="AM442" i="36" s="1"/>
  <c r="AG442" i="36"/>
  <c r="AH442" i="36" s="1"/>
  <c r="AB442" i="36"/>
  <c r="AC442" i="36" s="1"/>
  <c r="W442" i="36"/>
  <c r="V442" i="36"/>
  <c r="X442" i="36" s="1"/>
  <c r="L442" i="36"/>
  <c r="AL441" i="36"/>
  <c r="AM441" i="36" s="1"/>
  <c r="AG441" i="36"/>
  <c r="AH441" i="36" s="1"/>
  <c r="AB441" i="36"/>
  <c r="AC441" i="36" s="1"/>
  <c r="W441" i="36"/>
  <c r="V441" i="36"/>
  <c r="X441" i="36" s="1"/>
  <c r="L441" i="36"/>
  <c r="AL440" i="36"/>
  <c r="AM440" i="36" s="1"/>
  <c r="AG440" i="36"/>
  <c r="AH440" i="36" s="1"/>
  <c r="AB440" i="36"/>
  <c r="AC440" i="36" s="1"/>
  <c r="W440" i="36"/>
  <c r="V440" i="36"/>
  <c r="X440" i="36" s="1"/>
  <c r="L440" i="36"/>
  <c r="AL439" i="36"/>
  <c r="AM439" i="36" s="1"/>
  <c r="AG439" i="36"/>
  <c r="AH439" i="36" s="1"/>
  <c r="AB439" i="36"/>
  <c r="AC439" i="36" s="1"/>
  <c r="W439" i="36"/>
  <c r="V439" i="36"/>
  <c r="X439" i="36" s="1"/>
  <c r="L439" i="36"/>
  <c r="AL438" i="36"/>
  <c r="AM438" i="36" s="1"/>
  <c r="AG438" i="36"/>
  <c r="AH438" i="36" s="1"/>
  <c r="AB438" i="36"/>
  <c r="AC438" i="36" s="1"/>
  <c r="W438" i="36"/>
  <c r="V438" i="36"/>
  <c r="X438" i="36" s="1"/>
  <c r="L438" i="36"/>
  <c r="AL437" i="36"/>
  <c r="AM437" i="36" s="1"/>
  <c r="AG437" i="36"/>
  <c r="AH437" i="36" s="1"/>
  <c r="AB437" i="36"/>
  <c r="AC437" i="36" s="1"/>
  <c r="W437" i="36"/>
  <c r="V437" i="36"/>
  <c r="X437" i="36" s="1"/>
  <c r="L437" i="36"/>
  <c r="AL436" i="36"/>
  <c r="AM436" i="36" s="1"/>
  <c r="AG436" i="36"/>
  <c r="AH436" i="36" s="1"/>
  <c r="AB436" i="36"/>
  <c r="AC436" i="36" s="1"/>
  <c r="W436" i="36"/>
  <c r="V436" i="36"/>
  <c r="X436" i="36" s="1"/>
  <c r="L436" i="36"/>
  <c r="AL435" i="36"/>
  <c r="AM435" i="36" s="1"/>
  <c r="AG435" i="36"/>
  <c r="AH435" i="36" s="1"/>
  <c r="AB435" i="36"/>
  <c r="AC435" i="36" s="1"/>
  <c r="W435" i="36"/>
  <c r="V435" i="36"/>
  <c r="X435" i="36" s="1"/>
  <c r="L435" i="36"/>
  <c r="AL434" i="36"/>
  <c r="AM434" i="36" s="1"/>
  <c r="AG434" i="36"/>
  <c r="AH434" i="36" s="1"/>
  <c r="AB434" i="36"/>
  <c r="AC434" i="36" s="1"/>
  <c r="W434" i="36"/>
  <c r="V434" i="36"/>
  <c r="X434" i="36" s="1"/>
  <c r="L434" i="36"/>
  <c r="AL433" i="36"/>
  <c r="AM433" i="36" s="1"/>
  <c r="AG433" i="36"/>
  <c r="AH433" i="36" s="1"/>
  <c r="AB433" i="36"/>
  <c r="AC433" i="36" s="1"/>
  <c r="W433" i="36"/>
  <c r="V433" i="36"/>
  <c r="X433" i="36" s="1"/>
  <c r="L433" i="36"/>
  <c r="AL432" i="36"/>
  <c r="AM432" i="36" s="1"/>
  <c r="AG432" i="36"/>
  <c r="AH432" i="36" s="1"/>
  <c r="AB432" i="36"/>
  <c r="AC432" i="36" s="1"/>
  <c r="W432" i="36"/>
  <c r="V432" i="36"/>
  <c r="X432" i="36" s="1"/>
  <c r="L432" i="36"/>
  <c r="AL431" i="36"/>
  <c r="AM431" i="36" s="1"/>
  <c r="AG431" i="36"/>
  <c r="AH431" i="36" s="1"/>
  <c r="AB431" i="36"/>
  <c r="AC431" i="36" s="1"/>
  <c r="W431" i="36"/>
  <c r="V431" i="36"/>
  <c r="X431" i="36" s="1"/>
  <c r="L431" i="36"/>
  <c r="AL430" i="36"/>
  <c r="AM430" i="36" s="1"/>
  <c r="AG430" i="36"/>
  <c r="AH430" i="36" s="1"/>
  <c r="AB430" i="36"/>
  <c r="AC430" i="36" s="1"/>
  <c r="W430" i="36"/>
  <c r="V430" i="36"/>
  <c r="X430" i="36" s="1"/>
  <c r="L430" i="36"/>
  <c r="AL429" i="36"/>
  <c r="AM429" i="36" s="1"/>
  <c r="AG429" i="36"/>
  <c r="AH429" i="36" s="1"/>
  <c r="AB429" i="36"/>
  <c r="AC429" i="36" s="1"/>
  <c r="W429" i="36"/>
  <c r="V429" i="36"/>
  <c r="X429" i="36" s="1"/>
  <c r="L429" i="36"/>
  <c r="AL428" i="36"/>
  <c r="AM428" i="36" s="1"/>
  <c r="AG428" i="36"/>
  <c r="AH428" i="36" s="1"/>
  <c r="AB428" i="36"/>
  <c r="AC428" i="36" s="1"/>
  <c r="W428" i="36"/>
  <c r="V428" i="36"/>
  <c r="X428" i="36" s="1"/>
  <c r="L428" i="36"/>
  <c r="AL427" i="36"/>
  <c r="AM427" i="36" s="1"/>
  <c r="AG427" i="36"/>
  <c r="AH427" i="36" s="1"/>
  <c r="AB427" i="36"/>
  <c r="AC427" i="36" s="1"/>
  <c r="W427" i="36"/>
  <c r="V427" i="36"/>
  <c r="X427" i="36" s="1"/>
  <c r="L427" i="36"/>
  <c r="AL426" i="36"/>
  <c r="AM426" i="36" s="1"/>
  <c r="AG426" i="36"/>
  <c r="AH426" i="36" s="1"/>
  <c r="AB426" i="36"/>
  <c r="AC426" i="36" s="1"/>
  <c r="W426" i="36"/>
  <c r="V426" i="36"/>
  <c r="X426" i="36" s="1"/>
  <c r="L426" i="36"/>
  <c r="AL425" i="36"/>
  <c r="AM425" i="36" s="1"/>
  <c r="AG425" i="36"/>
  <c r="AH425" i="36" s="1"/>
  <c r="AB425" i="36"/>
  <c r="AC425" i="36" s="1"/>
  <c r="W425" i="36"/>
  <c r="V425" i="36"/>
  <c r="X425" i="36" s="1"/>
  <c r="L425" i="36"/>
  <c r="AL424" i="36"/>
  <c r="AM424" i="36" s="1"/>
  <c r="AG424" i="36"/>
  <c r="AH424" i="36" s="1"/>
  <c r="AB424" i="36"/>
  <c r="AC424" i="36" s="1"/>
  <c r="W424" i="36"/>
  <c r="V424" i="36"/>
  <c r="X424" i="36" s="1"/>
  <c r="L424" i="36"/>
  <c r="AL423" i="36"/>
  <c r="AM423" i="36" s="1"/>
  <c r="AG423" i="36"/>
  <c r="AH423" i="36" s="1"/>
  <c r="AB423" i="36"/>
  <c r="AC423" i="36" s="1"/>
  <c r="W423" i="36"/>
  <c r="V423" i="36"/>
  <c r="X423" i="36" s="1"/>
  <c r="L423" i="36"/>
  <c r="AL422" i="36"/>
  <c r="AM422" i="36" s="1"/>
  <c r="AG422" i="36"/>
  <c r="AH422" i="36" s="1"/>
  <c r="AB422" i="36"/>
  <c r="AC422" i="36" s="1"/>
  <c r="W422" i="36"/>
  <c r="V422" i="36"/>
  <c r="X422" i="36" s="1"/>
  <c r="L422" i="36"/>
  <c r="AL421" i="36"/>
  <c r="AM421" i="36" s="1"/>
  <c r="AG421" i="36"/>
  <c r="AH421" i="36" s="1"/>
  <c r="AB421" i="36"/>
  <c r="AC421" i="36" s="1"/>
  <c r="W421" i="36"/>
  <c r="V421" i="36"/>
  <c r="X421" i="36" s="1"/>
  <c r="L421" i="36"/>
  <c r="AL420" i="36"/>
  <c r="AM420" i="36" s="1"/>
  <c r="AG420" i="36"/>
  <c r="AH420" i="36" s="1"/>
  <c r="AB420" i="36"/>
  <c r="AC420" i="36" s="1"/>
  <c r="W420" i="36"/>
  <c r="V420" i="36"/>
  <c r="X420" i="36" s="1"/>
  <c r="L420" i="36"/>
  <c r="AL419" i="36"/>
  <c r="AM419" i="36" s="1"/>
  <c r="AG419" i="36"/>
  <c r="AH419" i="36" s="1"/>
  <c r="AB419" i="36"/>
  <c r="AC419" i="36" s="1"/>
  <c r="W419" i="36"/>
  <c r="V419" i="36"/>
  <c r="X419" i="36" s="1"/>
  <c r="L419" i="36"/>
  <c r="AL418" i="36"/>
  <c r="AM418" i="36" s="1"/>
  <c r="AG418" i="36"/>
  <c r="AH418" i="36" s="1"/>
  <c r="AB418" i="36"/>
  <c r="AC418" i="36" s="1"/>
  <c r="W418" i="36"/>
  <c r="V418" i="36"/>
  <c r="X418" i="36" s="1"/>
  <c r="L418" i="36"/>
  <c r="AL417" i="36"/>
  <c r="AM417" i="36" s="1"/>
  <c r="AG417" i="36"/>
  <c r="AH417" i="36" s="1"/>
  <c r="AB417" i="36"/>
  <c r="AC417" i="36" s="1"/>
  <c r="W417" i="36"/>
  <c r="V417" i="36"/>
  <c r="X417" i="36" s="1"/>
  <c r="L417" i="36"/>
  <c r="AL416" i="36"/>
  <c r="AM416" i="36" s="1"/>
  <c r="AG416" i="36"/>
  <c r="AH416" i="36" s="1"/>
  <c r="AB416" i="36"/>
  <c r="AC416" i="36" s="1"/>
  <c r="W416" i="36"/>
  <c r="V416" i="36"/>
  <c r="X416" i="36" s="1"/>
  <c r="L416" i="36"/>
  <c r="AL415" i="36"/>
  <c r="AM415" i="36" s="1"/>
  <c r="AG415" i="36"/>
  <c r="AH415" i="36" s="1"/>
  <c r="AB415" i="36"/>
  <c r="AC415" i="36" s="1"/>
  <c r="W415" i="36"/>
  <c r="V415" i="36"/>
  <c r="X415" i="36" s="1"/>
  <c r="L415" i="36"/>
  <c r="AL414" i="36"/>
  <c r="AM414" i="36" s="1"/>
  <c r="AG414" i="36"/>
  <c r="AH414" i="36" s="1"/>
  <c r="AB414" i="36"/>
  <c r="AC414" i="36" s="1"/>
  <c r="W414" i="36"/>
  <c r="V414" i="36"/>
  <c r="X414" i="36" s="1"/>
  <c r="L414" i="36"/>
  <c r="AL413" i="36"/>
  <c r="AM413" i="36" s="1"/>
  <c r="AG413" i="36"/>
  <c r="AH413" i="36" s="1"/>
  <c r="AB413" i="36"/>
  <c r="AC413" i="36" s="1"/>
  <c r="W413" i="36"/>
  <c r="V413" i="36"/>
  <c r="X413" i="36" s="1"/>
  <c r="L413" i="36"/>
  <c r="AL412" i="36"/>
  <c r="AM412" i="36" s="1"/>
  <c r="AG412" i="36"/>
  <c r="AH412" i="36" s="1"/>
  <c r="AB412" i="36"/>
  <c r="AC412" i="36" s="1"/>
  <c r="W412" i="36"/>
  <c r="V412" i="36"/>
  <c r="X412" i="36" s="1"/>
  <c r="L412" i="36"/>
  <c r="AL411" i="36"/>
  <c r="AM411" i="36" s="1"/>
  <c r="AG411" i="36"/>
  <c r="AH411" i="36" s="1"/>
  <c r="AB411" i="36"/>
  <c r="AC411" i="36" s="1"/>
  <c r="W411" i="36"/>
  <c r="V411" i="36"/>
  <c r="X411" i="36" s="1"/>
  <c r="L411" i="36"/>
  <c r="AL410" i="36"/>
  <c r="AM410" i="36" s="1"/>
  <c r="AG410" i="36"/>
  <c r="AH410" i="36" s="1"/>
  <c r="AB410" i="36"/>
  <c r="AC410" i="36" s="1"/>
  <c r="W410" i="36"/>
  <c r="V410" i="36"/>
  <c r="X410" i="36" s="1"/>
  <c r="L410" i="36"/>
  <c r="AL409" i="36"/>
  <c r="AM409" i="36" s="1"/>
  <c r="AG409" i="36"/>
  <c r="AH409" i="36" s="1"/>
  <c r="AB409" i="36"/>
  <c r="AC409" i="36" s="1"/>
  <c r="W409" i="36"/>
  <c r="V409" i="36"/>
  <c r="X409" i="36" s="1"/>
  <c r="L409" i="36"/>
  <c r="AL408" i="36"/>
  <c r="AM408" i="36" s="1"/>
  <c r="AG408" i="36"/>
  <c r="AH408" i="36" s="1"/>
  <c r="AB408" i="36"/>
  <c r="AC408" i="36" s="1"/>
  <c r="W408" i="36"/>
  <c r="V408" i="36"/>
  <c r="X408" i="36" s="1"/>
  <c r="L408" i="36"/>
  <c r="AL407" i="36"/>
  <c r="AM407" i="36" s="1"/>
  <c r="AG407" i="36"/>
  <c r="AH407" i="36" s="1"/>
  <c r="AB407" i="36"/>
  <c r="AC407" i="36" s="1"/>
  <c r="W407" i="36"/>
  <c r="V407" i="36"/>
  <c r="X407" i="36" s="1"/>
  <c r="L407" i="36"/>
  <c r="AL406" i="36"/>
  <c r="AM406" i="36" s="1"/>
  <c r="AG406" i="36"/>
  <c r="AH406" i="36" s="1"/>
  <c r="AB406" i="36"/>
  <c r="AC406" i="36" s="1"/>
  <c r="W406" i="36"/>
  <c r="V406" i="36"/>
  <c r="X406" i="36" s="1"/>
  <c r="L406" i="36"/>
  <c r="AL405" i="36"/>
  <c r="AM405" i="36" s="1"/>
  <c r="AG405" i="36"/>
  <c r="AH405" i="36" s="1"/>
  <c r="AB405" i="36"/>
  <c r="AC405" i="36" s="1"/>
  <c r="W405" i="36"/>
  <c r="V405" i="36"/>
  <c r="X405" i="36" s="1"/>
  <c r="L405" i="36"/>
  <c r="AL404" i="36"/>
  <c r="AM404" i="36" s="1"/>
  <c r="AG404" i="36"/>
  <c r="AH404" i="36" s="1"/>
  <c r="AB404" i="36"/>
  <c r="AC404" i="36" s="1"/>
  <c r="W404" i="36"/>
  <c r="V404" i="36"/>
  <c r="X404" i="36" s="1"/>
  <c r="L404" i="36"/>
  <c r="AL403" i="36"/>
  <c r="AM403" i="36" s="1"/>
  <c r="AG403" i="36"/>
  <c r="AH403" i="36" s="1"/>
  <c r="AB403" i="36"/>
  <c r="AC403" i="36" s="1"/>
  <c r="W403" i="36"/>
  <c r="V403" i="36"/>
  <c r="X403" i="36" s="1"/>
  <c r="L403" i="36"/>
  <c r="AL402" i="36"/>
  <c r="AM402" i="36" s="1"/>
  <c r="AG402" i="36"/>
  <c r="AH402" i="36" s="1"/>
  <c r="AB402" i="36"/>
  <c r="AC402" i="36" s="1"/>
  <c r="W402" i="36"/>
  <c r="V402" i="36"/>
  <c r="X402" i="36" s="1"/>
  <c r="L402" i="36"/>
  <c r="AL401" i="36"/>
  <c r="AM401" i="36" s="1"/>
  <c r="AG401" i="36"/>
  <c r="AH401" i="36" s="1"/>
  <c r="AB401" i="36"/>
  <c r="AC401" i="36" s="1"/>
  <c r="W401" i="36"/>
  <c r="V401" i="36"/>
  <c r="X401" i="36" s="1"/>
  <c r="L401" i="36"/>
  <c r="AL400" i="36"/>
  <c r="AM400" i="36" s="1"/>
  <c r="AG400" i="36"/>
  <c r="AH400" i="36" s="1"/>
  <c r="AB400" i="36"/>
  <c r="AC400" i="36" s="1"/>
  <c r="W400" i="36"/>
  <c r="V400" i="36"/>
  <c r="X400" i="36" s="1"/>
  <c r="L400" i="36"/>
  <c r="AL399" i="36"/>
  <c r="AM399" i="36" s="1"/>
  <c r="AG399" i="36"/>
  <c r="AH399" i="36" s="1"/>
  <c r="AB399" i="36"/>
  <c r="AC399" i="36" s="1"/>
  <c r="W399" i="36"/>
  <c r="V399" i="36"/>
  <c r="X399" i="36" s="1"/>
  <c r="L399" i="36"/>
  <c r="AL398" i="36"/>
  <c r="AM398" i="36" s="1"/>
  <c r="AG398" i="36"/>
  <c r="AH398" i="36" s="1"/>
  <c r="AB398" i="36"/>
  <c r="AC398" i="36" s="1"/>
  <c r="W398" i="36"/>
  <c r="V398" i="36"/>
  <c r="X398" i="36" s="1"/>
  <c r="L398" i="36"/>
  <c r="AL397" i="36"/>
  <c r="AM397" i="36" s="1"/>
  <c r="AG397" i="36"/>
  <c r="AH397" i="36" s="1"/>
  <c r="AB397" i="36"/>
  <c r="AC397" i="36" s="1"/>
  <c r="W397" i="36"/>
  <c r="V397" i="36"/>
  <c r="X397" i="36" s="1"/>
  <c r="L397" i="36"/>
  <c r="AL396" i="36"/>
  <c r="AM396" i="36" s="1"/>
  <c r="AG396" i="36"/>
  <c r="AH396" i="36" s="1"/>
  <c r="AB396" i="36"/>
  <c r="AC396" i="36" s="1"/>
  <c r="W396" i="36"/>
  <c r="V396" i="36"/>
  <c r="X396" i="36" s="1"/>
  <c r="L396" i="36"/>
  <c r="AL395" i="36"/>
  <c r="AM395" i="36" s="1"/>
  <c r="AG395" i="36"/>
  <c r="AH395" i="36" s="1"/>
  <c r="AB395" i="36"/>
  <c r="AC395" i="36" s="1"/>
  <c r="W395" i="36"/>
  <c r="V395" i="36"/>
  <c r="X395" i="36" s="1"/>
  <c r="L395" i="36"/>
  <c r="AL394" i="36"/>
  <c r="AM394" i="36" s="1"/>
  <c r="AG394" i="36"/>
  <c r="AH394" i="36" s="1"/>
  <c r="AB394" i="36"/>
  <c r="AC394" i="36" s="1"/>
  <c r="W394" i="36"/>
  <c r="V394" i="36"/>
  <c r="X394" i="36" s="1"/>
  <c r="L394" i="36"/>
  <c r="AL393" i="36"/>
  <c r="AM393" i="36" s="1"/>
  <c r="AG393" i="36"/>
  <c r="AH393" i="36" s="1"/>
  <c r="AB393" i="36"/>
  <c r="AC393" i="36" s="1"/>
  <c r="W393" i="36"/>
  <c r="V393" i="36"/>
  <c r="X393" i="36" s="1"/>
  <c r="L393" i="36"/>
  <c r="AL392" i="36"/>
  <c r="AM392" i="36" s="1"/>
  <c r="AG392" i="36"/>
  <c r="AH392" i="36" s="1"/>
  <c r="AB392" i="36"/>
  <c r="AC392" i="36" s="1"/>
  <c r="W392" i="36"/>
  <c r="V392" i="36"/>
  <c r="X392" i="36" s="1"/>
  <c r="L392" i="36"/>
  <c r="AL391" i="36"/>
  <c r="AM391" i="36" s="1"/>
  <c r="AG391" i="36"/>
  <c r="AH391" i="36" s="1"/>
  <c r="AB391" i="36"/>
  <c r="AC391" i="36" s="1"/>
  <c r="W391" i="36"/>
  <c r="V391" i="36"/>
  <c r="X391" i="36" s="1"/>
  <c r="L391" i="36"/>
  <c r="AL390" i="36"/>
  <c r="AM390" i="36" s="1"/>
  <c r="AG390" i="36"/>
  <c r="AH390" i="36" s="1"/>
  <c r="AB390" i="36"/>
  <c r="AC390" i="36" s="1"/>
  <c r="W390" i="36"/>
  <c r="V390" i="36"/>
  <c r="X390" i="36" s="1"/>
  <c r="L390" i="36"/>
  <c r="AL389" i="36"/>
  <c r="AM389" i="36" s="1"/>
  <c r="AG389" i="36"/>
  <c r="AH389" i="36" s="1"/>
  <c r="AB389" i="36"/>
  <c r="AC389" i="36" s="1"/>
  <c r="W389" i="36"/>
  <c r="V389" i="36"/>
  <c r="X389" i="36" s="1"/>
  <c r="L389" i="36"/>
  <c r="AL388" i="36"/>
  <c r="AM388" i="36" s="1"/>
  <c r="AG388" i="36"/>
  <c r="AH388" i="36" s="1"/>
  <c r="AB388" i="36"/>
  <c r="AC388" i="36" s="1"/>
  <c r="W388" i="36"/>
  <c r="V388" i="36"/>
  <c r="X388" i="36" s="1"/>
  <c r="L388" i="36"/>
  <c r="AL387" i="36"/>
  <c r="AM387" i="36" s="1"/>
  <c r="AG387" i="36"/>
  <c r="AH387" i="36" s="1"/>
  <c r="AB387" i="36"/>
  <c r="AC387" i="36" s="1"/>
  <c r="W387" i="36"/>
  <c r="V387" i="36"/>
  <c r="X387" i="36" s="1"/>
  <c r="L387" i="36"/>
  <c r="AL386" i="36"/>
  <c r="AM386" i="36" s="1"/>
  <c r="AG386" i="36"/>
  <c r="AH386" i="36" s="1"/>
  <c r="AB386" i="36"/>
  <c r="AC386" i="36" s="1"/>
  <c r="W386" i="36"/>
  <c r="V386" i="36"/>
  <c r="X386" i="36" s="1"/>
  <c r="L386" i="36"/>
  <c r="AL385" i="36"/>
  <c r="AM385" i="36" s="1"/>
  <c r="AG385" i="36"/>
  <c r="AH385" i="36" s="1"/>
  <c r="AB385" i="36"/>
  <c r="AC385" i="36" s="1"/>
  <c r="W385" i="36"/>
  <c r="V385" i="36"/>
  <c r="X385" i="36" s="1"/>
  <c r="L385" i="36"/>
  <c r="AL384" i="36"/>
  <c r="AM384" i="36" s="1"/>
  <c r="AG384" i="36"/>
  <c r="AH384" i="36" s="1"/>
  <c r="AB384" i="36"/>
  <c r="AC384" i="36" s="1"/>
  <c r="W384" i="36"/>
  <c r="V384" i="36"/>
  <c r="X384" i="36" s="1"/>
  <c r="L384" i="36"/>
  <c r="AL383" i="36"/>
  <c r="AM383" i="36" s="1"/>
  <c r="AG383" i="36"/>
  <c r="AH383" i="36" s="1"/>
  <c r="AB383" i="36"/>
  <c r="AC383" i="36" s="1"/>
  <c r="W383" i="36"/>
  <c r="V383" i="36"/>
  <c r="X383" i="36" s="1"/>
  <c r="L383" i="36"/>
  <c r="AL382" i="36"/>
  <c r="AM382" i="36" s="1"/>
  <c r="AG382" i="36"/>
  <c r="AH382" i="36" s="1"/>
  <c r="AB382" i="36"/>
  <c r="AC382" i="36" s="1"/>
  <c r="W382" i="36"/>
  <c r="V382" i="36"/>
  <c r="X382" i="36" s="1"/>
  <c r="L382" i="36"/>
  <c r="AL381" i="36"/>
  <c r="AM381" i="36" s="1"/>
  <c r="AG381" i="36"/>
  <c r="AH381" i="36" s="1"/>
  <c r="AB381" i="36"/>
  <c r="AC381" i="36" s="1"/>
  <c r="W381" i="36"/>
  <c r="V381" i="36"/>
  <c r="X381" i="36" s="1"/>
  <c r="L381" i="36"/>
  <c r="AL380" i="36"/>
  <c r="AM380" i="36" s="1"/>
  <c r="AG380" i="36"/>
  <c r="AH380" i="36" s="1"/>
  <c r="AB380" i="36"/>
  <c r="AC380" i="36" s="1"/>
  <c r="W380" i="36"/>
  <c r="V380" i="36"/>
  <c r="X380" i="36" s="1"/>
  <c r="L380" i="36"/>
  <c r="AL379" i="36"/>
  <c r="AM379" i="36" s="1"/>
  <c r="AG379" i="36"/>
  <c r="AH379" i="36" s="1"/>
  <c r="AB379" i="36"/>
  <c r="AC379" i="36" s="1"/>
  <c r="W379" i="36"/>
  <c r="V379" i="36"/>
  <c r="X379" i="36" s="1"/>
  <c r="L379" i="36"/>
  <c r="AL378" i="36"/>
  <c r="AM378" i="36" s="1"/>
  <c r="AG378" i="36"/>
  <c r="AH378" i="36" s="1"/>
  <c r="AB378" i="36"/>
  <c r="AC378" i="36" s="1"/>
  <c r="W378" i="36"/>
  <c r="V378" i="36"/>
  <c r="X378" i="36" s="1"/>
  <c r="L378" i="36"/>
  <c r="AL377" i="36"/>
  <c r="AM377" i="36" s="1"/>
  <c r="AG377" i="36"/>
  <c r="AH377" i="36" s="1"/>
  <c r="AB377" i="36"/>
  <c r="AC377" i="36" s="1"/>
  <c r="W377" i="36"/>
  <c r="V377" i="36"/>
  <c r="X377" i="36" s="1"/>
  <c r="L377" i="36"/>
  <c r="AL376" i="36"/>
  <c r="AM376" i="36" s="1"/>
  <c r="AG376" i="36"/>
  <c r="AH376" i="36" s="1"/>
  <c r="AB376" i="36"/>
  <c r="AC376" i="36" s="1"/>
  <c r="W376" i="36"/>
  <c r="V376" i="36"/>
  <c r="X376" i="36" s="1"/>
  <c r="L376" i="36"/>
  <c r="AL375" i="36"/>
  <c r="AM375" i="36" s="1"/>
  <c r="AG375" i="36"/>
  <c r="AH375" i="36" s="1"/>
  <c r="AB375" i="36"/>
  <c r="AC375" i="36" s="1"/>
  <c r="W375" i="36"/>
  <c r="V375" i="36"/>
  <c r="X375" i="36" s="1"/>
  <c r="L375" i="36"/>
  <c r="AL374" i="36"/>
  <c r="AM374" i="36" s="1"/>
  <c r="AG374" i="36"/>
  <c r="AH374" i="36" s="1"/>
  <c r="AB374" i="36"/>
  <c r="AC374" i="36" s="1"/>
  <c r="W374" i="36"/>
  <c r="V374" i="36"/>
  <c r="X374" i="36" s="1"/>
  <c r="L374" i="36"/>
  <c r="AL373" i="36"/>
  <c r="AM373" i="36" s="1"/>
  <c r="AG373" i="36"/>
  <c r="AH373" i="36" s="1"/>
  <c r="AB373" i="36"/>
  <c r="AC373" i="36" s="1"/>
  <c r="W373" i="36"/>
  <c r="V373" i="36"/>
  <c r="X373" i="36" s="1"/>
  <c r="L373" i="36"/>
  <c r="AL372" i="36"/>
  <c r="AM372" i="36" s="1"/>
  <c r="AG372" i="36"/>
  <c r="AH372" i="36" s="1"/>
  <c r="AB372" i="36"/>
  <c r="AC372" i="36" s="1"/>
  <c r="W372" i="36"/>
  <c r="V372" i="36"/>
  <c r="X372" i="36" s="1"/>
  <c r="L372" i="36"/>
  <c r="AL371" i="36"/>
  <c r="AM371" i="36" s="1"/>
  <c r="AG371" i="36"/>
  <c r="AH371" i="36" s="1"/>
  <c r="AB371" i="36"/>
  <c r="AC371" i="36" s="1"/>
  <c r="W371" i="36"/>
  <c r="V371" i="36"/>
  <c r="X371" i="36" s="1"/>
  <c r="L371" i="36"/>
  <c r="AL370" i="36"/>
  <c r="AM370" i="36" s="1"/>
  <c r="AG370" i="36"/>
  <c r="AH370" i="36" s="1"/>
  <c r="AB370" i="36"/>
  <c r="AC370" i="36" s="1"/>
  <c r="W370" i="36"/>
  <c r="V370" i="36"/>
  <c r="X370" i="36" s="1"/>
  <c r="L370" i="36"/>
  <c r="AL369" i="36"/>
  <c r="AM369" i="36" s="1"/>
  <c r="AG369" i="36"/>
  <c r="AH369" i="36" s="1"/>
  <c r="AB369" i="36"/>
  <c r="AC369" i="36" s="1"/>
  <c r="W369" i="36"/>
  <c r="V369" i="36"/>
  <c r="X369" i="36" s="1"/>
  <c r="L369" i="36"/>
  <c r="AL368" i="36"/>
  <c r="AM368" i="36" s="1"/>
  <c r="AG368" i="36"/>
  <c r="AH368" i="36" s="1"/>
  <c r="AB368" i="36"/>
  <c r="AC368" i="36" s="1"/>
  <c r="W368" i="36"/>
  <c r="V368" i="36"/>
  <c r="X368" i="36" s="1"/>
  <c r="L368" i="36"/>
  <c r="AL367" i="36"/>
  <c r="AM367" i="36" s="1"/>
  <c r="AG367" i="36"/>
  <c r="AH367" i="36" s="1"/>
  <c r="AB367" i="36"/>
  <c r="AC367" i="36" s="1"/>
  <c r="W367" i="36"/>
  <c r="V367" i="36"/>
  <c r="X367" i="36" s="1"/>
  <c r="L367" i="36"/>
  <c r="AL366" i="36"/>
  <c r="AM366" i="36" s="1"/>
  <c r="AG366" i="36"/>
  <c r="AH366" i="36" s="1"/>
  <c r="AB366" i="36"/>
  <c r="AC366" i="36" s="1"/>
  <c r="W366" i="36"/>
  <c r="V366" i="36"/>
  <c r="X366" i="36" s="1"/>
  <c r="L366" i="36"/>
  <c r="AL365" i="36"/>
  <c r="AM365" i="36" s="1"/>
  <c r="AG365" i="36"/>
  <c r="AH365" i="36" s="1"/>
  <c r="AB365" i="36"/>
  <c r="AC365" i="36" s="1"/>
  <c r="W365" i="36"/>
  <c r="V365" i="36"/>
  <c r="X365" i="36" s="1"/>
  <c r="L365" i="36"/>
  <c r="AL364" i="36"/>
  <c r="AM364" i="36" s="1"/>
  <c r="AG364" i="36"/>
  <c r="AH364" i="36" s="1"/>
  <c r="AB364" i="36"/>
  <c r="AC364" i="36" s="1"/>
  <c r="W364" i="36"/>
  <c r="V364" i="36"/>
  <c r="X364" i="36" s="1"/>
  <c r="L364" i="36"/>
  <c r="AL363" i="36"/>
  <c r="AM363" i="36" s="1"/>
  <c r="AG363" i="36"/>
  <c r="AH363" i="36" s="1"/>
  <c r="AB363" i="36"/>
  <c r="AC363" i="36" s="1"/>
  <c r="W363" i="36"/>
  <c r="V363" i="36"/>
  <c r="X363" i="36" s="1"/>
  <c r="L363" i="36"/>
  <c r="AL362" i="36"/>
  <c r="AM362" i="36" s="1"/>
  <c r="AG362" i="36"/>
  <c r="AH362" i="36" s="1"/>
  <c r="AB362" i="36"/>
  <c r="AC362" i="36" s="1"/>
  <c r="W362" i="36"/>
  <c r="V362" i="36"/>
  <c r="X362" i="36" s="1"/>
  <c r="L362" i="36"/>
  <c r="AL361" i="36"/>
  <c r="AM361" i="36" s="1"/>
  <c r="AG361" i="36"/>
  <c r="AH361" i="36" s="1"/>
  <c r="AB361" i="36"/>
  <c r="AC361" i="36" s="1"/>
  <c r="W361" i="36"/>
  <c r="V361" i="36"/>
  <c r="X361" i="36" s="1"/>
  <c r="L361" i="36"/>
  <c r="AL360" i="36"/>
  <c r="AM360" i="36" s="1"/>
  <c r="AG360" i="36"/>
  <c r="AH360" i="36" s="1"/>
  <c r="AB360" i="36"/>
  <c r="AC360" i="36" s="1"/>
  <c r="W360" i="36"/>
  <c r="V360" i="36"/>
  <c r="X360" i="36" s="1"/>
  <c r="L360" i="36"/>
  <c r="AL359" i="36"/>
  <c r="AM359" i="36" s="1"/>
  <c r="AG359" i="36"/>
  <c r="AH359" i="36" s="1"/>
  <c r="AB359" i="36"/>
  <c r="AC359" i="36" s="1"/>
  <c r="W359" i="36"/>
  <c r="V359" i="36"/>
  <c r="X359" i="36" s="1"/>
  <c r="L359" i="36"/>
  <c r="AL358" i="36"/>
  <c r="AM358" i="36" s="1"/>
  <c r="AG358" i="36"/>
  <c r="AH358" i="36" s="1"/>
  <c r="AB358" i="36"/>
  <c r="AC358" i="36" s="1"/>
  <c r="W358" i="36"/>
  <c r="V358" i="36"/>
  <c r="X358" i="36" s="1"/>
  <c r="L358" i="36"/>
  <c r="AL357" i="36"/>
  <c r="AM357" i="36" s="1"/>
  <c r="AG357" i="36"/>
  <c r="AH357" i="36" s="1"/>
  <c r="AB357" i="36"/>
  <c r="AC357" i="36" s="1"/>
  <c r="W357" i="36"/>
  <c r="V357" i="36"/>
  <c r="X357" i="36" s="1"/>
  <c r="L357" i="36"/>
  <c r="AL356" i="36"/>
  <c r="AM356" i="36" s="1"/>
  <c r="AG356" i="36"/>
  <c r="AH356" i="36" s="1"/>
  <c r="AB356" i="36"/>
  <c r="AC356" i="36" s="1"/>
  <c r="W356" i="36"/>
  <c r="V356" i="36"/>
  <c r="X356" i="36" s="1"/>
  <c r="L356" i="36"/>
  <c r="AL355" i="36"/>
  <c r="AM355" i="36" s="1"/>
  <c r="AG355" i="36"/>
  <c r="AH355" i="36" s="1"/>
  <c r="AB355" i="36"/>
  <c r="AC355" i="36" s="1"/>
  <c r="W355" i="36"/>
  <c r="V355" i="36"/>
  <c r="X355" i="36" s="1"/>
  <c r="L355" i="36"/>
  <c r="AL354" i="36"/>
  <c r="AM354" i="36" s="1"/>
  <c r="AG354" i="36"/>
  <c r="AH354" i="36" s="1"/>
  <c r="AB354" i="36"/>
  <c r="AC354" i="36" s="1"/>
  <c r="W354" i="36"/>
  <c r="V354" i="36"/>
  <c r="X354" i="36" s="1"/>
  <c r="L354" i="36"/>
  <c r="AL353" i="36"/>
  <c r="AM353" i="36" s="1"/>
  <c r="AG353" i="36"/>
  <c r="AH353" i="36" s="1"/>
  <c r="AB353" i="36"/>
  <c r="AC353" i="36" s="1"/>
  <c r="W353" i="36"/>
  <c r="V353" i="36"/>
  <c r="X353" i="36" s="1"/>
  <c r="L353" i="36"/>
  <c r="AL352" i="36"/>
  <c r="AM352" i="36" s="1"/>
  <c r="AG352" i="36"/>
  <c r="AH352" i="36" s="1"/>
  <c r="AB352" i="36"/>
  <c r="AC352" i="36" s="1"/>
  <c r="W352" i="36"/>
  <c r="V352" i="36"/>
  <c r="X352" i="36" s="1"/>
  <c r="L352" i="36"/>
  <c r="AL351" i="36"/>
  <c r="AM351" i="36" s="1"/>
  <c r="AG351" i="36"/>
  <c r="AH351" i="36" s="1"/>
  <c r="AB351" i="36"/>
  <c r="AC351" i="36" s="1"/>
  <c r="W351" i="36"/>
  <c r="V351" i="36"/>
  <c r="X351" i="36" s="1"/>
  <c r="L351" i="36"/>
  <c r="AL350" i="36"/>
  <c r="AM350" i="36" s="1"/>
  <c r="AG350" i="36"/>
  <c r="AH350" i="36" s="1"/>
  <c r="AB350" i="36"/>
  <c r="AC350" i="36" s="1"/>
  <c r="W350" i="36"/>
  <c r="V350" i="36"/>
  <c r="X350" i="36" s="1"/>
  <c r="L350" i="36"/>
  <c r="AL349" i="36"/>
  <c r="AM349" i="36" s="1"/>
  <c r="AG349" i="36"/>
  <c r="AH349" i="36" s="1"/>
  <c r="AB349" i="36"/>
  <c r="AC349" i="36" s="1"/>
  <c r="W349" i="36"/>
  <c r="V349" i="36"/>
  <c r="X349" i="36" s="1"/>
  <c r="L349" i="36"/>
  <c r="AL348" i="36"/>
  <c r="AM348" i="36" s="1"/>
  <c r="AG348" i="36"/>
  <c r="AH348" i="36" s="1"/>
  <c r="AB348" i="36"/>
  <c r="AC348" i="36" s="1"/>
  <c r="W348" i="36"/>
  <c r="V348" i="36"/>
  <c r="X348" i="36" s="1"/>
  <c r="L348" i="36"/>
  <c r="AL347" i="36"/>
  <c r="AM347" i="36" s="1"/>
  <c r="AG347" i="36"/>
  <c r="AH347" i="36" s="1"/>
  <c r="AB347" i="36"/>
  <c r="AC347" i="36" s="1"/>
  <c r="W347" i="36"/>
  <c r="V347" i="36"/>
  <c r="X347" i="36" s="1"/>
  <c r="L347" i="36"/>
  <c r="AL346" i="36"/>
  <c r="AM346" i="36" s="1"/>
  <c r="AG346" i="36"/>
  <c r="AH346" i="36" s="1"/>
  <c r="AB346" i="36"/>
  <c r="AC346" i="36" s="1"/>
  <c r="W346" i="36"/>
  <c r="V346" i="36"/>
  <c r="X346" i="36" s="1"/>
  <c r="L346" i="36"/>
  <c r="AL345" i="36"/>
  <c r="AM345" i="36" s="1"/>
  <c r="AG345" i="36"/>
  <c r="AH345" i="36" s="1"/>
  <c r="AB345" i="36"/>
  <c r="AC345" i="36" s="1"/>
  <c r="W345" i="36"/>
  <c r="V345" i="36"/>
  <c r="X345" i="36" s="1"/>
  <c r="L345" i="36"/>
  <c r="AL344" i="36"/>
  <c r="AM344" i="36" s="1"/>
  <c r="AG344" i="36"/>
  <c r="AH344" i="36" s="1"/>
  <c r="AB344" i="36"/>
  <c r="AC344" i="36" s="1"/>
  <c r="W344" i="36"/>
  <c r="V344" i="36"/>
  <c r="X344" i="36" s="1"/>
  <c r="L344" i="36"/>
  <c r="AL343" i="36"/>
  <c r="AM343" i="36" s="1"/>
  <c r="AG343" i="36"/>
  <c r="AH343" i="36" s="1"/>
  <c r="AB343" i="36"/>
  <c r="AC343" i="36" s="1"/>
  <c r="W343" i="36"/>
  <c r="V343" i="36"/>
  <c r="X343" i="36" s="1"/>
  <c r="L343" i="36"/>
  <c r="AL342" i="36"/>
  <c r="AM342" i="36" s="1"/>
  <c r="AG342" i="36"/>
  <c r="AH342" i="36" s="1"/>
  <c r="AB342" i="36"/>
  <c r="AC342" i="36" s="1"/>
  <c r="W342" i="36"/>
  <c r="V342" i="36"/>
  <c r="X342" i="36" s="1"/>
  <c r="L342" i="36"/>
  <c r="AL341" i="36"/>
  <c r="AM341" i="36" s="1"/>
  <c r="AG341" i="36"/>
  <c r="AH341" i="36" s="1"/>
  <c r="AB341" i="36"/>
  <c r="AC341" i="36" s="1"/>
  <c r="W341" i="36"/>
  <c r="V341" i="36"/>
  <c r="X341" i="36" s="1"/>
  <c r="L341" i="36"/>
  <c r="AL340" i="36"/>
  <c r="AM340" i="36" s="1"/>
  <c r="AG340" i="36"/>
  <c r="AH340" i="36" s="1"/>
  <c r="AB340" i="36"/>
  <c r="AC340" i="36" s="1"/>
  <c r="W340" i="36"/>
  <c r="V340" i="36"/>
  <c r="X340" i="36" s="1"/>
  <c r="L340" i="36"/>
  <c r="AL339" i="36"/>
  <c r="AM339" i="36" s="1"/>
  <c r="AG339" i="36"/>
  <c r="AH339" i="36" s="1"/>
  <c r="AB339" i="36"/>
  <c r="AC339" i="36" s="1"/>
  <c r="W339" i="36"/>
  <c r="V339" i="36"/>
  <c r="X339" i="36" s="1"/>
  <c r="L339" i="36"/>
  <c r="AL338" i="36"/>
  <c r="AM338" i="36" s="1"/>
  <c r="AG338" i="36"/>
  <c r="AH338" i="36" s="1"/>
  <c r="AB338" i="36"/>
  <c r="AC338" i="36" s="1"/>
  <c r="W338" i="36"/>
  <c r="V338" i="36"/>
  <c r="X338" i="36" s="1"/>
  <c r="L338" i="36"/>
  <c r="AL337" i="36"/>
  <c r="AM337" i="36" s="1"/>
  <c r="AG337" i="36"/>
  <c r="AH337" i="36" s="1"/>
  <c r="AB337" i="36"/>
  <c r="AC337" i="36" s="1"/>
  <c r="W337" i="36"/>
  <c r="V337" i="36"/>
  <c r="X337" i="36" s="1"/>
  <c r="L337" i="36"/>
  <c r="AL336" i="36"/>
  <c r="AM336" i="36" s="1"/>
  <c r="AG336" i="36"/>
  <c r="AH336" i="36" s="1"/>
  <c r="AB336" i="36"/>
  <c r="AC336" i="36" s="1"/>
  <c r="W336" i="36"/>
  <c r="V336" i="36"/>
  <c r="X336" i="36" s="1"/>
  <c r="L336" i="36"/>
  <c r="AL335" i="36"/>
  <c r="AM335" i="36" s="1"/>
  <c r="AG335" i="36"/>
  <c r="AH335" i="36" s="1"/>
  <c r="AB335" i="36"/>
  <c r="AC335" i="36" s="1"/>
  <c r="W335" i="36"/>
  <c r="V335" i="36"/>
  <c r="X335" i="36" s="1"/>
  <c r="L335" i="36"/>
  <c r="AL334" i="36"/>
  <c r="AM334" i="36" s="1"/>
  <c r="AG334" i="36"/>
  <c r="AH334" i="36" s="1"/>
  <c r="AB334" i="36"/>
  <c r="AC334" i="36" s="1"/>
  <c r="W334" i="36"/>
  <c r="V334" i="36"/>
  <c r="X334" i="36" s="1"/>
  <c r="L334" i="36"/>
  <c r="AL333" i="36"/>
  <c r="AM333" i="36" s="1"/>
  <c r="AG333" i="36"/>
  <c r="AH333" i="36" s="1"/>
  <c r="AB333" i="36"/>
  <c r="AC333" i="36" s="1"/>
  <c r="W333" i="36"/>
  <c r="V333" i="36"/>
  <c r="X333" i="36" s="1"/>
  <c r="L333" i="36"/>
  <c r="AL332" i="36"/>
  <c r="AM332" i="36" s="1"/>
  <c r="AG332" i="36"/>
  <c r="AH332" i="36" s="1"/>
  <c r="AB332" i="36"/>
  <c r="AC332" i="36" s="1"/>
  <c r="W332" i="36"/>
  <c r="V332" i="36"/>
  <c r="X332" i="36" s="1"/>
  <c r="L332" i="36"/>
  <c r="AL331" i="36"/>
  <c r="AM331" i="36" s="1"/>
  <c r="AG331" i="36"/>
  <c r="AH331" i="36" s="1"/>
  <c r="AB331" i="36"/>
  <c r="AC331" i="36" s="1"/>
  <c r="W331" i="36"/>
  <c r="V331" i="36"/>
  <c r="X331" i="36" s="1"/>
  <c r="L331" i="36"/>
  <c r="AL330" i="36"/>
  <c r="AM330" i="36" s="1"/>
  <c r="AG330" i="36"/>
  <c r="AH330" i="36" s="1"/>
  <c r="AB330" i="36"/>
  <c r="AC330" i="36" s="1"/>
  <c r="W330" i="36"/>
  <c r="V330" i="36"/>
  <c r="X330" i="36" s="1"/>
  <c r="L330" i="36"/>
  <c r="AL329" i="36"/>
  <c r="AM329" i="36" s="1"/>
  <c r="AG329" i="36"/>
  <c r="AH329" i="36" s="1"/>
  <c r="AB329" i="36"/>
  <c r="AC329" i="36" s="1"/>
  <c r="W329" i="36"/>
  <c r="V329" i="36"/>
  <c r="X329" i="36" s="1"/>
  <c r="L329" i="36"/>
  <c r="AL328" i="36"/>
  <c r="AM328" i="36" s="1"/>
  <c r="AG328" i="36"/>
  <c r="AH328" i="36" s="1"/>
  <c r="AB328" i="36"/>
  <c r="AC328" i="36" s="1"/>
  <c r="W328" i="36"/>
  <c r="V328" i="36"/>
  <c r="X328" i="36" s="1"/>
  <c r="L328" i="36"/>
  <c r="AL327" i="36"/>
  <c r="AM327" i="36" s="1"/>
  <c r="AG327" i="36"/>
  <c r="AH327" i="36" s="1"/>
  <c r="AB327" i="36"/>
  <c r="AC327" i="36" s="1"/>
  <c r="W327" i="36"/>
  <c r="V327" i="36"/>
  <c r="X327" i="36" s="1"/>
  <c r="L327" i="36"/>
  <c r="AL326" i="36"/>
  <c r="AM326" i="36" s="1"/>
  <c r="AG326" i="36"/>
  <c r="AH326" i="36" s="1"/>
  <c r="AB326" i="36"/>
  <c r="AC326" i="36" s="1"/>
  <c r="W326" i="36"/>
  <c r="V326" i="36"/>
  <c r="X326" i="36" s="1"/>
  <c r="L326" i="36"/>
  <c r="AL325" i="36"/>
  <c r="AM325" i="36" s="1"/>
  <c r="AG325" i="36"/>
  <c r="AH325" i="36" s="1"/>
  <c r="AB325" i="36"/>
  <c r="AC325" i="36" s="1"/>
  <c r="W325" i="36"/>
  <c r="V325" i="36"/>
  <c r="X325" i="36" s="1"/>
  <c r="L325" i="36"/>
  <c r="AL324" i="36"/>
  <c r="AM324" i="36" s="1"/>
  <c r="AG324" i="36"/>
  <c r="AH324" i="36" s="1"/>
  <c r="AB324" i="36"/>
  <c r="AC324" i="36" s="1"/>
  <c r="W324" i="36"/>
  <c r="V324" i="36"/>
  <c r="X324" i="36" s="1"/>
  <c r="L324" i="36"/>
  <c r="AL323" i="36"/>
  <c r="AM323" i="36" s="1"/>
  <c r="AG323" i="36"/>
  <c r="AH323" i="36" s="1"/>
  <c r="AB323" i="36"/>
  <c r="AC323" i="36" s="1"/>
  <c r="W323" i="36"/>
  <c r="V323" i="36"/>
  <c r="X323" i="36" s="1"/>
  <c r="L323" i="36"/>
  <c r="AL322" i="36"/>
  <c r="AM322" i="36" s="1"/>
  <c r="AG322" i="36"/>
  <c r="AH322" i="36" s="1"/>
  <c r="AB322" i="36"/>
  <c r="AC322" i="36" s="1"/>
  <c r="W322" i="36"/>
  <c r="V322" i="36"/>
  <c r="X322" i="36" s="1"/>
  <c r="L322" i="36"/>
  <c r="AL321" i="36"/>
  <c r="AM321" i="36" s="1"/>
  <c r="AG321" i="36"/>
  <c r="AH321" i="36" s="1"/>
  <c r="AB321" i="36"/>
  <c r="AC321" i="36" s="1"/>
  <c r="W321" i="36"/>
  <c r="V321" i="36"/>
  <c r="X321" i="36" s="1"/>
  <c r="L321" i="36"/>
  <c r="AL320" i="36"/>
  <c r="AM320" i="36" s="1"/>
  <c r="AG320" i="36"/>
  <c r="AH320" i="36" s="1"/>
  <c r="AB320" i="36"/>
  <c r="AC320" i="36" s="1"/>
  <c r="W320" i="36"/>
  <c r="V320" i="36"/>
  <c r="X320" i="36" s="1"/>
  <c r="L320" i="36"/>
  <c r="AL319" i="36"/>
  <c r="AM319" i="36" s="1"/>
  <c r="AG319" i="36"/>
  <c r="AH319" i="36" s="1"/>
  <c r="AB319" i="36"/>
  <c r="AC319" i="36" s="1"/>
  <c r="W319" i="36"/>
  <c r="V319" i="36"/>
  <c r="X319" i="36" s="1"/>
  <c r="L319" i="36"/>
  <c r="AL318" i="36"/>
  <c r="AM318" i="36" s="1"/>
  <c r="AG318" i="36"/>
  <c r="AH318" i="36" s="1"/>
  <c r="AB318" i="36"/>
  <c r="AC318" i="36" s="1"/>
  <c r="W318" i="36"/>
  <c r="V318" i="36"/>
  <c r="X318" i="36" s="1"/>
  <c r="L318" i="36"/>
  <c r="AL317" i="36"/>
  <c r="AM317" i="36" s="1"/>
  <c r="AG317" i="36"/>
  <c r="AH317" i="36" s="1"/>
  <c r="AB317" i="36"/>
  <c r="AC317" i="36" s="1"/>
  <c r="W317" i="36"/>
  <c r="V317" i="36"/>
  <c r="X317" i="36" s="1"/>
  <c r="L317" i="36"/>
  <c r="AL316" i="36"/>
  <c r="AM316" i="36" s="1"/>
  <c r="AG316" i="36"/>
  <c r="AH316" i="36" s="1"/>
  <c r="AB316" i="36"/>
  <c r="AC316" i="36" s="1"/>
  <c r="W316" i="36"/>
  <c r="V316" i="36"/>
  <c r="X316" i="36" s="1"/>
  <c r="L316" i="36"/>
  <c r="AL315" i="36"/>
  <c r="AM315" i="36" s="1"/>
  <c r="AG315" i="36"/>
  <c r="AH315" i="36" s="1"/>
  <c r="AB315" i="36"/>
  <c r="AC315" i="36" s="1"/>
  <c r="W315" i="36"/>
  <c r="V315" i="36"/>
  <c r="X315" i="36" s="1"/>
  <c r="L315" i="36"/>
  <c r="AL314" i="36"/>
  <c r="AM314" i="36" s="1"/>
  <c r="AG314" i="36"/>
  <c r="AH314" i="36" s="1"/>
  <c r="AB314" i="36"/>
  <c r="AC314" i="36" s="1"/>
  <c r="W314" i="36"/>
  <c r="V314" i="36"/>
  <c r="X314" i="36" s="1"/>
  <c r="L314" i="36"/>
  <c r="AL313" i="36"/>
  <c r="AM313" i="36" s="1"/>
  <c r="AG313" i="36"/>
  <c r="AH313" i="36" s="1"/>
  <c r="AB313" i="36"/>
  <c r="AC313" i="36" s="1"/>
  <c r="W313" i="36"/>
  <c r="V313" i="36"/>
  <c r="X313" i="36" s="1"/>
  <c r="L313" i="36"/>
  <c r="AL312" i="36"/>
  <c r="AM312" i="36" s="1"/>
  <c r="AG312" i="36"/>
  <c r="AH312" i="36" s="1"/>
  <c r="AB312" i="36"/>
  <c r="AC312" i="36" s="1"/>
  <c r="W312" i="36"/>
  <c r="V312" i="36"/>
  <c r="X312" i="36" s="1"/>
  <c r="L312" i="36"/>
  <c r="AL311" i="36"/>
  <c r="AM311" i="36" s="1"/>
  <c r="AG311" i="36"/>
  <c r="AH311" i="36" s="1"/>
  <c r="AB311" i="36"/>
  <c r="AC311" i="36" s="1"/>
  <c r="W311" i="36"/>
  <c r="V311" i="36"/>
  <c r="X311" i="36" s="1"/>
  <c r="L311" i="36"/>
  <c r="AL310" i="36"/>
  <c r="AM310" i="36" s="1"/>
  <c r="AG310" i="36"/>
  <c r="AH310" i="36" s="1"/>
  <c r="AB310" i="36"/>
  <c r="AC310" i="36" s="1"/>
  <c r="W310" i="36"/>
  <c r="V310" i="36"/>
  <c r="X310" i="36" s="1"/>
  <c r="L310" i="36"/>
  <c r="AL309" i="36"/>
  <c r="AM309" i="36" s="1"/>
  <c r="AG309" i="36"/>
  <c r="AH309" i="36" s="1"/>
  <c r="AB309" i="36"/>
  <c r="AC309" i="36" s="1"/>
  <c r="W309" i="36"/>
  <c r="V309" i="36"/>
  <c r="X309" i="36" s="1"/>
  <c r="L309" i="36"/>
  <c r="AL308" i="36"/>
  <c r="AM308" i="36" s="1"/>
  <c r="AG308" i="36"/>
  <c r="AH308" i="36" s="1"/>
  <c r="AB308" i="36"/>
  <c r="AC308" i="36" s="1"/>
  <c r="W308" i="36"/>
  <c r="V308" i="36"/>
  <c r="X308" i="36" s="1"/>
  <c r="L308" i="36"/>
  <c r="AL307" i="36"/>
  <c r="AM307" i="36" s="1"/>
  <c r="AG307" i="36"/>
  <c r="AH307" i="36" s="1"/>
  <c r="AB307" i="36"/>
  <c r="AC307" i="36" s="1"/>
  <c r="W307" i="36"/>
  <c r="V307" i="36"/>
  <c r="X307" i="36" s="1"/>
  <c r="L307" i="36"/>
  <c r="AL306" i="36"/>
  <c r="AM306" i="36" s="1"/>
  <c r="AG306" i="36"/>
  <c r="AH306" i="36" s="1"/>
  <c r="AB306" i="36"/>
  <c r="AC306" i="36" s="1"/>
  <c r="W306" i="36"/>
  <c r="V306" i="36"/>
  <c r="X306" i="36" s="1"/>
  <c r="L306" i="36"/>
  <c r="AL305" i="36"/>
  <c r="AM305" i="36" s="1"/>
  <c r="AG305" i="36"/>
  <c r="AH305" i="36" s="1"/>
  <c r="AB305" i="36"/>
  <c r="AC305" i="36" s="1"/>
  <c r="W305" i="36"/>
  <c r="V305" i="36"/>
  <c r="X305" i="36" s="1"/>
  <c r="L305" i="36"/>
  <c r="AL304" i="36"/>
  <c r="AM304" i="36" s="1"/>
  <c r="AG304" i="36"/>
  <c r="AH304" i="36" s="1"/>
  <c r="AB304" i="36"/>
  <c r="AC304" i="36" s="1"/>
  <c r="W304" i="36"/>
  <c r="V304" i="36"/>
  <c r="X304" i="36" s="1"/>
  <c r="L304" i="36"/>
  <c r="AL303" i="36"/>
  <c r="AM303" i="36" s="1"/>
  <c r="AG303" i="36"/>
  <c r="AH303" i="36" s="1"/>
  <c r="AB303" i="36"/>
  <c r="AC303" i="36" s="1"/>
  <c r="W303" i="36"/>
  <c r="V303" i="36"/>
  <c r="X303" i="36" s="1"/>
  <c r="L303" i="36"/>
  <c r="AL302" i="36"/>
  <c r="AM302" i="36" s="1"/>
  <c r="AG302" i="36"/>
  <c r="AH302" i="36" s="1"/>
  <c r="AB302" i="36"/>
  <c r="AC302" i="36" s="1"/>
  <c r="W302" i="36"/>
  <c r="V302" i="36"/>
  <c r="X302" i="36" s="1"/>
  <c r="L302" i="36"/>
  <c r="AL301" i="36"/>
  <c r="AM301" i="36" s="1"/>
  <c r="AG301" i="36"/>
  <c r="AH301" i="36" s="1"/>
  <c r="AB301" i="36"/>
  <c r="AC301" i="36" s="1"/>
  <c r="W301" i="36"/>
  <c r="V301" i="36"/>
  <c r="X301" i="36" s="1"/>
  <c r="L301" i="36"/>
  <c r="AL300" i="36"/>
  <c r="AM300" i="36" s="1"/>
  <c r="AG300" i="36"/>
  <c r="AH300" i="36" s="1"/>
  <c r="AB300" i="36"/>
  <c r="AC300" i="36" s="1"/>
  <c r="W300" i="36"/>
  <c r="V300" i="36"/>
  <c r="X300" i="36" s="1"/>
  <c r="L300" i="36"/>
  <c r="AL299" i="36"/>
  <c r="AM299" i="36" s="1"/>
  <c r="AG299" i="36"/>
  <c r="AH299" i="36" s="1"/>
  <c r="AB299" i="36"/>
  <c r="AC299" i="36" s="1"/>
  <c r="W299" i="36"/>
  <c r="V299" i="36"/>
  <c r="X299" i="36" s="1"/>
  <c r="L299" i="36"/>
  <c r="AL298" i="36"/>
  <c r="AM298" i="36" s="1"/>
  <c r="AG298" i="36"/>
  <c r="AH298" i="36" s="1"/>
  <c r="AB298" i="36"/>
  <c r="AC298" i="36" s="1"/>
  <c r="W298" i="36"/>
  <c r="V298" i="36"/>
  <c r="X298" i="36" s="1"/>
  <c r="L298" i="36"/>
  <c r="AL297" i="36"/>
  <c r="AM297" i="36" s="1"/>
  <c r="AG297" i="36"/>
  <c r="AH297" i="36" s="1"/>
  <c r="AB297" i="36"/>
  <c r="AC297" i="36" s="1"/>
  <c r="W297" i="36"/>
  <c r="V297" i="36"/>
  <c r="X297" i="36" s="1"/>
  <c r="L297" i="36"/>
  <c r="AL296" i="36"/>
  <c r="AM296" i="36" s="1"/>
  <c r="AG296" i="36"/>
  <c r="AH296" i="36" s="1"/>
  <c r="AB296" i="36"/>
  <c r="AC296" i="36" s="1"/>
  <c r="W296" i="36"/>
  <c r="V296" i="36"/>
  <c r="X296" i="36" s="1"/>
  <c r="L296" i="36"/>
  <c r="AL295" i="36"/>
  <c r="AM295" i="36" s="1"/>
  <c r="AG295" i="36"/>
  <c r="AH295" i="36" s="1"/>
  <c r="AB295" i="36"/>
  <c r="AC295" i="36" s="1"/>
  <c r="W295" i="36"/>
  <c r="V295" i="36"/>
  <c r="X295" i="36" s="1"/>
  <c r="L295" i="36"/>
  <c r="AL294" i="36"/>
  <c r="AM294" i="36" s="1"/>
  <c r="AG294" i="36"/>
  <c r="AH294" i="36" s="1"/>
  <c r="AB294" i="36"/>
  <c r="AC294" i="36" s="1"/>
  <c r="W294" i="36"/>
  <c r="V294" i="36"/>
  <c r="X294" i="36" s="1"/>
  <c r="L294" i="36"/>
  <c r="AL293" i="36"/>
  <c r="AM293" i="36" s="1"/>
  <c r="AG293" i="36"/>
  <c r="AH293" i="36" s="1"/>
  <c r="AB293" i="36"/>
  <c r="AC293" i="36" s="1"/>
  <c r="W293" i="36"/>
  <c r="V293" i="36"/>
  <c r="X293" i="36" s="1"/>
  <c r="L293" i="36"/>
  <c r="AL292" i="36"/>
  <c r="AM292" i="36" s="1"/>
  <c r="AG292" i="36"/>
  <c r="AH292" i="36" s="1"/>
  <c r="AB292" i="36"/>
  <c r="AC292" i="36" s="1"/>
  <c r="W292" i="36"/>
  <c r="V292" i="36"/>
  <c r="X292" i="36" s="1"/>
  <c r="L292" i="36"/>
  <c r="AL291" i="36"/>
  <c r="AM291" i="36" s="1"/>
  <c r="AG291" i="36"/>
  <c r="AH291" i="36" s="1"/>
  <c r="AB291" i="36"/>
  <c r="AC291" i="36" s="1"/>
  <c r="W291" i="36"/>
  <c r="V291" i="36"/>
  <c r="X291" i="36" s="1"/>
  <c r="L291" i="36"/>
  <c r="AL290" i="36"/>
  <c r="AM290" i="36" s="1"/>
  <c r="AG290" i="36"/>
  <c r="AH290" i="36" s="1"/>
  <c r="AB290" i="36"/>
  <c r="AC290" i="36" s="1"/>
  <c r="W290" i="36"/>
  <c r="V290" i="36"/>
  <c r="X290" i="36" s="1"/>
  <c r="L290" i="36"/>
  <c r="AL289" i="36"/>
  <c r="AM289" i="36" s="1"/>
  <c r="AG289" i="36"/>
  <c r="AH289" i="36" s="1"/>
  <c r="AB289" i="36"/>
  <c r="AC289" i="36" s="1"/>
  <c r="W289" i="36"/>
  <c r="V289" i="36"/>
  <c r="X289" i="36" s="1"/>
  <c r="L289" i="36"/>
  <c r="AL288" i="36"/>
  <c r="AM288" i="36" s="1"/>
  <c r="AG288" i="36"/>
  <c r="AH288" i="36" s="1"/>
  <c r="AB288" i="36"/>
  <c r="AC288" i="36" s="1"/>
  <c r="W288" i="36"/>
  <c r="V288" i="36"/>
  <c r="X288" i="36" s="1"/>
  <c r="L288" i="36"/>
  <c r="AL287" i="36"/>
  <c r="AM287" i="36" s="1"/>
  <c r="AG287" i="36"/>
  <c r="AH287" i="36" s="1"/>
  <c r="AB287" i="36"/>
  <c r="AC287" i="36" s="1"/>
  <c r="W287" i="36"/>
  <c r="V287" i="36"/>
  <c r="X287" i="36" s="1"/>
  <c r="L287" i="36"/>
  <c r="AL286" i="36"/>
  <c r="AM286" i="36" s="1"/>
  <c r="AG286" i="36"/>
  <c r="AH286" i="36" s="1"/>
  <c r="AB286" i="36"/>
  <c r="AC286" i="36" s="1"/>
  <c r="W286" i="36"/>
  <c r="V286" i="36"/>
  <c r="X286" i="36" s="1"/>
  <c r="L286" i="36"/>
  <c r="AL285" i="36"/>
  <c r="AM285" i="36" s="1"/>
  <c r="AG285" i="36"/>
  <c r="AH285" i="36" s="1"/>
  <c r="AB285" i="36"/>
  <c r="AC285" i="36" s="1"/>
  <c r="W285" i="36"/>
  <c r="V285" i="36"/>
  <c r="X285" i="36" s="1"/>
  <c r="L285" i="36"/>
  <c r="AL284" i="36"/>
  <c r="AM284" i="36" s="1"/>
  <c r="AG284" i="36"/>
  <c r="AH284" i="36" s="1"/>
  <c r="AB284" i="36"/>
  <c r="AC284" i="36" s="1"/>
  <c r="W284" i="36"/>
  <c r="V284" i="36"/>
  <c r="X284" i="36" s="1"/>
  <c r="L284" i="36"/>
  <c r="AL283" i="36"/>
  <c r="AM283" i="36" s="1"/>
  <c r="AG283" i="36"/>
  <c r="AH283" i="36" s="1"/>
  <c r="AB283" i="36"/>
  <c r="AC283" i="36" s="1"/>
  <c r="W283" i="36"/>
  <c r="V283" i="36"/>
  <c r="X283" i="36" s="1"/>
  <c r="L283" i="36"/>
  <c r="AL282" i="36"/>
  <c r="AM282" i="36" s="1"/>
  <c r="AG282" i="36"/>
  <c r="AH282" i="36" s="1"/>
  <c r="AB282" i="36"/>
  <c r="AC282" i="36" s="1"/>
  <c r="W282" i="36"/>
  <c r="V282" i="36"/>
  <c r="X282" i="36" s="1"/>
  <c r="L282" i="36"/>
  <c r="AL281" i="36"/>
  <c r="AM281" i="36" s="1"/>
  <c r="AG281" i="36"/>
  <c r="AH281" i="36" s="1"/>
  <c r="AB281" i="36"/>
  <c r="AC281" i="36" s="1"/>
  <c r="W281" i="36"/>
  <c r="V281" i="36"/>
  <c r="X281" i="36" s="1"/>
  <c r="L281" i="36"/>
  <c r="AL280" i="36"/>
  <c r="AM280" i="36" s="1"/>
  <c r="AG280" i="36"/>
  <c r="AH280" i="36" s="1"/>
  <c r="AB280" i="36"/>
  <c r="AC280" i="36" s="1"/>
  <c r="W280" i="36"/>
  <c r="V280" i="36"/>
  <c r="X280" i="36" s="1"/>
  <c r="L280" i="36"/>
  <c r="AL279" i="36"/>
  <c r="AM279" i="36" s="1"/>
  <c r="AG279" i="36"/>
  <c r="AH279" i="36" s="1"/>
  <c r="AB279" i="36"/>
  <c r="AC279" i="36" s="1"/>
  <c r="W279" i="36"/>
  <c r="V279" i="36"/>
  <c r="X279" i="36" s="1"/>
  <c r="L279" i="36"/>
  <c r="AL278" i="36"/>
  <c r="AM278" i="36" s="1"/>
  <c r="AG278" i="36"/>
  <c r="AH278" i="36" s="1"/>
  <c r="AB278" i="36"/>
  <c r="AC278" i="36" s="1"/>
  <c r="W278" i="36"/>
  <c r="V278" i="36"/>
  <c r="X278" i="36" s="1"/>
  <c r="L278" i="36"/>
  <c r="AL277" i="36"/>
  <c r="AM277" i="36" s="1"/>
  <c r="AG277" i="36"/>
  <c r="AH277" i="36" s="1"/>
  <c r="AB277" i="36"/>
  <c r="AC277" i="36" s="1"/>
  <c r="W277" i="36"/>
  <c r="V277" i="36"/>
  <c r="X277" i="36" s="1"/>
  <c r="L277" i="36"/>
  <c r="AL276" i="36"/>
  <c r="AM276" i="36" s="1"/>
  <c r="AG276" i="36"/>
  <c r="AH276" i="36" s="1"/>
  <c r="AB276" i="36"/>
  <c r="AC276" i="36" s="1"/>
  <c r="W276" i="36"/>
  <c r="V276" i="36"/>
  <c r="X276" i="36" s="1"/>
  <c r="L276" i="36"/>
  <c r="AL275" i="36"/>
  <c r="AM275" i="36" s="1"/>
  <c r="AG275" i="36"/>
  <c r="AH275" i="36" s="1"/>
  <c r="AB275" i="36"/>
  <c r="AC275" i="36" s="1"/>
  <c r="W275" i="36"/>
  <c r="V275" i="36"/>
  <c r="X275" i="36" s="1"/>
  <c r="L275" i="36"/>
  <c r="AL274" i="36"/>
  <c r="AM274" i="36" s="1"/>
  <c r="AG274" i="36"/>
  <c r="AH274" i="36" s="1"/>
  <c r="AB274" i="36"/>
  <c r="AC274" i="36" s="1"/>
  <c r="W274" i="36"/>
  <c r="V274" i="36"/>
  <c r="X274" i="36" s="1"/>
  <c r="L274" i="36"/>
  <c r="AL273" i="36"/>
  <c r="AM273" i="36" s="1"/>
  <c r="AG273" i="36"/>
  <c r="AH273" i="36" s="1"/>
  <c r="AB273" i="36"/>
  <c r="AC273" i="36" s="1"/>
  <c r="W273" i="36"/>
  <c r="V273" i="36"/>
  <c r="X273" i="36" s="1"/>
  <c r="L273" i="36"/>
  <c r="AL272" i="36"/>
  <c r="AM272" i="36" s="1"/>
  <c r="AG272" i="36"/>
  <c r="AH272" i="36" s="1"/>
  <c r="AB272" i="36"/>
  <c r="AC272" i="36" s="1"/>
  <c r="W272" i="36"/>
  <c r="V272" i="36"/>
  <c r="X272" i="36" s="1"/>
  <c r="L272" i="36"/>
  <c r="AL271" i="36"/>
  <c r="AM271" i="36" s="1"/>
  <c r="AG271" i="36"/>
  <c r="AH271" i="36" s="1"/>
  <c r="AB271" i="36"/>
  <c r="AC271" i="36" s="1"/>
  <c r="W271" i="36"/>
  <c r="V271" i="36"/>
  <c r="X271" i="36" s="1"/>
  <c r="L271" i="36"/>
  <c r="AL270" i="36"/>
  <c r="AM270" i="36" s="1"/>
  <c r="AG270" i="36"/>
  <c r="AH270" i="36" s="1"/>
  <c r="AB270" i="36"/>
  <c r="AC270" i="36" s="1"/>
  <c r="W270" i="36"/>
  <c r="V270" i="36"/>
  <c r="X270" i="36" s="1"/>
  <c r="L270" i="36"/>
  <c r="AL269" i="36"/>
  <c r="AM269" i="36" s="1"/>
  <c r="AG269" i="36"/>
  <c r="AH269" i="36" s="1"/>
  <c r="AB269" i="36"/>
  <c r="AC269" i="36" s="1"/>
  <c r="W269" i="36"/>
  <c r="V269" i="36"/>
  <c r="X269" i="36" s="1"/>
  <c r="L269" i="36"/>
  <c r="AL268" i="36"/>
  <c r="AM268" i="36" s="1"/>
  <c r="AG268" i="36"/>
  <c r="AH268" i="36" s="1"/>
  <c r="AB268" i="36"/>
  <c r="AC268" i="36" s="1"/>
  <c r="W268" i="36"/>
  <c r="V268" i="36"/>
  <c r="X268" i="36" s="1"/>
  <c r="L268" i="36"/>
  <c r="AL267" i="36"/>
  <c r="AM267" i="36" s="1"/>
  <c r="AG267" i="36"/>
  <c r="AH267" i="36" s="1"/>
  <c r="AB267" i="36"/>
  <c r="AC267" i="36" s="1"/>
  <c r="W267" i="36"/>
  <c r="V267" i="36"/>
  <c r="X267" i="36" s="1"/>
  <c r="L267" i="36"/>
  <c r="AL266" i="36"/>
  <c r="AM266" i="36" s="1"/>
  <c r="AG266" i="36"/>
  <c r="AH266" i="36" s="1"/>
  <c r="AB266" i="36"/>
  <c r="AC266" i="36" s="1"/>
  <c r="W266" i="36"/>
  <c r="V266" i="36"/>
  <c r="X266" i="36" s="1"/>
  <c r="L266" i="36"/>
  <c r="AL265" i="36"/>
  <c r="AM265" i="36" s="1"/>
  <c r="AG265" i="36"/>
  <c r="AH265" i="36" s="1"/>
  <c r="AB265" i="36"/>
  <c r="AC265" i="36" s="1"/>
  <c r="W265" i="36"/>
  <c r="V265" i="36"/>
  <c r="X265" i="36" s="1"/>
  <c r="L265" i="36"/>
  <c r="AL264" i="36"/>
  <c r="AM264" i="36" s="1"/>
  <c r="AG264" i="36"/>
  <c r="AH264" i="36" s="1"/>
  <c r="AB264" i="36"/>
  <c r="AC264" i="36" s="1"/>
  <c r="W264" i="36"/>
  <c r="V264" i="36"/>
  <c r="X264" i="36" s="1"/>
  <c r="L264" i="36"/>
  <c r="AL263" i="36"/>
  <c r="AM263" i="36" s="1"/>
  <c r="AG263" i="36"/>
  <c r="AH263" i="36" s="1"/>
  <c r="AB263" i="36"/>
  <c r="AC263" i="36" s="1"/>
  <c r="W263" i="36"/>
  <c r="V263" i="36"/>
  <c r="X263" i="36" s="1"/>
  <c r="L263" i="36"/>
  <c r="AL262" i="36"/>
  <c r="AM262" i="36" s="1"/>
  <c r="AG262" i="36"/>
  <c r="AH262" i="36" s="1"/>
  <c r="AB262" i="36"/>
  <c r="AC262" i="36" s="1"/>
  <c r="W262" i="36"/>
  <c r="V262" i="36"/>
  <c r="X262" i="36" s="1"/>
  <c r="L262" i="36"/>
  <c r="AL261" i="36"/>
  <c r="AM261" i="36" s="1"/>
  <c r="AG261" i="36"/>
  <c r="AH261" i="36" s="1"/>
  <c r="AB261" i="36"/>
  <c r="AC261" i="36" s="1"/>
  <c r="W261" i="36"/>
  <c r="V261" i="36"/>
  <c r="X261" i="36" s="1"/>
  <c r="L261" i="36"/>
  <c r="AL260" i="36"/>
  <c r="AM260" i="36" s="1"/>
  <c r="AG260" i="36"/>
  <c r="AH260" i="36" s="1"/>
  <c r="AB260" i="36"/>
  <c r="AC260" i="36" s="1"/>
  <c r="W260" i="36"/>
  <c r="V260" i="36"/>
  <c r="X260" i="36" s="1"/>
  <c r="L260" i="36"/>
  <c r="AL259" i="36"/>
  <c r="AM259" i="36" s="1"/>
  <c r="AG259" i="36"/>
  <c r="AH259" i="36" s="1"/>
  <c r="AB259" i="36"/>
  <c r="AC259" i="36" s="1"/>
  <c r="W259" i="36"/>
  <c r="V259" i="36"/>
  <c r="X259" i="36" s="1"/>
  <c r="L259" i="36"/>
  <c r="AL258" i="36"/>
  <c r="AM258" i="36" s="1"/>
  <c r="AG258" i="36"/>
  <c r="AH258" i="36" s="1"/>
  <c r="AB258" i="36"/>
  <c r="AC258" i="36" s="1"/>
  <c r="W258" i="36"/>
  <c r="V258" i="36"/>
  <c r="X258" i="36" s="1"/>
  <c r="L258" i="36"/>
  <c r="AL257" i="36"/>
  <c r="AM257" i="36" s="1"/>
  <c r="AG257" i="36"/>
  <c r="AH257" i="36" s="1"/>
  <c r="AB257" i="36"/>
  <c r="AC257" i="36" s="1"/>
  <c r="W257" i="36"/>
  <c r="V257" i="36"/>
  <c r="X257" i="36" s="1"/>
  <c r="L257" i="36"/>
  <c r="AL256" i="36"/>
  <c r="AM256" i="36" s="1"/>
  <c r="AG256" i="36"/>
  <c r="AH256" i="36" s="1"/>
  <c r="AB256" i="36"/>
  <c r="AC256" i="36" s="1"/>
  <c r="W256" i="36"/>
  <c r="V256" i="36"/>
  <c r="X256" i="36" s="1"/>
  <c r="L256" i="36"/>
  <c r="AL255" i="36"/>
  <c r="AM255" i="36" s="1"/>
  <c r="AG255" i="36"/>
  <c r="AH255" i="36" s="1"/>
  <c r="AB255" i="36"/>
  <c r="AC255" i="36" s="1"/>
  <c r="W255" i="36"/>
  <c r="V255" i="36"/>
  <c r="X255" i="36" s="1"/>
  <c r="L255" i="36"/>
  <c r="AL254" i="36"/>
  <c r="AM254" i="36" s="1"/>
  <c r="AG254" i="36"/>
  <c r="AH254" i="36" s="1"/>
  <c r="AB254" i="36"/>
  <c r="AC254" i="36" s="1"/>
  <c r="W254" i="36"/>
  <c r="V254" i="36"/>
  <c r="X254" i="36" s="1"/>
  <c r="L254" i="36"/>
  <c r="AL253" i="36"/>
  <c r="AM253" i="36" s="1"/>
  <c r="AG253" i="36"/>
  <c r="AH253" i="36" s="1"/>
  <c r="AB253" i="36"/>
  <c r="AC253" i="36" s="1"/>
  <c r="W253" i="36"/>
  <c r="V253" i="36"/>
  <c r="X253" i="36" s="1"/>
  <c r="L253" i="36"/>
  <c r="AL252" i="36"/>
  <c r="AM252" i="36" s="1"/>
  <c r="AG252" i="36"/>
  <c r="AH252" i="36" s="1"/>
  <c r="AB252" i="36"/>
  <c r="AC252" i="36" s="1"/>
  <c r="W252" i="36"/>
  <c r="V252" i="36"/>
  <c r="X252" i="36" s="1"/>
  <c r="L252" i="36"/>
  <c r="AL251" i="36"/>
  <c r="AM251" i="36" s="1"/>
  <c r="AG251" i="36"/>
  <c r="AH251" i="36" s="1"/>
  <c r="AB251" i="36"/>
  <c r="AC251" i="36" s="1"/>
  <c r="W251" i="36"/>
  <c r="V251" i="36"/>
  <c r="X251" i="36" s="1"/>
  <c r="L251" i="36"/>
  <c r="AL250" i="36"/>
  <c r="AM250" i="36" s="1"/>
  <c r="AG250" i="36"/>
  <c r="AH250" i="36" s="1"/>
  <c r="AB250" i="36"/>
  <c r="AC250" i="36" s="1"/>
  <c r="W250" i="36"/>
  <c r="V250" i="36"/>
  <c r="X250" i="36" s="1"/>
  <c r="L250" i="36"/>
  <c r="AL249" i="36"/>
  <c r="AM249" i="36" s="1"/>
  <c r="AG249" i="36"/>
  <c r="AH249" i="36" s="1"/>
  <c r="AB249" i="36"/>
  <c r="AC249" i="36" s="1"/>
  <c r="W249" i="36"/>
  <c r="V249" i="36"/>
  <c r="X249" i="36" s="1"/>
  <c r="L249" i="36"/>
  <c r="AL248" i="36"/>
  <c r="AM248" i="36" s="1"/>
  <c r="AG248" i="36"/>
  <c r="AH248" i="36" s="1"/>
  <c r="AB248" i="36"/>
  <c r="AC248" i="36" s="1"/>
  <c r="W248" i="36"/>
  <c r="V248" i="36"/>
  <c r="X248" i="36" s="1"/>
  <c r="L248" i="36"/>
  <c r="AL247" i="36"/>
  <c r="AM247" i="36" s="1"/>
  <c r="AG247" i="36"/>
  <c r="AH247" i="36" s="1"/>
  <c r="AB247" i="36"/>
  <c r="AC247" i="36" s="1"/>
  <c r="W247" i="36"/>
  <c r="V247" i="36"/>
  <c r="X247" i="36" s="1"/>
  <c r="L247" i="36"/>
  <c r="AL246" i="36"/>
  <c r="AM246" i="36" s="1"/>
  <c r="AG246" i="36"/>
  <c r="AH246" i="36" s="1"/>
  <c r="AB246" i="36"/>
  <c r="AC246" i="36" s="1"/>
  <c r="W246" i="36"/>
  <c r="V246" i="36"/>
  <c r="X246" i="36" s="1"/>
  <c r="L246" i="36"/>
  <c r="AL245" i="36"/>
  <c r="AM245" i="36" s="1"/>
  <c r="AG245" i="36"/>
  <c r="AH245" i="36" s="1"/>
  <c r="AB245" i="36"/>
  <c r="AC245" i="36" s="1"/>
  <c r="W245" i="36"/>
  <c r="V245" i="36"/>
  <c r="X245" i="36" s="1"/>
  <c r="L245" i="36"/>
  <c r="AL244" i="36"/>
  <c r="AM244" i="36" s="1"/>
  <c r="AG244" i="36"/>
  <c r="AH244" i="36" s="1"/>
  <c r="AB244" i="36"/>
  <c r="AC244" i="36" s="1"/>
  <c r="W244" i="36"/>
  <c r="V244" i="36"/>
  <c r="X244" i="36" s="1"/>
  <c r="L244" i="36"/>
  <c r="AL243" i="36"/>
  <c r="AM243" i="36" s="1"/>
  <c r="AG243" i="36"/>
  <c r="AH243" i="36" s="1"/>
  <c r="AB243" i="36"/>
  <c r="AC243" i="36" s="1"/>
  <c r="W243" i="36"/>
  <c r="V243" i="36"/>
  <c r="X243" i="36" s="1"/>
  <c r="L243" i="36"/>
  <c r="AL242" i="36"/>
  <c r="AM242" i="36" s="1"/>
  <c r="AG242" i="36"/>
  <c r="AH242" i="36" s="1"/>
  <c r="AB242" i="36"/>
  <c r="AC242" i="36" s="1"/>
  <c r="W242" i="36"/>
  <c r="V242" i="36"/>
  <c r="X242" i="36" s="1"/>
  <c r="L242" i="36"/>
  <c r="AL241" i="36"/>
  <c r="AM241" i="36" s="1"/>
  <c r="AG241" i="36"/>
  <c r="AH241" i="36" s="1"/>
  <c r="AB241" i="36"/>
  <c r="AC241" i="36" s="1"/>
  <c r="W241" i="36"/>
  <c r="V241" i="36"/>
  <c r="X241" i="36" s="1"/>
  <c r="L241" i="36"/>
  <c r="AL240" i="36"/>
  <c r="AM240" i="36" s="1"/>
  <c r="AG240" i="36"/>
  <c r="AH240" i="36" s="1"/>
  <c r="AB240" i="36"/>
  <c r="AC240" i="36" s="1"/>
  <c r="W240" i="36"/>
  <c r="V240" i="36"/>
  <c r="X240" i="36" s="1"/>
  <c r="L240" i="36"/>
  <c r="AL239" i="36"/>
  <c r="AM239" i="36" s="1"/>
  <c r="AG239" i="36"/>
  <c r="AH239" i="36" s="1"/>
  <c r="AB239" i="36"/>
  <c r="AC239" i="36" s="1"/>
  <c r="W239" i="36"/>
  <c r="V239" i="36"/>
  <c r="X239" i="36" s="1"/>
  <c r="L239" i="36"/>
  <c r="AL238" i="36"/>
  <c r="AM238" i="36" s="1"/>
  <c r="AG238" i="36"/>
  <c r="AH238" i="36" s="1"/>
  <c r="AB238" i="36"/>
  <c r="AC238" i="36" s="1"/>
  <c r="W238" i="36"/>
  <c r="V238" i="36"/>
  <c r="X238" i="36" s="1"/>
  <c r="L238" i="36"/>
  <c r="AL237" i="36"/>
  <c r="AM237" i="36" s="1"/>
  <c r="AG237" i="36"/>
  <c r="AH237" i="36" s="1"/>
  <c r="AB237" i="36"/>
  <c r="AC237" i="36" s="1"/>
  <c r="W237" i="36"/>
  <c r="V237" i="36"/>
  <c r="X237" i="36" s="1"/>
  <c r="L237" i="36"/>
  <c r="AL236" i="36"/>
  <c r="AM236" i="36" s="1"/>
  <c r="AG236" i="36"/>
  <c r="AH236" i="36" s="1"/>
  <c r="AB236" i="36"/>
  <c r="AC236" i="36" s="1"/>
  <c r="W236" i="36"/>
  <c r="V236" i="36"/>
  <c r="X236" i="36" s="1"/>
  <c r="L236" i="36"/>
  <c r="AL235" i="36"/>
  <c r="AM235" i="36" s="1"/>
  <c r="AG235" i="36"/>
  <c r="AH235" i="36" s="1"/>
  <c r="AB235" i="36"/>
  <c r="AC235" i="36" s="1"/>
  <c r="W235" i="36"/>
  <c r="V235" i="36"/>
  <c r="X235" i="36" s="1"/>
  <c r="L235" i="36"/>
  <c r="AL234" i="36"/>
  <c r="AM234" i="36" s="1"/>
  <c r="AG234" i="36"/>
  <c r="AH234" i="36" s="1"/>
  <c r="AB234" i="36"/>
  <c r="AC234" i="36" s="1"/>
  <c r="W234" i="36"/>
  <c r="V234" i="36"/>
  <c r="X234" i="36" s="1"/>
  <c r="L234" i="36"/>
  <c r="AL233" i="36"/>
  <c r="AM233" i="36" s="1"/>
  <c r="AG233" i="36"/>
  <c r="AH233" i="36" s="1"/>
  <c r="AB233" i="36"/>
  <c r="AC233" i="36" s="1"/>
  <c r="W233" i="36"/>
  <c r="V233" i="36"/>
  <c r="X233" i="36" s="1"/>
  <c r="L233" i="36"/>
  <c r="AL232" i="36"/>
  <c r="AM232" i="36" s="1"/>
  <c r="AG232" i="36"/>
  <c r="AH232" i="36" s="1"/>
  <c r="AB232" i="36"/>
  <c r="AC232" i="36" s="1"/>
  <c r="W232" i="36"/>
  <c r="V232" i="36"/>
  <c r="X232" i="36" s="1"/>
  <c r="L232" i="36"/>
  <c r="AL231" i="36"/>
  <c r="AM231" i="36" s="1"/>
  <c r="AG231" i="36"/>
  <c r="AH231" i="36" s="1"/>
  <c r="AB231" i="36"/>
  <c r="AC231" i="36" s="1"/>
  <c r="W231" i="36"/>
  <c r="V231" i="36"/>
  <c r="X231" i="36" s="1"/>
  <c r="L231" i="36"/>
  <c r="AL230" i="36"/>
  <c r="AM230" i="36" s="1"/>
  <c r="AG230" i="36"/>
  <c r="AH230" i="36" s="1"/>
  <c r="AB230" i="36"/>
  <c r="AC230" i="36" s="1"/>
  <c r="W230" i="36"/>
  <c r="V230" i="36"/>
  <c r="X230" i="36" s="1"/>
  <c r="L230" i="36"/>
  <c r="AL229" i="36"/>
  <c r="AM229" i="36" s="1"/>
  <c r="AG229" i="36"/>
  <c r="AH229" i="36" s="1"/>
  <c r="AB229" i="36"/>
  <c r="AC229" i="36" s="1"/>
  <c r="W229" i="36"/>
  <c r="V229" i="36"/>
  <c r="X229" i="36" s="1"/>
  <c r="L229" i="36"/>
  <c r="AL228" i="36"/>
  <c r="AM228" i="36" s="1"/>
  <c r="AG228" i="36"/>
  <c r="AH228" i="36" s="1"/>
  <c r="AB228" i="36"/>
  <c r="AC228" i="36" s="1"/>
  <c r="W228" i="36"/>
  <c r="V228" i="36"/>
  <c r="X228" i="36" s="1"/>
  <c r="L228" i="36"/>
  <c r="AL227" i="36"/>
  <c r="AM227" i="36" s="1"/>
  <c r="AG227" i="36"/>
  <c r="AH227" i="36" s="1"/>
  <c r="AB227" i="36"/>
  <c r="AC227" i="36" s="1"/>
  <c r="W227" i="36"/>
  <c r="V227" i="36"/>
  <c r="X227" i="36" s="1"/>
  <c r="L227" i="36"/>
  <c r="AL226" i="36"/>
  <c r="AM226" i="36" s="1"/>
  <c r="AG226" i="36"/>
  <c r="AH226" i="36" s="1"/>
  <c r="AB226" i="36"/>
  <c r="AC226" i="36" s="1"/>
  <c r="W226" i="36"/>
  <c r="V226" i="36"/>
  <c r="X226" i="36" s="1"/>
  <c r="L226" i="36"/>
  <c r="AL225" i="36"/>
  <c r="AM225" i="36" s="1"/>
  <c r="AG225" i="36"/>
  <c r="AH225" i="36" s="1"/>
  <c r="AB225" i="36"/>
  <c r="AC225" i="36" s="1"/>
  <c r="W225" i="36"/>
  <c r="V225" i="36"/>
  <c r="X225" i="36" s="1"/>
  <c r="L225" i="36"/>
  <c r="AL224" i="36"/>
  <c r="AM224" i="36" s="1"/>
  <c r="AG224" i="36"/>
  <c r="AH224" i="36" s="1"/>
  <c r="AB224" i="36"/>
  <c r="AC224" i="36" s="1"/>
  <c r="W224" i="36"/>
  <c r="V224" i="36"/>
  <c r="X224" i="36" s="1"/>
  <c r="L224" i="36"/>
  <c r="AL223" i="36"/>
  <c r="AM223" i="36" s="1"/>
  <c r="AG223" i="36"/>
  <c r="AH223" i="36" s="1"/>
  <c r="AB223" i="36"/>
  <c r="AC223" i="36" s="1"/>
  <c r="W223" i="36"/>
  <c r="V223" i="36"/>
  <c r="X223" i="36" s="1"/>
  <c r="L223" i="36"/>
  <c r="AL222" i="36"/>
  <c r="AM222" i="36" s="1"/>
  <c r="AG222" i="36"/>
  <c r="AH222" i="36" s="1"/>
  <c r="AB222" i="36"/>
  <c r="AC222" i="36" s="1"/>
  <c r="W222" i="36"/>
  <c r="V222" i="36"/>
  <c r="X222" i="36" s="1"/>
  <c r="L222" i="36"/>
  <c r="AL221" i="36"/>
  <c r="AM221" i="36" s="1"/>
  <c r="AG221" i="36"/>
  <c r="AH221" i="36" s="1"/>
  <c r="AB221" i="36"/>
  <c r="AC221" i="36" s="1"/>
  <c r="W221" i="36"/>
  <c r="V221" i="36"/>
  <c r="X221" i="36" s="1"/>
  <c r="L221" i="36"/>
  <c r="AL220" i="36"/>
  <c r="AM220" i="36" s="1"/>
  <c r="AG220" i="36"/>
  <c r="AH220" i="36" s="1"/>
  <c r="AB220" i="36"/>
  <c r="AC220" i="36" s="1"/>
  <c r="W220" i="36"/>
  <c r="V220" i="36"/>
  <c r="X220" i="36" s="1"/>
  <c r="L220" i="36"/>
  <c r="AL219" i="36"/>
  <c r="AM219" i="36" s="1"/>
  <c r="AG219" i="36"/>
  <c r="AH219" i="36" s="1"/>
  <c r="AB219" i="36"/>
  <c r="AC219" i="36" s="1"/>
  <c r="W219" i="36"/>
  <c r="V219" i="36"/>
  <c r="X219" i="36" s="1"/>
  <c r="L219" i="36"/>
  <c r="AL218" i="36"/>
  <c r="AM218" i="36" s="1"/>
  <c r="AG218" i="36"/>
  <c r="AH218" i="36" s="1"/>
  <c r="AB218" i="36"/>
  <c r="AC218" i="36" s="1"/>
  <c r="W218" i="36"/>
  <c r="V218" i="36"/>
  <c r="X218" i="36" s="1"/>
  <c r="L218" i="36"/>
  <c r="AL217" i="36"/>
  <c r="AM217" i="36" s="1"/>
  <c r="AG217" i="36"/>
  <c r="AH217" i="36" s="1"/>
  <c r="AB217" i="36"/>
  <c r="AC217" i="36" s="1"/>
  <c r="W217" i="36"/>
  <c r="V217" i="36"/>
  <c r="X217" i="36" s="1"/>
  <c r="L217" i="36"/>
  <c r="AL216" i="36"/>
  <c r="AM216" i="36" s="1"/>
  <c r="AG216" i="36"/>
  <c r="AH216" i="36" s="1"/>
  <c r="AB216" i="36"/>
  <c r="AC216" i="36" s="1"/>
  <c r="W216" i="36"/>
  <c r="V216" i="36"/>
  <c r="X216" i="36" s="1"/>
  <c r="L216" i="36"/>
  <c r="AL215" i="36"/>
  <c r="AM215" i="36" s="1"/>
  <c r="AG215" i="36"/>
  <c r="AH215" i="36" s="1"/>
  <c r="AB215" i="36"/>
  <c r="AC215" i="36" s="1"/>
  <c r="W215" i="36"/>
  <c r="V215" i="36"/>
  <c r="X215" i="36" s="1"/>
  <c r="L215" i="36"/>
  <c r="AL214" i="36"/>
  <c r="AM214" i="36" s="1"/>
  <c r="AG214" i="36"/>
  <c r="AH214" i="36" s="1"/>
  <c r="AB214" i="36"/>
  <c r="AC214" i="36" s="1"/>
  <c r="W214" i="36"/>
  <c r="V214" i="36"/>
  <c r="X214" i="36" s="1"/>
  <c r="L214" i="36"/>
  <c r="AL213" i="36"/>
  <c r="AM213" i="36" s="1"/>
  <c r="AG213" i="36"/>
  <c r="AH213" i="36" s="1"/>
  <c r="AB213" i="36"/>
  <c r="AC213" i="36" s="1"/>
  <c r="W213" i="36"/>
  <c r="V213" i="36"/>
  <c r="X213" i="36" s="1"/>
  <c r="L213" i="36"/>
  <c r="AL212" i="36"/>
  <c r="AM212" i="36" s="1"/>
  <c r="AG212" i="36"/>
  <c r="AH212" i="36" s="1"/>
  <c r="AB212" i="36"/>
  <c r="AC212" i="36" s="1"/>
  <c r="W212" i="36"/>
  <c r="V212" i="36"/>
  <c r="X212" i="36" s="1"/>
  <c r="L212" i="36"/>
  <c r="AL211" i="36"/>
  <c r="AM211" i="36" s="1"/>
  <c r="AG211" i="36"/>
  <c r="AH211" i="36" s="1"/>
  <c r="AB211" i="36"/>
  <c r="AC211" i="36" s="1"/>
  <c r="W211" i="36"/>
  <c r="V211" i="36"/>
  <c r="X211" i="36" s="1"/>
  <c r="L211" i="36"/>
  <c r="AL210" i="36"/>
  <c r="AM210" i="36" s="1"/>
  <c r="AG210" i="36"/>
  <c r="AH210" i="36" s="1"/>
  <c r="AB210" i="36"/>
  <c r="AC210" i="36" s="1"/>
  <c r="W210" i="36"/>
  <c r="V210" i="36"/>
  <c r="X210" i="36" s="1"/>
  <c r="L210" i="36"/>
  <c r="AL209" i="36"/>
  <c r="AM209" i="36" s="1"/>
  <c r="AG209" i="36"/>
  <c r="AH209" i="36" s="1"/>
  <c r="AB209" i="36"/>
  <c r="AC209" i="36" s="1"/>
  <c r="W209" i="36"/>
  <c r="V209" i="36"/>
  <c r="X209" i="36" s="1"/>
  <c r="L209" i="36"/>
  <c r="AL208" i="36"/>
  <c r="AM208" i="36" s="1"/>
  <c r="AG208" i="36"/>
  <c r="AH208" i="36" s="1"/>
  <c r="AB208" i="36"/>
  <c r="AC208" i="36" s="1"/>
  <c r="W208" i="36"/>
  <c r="V208" i="36"/>
  <c r="X208" i="36" s="1"/>
  <c r="L208" i="36"/>
  <c r="AL207" i="36"/>
  <c r="AM207" i="36" s="1"/>
  <c r="AG207" i="36"/>
  <c r="AH207" i="36" s="1"/>
  <c r="AB207" i="36"/>
  <c r="AC207" i="36" s="1"/>
  <c r="W207" i="36"/>
  <c r="V207" i="36"/>
  <c r="X207" i="36" s="1"/>
  <c r="L207" i="36"/>
  <c r="AL206" i="36"/>
  <c r="AM206" i="36" s="1"/>
  <c r="AG206" i="36"/>
  <c r="AH206" i="36" s="1"/>
  <c r="AB206" i="36"/>
  <c r="AC206" i="36" s="1"/>
  <c r="W206" i="36"/>
  <c r="V206" i="36"/>
  <c r="X206" i="36" s="1"/>
  <c r="L206" i="36"/>
  <c r="AL205" i="36"/>
  <c r="AM205" i="36" s="1"/>
  <c r="AG205" i="36"/>
  <c r="AH205" i="36" s="1"/>
  <c r="AB205" i="36"/>
  <c r="AC205" i="36" s="1"/>
  <c r="W205" i="36"/>
  <c r="V205" i="36"/>
  <c r="X205" i="36" s="1"/>
  <c r="L205" i="36"/>
  <c r="AL204" i="36"/>
  <c r="AM204" i="36" s="1"/>
  <c r="AG204" i="36"/>
  <c r="AH204" i="36" s="1"/>
  <c r="AB204" i="36"/>
  <c r="AC204" i="36" s="1"/>
  <c r="W204" i="36"/>
  <c r="V204" i="36"/>
  <c r="X204" i="36" s="1"/>
  <c r="L204" i="36"/>
  <c r="AL203" i="36"/>
  <c r="AM203" i="36" s="1"/>
  <c r="AG203" i="36"/>
  <c r="AH203" i="36" s="1"/>
  <c r="AB203" i="36"/>
  <c r="AC203" i="36" s="1"/>
  <c r="W203" i="36"/>
  <c r="V203" i="36"/>
  <c r="X203" i="36" s="1"/>
  <c r="L203" i="36"/>
  <c r="AL202" i="36"/>
  <c r="AM202" i="36" s="1"/>
  <c r="AG202" i="36"/>
  <c r="AH202" i="36" s="1"/>
  <c r="AB202" i="36"/>
  <c r="AC202" i="36" s="1"/>
  <c r="W202" i="36"/>
  <c r="V202" i="36"/>
  <c r="X202" i="36" s="1"/>
  <c r="L202" i="36"/>
  <c r="AL201" i="36"/>
  <c r="AM201" i="36" s="1"/>
  <c r="AG201" i="36"/>
  <c r="AH201" i="36" s="1"/>
  <c r="AB201" i="36"/>
  <c r="AC201" i="36" s="1"/>
  <c r="W201" i="36"/>
  <c r="V201" i="36"/>
  <c r="X201" i="36" s="1"/>
  <c r="L201" i="36"/>
  <c r="AL200" i="36"/>
  <c r="AM200" i="36" s="1"/>
  <c r="AG200" i="36"/>
  <c r="AH200" i="36" s="1"/>
  <c r="AB200" i="36"/>
  <c r="AC200" i="36" s="1"/>
  <c r="W200" i="36"/>
  <c r="V200" i="36"/>
  <c r="X200" i="36" s="1"/>
  <c r="L200" i="36"/>
  <c r="AL199" i="36"/>
  <c r="AM199" i="36" s="1"/>
  <c r="AG199" i="36"/>
  <c r="AH199" i="36" s="1"/>
  <c r="AB199" i="36"/>
  <c r="AC199" i="36" s="1"/>
  <c r="W199" i="36"/>
  <c r="V199" i="36"/>
  <c r="X199" i="36" s="1"/>
  <c r="L199" i="36"/>
  <c r="AL198" i="36"/>
  <c r="AM198" i="36" s="1"/>
  <c r="AG198" i="36"/>
  <c r="AH198" i="36" s="1"/>
  <c r="AB198" i="36"/>
  <c r="AC198" i="36" s="1"/>
  <c r="W198" i="36"/>
  <c r="V198" i="36"/>
  <c r="X198" i="36" s="1"/>
  <c r="L198" i="36"/>
  <c r="AL197" i="36"/>
  <c r="AM197" i="36" s="1"/>
  <c r="AG197" i="36"/>
  <c r="AH197" i="36" s="1"/>
  <c r="AB197" i="36"/>
  <c r="AC197" i="36" s="1"/>
  <c r="W197" i="36"/>
  <c r="V197" i="36"/>
  <c r="X197" i="36" s="1"/>
  <c r="L197" i="36"/>
  <c r="AL196" i="36"/>
  <c r="AM196" i="36" s="1"/>
  <c r="AG196" i="36"/>
  <c r="AH196" i="36" s="1"/>
  <c r="AB196" i="36"/>
  <c r="AC196" i="36" s="1"/>
  <c r="W196" i="36"/>
  <c r="V196" i="36"/>
  <c r="X196" i="36" s="1"/>
  <c r="L196" i="36"/>
  <c r="AL195" i="36"/>
  <c r="AM195" i="36" s="1"/>
  <c r="AG195" i="36"/>
  <c r="AH195" i="36" s="1"/>
  <c r="AB195" i="36"/>
  <c r="AC195" i="36" s="1"/>
  <c r="W195" i="36"/>
  <c r="V195" i="36"/>
  <c r="X195" i="36" s="1"/>
  <c r="L195" i="36"/>
  <c r="AL194" i="36"/>
  <c r="AM194" i="36" s="1"/>
  <c r="AG194" i="36"/>
  <c r="AH194" i="36" s="1"/>
  <c r="AB194" i="36"/>
  <c r="AC194" i="36" s="1"/>
  <c r="W194" i="36"/>
  <c r="V194" i="36"/>
  <c r="X194" i="36" s="1"/>
  <c r="L194" i="36"/>
  <c r="AL193" i="36"/>
  <c r="AM193" i="36" s="1"/>
  <c r="AG193" i="36"/>
  <c r="AH193" i="36" s="1"/>
  <c r="AB193" i="36"/>
  <c r="AC193" i="36" s="1"/>
  <c r="W193" i="36"/>
  <c r="V193" i="36"/>
  <c r="X193" i="36" s="1"/>
  <c r="L193" i="36"/>
  <c r="AL192" i="36"/>
  <c r="AM192" i="36" s="1"/>
  <c r="AG192" i="36"/>
  <c r="AH192" i="36" s="1"/>
  <c r="AB192" i="36"/>
  <c r="AC192" i="36" s="1"/>
  <c r="W192" i="36"/>
  <c r="V192" i="36"/>
  <c r="X192" i="36" s="1"/>
  <c r="L192" i="36"/>
  <c r="AL191" i="36"/>
  <c r="AM191" i="36" s="1"/>
  <c r="AG191" i="36"/>
  <c r="AH191" i="36" s="1"/>
  <c r="AB191" i="36"/>
  <c r="AC191" i="36" s="1"/>
  <c r="W191" i="36"/>
  <c r="V191" i="36"/>
  <c r="X191" i="36" s="1"/>
  <c r="L191" i="36"/>
  <c r="AL190" i="36"/>
  <c r="AM190" i="36" s="1"/>
  <c r="AG190" i="36"/>
  <c r="AH190" i="36" s="1"/>
  <c r="AB190" i="36"/>
  <c r="AC190" i="36" s="1"/>
  <c r="W190" i="36"/>
  <c r="V190" i="36"/>
  <c r="X190" i="36" s="1"/>
  <c r="L190" i="36"/>
  <c r="AL189" i="36"/>
  <c r="AM189" i="36" s="1"/>
  <c r="AG189" i="36"/>
  <c r="AH189" i="36" s="1"/>
  <c r="AB189" i="36"/>
  <c r="AC189" i="36" s="1"/>
  <c r="W189" i="36"/>
  <c r="V189" i="36"/>
  <c r="X189" i="36" s="1"/>
  <c r="L189" i="36"/>
  <c r="AL188" i="36"/>
  <c r="AM188" i="36" s="1"/>
  <c r="AG188" i="36"/>
  <c r="AH188" i="36" s="1"/>
  <c r="AB188" i="36"/>
  <c r="AC188" i="36" s="1"/>
  <c r="W188" i="36"/>
  <c r="V188" i="36"/>
  <c r="X188" i="36" s="1"/>
  <c r="L188" i="36"/>
  <c r="AL187" i="36"/>
  <c r="AM187" i="36" s="1"/>
  <c r="AG187" i="36"/>
  <c r="AH187" i="36" s="1"/>
  <c r="AB187" i="36"/>
  <c r="AC187" i="36" s="1"/>
  <c r="W187" i="36"/>
  <c r="V187" i="36"/>
  <c r="X187" i="36" s="1"/>
  <c r="L187" i="36"/>
  <c r="AL186" i="36"/>
  <c r="AM186" i="36" s="1"/>
  <c r="AG186" i="36"/>
  <c r="AH186" i="36" s="1"/>
  <c r="AB186" i="36"/>
  <c r="AC186" i="36" s="1"/>
  <c r="W186" i="36"/>
  <c r="V186" i="36"/>
  <c r="X186" i="36" s="1"/>
  <c r="L186" i="36"/>
  <c r="AL185" i="36"/>
  <c r="AM185" i="36" s="1"/>
  <c r="AG185" i="36"/>
  <c r="AH185" i="36" s="1"/>
  <c r="AB185" i="36"/>
  <c r="AC185" i="36" s="1"/>
  <c r="W185" i="36"/>
  <c r="V185" i="36"/>
  <c r="X185" i="36" s="1"/>
  <c r="L185" i="36"/>
  <c r="AL184" i="36"/>
  <c r="AM184" i="36" s="1"/>
  <c r="AG184" i="36"/>
  <c r="AH184" i="36" s="1"/>
  <c r="AB184" i="36"/>
  <c r="AC184" i="36" s="1"/>
  <c r="W184" i="36"/>
  <c r="V184" i="36"/>
  <c r="X184" i="36" s="1"/>
  <c r="L184" i="36"/>
  <c r="AL183" i="36"/>
  <c r="AM183" i="36" s="1"/>
  <c r="AG183" i="36"/>
  <c r="AH183" i="36" s="1"/>
  <c r="AB183" i="36"/>
  <c r="AC183" i="36" s="1"/>
  <c r="W183" i="36"/>
  <c r="V183" i="36"/>
  <c r="X183" i="36" s="1"/>
  <c r="L183" i="36"/>
  <c r="AL182" i="36"/>
  <c r="AM182" i="36" s="1"/>
  <c r="AG182" i="36"/>
  <c r="AH182" i="36" s="1"/>
  <c r="AB182" i="36"/>
  <c r="AC182" i="36" s="1"/>
  <c r="W182" i="36"/>
  <c r="V182" i="36"/>
  <c r="X182" i="36" s="1"/>
  <c r="L182" i="36"/>
  <c r="AL181" i="36"/>
  <c r="AM181" i="36" s="1"/>
  <c r="AG181" i="36"/>
  <c r="AH181" i="36" s="1"/>
  <c r="AB181" i="36"/>
  <c r="AC181" i="36" s="1"/>
  <c r="W181" i="36"/>
  <c r="V181" i="36"/>
  <c r="X181" i="36" s="1"/>
  <c r="L181" i="36"/>
  <c r="AL180" i="36"/>
  <c r="AM180" i="36" s="1"/>
  <c r="AG180" i="36"/>
  <c r="AH180" i="36" s="1"/>
  <c r="AB180" i="36"/>
  <c r="AC180" i="36" s="1"/>
  <c r="W180" i="36"/>
  <c r="V180" i="36"/>
  <c r="X180" i="36" s="1"/>
  <c r="L180" i="36"/>
  <c r="AL179" i="36"/>
  <c r="AM179" i="36" s="1"/>
  <c r="AG179" i="36"/>
  <c r="AH179" i="36" s="1"/>
  <c r="AB179" i="36"/>
  <c r="AC179" i="36" s="1"/>
  <c r="W179" i="36"/>
  <c r="V179" i="36"/>
  <c r="X179" i="36" s="1"/>
  <c r="L179" i="36"/>
  <c r="AL178" i="36"/>
  <c r="AM178" i="36" s="1"/>
  <c r="AG178" i="36"/>
  <c r="AH178" i="36" s="1"/>
  <c r="AB178" i="36"/>
  <c r="AC178" i="36" s="1"/>
  <c r="W178" i="36"/>
  <c r="V178" i="36"/>
  <c r="X178" i="36" s="1"/>
  <c r="L178" i="36"/>
  <c r="AL177" i="36"/>
  <c r="AM177" i="36" s="1"/>
  <c r="AG177" i="36"/>
  <c r="AH177" i="36" s="1"/>
  <c r="AB177" i="36"/>
  <c r="AC177" i="36" s="1"/>
  <c r="W177" i="36"/>
  <c r="V177" i="36"/>
  <c r="X177" i="36" s="1"/>
  <c r="L177" i="36"/>
  <c r="AL176" i="36"/>
  <c r="AM176" i="36" s="1"/>
  <c r="AG176" i="36"/>
  <c r="AH176" i="36" s="1"/>
  <c r="AB176" i="36"/>
  <c r="AC176" i="36" s="1"/>
  <c r="W176" i="36"/>
  <c r="V176" i="36"/>
  <c r="X176" i="36" s="1"/>
  <c r="L176" i="36"/>
  <c r="AL175" i="36"/>
  <c r="AM175" i="36" s="1"/>
  <c r="AG175" i="36"/>
  <c r="AH175" i="36" s="1"/>
  <c r="AB175" i="36"/>
  <c r="AC175" i="36" s="1"/>
  <c r="W175" i="36"/>
  <c r="V175" i="36"/>
  <c r="X175" i="36" s="1"/>
  <c r="L175" i="36"/>
  <c r="AL174" i="36"/>
  <c r="AM174" i="36" s="1"/>
  <c r="AG174" i="36"/>
  <c r="AH174" i="36" s="1"/>
  <c r="AB174" i="36"/>
  <c r="AC174" i="36" s="1"/>
  <c r="W174" i="36"/>
  <c r="V174" i="36"/>
  <c r="X174" i="36" s="1"/>
  <c r="L174" i="36"/>
  <c r="AL173" i="36"/>
  <c r="AM173" i="36" s="1"/>
  <c r="AG173" i="36"/>
  <c r="AH173" i="36" s="1"/>
  <c r="AB173" i="36"/>
  <c r="AC173" i="36" s="1"/>
  <c r="W173" i="36"/>
  <c r="V173" i="36"/>
  <c r="X173" i="36" s="1"/>
  <c r="L173" i="36"/>
  <c r="AL172" i="36"/>
  <c r="AM172" i="36" s="1"/>
  <c r="AG172" i="36"/>
  <c r="AH172" i="36" s="1"/>
  <c r="AB172" i="36"/>
  <c r="AC172" i="36" s="1"/>
  <c r="W172" i="36"/>
  <c r="V172" i="36"/>
  <c r="X172" i="36" s="1"/>
  <c r="L172" i="36"/>
  <c r="AL171" i="36"/>
  <c r="AM171" i="36" s="1"/>
  <c r="AG171" i="36"/>
  <c r="AH171" i="36" s="1"/>
  <c r="AB171" i="36"/>
  <c r="AC171" i="36" s="1"/>
  <c r="W171" i="36"/>
  <c r="V171" i="36"/>
  <c r="X171" i="36" s="1"/>
  <c r="L171" i="36"/>
  <c r="AL170" i="36"/>
  <c r="AM170" i="36" s="1"/>
  <c r="AG170" i="36"/>
  <c r="AH170" i="36" s="1"/>
  <c r="AB170" i="36"/>
  <c r="AC170" i="36" s="1"/>
  <c r="W170" i="36"/>
  <c r="V170" i="36"/>
  <c r="X170" i="36" s="1"/>
  <c r="L170" i="36"/>
  <c r="AL169" i="36"/>
  <c r="AM169" i="36" s="1"/>
  <c r="AG169" i="36"/>
  <c r="AH169" i="36" s="1"/>
  <c r="AB169" i="36"/>
  <c r="AC169" i="36" s="1"/>
  <c r="W169" i="36"/>
  <c r="V169" i="36"/>
  <c r="X169" i="36" s="1"/>
  <c r="L169" i="36"/>
  <c r="AL168" i="36"/>
  <c r="AM168" i="36" s="1"/>
  <c r="AG168" i="36"/>
  <c r="AH168" i="36" s="1"/>
  <c r="AB168" i="36"/>
  <c r="AC168" i="36" s="1"/>
  <c r="W168" i="36"/>
  <c r="V168" i="36"/>
  <c r="X168" i="36" s="1"/>
  <c r="L168" i="36"/>
  <c r="AL167" i="36"/>
  <c r="AM167" i="36" s="1"/>
  <c r="AG167" i="36"/>
  <c r="AH167" i="36" s="1"/>
  <c r="AB167" i="36"/>
  <c r="AC167" i="36" s="1"/>
  <c r="W167" i="36"/>
  <c r="V167" i="36"/>
  <c r="X167" i="36" s="1"/>
  <c r="L167" i="36"/>
  <c r="AL166" i="36"/>
  <c r="AM166" i="36" s="1"/>
  <c r="AG166" i="36"/>
  <c r="AH166" i="36" s="1"/>
  <c r="AB166" i="36"/>
  <c r="AC166" i="36" s="1"/>
  <c r="W166" i="36"/>
  <c r="V166" i="36"/>
  <c r="X166" i="36" s="1"/>
  <c r="L166" i="36"/>
  <c r="AL165" i="36"/>
  <c r="AM165" i="36" s="1"/>
  <c r="AG165" i="36"/>
  <c r="AH165" i="36" s="1"/>
  <c r="AB165" i="36"/>
  <c r="AC165" i="36" s="1"/>
  <c r="W165" i="36"/>
  <c r="V165" i="36"/>
  <c r="X165" i="36" s="1"/>
  <c r="L165" i="36"/>
  <c r="AL164" i="36"/>
  <c r="AM164" i="36" s="1"/>
  <c r="AG164" i="36"/>
  <c r="AH164" i="36" s="1"/>
  <c r="AB164" i="36"/>
  <c r="AC164" i="36" s="1"/>
  <c r="W164" i="36"/>
  <c r="V164" i="36"/>
  <c r="X164" i="36" s="1"/>
  <c r="L164" i="36"/>
  <c r="AL163" i="36"/>
  <c r="AM163" i="36" s="1"/>
  <c r="AG163" i="36"/>
  <c r="AH163" i="36" s="1"/>
  <c r="AB163" i="36"/>
  <c r="AC163" i="36" s="1"/>
  <c r="W163" i="36"/>
  <c r="V163" i="36"/>
  <c r="X163" i="36" s="1"/>
  <c r="L163" i="36"/>
  <c r="AL162" i="36"/>
  <c r="AM162" i="36" s="1"/>
  <c r="AG162" i="36"/>
  <c r="AH162" i="36" s="1"/>
  <c r="AB162" i="36"/>
  <c r="AC162" i="36" s="1"/>
  <c r="W162" i="36"/>
  <c r="V162" i="36"/>
  <c r="X162" i="36" s="1"/>
  <c r="L162" i="36"/>
  <c r="AL161" i="36"/>
  <c r="AM161" i="36" s="1"/>
  <c r="AG161" i="36"/>
  <c r="AH161" i="36" s="1"/>
  <c r="AB161" i="36"/>
  <c r="AC161" i="36" s="1"/>
  <c r="W161" i="36"/>
  <c r="V161" i="36"/>
  <c r="X161" i="36" s="1"/>
  <c r="L161" i="36"/>
  <c r="AL160" i="36"/>
  <c r="AM160" i="36" s="1"/>
  <c r="AG160" i="36"/>
  <c r="AH160" i="36" s="1"/>
  <c r="AB160" i="36"/>
  <c r="AC160" i="36" s="1"/>
  <c r="W160" i="36"/>
  <c r="V160" i="36"/>
  <c r="X160" i="36" s="1"/>
  <c r="L160" i="36"/>
  <c r="AL159" i="36"/>
  <c r="AM159" i="36" s="1"/>
  <c r="AG159" i="36"/>
  <c r="AH159" i="36" s="1"/>
  <c r="AB159" i="36"/>
  <c r="AC159" i="36" s="1"/>
  <c r="W159" i="36"/>
  <c r="V159" i="36"/>
  <c r="X159" i="36" s="1"/>
  <c r="L159" i="36"/>
  <c r="AL158" i="36"/>
  <c r="AM158" i="36" s="1"/>
  <c r="AG158" i="36"/>
  <c r="AH158" i="36" s="1"/>
  <c r="AB158" i="36"/>
  <c r="AC158" i="36" s="1"/>
  <c r="W158" i="36"/>
  <c r="V158" i="36"/>
  <c r="X158" i="36" s="1"/>
  <c r="L158" i="36"/>
  <c r="AL157" i="36"/>
  <c r="AM157" i="36" s="1"/>
  <c r="AG157" i="36"/>
  <c r="AH157" i="36" s="1"/>
  <c r="AB157" i="36"/>
  <c r="AC157" i="36" s="1"/>
  <c r="W157" i="36"/>
  <c r="V157" i="36"/>
  <c r="X157" i="36" s="1"/>
  <c r="L157" i="36"/>
  <c r="AL156" i="36"/>
  <c r="AM156" i="36" s="1"/>
  <c r="AG156" i="36"/>
  <c r="AH156" i="36" s="1"/>
  <c r="AB156" i="36"/>
  <c r="AC156" i="36" s="1"/>
  <c r="W156" i="36"/>
  <c r="V156" i="36"/>
  <c r="X156" i="36" s="1"/>
  <c r="L156" i="36"/>
  <c r="AL155" i="36"/>
  <c r="AM155" i="36" s="1"/>
  <c r="AG155" i="36"/>
  <c r="AH155" i="36" s="1"/>
  <c r="AB155" i="36"/>
  <c r="AC155" i="36" s="1"/>
  <c r="W155" i="36"/>
  <c r="V155" i="36"/>
  <c r="X155" i="36" s="1"/>
  <c r="L155" i="36"/>
  <c r="AL154" i="36"/>
  <c r="AM154" i="36" s="1"/>
  <c r="AG154" i="36"/>
  <c r="AH154" i="36" s="1"/>
  <c r="AB154" i="36"/>
  <c r="AC154" i="36" s="1"/>
  <c r="W154" i="36"/>
  <c r="V154" i="36"/>
  <c r="X154" i="36" s="1"/>
  <c r="L154" i="36"/>
  <c r="AL153" i="36"/>
  <c r="AM153" i="36" s="1"/>
  <c r="AG153" i="36"/>
  <c r="AH153" i="36" s="1"/>
  <c r="AB153" i="36"/>
  <c r="AC153" i="36" s="1"/>
  <c r="W153" i="36"/>
  <c r="V153" i="36"/>
  <c r="X153" i="36" s="1"/>
  <c r="L153" i="36"/>
  <c r="AL152" i="36"/>
  <c r="AM152" i="36" s="1"/>
  <c r="AG152" i="36"/>
  <c r="AH152" i="36" s="1"/>
  <c r="AB152" i="36"/>
  <c r="AC152" i="36" s="1"/>
  <c r="W152" i="36"/>
  <c r="V152" i="36"/>
  <c r="X152" i="36" s="1"/>
  <c r="L152" i="36"/>
  <c r="AL151" i="36"/>
  <c r="AM151" i="36" s="1"/>
  <c r="AG151" i="36"/>
  <c r="AH151" i="36" s="1"/>
  <c r="AB151" i="36"/>
  <c r="AC151" i="36" s="1"/>
  <c r="W151" i="36"/>
  <c r="V151" i="36"/>
  <c r="X151" i="36" s="1"/>
  <c r="L151" i="36"/>
  <c r="AL150" i="36"/>
  <c r="AM150" i="36" s="1"/>
  <c r="AG150" i="36"/>
  <c r="AH150" i="36" s="1"/>
  <c r="AB150" i="36"/>
  <c r="AC150" i="36" s="1"/>
  <c r="W150" i="36"/>
  <c r="V150" i="36"/>
  <c r="X150" i="36" s="1"/>
  <c r="L150" i="36"/>
  <c r="AL149" i="36"/>
  <c r="AM149" i="36" s="1"/>
  <c r="AG149" i="36"/>
  <c r="AH149" i="36" s="1"/>
  <c r="AB149" i="36"/>
  <c r="AC149" i="36" s="1"/>
  <c r="W149" i="36"/>
  <c r="V149" i="36"/>
  <c r="X149" i="36" s="1"/>
  <c r="L149" i="36"/>
  <c r="AL148" i="36"/>
  <c r="AM148" i="36" s="1"/>
  <c r="AG148" i="36"/>
  <c r="AH148" i="36" s="1"/>
  <c r="AB148" i="36"/>
  <c r="AC148" i="36" s="1"/>
  <c r="W148" i="36"/>
  <c r="V148" i="36"/>
  <c r="X148" i="36" s="1"/>
  <c r="L148" i="36"/>
  <c r="AL147" i="36"/>
  <c r="AM147" i="36" s="1"/>
  <c r="AG147" i="36"/>
  <c r="AH147" i="36" s="1"/>
  <c r="AB147" i="36"/>
  <c r="AC147" i="36" s="1"/>
  <c r="W147" i="36"/>
  <c r="V147" i="36"/>
  <c r="X147" i="36" s="1"/>
  <c r="L147" i="36"/>
  <c r="AL146" i="36"/>
  <c r="AM146" i="36" s="1"/>
  <c r="AG146" i="36"/>
  <c r="AH146" i="36" s="1"/>
  <c r="AB146" i="36"/>
  <c r="AC146" i="36" s="1"/>
  <c r="W146" i="36"/>
  <c r="V146" i="36"/>
  <c r="X146" i="36" s="1"/>
  <c r="L146" i="36"/>
  <c r="AL145" i="36"/>
  <c r="AM145" i="36" s="1"/>
  <c r="AG145" i="36"/>
  <c r="AH145" i="36" s="1"/>
  <c r="AB145" i="36"/>
  <c r="AC145" i="36" s="1"/>
  <c r="W145" i="36"/>
  <c r="V145" i="36"/>
  <c r="X145" i="36" s="1"/>
  <c r="L145" i="36"/>
  <c r="AL144" i="36"/>
  <c r="AM144" i="36" s="1"/>
  <c r="AG144" i="36"/>
  <c r="AH144" i="36" s="1"/>
  <c r="AB144" i="36"/>
  <c r="AC144" i="36" s="1"/>
  <c r="W144" i="36"/>
  <c r="V144" i="36"/>
  <c r="X144" i="36" s="1"/>
  <c r="L144" i="36"/>
  <c r="AL143" i="36"/>
  <c r="AM143" i="36" s="1"/>
  <c r="AG143" i="36"/>
  <c r="AH143" i="36" s="1"/>
  <c r="AB143" i="36"/>
  <c r="AC143" i="36" s="1"/>
  <c r="W143" i="36"/>
  <c r="V143" i="36"/>
  <c r="X143" i="36" s="1"/>
  <c r="L143" i="36"/>
  <c r="AL142" i="36"/>
  <c r="AM142" i="36" s="1"/>
  <c r="AG142" i="36"/>
  <c r="AH142" i="36" s="1"/>
  <c r="AB142" i="36"/>
  <c r="AC142" i="36" s="1"/>
  <c r="W142" i="36"/>
  <c r="V142" i="36"/>
  <c r="X142" i="36" s="1"/>
  <c r="L142" i="36"/>
  <c r="AL141" i="36"/>
  <c r="AM141" i="36" s="1"/>
  <c r="AG141" i="36"/>
  <c r="AH141" i="36" s="1"/>
  <c r="AB141" i="36"/>
  <c r="AC141" i="36" s="1"/>
  <c r="W141" i="36"/>
  <c r="V141" i="36"/>
  <c r="X141" i="36" s="1"/>
  <c r="L141" i="36"/>
  <c r="AL140" i="36"/>
  <c r="AM140" i="36" s="1"/>
  <c r="AG140" i="36"/>
  <c r="AH140" i="36" s="1"/>
  <c r="AB140" i="36"/>
  <c r="AC140" i="36" s="1"/>
  <c r="W140" i="36"/>
  <c r="V140" i="36"/>
  <c r="X140" i="36" s="1"/>
  <c r="L140" i="36"/>
  <c r="AL139" i="36"/>
  <c r="AM139" i="36" s="1"/>
  <c r="AG139" i="36"/>
  <c r="AH139" i="36" s="1"/>
  <c r="AB139" i="36"/>
  <c r="AC139" i="36" s="1"/>
  <c r="W139" i="36"/>
  <c r="V139" i="36"/>
  <c r="X139" i="36" s="1"/>
  <c r="L139" i="36"/>
  <c r="AL138" i="36"/>
  <c r="AM138" i="36" s="1"/>
  <c r="AG138" i="36"/>
  <c r="AH138" i="36" s="1"/>
  <c r="AB138" i="36"/>
  <c r="AC138" i="36" s="1"/>
  <c r="W138" i="36"/>
  <c r="V138" i="36"/>
  <c r="X138" i="36" s="1"/>
  <c r="L138" i="36"/>
  <c r="AL137" i="36"/>
  <c r="AM137" i="36" s="1"/>
  <c r="AG137" i="36"/>
  <c r="AH137" i="36" s="1"/>
  <c r="AB137" i="36"/>
  <c r="AC137" i="36" s="1"/>
  <c r="W137" i="36"/>
  <c r="V137" i="36"/>
  <c r="X137" i="36" s="1"/>
  <c r="L137" i="36"/>
  <c r="AL136" i="36"/>
  <c r="AM136" i="36" s="1"/>
  <c r="AG136" i="36"/>
  <c r="AH136" i="36" s="1"/>
  <c r="AB136" i="36"/>
  <c r="AC136" i="36" s="1"/>
  <c r="W136" i="36"/>
  <c r="V136" i="36"/>
  <c r="X136" i="36" s="1"/>
  <c r="L136" i="36"/>
  <c r="AL135" i="36"/>
  <c r="AM135" i="36" s="1"/>
  <c r="AG135" i="36"/>
  <c r="AH135" i="36" s="1"/>
  <c r="AB135" i="36"/>
  <c r="AC135" i="36" s="1"/>
  <c r="W135" i="36"/>
  <c r="V135" i="36"/>
  <c r="X135" i="36" s="1"/>
  <c r="L135" i="36"/>
  <c r="AL134" i="36"/>
  <c r="AM134" i="36" s="1"/>
  <c r="AG134" i="36"/>
  <c r="AH134" i="36" s="1"/>
  <c r="AB134" i="36"/>
  <c r="AC134" i="36" s="1"/>
  <c r="W134" i="36"/>
  <c r="V134" i="36"/>
  <c r="X134" i="36" s="1"/>
  <c r="L134" i="36"/>
  <c r="AL133" i="36"/>
  <c r="AM133" i="36" s="1"/>
  <c r="AG133" i="36"/>
  <c r="AH133" i="36" s="1"/>
  <c r="AB133" i="36"/>
  <c r="AC133" i="36" s="1"/>
  <c r="W133" i="36"/>
  <c r="V133" i="36"/>
  <c r="X133" i="36" s="1"/>
  <c r="L133" i="36"/>
  <c r="AL132" i="36"/>
  <c r="AM132" i="36" s="1"/>
  <c r="AG132" i="36"/>
  <c r="AH132" i="36" s="1"/>
  <c r="AB132" i="36"/>
  <c r="AC132" i="36" s="1"/>
  <c r="W132" i="36"/>
  <c r="V132" i="36"/>
  <c r="X132" i="36" s="1"/>
  <c r="L132" i="36"/>
  <c r="AL131" i="36"/>
  <c r="AM131" i="36" s="1"/>
  <c r="AG131" i="36"/>
  <c r="AH131" i="36" s="1"/>
  <c r="AB131" i="36"/>
  <c r="AC131" i="36" s="1"/>
  <c r="W131" i="36"/>
  <c r="V131" i="36"/>
  <c r="X131" i="36" s="1"/>
  <c r="L131" i="36"/>
  <c r="AL130" i="36"/>
  <c r="AM130" i="36" s="1"/>
  <c r="AG130" i="36"/>
  <c r="AH130" i="36" s="1"/>
  <c r="AB130" i="36"/>
  <c r="AC130" i="36" s="1"/>
  <c r="W130" i="36"/>
  <c r="V130" i="36"/>
  <c r="X130" i="36" s="1"/>
  <c r="L130" i="36"/>
  <c r="AL129" i="36"/>
  <c r="AM129" i="36" s="1"/>
  <c r="AG129" i="36"/>
  <c r="AH129" i="36" s="1"/>
  <c r="AB129" i="36"/>
  <c r="AC129" i="36" s="1"/>
  <c r="W129" i="36"/>
  <c r="V129" i="36"/>
  <c r="X129" i="36" s="1"/>
  <c r="L129" i="36"/>
  <c r="AL128" i="36"/>
  <c r="AM128" i="36" s="1"/>
  <c r="AG128" i="36"/>
  <c r="AH128" i="36" s="1"/>
  <c r="AB128" i="36"/>
  <c r="AC128" i="36" s="1"/>
  <c r="W128" i="36"/>
  <c r="V128" i="36"/>
  <c r="X128" i="36" s="1"/>
  <c r="L128" i="36"/>
  <c r="AL127" i="36"/>
  <c r="AM127" i="36" s="1"/>
  <c r="AG127" i="36"/>
  <c r="AH127" i="36" s="1"/>
  <c r="AB127" i="36"/>
  <c r="AC127" i="36" s="1"/>
  <c r="W127" i="36"/>
  <c r="V127" i="36"/>
  <c r="X127" i="36" s="1"/>
  <c r="L127" i="36"/>
  <c r="AL126" i="36"/>
  <c r="AM126" i="36" s="1"/>
  <c r="AG126" i="36"/>
  <c r="AH126" i="36" s="1"/>
  <c r="AB126" i="36"/>
  <c r="AC126" i="36" s="1"/>
  <c r="W126" i="36"/>
  <c r="V126" i="36"/>
  <c r="X126" i="36" s="1"/>
  <c r="L126" i="36"/>
  <c r="AL125" i="36"/>
  <c r="AM125" i="36" s="1"/>
  <c r="AG125" i="36"/>
  <c r="AH125" i="36" s="1"/>
  <c r="AB125" i="36"/>
  <c r="AC125" i="36" s="1"/>
  <c r="W125" i="36"/>
  <c r="V125" i="36"/>
  <c r="X125" i="36" s="1"/>
  <c r="L125" i="36"/>
  <c r="AL124" i="36"/>
  <c r="AM124" i="36" s="1"/>
  <c r="AG124" i="36"/>
  <c r="AH124" i="36" s="1"/>
  <c r="AB124" i="36"/>
  <c r="AC124" i="36" s="1"/>
  <c r="W124" i="36"/>
  <c r="V124" i="36"/>
  <c r="X124" i="36" s="1"/>
  <c r="L124" i="36"/>
  <c r="AL123" i="36"/>
  <c r="AM123" i="36" s="1"/>
  <c r="AG123" i="36"/>
  <c r="AH123" i="36" s="1"/>
  <c r="AB123" i="36"/>
  <c r="AC123" i="36" s="1"/>
  <c r="W123" i="36"/>
  <c r="V123" i="36"/>
  <c r="X123" i="36" s="1"/>
  <c r="L123" i="36"/>
  <c r="AL122" i="36"/>
  <c r="AM122" i="36" s="1"/>
  <c r="AG122" i="36"/>
  <c r="AH122" i="36" s="1"/>
  <c r="AB122" i="36"/>
  <c r="AC122" i="36" s="1"/>
  <c r="W122" i="36"/>
  <c r="V122" i="36"/>
  <c r="X122" i="36" s="1"/>
  <c r="L122" i="36"/>
  <c r="AL121" i="36"/>
  <c r="AM121" i="36" s="1"/>
  <c r="AG121" i="36"/>
  <c r="AH121" i="36" s="1"/>
  <c r="AB121" i="36"/>
  <c r="AC121" i="36" s="1"/>
  <c r="W121" i="36"/>
  <c r="V121" i="36"/>
  <c r="X121" i="36" s="1"/>
  <c r="L121" i="36"/>
  <c r="AL120" i="36"/>
  <c r="AM120" i="36" s="1"/>
  <c r="AG120" i="36"/>
  <c r="AH120" i="36" s="1"/>
  <c r="AB120" i="36"/>
  <c r="AC120" i="36" s="1"/>
  <c r="W120" i="36"/>
  <c r="V120" i="36"/>
  <c r="X120" i="36" s="1"/>
  <c r="L120" i="36"/>
  <c r="AL119" i="36"/>
  <c r="AM119" i="36" s="1"/>
  <c r="AG119" i="36"/>
  <c r="AH119" i="36" s="1"/>
  <c r="AB119" i="36"/>
  <c r="AC119" i="36" s="1"/>
  <c r="W119" i="36"/>
  <c r="V119" i="36"/>
  <c r="X119" i="36" s="1"/>
  <c r="L119" i="36"/>
  <c r="AL118" i="36"/>
  <c r="AM118" i="36" s="1"/>
  <c r="AG118" i="36"/>
  <c r="AH118" i="36" s="1"/>
  <c r="AB118" i="36"/>
  <c r="AC118" i="36" s="1"/>
  <c r="W118" i="36"/>
  <c r="V118" i="36"/>
  <c r="X118" i="36" s="1"/>
  <c r="L118" i="36"/>
  <c r="AL117" i="36"/>
  <c r="AM117" i="36" s="1"/>
  <c r="AG117" i="36"/>
  <c r="AH117" i="36" s="1"/>
  <c r="AB117" i="36"/>
  <c r="AC117" i="36" s="1"/>
  <c r="W117" i="36"/>
  <c r="V117" i="36"/>
  <c r="X117" i="36" s="1"/>
  <c r="L117" i="36"/>
  <c r="AL116" i="36"/>
  <c r="AM116" i="36" s="1"/>
  <c r="AG116" i="36"/>
  <c r="AH116" i="36" s="1"/>
  <c r="AB116" i="36"/>
  <c r="AC116" i="36" s="1"/>
  <c r="W116" i="36"/>
  <c r="V116" i="36"/>
  <c r="X116" i="36" s="1"/>
  <c r="L116" i="36"/>
  <c r="AL115" i="36"/>
  <c r="AM115" i="36" s="1"/>
  <c r="AG115" i="36"/>
  <c r="AH115" i="36" s="1"/>
  <c r="AB115" i="36"/>
  <c r="AC115" i="36" s="1"/>
  <c r="W115" i="36"/>
  <c r="V115" i="36"/>
  <c r="X115" i="36" s="1"/>
  <c r="L115" i="36"/>
  <c r="AL114" i="36"/>
  <c r="AM114" i="36" s="1"/>
  <c r="AG114" i="36"/>
  <c r="AH114" i="36" s="1"/>
  <c r="AB114" i="36"/>
  <c r="AC114" i="36" s="1"/>
  <c r="W114" i="36"/>
  <c r="V114" i="36"/>
  <c r="X114" i="36" s="1"/>
  <c r="L114" i="36"/>
  <c r="AL113" i="36"/>
  <c r="AM113" i="36" s="1"/>
  <c r="AG113" i="36"/>
  <c r="AH113" i="36" s="1"/>
  <c r="AB113" i="36"/>
  <c r="AC113" i="36" s="1"/>
  <c r="W113" i="36"/>
  <c r="V113" i="36"/>
  <c r="X113" i="36" s="1"/>
  <c r="L113" i="36"/>
  <c r="AL112" i="36"/>
  <c r="AM112" i="36" s="1"/>
  <c r="AG112" i="36"/>
  <c r="AH112" i="36" s="1"/>
  <c r="AB112" i="36"/>
  <c r="AC112" i="36" s="1"/>
  <c r="W112" i="36"/>
  <c r="V112" i="36"/>
  <c r="X112" i="36" s="1"/>
  <c r="L112" i="36"/>
  <c r="AL111" i="36"/>
  <c r="AM111" i="36" s="1"/>
  <c r="AG111" i="36"/>
  <c r="AH111" i="36" s="1"/>
  <c r="AB111" i="36"/>
  <c r="AC111" i="36" s="1"/>
  <c r="W111" i="36"/>
  <c r="V111" i="36"/>
  <c r="X111" i="36" s="1"/>
  <c r="L111" i="36"/>
  <c r="AL110" i="36"/>
  <c r="AM110" i="36" s="1"/>
  <c r="AG110" i="36"/>
  <c r="AH110" i="36" s="1"/>
  <c r="AB110" i="36"/>
  <c r="AC110" i="36" s="1"/>
  <c r="W110" i="36"/>
  <c r="V110" i="36"/>
  <c r="X110" i="36" s="1"/>
  <c r="L110" i="36"/>
  <c r="AL109" i="36"/>
  <c r="AM109" i="36" s="1"/>
  <c r="AG109" i="36"/>
  <c r="AH109" i="36" s="1"/>
  <c r="AB109" i="36"/>
  <c r="AC109" i="36" s="1"/>
  <c r="W109" i="36"/>
  <c r="V109" i="36"/>
  <c r="X109" i="36" s="1"/>
  <c r="L109" i="36"/>
  <c r="AL108" i="36"/>
  <c r="AM108" i="36" s="1"/>
  <c r="AG108" i="36"/>
  <c r="AH108" i="36" s="1"/>
  <c r="AB108" i="36"/>
  <c r="AC108" i="36" s="1"/>
  <c r="W108" i="36"/>
  <c r="V108" i="36"/>
  <c r="X108" i="36" s="1"/>
  <c r="L108" i="36"/>
  <c r="AL107" i="36"/>
  <c r="AM107" i="36" s="1"/>
  <c r="AG107" i="36"/>
  <c r="AH107" i="36" s="1"/>
  <c r="AB107" i="36"/>
  <c r="AC107" i="36" s="1"/>
  <c r="W107" i="36"/>
  <c r="V107" i="36"/>
  <c r="X107" i="36" s="1"/>
  <c r="L107" i="36"/>
  <c r="AL106" i="36"/>
  <c r="AM106" i="36" s="1"/>
  <c r="AG106" i="36"/>
  <c r="AH106" i="36" s="1"/>
  <c r="AB106" i="36"/>
  <c r="AC106" i="36" s="1"/>
  <c r="W106" i="36"/>
  <c r="V106" i="36"/>
  <c r="X106" i="36" s="1"/>
  <c r="L106" i="36"/>
  <c r="AL105" i="36"/>
  <c r="AM105" i="36" s="1"/>
  <c r="AG105" i="36"/>
  <c r="AH105" i="36" s="1"/>
  <c r="AB105" i="36"/>
  <c r="AC105" i="36" s="1"/>
  <c r="W105" i="36"/>
  <c r="V105" i="36"/>
  <c r="X105" i="36" s="1"/>
  <c r="L105" i="36"/>
  <c r="AL104" i="36"/>
  <c r="AM104" i="36" s="1"/>
  <c r="AG104" i="36"/>
  <c r="AH104" i="36" s="1"/>
  <c r="AB104" i="36"/>
  <c r="AC104" i="36" s="1"/>
  <c r="W104" i="36"/>
  <c r="V104" i="36"/>
  <c r="X104" i="36" s="1"/>
  <c r="L104" i="36"/>
  <c r="AL103" i="36"/>
  <c r="AM103" i="36" s="1"/>
  <c r="AG103" i="36"/>
  <c r="AH103" i="36" s="1"/>
  <c r="AB103" i="36"/>
  <c r="AC103" i="36" s="1"/>
  <c r="W103" i="36"/>
  <c r="V103" i="36"/>
  <c r="X103" i="36" s="1"/>
  <c r="L103" i="36"/>
  <c r="AL102" i="36"/>
  <c r="AM102" i="36" s="1"/>
  <c r="AG102" i="36"/>
  <c r="AH102" i="36" s="1"/>
  <c r="AB102" i="36"/>
  <c r="AC102" i="36" s="1"/>
  <c r="W102" i="36"/>
  <c r="V102" i="36"/>
  <c r="X102" i="36" s="1"/>
  <c r="L102" i="36"/>
  <c r="AL101" i="36"/>
  <c r="AM101" i="36" s="1"/>
  <c r="AG101" i="36"/>
  <c r="AH101" i="36" s="1"/>
  <c r="AB101" i="36"/>
  <c r="AC101" i="36" s="1"/>
  <c r="W101" i="36"/>
  <c r="V101" i="36"/>
  <c r="X101" i="36" s="1"/>
  <c r="L101" i="36"/>
  <c r="AL100" i="36"/>
  <c r="AM100" i="36" s="1"/>
  <c r="AG100" i="36"/>
  <c r="AH100" i="36" s="1"/>
  <c r="AB100" i="36"/>
  <c r="AC100" i="36" s="1"/>
  <c r="W100" i="36"/>
  <c r="V100" i="36"/>
  <c r="X100" i="36" s="1"/>
  <c r="L100" i="36"/>
  <c r="AL99" i="36"/>
  <c r="AM99" i="36" s="1"/>
  <c r="AG99" i="36"/>
  <c r="AH99" i="36" s="1"/>
  <c r="AB99" i="36"/>
  <c r="AC99" i="36" s="1"/>
  <c r="W99" i="36"/>
  <c r="V99" i="36"/>
  <c r="X99" i="36" s="1"/>
  <c r="L99" i="36"/>
  <c r="AL98" i="36"/>
  <c r="AM98" i="36" s="1"/>
  <c r="AG98" i="36"/>
  <c r="AH98" i="36" s="1"/>
  <c r="AB98" i="36"/>
  <c r="AC98" i="36" s="1"/>
  <c r="W98" i="36"/>
  <c r="V98" i="36"/>
  <c r="X98" i="36" s="1"/>
  <c r="L98" i="36"/>
  <c r="AL97" i="36"/>
  <c r="AM97" i="36" s="1"/>
  <c r="AG97" i="36"/>
  <c r="AH97" i="36" s="1"/>
  <c r="AB97" i="36"/>
  <c r="AC97" i="36" s="1"/>
  <c r="W97" i="36"/>
  <c r="V97" i="36"/>
  <c r="X97" i="36" s="1"/>
  <c r="L97" i="36"/>
  <c r="AL96" i="36"/>
  <c r="AM96" i="36" s="1"/>
  <c r="AG96" i="36"/>
  <c r="AH96" i="36" s="1"/>
  <c r="AB96" i="36"/>
  <c r="AC96" i="36" s="1"/>
  <c r="W96" i="36"/>
  <c r="V96" i="36"/>
  <c r="X96" i="36" s="1"/>
  <c r="L96" i="36"/>
  <c r="AL95" i="36"/>
  <c r="AM95" i="36" s="1"/>
  <c r="AG95" i="36"/>
  <c r="AH95" i="36" s="1"/>
  <c r="AB95" i="36"/>
  <c r="AC95" i="36" s="1"/>
  <c r="W95" i="36"/>
  <c r="V95" i="36"/>
  <c r="X95" i="36" s="1"/>
  <c r="L95" i="36"/>
  <c r="AL94" i="36"/>
  <c r="AM94" i="36" s="1"/>
  <c r="AG94" i="36"/>
  <c r="AH94" i="36" s="1"/>
  <c r="AB94" i="36"/>
  <c r="AC94" i="36" s="1"/>
  <c r="W94" i="36"/>
  <c r="V94" i="36"/>
  <c r="X94" i="36" s="1"/>
  <c r="L94" i="36"/>
  <c r="AL93" i="36"/>
  <c r="AM93" i="36" s="1"/>
  <c r="AG93" i="36"/>
  <c r="AH93" i="36" s="1"/>
  <c r="AB93" i="36"/>
  <c r="AC93" i="36" s="1"/>
  <c r="W93" i="36"/>
  <c r="V93" i="36"/>
  <c r="X93" i="36" s="1"/>
  <c r="L93" i="36"/>
  <c r="AL92" i="36"/>
  <c r="AM92" i="36" s="1"/>
  <c r="AG92" i="36"/>
  <c r="AH92" i="36" s="1"/>
  <c r="AB92" i="36"/>
  <c r="AC92" i="36" s="1"/>
  <c r="W92" i="36"/>
  <c r="V92" i="36"/>
  <c r="X92" i="36" s="1"/>
  <c r="L92" i="36"/>
  <c r="AL91" i="36"/>
  <c r="AM91" i="36" s="1"/>
  <c r="AG91" i="36"/>
  <c r="AH91" i="36" s="1"/>
  <c r="AB91" i="36"/>
  <c r="AC91" i="36" s="1"/>
  <c r="W91" i="36"/>
  <c r="V91" i="36"/>
  <c r="X91" i="36" s="1"/>
  <c r="L91" i="36"/>
  <c r="AL90" i="36"/>
  <c r="AM90" i="36" s="1"/>
  <c r="AG90" i="36"/>
  <c r="AH90" i="36" s="1"/>
  <c r="AB90" i="36"/>
  <c r="AC90" i="36" s="1"/>
  <c r="W90" i="36"/>
  <c r="V90" i="36"/>
  <c r="X90" i="36" s="1"/>
  <c r="L90" i="36"/>
  <c r="AL89" i="36"/>
  <c r="AM89" i="36" s="1"/>
  <c r="AG89" i="36"/>
  <c r="AH89" i="36" s="1"/>
  <c r="AB89" i="36"/>
  <c r="AC89" i="36" s="1"/>
  <c r="W89" i="36"/>
  <c r="V89" i="36"/>
  <c r="X89" i="36" s="1"/>
  <c r="L89" i="36"/>
  <c r="AL88" i="36"/>
  <c r="AM88" i="36" s="1"/>
  <c r="AG88" i="36"/>
  <c r="AH88" i="36" s="1"/>
  <c r="AB88" i="36"/>
  <c r="AC88" i="36" s="1"/>
  <c r="W88" i="36"/>
  <c r="V88" i="36"/>
  <c r="X88" i="36" s="1"/>
  <c r="L88" i="36"/>
  <c r="AL87" i="36"/>
  <c r="AM87" i="36" s="1"/>
  <c r="AG87" i="36"/>
  <c r="AH87" i="36" s="1"/>
  <c r="AB87" i="36"/>
  <c r="AC87" i="36" s="1"/>
  <c r="W87" i="36"/>
  <c r="V87" i="36"/>
  <c r="X87" i="36" s="1"/>
  <c r="L87" i="36"/>
  <c r="AL86" i="36"/>
  <c r="AM86" i="36" s="1"/>
  <c r="AG86" i="36"/>
  <c r="AH86" i="36" s="1"/>
  <c r="AB86" i="36"/>
  <c r="AC86" i="36" s="1"/>
  <c r="W86" i="36"/>
  <c r="V86" i="36"/>
  <c r="X86" i="36" s="1"/>
  <c r="L86" i="36"/>
  <c r="AL85" i="36"/>
  <c r="AM85" i="36" s="1"/>
  <c r="AG85" i="36"/>
  <c r="AH85" i="36" s="1"/>
  <c r="AB85" i="36"/>
  <c r="AC85" i="36" s="1"/>
  <c r="W85" i="36"/>
  <c r="V85" i="36"/>
  <c r="X85" i="36" s="1"/>
  <c r="L85" i="36"/>
  <c r="AL84" i="36"/>
  <c r="AM84" i="36" s="1"/>
  <c r="AG84" i="36"/>
  <c r="AH84" i="36" s="1"/>
  <c r="AB84" i="36"/>
  <c r="AC84" i="36" s="1"/>
  <c r="W84" i="36"/>
  <c r="V84" i="36"/>
  <c r="X84" i="36" s="1"/>
  <c r="L84" i="36"/>
  <c r="AL83" i="36"/>
  <c r="AM83" i="36" s="1"/>
  <c r="AG83" i="36"/>
  <c r="AH83" i="36" s="1"/>
  <c r="AB83" i="36"/>
  <c r="AC83" i="36" s="1"/>
  <c r="W83" i="36"/>
  <c r="V83" i="36"/>
  <c r="X83" i="36" s="1"/>
  <c r="L83" i="36"/>
  <c r="AL82" i="36"/>
  <c r="AM82" i="36" s="1"/>
  <c r="AG82" i="36"/>
  <c r="AH82" i="36" s="1"/>
  <c r="AB82" i="36"/>
  <c r="AC82" i="36" s="1"/>
  <c r="W82" i="36"/>
  <c r="V82" i="36"/>
  <c r="X82" i="36" s="1"/>
  <c r="L82" i="36"/>
  <c r="AL81" i="36"/>
  <c r="AM81" i="36" s="1"/>
  <c r="AG81" i="36"/>
  <c r="AH81" i="36" s="1"/>
  <c r="AB81" i="36"/>
  <c r="AC81" i="36" s="1"/>
  <c r="W81" i="36"/>
  <c r="V81" i="36"/>
  <c r="X81" i="36" s="1"/>
  <c r="L81" i="36"/>
  <c r="AL80" i="36"/>
  <c r="AM80" i="36" s="1"/>
  <c r="AG80" i="36"/>
  <c r="AH80" i="36" s="1"/>
  <c r="AB80" i="36"/>
  <c r="AC80" i="36" s="1"/>
  <c r="W80" i="36"/>
  <c r="V80" i="36"/>
  <c r="X80" i="36" s="1"/>
  <c r="L80" i="36"/>
  <c r="AL79" i="36"/>
  <c r="AM79" i="36" s="1"/>
  <c r="AG79" i="36"/>
  <c r="AH79" i="36" s="1"/>
  <c r="AB79" i="36"/>
  <c r="AC79" i="36" s="1"/>
  <c r="W79" i="36"/>
  <c r="V79" i="36"/>
  <c r="X79" i="36" s="1"/>
  <c r="L79" i="36"/>
  <c r="AL78" i="36"/>
  <c r="AM78" i="36" s="1"/>
  <c r="AG78" i="36"/>
  <c r="AH78" i="36" s="1"/>
  <c r="AB78" i="36"/>
  <c r="AC78" i="36" s="1"/>
  <c r="W78" i="36"/>
  <c r="V78" i="36"/>
  <c r="X78" i="36" s="1"/>
  <c r="L78" i="36"/>
  <c r="AL77" i="36"/>
  <c r="AM77" i="36" s="1"/>
  <c r="AG77" i="36"/>
  <c r="AH77" i="36" s="1"/>
  <c r="AB77" i="36"/>
  <c r="AC77" i="36" s="1"/>
  <c r="W77" i="36"/>
  <c r="V77" i="36"/>
  <c r="X77" i="36" s="1"/>
  <c r="L77" i="36"/>
  <c r="AL76" i="36"/>
  <c r="AM76" i="36" s="1"/>
  <c r="AG76" i="36"/>
  <c r="AH76" i="36" s="1"/>
  <c r="AB76" i="36"/>
  <c r="AC76" i="36" s="1"/>
  <c r="W76" i="36"/>
  <c r="V76" i="36"/>
  <c r="X76" i="36" s="1"/>
  <c r="L76" i="36"/>
  <c r="AL75" i="36"/>
  <c r="AM75" i="36" s="1"/>
  <c r="AG75" i="36"/>
  <c r="AH75" i="36" s="1"/>
  <c r="AB75" i="36"/>
  <c r="AC75" i="36" s="1"/>
  <c r="W75" i="36"/>
  <c r="V75" i="36"/>
  <c r="X75" i="36" s="1"/>
  <c r="L75" i="36"/>
  <c r="AL74" i="36"/>
  <c r="AM74" i="36" s="1"/>
  <c r="AG74" i="36"/>
  <c r="AH74" i="36" s="1"/>
  <c r="AB74" i="36"/>
  <c r="AC74" i="36" s="1"/>
  <c r="W74" i="36"/>
  <c r="V74" i="36"/>
  <c r="X74" i="36" s="1"/>
  <c r="L74" i="36"/>
  <c r="AL73" i="36"/>
  <c r="AM73" i="36" s="1"/>
  <c r="AG73" i="36"/>
  <c r="AH73" i="36" s="1"/>
  <c r="AB73" i="36"/>
  <c r="AC73" i="36" s="1"/>
  <c r="W73" i="36"/>
  <c r="V73" i="36"/>
  <c r="X73" i="36" s="1"/>
  <c r="L73" i="36"/>
  <c r="AL72" i="36"/>
  <c r="AM72" i="36" s="1"/>
  <c r="AG72" i="36"/>
  <c r="AH72" i="36" s="1"/>
  <c r="AB72" i="36"/>
  <c r="AC72" i="36" s="1"/>
  <c r="W72" i="36"/>
  <c r="V72" i="36"/>
  <c r="X72" i="36" s="1"/>
  <c r="L72" i="36"/>
  <c r="AL71" i="36"/>
  <c r="AM71" i="36" s="1"/>
  <c r="AG71" i="36"/>
  <c r="AH71" i="36" s="1"/>
  <c r="AB71" i="36"/>
  <c r="AC71" i="36" s="1"/>
  <c r="W71" i="36"/>
  <c r="V71" i="36"/>
  <c r="X71" i="36" s="1"/>
  <c r="L71" i="36"/>
  <c r="AL70" i="36"/>
  <c r="AM70" i="36" s="1"/>
  <c r="AG70" i="36"/>
  <c r="AH70" i="36" s="1"/>
  <c r="AB70" i="36"/>
  <c r="AC70" i="36" s="1"/>
  <c r="W70" i="36"/>
  <c r="V70" i="36"/>
  <c r="X70" i="36" s="1"/>
  <c r="L70" i="36"/>
  <c r="AL69" i="36"/>
  <c r="AM69" i="36" s="1"/>
  <c r="AG69" i="36"/>
  <c r="AH69" i="36" s="1"/>
  <c r="AB69" i="36"/>
  <c r="AC69" i="36" s="1"/>
  <c r="W69" i="36"/>
  <c r="V69" i="36"/>
  <c r="X69" i="36" s="1"/>
  <c r="L69" i="36"/>
  <c r="AL68" i="36"/>
  <c r="AM68" i="36" s="1"/>
  <c r="AG68" i="36"/>
  <c r="AH68" i="36" s="1"/>
  <c r="AB68" i="36"/>
  <c r="AC68" i="36" s="1"/>
  <c r="W68" i="36"/>
  <c r="V68" i="36"/>
  <c r="X68" i="36" s="1"/>
  <c r="L68" i="36"/>
  <c r="AL67" i="36"/>
  <c r="AM67" i="36" s="1"/>
  <c r="AG67" i="36"/>
  <c r="AH67" i="36" s="1"/>
  <c r="AB67" i="36"/>
  <c r="AC67" i="36" s="1"/>
  <c r="W67" i="36"/>
  <c r="V67" i="36"/>
  <c r="X67" i="36" s="1"/>
  <c r="L67" i="36"/>
  <c r="AL66" i="36"/>
  <c r="AM66" i="36" s="1"/>
  <c r="AG66" i="36"/>
  <c r="AH66" i="36" s="1"/>
  <c r="AB66" i="36"/>
  <c r="AC66" i="36" s="1"/>
  <c r="W66" i="36"/>
  <c r="V66" i="36"/>
  <c r="X66" i="36" s="1"/>
  <c r="L66" i="36"/>
  <c r="AL65" i="36"/>
  <c r="AM65" i="36" s="1"/>
  <c r="AG65" i="36"/>
  <c r="AH65" i="36" s="1"/>
  <c r="AB65" i="36"/>
  <c r="AC65" i="36" s="1"/>
  <c r="W65" i="36"/>
  <c r="V65" i="36"/>
  <c r="X65" i="36" s="1"/>
  <c r="L65" i="36"/>
  <c r="AL64" i="36"/>
  <c r="AM64" i="36" s="1"/>
  <c r="AG64" i="36"/>
  <c r="AH64" i="36" s="1"/>
  <c r="AB64" i="36"/>
  <c r="AC64" i="36" s="1"/>
  <c r="W64" i="36"/>
  <c r="V64" i="36"/>
  <c r="X64" i="36" s="1"/>
  <c r="L64" i="36"/>
  <c r="AL63" i="36"/>
  <c r="AM63" i="36" s="1"/>
  <c r="AG63" i="36"/>
  <c r="AH63" i="36" s="1"/>
  <c r="AB63" i="36"/>
  <c r="AC63" i="36" s="1"/>
  <c r="W63" i="36"/>
  <c r="V63" i="36"/>
  <c r="X63" i="36" s="1"/>
  <c r="L63" i="36"/>
  <c r="AL62" i="36"/>
  <c r="AM62" i="36" s="1"/>
  <c r="AG62" i="36"/>
  <c r="AH62" i="36" s="1"/>
  <c r="AB62" i="36"/>
  <c r="AC62" i="36" s="1"/>
  <c r="W62" i="36"/>
  <c r="V62" i="36"/>
  <c r="X62" i="36" s="1"/>
  <c r="L62" i="36"/>
  <c r="AL61" i="36"/>
  <c r="AM61" i="36" s="1"/>
  <c r="AG61" i="36"/>
  <c r="AH61" i="36" s="1"/>
  <c r="AB61" i="36"/>
  <c r="AC61" i="36" s="1"/>
  <c r="W61" i="36"/>
  <c r="V61" i="36"/>
  <c r="X61" i="36" s="1"/>
  <c r="L61" i="36"/>
  <c r="AL60" i="36"/>
  <c r="AM60" i="36" s="1"/>
  <c r="AG60" i="36"/>
  <c r="AH60" i="36" s="1"/>
  <c r="AB60" i="36"/>
  <c r="AC60" i="36" s="1"/>
  <c r="W60" i="36"/>
  <c r="V60" i="36"/>
  <c r="X60" i="36" s="1"/>
  <c r="L60" i="36"/>
  <c r="AL59" i="36"/>
  <c r="AM59" i="36" s="1"/>
  <c r="AG59" i="36"/>
  <c r="AH59" i="36" s="1"/>
  <c r="AB59" i="36"/>
  <c r="AC59" i="36" s="1"/>
  <c r="W59" i="36"/>
  <c r="V59" i="36"/>
  <c r="X59" i="36" s="1"/>
  <c r="L59" i="36"/>
  <c r="AL58" i="36"/>
  <c r="AM58" i="36" s="1"/>
  <c r="AG58" i="36"/>
  <c r="AH58" i="36" s="1"/>
  <c r="AB58" i="36"/>
  <c r="AC58" i="36" s="1"/>
  <c r="W58" i="36"/>
  <c r="V58" i="36"/>
  <c r="X58" i="36" s="1"/>
  <c r="L58" i="36"/>
  <c r="AL57" i="36"/>
  <c r="AM57" i="36" s="1"/>
  <c r="AG57" i="36"/>
  <c r="AH57" i="36" s="1"/>
  <c r="AB57" i="36"/>
  <c r="AC57" i="36" s="1"/>
  <c r="W57" i="36"/>
  <c r="V57" i="36"/>
  <c r="X57" i="36" s="1"/>
  <c r="L57" i="36"/>
  <c r="AL56" i="36"/>
  <c r="AM56" i="36" s="1"/>
  <c r="AG56" i="36"/>
  <c r="AH56" i="36" s="1"/>
  <c r="AB56" i="36"/>
  <c r="AC56" i="36" s="1"/>
  <c r="W56" i="36"/>
  <c r="V56" i="36"/>
  <c r="X56" i="36" s="1"/>
  <c r="L56" i="36"/>
  <c r="AL55" i="36"/>
  <c r="AM55" i="36" s="1"/>
  <c r="AG55" i="36"/>
  <c r="AH55" i="36" s="1"/>
  <c r="AB55" i="36"/>
  <c r="AC55" i="36" s="1"/>
  <c r="W55" i="36"/>
  <c r="V55" i="36"/>
  <c r="X55" i="36" s="1"/>
  <c r="L55" i="36"/>
  <c r="AL54" i="36"/>
  <c r="AM54" i="36" s="1"/>
  <c r="AG54" i="36"/>
  <c r="AH54" i="36" s="1"/>
  <c r="AB54" i="36"/>
  <c r="AC54" i="36" s="1"/>
  <c r="W54" i="36"/>
  <c r="V54" i="36"/>
  <c r="X54" i="36" s="1"/>
  <c r="L54" i="36"/>
  <c r="AL53" i="36"/>
  <c r="AM53" i="36" s="1"/>
  <c r="AG53" i="36"/>
  <c r="AH53" i="36" s="1"/>
  <c r="AB53" i="36"/>
  <c r="AC53" i="36" s="1"/>
  <c r="W53" i="36"/>
  <c r="V53" i="36"/>
  <c r="X53" i="36" s="1"/>
  <c r="L53" i="36"/>
  <c r="AL52" i="36"/>
  <c r="AM52" i="36" s="1"/>
  <c r="AG52" i="36"/>
  <c r="AH52" i="36" s="1"/>
  <c r="AB52" i="36"/>
  <c r="AC52" i="36" s="1"/>
  <c r="W52" i="36"/>
  <c r="V52" i="36"/>
  <c r="X52" i="36" s="1"/>
  <c r="L52" i="36"/>
  <c r="AL51" i="36"/>
  <c r="AM51" i="36" s="1"/>
  <c r="AG51" i="36"/>
  <c r="AH51" i="36" s="1"/>
  <c r="AB51" i="36"/>
  <c r="AC51" i="36" s="1"/>
  <c r="W51" i="36"/>
  <c r="V51" i="36"/>
  <c r="X51" i="36" s="1"/>
  <c r="L51" i="36"/>
  <c r="AL50" i="36"/>
  <c r="AM50" i="36" s="1"/>
  <c r="AG50" i="36"/>
  <c r="AH50" i="36" s="1"/>
  <c r="AB50" i="36"/>
  <c r="AC50" i="36" s="1"/>
  <c r="W50" i="36"/>
  <c r="V50" i="36"/>
  <c r="X50" i="36" s="1"/>
  <c r="L50" i="36"/>
  <c r="AL49" i="36"/>
  <c r="AM49" i="36" s="1"/>
  <c r="AG49" i="36"/>
  <c r="AH49" i="36" s="1"/>
  <c r="AB49" i="36"/>
  <c r="AC49" i="36" s="1"/>
  <c r="W49" i="36"/>
  <c r="V49" i="36"/>
  <c r="X49" i="36" s="1"/>
  <c r="L49" i="36"/>
  <c r="AL48" i="36"/>
  <c r="AM48" i="36" s="1"/>
  <c r="AG48" i="36"/>
  <c r="AH48" i="36" s="1"/>
  <c r="AB48" i="36"/>
  <c r="AC48" i="36" s="1"/>
  <c r="W48" i="36"/>
  <c r="V48" i="36"/>
  <c r="X48" i="36" s="1"/>
  <c r="L48" i="36"/>
  <c r="AL47" i="36"/>
  <c r="AM47" i="36" s="1"/>
  <c r="AG47" i="36"/>
  <c r="AH47" i="36" s="1"/>
  <c r="AB47" i="36"/>
  <c r="AC47" i="36" s="1"/>
  <c r="W47" i="36"/>
  <c r="V47" i="36"/>
  <c r="X47" i="36" s="1"/>
  <c r="L47" i="36"/>
  <c r="AL46" i="36"/>
  <c r="AM46" i="36" s="1"/>
  <c r="AG46" i="36"/>
  <c r="AH46" i="36" s="1"/>
  <c r="AB46" i="36"/>
  <c r="AC46" i="36" s="1"/>
  <c r="W46" i="36"/>
  <c r="V46" i="36"/>
  <c r="X46" i="36" s="1"/>
  <c r="L46" i="36"/>
  <c r="AL45" i="36"/>
  <c r="AM45" i="36" s="1"/>
  <c r="AG45" i="36"/>
  <c r="AH45" i="36" s="1"/>
  <c r="AB45" i="36"/>
  <c r="AC45" i="36" s="1"/>
  <c r="W45" i="36"/>
  <c r="V45" i="36"/>
  <c r="X45" i="36" s="1"/>
  <c r="L45" i="36"/>
  <c r="AL44" i="36"/>
  <c r="AM44" i="36" s="1"/>
  <c r="AG44" i="36"/>
  <c r="AH44" i="36" s="1"/>
  <c r="AB44" i="36"/>
  <c r="AC44" i="36" s="1"/>
  <c r="W44" i="36"/>
  <c r="V44" i="36"/>
  <c r="X44" i="36" s="1"/>
  <c r="L44" i="36"/>
  <c r="AL43" i="36"/>
  <c r="AM43" i="36" s="1"/>
  <c r="AG43" i="36"/>
  <c r="AH43" i="36" s="1"/>
  <c r="AB43" i="36"/>
  <c r="AC43" i="36" s="1"/>
  <c r="W43" i="36"/>
  <c r="V43" i="36"/>
  <c r="X43" i="36" s="1"/>
  <c r="L43" i="36"/>
  <c r="AL42" i="36"/>
  <c r="AM42" i="36" s="1"/>
  <c r="AG42" i="36"/>
  <c r="AH42" i="36" s="1"/>
  <c r="AB42" i="36"/>
  <c r="AC42" i="36" s="1"/>
  <c r="W42" i="36"/>
  <c r="V42" i="36"/>
  <c r="X42" i="36" s="1"/>
  <c r="L42" i="36"/>
  <c r="AL41" i="36"/>
  <c r="AM41" i="36" s="1"/>
  <c r="AG41" i="36"/>
  <c r="AH41" i="36" s="1"/>
  <c r="AB41" i="36"/>
  <c r="AC41" i="36" s="1"/>
  <c r="W41" i="36"/>
  <c r="V41" i="36"/>
  <c r="X41" i="36" s="1"/>
  <c r="L41" i="36"/>
  <c r="AL40" i="36"/>
  <c r="AM40" i="36" s="1"/>
  <c r="AG40" i="36"/>
  <c r="AH40" i="36" s="1"/>
  <c r="AB40" i="36"/>
  <c r="AC40" i="36" s="1"/>
  <c r="W40" i="36"/>
  <c r="V40" i="36"/>
  <c r="X40" i="36" s="1"/>
  <c r="L40" i="36"/>
  <c r="AL39" i="36"/>
  <c r="AM39" i="36" s="1"/>
  <c r="AG39" i="36"/>
  <c r="AH39" i="36" s="1"/>
  <c r="AB39" i="36"/>
  <c r="AC39" i="36" s="1"/>
  <c r="W39" i="36"/>
  <c r="V39" i="36"/>
  <c r="X39" i="36" s="1"/>
  <c r="L39" i="36"/>
  <c r="AL38" i="36"/>
  <c r="AM38" i="36" s="1"/>
  <c r="AG38" i="36"/>
  <c r="AH38" i="36" s="1"/>
  <c r="AB38" i="36"/>
  <c r="AC38" i="36" s="1"/>
  <c r="W38" i="36"/>
  <c r="V38" i="36"/>
  <c r="X38" i="36" s="1"/>
  <c r="L38" i="36"/>
  <c r="AL37" i="36"/>
  <c r="AM37" i="36" s="1"/>
  <c r="AG37" i="36"/>
  <c r="AH37" i="36" s="1"/>
  <c r="AB37" i="36"/>
  <c r="AC37" i="36" s="1"/>
  <c r="W37" i="36"/>
  <c r="V37" i="36"/>
  <c r="X37" i="36" s="1"/>
  <c r="L37" i="36"/>
  <c r="AL36" i="36"/>
  <c r="AM36" i="36" s="1"/>
  <c r="AG36" i="36"/>
  <c r="AH36" i="36" s="1"/>
  <c r="AB36" i="36"/>
  <c r="AC36" i="36" s="1"/>
  <c r="W36" i="36"/>
  <c r="V36" i="36"/>
  <c r="X36" i="36" s="1"/>
  <c r="L36" i="36"/>
  <c r="AL35" i="36"/>
  <c r="AM35" i="36" s="1"/>
  <c r="AG35" i="36"/>
  <c r="AH35" i="36" s="1"/>
  <c r="AB35" i="36"/>
  <c r="AC35" i="36" s="1"/>
  <c r="W35" i="36"/>
  <c r="V35" i="36"/>
  <c r="X35" i="36" s="1"/>
  <c r="L35" i="36"/>
  <c r="AL34" i="36"/>
  <c r="AM34" i="36" s="1"/>
  <c r="AG34" i="36"/>
  <c r="AH34" i="36" s="1"/>
  <c r="AB34" i="36"/>
  <c r="AC34" i="36" s="1"/>
  <c r="W34" i="36"/>
  <c r="V34" i="36"/>
  <c r="X34" i="36" s="1"/>
  <c r="L34" i="36"/>
  <c r="AL33" i="36"/>
  <c r="AM33" i="36" s="1"/>
  <c r="AG33" i="36"/>
  <c r="AH33" i="36" s="1"/>
  <c r="AB33" i="36"/>
  <c r="AC33" i="36" s="1"/>
  <c r="W33" i="36"/>
  <c r="V33" i="36"/>
  <c r="X33" i="36" s="1"/>
  <c r="L33" i="36"/>
  <c r="AL32" i="36"/>
  <c r="AM32" i="36" s="1"/>
  <c r="AG32" i="36"/>
  <c r="AH32" i="36" s="1"/>
  <c r="AB32" i="36"/>
  <c r="AC32" i="36" s="1"/>
  <c r="W32" i="36"/>
  <c r="V32" i="36"/>
  <c r="X32" i="36" s="1"/>
  <c r="L32" i="36"/>
  <c r="AL31" i="36"/>
  <c r="AM31" i="36" s="1"/>
  <c r="AG31" i="36"/>
  <c r="AH31" i="36" s="1"/>
  <c r="AB31" i="36"/>
  <c r="AC31" i="36" s="1"/>
  <c r="W31" i="36"/>
  <c r="V31" i="36"/>
  <c r="X31" i="36" s="1"/>
  <c r="L31" i="36"/>
  <c r="AL30" i="36"/>
  <c r="AM30" i="36" s="1"/>
  <c r="AG30" i="36"/>
  <c r="AH30" i="36" s="1"/>
  <c r="AB30" i="36"/>
  <c r="AC30" i="36" s="1"/>
  <c r="W30" i="36"/>
  <c r="V30" i="36"/>
  <c r="X30" i="36" s="1"/>
  <c r="L30" i="36"/>
  <c r="AL29" i="36"/>
  <c r="AM29" i="36" s="1"/>
  <c r="AG29" i="36"/>
  <c r="AH29" i="36" s="1"/>
  <c r="AB29" i="36"/>
  <c r="AC29" i="36" s="1"/>
  <c r="W29" i="36"/>
  <c r="V29" i="36"/>
  <c r="X29" i="36" s="1"/>
  <c r="L29" i="36"/>
  <c r="AL28" i="36"/>
  <c r="AM28" i="36" s="1"/>
  <c r="AG28" i="36"/>
  <c r="AH28" i="36" s="1"/>
  <c r="AB28" i="36"/>
  <c r="AC28" i="36" s="1"/>
  <c r="W28" i="36"/>
  <c r="V28" i="36"/>
  <c r="X28" i="36" s="1"/>
  <c r="L28" i="36"/>
  <c r="AL27" i="36"/>
  <c r="AM27" i="36" s="1"/>
  <c r="AG27" i="36"/>
  <c r="AH27" i="36" s="1"/>
  <c r="AB27" i="36"/>
  <c r="AC27" i="36" s="1"/>
  <c r="W27" i="36"/>
  <c r="V27" i="36"/>
  <c r="X27" i="36" s="1"/>
  <c r="L27" i="36"/>
  <c r="AL26" i="36"/>
  <c r="AM26" i="36" s="1"/>
  <c r="AG26" i="36"/>
  <c r="AH26" i="36" s="1"/>
  <c r="AB26" i="36"/>
  <c r="AC26" i="36" s="1"/>
  <c r="W26" i="36"/>
  <c r="V26" i="36"/>
  <c r="X26" i="36" s="1"/>
  <c r="L26" i="36"/>
  <c r="AL25" i="36"/>
  <c r="AM25" i="36" s="1"/>
  <c r="AG25" i="36"/>
  <c r="AH25" i="36" s="1"/>
  <c r="AB25" i="36"/>
  <c r="AC25" i="36" s="1"/>
  <c r="W25" i="36"/>
  <c r="V25" i="36"/>
  <c r="X25" i="36" s="1"/>
  <c r="L25" i="36"/>
  <c r="AL24" i="36"/>
  <c r="AM24" i="36" s="1"/>
  <c r="AG24" i="36"/>
  <c r="AH24" i="36" s="1"/>
  <c r="AB24" i="36"/>
  <c r="AC24" i="36" s="1"/>
  <c r="W24" i="36"/>
  <c r="V24" i="36"/>
  <c r="X24" i="36" s="1"/>
  <c r="L24" i="36"/>
  <c r="AL23" i="36"/>
  <c r="AM23" i="36" s="1"/>
  <c r="AG23" i="36"/>
  <c r="AH23" i="36" s="1"/>
  <c r="AB23" i="36"/>
  <c r="AC23" i="36" s="1"/>
  <c r="W23" i="36"/>
  <c r="V23" i="36"/>
  <c r="X23" i="36" s="1"/>
  <c r="L23" i="36"/>
  <c r="AL22" i="36"/>
  <c r="AM22" i="36" s="1"/>
  <c r="AG22" i="36"/>
  <c r="AH22" i="36" s="1"/>
  <c r="AB22" i="36"/>
  <c r="AC22" i="36" s="1"/>
  <c r="W22" i="36"/>
  <c r="V22" i="36"/>
  <c r="X22" i="36" s="1"/>
  <c r="L22" i="36"/>
  <c r="AL21" i="36"/>
  <c r="AM21" i="36" s="1"/>
  <c r="AG21" i="36"/>
  <c r="AH21" i="36" s="1"/>
  <c r="AB21" i="36"/>
  <c r="AC21" i="36" s="1"/>
  <c r="W21" i="36"/>
  <c r="V21" i="36"/>
  <c r="X21" i="36" s="1"/>
  <c r="L21" i="36"/>
  <c r="AL20" i="36"/>
  <c r="AM20" i="36" s="1"/>
  <c r="AG20" i="36"/>
  <c r="AH20" i="36" s="1"/>
  <c r="AB20" i="36"/>
  <c r="AC20" i="36" s="1"/>
  <c r="W20" i="36"/>
  <c r="V20" i="36"/>
  <c r="X20" i="36" s="1"/>
  <c r="L20" i="36"/>
  <c r="AL19" i="36"/>
  <c r="AM19" i="36" s="1"/>
  <c r="AG19" i="36"/>
  <c r="AH19" i="36" s="1"/>
  <c r="AB19" i="36"/>
  <c r="AC19" i="36" s="1"/>
  <c r="W19" i="36"/>
  <c r="V19" i="36"/>
  <c r="X19" i="36" s="1"/>
  <c r="L19" i="36"/>
  <c r="AL18" i="36"/>
  <c r="AM18" i="36" s="1"/>
  <c r="AG18" i="36"/>
  <c r="AH18" i="36" s="1"/>
  <c r="AB18" i="36"/>
  <c r="AC18" i="36" s="1"/>
  <c r="W18" i="36"/>
  <c r="V18" i="36"/>
  <c r="X18" i="36" s="1"/>
  <c r="L18" i="36"/>
  <c r="AL17" i="36"/>
  <c r="AM17" i="36" s="1"/>
  <c r="AG17" i="36"/>
  <c r="AH17" i="36" s="1"/>
  <c r="AB17" i="36"/>
  <c r="AC17" i="36" s="1"/>
  <c r="W17" i="36"/>
  <c r="V17" i="36"/>
  <c r="X17" i="36" s="1"/>
  <c r="L17" i="36"/>
  <c r="AL16" i="36"/>
  <c r="AM16" i="36" s="1"/>
  <c r="AG16" i="36"/>
  <c r="AH16" i="36" s="1"/>
  <c r="AB16" i="36"/>
  <c r="AC16" i="36" s="1"/>
  <c r="W16" i="36"/>
  <c r="V16" i="36"/>
  <c r="X16" i="36" s="1"/>
  <c r="L16" i="36"/>
  <c r="AL15" i="36"/>
  <c r="AM15" i="36" s="1"/>
  <c r="AG15" i="36"/>
  <c r="AH15" i="36" s="1"/>
  <c r="AB15" i="36"/>
  <c r="AC15" i="36" s="1"/>
  <c r="W15" i="36"/>
  <c r="V15" i="36"/>
  <c r="X15" i="36" s="1"/>
  <c r="L15" i="36"/>
  <c r="AL14" i="36"/>
  <c r="AM14" i="36" s="1"/>
  <c r="AG14" i="36"/>
  <c r="AH14" i="36" s="1"/>
  <c r="AB14" i="36"/>
  <c r="AC14" i="36" s="1"/>
  <c r="W14" i="36"/>
  <c r="V14" i="36"/>
  <c r="X14" i="36" s="1"/>
  <c r="L14" i="36"/>
  <c r="AL13" i="36"/>
  <c r="AM13" i="36" s="1"/>
  <c r="AG13" i="36"/>
  <c r="AH13" i="36" s="1"/>
  <c r="AB13" i="36"/>
  <c r="AC13" i="36" s="1"/>
  <c r="W13" i="36"/>
  <c r="V13" i="36"/>
  <c r="X13" i="36" s="1"/>
  <c r="L13" i="36"/>
  <c r="AL12" i="36"/>
  <c r="AM12" i="36" s="1"/>
  <c r="AG12" i="36"/>
  <c r="AH12" i="36" s="1"/>
  <c r="AB12" i="36"/>
  <c r="AC12" i="36" s="1"/>
  <c r="W12" i="36"/>
  <c r="V12" i="36"/>
  <c r="X12" i="36" s="1"/>
  <c r="L12" i="36"/>
  <c r="AL11" i="36"/>
  <c r="AM11" i="36" s="1"/>
  <c r="AG11" i="36"/>
  <c r="AH11" i="36" s="1"/>
  <c r="AB11" i="36"/>
  <c r="AC11" i="36" s="1"/>
  <c r="W11" i="36"/>
  <c r="V11" i="36"/>
  <c r="X11" i="36" s="1"/>
  <c r="L11" i="36"/>
  <c r="AL10" i="36"/>
  <c r="AM10" i="36" s="1"/>
  <c r="AG10" i="36"/>
  <c r="AH10" i="36" s="1"/>
  <c r="AB10" i="36"/>
  <c r="AC10" i="36" s="1"/>
  <c r="W10" i="36"/>
  <c r="V10" i="36"/>
  <c r="X10" i="36" s="1"/>
  <c r="L10" i="36"/>
  <c r="A696" i="44" l="1"/>
  <c r="G37" i="39"/>
  <c r="A700" i="44"/>
  <c r="G38" i="40"/>
  <c r="O10" i="38"/>
  <c r="F56" i="32"/>
  <c r="E56" i="32"/>
  <c r="D56" i="32"/>
  <c r="B2983" i="44" l="1"/>
  <c r="B2982" i="44"/>
  <c r="B2981" i="44"/>
  <c r="B2980" i="44"/>
  <c r="B2979" i="44"/>
  <c r="D2685" i="44"/>
  <c r="D2684" i="44"/>
  <c r="D2683" i="44"/>
  <c r="D2682" i="44"/>
  <c r="D2681" i="44"/>
  <c r="D2680" i="44"/>
  <c r="D2679" i="44"/>
  <c r="D2678" i="44"/>
  <c r="D2677" i="44"/>
  <c r="D2676" i="44"/>
  <c r="E2092" i="44"/>
  <c r="D2092" i="44"/>
  <c r="E2091" i="44"/>
  <c r="D2091" i="44"/>
  <c r="E2090" i="44"/>
  <c r="D2090" i="44"/>
  <c r="E2089" i="44"/>
  <c r="D2089" i="44"/>
  <c r="E2088" i="44"/>
  <c r="D2088" i="44"/>
  <c r="E2087" i="44"/>
  <c r="D2087" i="44"/>
  <c r="E2086" i="44"/>
  <c r="D2086" i="44"/>
  <c r="E2085" i="44"/>
  <c r="D2085" i="44"/>
  <c r="E2084" i="44"/>
  <c r="D2084" i="44"/>
  <c r="E2083" i="44"/>
  <c r="D2083" i="44"/>
  <c r="E2082" i="44"/>
  <c r="D2082" i="44"/>
  <c r="E2081" i="44"/>
  <c r="D2081" i="44"/>
  <c r="E2080" i="44"/>
  <c r="D2080" i="44"/>
  <c r="E2079" i="44"/>
  <c r="D2079" i="44"/>
  <c r="E2078" i="44"/>
  <c r="D2078" i="44"/>
  <c r="E2077" i="44"/>
  <c r="D2077" i="44"/>
  <c r="E2076" i="44"/>
  <c r="D2076" i="44"/>
  <c r="E2075" i="44"/>
  <c r="D2075" i="44"/>
  <c r="E2074" i="44"/>
  <c r="D2074" i="44"/>
  <c r="E2073" i="44"/>
  <c r="D2073" i="44"/>
  <c r="E1779" i="44"/>
  <c r="D1779" i="44"/>
  <c r="E1778" i="44"/>
  <c r="D1778" i="44"/>
  <c r="E1777" i="44"/>
  <c r="D1777" i="44"/>
  <c r="E1776" i="44"/>
  <c r="D1776" i="44"/>
  <c r="E1775" i="44"/>
  <c r="D1775" i="44"/>
  <c r="E1774" i="44"/>
  <c r="D1774" i="44"/>
  <c r="E1773" i="44"/>
  <c r="D1773" i="44"/>
  <c r="E1772" i="44"/>
  <c r="D1772" i="44"/>
  <c r="E1771" i="44"/>
  <c r="D1771" i="44"/>
  <c r="E1770" i="44"/>
  <c r="D1770" i="44"/>
  <c r="FD708" i="44"/>
  <c r="FB708" i="44"/>
  <c r="FA708" i="44"/>
  <c r="ER708" i="44"/>
  <c r="EQ708" i="44"/>
  <c r="EO708" i="44"/>
  <c r="EF708" i="44"/>
  <c r="EE708" i="44"/>
  <c r="DX708" i="44"/>
  <c r="DW708" i="44"/>
  <c r="DV708" i="44"/>
  <c r="DU708" i="44"/>
  <c r="DT708" i="44"/>
  <c r="DS708" i="44"/>
  <c r="DO708" i="44"/>
  <c r="DK708" i="44"/>
  <c r="DG708" i="44"/>
  <c r="DC708" i="44"/>
  <c r="CY708" i="44"/>
  <c r="CX708" i="44"/>
  <c r="CW708" i="44"/>
  <c r="CV708" i="44"/>
  <c r="CU708" i="44"/>
  <c r="CT708" i="44"/>
  <c r="CS708" i="44"/>
  <c r="CO708" i="44"/>
  <c r="CM708" i="44"/>
  <c r="CL708" i="44"/>
  <c r="CF708" i="44"/>
  <c r="CD708" i="44"/>
  <c r="CA708" i="44"/>
  <c r="BY708" i="44"/>
  <c r="BS708" i="44"/>
  <c r="BM708" i="44"/>
  <c r="BK708" i="44"/>
  <c r="BJ708" i="44"/>
  <c r="AT708" i="44"/>
  <c r="AS708" i="44"/>
  <c r="AQ708" i="44"/>
  <c r="AK708" i="44"/>
  <c r="AJ708" i="44"/>
  <c r="AI708" i="44"/>
  <c r="AH708" i="44"/>
  <c r="AD708" i="44"/>
  <c r="AA708" i="44"/>
  <c r="Y708" i="44"/>
  <c r="W708" i="44"/>
  <c r="V708" i="44"/>
  <c r="U708" i="44"/>
  <c r="S708" i="44"/>
  <c r="R708" i="44"/>
  <c r="Q708" i="44"/>
  <c r="O708" i="44"/>
  <c r="M708" i="44"/>
  <c r="L708" i="44"/>
  <c r="C143" i="44"/>
  <c r="C142" i="44"/>
  <c r="C141" i="44"/>
  <c r="C140" i="44"/>
  <c r="C139" i="44"/>
  <c r="C138" i="44"/>
  <c r="C137" i="44"/>
  <c r="C136" i="44"/>
  <c r="C135" i="44"/>
  <c r="C134" i="44"/>
  <c r="C133" i="44"/>
  <c r="C132" i="44"/>
  <c r="C131" i="44"/>
  <c r="C130" i="44"/>
  <c r="C129" i="44"/>
  <c r="C128" i="44"/>
  <c r="C127" i="44"/>
  <c r="C126" i="44"/>
  <c r="C125" i="44"/>
  <c r="C124" i="44"/>
  <c r="C123" i="44"/>
  <c r="C122" i="44"/>
  <c r="C121" i="44"/>
  <c r="C120" i="44"/>
  <c r="C119" i="44"/>
  <c r="C118" i="44"/>
  <c r="C117" i="44"/>
  <c r="C116" i="44"/>
  <c r="C115" i="44"/>
  <c r="C114" i="44"/>
  <c r="F106" i="44"/>
  <c r="F105" i="44"/>
  <c r="F104" i="44"/>
  <c r="F103" i="44"/>
  <c r="F102" i="44"/>
  <c r="F101" i="44"/>
  <c r="F100" i="44"/>
  <c r="F99" i="44"/>
  <c r="F98" i="44"/>
  <c r="F97" i="44"/>
  <c r="F96" i="44"/>
  <c r="F95" i="44"/>
  <c r="F94" i="44"/>
  <c r="F93" i="44"/>
  <c r="F92" i="44"/>
  <c r="F91" i="44"/>
  <c r="F90" i="44"/>
  <c r="F89" i="44"/>
  <c r="F88" i="44"/>
  <c r="F87" i="44"/>
  <c r="F86" i="44"/>
  <c r="F85" i="44"/>
  <c r="F84" i="44"/>
  <c r="F83" i="44"/>
  <c r="F82" i="44"/>
  <c r="F81" i="44"/>
  <c r="F80" i="44"/>
  <c r="F79" i="44"/>
  <c r="F78" i="44"/>
  <c r="F77" i="44"/>
  <c r="F76" i="44"/>
  <c r="F75" i="44"/>
  <c r="F74" i="44"/>
  <c r="F73" i="44"/>
  <c r="F72" i="44"/>
  <c r="F71" i="44"/>
  <c r="F70" i="44"/>
  <c r="F69" i="44"/>
  <c r="F68" i="44"/>
  <c r="F67" i="44"/>
  <c r="F66" i="44"/>
  <c r="F65" i="44"/>
  <c r="F64" i="44"/>
  <c r="F63" i="44"/>
  <c r="F62" i="44"/>
  <c r="F61" i="44"/>
  <c r="F60" i="44"/>
  <c r="F59" i="44"/>
  <c r="F58" i="44"/>
  <c r="F57" i="44"/>
  <c r="F56" i="44"/>
  <c r="F55" i="44"/>
  <c r="F54" i="44"/>
  <c r="F53" i="44"/>
  <c r="F52" i="44"/>
  <c r="F51" i="44"/>
  <c r="F50" i="44"/>
  <c r="F49" i="44"/>
  <c r="F48" i="44"/>
  <c r="F47" i="44"/>
  <c r="F46" i="44"/>
  <c r="F45" i="44"/>
  <c r="F44" i="44"/>
  <c r="F43" i="44"/>
  <c r="F42" i="44"/>
  <c r="F41" i="44"/>
  <c r="F40" i="44"/>
  <c r="F39" i="44"/>
  <c r="F38" i="44"/>
  <c r="F37" i="44"/>
  <c r="F36" i="44"/>
  <c r="F35" i="44"/>
  <c r="F34" i="44"/>
  <c r="F33" i="44"/>
  <c r="F32" i="44"/>
  <c r="F31" i="44"/>
  <c r="F30" i="44"/>
  <c r="F29" i="44"/>
  <c r="F28" i="44"/>
  <c r="F27" i="44"/>
  <c r="F26" i="44"/>
  <c r="F25" i="44"/>
  <c r="F24" i="44"/>
  <c r="F23" i="44"/>
  <c r="F22" i="44"/>
  <c r="F21" i="44"/>
  <c r="F20" i="44"/>
  <c r="F19" i="44"/>
  <c r="F18" i="44"/>
  <c r="F17" i="44"/>
  <c r="FP13" i="44"/>
  <c r="FM13" i="44"/>
  <c r="FJ13" i="44"/>
  <c r="FG13" i="44"/>
  <c r="FD13" i="44"/>
  <c r="EY13" i="44"/>
  <c r="EV13" i="44"/>
  <c r="ES13" i="44"/>
  <c r="EP13" i="44"/>
  <c r="EM13" i="44"/>
  <c r="EJ13" i="44"/>
  <c r="EG13" i="44"/>
  <c r="EE13" i="44"/>
  <c r="ED13" i="44"/>
  <c r="DN13" i="44"/>
  <c r="DM13" i="44"/>
  <c r="DL13" i="44"/>
  <c r="DI13" i="44"/>
  <c r="DG13" i="44"/>
  <c r="CN13" i="44"/>
  <c r="CM13" i="44"/>
  <c r="CJ13" i="44"/>
  <c r="BY13" i="44"/>
  <c r="BV13" i="44"/>
  <c r="BQ13" i="44"/>
  <c r="BN13" i="44"/>
  <c r="BK13" i="44"/>
  <c r="BJ13" i="44"/>
  <c r="BI13" i="44"/>
  <c r="BH13" i="44"/>
  <c r="BG13" i="44"/>
  <c r="BF13" i="44"/>
  <c r="BE13" i="44"/>
  <c r="BD13" i="44"/>
  <c r="BC13" i="44"/>
  <c r="BB13" i="44"/>
  <c r="BA13" i="44"/>
  <c r="AZ13" i="44"/>
  <c r="AY13" i="44"/>
  <c r="AX13" i="44"/>
  <c r="AW13" i="44"/>
  <c r="AV13" i="44"/>
  <c r="AU13" i="44"/>
  <c r="AT13" i="44"/>
  <c r="AS13" i="44"/>
  <c r="AR13" i="44"/>
  <c r="AQ13" i="44"/>
  <c r="AP13" i="44"/>
  <c r="AO13" i="44"/>
  <c r="AN13" i="44"/>
  <c r="AM13" i="44"/>
  <c r="AL13" i="44"/>
  <c r="AK13" i="44"/>
  <c r="AJ13" i="44"/>
  <c r="AI13" i="44"/>
  <c r="AH13" i="44"/>
  <c r="AG13" i="44"/>
  <c r="AD13" i="44"/>
  <c r="AC13" i="44"/>
  <c r="AB13" i="44"/>
  <c r="AA13" i="44"/>
  <c r="Z13" i="44"/>
  <c r="Y13" i="44"/>
  <c r="W13" i="44"/>
  <c r="R13" i="44"/>
  <c r="O13" i="44"/>
  <c r="L13" i="44"/>
  <c r="K13" i="44"/>
  <c r="F13" i="44"/>
  <c r="E13" i="44"/>
  <c r="D13" i="44"/>
  <c r="C13" i="44"/>
  <c r="B13" i="44"/>
  <c r="A13" i="44"/>
  <c r="B9" i="44"/>
  <c r="B8" i="44"/>
  <c r="B7" i="44"/>
  <c r="EZ708" i="44" l="1"/>
  <c r="EY708" i="44"/>
  <c r="EX708" i="44"/>
  <c r="EW708" i="44"/>
  <c r="EV708" i="44"/>
  <c r="EU708" i="44"/>
  <c r="ET708" i="44"/>
  <c r="C1476" i="44" l="1"/>
  <c r="B1476" i="44"/>
  <c r="C1475" i="44"/>
  <c r="B1475" i="44"/>
  <c r="C1474" i="44"/>
  <c r="B1474" i="44"/>
  <c r="C1473" i="44"/>
  <c r="B1473" i="44"/>
  <c r="C1472" i="44"/>
  <c r="B1472" i="44"/>
  <c r="C1471" i="44"/>
  <c r="B1471" i="44"/>
  <c r="C1470" i="44"/>
  <c r="B1470" i="44"/>
  <c r="C1469" i="44"/>
  <c r="B1469" i="44"/>
  <c r="C1468" i="44"/>
  <c r="B1468" i="44"/>
  <c r="B1467" i="44"/>
  <c r="J316" i="2" l="1"/>
  <c r="EL708" i="44" s="1"/>
  <c r="J315" i="2"/>
  <c r="EK708" i="44" s="1"/>
  <c r="J306" i="2" l="1"/>
  <c r="EG708" i="44" s="1"/>
  <c r="I379" i="1" l="1"/>
  <c r="I382" i="1" s="1"/>
  <c r="H242" i="2"/>
  <c r="J3137" i="44"/>
  <c r="J3136" i="44"/>
  <c r="J3135" i="44"/>
  <c r="J3134" i="44"/>
  <c r="J3133" i="44"/>
  <c r="J3132" i="44"/>
  <c r="I3137" i="44"/>
  <c r="I3136" i="44"/>
  <c r="I3135" i="44"/>
  <c r="I3134" i="44"/>
  <c r="I3133" i="44"/>
  <c r="I3132" i="44"/>
  <c r="J246" i="2" l="1"/>
  <c r="J244" i="2"/>
  <c r="DT13" i="44"/>
  <c r="FC708" i="44"/>
  <c r="D2979" i="44" l="1"/>
  <c r="C2979" i="44"/>
  <c r="J38" i="2" l="1"/>
  <c r="AC708" i="44" s="1"/>
  <c r="BX708" i="44"/>
  <c r="J368" i="2"/>
  <c r="FF708" i="44" s="1"/>
  <c r="ES708" i="44" l="1"/>
  <c r="F3137" i="44"/>
  <c r="E3137" i="44"/>
  <c r="D3137" i="44"/>
  <c r="C3137" i="44"/>
  <c r="B3137" i="44"/>
  <c r="F3136" i="44"/>
  <c r="E3136" i="44"/>
  <c r="D3136" i="44"/>
  <c r="C3136" i="44"/>
  <c r="B3136" i="44"/>
  <c r="F3135" i="44"/>
  <c r="E3135" i="44"/>
  <c r="D3135" i="44"/>
  <c r="C3135" i="44"/>
  <c r="B3135" i="44"/>
  <c r="F3134" i="44"/>
  <c r="E3134" i="44"/>
  <c r="D3134" i="44"/>
  <c r="C3134" i="44"/>
  <c r="B3134" i="44"/>
  <c r="F3133" i="44"/>
  <c r="E3133" i="44"/>
  <c r="D3133" i="44"/>
  <c r="C3133" i="44"/>
  <c r="B3133" i="44"/>
  <c r="F3132" i="44"/>
  <c r="E3132" i="44"/>
  <c r="D3132" i="44"/>
  <c r="C3132" i="44"/>
  <c r="B3132" i="44"/>
  <c r="D2983" i="44"/>
  <c r="C2983" i="44"/>
  <c r="D2982" i="44"/>
  <c r="C2982" i="44"/>
  <c r="D2981" i="44"/>
  <c r="C2981" i="44"/>
  <c r="D2980" i="44"/>
  <c r="C2980" i="44"/>
  <c r="C2685" i="44"/>
  <c r="B2685" i="44"/>
  <c r="C2684" i="44"/>
  <c r="B2684" i="44"/>
  <c r="C2683" i="44"/>
  <c r="B2683" i="44"/>
  <c r="C2682" i="44"/>
  <c r="B2682" i="44"/>
  <c r="C2681" i="44"/>
  <c r="B2681" i="44"/>
  <c r="C2680" i="44"/>
  <c r="B2680" i="44"/>
  <c r="C2679" i="44"/>
  <c r="B2679" i="44"/>
  <c r="C2678" i="44"/>
  <c r="B2678" i="44"/>
  <c r="C2677" i="44"/>
  <c r="B2677" i="44"/>
  <c r="C2676" i="44"/>
  <c r="B2676" i="44"/>
  <c r="C2092" i="44"/>
  <c r="B2092" i="44"/>
  <c r="C2091" i="44"/>
  <c r="B2091" i="44"/>
  <c r="C2090" i="44"/>
  <c r="B2090" i="44"/>
  <c r="C2089" i="44"/>
  <c r="B2089" i="44"/>
  <c r="C2088" i="44"/>
  <c r="B2088" i="44"/>
  <c r="C2087" i="44"/>
  <c r="B2087" i="44"/>
  <c r="C2086" i="44"/>
  <c r="B2086" i="44"/>
  <c r="C2085" i="44"/>
  <c r="B2085" i="44"/>
  <c r="C2084" i="44"/>
  <c r="B2084" i="44"/>
  <c r="C2083" i="44"/>
  <c r="B2083" i="44"/>
  <c r="C2082" i="44"/>
  <c r="B2082" i="44"/>
  <c r="C2081" i="44"/>
  <c r="B2081" i="44"/>
  <c r="C2080" i="44"/>
  <c r="B2080" i="44"/>
  <c r="C2079" i="44"/>
  <c r="B2079" i="44"/>
  <c r="C2078" i="44"/>
  <c r="B2078" i="44"/>
  <c r="C2077" i="44"/>
  <c r="B2077" i="44"/>
  <c r="C2076" i="44"/>
  <c r="B2076" i="44"/>
  <c r="C2075" i="44"/>
  <c r="B2075" i="44"/>
  <c r="C2074" i="44"/>
  <c r="B2074" i="44"/>
  <c r="C2073" i="44"/>
  <c r="B2073" i="44"/>
  <c r="C1779" i="44"/>
  <c r="B1779" i="44"/>
  <c r="C1778" i="44"/>
  <c r="B1778" i="44"/>
  <c r="C1777" i="44"/>
  <c r="B1777" i="44"/>
  <c r="C1776" i="44"/>
  <c r="B1776" i="44"/>
  <c r="C1775" i="44"/>
  <c r="B1775" i="44"/>
  <c r="C1774" i="44"/>
  <c r="B1774" i="44"/>
  <c r="C1773" i="44"/>
  <c r="B1773" i="44"/>
  <c r="C1772" i="44"/>
  <c r="B1772" i="44"/>
  <c r="C1771" i="44"/>
  <c r="B1771" i="44"/>
  <c r="C1770" i="44"/>
  <c r="B1770" i="44"/>
  <c r="C1467" i="44"/>
  <c r="D883" i="44"/>
  <c r="C883" i="44"/>
  <c r="B883" i="44"/>
  <c r="D882" i="44"/>
  <c r="C882" i="44"/>
  <c r="B882" i="44"/>
  <c r="D881" i="44"/>
  <c r="C881" i="44"/>
  <c r="B881" i="44"/>
  <c r="D880" i="44"/>
  <c r="C880" i="44"/>
  <c r="B880" i="44"/>
  <c r="D879" i="44"/>
  <c r="C879" i="44"/>
  <c r="B879" i="44"/>
  <c r="D878" i="44"/>
  <c r="C878" i="44"/>
  <c r="B878" i="44"/>
  <c r="D877" i="44"/>
  <c r="C877" i="44"/>
  <c r="B877" i="44"/>
  <c r="D876" i="44"/>
  <c r="C876" i="44"/>
  <c r="B876" i="44"/>
  <c r="D875" i="44"/>
  <c r="C875" i="44"/>
  <c r="B875" i="44"/>
  <c r="D874" i="44"/>
  <c r="C874" i="44"/>
  <c r="B874" i="44"/>
  <c r="D873" i="44"/>
  <c r="C873" i="44"/>
  <c r="B873" i="44"/>
  <c r="D872" i="44"/>
  <c r="C872" i="44"/>
  <c r="B872" i="44"/>
  <c r="D871" i="44"/>
  <c r="C871" i="44"/>
  <c r="B871" i="44"/>
  <c r="D870" i="44"/>
  <c r="C870" i="44"/>
  <c r="B870" i="44"/>
  <c r="D869" i="44"/>
  <c r="C869" i="44"/>
  <c r="B869" i="44"/>
  <c r="D868" i="44"/>
  <c r="C868" i="44"/>
  <c r="B868" i="44"/>
  <c r="D867" i="44"/>
  <c r="C867" i="44"/>
  <c r="B867" i="44"/>
  <c r="D866" i="44"/>
  <c r="C866" i="44"/>
  <c r="B866" i="44"/>
  <c r="D865" i="44"/>
  <c r="C865" i="44"/>
  <c r="B865" i="44"/>
  <c r="D864" i="44"/>
  <c r="C864" i="44"/>
  <c r="B864" i="44"/>
  <c r="C744" i="44"/>
  <c r="B744" i="44"/>
  <c r="C743" i="44"/>
  <c r="B743" i="44"/>
  <c r="C742" i="44"/>
  <c r="B742" i="44"/>
  <c r="C741" i="44"/>
  <c r="B741" i="44"/>
  <c r="EC708" i="44"/>
  <c r="DQ708" i="44"/>
  <c r="DP708" i="44"/>
  <c r="DM708" i="44"/>
  <c r="DL708" i="44"/>
  <c r="DI708" i="44" l="1"/>
  <c r="DH708" i="44"/>
  <c r="DE708" i="44"/>
  <c r="DD708" i="44"/>
  <c r="DA708" i="44"/>
  <c r="CZ708" i="44"/>
  <c r="CN708" i="44"/>
  <c r="CJ708" i="44"/>
  <c r="CH708" i="44"/>
  <c r="CG708" i="44"/>
  <c r="CE708" i="44"/>
  <c r="BW708" i="44"/>
  <c r="BU708" i="44"/>
  <c r="BQ708" i="44"/>
  <c r="BO708" i="44"/>
  <c r="BG708" i="44"/>
  <c r="BF708" i="44"/>
  <c r="BE708" i="44"/>
  <c r="BD708" i="44"/>
  <c r="BC708" i="44"/>
  <c r="BA708" i="44"/>
  <c r="AZ708" i="44"/>
  <c r="AV708" i="44"/>
  <c r="AU708" i="44"/>
  <c r="AO708" i="44"/>
  <c r="AM708" i="44"/>
  <c r="AL708" i="44"/>
  <c r="AB708" i="44"/>
  <c r="Z708" i="44"/>
  <c r="P708" i="44" l="1"/>
  <c r="N708" i="44"/>
  <c r="A204" i="44" l="1"/>
  <c r="A203" i="44"/>
  <c r="A202" i="44"/>
  <c r="A201" i="44"/>
  <c r="A200" i="44"/>
  <c r="C196" i="44"/>
  <c r="B196" i="44"/>
  <c r="A196" i="44"/>
  <c r="C195" i="44"/>
  <c r="B195" i="44"/>
  <c r="A195" i="44"/>
  <c r="A166" i="44"/>
  <c r="A165" i="44"/>
  <c r="A164" i="44"/>
  <c r="A163" i="44"/>
  <c r="A162" i="44"/>
  <c r="C158" i="44"/>
  <c r="B158" i="44"/>
  <c r="A158" i="44"/>
  <c r="C157" i="44"/>
  <c r="B157" i="44"/>
  <c r="A157" i="44"/>
  <c r="H153" i="44"/>
  <c r="D153" i="44"/>
  <c r="C153" i="44"/>
  <c r="B153" i="44"/>
  <c r="H152" i="44"/>
  <c r="D152" i="44"/>
  <c r="C152" i="44"/>
  <c r="B152" i="44"/>
  <c r="H151" i="44"/>
  <c r="D151" i="44"/>
  <c r="C151" i="44"/>
  <c r="B151" i="44"/>
  <c r="H150" i="44"/>
  <c r="D150" i="44"/>
  <c r="C150" i="44"/>
  <c r="B150" i="44"/>
  <c r="H149" i="44"/>
  <c r="D149" i="44"/>
  <c r="C149" i="44"/>
  <c r="B149" i="44"/>
  <c r="B143" i="44" l="1"/>
  <c r="A143" i="44"/>
  <c r="B142" i="44"/>
  <c r="A142" i="44"/>
  <c r="B141" i="44"/>
  <c r="A141" i="44"/>
  <c r="B140" i="44"/>
  <c r="A140" i="44"/>
  <c r="B139" i="44"/>
  <c r="A139" i="44"/>
  <c r="B138" i="44"/>
  <c r="A138" i="44"/>
  <c r="B137" i="44"/>
  <c r="A137" i="44"/>
  <c r="B136" i="44"/>
  <c r="A136" i="44"/>
  <c r="B135" i="44"/>
  <c r="A135" i="44"/>
  <c r="B134" i="44"/>
  <c r="A134" i="44"/>
  <c r="B133" i="44"/>
  <c r="A133" i="44"/>
  <c r="B132" i="44"/>
  <c r="A132" i="44"/>
  <c r="B131" i="44"/>
  <c r="A131" i="44"/>
  <c r="B130" i="44"/>
  <c r="A130" i="44"/>
  <c r="B129" i="44"/>
  <c r="A129" i="44"/>
  <c r="B128" i="44"/>
  <c r="A128" i="44"/>
  <c r="B127" i="44"/>
  <c r="A127" i="44"/>
  <c r="B126" i="44"/>
  <c r="A126" i="44"/>
  <c r="B125" i="44"/>
  <c r="A125" i="44"/>
  <c r="B124" i="44"/>
  <c r="A124" i="44"/>
  <c r="B123" i="44"/>
  <c r="A123" i="44"/>
  <c r="B122" i="44"/>
  <c r="A122" i="44"/>
  <c r="B121" i="44"/>
  <c r="A121" i="44"/>
  <c r="B120" i="44"/>
  <c r="A120" i="44"/>
  <c r="B119" i="44"/>
  <c r="A119" i="44"/>
  <c r="B118" i="44"/>
  <c r="A118" i="44"/>
  <c r="B117" i="44"/>
  <c r="A117" i="44"/>
  <c r="B116" i="44"/>
  <c r="A116" i="44"/>
  <c r="B115" i="44"/>
  <c r="A115" i="44"/>
  <c r="B114" i="44"/>
  <c r="A114" i="44"/>
  <c r="L110" i="44"/>
  <c r="K110" i="44"/>
  <c r="J110" i="44"/>
  <c r="I110" i="44"/>
  <c r="F110" i="44"/>
  <c r="E110" i="44"/>
  <c r="D110" i="44"/>
  <c r="G106" i="44" l="1"/>
  <c r="G105" i="44"/>
  <c r="G104" i="44"/>
  <c r="G103" i="44"/>
  <c r="G102" i="44"/>
  <c r="G101" i="44"/>
  <c r="G100" i="44"/>
  <c r="G99" i="44"/>
  <c r="G98" i="44"/>
  <c r="G97" i="44"/>
  <c r="G96" i="44"/>
  <c r="G95" i="44"/>
  <c r="G94" i="44"/>
  <c r="G93" i="44"/>
  <c r="G92" i="44"/>
  <c r="G91" i="44"/>
  <c r="G90" i="44"/>
  <c r="G89" i="44"/>
  <c r="G88" i="44"/>
  <c r="G87" i="44"/>
  <c r="G86" i="44"/>
  <c r="G85" i="44"/>
  <c r="G84" i="44"/>
  <c r="G83" i="44"/>
  <c r="G82" i="44"/>
  <c r="G81" i="44"/>
  <c r="G80" i="44"/>
  <c r="G79" i="44"/>
  <c r="G78" i="44"/>
  <c r="G77" i="44"/>
  <c r="G76" i="44"/>
  <c r="G75" i="44"/>
  <c r="G74" i="44"/>
  <c r="G73" i="44"/>
  <c r="G72" i="44"/>
  <c r="G71" i="44"/>
  <c r="G70" i="44"/>
  <c r="G69" i="44"/>
  <c r="G68" i="44"/>
  <c r="G67" i="44"/>
  <c r="G66" i="44"/>
  <c r="G65" i="44"/>
  <c r="G64" i="44"/>
  <c r="G63" i="44"/>
  <c r="G62" i="44"/>
  <c r="G61" i="44"/>
  <c r="G60" i="44"/>
  <c r="G59" i="44"/>
  <c r="G58" i="44"/>
  <c r="G57" i="44"/>
  <c r="G56" i="44"/>
  <c r="G55" i="44"/>
  <c r="G54" i="44"/>
  <c r="G53" i="44"/>
  <c r="G52" i="44"/>
  <c r="G51" i="44"/>
  <c r="G50" i="44"/>
  <c r="G49" i="44"/>
  <c r="G48" i="44"/>
  <c r="G47" i="44"/>
  <c r="G46" i="44"/>
  <c r="G45" i="44"/>
  <c r="G44" i="44"/>
  <c r="G43" i="44"/>
  <c r="G42" i="44"/>
  <c r="G41" i="44"/>
  <c r="G40" i="44"/>
  <c r="G39" i="44"/>
  <c r="G38" i="44"/>
  <c r="G37" i="44"/>
  <c r="G36" i="44"/>
  <c r="G35" i="44"/>
  <c r="G34" i="44"/>
  <c r="G33" i="44"/>
  <c r="G32" i="44"/>
  <c r="G31" i="44"/>
  <c r="G30" i="44"/>
  <c r="G29" i="44"/>
  <c r="G28" i="44"/>
  <c r="G27" i="44"/>
  <c r="G26" i="44"/>
  <c r="G25" i="44"/>
  <c r="G24" i="44"/>
  <c r="G23" i="44"/>
  <c r="G22" i="44"/>
  <c r="G21" i="44"/>
  <c r="G20" i="44"/>
  <c r="G19" i="44"/>
  <c r="G18" i="44"/>
  <c r="G17" i="44"/>
  <c r="E106" i="44"/>
  <c r="E105" i="44"/>
  <c r="E104" i="44"/>
  <c r="E103" i="44"/>
  <c r="E102" i="44"/>
  <c r="E101" i="44"/>
  <c r="E100" i="44"/>
  <c r="E99" i="44"/>
  <c r="E98" i="44"/>
  <c r="E97" i="44"/>
  <c r="E96" i="44"/>
  <c r="E95" i="44"/>
  <c r="E94" i="44"/>
  <c r="E93" i="44"/>
  <c r="E92" i="44"/>
  <c r="E91" i="44"/>
  <c r="E90" i="44"/>
  <c r="E89" i="44"/>
  <c r="E88" i="44"/>
  <c r="E87" i="44"/>
  <c r="E86" i="44"/>
  <c r="E85" i="44"/>
  <c r="E84" i="44"/>
  <c r="E83" i="44"/>
  <c r="E82" i="44"/>
  <c r="E81" i="44"/>
  <c r="E80" i="44"/>
  <c r="E79" i="44"/>
  <c r="E78" i="44"/>
  <c r="E77" i="44"/>
  <c r="D106" i="44"/>
  <c r="D105" i="44"/>
  <c r="D104" i="44"/>
  <c r="D103" i="44"/>
  <c r="D102" i="44"/>
  <c r="D101" i="44"/>
  <c r="D100" i="44"/>
  <c r="D99" i="44"/>
  <c r="D98" i="44"/>
  <c r="D97" i="44"/>
  <c r="D96" i="44"/>
  <c r="D95" i="44"/>
  <c r="D94" i="44"/>
  <c r="D93" i="44"/>
  <c r="D92" i="44"/>
  <c r="D91" i="44"/>
  <c r="D90" i="44"/>
  <c r="D89" i="44"/>
  <c r="D88" i="44"/>
  <c r="D87" i="44"/>
  <c r="D86" i="44"/>
  <c r="D85" i="44"/>
  <c r="D84" i="44"/>
  <c r="D83" i="44"/>
  <c r="D82" i="44"/>
  <c r="D81" i="44"/>
  <c r="D80" i="44"/>
  <c r="D79" i="44"/>
  <c r="D78" i="44"/>
  <c r="D77" i="44"/>
  <c r="E76" i="44"/>
  <c r="E75" i="44"/>
  <c r="E74" i="44"/>
  <c r="E73" i="44"/>
  <c r="E72" i="44"/>
  <c r="E71" i="44"/>
  <c r="E70" i="44"/>
  <c r="E69" i="44"/>
  <c r="E68" i="44"/>
  <c r="E67" i="44"/>
  <c r="E66" i="44"/>
  <c r="E65" i="44"/>
  <c r="E64" i="44"/>
  <c r="E63" i="44"/>
  <c r="E62" i="44"/>
  <c r="E61" i="44"/>
  <c r="E60" i="44"/>
  <c r="E59" i="44"/>
  <c r="E58" i="44"/>
  <c r="E57" i="44"/>
  <c r="E56" i="44"/>
  <c r="E55" i="44"/>
  <c r="E54" i="44"/>
  <c r="E53" i="44"/>
  <c r="E52" i="44"/>
  <c r="E51" i="44"/>
  <c r="E50" i="44"/>
  <c r="E49" i="44"/>
  <c r="E48" i="44"/>
  <c r="E47" i="44"/>
  <c r="D76" i="44"/>
  <c r="D75" i="44"/>
  <c r="D74" i="44"/>
  <c r="D73" i="44"/>
  <c r="D72" i="44"/>
  <c r="D71" i="44"/>
  <c r="D70" i="44"/>
  <c r="D69" i="44"/>
  <c r="D68" i="44"/>
  <c r="D67" i="44"/>
  <c r="D66" i="44"/>
  <c r="D65" i="44"/>
  <c r="D64" i="44"/>
  <c r="D63" i="44"/>
  <c r="D62" i="44"/>
  <c r="D61" i="44"/>
  <c r="D60" i="44"/>
  <c r="D59" i="44"/>
  <c r="D58" i="44"/>
  <c r="D57" i="44"/>
  <c r="D56" i="44"/>
  <c r="D55" i="44"/>
  <c r="D54" i="44"/>
  <c r="D53" i="44"/>
  <c r="D52" i="44"/>
  <c r="D51" i="44"/>
  <c r="D50" i="44"/>
  <c r="D49" i="44"/>
  <c r="D48" i="44"/>
  <c r="D47" i="44"/>
  <c r="E46" i="44"/>
  <c r="D46" i="44"/>
  <c r="E45" i="44"/>
  <c r="D45" i="44"/>
  <c r="E44" i="44"/>
  <c r="D44" i="44"/>
  <c r="E43" i="44"/>
  <c r="D43" i="44"/>
  <c r="E42" i="44"/>
  <c r="D42" i="44"/>
  <c r="E41" i="44"/>
  <c r="D41" i="44"/>
  <c r="E40" i="44"/>
  <c r="D40" i="44"/>
  <c r="E39" i="44"/>
  <c r="D39" i="44"/>
  <c r="E38" i="44"/>
  <c r="D38" i="44"/>
  <c r="E37" i="44"/>
  <c r="D37" i="44"/>
  <c r="E36" i="44"/>
  <c r="D36" i="44"/>
  <c r="E35" i="44"/>
  <c r="D35" i="44"/>
  <c r="E34" i="44"/>
  <c r="D34" i="44"/>
  <c r="E33" i="44"/>
  <c r="D33" i="44"/>
  <c r="E32" i="44"/>
  <c r="D32" i="44"/>
  <c r="E31" i="44"/>
  <c r="D31" i="44"/>
  <c r="E30" i="44"/>
  <c r="D30" i="44"/>
  <c r="E29" i="44"/>
  <c r="D29" i="44"/>
  <c r="E28" i="44"/>
  <c r="D28" i="44"/>
  <c r="E27" i="44"/>
  <c r="D27" i="44"/>
  <c r="E26" i="44"/>
  <c r="D26" i="44"/>
  <c r="E25" i="44"/>
  <c r="D25" i="44"/>
  <c r="E24" i="44"/>
  <c r="D24" i="44"/>
  <c r="E23" i="44"/>
  <c r="D23" i="44"/>
  <c r="E22" i="44"/>
  <c r="D22" i="44"/>
  <c r="E21" i="44"/>
  <c r="D21" i="44"/>
  <c r="E20" i="44"/>
  <c r="D20" i="44"/>
  <c r="E19" i="44"/>
  <c r="D19" i="44"/>
  <c r="E18" i="44"/>
  <c r="D18" i="44"/>
  <c r="C106" i="44"/>
  <c r="B106" i="44"/>
  <c r="A106" i="44"/>
  <c r="C105" i="44"/>
  <c r="B105" i="44"/>
  <c r="A105" i="44"/>
  <c r="C104" i="44"/>
  <c r="B104" i="44"/>
  <c r="A104" i="44"/>
  <c r="C103" i="44"/>
  <c r="B103" i="44"/>
  <c r="A103" i="44"/>
  <c r="C102" i="44"/>
  <c r="B102" i="44"/>
  <c r="A102" i="44"/>
  <c r="C101" i="44"/>
  <c r="B101" i="44"/>
  <c r="A101" i="44"/>
  <c r="C100" i="44"/>
  <c r="B100" i="44"/>
  <c r="A100" i="44"/>
  <c r="C99" i="44"/>
  <c r="B99" i="44"/>
  <c r="A99" i="44"/>
  <c r="C98" i="44"/>
  <c r="B98" i="44"/>
  <c r="A98" i="44"/>
  <c r="C97" i="44"/>
  <c r="B97" i="44"/>
  <c r="A97" i="44"/>
  <c r="C96" i="44"/>
  <c r="B96" i="44"/>
  <c r="A96" i="44"/>
  <c r="C95" i="44"/>
  <c r="B95" i="44"/>
  <c r="A95" i="44"/>
  <c r="C94" i="44"/>
  <c r="B94" i="44"/>
  <c r="A94" i="44"/>
  <c r="C93" i="44"/>
  <c r="B93" i="44"/>
  <c r="A93" i="44"/>
  <c r="C92" i="44"/>
  <c r="B92" i="44"/>
  <c r="A92" i="44"/>
  <c r="C91" i="44"/>
  <c r="B91" i="44"/>
  <c r="A91" i="44"/>
  <c r="C90" i="44"/>
  <c r="B90" i="44"/>
  <c r="A90" i="44"/>
  <c r="C89" i="44"/>
  <c r="B89" i="44"/>
  <c r="A89" i="44"/>
  <c r="C88" i="44"/>
  <c r="B88" i="44"/>
  <c r="A88" i="44"/>
  <c r="C87" i="44"/>
  <c r="B87" i="44"/>
  <c r="A87" i="44"/>
  <c r="C86" i="44"/>
  <c r="B86" i="44"/>
  <c r="A86" i="44"/>
  <c r="C85" i="44"/>
  <c r="B85" i="44"/>
  <c r="A85" i="44"/>
  <c r="C84" i="44"/>
  <c r="B84" i="44"/>
  <c r="A84" i="44"/>
  <c r="C83" i="44"/>
  <c r="B83" i="44"/>
  <c r="A83" i="44"/>
  <c r="C82" i="44"/>
  <c r="B82" i="44"/>
  <c r="A82" i="44"/>
  <c r="C81" i="44"/>
  <c r="B81" i="44"/>
  <c r="A81" i="44"/>
  <c r="C80" i="44"/>
  <c r="B80" i="44"/>
  <c r="A80" i="44"/>
  <c r="C79" i="44"/>
  <c r="B79" i="44"/>
  <c r="A79" i="44"/>
  <c r="C78" i="44"/>
  <c r="B78" i="44"/>
  <c r="A78" i="44"/>
  <c r="C77" i="44"/>
  <c r="B77" i="44"/>
  <c r="A77" i="44"/>
  <c r="C76" i="44"/>
  <c r="B76" i="44"/>
  <c r="A76" i="44"/>
  <c r="C75" i="44"/>
  <c r="B75" i="44"/>
  <c r="A75" i="44"/>
  <c r="C74" i="44"/>
  <c r="B74" i="44"/>
  <c r="A74" i="44"/>
  <c r="C73" i="44"/>
  <c r="B73" i="44"/>
  <c r="A73" i="44"/>
  <c r="C72" i="44"/>
  <c r="B72" i="44"/>
  <c r="A72" i="44"/>
  <c r="C71" i="44"/>
  <c r="B71" i="44"/>
  <c r="A71" i="44"/>
  <c r="C70" i="44"/>
  <c r="B70" i="44"/>
  <c r="A70" i="44"/>
  <c r="C69" i="44"/>
  <c r="B69" i="44"/>
  <c r="A69" i="44"/>
  <c r="C68" i="44"/>
  <c r="B68" i="44"/>
  <c r="A68" i="44"/>
  <c r="C67" i="44"/>
  <c r="B67" i="44"/>
  <c r="A67" i="44"/>
  <c r="C66" i="44"/>
  <c r="B66" i="44"/>
  <c r="A66" i="44"/>
  <c r="C65" i="44"/>
  <c r="B65" i="44"/>
  <c r="A65" i="44"/>
  <c r="C64" i="44"/>
  <c r="B64" i="44"/>
  <c r="A64" i="44"/>
  <c r="C63" i="44"/>
  <c r="B63" i="44"/>
  <c r="A63" i="44"/>
  <c r="C62" i="44"/>
  <c r="B62" i="44"/>
  <c r="A62" i="44"/>
  <c r="C61" i="44"/>
  <c r="B61" i="44"/>
  <c r="A61" i="44"/>
  <c r="C60" i="44"/>
  <c r="B60" i="44"/>
  <c r="A60" i="44"/>
  <c r="C59" i="44"/>
  <c r="B59" i="44"/>
  <c r="A59" i="44"/>
  <c r="C58" i="44"/>
  <c r="B58" i="44"/>
  <c r="A58" i="44"/>
  <c r="C57" i="44"/>
  <c r="B57" i="44"/>
  <c r="A57" i="44"/>
  <c r="C56" i="44"/>
  <c r="B56" i="44"/>
  <c r="A56" i="44"/>
  <c r="C55" i="44"/>
  <c r="B55" i="44"/>
  <c r="A55" i="44"/>
  <c r="C54" i="44"/>
  <c r="B54" i="44"/>
  <c r="A54" i="44"/>
  <c r="C53" i="44"/>
  <c r="B53" i="44"/>
  <c r="A53" i="44"/>
  <c r="C52" i="44"/>
  <c r="B52" i="44"/>
  <c r="A52" i="44"/>
  <c r="C51" i="44"/>
  <c r="B51" i="44"/>
  <c r="A51" i="44"/>
  <c r="C50" i="44"/>
  <c r="B50" i="44"/>
  <c r="A50" i="44"/>
  <c r="C49" i="44"/>
  <c r="B49" i="44"/>
  <c r="A49" i="44"/>
  <c r="C48" i="44"/>
  <c r="B48" i="44"/>
  <c r="A48" i="44"/>
  <c r="C47" i="44"/>
  <c r="B47" i="44"/>
  <c r="A47" i="44"/>
  <c r="A18" i="44"/>
  <c r="B18" i="44"/>
  <c r="C18" i="44"/>
  <c r="A19" i="44"/>
  <c r="B19" i="44"/>
  <c r="C19" i="44"/>
  <c r="A20" i="44"/>
  <c r="B20" i="44"/>
  <c r="C20" i="44"/>
  <c r="A21" i="44"/>
  <c r="B21" i="44"/>
  <c r="C21" i="44"/>
  <c r="A22" i="44"/>
  <c r="B22" i="44"/>
  <c r="C22" i="44"/>
  <c r="A23" i="44"/>
  <c r="B23" i="44"/>
  <c r="C23" i="44"/>
  <c r="A24" i="44"/>
  <c r="B24" i="44"/>
  <c r="C24" i="44"/>
  <c r="A25" i="44"/>
  <c r="B25" i="44"/>
  <c r="C25" i="44"/>
  <c r="A26" i="44"/>
  <c r="B26" i="44"/>
  <c r="C26" i="44"/>
  <c r="A27" i="44"/>
  <c r="B27" i="44"/>
  <c r="C27" i="44"/>
  <c r="A28" i="44"/>
  <c r="A29" i="44"/>
  <c r="B29" i="44"/>
  <c r="C29" i="44"/>
  <c r="A30" i="44"/>
  <c r="B30" i="44"/>
  <c r="C30" i="44"/>
  <c r="A31" i="44"/>
  <c r="B31" i="44"/>
  <c r="C31" i="44"/>
  <c r="A32" i="44"/>
  <c r="B32" i="44"/>
  <c r="C32" i="44"/>
  <c r="A33" i="44"/>
  <c r="B33" i="44"/>
  <c r="C33" i="44"/>
  <c r="A34" i="44"/>
  <c r="B34" i="44"/>
  <c r="C34" i="44"/>
  <c r="A35" i="44"/>
  <c r="B35" i="44"/>
  <c r="C35" i="44"/>
  <c r="A36" i="44"/>
  <c r="B36" i="44"/>
  <c r="C36" i="44"/>
  <c r="A37" i="44"/>
  <c r="B37" i="44"/>
  <c r="C37" i="44"/>
  <c r="A38" i="44"/>
  <c r="B38" i="44"/>
  <c r="C38" i="44"/>
  <c r="A39" i="44"/>
  <c r="B39" i="44"/>
  <c r="C39" i="44"/>
  <c r="A40" i="44"/>
  <c r="B40" i="44"/>
  <c r="C40" i="44"/>
  <c r="A41" i="44"/>
  <c r="B41" i="44"/>
  <c r="C41" i="44"/>
  <c r="A42" i="44"/>
  <c r="B42" i="44"/>
  <c r="C42" i="44"/>
  <c r="A43" i="44"/>
  <c r="B43" i="44"/>
  <c r="C43" i="44"/>
  <c r="A44" i="44"/>
  <c r="B44" i="44"/>
  <c r="C44" i="44"/>
  <c r="A45" i="44"/>
  <c r="B45" i="44"/>
  <c r="C45" i="44"/>
  <c r="A46" i="44"/>
  <c r="B46" i="44"/>
  <c r="C46" i="44"/>
  <c r="A17" i="44"/>
  <c r="B17" i="44"/>
  <c r="C17" i="44"/>
  <c r="E17" i="44"/>
  <c r="D17" i="44"/>
  <c r="EA13" i="44" l="1"/>
  <c r="DZ13" i="44"/>
  <c r="DY13" i="44"/>
  <c r="DX13" i="44"/>
  <c r="DV13" i="44"/>
  <c r="DS13" i="44"/>
  <c r="H13" i="44" l="1"/>
  <c r="C3" i="44" l="1"/>
  <c r="DW13" i="44"/>
  <c r="DU13" i="44"/>
  <c r="DR13" i="44"/>
  <c r="DC13" i="44"/>
  <c r="DB13" i="44"/>
  <c r="DA13" i="44"/>
  <c r="CZ13" i="44"/>
  <c r="CY13" i="44"/>
  <c r="CX13" i="44"/>
  <c r="CW13" i="44"/>
  <c r="CV13" i="44"/>
  <c r="CU13" i="44"/>
  <c r="CT13" i="44"/>
  <c r="CS13" i="44"/>
  <c r="CR13" i="44"/>
  <c r="CQ13" i="44"/>
  <c r="CP13" i="44"/>
  <c r="CO13" i="44"/>
  <c r="G13" i="44"/>
  <c r="K86" i="2" l="1"/>
  <c r="AR708" i="44" s="1"/>
  <c r="J146" i="2" l="1"/>
  <c r="BR708" i="44" s="1"/>
  <c r="J366" i="2" l="1"/>
  <c r="J369" i="2" s="1"/>
  <c r="T349" i="2"/>
  <c r="T350" i="2"/>
  <c r="L355" i="2" s="1"/>
  <c r="T351" i="2"/>
  <c r="T352" i="2"/>
  <c r="T353" i="2"/>
  <c r="T354" i="2"/>
  <c r="J51" i="2"/>
  <c r="AE708" i="44" s="1"/>
  <c r="K17" i="2"/>
  <c r="T708" i="44" s="1"/>
  <c r="FE708" i="44" l="1"/>
  <c r="FG708" i="44"/>
  <c r="C8" i="39"/>
  <c r="C7" i="39"/>
  <c r="H374" i="1"/>
  <c r="DQ13" i="44" s="1"/>
  <c r="N307" i="1"/>
  <c r="DO13" i="44" s="1"/>
  <c r="K340" i="1"/>
  <c r="DP13" i="44" s="1"/>
  <c r="J235" i="2" l="1"/>
  <c r="CC708" i="44" s="1"/>
  <c r="B5" i="41" l="1"/>
  <c r="B4" i="41"/>
  <c r="I2" i="41"/>
  <c r="F2" i="41"/>
  <c r="D2" i="41"/>
  <c r="A2" i="41"/>
  <c r="C8" i="34"/>
  <c r="H7" i="34"/>
  <c r="C7" i="34"/>
  <c r="H7" i="33"/>
  <c r="C7" i="33"/>
  <c r="B5" i="38"/>
  <c r="B4" i="38"/>
  <c r="I2" i="38"/>
  <c r="G2" i="38"/>
  <c r="E2" i="38"/>
  <c r="A2" i="38"/>
  <c r="B5" i="36"/>
  <c r="B4" i="36"/>
  <c r="G2" i="36"/>
  <c r="E2" i="36"/>
  <c r="A2" i="36"/>
  <c r="B5" i="34"/>
  <c r="B4" i="34"/>
  <c r="I2" i="34"/>
  <c r="G2" i="34"/>
  <c r="E2" i="34"/>
  <c r="A2" i="34"/>
  <c r="B5" i="33"/>
  <c r="B4" i="33"/>
  <c r="I2" i="33"/>
  <c r="G2" i="33"/>
  <c r="E2" i="33"/>
  <c r="A2" i="33"/>
  <c r="C235" i="1"/>
  <c r="F235" i="1"/>
  <c r="J231" i="1"/>
  <c r="DD13" i="44" s="1"/>
  <c r="H7" i="32"/>
  <c r="C8" i="32"/>
  <c r="C7" i="32"/>
  <c r="B5" i="32"/>
  <c r="B4" i="32"/>
  <c r="I2" i="32"/>
  <c r="G2" i="32"/>
  <c r="E2" i="32"/>
  <c r="A2" i="32"/>
  <c r="L47" i="32"/>
  <c r="O110" i="44" s="1"/>
  <c r="L46" i="32"/>
  <c r="N110" i="44" s="1"/>
  <c r="L45" i="32"/>
  <c r="M110" i="44" s="1"/>
  <c r="I14" i="32" l="1"/>
  <c r="C110" i="44" s="1"/>
  <c r="E236" i="1"/>
  <c r="J233" i="1" s="1"/>
  <c r="I13" i="32"/>
  <c r="B110" i="44" s="1"/>
  <c r="F57" i="32"/>
  <c r="J318" i="2"/>
  <c r="EN708" i="44" s="1"/>
  <c r="J317" i="2"/>
  <c r="EM708" i="44" s="1"/>
  <c r="J309" i="2"/>
  <c r="EJ708" i="44" s="1"/>
  <c r="J308" i="2"/>
  <c r="EI708" i="44" s="1"/>
  <c r="J296" i="2"/>
  <c r="E2980" i="44" s="1"/>
  <c r="J297" i="2"/>
  <c r="E2981" i="44" s="1"/>
  <c r="J298" i="2"/>
  <c r="E2982" i="44" s="1"/>
  <c r="J299" i="2"/>
  <c r="E2983" i="44" s="1"/>
  <c r="J295" i="2"/>
  <c r="E2979" i="44" s="1"/>
  <c r="I275" i="2"/>
  <c r="DJ708" i="44" s="1"/>
  <c r="I276" i="2"/>
  <c r="DN708" i="44" s="1"/>
  <c r="I277" i="2"/>
  <c r="DR708" i="44" s="1"/>
  <c r="I274" i="2"/>
  <c r="CR708" i="44"/>
  <c r="J216" i="2"/>
  <c r="CB708" i="44" s="1"/>
  <c r="J182" i="2"/>
  <c r="BZ708" i="44" s="1"/>
  <c r="G131" i="2"/>
  <c r="J131" i="2"/>
  <c r="K115" i="2"/>
  <c r="BH708" i="44" s="1"/>
  <c r="F82" i="2"/>
  <c r="CP708" i="44" l="1"/>
  <c r="DF708" i="44"/>
  <c r="DB708" i="44"/>
  <c r="F84" i="2"/>
  <c r="AP708" i="44" s="1"/>
  <c r="AN708" i="44"/>
  <c r="CI708" i="44"/>
  <c r="K106" i="2"/>
  <c r="AX708" i="44"/>
  <c r="K105" i="2"/>
  <c r="AW708" i="44"/>
  <c r="F58" i="32"/>
  <c r="H110" i="44" s="1"/>
  <c r="G110" i="44"/>
  <c r="J300" i="2"/>
  <c r="J285" i="2"/>
  <c r="L242" i="2"/>
  <c r="J245" i="2" s="1"/>
  <c r="CQ708" i="44" s="1"/>
  <c r="K30" i="2"/>
  <c r="X708" i="44" s="1"/>
  <c r="A2" i="2"/>
  <c r="I387" i="1"/>
  <c r="I377" i="1"/>
  <c r="I378" i="1"/>
  <c r="T2" i="2"/>
  <c r="I2" i="2"/>
  <c r="B2" i="2"/>
  <c r="G2" i="2"/>
  <c r="F184" i="1" l="1"/>
  <c r="F170" i="1"/>
  <c r="G708" i="44"/>
  <c r="D2" i="2"/>
  <c r="K708" i="44" s="1"/>
  <c r="U2" i="2"/>
  <c r="J708" i="44"/>
  <c r="F708" i="44"/>
  <c r="DY708" i="44"/>
  <c r="J307" i="2"/>
  <c r="G13" i="39"/>
  <c r="G14" i="40"/>
  <c r="H13" i="39"/>
  <c r="H14" i="40"/>
  <c r="K107" i="2"/>
  <c r="K110" i="2" s="1"/>
  <c r="AE13" i="44"/>
  <c r="F552" i="1"/>
  <c r="F538" i="1"/>
  <c r="F522" i="1"/>
  <c r="F246" i="1"/>
  <c r="F202" i="1"/>
  <c r="F156" i="1"/>
  <c r="F142" i="1"/>
  <c r="F124" i="1"/>
  <c r="G136" i="1" s="1"/>
  <c r="BR13" i="44" s="1"/>
  <c r="F490" i="1"/>
  <c r="F476" i="1"/>
  <c r="I488" i="1" s="1"/>
  <c r="EX13" i="44" s="1"/>
  <c r="F462" i="1"/>
  <c r="F448" i="1"/>
  <c r="F434" i="1"/>
  <c r="F420" i="1"/>
  <c r="F566" i="1"/>
  <c r="EB13" i="44"/>
  <c r="I388" i="1"/>
  <c r="EB708" i="44"/>
  <c r="J302" i="2"/>
  <c r="ED708" i="44" s="1"/>
  <c r="CK708" i="44"/>
  <c r="I12" i="32"/>
  <c r="A110" i="44" s="1"/>
  <c r="AF13" i="44"/>
  <c r="J234" i="1"/>
  <c r="DE13" i="44"/>
  <c r="J288" i="2"/>
  <c r="DZ708" i="44" s="1"/>
  <c r="F110" i="1"/>
  <c r="I182" i="1" l="1"/>
  <c r="CD13" i="44" s="1"/>
  <c r="G182" i="1"/>
  <c r="CC13" i="44" s="1"/>
  <c r="I196" i="1"/>
  <c r="CG13" i="44" s="1"/>
  <c r="G196" i="1"/>
  <c r="CF13" i="44" s="1"/>
  <c r="I14" i="40"/>
  <c r="J14" i="40" s="1"/>
  <c r="I13" i="39"/>
  <c r="J13" i="39" s="1"/>
  <c r="A704" i="44" s="1"/>
  <c r="AY708" i="44"/>
  <c r="DF13" i="44"/>
  <c r="I578" i="1"/>
  <c r="FR13" i="44" s="1"/>
  <c r="G578" i="1"/>
  <c r="FQ13" i="44" s="1"/>
  <c r="J326" i="2"/>
  <c r="EP708" i="44" s="1"/>
  <c r="EH708" i="44"/>
  <c r="I398" i="1"/>
  <c r="EC13" i="44"/>
  <c r="F508" i="1"/>
  <c r="G488" i="1"/>
  <c r="EW13" i="44" s="1"/>
  <c r="G502" i="1"/>
  <c r="EZ13" i="44" s="1"/>
  <c r="J291" i="2"/>
  <c r="J292" i="2" s="1"/>
  <c r="L326" i="2"/>
  <c r="K116" i="2"/>
  <c r="J132" i="2" s="1"/>
  <c r="BB708" i="44"/>
  <c r="L48" i="32"/>
  <c r="P110" i="44" s="1"/>
  <c r="I535" i="1"/>
  <c r="FI13" i="44" s="1"/>
  <c r="G535" i="1"/>
  <c r="FH13" i="44" s="1"/>
  <c r="I564" i="1"/>
  <c r="FO13" i="44" s="1"/>
  <c r="G564" i="1"/>
  <c r="FN13" i="44" s="1"/>
  <c r="G550" i="1"/>
  <c r="FK13" i="44" s="1"/>
  <c r="I550" i="1"/>
  <c r="FL13" i="44" s="1"/>
  <c r="G474" i="1"/>
  <c r="ET13" i="44" s="1"/>
  <c r="I474" i="1"/>
  <c r="EU13" i="44" s="1"/>
  <c r="G460" i="1"/>
  <c r="EQ13" i="44" s="1"/>
  <c r="I460" i="1"/>
  <c r="ER13" i="44" s="1"/>
  <c r="I136" i="1"/>
  <c r="BS13" i="44" s="1"/>
  <c r="I258" i="1"/>
  <c r="H25" i="39" s="1"/>
  <c r="G258" i="1"/>
  <c r="G25" i="39" s="1"/>
  <c r="G446" i="1"/>
  <c r="EN13" i="44" s="1"/>
  <c r="I446" i="1"/>
  <c r="EO13" i="44" s="1"/>
  <c r="I432" i="1"/>
  <c r="EL13" i="44" s="1"/>
  <c r="G432" i="1"/>
  <c r="EK13" i="44" s="1"/>
  <c r="I25" i="39" l="1"/>
  <c r="J25" i="39" s="1"/>
  <c r="G704" i="44" s="1"/>
  <c r="H27" i="39"/>
  <c r="G27" i="39"/>
  <c r="I38" i="39"/>
  <c r="F403" i="1"/>
  <c r="BL708" i="44"/>
  <c r="EF13" i="44"/>
  <c r="DH13" i="44"/>
  <c r="EA708" i="44"/>
  <c r="DJ13" i="44"/>
  <c r="DK13" i="44"/>
  <c r="I502" i="1"/>
  <c r="FA13" i="44" s="1"/>
  <c r="BI708" i="44"/>
  <c r="I520" i="1"/>
  <c r="G504" i="1"/>
  <c r="I27" i="39" l="1"/>
  <c r="FB13" i="44"/>
  <c r="G31" i="39"/>
  <c r="J27" i="39"/>
  <c r="H704" i="44" s="1"/>
  <c r="J23" i="39"/>
  <c r="F704" i="44" s="1"/>
  <c r="I504" i="1"/>
  <c r="H31" i="39" s="1"/>
  <c r="I580" i="1"/>
  <c r="FF13" i="44"/>
  <c r="G520" i="1"/>
  <c r="H33" i="39" l="1"/>
  <c r="H34" i="40"/>
  <c r="I31" i="39"/>
  <c r="J31" i="39" s="1"/>
  <c r="J704" i="44" s="1"/>
  <c r="FC13" i="44"/>
  <c r="G415" i="1"/>
  <c r="G29" i="39" s="1"/>
  <c r="I415" i="1"/>
  <c r="H29" i="39" s="1"/>
  <c r="G580" i="1"/>
  <c r="FE13" i="44"/>
  <c r="FT13" i="44"/>
  <c r="H16" i="40" l="1"/>
  <c r="H15" i="39"/>
  <c r="G16" i="40"/>
  <c r="G15" i="39"/>
  <c r="G33" i="39"/>
  <c r="I33" i="39" s="1"/>
  <c r="G34" i="40"/>
  <c r="I34" i="40" s="1"/>
  <c r="J34" i="40" s="1"/>
  <c r="I29" i="39"/>
  <c r="BM13" i="44"/>
  <c r="BL13" i="44"/>
  <c r="FS13" i="44"/>
  <c r="EI13" i="44"/>
  <c r="EH13" i="44"/>
  <c r="I214" i="1"/>
  <c r="H21" i="39" s="1"/>
  <c r="G168" i="1"/>
  <c r="I122" i="1"/>
  <c r="I16" i="40" l="1"/>
  <c r="J16" i="40" s="1"/>
  <c r="I15" i="39"/>
  <c r="J15" i="39" s="1"/>
  <c r="B704" i="44" s="1"/>
  <c r="BZ13" i="44"/>
  <c r="J29" i="39"/>
  <c r="I704" i="44" s="1"/>
  <c r="J33" i="39"/>
  <c r="K704" i="44" s="1"/>
  <c r="I138" i="1"/>
  <c r="BP13" i="44"/>
  <c r="CL13" i="44"/>
  <c r="G122" i="1"/>
  <c r="I154" i="1"/>
  <c r="G214" i="1"/>
  <c r="G154" i="1"/>
  <c r="I168" i="1"/>
  <c r="G198" i="1" l="1"/>
  <c r="BX13" i="44"/>
  <c r="CA13" i="44"/>
  <c r="I198" i="1"/>
  <c r="H17" i="39"/>
  <c r="H18" i="40"/>
  <c r="CK13" i="44"/>
  <c r="G21" i="39"/>
  <c r="I21" i="39" s="1"/>
  <c r="BW13" i="44"/>
  <c r="G138" i="1"/>
  <c r="BO13" i="44"/>
  <c r="BU13" i="44"/>
  <c r="H19" i="39" l="1"/>
  <c r="H20" i="40"/>
  <c r="H36" i="40" s="1"/>
  <c r="Q704" i="44" s="1"/>
  <c r="G17" i="39"/>
  <c r="I17" i="39" s="1"/>
  <c r="J17" i="39" s="1"/>
  <c r="C704" i="44" s="1"/>
  <c r="G18" i="40"/>
  <c r="I18" i="40" s="1"/>
  <c r="G19" i="39"/>
  <c r="I19" i="39" s="1"/>
  <c r="J19" i="39" s="1"/>
  <c r="D704" i="44" s="1"/>
  <c r="G20" i="40"/>
  <c r="I20" i="40" s="1"/>
  <c r="J20" i="40" s="1"/>
  <c r="CI13" i="44"/>
  <c r="BT13" i="44"/>
  <c r="CH13" i="44"/>
  <c r="J21" i="39"/>
  <c r="E704" i="44" s="1"/>
  <c r="H35" i="39"/>
  <c r="M704" i="44" s="1"/>
  <c r="G35" i="39" l="1"/>
  <c r="L704" i="44" s="1"/>
  <c r="J18" i="40"/>
  <c r="I36" i="40"/>
  <c r="G36" i="40"/>
  <c r="P704" i="44" s="1"/>
  <c r="I35" i="39"/>
  <c r="J35" i="39" s="1"/>
  <c r="R704" i="44" l="1"/>
  <c r="J36" i="40"/>
  <c r="S704" i="44" s="1"/>
  <c r="O704" i="44"/>
  <c r="N704" i="44"/>
</calcChain>
</file>

<file path=xl/sharedStrings.xml><?xml version="1.0" encoding="utf-8"?>
<sst xmlns="http://schemas.openxmlformats.org/spreadsheetml/2006/main" count="17389" uniqueCount="1662">
  <si>
    <t xml:space="preserve">Name of Legal Entity </t>
  </si>
  <si>
    <t>Review Level:</t>
  </si>
  <si>
    <t>Review Type:</t>
  </si>
  <si>
    <t>Completed By</t>
  </si>
  <si>
    <t>Date of Entrance</t>
  </si>
  <si>
    <t>Date of Exit</t>
  </si>
  <si>
    <t>Dates of Review Period</t>
  </si>
  <si>
    <t>Last Name:</t>
  </si>
  <si>
    <t>(First day on-site)</t>
  </si>
  <si>
    <t>(Last day on-site)</t>
  </si>
  <si>
    <t>Begin:</t>
  </si>
  <si>
    <t>First Name:</t>
  </si>
  <si>
    <t>End:</t>
  </si>
  <si>
    <t>Contract Type:</t>
  </si>
  <si>
    <t>STANDARD I. POLICIES AND PROCEDURES</t>
  </si>
  <si>
    <t>Answer</t>
  </si>
  <si>
    <t>Comments:</t>
  </si>
  <si>
    <t>Total Yes</t>
  </si>
  <si>
    <t>Total No</t>
  </si>
  <si>
    <t>Number Yes</t>
  </si>
  <si>
    <t>Number No</t>
  </si>
  <si>
    <t xml:space="preserve">Comments: </t>
  </si>
  <si>
    <t>Standard</t>
  </si>
  <si>
    <t>A.</t>
  </si>
  <si>
    <t>B.</t>
  </si>
  <si>
    <t>C.</t>
  </si>
  <si>
    <t>D.</t>
  </si>
  <si>
    <t xml:space="preserve">Total </t>
  </si>
  <si>
    <t>Score</t>
  </si>
  <si>
    <t>(A + B)</t>
  </si>
  <si>
    <t>(A/C x 100)</t>
  </si>
  <si>
    <t>Standard I</t>
  </si>
  <si>
    <t>Standard II</t>
  </si>
  <si>
    <t>Standard III</t>
  </si>
  <si>
    <t>Standard IV</t>
  </si>
  <si>
    <t>Standard V</t>
  </si>
  <si>
    <t>Standard VI</t>
  </si>
  <si>
    <t>Standard VII</t>
  </si>
  <si>
    <t>Standard VIII</t>
  </si>
  <si>
    <t>Standard IX</t>
  </si>
  <si>
    <t>Sample No.</t>
  </si>
  <si>
    <t>Contract ID</t>
  </si>
  <si>
    <t>Last Name</t>
  </si>
  <si>
    <t>Sample Number</t>
  </si>
  <si>
    <t>Contract Number</t>
  </si>
  <si>
    <t>Last:</t>
  </si>
  <si>
    <t xml:space="preserve">Date Completed </t>
  </si>
  <si>
    <t>First:</t>
  </si>
  <si>
    <t>IV.2.</t>
  </si>
  <si>
    <t>(See Individual Work Papers for item V. 1)</t>
  </si>
  <si>
    <t>• prior to hiring or contracting and on a monthly basis;</t>
  </si>
  <si>
    <t>• that includes a search of the federal HHS Office of Inspector General (HHS-OIG) List of Excluded Individuals/Entities (LEIE) website and the Texas HHSC Office of the Inspector General List of Excluded Individuals/Entities (LEIE) website;</t>
  </si>
  <si>
    <t>• prohibits payment for any items or services furnished, ordered, or prescribed by an excluded individual or entity; and</t>
  </si>
  <si>
    <t>Contract No.</t>
  </si>
  <si>
    <t>Date</t>
  </si>
  <si>
    <t>ClientID</t>
  </si>
  <si>
    <t>A</t>
  </si>
  <si>
    <t>B</t>
  </si>
  <si>
    <t>C</t>
  </si>
  <si>
    <t>D</t>
  </si>
  <si>
    <t>E</t>
  </si>
  <si>
    <t>F</t>
  </si>
  <si>
    <t>G</t>
  </si>
  <si>
    <t>H</t>
  </si>
  <si>
    <t>I</t>
  </si>
  <si>
    <t>Client ID Number</t>
  </si>
  <si>
    <t>First Initial</t>
  </si>
  <si>
    <t>Svc Code</t>
  </si>
  <si>
    <t>Svc Begin Date</t>
  </si>
  <si>
    <t>Svc End Date</t>
  </si>
  <si>
    <t>Amount Paid</t>
  </si>
  <si>
    <t>DEMAND FOR PAYMENT NOTICE</t>
  </si>
  <si>
    <t>Contract Type</t>
  </si>
  <si>
    <t>N</t>
  </si>
  <si>
    <t>CCAD-RC</t>
  </si>
  <si>
    <t>CBA-AL</t>
  </si>
  <si>
    <t>CBA-OHR</t>
  </si>
  <si>
    <t>4. Did the contractor ensure that the Assisted Living Disclosure Statement does not conflict with program requirements?</t>
  </si>
  <si>
    <t>• Review the content of the Assisted Living Disclosure Statement to verify the document does not conflict with program requirements.</t>
  </si>
  <si>
    <t>5. Does the contractor provide, at the time of admission, a written statement of the trust fund rights and responsibilities that includes:</t>
  </si>
  <si>
    <t>a) The contractor must not require individuals to allow the facility to provide or assist with money management; and</t>
  </si>
  <si>
    <t>b) Any charge by the contractor for providing or assisting with money management is included in the facility’s basic rate</t>
  </si>
  <si>
    <t>6. Does the contractor maintain the pooled or individual trust fund account(s) separate from the facility’s operating accounts and do the account(s) identify the facility as the trustee of the trust fund account(s)?</t>
  </si>
  <si>
    <t>• Review the trust fund bank statement and checks to determine if the trust fund account is separate from the facility account.</t>
  </si>
  <si>
    <t>• Review the trust fund bank statement, checks or bank account master file to verify the account identifies the facility as the Trustee of the Individual’s Trust fund Account.</t>
  </si>
  <si>
    <t>7.  Does the facility provide written statements to trust fund participants quarterly or upon request?</t>
  </si>
  <si>
    <t>• Ask the facility to provide you an example of a quarterly statement sent to individuals for the quarter that ended immediately prior to the date of your visit. The example should be a copy of an actual statement sent to an individual.</t>
  </si>
  <si>
    <r>
      <rPr>
        <b/>
        <sz val="8"/>
        <color theme="1"/>
        <rFont val="Arial"/>
        <family val="2"/>
      </rPr>
      <t>Reference:</t>
    </r>
    <r>
      <rPr>
        <sz val="8"/>
        <color theme="1"/>
        <rFont val="Arial"/>
        <family val="2"/>
      </rPr>
      <t xml:space="preserve"> 40 TAC §46.67, Trust Fund Documentation</t>
    </r>
  </si>
  <si>
    <t>8.  Does the contractor schedule a minimum of four social/recreational activities per week?</t>
  </si>
  <si>
    <t>• Review the calendar for the prior and current month to verify that for each week of the month four or more different social/recreational activities were scheduled.</t>
  </si>
  <si>
    <t>STANDARD II. UNLICENSED EMPLOYEE REQUIREMENTS</t>
  </si>
  <si>
    <t>J</t>
  </si>
  <si>
    <t>K</t>
  </si>
  <si>
    <t>L</t>
  </si>
  <si>
    <t>M</t>
  </si>
  <si>
    <t>O</t>
  </si>
  <si>
    <t>P</t>
  </si>
  <si>
    <t>Q</t>
  </si>
  <si>
    <t>R</t>
  </si>
  <si>
    <t>S</t>
  </si>
  <si>
    <t>T</t>
  </si>
  <si>
    <t>U</t>
  </si>
  <si>
    <t>V</t>
  </si>
  <si>
    <t>W</t>
  </si>
  <si>
    <t>X</t>
  </si>
  <si>
    <t>Z</t>
  </si>
  <si>
    <t>AA</t>
  </si>
  <si>
    <t>BB</t>
  </si>
  <si>
    <t>CC</t>
  </si>
  <si>
    <t>DD</t>
  </si>
  <si>
    <t xml:space="preserve"> Y </t>
  </si>
  <si>
    <t xml:space="preserve"> N </t>
  </si>
  <si>
    <t>STANDARD III. SERVICE INITIATION</t>
  </si>
  <si>
    <r>
      <t xml:space="preserve">(See Individual Work Papers for items III. 1 and III. 2)  </t>
    </r>
    <r>
      <rPr>
        <i/>
        <sz val="8"/>
        <color theme="1"/>
        <rFont val="Arial"/>
        <family val="2"/>
      </rPr>
      <t>(Not Applicable to Individuals Receiving Out Of Home Respite)</t>
    </r>
  </si>
  <si>
    <t>1.  Was a health assessment completed by the appropriate person(s) within 72 hours of the individual’s admission?</t>
  </si>
  <si>
    <t>2. Was the Client and Facility Agreement completed as required?</t>
  </si>
  <si>
    <t>STANDARD IV. SERVICE DELIVERY</t>
  </si>
  <si>
    <t>(See Individual Work Papers for items IV. 1 and IV.2)</t>
  </si>
  <si>
    <t>1.  Are services provided in accordance with the individual’s Service Plan?</t>
  </si>
  <si>
    <t>2. Was a new Individual Service Plan developed and implemented within seven (7) calendar days from the date the need for a service plan change was identified?</t>
  </si>
  <si>
    <t>STANDARD V. AUTHORIZATION TO MANAGE MONEY</t>
  </si>
  <si>
    <t>1. Does the contractor have written authorization to provide or assist the individual with money management?</t>
  </si>
  <si>
    <t>STANDARD VI. POOLED PETTY CASH FUND RECONCILIATION</t>
  </si>
  <si>
    <t>1.  Does the pooled petty cash fund reconcile as of the date of the monitoring review?</t>
  </si>
  <si>
    <t>Petty cash funds may be maintained individually or pooled</t>
  </si>
  <si>
    <r>
      <rPr>
        <b/>
        <sz val="9"/>
        <color theme="1"/>
        <rFont val="Arial"/>
        <family val="2"/>
      </rPr>
      <t>Petty Cash Fund</t>
    </r>
    <r>
      <rPr>
        <sz val="9"/>
        <color theme="1"/>
        <rFont val="Arial"/>
        <family val="2"/>
      </rPr>
      <t xml:space="preserve"> - The contractor is the petty cash custodian and may transfer a small amount from each individual’s trust fund to a pooled petty cash fund from which to make small, on the spot, payments to the individual. The contractor must keep record of all petty cash fund transactions and reconcile the account at least monthly.</t>
    </r>
  </si>
  <si>
    <t>• Witness a contractor’s representative count the amount of petty cash.  Enter the amounts below.</t>
  </si>
  <si>
    <t>• Enter the petty cash log balance as of the current date.</t>
  </si>
  <si>
    <t>• Total unposted receipts for disbursements, if any. Enter the amount below in “Less: Adjustments, if any”.</t>
  </si>
  <si>
    <t>• Complete the reconciliation below.</t>
  </si>
  <si>
    <t>• If there is a petty cash overage or shortage, ask the contractor to review for errors to determine the cause for the overage or shortage.</t>
  </si>
  <si>
    <t>Petty Cash On Hand as of (enter date):</t>
  </si>
  <si>
    <t>Coins</t>
  </si>
  <si>
    <t>Pennies</t>
  </si>
  <si>
    <t>$Amount</t>
  </si>
  <si>
    <t>Nickels</t>
  </si>
  <si>
    <t>Dimes</t>
  </si>
  <si>
    <t>Quarters</t>
  </si>
  <si>
    <t>Half-Dollars</t>
  </si>
  <si>
    <t>Dollars</t>
  </si>
  <si>
    <t>Total</t>
  </si>
  <si>
    <t>Currency</t>
  </si>
  <si>
    <t>One</t>
  </si>
  <si>
    <t>Five</t>
  </si>
  <si>
    <t>Ten</t>
  </si>
  <si>
    <t>Twenty</t>
  </si>
  <si>
    <t>Fifty</t>
  </si>
  <si>
    <t>Other</t>
  </si>
  <si>
    <t>Petty Cash Reconciliation</t>
  </si>
  <si>
    <t>Less: Adjustments, if any</t>
  </si>
  <si>
    <t>Adjusted Balance per Petty Cash Log</t>
  </si>
  <si>
    <t xml:space="preserve">STANDARD VII. INDIVIDUAL PETTY CASH FUND RECONCILIATION               </t>
  </si>
  <si>
    <t>1.  Does the individual’s petty cash fund reconcile as of the date of the monitoring review?</t>
  </si>
  <si>
    <t>STANDARD VII. INDIVIDUAL PETTY CASH FUND RECONCILIATION</t>
  </si>
  <si>
    <t>STANDARD VIII. POOLED TRUST FUND ACCOUNT RECONCILIATION</t>
  </si>
  <si>
    <t>1. Does the pooled trust fund account balance reconcile to the bank balance as of the date of the monitoring review?</t>
  </si>
  <si>
    <t>Balance per Bank Statement on (specify date):</t>
  </si>
  <si>
    <t>Add: Deposits in Transit</t>
  </si>
  <si>
    <t>Less: Outstanding Checks</t>
  </si>
  <si>
    <t>(a + b - c)</t>
  </si>
  <si>
    <t>Adjusted Balance per Bank</t>
  </si>
  <si>
    <t>Total Petty Cash On Hand on (specify date):</t>
  </si>
  <si>
    <t>(Include only if petty cash is NOT funded by the facility’s operating account)</t>
  </si>
  <si>
    <t>Total Cash in Bank and On Hand</t>
  </si>
  <si>
    <t>(d + e)</t>
  </si>
  <si>
    <t>Balance per Books (from trial balance) on (specify date):</t>
  </si>
  <si>
    <t>Add: Unapplied Earned Interest (from bank statement)</t>
  </si>
  <si>
    <t>a $</t>
  </si>
  <si>
    <t>b +</t>
  </si>
  <si>
    <t>c (-)</t>
  </si>
  <si>
    <t>d $</t>
  </si>
  <si>
    <t>e $</t>
  </si>
  <si>
    <t>f $</t>
  </si>
  <si>
    <t>g $</t>
  </si>
  <si>
    <t>h +</t>
  </si>
  <si>
    <t>Less: Unposted Receipts for Disbursements</t>
  </si>
  <si>
    <t>i (-)</t>
  </si>
  <si>
    <r>
      <t>Less: NSF Checks –</t>
    </r>
    <r>
      <rPr>
        <i/>
        <sz val="9"/>
        <color theme="1"/>
        <rFont val="Arial"/>
        <family val="2"/>
      </rPr>
      <t>checks deposited to the account that were returned unpaid</t>
    </r>
    <r>
      <rPr>
        <sz val="9"/>
        <color theme="1"/>
        <rFont val="Arial"/>
        <family val="2"/>
      </rPr>
      <t xml:space="preserve"> (from bank statement)</t>
    </r>
  </si>
  <si>
    <t>j (-)</t>
  </si>
  <si>
    <t>Adjusted Balance per Books</t>
  </si>
  <si>
    <t>(g+h-i-j)</t>
  </si>
  <si>
    <t>k $</t>
  </si>
  <si>
    <t>Trust Fund Bank Account Cash in Hand &amp; Bank   Over(+) / Short (-)</t>
  </si>
  <si>
    <t>(f-k)</t>
  </si>
  <si>
    <t>l $</t>
  </si>
  <si>
    <t>CHECKS &amp; DEPOSITS WORKSHEET</t>
  </si>
  <si>
    <t>Check No.</t>
  </si>
  <si>
    <t>Amount</t>
  </si>
  <si>
    <t>Outstanding Checks</t>
  </si>
  <si>
    <t>Deposits in Transit</t>
  </si>
  <si>
    <t>TRUST FUND TRIAL BALANCES WORKSHEET</t>
  </si>
  <si>
    <t>(Use the TRUST FUND TRIAL BALANCES WORKSHEET(s) if no electronic trial balance is available)</t>
  </si>
  <si>
    <t>Initials</t>
  </si>
  <si>
    <t>STANDARD IX. INDIVIDUAL TRUST FUND RECONCILIATION</t>
  </si>
  <si>
    <t>1. Does the individual’s trust fund account balance reconcile to the bank balance as of the date of the monitoring review?</t>
  </si>
  <si>
    <t xml:space="preserve">STANDARD X. MONEY MANAGEMENT   </t>
  </si>
  <si>
    <t>1.  If the pooled trust fund account is in an interest bearing checking account, did the contractor post a prorated earned interest amount to the individual’s ledger?</t>
  </si>
  <si>
    <t>2. Does the facility reimburse bank charges to the trust fund?</t>
  </si>
  <si>
    <t>3. Were all deposits supported by adequate documentation?</t>
  </si>
  <si>
    <t>4.  Were all withdrawals supported by adequate documentation?</t>
  </si>
  <si>
    <t>5. Were all withdrawals allowable?</t>
  </si>
  <si>
    <t>STANDARD X. MONEY MANAGEMENT</t>
  </si>
  <si>
    <t>STANDARD XI. BILLING</t>
  </si>
  <si>
    <t>1. Does the individual’s living unit meet the billed setting requirements?</t>
  </si>
  <si>
    <r>
      <rPr>
        <b/>
        <sz val="8"/>
        <color theme="1"/>
        <rFont val="Arial"/>
        <family val="2"/>
      </rPr>
      <t>Reference:</t>
    </r>
    <r>
      <rPr>
        <sz val="8"/>
        <color theme="1"/>
        <rFont val="Arial"/>
        <family val="2"/>
      </rPr>
      <t xml:space="preserve"> 40 TAC §46.13, Housing Options</t>
    </r>
  </si>
  <si>
    <r>
      <rPr>
        <b/>
        <sz val="8"/>
        <color theme="1"/>
        <rFont val="Arial"/>
        <family val="2"/>
      </rPr>
      <t>Reference:</t>
    </r>
    <r>
      <rPr>
        <sz val="8"/>
        <color theme="1"/>
        <rFont val="Arial"/>
        <family val="2"/>
      </rPr>
      <t xml:space="preserve"> 40 TAC §46.37, Co Payment and Room and Board</t>
    </r>
  </si>
  <si>
    <r>
      <rPr>
        <b/>
        <sz val="8"/>
        <color theme="1"/>
        <rFont val="Arial"/>
        <family val="2"/>
      </rPr>
      <t>Reference:</t>
    </r>
    <r>
      <rPr>
        <sz val="8"/>
        <color theme="1"/>
        <rFont val="Arial"/>
        <family val="2"/>
      </rPr>
      <t xml:space="preserve"> 40 TAC §46.49, Institutional Leave</t>
    </r>
  </si>
  <si>
    <t>AL/RC COMPLIANCE SUMMARY</t>
  </si>
  <si>
    <t>Overall Totals</t>
  </si>
  <si>
    <t>Standard X</t>
  </si>
  <si>
    <t>Standard XI</t>
  </si>
  <si>
    <t>Unlicensed Employee Requirements</t>
  </si>
  <si>
    <t>Policies &amp; Procedures</t>
  </si>
  <si>
    <t>Service Initiation</t>
  </si>
  <si>
    <t>Service Delivery</t>
  </si>
  <si>
    <t>Authorization To Manage Money</t>
  </si>
  <si>
    <t>Pooled Petty Cash Fund Reconciliation</t>
  </si>
  <si>
    <t>Individual Petty Cash Fund Reconciliation</t>
  </si>
  <si>
    <t>Pooled Trust Fund Reconciliation</t>
  </si>
  <si>
    <t>Individual Trust Fund Reconciliation</t>
  </si>
  <si>
    <t>Money Management</t>
  </si>
  <si>
    <t>Billing</t>
  </si>
  <si>
    <t>TOTAL</t>
  </si>
  <si>
    <t>Amount Due to DADS</t>
  </si>
  <si>
    <t>OUT OF HOME RESPITE COMPLIANCE SUMMARY</t>
  </si>
  <si>
    <t>IF AN OUT OF HOME RESPITE CONTRACT WAS NOT INCLUDED IN THE REVIEW, LEAVE THIS PAGE BLANK</t>
  </si>
  <si>
    <t>Standard I.</t>
  </si>
  <si>
    <t>Standard II.</t>
  </si>
  <si>
    <t>Standard III.</t>
  </si>
  <si>
    <t>Standard IV.</t>
  </si>
  <si>
    <t>Standard V.</t>
  </si>
  <si>
    <t>Standard VI.</t>
  </si>
  <si>
    <t>Standard VII.</t>
  </si>
  <si>
    <t>Standard VIII.</t>
  </si>
  <si>
    <t>Standard IX.</t>
  </si>
  <si>
    <t>Standard X.</t>
  </si>
  <si>
    <t>Standard XI.</t>
  </si>
  <si>
    <t>Billing (APPLICABLE TO ITEM XI.2 ONLY)</t>
  </si>
  <si>
    <t>AL/RC Individuals’ Funds Summary</t>
  </si>
  <si>
    <t>Deficiency Reference</t>
  </si>
  <si>
    <t>$Shortage</t>
  </si>
  <si>
    <t>$Overage</t>
  </si>
  <si>
    <t>Month</t>
  </si>
  <si>
    <t>Deposit Date</t>
  </si>
  <si>
    <t>Deposits – Pooled Trust Fund Account (if Item X.3. = No)</t>
  </si>
  <si>
    <t>Withdrawal Date</t>
  </si>
  <si>
    <t>Unauthorized or Undocumented Withdrawals (if Item X.4. = No)</t>
  </si>
  <si>
    <t>Unallowable Withdrawals (if Item X.5. = No)</t>
  </si>
  <si>
    <t>Date of Death or Discharge</t>
  </si>
  <si>
    <t>$Refund Due</t>
  </si>
  <si>
    <t>$Refund / Credit Due</t>
  </si>
  <si>
    <t>The contractor must submit documentation that evidences individuals’ funds deficiencies have been corrected within 60 days of the date of the exit conference.</t>
  </si>
  <si>
    <t>Workbook Reference</t>
  </si>
  <si>
    <t>Description of Deficiency</t>
  </si>
  <si>
    <t>Corrective Action Required</t>
  </si>
  <si>
    <t>V.1.</t>
  </si>
  <si>
    <t>No written authorization to manage money on file</t>
  </si>
  <si>
    <t>Obtain written authorization from individual. Send copy of authorization to contract manager.</t>
  </si>
  <si>
    <t>VI.1.</t>
  </si>
  <si>
    <t>Pooled petty cash fund overage</t>
  </si>
  <si>
    <t>Pooled petty cash fund shortage</t>
  </si>
  <si>
    <t>Review petty cash log for errors and omissions. If overage or shortage remains, post an adjusting entry in the petty cash log to agree log balance amount with cash on hand.</t>
  </si>
  <si>
    <t>VII.1.</t>
  </si>
  <si>
    <t>Individual petty cash fund overage</t>
  </si>
  <si>
    <t>Individual petty cash fund shortage</t>
  </si>
  <si>
    <t>Review petty cash log for errors and omissions. If overage remains, post an adjusting entry in the petty cash log to agree log balance amount with cash on hand.</t>
  </si>
  <si>
    <t>Review petty cash log for errors and omissions. If shortage remains, deposit funds in the individual’s petty cash fund in the amount of the shortage. Send contract manager copy of the deposit receipt and copy of the individual’s petty cash log showing adjusting entry.</t>
  </si>
  <si>
    <t>VIII.1.</t>
  </si>
  <si>
    <t>Pooled trust fund account overage</t>
  </si>
  <si>
    <t>Pooled trust fund account shortage</t>
  </si>
  <si>
    <t>Review bank statements and trust fund ledgers for errors and omission. If shortage is reconciled, send proof of reconciliation to contract manager. If shortage remains, deposit funds in the pooled trust fund bank account in the amount of the shortage. Send contract manager copy of validated bank deposit slip or bank statement showing the deposit.</t>
  </si>
  <si>
    <t>IX.1.</t>
  </si>
  <si>
    <t>Individual trust fund account overage</t>
  </si>
  <si>
    <t>Individual trust fund account shortage</t>
  </si>
  <si>
    <t>Review bank statement and trust fund ledger for errors and omissions. If overage remains, post an adjusting entry in the individual’s trust fund ledger to agree ledger balance with adjusted bank balance.</t>
  </si>
  <si>
    <t>Review bank statements and trust fund ledger for errors and omissions. If shortage remains, deposit funds in the individual’s trust fund bank account in the amount of the shortage. Send contract manager copy of validated bank deposit slip or bank statement showing deposit and copy of individual’s trust fund ledger showing adjusting entry.</t>
  </si>
  <si>
    <t>X.1.</t>
  </si>
  <si>
    <t>Earned interest on pooled trust fund account not prorated to individuals</t>
  </si>
  <si>
    <t xml:space="preserve">For the months indicated, send contract manager copies of bank statements showing the amount of interest paid on the account and copies of individual ledgers showing interest posted. </t>
  </si>
  <si>
    <t>X.2.</t>
  </si>
  <si>
    <t>Unreimbursed bank charges – pooled trust fund account</t>
  </si>
  <si>
    <t>Unreimbursed bank charges – individual facility-choice trust fund account</t>
  </si>
  <si>
    <t>Deposit funds in the pooled trust fund bank account to reimburse bank charges. Send contract manager copy of validated bank deposit slip or bank statement showing deposit.</t>
  </si>
  <si>
    <t>Deposit funds in the individual’s trust fund bank account to reimburse bank charges. Send contract manager copy of validated bank deposit slip or bank statement showing deposit.</t>
  </si>
  <si>
    <t>X.3.</t>
  </si>
  <si>
    <t>Amount posted to individual’s trust fund ledger or individual petty cash log is less than amount shown on bank deposit slip or petty cash receipt</t>
  </si>
  <si>
    <t>Make an adjusting entry for the amount indicated in the individual’s trust fund ledger or individual petty cash log. Send contract manager copy of individual’s trust fund ledger or petty cash log showing adjustment.</t>
  </si>
  <si>
    <t>X.4.</t>
  </si>
  <si>
    <t>Withdrawal not signed for by individual, individual’s representative or witness</t>
  </si>
  <si>
    <t>No itemized purchase receipt for facility withdrawal for purchase on behalf of individual</t>
  </si>
  <si>
    <t>Purchase receipt for bulk purchase by facility does not indicate amount of charges for individual</t>
  </si>
  <si>
    <t>Amount of withdrawal is more than amount of purchase receipt</t>
  </si>
  <si>
    <t>No written authorization for recurring withdrawal</t>
  </si>
  <si>
    <t>Written authorization for recurring withdrawal does not indicate amount of withdrawal or reason for the withdrawal</t>
  </si>
  <si>
    <t>Amount of withdrawal is less than amount of purchase receipt</t>
  </si>
  <si>
    <t xml:space="preserve">Reimburse individual for the amount indicated. If withdrawal was from a pooled or individual trust fund bank account, send contract manager copy of validated bank deposit slip or bank statement showing deposit and copy of individual’s trust fund ledger showing adjusting entry.  If withdrawal was from individual petty cash fund, send contract manager copy of deposit receipt and copy of individual’s petty cash ledger showing adjusting entry.  </t>
  </si>
  <si>
    <t>Make an adjusting entry for the amount indicated in the individual’s trust fund ledger or individual’s petty cash log.</t>
  </si>
  <si>
    <t>X.5.</t>
  </si>
  <si>
    <t>Unallowable charge - laundry</t>
  </si>
  <si>
    <t>Unallowable charge - first-aid supplies</t>
  </si>
  <si>
    <t>Unallowable charge - transportation to medical appointment/care, shopping for personal needs, recreational activities</t>
  </si>
  <si>
    <t>Unallowable charge - daily meals</t>
  </si>
  <si>
    <t>Unallowable charge - dietary counseling, nutrition education</t>
  </si>
  <si>
    <t>Unallowable charge - housecleaning</t>
  </si>
  <si>
    <t>Unallowable charge - personal care services</t>
  </si>
  <si>
    <t>Unallowable charge - other</t>
  </si>
  <si>
    <t>X.6.</t>
  </si>
  <si>
    <t>Trust fund and/or individual petty cash refund due to deceased or discharged individual</t>
  </si>
  <si>
    <t>XI.3.</t>
  </si>
  <si>
    <t xml:space="preserve">Over collection for room and board. Refund due individual </t>
  </si>
  <si>
    <t>Over collection of co-payment. Refund due individual</t>
  </si>
  <si>
    <t>Over collection of bed hold. Refund due individual</t>
  </si>
  <si>
    <t>Refund amount indicated to individual or individual’s legal representative. Send contract manager copy of front and back of cancelled check or signed receipt for cash refund.  If client receives a credit in lieu of a refund,  submit proof the credit in the amount indicated was applied.</t>
  </si>
  <si>
    <t>XI.4.</t>
  </si>
  <si>
    <t>Refund or credit for prorated co-pay due individual for hospital stay</t>
  </si>
  <si>
    <t>Refund amount indicated to individual or individual’s legal representative. Send contract manager copy of front and back of cancelled check or signed receipt for cash refund.  If client receives a credit in lieu of a refund, submit proof the credit in the amount indicated was applied.</t>
  </si>
  <si>
    <t>XI.5.</t>
  </si>
  <si>
    <t>Refund for unused portion of room and board due to deceased or discharged individual</t>
  </si>
  <si>
    <t>Refund for pro-rated co-pay due to deceased or discharged individual</t>
  </si>
  <si>
    <t>Col. B</t>
  </si>
  <si>
    <t>Col. C</t>
  </si>
  <si>
    <t>Col. E</t>
  </si>
  <si>
    <t>Col. F</t>
  </si>
  <si>
    <t>No. of Units</t>
  </si>
  <si>
    <t xml:space="preserve">STANDARD III. SERVICE INITIATION              </t>
  </si>
  <si>
    <t xml:space="preserve"> c. Was the medication administration portion of the assessment completed by a RN, or, if completed by a LVN, a RN signed off on the medication administration portion of the health assessment?</t>
  </si>
  <si>
    <t xml:space="preserve">III.1. Was a health assessment  completed by the appropriate person(s) within 72 hours of the individual’s admission? </t>
  </si>
  <si>
    <t xml:space="preserve">  N/A</t>
  </si>
  <si>
    <t xml:space="preserve"> Yes</t>
  </si>
  <si>
    <t xml:space="preserve"> No</t>
  </si>
  <si>
    <t>III.2.</t>
  </si>
  <si>
    <t xml:space="preserve">III. 2. Was the Client and Facility Agreement completed as required?  </t>
  </si>
  <si>
    <t xml:space="preserve">STANDARD IV. SERVICE DELIVERY  </t>
  </si>
  <si>
    <t>IV.1.</t>
  </si>
  <si>
    <r>
      <t xml:space="preserve"> </t>
    </r>
    <r>
      <rPr>
        <b/>
        <sz val="12"/>
        <color theme="1"/>
        <rFont val="Arial"/>
        <family val="2"/>
      </rPr>
      <t xml:space="preserve">IV. 1. Are services provided in accordance with the individual’s Service Plan?    </t>
    </r>
  </si>
  <si>
    <t>V. 1. Does the contractor have written authorization to provide or assist the individual with money management?</t>
  </si>
  <si>
    <t xml:space="preserve">STANDARD VII. INDIVIDUAL PETTY CASH FUND RECONCILIATION           </t>
  </si>
  <si>
    <t>VII.1</t>
  </si>
  <si>
    <t>(a) Balance per Petty Cash Log</t>
  </si>
  <si>
    <t>$</t>
  </si>
  <si>
    <t xml:space="preserve"> Less: Adjustments, if any</t>
  </si>
  <si>
    <t>(-)</t>
  </si>
  <si>
    <t xml:space="preserve">(b) Petty Cash on Hand </t>
  </si>
  <si>
    <t>(d) If an Overage/Shortage, was it corrected prior to the exit conference?</t>
  </si>
  <si>
    <t>a</t>
  </si>
  <si>
    <t>b</t>
  </si>
  <si>
    <t>+</t>
  </si>
  <si>
    <t>c</t>
  </si>
  <si>
    <t>-</t>
  </si>
  <si>
    <t>d</t>
  </si>
  <si>
    <t>e</t>
  </si>
  <si>
    <t>f</t>
  </si>
  <si>
    <t>g</t>
  </si>
  <si>
    <t>h</t>
  </si>
  <si>
    <t>i</t>
  </si>
  <si>
    <t>j</t>
  </si>
  <si>
    <t>k</t>
  </si>
  <si>
    <t>l</t>
  </si>
  <si>
    <t>m</t>
  </si>
  <si>
    <t>n</t>
  </si>
  <si>
    <t xml:space="preserve">STANDARD X. MONEY MANAGEMENT </t>
  </si>
  <si>
    <r>
      <t>o</t>
    </r>
    <r>
      <rPr>
        <sz val="7"/>
        <color theme="1"/>
        <rFont val="Times New Roman"/>
        <family val="1"/>
      </rPr>
      <t xml:space="preserve">    </t>
    </r>
    <r>
      <rPr>
        <sz val="9"/>
        <color theme="1"/>
        <rFont val="Arial"/>
        <family val="2"/>
      </rPr>
      <t>For the withdrawals identified in X.4, does documentation indicate the withdrawals were NOT for charges for required services or other wise NOT allowable?</t>
    </r>
  </si>
  <si>
    <r>
      <t>o</t>
    </r>
    <r>
      <rPr>
        <sz val="7"/>
        <color theme="1"/>
        <rFont val="Times New Roman"/>
        <family val="1"/>
      </rPr>
      <t xml:space="preserve">    </t>
    </r>
    <r>
      <rPr>
        <sz val="9"/>
        <color theme="1"/>
        <rFont val="Arial"/>
        <family val="2"/>
      </rPr>
      <t>Required services include laundry; telephone; first-aid supplies; transportation to medical appointments/care; shopping, and recreational activities; daily meals, dietary counseling/nutrition education; housecleaning; and personal care services such as bathing, dressing, grooming, routine hair/skin care, exercising, toileting, administering medication, transferring/ambulating, and 24 hour supervision.</t>
    </r>
  </si>
  <si>
    <t>(B) Trust Fund Amount Due</t>
  </si>
  <si>
    <t>(Refer to the Trust Fund Ledger balance at time of death/ discharge +/- adjustments, e.g., earned interest, expenses)</t>
  </si>
  <si>
    <t>(C) Individual Petty Cash Amount Due (if applicable)</t>
  </si>
  <si>
    <t>(Refer to Petty Cash Log balance at time of death/discharge)</t>
  </si>
  <si>
    <t>(E) Amount Refunded</t>
  </si>
  <si>
    <t>(View cancelled check and/or bank statement to verify)</t>
  </si>
  <si>
    <r>
      <t xml:space="preserve">STANDARD XI. BILLING </t>
    </r>
    <r>
      <rPr>
        <b/>
        <sz val="10"/>
        <color theme="1"/>
        <rFont val="Arial"/>
        <family val="2"/>
      </rPr>
      <t xml:space="preserve"> </t>
    </r>
  </si>
  <si>
    <t>XI.2.</t>
  </si>
  <si>
    <t>(B) No. Days Hospitalized</t>
  </si>
  <si>
    <t>CCAD ONLY</t>
  </si>
  <si>
    <t>Date of Death/Discharge</t>
  </si>
  <si>
    <t>Unused Room &amp; Board</t>
  </si>
  <si>
    <t xml:space="preserve">Prorated Co-Pay </t>
  </si>
  <si>
    <t>Individual’s representative - if unidentified in the individual’s file, enter STATE OF TEXAS:</t>
  </si>
  <si>
    <t>Amount Due</t>
  </si>
  <si>
    <t>(Refer to column “Z”, AL/RC Reimbursement Spreadsheet)</t>
  </si>
  <si>
    <t>Date of Refund</t>
  </si>
  <si>
    <t>(Refer to column “W”, AL/RC Reimbursement Spreadsheet)</t>
  </si>
  <si>
    <t>Amount Refunded (if any)</t>
  </si>
  <si>
    <t>b. Unused room and board and, if applicable, co-payment refund were made to individual or the  individual’s representative/beneficiary or escheated to the STATE OF TEXAS</t>
  </si>
  <si>
    <t xml:space="preserve">c. The correct amount was refunded: </t>
  </si>
  <si>
    <t>i. Unused room and board refund was equal to the unused room and board amount due</t>
  </si>
  <si>
    <t xml:space="preserve">ii. Co-pay refund, if applicable, was equal to the co pay amount due </t>
  </si>
  <si>
    <r>
      <t>a.</t>
    </r>
    <r>
      <rPr>
        <sz val="10"/>
        <color theme="1"/>
        <rFont val="Times New Roman"/>
        <family val="1"/>
      </rPr>
      <t xml:space="preserve">  </t>
    </r>
    <r>
      <rPr>
        <sz val="10"/>
        <color theme="1"/>
        <rFont val="Arial"/>
        <family val="2"/>
      </rPr>
      <t>Was the Health Assessment/Service Plan completed by the facility manager or nurse (LVN/RN)?</t>
    </r>
  </si>
  <si>
    <r>
      <t>b.</t>
    </r>
    <r>
      <rPr>
        <sz val="10"/>
        <color theme="1"/>
        <rFont val="Times New Roman"/>
        <family val="1"/>
      </rPr>
      <t xml:space="preserve">  </t>
    </r>
    <r>
      <rPr>
        <sz val="10"/>
        <color theme="1"/>
        <rFont val="Arial"/>
        <family val="2"/>
      </rPr>
      <t>Was the Health Assessment/Service Plan completed within 72 hours of the individual’s admission?</t>
    </r>
  </si>
  <si>
    <t>o  Review the individual’s file for a Client and Facility Agreement</t>
  </si>
  <si>
    <t>a.  Is the client and facility agreement signed by the facility and the individual or individual’s representative?</t>
  </si>
  <si>
    <t>b.  Does the client and facility agreement include the following elements:</t>
  </si>
  <si>
    <t>·          Bedhold policies for hospital and nursing facility stays</t>
  </si>
  <si>
    <t>·          Personal leave policies and charges</t>
  </si>
  <si>
    <t>·          Eviction procedures</t>
  </si>
  <si>
    <t>·          All available services in the facility; and</t>
  </si>
  <si>
    <t>·          Charges for services not paid by DADS and charges not included in the facility’s basic daily rate</t>
  </si>
  <si>
    <t xml:space="preserve">c.  Was the client and facility agreement signed before or at the time of admission? </t>
  </si>
  <si>
    <t>Specified tasks/services (check all that apply):</t>
  </si>
  <si>
    <t>Date:</t>
  </si>
  <si>
    <t>Date(s) of Identification of need for a service plan change</t>
  </si>
  <si>
    <t>Date(s) new service plan implemented</t>
  </si>
  <si>
    <r>
      <t>IV. 2.</t>
    </r>
    <r>
      <rPr>
        <b/>
        <sz val="10"/>
        <color theme="1"/>
        <rFont val="Arial"/>
        <family val="2"/>
      </rPr>
      <t xml:space="preserve"> </t>
    </r>
    <r>
      <rPr>
        <b/>
        <sz val="12"/>
        <color theme="1"/>
        <rFont val="Arial"/>
        <family val="2"/>
      </rPr>
      <t>Was a new Individual Service Plan developed and implemented within seven (7) calendar days from the date the need for a service plan change was identified?</t>
    </r>
  </si>
  <si>
    <t>·         Witness a contractor’s representative count the amount of petty cash on hand.  Enter the amounts below.</t>
  </si>
  <si>
    <t>·         Enter the individual’s petty cash log balance as of the current date.</t>
  </si>
  <si>
    <t>·         Total unposted receipts for disbursements, if any. Enter the amount below in “Less: Adjustments, if any”.</t>
  </si>
  <si>
    <t>·         Complete the reconciliation below.</t>
  </si>
  <si>
    <t xml:space="preserve">If there is a petty cash overage or shortage, ask the contractor to review for errors to determine the cause for the overage or shortage. </t>
  </si>
  <si>
    <t>(c) Petty Cash on Hand Over (+)/Short (-)</t>
  </si>
  <si>
    <r>
      <t>VII.1.</t>
    </r>
    <r>
      <rPr>
        <sz val="12"/>
        <color theme="1"/>
        <rFont val="Arial"/>
        <family val="2"/>
      </rPr>
      <t xml:space="preserve">  </t>
    </r>
    <r>
      <rPr>
        <b/>
        <sz val="12"/>
        <color theme="1"/>
        <rFont val="Arial"/>
        <family val="2"/>
      </rPr>
      <t>Does the individual’s petty cash fund reconcile as of the date of the monitoring review?</t>
    </r>
  </si>
  <si>
    <t>Month/Year:</t>
  </si>
  <si>
    <t>Total Amount Interest Not Prorated:</t>
  </si>
  <si>
    <t>X.1.  If the pooled trust fund account is in an interest bearing checking account, did the contractor post a prorated earned interest amount to the individual’s ledger?</t>
  </si>
  <si>
    <t>Bank Charges Not Reimbursed:</t>
  </si>
  <si>
    <t>X.2. Does the facility reimburse bank charges to the trust fund?</t>
  </si>
  <si>
    <t>INDIVIDUAL TRUST FUND ACCOUNT RECONCILIATION WORKSHEET</t>
  </si>
  <si>
    <t>Add: Total Deposit in Transit</t>
  </si>
  <si>
    <t>Less: Total Outstanding Checks</t>
  </si>
  <si>
    <t>(a+b-c)</t>
  </si>
  <si>
    <t>(d+e)</t>
  </si>
  <si>
    <t>Total Petty Cash On Hand for the Individual on (specify date):</t>
  </si>
  <si>
    <r>
      <t>Less: NSF Checks –</t>
    </r>
    <r>
      <rPr>
        <i/>
        <sz val="10"/>
        <color theme="1"/>
        <rFont val="Arial"/>
        <family val="2"/>
      </rPr>
      <t>checks deposited to the account that were returned unpaid (from bank statement)</t>
    </r>
  </si>
  <si>
    <t>Trust Fund Bank Account Cash in Hand &amp; Bank Over(+) / Short (-)</t>
  </si>
  <si>
    <t>IX.1.  Does the individual’s trust fund account balance reconcile to the bank balance as of the date of the monitoring review?</t>
  </si>
  <si>
    <t>Error</t>
  </si>
  <si>
    <t>X.3. Were all deposits supported by adequate documentation?</t>
  </si>
  <si>
    <t>o  Exclude withdrawals for room and board, co-pay and/or bed hold charges.</t>
  </si>
  <si>
    <t xml:space="preserve">o  For each withdrawal for a non-recurring payment, there should be documentation of the following: date, amount, reason for withdrawal, name of person or entity that accepted the withdrawal, balance after withdrawal, and signature of individual, individual’s representative, or at least one witness if individual or individual’s representative can not sign. </t>
  </si>
  <si>
    <r>
      <t xml:space="preserve">o  For </t>
    </r>
    <r>
      <rPr>
        <b/>
        <sz val="10"/>
        <color theme="1"/>
        <rFont val="Arial"/>
        <family val="2"/>
      </rPr>
      <t>non-recurring withdrawals</t>
    </r>
    <r>
      <rPr>
        <sz val="10"/>
        <color theme="1"/>
        <rFont val="Arial"/>
        <family val="2"/>
      </rPr>
      <t>, verify each withdrawal is authorized by the individual, individual’s representative, or witness. The signature may be on the individual trust fund ledger, petty cash log or purchase receipt. If the withdrawal is for a purchase by the facility on behalf of the individual, verify there is an itemized receipt for the purchase and that the receipt amount agrees with the posted amount. If the facility withdrawal is for a bulk purchase (multiple individuals), verify there is an itemized receipt that indicates the individual’s portion of the total charge and that amount agrees with the posted amount.</t>
    </r>
  </si>
  <si>
    <r>
      <t xml:space="preserve">o  For each </t>
    </r>
    <r>
      <rPr>
        <b/>
        <sz val="10"/>
        <color theme="1"/>
        <rFont val="Arial"/>
        <family val="2"/>
      </rPr>
      <t>recurring withdrawal</t>
    </r>
    <r>
      <rPr>
        <sz val="10"/>
        <color theme="1"/>
        <rFont val="Arial"/>
        <family val="2"/>
      </rPr>
      <t xml:space="preserve"> (such as newspaper or magazine subscriptions), verify there is written authorization by the individual or individual’s representative that indicates the name of the entity to which the recurring payment is made; amount of the recurring payment or method for determining payment amount; and when the payment will begin. A signature is not required on the trust fund or petty cash ledger for authorized recurring payments.</t>
    </r>
  </si>
  <si>
    <t>X.4. Were all withdrawals supported by adequate documentation?</t>
  </si>
  <si>
    <t>X.5. Were all withdrawals allowable?</t>
  </si>
  <si>
    <t>(D) Total Refund Due (b + c)</t>
  </si>
  <si>
    <t>(F) D - E</t>
  </si>
  <si>
    <t>(H) Date of Refund</t>
  </si>
  <si>
    <t>b. Was the trust fund account refund made to the individual or the individual’s representative/ guardian or escheated to the STATE OF TEXAS?</t>
  </si>
  <si>
    <t>c. Was the total refund equal to the total amount due on the date of the individual’s death/discharge?</t>
  </si>
  <si>
    <t>Complete the applicable section based on individual’s residential service code to determine if all setting requirements are met.</t>
  </si>
  <si>
    <t>A. Private Space</t>
  </si>
  <si>
    <t>B. Area Width</t>
  </si>
  <si>
    <t>C. Area Length</t>
  </si>
  <si>
    <t>D. Private Space Square Footage  (B X C)</t>
  </si>
  <si>
    <t>1. Living</t>
  </si>
  <si>
    <t xml:space="preserve">2. Bedroom    </t>
  </si>
  <si>
    <t>3. Storage   (within private space area)</t>
  </si>
  <si>
    <t xml:space="preserve">4. Kitchen     </t>
  </si>
  <si>
    <t xml:space="preserve">E. Total Private Space </t>
  </si>
  <si>
    <t>**Complete G-P Only if Double Occupancy</t>
  </si>
  <si>
    <r>
      <t>G. Private Space Square Footage per Resident</t>
    </r>
    <r>
      <rPr>
        <sz val="10"/>
        <color theme="1"/>
        <rFont val="Arial"/>
        <family val="2"/>
      </rPr>
      <t xml:space="preserve"> </t>
    </r>
    <r>
      <rPr>
        <b/>
        <sz val="10"/>
        <color theme="1"/>
        <rFont val="Arial"/>
        <family val="2"/>
      </rPr>
      <t>(E divided by 2</t>
    </r>
    <r>
      <rPr>
        <sz val="10"/>
        <color theme="1"/>
        <rFont val="Arial"/>
        <family val="2"/>
      </rPr>
      <t>)</t>
    </r>
  </si>
  <si>
    <t>If the square footage per resident is 350 or more, enter 0 in row H and skip to row I.</t>
  </si>
  <si>
    <r>
      <t>If the square footage per resident is less than 350, complete the Allocated Common Area Calculation Table below.</t>
    </r>
    <r>
      <rPr>
        <sz val="10"/>
        <color theme="1"/>
        <rFont val="Arial"/>
        <family val="2"/>
      </rPr>
      <t xml:space="preserve">  </t>
    </r>
  </si>
  <si>
    <t>H. Allocated Common Area Square Footage per Resident (Column P from Table below).</t>
  </si>
  <si>
    <t>I. Total Square Footage per Resident (G plus H)</t>
  </si>
  <si>
    <t>Allocated Common Area Calculation Table</t>
  </si>
  <si>
    <t>J. Useable Area Description</t>
  </si>
  <si>
    <t>K. Area Width</t>
  </si>
  <si>
    <t>L. Area Length</t>
  </si>
  <si>
    <t>M.  Area Square Feet     (KxL)</t>
  </si>
  <si>
    <t>N.  Useable Common Area Square Footage (Sum of M)</t>
  </si>
  <si>
    <t>O. Licensed Capacity</t>
  </si>
  <si>
    <t>P.  Allocated Common Area Square Footage per Resident (N divided by O)</t>
  </si>
  <si>
    <t>Note: a non-apartment setting does not meet either the requirements of an assisted living apartment or residential care apartment.  A non-apartment setting must not exceed double occupancy.</t>
  </si>
  <si>
    <t>Note: If the individual’s residential service code is for a residential care apt (double occupancy) and the individual shares an assisted living apartment verify the assisted living apartment meets all assisted living apartment setting requirements.</t>
  </si>
  <si>
    <t>5c. shower/bathtub accessible to the individual</t>
  </si>
  <si>
    <t>5b. sink</t>
  </si>
  <si>
    <t>5a. toilet</t>
  </si>
  <si>
    <t>5. Bathroom is a separate room in the apartment</t>
  </si>
  <si>
    <t>4a. sink</t>
  </si>
  <si>
    <t>4b. refrigerator</t>
  </si>
  <si>
    <t>4c. stove/microwave</t>
  </si>
  <si>
    <t>a. If the assisted living apartment is shared, did the individual request to share his or her apartment in writing?</t>
  </si>
  <si>
    <t>b. If the assisted living apartment is shared, did the contractor bill the residential care apartment service code (19A, 19AY, 19AW)?</t>
  </si>
  <si>
    <t>c. Is the assisted living apartment a private space with living and sleeping areas, a kitchen, a bathroom and storage space (Column A)?</t>
  </si>
  <si>
    <t>d. Does the assisted living apartment have a minimum of 220 square feet, not including the bathroom (Row E)?</t>
  </si>
  <si>
    <t>e. Is the kitchen equipped with a sink, refrigerator and cooking appliance (stove, microwave or built-in) (Column A, row 4a-c)?</t>
  </si>
  <si>
    <t>f. Is the bathroom a separate room in the assisted living apartment with:</t>
  </si>
  <si>
    <t xml:space="preserve">o    a toilet;  </t>
  </si>
  <si>
    <t>o    a sink; and</t>
  </si>
  <si>
    <t>o    a shower/bathtub that is accessible to the individual?</t>
  </si>
  <si>
    <t>RESIDENTIAL CARE APARTMENT – DOUBLE OCCUPANCY SETTING REQUIREMENTS</t>
  </si>
  <si>
    <t>g. Is the residential care apartment a private space with connected sleeping, kitchen and bathroom areas and storage space?</t>
  </si>
  <si>
    <t>h. Does the residential care apartment have a minimum of 350 square feet of space per resident (Row I.)?</t>
  </si>
  <si>
    <t>i. Is the kitchen equipped with a sink, refrigerator and cooking appliance (stove, microwave or built-in)?</t>
  </si>
  <si>
    <t>j. Is the bathroom in the residential care apartment with:</t>
  </si>
  <si>
    <t>o    a toilet;</t>
  </si>
  <si>
    <t>k. Is the non-apartment setting occupied by one or two individuals?  Answer NA if not a Non-Apartment Setting Requirement</t>
  </si>
  <si>
    <t>XI.1. Does the individual’s living unit meet the billed setting requirements?</t>
  </si>
  <si>
    <t>(A) Dates Hospitalized</t>
  </si>
  <si>
    <t>To:</t>
  </si>
  <si>
    <t>From:</t>
  </si>
  <si>
    <t>Bedroom  Number</t>
  </si>
  <si>
    <t>Sample No. for Each  Individual  Occupying  the Bedroom</t>
  </si>
  <si>
    <t xml:space="preserve">A. </t>
  </si>
  <si>
    <t xml:space="preserve">B. </t>
  </si>
  <si>
    <t xml:space="preserve">C. </t>
  </si>
  <si>
    <t>Total Single</t>
  </si>
  <si>
    <t>Total Double</t>
  </si>
  <si>
    <t>Total Other</t>
  </si>
  <si>
    <r>
      <t xml:space="preserve">D. Total Bedrooms  </t>
    </r>
    <r>
      <rPr>
        <sz val="10"/>
        <color theme="1"/>
        <rFont val="Arial"/>
        <family val="2"/>
      </rPr>
      <t>(A+B+C)</t>
    </r>
  </si>
  <si>
    <t>E. Percentage of Single Bedrooms</t>
  </si>
  <si>
    <t>Instructions</t>
  </si>
  <si>
    <t>Determine percent of individuals participating in CBA with a single occupancy bedroom</t>
  </si>
  <si>
    <r>
      <t>·</t>
    </r>
    <r>
      <rPr>
        <sz val="10"/>
        <color theme="1"/>
        <rFont val="Times New Roman"/>
        <family val="1"/>
      </rPr>
      <t xml:space="preserve">     </t>
    </r>
    <r>
      <rPr>
        <sz val="10"/>
        <color theme="1"/>
        <rFont val="Arial"/>
        <family val="2"/>
      </rPr>
      <t>Request the facility’s current floor plan that identifies the bedroom of each individual living at the facility on the date of the review.</t>
    </r>
  </si>
  <si>
    <r>
      <t>·</t>
    </r>
    <r>
      <rPr>
        <sz val="10"/>
        <color theme="1"/>
        <rFont val="Times New Roman"/>
        <family val="1"/>
      </rPr>
      <t xml:space="preserve">     </t>
    </r>
    <r>
      <rPr>
        <sz val="10"/>
        <color theme="1"/>
        <rFont val="Arial"/>
        <family val="2"/>
      </rPr>
      <t>Visit each bedroom to determine the number of individuals occupying the bedroom.</t>
    </r>
  </si>
  <si>
    <r>
      <t>o</t>
    </r>
    <r>
      <rPr>
        <sz val="10"/>
        <color theme="1"/>
        <rFont val="Times New Roman"/>
        <family val="1"/>
      </rPr>
      <t xml:space="preserve">    </t>
    </r>
    <r>
      <rPr>
        <sz val="10"/>
        <color theme="1"/>
        <rFont val="Arial"/>
        <family val="2"/>
      </rPr>
      <t>Single- 1 individual occupies the bedroom</t>
    </r>
  </si>
  <si>
    <r>
      <t>o</t>
    </r>
    <r>
      <rPr>
        <sz val="10"/>
        <color theme="1"/>
        <rFont val="Times New Roman"/>
        <family val="1"/>
      </rPr>
      <t xml:space="preserve">    </t>
    </r>
    <r>
      <rPr>
        <sz val="10"/>
        <color theme="1"/>
        <rFont val="Arial"/>
        <family val="2"/>
      </rPr>
      <t>Double- 2 individuals occupy the bedroom</t>
    </r>
  </si>
  <si>
    <r>
      <t>o</t>
    </r>
    <r>
      <rPr>
        <sz val="10"/>
        <color theme="1"/>
        <rFont val="Times New Roman"/>
        <family val="1"/>
      </rPr>
      <t xml:space="preserve">    </t>
    </r>
    <r>
      <rPr>
        <sz val="10"/>
        <color theme="1"/>
        <rFont val="Arial"/>
        <family val="2"/>
      </rPr>
      <t>Other- More than 2 individuals occupy the bedroom</t>
    </r>
  </si>
  <si>
    <r>
      <t>·</t>
    </r>
    <r>
      <rPr>
        <sz val="10"/>
        <color theme="1"/>
        <rFont val="Times New Roman"/>
        <family val="1"/>
      </rPr>
      <t xml:space="preserve">     </t>
    </r>
    <r>
      <rPr>
        <sz val="10"/>
        <color theme="1"/>
        <rFont val="Arial"/>
        <family val="2"/>
      </rPr>
      <t>Complete A. –E.</t>
    </r>
  </si>
  <si>
    <r>
      <t>·</t>
    </r>
    <r>
      <rPr>
        <sz val="10"/>
        <color theme="1"/>
        <rFont val="Times New Roman"/>
        <family val="1"/>
      </rPr>
      <t xml:space="preserve">          </t>
    </r>
    <r>
      <rPr>
        <sz val="10"/>
        <color theme="1"/>
        <rFont val="Arial"/>
        <family val="2"/>
      </rPr>
      <t xml:space="preserve">Request the facility’s census for the date of the review </t>
    </r>
  </si>
  <si>
    <r>
      <t>·</t>
    </r>
    <r>
      <rPr>
        <sz val="10"/>
        <color theme="1"/>
        <rFont val="Times New Roman"/>
        <family val="1"/>
      </rPr>
      <t xml:space="preserve">          </t>
    </r>
    <r>
      <rPr>
        <sz val="10"/>
        <color theme="1"/>
        <rFont val="Arial"/>
        <family val="2"/>
      </rPr>
      <t>Request the staffing schedule for the date of the review</t>
    </r>
  </si>
  <si>
    <t xml:space="preserve">1) Number of residents at the facility=  </t>
  </si>
  <si>
    <t xml:space="preserve">2) Number of staff on duty at the facility: </t>
  </si>
  <si>
    <t xml:space="preserve">                                          a) Day Shift =         </t>
  </si>
  <si>
    <t xml:space="preserve">                                          b)  Evening Shift =  </t>
  </si>
  <si>
    <t xml:space="preserve">                                          c) Night Shift =       </t>
  </si>
  <si>
    <r>
      <t>F. Day Shift</t>
    </r>
    <r>
      <rPr>
        <sz val="10"/>
        <color theme="1"/>
        <rFont val="Arial"/>
        <family val="2"/>
      </rPr>
      <t>: (No. of residents ÷ staff on duty)</t>
    </r>
  </si>
  <si>
    <r>
      <t>G. Evening Shift</t>
    </r>
    <r>
      <rPr>
        <sz val="10"/>
        <color theme="1"/>
        <rFont val="Arial"/>
        <family val="2"/>
      </rPr>
      <t xml:space="preserve"> (No. of residents ÷ staff on duty)</t>
    </r>
  </si>
  <si>
    <r>
      <t>H. Night Shift</t>
    </r>
    <r>
      <rPr>
        <sz val="10"/>
        <color theme="1"/>
        <rFont val="Arial"/>
        <family val="2"/>
      </rPr>
      <t xml:space="preserve">  (No. of residents ÷ staff on duty)</t>
    </r>
  </si>
  <si>
    <t>The Personal Care 3 Facility:</t>
  </si>
  <si>
    <t>a. provides 60% or more individuals participating in CBA with a single occupancy bedroom (see E. below);</t>
  </si>
  <si>
    <t>b. maintains a staffing ratio of 1:4 during the day and evening shifts (includes all residents) (see F. and G. below); and</t>
  </si>
  <si>
    <t>c. maintains a staffing ratio of 1:8 during the night shift (includes all residents) (see H. below)</t>
  </si>
  <si>
    <t>Occupancy</t>
  </si>
  <si>
    <t>Y</t>
  </si>
  <si>
    <t>Total (sum of all coins and cash)</t>
  </si>
  <si>
    <t>(4 or 5)</t>
  </si>
  <si>
    <t>(8 or 9)</t>
  </si>
  <si>
    <t>(14 – 20)</t>
  </si>
  <si>
    <t xml:space="preserve">Date of Death or Discharge </t>
  </si>
  <si>
    <t xml:space="preserve">List of AL/RC Individuals’ Funds Deficiencies and Required Corrective Action </t>
  </si>
  <si>
    <r>
      <t>Review bank statements and trust fund ledgers for errors and omission. If overage is reconciled, send proof of reconciliation to contract manager. If overage remains, escheat funds to the STATE OF TEXAS. Make check payable to DADS and send to Texas Department of Aging and Disability Services, ATTN: Accounts Receivable, Mail Code E-411, 701 W. 51</t>
    </r>
    <r>
      <rPr>
        <vertAlign val="superscript"/>
        <sz val="9"/>
        <color theme="1"/>
        <rFont val="Arial"/>
        <family val="2"/>
      </rPr>
      <t>st</t>
    </r>
    <r>
      <rPr>
        <sz val="9"/>
        <color theme="1"/>
        <rFont val="Arial"/>
        <family val="2"/>
      </rPr>
      <t>, Austin, TX, 78751-2312. Indicate on check money is to “Escheat Consumer Trust Funds.” Enclose completed Escheatment of Consumer Funds form with check. Send contract manager copy of check and completed form.</t>
    </r>
  </si>
  <si>
    <t xml:space="preserve">Unallowable charge - telephone </t>
  </si>
  <si>
    <r>
      <t>Refund amount indicated to individual or individual’s representative. Send contract manager copy of front and back of cancelled check or signed receipt for cash refund. If individual or individual’s representative can not be located, escheat funds to the STATE OF TEXAS. Complete the Escheatment of Consumer Funds form (Form 2032) and make check payable to DADS.  Send Form 2032 and the check to Texas Department of Aging and Disability Services, ATTN: Accounts Receivable, Mail Code E-411, 701 W. 51</t>
    </r>
    <r>
      <rPr>
        <vertAlign val="superscript"/>
        <sz val="9"/>
        <color theme="1"/>
        <rFont val="Arial"/>
        <family val="2"/>
      </rPr>
      <t>st</t>
    </r>
    <r>
      <rPr>
        <sz val="9"/>
        <color theme="1"/>
        <rFont val="Arial"/>
        <family val="2"/>
      </rPr>
      <t>, Austin, TX, 78751-2312. Indicate on check money is to “Escheat Consumer Trust Funds.” Send contract manager copy of check and completed Form 2032.</t>
    </r>
  </si>
  <si>
    <r>
      <t>Refund amount indicated to individual or individual’s representative. Send contract manager copy of front and back of cancelled check or signed receipt for cash refund. If individual or individual’s representative can not be located, escheat funds to the STATE OF TEXAS. Complete the Escheatment of Consumer Funds form (Form 2032) and make check payable to DADS. Send Form 2032 and the check to Texas Department of Aging and Disability Services, ATTN: Accounts Receivable, Mail Code E-411, 701 W. 51</t>
    </r>
    <r>
      <rPr>
        <vertAlign val="superscript"/>
        <sz val="9"/>
        <color theme="1"/>
        <rFont val="Arial"/>
        <family val="2"/>
      </rPr>
      <t>st</t>
    </r>
    <r>
      <rPr>
        <sz val="9"/>
        <color theme="1"/>
        <rFont val="Arial"/>
        <family val="2"/>
      </rPr>
      <t>, Austin, TX, 78751-2312. Indicate on check money is to “Escheat Consumer Trust Funds.” Send contract manager copy of check and completed Form 2032.</t>
    </r>
  </si>
  <si>
    <t xml:space="preserve">A.  </t>
  </si>
  <si>
    <t>Name of Employee</t>
  </si>
  <si>
    <t xml:space="preserve">Date of Hire/First Date of Service </t>
  </si>
  <si>
    <t>E.</t>
  </si>
  <si>
    <t>No Bars- Employee is Employable</t>
  </si>
  <si>
    <t xml:space="preserve">A person placed on deferred adjudication community supervision is NOT considered convicted of the offense.  </t>
  </si>
  <si>
    <t>PERMANENT BAR TO EMPLOYMENT</t>
  </si>
  <si>
    <t>FIVE YEAR BAR TO EMPLOYMENT</t>
  </si>
  <si>
    <t>A person may not be employed in direct contact with a consumer in a facility before the fifth anniversary of the date of conviction.</t>
  </si>
  <si>
    <t>OFFENSE</t>
  </si>
  <si>
    <t>Chapter 19</t>
  </si>
  <si>
    <t>Criminal homicide</t>
  </si>
  <si>
    <t>Section 22.01</t>
  </si>
  <si>
    <t>Assault punishable as a Class A misdemeanor or felony</t>
  </si>
  <si>
    <t>Chapter 20</t>
  </si>
  <si>
    <t>Kidnapping and unlawful restraint</t>
  </si>
  <si>
    <t>Section 30.02</t>
  </si>
  <si>
    <t>Section 21.02</t>
  </si>
  <si>
    <t xml:space="preserve">Continuous sexual abuse of young child or children </t>
  </si>
  <si>
    <t>Section 21.08</t>
  </si>
  <si>
    <t>Indecent exposure</t>
  </si>
  <si>
    <t>Chapter 31</t>
  </si>
  <si>
    <t>Theft that is punishable as a felony</t>
  </si>
  <si>
    <t>Section 21.11</t>
  </si>
  <si>
    <t xml:space="preserve">Indecency with child  </t>
  </si>
  <si>
    <t>Section 32.45</t>
  </si>
  <si>
    <t>Misapplication of fiduciary property/property of a financial institution punishable as a Class A misdemeanor or felony</t>
  </si>
  <si>
    <t>Section 21.12</t>
  </si>
  <si>
    <t>Improper relationship between educator and student</t>
  </si>
  <si>
    <t>Section 21.15</t>
  </si>
  <si>
    <t>Improper photography or visual recording</t>
  </si>
  <si>
    <t>Section 22.011</t>
  </si>
  <si>
    <t>Sexual assault</t>
  </si>
  <si>
    <t>Section 32.46</t>
  </si>
  <si>
    <t>Securing execution of a document by deception that is punishable as a Class A misdemeanor or a felony</t>
  </si>
  <si>
    <t>Section 22.02</t>
  </si>
  <si>
    <t>Aggravated assault</t>
  </si>
  <si>
    <t>Section 22.04</t>
  </si>
  <si>
    <t>Injury to a child elderly individual, or disabled individual</t>
  </si>
  <si>
    <t>Section 37.12</t>
  </si>
  <si>
    <t>False identification as peace officer</t>
  </si>
  <si>
    <t>Section 22.05</t>
  </si>
  <si>
    <t>Deadly conduct</t>
  </si>
  <si>
    <t>Section 42.01(a)(7)(8)or(9)</t>
  </si>
  <si>
    <t>Disorderly conduct</t>
  </si>
  <si>
    <t>Section 22.07</t>
  </si>
  <si>
    <t>Terroristic threat</t>
  </si>
  <si>
    <t>Section 22.021</t>
  </si>
  <si>
    <t>Aggravated sexual assault</t>
  </si>
  <si>
    <t>Section 22.041</t>
  </si>
  <si>
    <t>Abandoning or endangering child</t>
  </si>
  <si>
    <t>Section 22.08</t>
  </si>
  <si>
    <t>Aiding suicide</t>
  </si>
  <si>
    <t>Section 25.031</t>
  </si>
  <si>
    <t>Agreement to abduct from custody</t>
  </si>
  <si>
    <t>Section 25.08</t>
  </si>
  <si>
    <t>Sale or purchase of a child</t>
  </si>
  <si>
    <t>Section 28.02</t>
  </si>
  <si>
    <t>Arson</t>
  </si>
  <si>
    <t>Section 29.02</t>
  </si>
  <si>
    <t>Robbery</t>
  </si>
  <si>
    <t>Section 29.03</t>
  </si>
  <si>
    <t>Aggravated robbery</t>
  </si>
  <si>
    <t>Section 33.021</t>
  </si>
  <si>
    <t>Online solicitation of a minor</t>
  </si>
  <si>
    <t>Section 34.02</t>
  </si>
  <si>
    <t>Money laundering</t>
  </si>
  <si>
    <t>Section 35A.02</t>
  </si>
  <si>
    <t>Medicaid Fraud</t>
  </si>
  <si>
    <t>Section 42.09</t>
  </si>
  <si>
    <t>Cruelty to animals</t>
  </si>
  <si>
    <t>Resource: HEALTH AND SAFETY CODE §250.006</t>
  </si>
  <si>
    <t xml:space="preserve"> _______________________________________________(Name and Title)</t>
  </si>
  <si>
    <t>CHAPTER/PENAL CODE</t>
  </si>
  <si>
    <r>
      <t>Burglary</t>
    </r>
    <r>
      <rPr>
        <b/>
        <sz val="10"/>
        <color theme="1"/>
        <rFont val="Arial"/>
        <family val="2"/>
      </rPr>
      <t xml:space="preserve"> (</t>
    </r>
    <r>
      <rPr>
        <sz val="10"/>
        <color theme="1"/>
        <rFont val="Arial"/>
        <family val="2"/>
      </rPr>
      <t>permanent bar in nursing homes/assisted living facilities)</t>
    </r>
  </si>
  <si>
    <t>Authorized Amount</t>
  </si>
  <si>
    <t>Actual Amount Paid</t>
  </si>
  <si>
    <t>Verified Units &amp; Rate</t>
  </si>
  <si>
    <t>DADS Reimbursement</t>
  </si>
  <si>
    <t>Co-Pay Owed (To)/From Individual</t>
  </si>
  <si>
    <t>Room &amp; Board Owed (To)/From Individual</t>
  </si>
  <si>
    <t>Bed-Hold Owed (To)/From Individual</t>
  </si>
  <si>
    <t>AB</t>
  </si>
  <si>
    <t>AC</t>
  </si>
  <si>
    <t>AD</t>
  </si>
  <si>
    <t>Service Code</t>
  </si>
  <si>
    <t xml:space="preserve">Month of Review </t>
  </si>
  <si>
    <t>Days in Month</t>
  </si>
  <si>
    <t xml:space="preserve">Nbr Units </t>
  </si>
  <si>
    <t>Amount Paid by DADS                              (Note: This is net of Co-pay)</t>
  </si>
  <si>
    <t>Co-pay Amount          (Note: This may be pro-rated for partial month)</t>
  </si>
  <si>
    <t>Gross Rate Payable All Sources
 (DADS &amp; Co-Pay)
((F  + G) / E)</t>
  </si>
  <si>
    <t xml:space="preserve">Individual Authorized Base Monthly Co-pay          </t>
  </si>
  <si>
    <t xml:space="preserve">Individual Authorized        Monthly R&amp;B             </t>
  </si>
  <si>
    <t xml:space="preserve">Individual Authorized
 Daily Bed-Hold          </t>
  </si>
  <si>
    <t xml:space="preserve">Amount Individual Paid for Co-pay  </t>
  </si>
  <si>
    <t xml:space="preserve">Amount Individual Paid for R&amp;B </t>
  </si>
  <si>
    <t>Amount Individual Paid for Bed-Hold</t>
  </si>
  <si>
    <t>Verified Units 
DADS, Co-pay &amp; Bed-Hold</t>
  </si>
  <si>
    <t xml:space="preserve">Verified Units R&amp;B </t>
  </si>
  <si>
    <t>Billable
RC Rate
or 
HHSC Bed-Hold Rate</t>
  </si>
  <si>
    <t>Number of Units (over)/under Billed To DADS
( O - E)</t>
  </si>
  <si>
    <t>Reimbursement Amount Due (To)/From DADS                       ( R - F )</t>
  </si>
  <si>
    <t xml:space="preserve">Actual Co-pay Due                                   (( I / D) * O ) </t>
  </si>
  <si>
    <t>Co-pay Due (To)/From Individual                               ( V -  L )</t>
  </si>
  <si>
    <t>Actual R&amp;B Due            ( J / D) * P)</t>
  </si>
  <si>
    <t>Amount due (To)/From Individual to Contractor                         ( Y - M )</t>
  </si>
  <si>
    <t>Actual 
Bed-Hold Due by Individual           
( K * O )</t>
  </si>
  <si>
    <t xml:space="preserve">Amount due (To)/From Individual to Contractor
( AB - N )                         </t>
  </si>
  <si>
    <t>Service Begin Date</t>
  </si>
  <si>
    <t>Service End                Date</t>
  </si>
  <si>
    <t>(From contractor's documentation or
individual's trust fund account
if managed by the contractor)</t>
  </si>
  <si>
    <t>Y/N</t>
  </si>
  <si>
    <t>Comments</t>
  </si>
  <si>
    <t>OUT-OF-HOME RESPITE REIMBURSEMENT SPREADSHEET INSTRUCTIONS (AL/RC)</t>
  </si>
  <si>
    <t>Completed by: Enter name of the DADS contract staff that recorded the information on the form</t>
  </si>
  <si>
    <t>Date Completed: Enter the date the information was recorded on the form</t>
  </si>
  <si>
    <t xml:space="preserve">Column A: </t>
  </si>
  <si>
    <t>Column B:</t>
  </si>
  <si>
    <t>Enter service code</t>
  </si>
  <si>
    <t>11D</t>
  </si>
  <si>
    <t>Column C:</t>
  </si>
  <si>
    <t xml:space="preserve">Column D: </t>
  </si>
  <si>
    <t xml:space="preserve">Column E: </t>
  </si>
  <si>
    <t>Column F:</t>
  </si>
  <si>
    <t>Calculated Field-Gross rate per service code from all payable sources. Total amount paid by DADS (column E divided by the number of units (days) billed (column D)</t>
  </si>
  <si>
    <t>Billable Units Paid</t>
  </si>
  <si>
    <t>Column G:</t>
  </si>
  <si>
    <t>Refer to Billing Units of Service Respite Table at the following website:</t>
  </si>
  <si>
    <t>Column H:</t>
  </si>
  <si>
    <t xml:space="preserve">Refer to the LIVING UNIT CHECKLIST, if all of the elements within the individual's authorized residential setting code are met, enter the gross rate from column "F", </t>
  </si>
  <si>
    <t>Column I:</t>
  </si>
  <si>
    <t>Calculated field - the actual amount due by DADS to contractor. Billable units from daily census (column H) times the billable rate per floor plan and observation (column I)</t>
  </si>
  <si>
    <t>Column J:</t>
  </si>
  <si>
    <t>Calculated field</t>
  </si>
  <si>
    <t>Column K:</t>
  </si>
  <si>
    <t xml:space="preserve">If the contractor billed DADS correctly, the amount in column "K" will be"0" </t>
  </si>
  <si>
    <t>If the contractor billed DADS for less units than the number of units supported by daily census or documentation, the amount in column "K" will be positive</t>
  </si>
  <si>
    <t>Column L:</t>
  </si>
  <si>
    <t>Enter any comments/explanation you deem necessary.</t>
  </si>
  <si>
    <r>
      <t xml:space="preserve">Name of Legal Entity: </t>
    </r>
    <r>
      <rPr>
        <sz val="10"/>
        <rFont val="Arial Narrow"/>
        <family val="2"/>
      </rPr>
      <t>Enter name of legal entity</t>
    </r>
  </si>
  <si>
    <r>
      <t xml:space="preserve">Contract Number(s): </t>
    </r>
    <r>
      <rPr>
        <sz val="10"/>
        <rFont val="Arial Narrow"/>
        <family val="2"/>
      </rPr>
      <t>Enter contract number(s) associated with the individuals on the sample</t>
    </r>
  </si>
  <si>
    <t>Enter the total number of units (days) billed for the service codes in column "B" for the month in review. If DADS paid more than once during the month for the same service code enter the total number of units billed for the month in review. Do not combine different service codes.</t>
  </si>
  <si>
    <t>Enter the total amount paid by DADS for the service codes in column "B" for the month in review. If DADS paid more than once during the month for the same service code enter the total amount paid for the month in review. Do not combine different service codes.</t>
  </si>
  <si>
    <t>Enter the number of billable units (days) from daily census record. For OHR review F3251 to determine number of billable units (days) . Include all the days and hours (partial units) the  individual was present at the home. If less than one day (24 hours) of respite is provided, the hours of service provided must be converted to a fractional equivalent of a day.</t>
  </si>
  <si>
    <t>If the contractor owes DADS, the amount in column "K" will be negative (in parenthesis).  The contractor may provide evidence, such as an R&amp;S report, that the contractor has negatively billed the amount due to DADS to resolve the discrepancy. Complete Column L.</t>
  </si>
  <si>
    <t>19J</t>
  </si>
  <si>
    <t>Residential Care Bed-hold Apartment</t>
  </si>
  <si>
    <t>19K</t>
  </si>
  <si>
    <t>Residential Care Apartment</t>
  </si>
  <si>
    <t>Residential Care Non-Apartment</t>
  </si>
  <si>
    <t>19N</t>
  </si>
  <si>
    <t>Residential Care Room &amp; Board - Non Apartment</t>
  </si>
  <si>
    <t>19I</t>
  </si>
  <si>
    <t>Residential Care Bed-hold Non-Apartment</t>
  </si>
  <si>
    <t>19O</t>
  </si>
  <si>
    <t>Residential Care Room &amp; Board - Apartment</t>
  </si>
  <si>
    <t>Column D:</t>
  </si>
  <si>
    <t xml:space="preserve">Column F: </t>
  </si>
  <si>
    <t>For service codes 19I or 19J leave blank.</t>
  </si>
  <si>
    <t xml:space="preserve">Applies only to code 19I and 19J. </t>
  </si>
  <si>
    <t>http://www.hhsc.state.tx.us/medicaid/programs/rad/Rc/2009RcRates.html</t>
  </si>
  <si>
    <t xml:space="preserve">If the contractor manages the individual trust fund account, review the individual's trust fund ledger and confirm that the co-pay, R&amp;B and bed-hold amounts withdrawn matches the contractor's "Room &amp; Board and </t>
  </si>
  <si>
    <t>Co-Pay Ledger" or equivalent. If the authorized amount does not match the amount withdrawn from the trust fund account, enter the R&amp;B amount from the individual's trust fund ledger in columns "L-N"</t>
  </si>
  <si>
    <t>If the contractor does not manage the individual trust fund account, review the contractor's "Room &amp; Board and Co-pay Ledger" or equivalent and enter this amount in columns "L-N".</t>
  </si>
  <si>
    <t>Enter the co-pay amount the individual paid the contractor for the month in review. Review contractor's documentation to verify co-pay amount. For service codes 19I or 19J leave blank</t>
  </si>
  <si>
    <t>Column M:</t>
  </si>
  <si>
    <t>Enter the amount the individual paid the contractor for R&amp;B. Review contractor's documentation to verify R&amp;B amount. For service codes 19I or 19J leave blank</t>
  </si>
  <si>
    <t>Column N:</t>
  </si>
  <si>
    <t>Column O:</t>
  </si>
  <si>
    <t>Include the day of death</t>
  </si>
  <si>
    <t>Include up to 14 days of personal leave days (14 days is the maximum number of days allowed in a calendar year)</t>
  </si>
  <si>
    <t>the individual was absent from the facility because the individual temporarily entered an institution (hospital, nursing facility, state school, state hospital or ICF/MR)</t>
  </si>
  <si>
    <t>Column P:</t>
  </si>
  <si>
    <t>Include personal leave days</t>
  </si>
  <si>
    <t>Column Q:</t>
  </si>
  <si>
    <t xml:space="preserve">Refer to the LIVING UNIT CHECKLIST, if all of the elements within the individual's authorized residential setting code are met, enter the gross rate from column "H", </t>
  </si>
  <si>
    <t>If the individual is not currently residing in the same living unit as during the last two months of the review period, enter the amount in column "H", Gross Payable Rate,  in Column "Q".</t>
  </si>
  <si>
    <t>For services codes 19I and 19J enter the bed-hold rate established by the HHSC for the individual's authorized residential setting.</t>
  </si>
  <si>
    <t>Column R:</t>
  </si>
  <si>
    <t>Column S:</t>
  </si>
  <si>
    <t>Column T:</t>
  </si>
  <si>
    <t>Calculated field - Reimbursement Amount Due (To)/From DADS</t>
  </si>
  <si>
    <t xml:space="preserve">If the contractor billed DADS correctly, the amount in column "T" will be"0" </t>
  </si>
  <si>
    <t xml:space="preserve">If the contractor owes DADS, the amount in column "T" will be negative (in parenthesis). </t>
  </si>
  <si>
    <t>If the contractor billed DADS for less units than the number of units supported by daily census or documentation, the amount in column "T" will be positive</t>
  </si>
  <si>
    <t>Column U:</t>
  </si>
  <si>
    <t>Amount Individual Must Pay Table</t>
  </si>
  <si>
    <t>CONTRACT TYPE</t>
  </si>
  <si>
    <t>R&amp;B</t>
  </si>
  <si>
    <t>CO-PAY</t>
  </si>
  <si>
    <t>BED-HOLD</t>
  </si>
  <si>
    <t>PAYMENT</t>
  </si>
  <si>
    <t>PERSONAL DAYS</t>
  </si>
  <si>
    <t>INSTITUTIONALIZED DAYS</t>
  </si>
  <si>
    <t>CCAD</t>
  </si>
  <si>
    <t>Contractor keeps R&amp;B amount</t>
  </si>
  <si>
    <t>BY INDIVIDUAL, if any</t>
  </si>
  <si>
    <t>Contractor keeps co-pay amt.</t>
  </si>
  <si>
    <t>Contractor refunds to indiv excess co-pay $ over bed-hold rate
(co-pay paid by indiv is used toward bed-hold amount due)</t>
  </si>
  <si>
    <t>BY INDIVIDUAL AND/OR DADS (if co-pay $ is &lt; bed-hold rate)</t>
  </si>
  <si>
    <t>N/A</t>
  </si>
  <si>
    <t>Contractor keeps BH amount</t>
  </si>
  <si>
    <t>BY INDIVIDUAL</t>
  </si>
  <si>
    <t>Personal Leave Days: an individual is entitled up to 14 days in a calendar year</t>
  </si>
  <si>
    <t>Institutionalized Days: days the individual was absent from the facility because the individual temporarily entered an institution (hospital, nursing facility, state school, state hospital or ICF/MR)</t>
  </si>
  <si>
    <t>Co-Pay Owed To/From Individual</t>
  </si>
  <si>
    <t>The facility must refund any co-payment paid by a CCAD RC individual that is in excess of the bed-hold amount. If the individual's co-payment amount is less than the bed-hold charge, DADS pays the difference.</t>
  </si>
  <si>
    <t>Column V:</t>
  </si>
  <si>
    <t>Column W:</t>
  </si>
  <si>
    <t>Calculated field - Co-pay Due (To)/From Individual. Actual co-pay due (column V) minus amount individual paid for co-pay (column L)</t>
  </si>
  <si>
    <t xml:space="preserve">If the contractor billed the individual correctly, the amount in column "W" will be "0" </t>
  </si>
  <si>
    <t>If the contractor owes the individual, the amount in column "W" will be negative (in parenthesis)</t>
  </si>
  <si>
    <t>If the contractor billed the individual less  than the authorized base monthly co-pay, the amount in column "W" will be positive</t>
  </si>
  <si>
    <t>Column X:</t>
  </si>
  <si>
    <t>Room and Board</t>
  </si>
  <si>
    <t>Column Y:</t>
  </si>
  <si>
    <t>Calculated field - Actual Room &amp; Board Due. The individual authorized R&amp;B monthly amount (column J) divided by the number of day in the month (column D) times billable units/days (column P)</t>
  </si>
  <si>
    <t>Column Z:</t>
  </si>
  <si>
    <t>Calculated field - Amount due (To)/From individual to contractor. The actual R&amp;B due to contractor (column Y) minus the amount the individual paid the contractor (column M)</t>
  </si>
  <si>
    <t>Column AA:</t>
  </si>
  <si>
    <t>Bed-Hold</t>
  </si>
  <si>
    <t>Column AB:</t>
  </si>
  <si>
    <t>Calculated field - Actual Bed-Hold Due. The individual authorized daily bed-hold amount (column K) times billable units/days (column O)</t>
  </si>
  <si>
    <t>Column AC:</t>
  </si>
  <si>
    <t>Calculated field - Amount due (To)/From individual to contractor. The actual bed-hold due to contractor (column AB) minus the amount the individual paid the contractor (column N)</t>
  </si>
  <si>
    <t>Column  AD:</t>
  </si>
  <si>
    <r>
      <t xml:space="preserve">Date Completed: </t>
    </r>
    <r>
      <rPr>
        <sz val="10"/>
        <rFont val="Arial Narrow"/>
        <family val="2"/>
      </rPr>
      <t>Enter the date the information was recorded on the form</t>
    </r>
  </si>
  <si>
    <r>
      <t>To calculate billable residential care units (days) for DADS/</t>
    </r>
    <r>
      <rPr>
        <u/>
        <sz val="10"/>
        <rFont val="Arial Narrow"/>
        <family val="2"/>
      </rPr>
      <t>co-pay</t>
    </r>
    <r>
      <rPr>
        <sz val="10"/>
        <rFont val="Arial Narrow"/>
        <family val="2"/>
      </rPr>
      <t xml:space="preserve"> include all days the individual was present at the home and if applicable,</t>
    </r>
  </si>
  <si>
    <r>
      <t>Exclude</t>
    </r>
    <r>
      <rPr>
        <sz val="10"/>
        <rFont val="Arial Narrow"/>
        <family val="2"/>
      </rPr>
      <t xml:space="preserve"> the day the individual entered the hospital/emergency care</t>
    </r>
  </si>
  <si>
    <r>
      <t>Exclude</t>
    </r>
    <r>
      <rPr>
        <sz val="10"/>
        <rFont val="Arial Narrow"/>
        <family val="2"/>
      </rPr>
      <t xml:space="preserve"> the day(s) the individual stayed at the hospital/emergency care</t>
    </r>
  </si>
  <si>
    <r>
      <t>Include</t>
    </r>
    <r>
      <rPr>
        <sz val="10"/>
        <rFont val="Arial Narrow"/>
        <family val="2"/>
      </rPr>
      <t xml:space="preserve"> the day the individual entered the hospital/emergency care</t>
    </r>
  </si>
  <si>
    <r>
      <t>Include</t>
    </r>
    <r>
      <rPr>
        <sz val="10"/>
        <rFont val="Arial Narrow"/>
        <family val="2"/>
      </rPr>
      <t xml:space="preserve"> the day(s) the individual stayed at the hospital/emergency care</t>
    </r>
  </si>
  <si>
    <r>
      <t xml:space="preserve">Enter the total  number of units (days) billed for the service codes in column "B" for the month in review. If DADS </t>
    </r>
    <r>
      <rPr>
        <u/>
        <sz val="10"/>
        <rFont val="Arial Narrow"/>
        <family val="2"/>
      </rPr>
      <t xml:space="preserve">paid more than once during the month for the </t>
    </r>
    <r>
      <rPr>
        <b/>
        <u/>
        <sz val="10"/>
        <rFont val="Arial Narrow"/>
        <family val="2"/>
      </rPr>
      <t>same service code</t>
    </r>
    <r>
      <rPr>
        <sz val="10"/>
        <rFont val="Arial Narrow"/>
        <family val="2"/>
      </rPr>
      <t xml:space="preserve"> enter the total number of units billed for the month in review. Do not combine different service codes.</t>
    </r>
  </si>
  <si>
    <r>
      <t xml:space="preserve">Enter the total amount paid by DADS for the service codes in column "B" for the month in review. If DADS </t>
    </r>
    <r>
      <rPr>
        <u/>
        <sz val="10"/>
        <rFont val="Arial Narrow"/>
        <family val="2"/>
      </rPr>
      <t xml:space="preserve">paid more than once during the month for the </t>
    </r>
    <r>
      <rPr>
        <b/>
        <u/>
        <sz val="10"/>
        <rFont val="Arial Narrow"/>
        <family val="2"/>
      </rPr>
      <t>same service code</t>
    </r>
    <r>
      <rPr>
        <sz val="10"/>
        <rFont val="Arial Narrow"/>
        <family val="2"/>
      </rPr>
      <t xml:space="preserve"> enter the total amount paid for the month in review. Do not combine different service codes.</t>
    </r>
  </si>
  <si>
    <r>
      <t xml:space="preserve">Enter the total co-pay amount for the service code in column "B" for the month in review. This amount may be prorated. If the individual </t>
    </r>
    <r>
      <rPr>
        <u/>
        <sz val="10"/>
        <rFont val="Arial Narrow"/>
        <family val="2"/>
      </rPr>
      <t xml:space="preserve">paid more than once during the month for the </t>
    </r>
    <r>
      <rPr>
        <b/>
        <u/>
        <sz val="10"/>
        <rFont val="Arial Narrow"/>
        <family val="2"/>
      </rPr>
      <t>same</t>
    </r>
    <r>
      <rPr>
        <sz val="10"/>
        <rFont val="Arial Narrow"/>
        <family val="2"/>
      </rPr>
      <t xml:space="preserve"> service code enter the total amount paid by the individual for the month in review. Do not combine different service codes.</t>
    </r>
  </si>
  <si>
    <t>Calculated Field-Gross rate per service code from all payable sources. Total amount paid by DADS (column F) plus co-pay amount (column G) divided by the number of units (days) billed (column E)</t>
  </si>
  <si>
    <t xml:space="preserve">Review contractor's documentation to verify bed-hold amount. The facility must refund any co-payments paid by a CCAD individual that is in excess of the bed-hold amount. If the individual's co-payment amount is less than the bed-hold charge, DADS pays the difference. </t>
  </si>
  <si>
    <t>Calculated field - the actual amount due by DADS to contractor after individual's co-pay. Billable rate (column Q) times the number of billable units from daily census (column O) minus actual co-pay due by individual (column V) and Actual Bed-Hold due by individual, if any, (column AB). If the billable rate (column Q) is "0", the actual amount due by DADS to contractor will be calculated as "0".</t>
  </si>
  <si>
    <t>Calculated Field - Actual co-pay due by the individual for the month in review. Authorized base monthly co-pay (column I) divided by the number of days in month of review (column D) times the number of billable units (days) from daily census (column O)</t>
  </si>
  <si>
    <t># Units Billed</t>
  </si>
  <si>
    <t xml:space="preserve">Amount Paid by DADS                              </t>
  </si>
  <si>
    <t>Gross Rate  
 ( E / D )</t>
  </si>
  <si>
    <t>Verified Units DADS (from Daily Census Record - OHR F3251)</t>
  </si>
  <si>
    <t>Verified Rate Per Floor Plan &amp; Observation</t>
  </si>
  <si>
    <t>Number of Units (over)/under Billed to DADS
 ( G - D )</t>
  </si>
  <si>
    <t>Reimbursement Amount Due (To)/From DADS                       ( I - E)</t>
  </si>
  <si>
    <t>Service         End                Date</t>
  </si>
  <si>
    <t>From DADS Reimbursement Spreadsheets</t>
  </si>
  <si>
    <t>RECOUPMENT AMOUNT TOTALS</t>
  </si>
  <si>
    <t xml:space="preserve">Month (1)                                                                                                                              </t>
  </si>
  <si>
    <t xml:space="preserve">Month (2)                                                                                                                              </t>
  </si>
  <si>
    <t>Total Outstanding Checks</t>
  </si>
  <si>
    <t>Total Deposits in Transit</t>
  </si>
  <si>
    <t>VI.1</t>
  </si>
  <si>
    <t>VIII.1a</t>
  </si>
  <si>
    <t>VIII.1b</t>
  </si>
  <si>
    <r>
      <t>NOTE:</t>
    </r>
    <r>
      <rPr>
        <sz val="10"/>
        <color theme="1"/>
        <rFont val="Arial"/>
        <family val="2"/>
      </rPr>
      <t xml:space="preserve"> The contractor is required to complete the reconciliation within 10 work days from the date of the exit conference</t>
    </r>
  </si>
  <si>
    <r>
      <t>o</t>
    </r>
    <r>
      <rPr>
        <sz val="7"/>
        <color theme="1"/>
        <rFont val="Times New Roman"/>
        <family val="1"/>
      </rPr>
      <t xml:space="preserve">   </t>
    </r>
    <r>
      <rPr>
        <sz val="10"/>
        <color theme="1"/>
        <rFont val="Arial"/>
        <family val="2"/>
      </rPr>
      <t>If overarching question VIII.1b is “Y”, reconcile the pooled trust fund account below.</t>
    </r>
  </si>
  <si>
    <t>o    Obtain the most recent trust fund bank account reconciliation, including all pages of the bank statement, ending trial balances and reconciliation worksheets. If the reconciliation is not for the most recent bank statement received, obtain all bank statements received since the last bank reconciliation.</t>
  </si>
  <si>
    <t>o    Obtain the checkbook, check register and deposit slips which reflect activity through the current date.</t>
  </si>
  <si>
    <t xml:space="preserve">o    Obtain the individual’s trust fund trial balance through the current date. </t>
  </si>
  <si>
    <t xml:space="preserve">o    Complete the bank reconciliation below. List the total of outstanding checks and the total of deposits in transit. </t>
  </si>
  <si>
    <t>o   If bank charges are found, review the bank statement for a deposit from the facility to refund previous bank charges.</t>
  </si>
  <si>
    <t>o If overarching question X.4 is “Y”, verify withdrawals agree with written authorization/receipt.</t>
  </si>
  <si>
    <t>o If overarching question X.4 is “Y”, verify withdrawals were allowable.</t>
  </si>
  <si>
    <t>o    Include below the withdrawal date (A) and amount (B) and an explanation of the deficiency noted (error)(C). For example, “Individual’s trust fund ledger reflects a $10.00 withdrawal for laundry fee on 3/25/10. Laundry fees are unallowable.”</t>
  </si>
  <si>
    <t>o  If overarching question X.6 is “Y”, determine if the contractor refunded the individual’s trust account below.</t>
  </si>
  <si>
    <t>o    If overarching question X.6 is “Y”, complete the table below</t>
  </si>
  <si>
    <t>Reason</t>
  </si>
  <si>
    <t>Does the individual's living unit meet the billed setting requirements?</t>
  </si>
  <si>
    <t xml:space="preserve">o   If overarching question VIII.1a is “Y”, continue to overarching question VIII.1b </t>
  </si>
  <si>
    <r>
      <t>o</t>
    </r>
    <r>
      <rPr>
        <sz val="7"/>
        <color theme="1"/>
        <rFont val="Arial"/>
        <family val="2"/>
      </rPr>
      <t xml:space="preserve">    </t>
    </r>
    <r>
      <rPr>
        <sz val="10"/>
        <color theme="1"/>
        <rFont val="Arial"/>
        <family val="2"/>
      </rPr>
      <t>If there is a trust fund overage or shortage, ask the contractor to review for errors or determine the cause of any overage or shortage.</t>
    </r>
    <r>
      <rPr>
        <sz val="9"/>
        <color theme="1"/>
        <rFont val="Arial"/>
        <family val="2"/>
      </rPr>
      <t xml:space="preserve"> </t>
    </r>
  </si>
  <si>
    <t>IX.1.a</t>
  </si>
  <si>
    <t>IX.1.b</t>
  </si>
  <si>
    <t xml:space="preserve">• Select “N” if the pooled or any individual trust fund account is not separate from the facility’s operating accounts or the account does not identify the facility as the trustee of the trust fund account(s) </t>
  </si>
  <si>
    <t>• Select “N” if no statement is available or the statement does not indicate, at a minimum, the individual’s name, time period of the statement, beginning balance, deposits and withdrawals during the quarter and the ending balance.</t>
  </si>
  <si>
    <t>• Select “NA” if reviewing an Out of Home Respite contract only</t>
  </si>
  <si>
    <t>• Select “NA” if reviewing an Out of Home Respite contract only.</t>
  </si>
  <si>
    <t>A response of “Y” means the contractor has met the requirement. “N” means the contractor has not met the requirement.  “NA” means the requirement is not applicable. For any item marked as “N” attach copies of supporting documents. All attachments should be numbered and indicate the applicable Standard and item.</t>
  </si>
  <si>
    <t>o    Select “N” if the trust fund bank account has not been reconciled within the last 90 days – the contractor is required to complete the reconciliation within 10 work days from the date of the exit conference.</t>
  </si>
  <si>
    <t xml:space="preserve">o If overarching question  III.1 is “Y”, verify service initiation within the required timeframe below                                                                                                                                   </t>
  </si>
  <si>
    <t>Enter the number of days in the month of review. (Regardless of billing periods, enter the number of days in the entire month, ex. June =30; July=31)</t>
  </si>
  <si>
    <t>SpreadsheetName</t>
  </si>
  <si>
    <t>SpreadsheetVersion</t>
  </si>
  <si>
    <t>ReviewDtOfEntrance</t>
  </si>
  <si>
    <t>ContractType</t>
  </si>
  <si>
    <t>ContractNumber</t>
  </si>
  <si>
    <t>NameOfLegalEntity</t>
  </si>
  <si>
    <t>ReviewLevel</t>
  </si>
  <si>
    <t>ReviewType</t>
  </si>
  <si>
    <t>CompletedByLastName</t>
  </si>
  <si>
    <t>CompletedByFirstName</t>
  </si>
  <si>
    <t>DtOfEntrance</t>
  </si>
  <si>
    <t>DtOfReviewBegin</t>
  </si>
  <si>
    <t>DtOfReviewEnd</t>
  </si>
  <si>
    <t>CbaOhrContractNumber</t>
  </si>
  <si>
    <t>IcmOhrContractNumber</t>
  </si>
  <si>
    <t>CwpOhrContractNumber</t>
  </si>
  <si>
    <t>Std1dot1</t>
  </si>
  <si>
    <t>Std1dot3</t>
  </si>
  <si>
    <t>Std1Comments</t>
  </si>
  <si>
    <t>Std1TotalYes</t>
  </si>
  <si>
    <t>Std1TotalNo</t>
  </si>
  <si>
    <t>Std3dot1Comments</t>
  </si>
  <si>
    <t>Std3dot1NumberYes</t>
  </si>
  <si>
    <t>Std3dot1NumberNo</t>
  </si>
  <si>
    <t>Std3dot2Comments</t>
  </si>
  <si>
    <t>Std3dot2NumberYes</t>
  </si>
  <si>
    <t>Std3dot2NumberNo</t>
  </si>
  <si>
    <t>Std3TotalYes</t>
  </si>
  <si>
    <t>Std3TotalNo</t>
  </si>
  <si>
    <t>Std4dot1Comments</t>
  </si>
  <si>
    <t>Std4TotalYes</t>
  </si>
  <si>
    <t>Std4TotalNo</t>
  </si>
  <si>
    <t>Std5dot1Comments</t>
  </si>
  <si>
    <t>Std5TotalYes</t>
  </si>
  <si>
    <t>Std5TotalNo</t>
  </si>
  <si>
    <t>Std6dot1Comments</t>
  </si>
  <si>
    <t>Std6dot1NotCalc</t>
  </si>
  <si>
    <t>Std6dot1CashOnHandDt</t>
  </si>
  <si>
    <t>Std6dot1Pennies</t>
  </si>
  <si>
    <t>Std6dot1Nickels</t>
  </si>
  <si>
    <t>Std6dot1Dimes</t>
  </si>
  <si>
    <t>Std6dot1Quarters</t>
  </si>
  <si>
    <t>Std6dot1HalfDollars</t>
  </si>
  <si>
    <t>Std6dot1Dollars</t>
  </si>
  <si>
    <t>Std6dot1Ones</t>
  </si>
  <si>
    <t>Std6dot1Fives</t>
  </si>
  <si>
    <t>Std6dot1Tens</t>
  </si>
  <si>
    <t>Std6dot1Twenties</t>
  </si>
  <si>
    <t>Std6dot1Fifties</t>
  </si>
  <si>
    <t>Std6dot1OtherCurrrency</t>
  </si>
  <si>
    <t>Std6dot1BalPettyCashLog</t>
  </si>
  <si>
    <t>Std6dot1Adjustments</t>
  </si>
  <si>
    <t>Std6dot1AdjustedBal</t>
  </si>
  <si>
    <t>Std6dot1PettyCashOnHand</t>
  </si>
  <si>
    <t>Std6dot1PettyCashOverShort</t>
  </si>
  <si>
    <t>Std7dot1Comments</t>
  </si>
  <si>
    <t>Std7TotalYes</t>
  </si>
  <si>
    <t>Std7TotalNo</t>
  </si>
  <si>
    <t>Std8dot1aNotCalc</t>
  </si>
  <si>
    <t>Std8dot1bNotCalc</t>
  </si>
  <si>
    <t>Std8dot1Comments</t>
  </si>
  <si>
    <t>Std8dot1TotOutstndChks</t>
  </si>
  <si>
    <t>Std8dot1TotDepsInTrans</t>
  </si>
  <si>
    <t>Std8dot1TrstFndTrialBal</t>
  </si>
  <si>
    <t>Std8dot1BankStmtDt</t>
  </si>
  <si>
    <t>Std8dot1BankStmtBal</t>
  </si>
  <si>
    <t>Std8dot1AdjBalPerBank</t>
  </si>
  <si>
    <t>Std8dot1TotPtyCshOnHndDt</t>
  </si>
  <si>
    <t>Std8dot1TotPtyCshOnHnd</t>
  </si>
  <si>
    <t>Std8dot1BalPerBksDt</t>
  </si>
  <si>
    <t>Std8dot1BalPerBks</t>
  </si>
  <si>
    <t>Std8dot1UnapplErndInt</t>
  </si>
  <si>
    <t>Std8dot1RcptsForDsbmnts</t>
  </si>
  <si>
    <t>Std8dot1NsfChks</t>
  </si>
  <si>
    <t>Std8dot1AdjBalPerBks</t>
  </si>
  <si>
    <t>Std8dot1AcctOvrShrt</t>
  </si>
  <si>
    <t>Std9dot1Comments</t>
  </si>
  <si>
    <t>Std9TotalYes</t>
  </si>
  <si>
    <t>Std9TotalNo</t>
  </si>
  <si>
    <t>Std10dot1Comments</t>
  </si>
  <si>
    <t>Std10dot1NumberYes</t>
  </si>
  <si>
    <t>Std10dot1NumberNo</t>
  </si>
  <si>
    <t>Std10dot2Comments</t>
  </si>
  <si>
    <t>Std10dot2NumberYes</t>
  </si>
  <si>
    <t>Std10dot2NumberNo</t>
  </si>
  <si>
    <t>Std10dot3Comments</t>
  </si>
  <si>
    <t>Std10dot3NumberYes</t>
  </si>
  <si>
    <t>Std10dot3NumberNo</t>
  </si>
  <si>
    <t>Std10dot4Comments</t>
  </si>
  <si>
    <t>Std10dot4NumberYes</t>
  </si>
  <si>
    <t>Std10dot4NumberNo</t>
  </si>
  <si>
    <t>Std10dot5Comments</t>
  </si>
  <si>
    <t>Std10dot5NumberYes</t>
  </si>
  <si>
    <t>Std10dot5NumberNo</t>
  </si>
  <si>
    <t>Std10dot6Comments</t>
  </si>
  <si>
    <t>Std10dot6NumberYes</t>
  </si>
  <si>
    <t>Std10dot6NumberNo</t>
  </si>
  <si>
    <t>Std10TotalYes</t>
  </si>
  <si>
    <t>Std10TotalNo</t>
  </si>
  <si>
    <t>Std11dot1Comments</t>
  </si>
  <si>
    <t>Std11dot1NumberYes</t>
  </si>
  <si>
    <t>Std11dot1NumberNo</t>
  </si>
  <si>
    <t>Std11dot2Comments</t>
  </si>
  <si>
    <t>Std11dot2NumberYes</t>
  </si>
  <si>
    <t>Std11dot2NumberNo</t>
  </si>
  <si>
    <t>Std11dot3Comments</t>
  </si>
  <si>
    <t>Std11dot3NumberYes</t>
  </si>
  <si>
    <t>Std11dot3NumberNo</t>
  </si>
  <si>
    <t>Std11dot4Comments</t>
  </si>
  <si>
    <t>Std11dot4NumberYes</t>
  </si>
  <si>
    <t>Std11dot4NumberNo</t>
  </si>
  <si>
    <t>Std11TotalYes</t>
  </si>
  <si>
    <t>Std11TotalNo</t>
  </si>
  <si>
    <t>CheckNo</t>
  </si>
  <si>
    <t>AL_RC_OHR</t>
  </si>
  <si>
    <t>SingleCare3Facility</t>
  </si>
  <si>
    <t>DtOfExit</t>
  </si>
  <si>
    <t>CcadRCContractNumber</t>
  </si>
  <si>
    <t>CWPALontractNumber</t>
  </si>
  <si>
    <t>IcmALcontractNumber</t>
  </si>
  <si>
    <t>CBAALcontractNumber</t>
  </si>
  <si>
    <t>Std1dot4</t>
  </si>
  <si>
    <t>Std1dot5</t>
  </si>
  <si>
    <t>Std1dot6</t>
  </si>
  <si>
    <t>Std1dot7</t>
  </si>
  <si>
    <t>Std1dot8</t>
  </si>
  <si>
    <t>Std2Comments</t>
  </si>
  <si>
    <t>Std2B</t>
  </si>
  <si>
    <t>Std2C</t>
  </si>
  <si>
    <t>Std2D</t>
  </si>
  <si>
    <t>Std2E</t>
  </si>
  <si>
    <t>Std2A</t>
  </si>
  <si>
    <t>Std2F</t>
  </si>
  <si>
    <t>Std2G</t>
  </si>
  <si>
    <t>Std2H</t>
  </si>
  <si>
    <t>Std2I</t>
  </si>
  <si>
    <t>Std2J</t>
  </si>
  <si>
    <t>Std2K</t>
  </si>
  <si>
    <t>Std2L</t>
  </si>
  <si>
    <t>Std2M</t>
  </si>
  <si>
    <t>Std2N</t>
  </si>
  <si>
    <t>Std2O</t>
  </si>
  <si>
    <t>Std2P</t>
  </si>
  <si>
    <t>Std2Q</t>
  </si>
  <si>
    <t>Std2R</t>
  </si>
  <si>
    <t>Std2S</t>
  </si>
  <si>
    <t>Std2T</t>
  </si>
  <si>
    <t>Std2U</t>
  </si>
  <si>
    <t>Std2V</t>
  </si>
  <si>
    <t>Std2W</t>
  </si>
  <si>
    <t>Std2X</t>
  </si>
  <si>
    <t>Std2Y</t>
  </si>
  <si>
    <t>Std2Z</t>
  </si>
  <si>
    <t>Std2AA</t>
  </si>
  <si>
    <t>Std2BB</t>
  </si>
  <si>
    <t>Std2CC</t>
  </si>
  <si>
    <t>Std2DD</t>
  </si>
  <si>
    <t>Std4dot1NumberYes</t>
  </si>
  <si>
    <t>Std4dot1NumberNo</t>
  </si>
  <si>
    <t>Std4dot2Comments</t>
  </si>
  <si>
    <t>Std4dot2NumberYes</t>
  </si>
  <si>
    <t>Std4dot2NumberNo</t>
  </si>
  <si>
    <t>Std11dot5Comments</t>
  </si>
  <si>
    <t>Std11dot5NumberYes</t>
  </si>
  <si>
    <t>Std11dot5NumberNo</t>
  </si>
  <si>
    <t>Std2TotalYes</t>
  </si>
  <si>
    <t>Std2TotalNo</t>
  </si>
  <si>
    <t>Std6dot1OvrShrtCorr</t>
  </si>
  <si>
    <t xml:space="preserve">Resident to Staff Ratio  </t>
  </si>
  <si>
    <t>Resulta</t>
  </si>
  <si>
    <t>Resultb</t>
  </si>
  <si>
    <t>Resultc</t>
  </si>
  <si>
    <t>TotalSingle</t>
  </si>
  <si>
    <t>TotalDouble</t>
  </si>
  <si>
    <t>TotalOther</t>
  </si>
  <si>
    <t>TotalBedrooms</t>
  </si>
  <si>
    <t>PctSnglBdrms</t>
  </si>
  <si>
    <t>NumberResidents</t>
  </si>
  <si>
    <t>NumberDayStaff</t>
  </si>
  <si>
    <t>NumberEveningStaff</t>
  </si>
  <si>
    <t>NumberNightStaff</t>
  </si>
  <si>
    <t>Res2StaffRatioDay</t>
  </si>
  <si>
    <t>Res2StaffRatioEvening</t>
  </si>
  <si>
    <t>Res2StaffRatioNight</t>
  </si>
  <si>
    <t>MeetsBilledSettingReqs</t>
  </si>
  <si>
    <r>
      <t>·</t>
    </r>
    <r>
      <rPr>
        <sz val="10"/>
        <color theme="1"/>
        <rFont val="Times New Roman"/>
        <family val="1"/>
      </rPr>
      <t xml:space="preserve">     </t>
    </r>
    <r>
      <rPr>
        <sz val="10"/>
        <color theme="1"/>
        <rFont val="Arial"/>
        <family val="2"/>
      </rPr>
      <t>Select one “Occupancy” status:</t>
    </r>
  </si>
  <si>
    <t>BedroomNo</t>
  </si>
  <si>
    <t>SampleNo</t>
  </si>
  <si>
    <t>IndivFundsSummary</t>
  </si>
  <si>
    <t>DfcncyRef</t>
  </si>
  <si>
    <t>SampleNo1</t>
  </si>
  <si>
    <t>SampleNo2</t>
  </si>
  <si>
    <t>SampleNo3</t>
  </si>
  <si>
    <t>SampleNo4</t>
  </si>
  <si>
    <t>SampleNo5</t>
  </si>
  <si>
    <t>SampleNo6</t>
  </si>
  <si>
    <t>SampleNo7</t>
  </si>
  <si>
    <t>Overage</t>
  </si>
  <si>
    <t>Shortage</t>
  </si>
  <si>
    <t>DepositDt</t>
  </si>
  <si>
    <t>WthdrwlDt</t>
  </si>
  <si>
    <t>DthDschgDt</t>
  </si>
  <si>
    <t>RefundDue</t>
  </si>
  <si>
    <t>RfndCrdtDue</t>
  </si>
  <si>
    <t>EmployeeName</t>
  </si>
  <si>
    <t>DtOfHireFstSvc</t>
  </si>
  <si>
    <t>HireDtInRvwPrd</t>
  </si>
  <si>
    <t>DtChkComplDps</t>
  </si>
  <si>
    <t>DtChkComplEmr</t>
  </si>
  <si>
    <t>DtChkComplNar</t>
  </si>
  <si>
    <t>AllChksCmplInTmFrm</t>
  </si>
  <si>
    <t>NoBarsEmplmnt</t>
  </si>
  <si>
    <t>ClientLastName</t>
  </si>
  <si>
    <t>ClientFirstName</t>
  </si>
  <si>
    <t>TotalCcadrc</t>
  </si>
  <si>
    <t>TotalCbaal</t>
  </si>
  <si>
    <t>TotalIcmal</t>
  </si>
  <si>
    <t>TotalCwpal</t>
  </si>
  <si>
    <t>ClientId</t>
  </si>
  <si>
    <t>TotalCbaohr</t>
  </si>
  <si>
    <t>TotalIcmohr</t>
  </si>
  <si>
    <t>TotalCwpohr</t>
  </si>
  <si>
    <t>Std1Score</t>
  </si>
  <si>
    <t>Std2Score</t>
  </si>
  <si>
    <t>Std3Score</t>
  </si>
  <si>
    <t>Std4Score</t>
  </si>
  <si>
    <t>Std5Score</t>
  </si>
  <si>
    <t>Std6Score</t>
  </si>
  <si>
    <t>Std7Score</t>
  </si>
  <si>
    <t>Std8Score</t>
  </si>
  <si>
    <t>Std9Score</t>
  </si>
  <si>
    <t>Std10Score</t>
  </si>
  <si>
    <t>Std11Score</t>
  </si>
  <si>
    <t>AlrcOverallScore</t>
  </si>
  <si>
    <t>OhrOverallScore</t>
  </si>
  <si>
    <t>AlrcTotalYes</t>
  </si>
  <si>
    <t>AlrcTotalNo</t>
  </si>
  <si>
    <t>AlrcOverallTotal</t>
  </si>
  <si>
    <t>OhrOverallTotal</t>
  </si>
  <si>
    <t>OhrTotalYes</t>
  </si>
  <si>
    <t>OhrTotalNo</t>
  </si>
  <si>
    <t>IwpNumber</t>
  </si>
  <si>
    <t>SampleNumber</t>
  </si>
  <si>
    <t>DtCompleted</t>
  </si>
  <si>
    <t>IWP01</t>
  </si>
  <si>
    <t>Std3NotCalc</t>
  </si>
  <si>
    <t>Std3dot1DtOfAdmssn</t>
  </si>
  <si>
    <t>Std3dot1a</t>
  </si>
  <si>
    <t>Std3dot1b</t>
  </si>
  <si>
    <t>Std3dot1c</t>
  </si>
  <si>
    <t>Std3dot1</t>
  </si>
  <si>
    <t>Std3dot2</t>
  </si>
  <si>
    <t>Std3dot2a</t>
  </si>
  <si>
    <t>Std3dot2b</t>
  </si>
  <si>
    <t>Std3dot2c</t>
  </si>
  <si>
    <t>Std4dot1Month1</t>
  </si>
  <si>
    <t>Std4dot1Mnth1Dt</t>
  </si>
  <si>
    <t>Std4dot1Month2</t>
  </si>
  <si>
    <t>Std4dot1Mnth2Dt</t>
  </si>
  <si>
    <t>Std4dot1</t>
  </si>
  <si>
    <t>Std4dot2NotCalc</t>
  </si>
  <si>
    <t>Std4dot2</t>
  </si>
  <si>
    <t>Std5NotCalc</t>
  </si>
  <si>
    <t>Std5dot1</t>
  </si>
  <si>
    <t>Std7dot1NotCalc</t>
  </si>
  <si>
    <t>Std7dot1BalPerCshLog</t>
  </si>
  <si>
    <t>Std7dot1LessAdj</t>
  </si>
  <si>
    <t>Std7dot1AdjBal</t>
  </si>
  <si>
    <t>Std7dot1CshOnHand</t>
  </si>
  <si>
    <t>Std7dot1PtyCshOvrShrt</t>
  </si>
  <si>
    <t>Std7dot1OvrShrtCorr</t>
  </si>
  <si>
    <t>Std7dot1</t>
  </si>
  <si>
    <t>Std9dot1aNotCalc</t>
  </si>
  <si>
    <t>Std9dot1bNotCalc</t>
  </si>
  <si>
    <t>Std9BalPerBnkStmtDt</t>
  </si>
  <si>
    <t>Std9BalPerBnkStmt</t>
  </si>
  <si>
    <t>Std9TotDepsInTrans</t>
  </si>
  <si>
    <t>Std9TotOutsChks</t>
  </si>
  <si>
    <t>Std9AdjBalPerBank</t>
  </si>
  <si>
    <t>Std9TotPtyCshIndvDt</t>
  </si>
  <si>
    <t>Std9TotPtyCshIndv</t>
  </si>
  <si>
    <t>Std9TotCshBnkAndHnd</t>
  </si>
  <si>
    <t>Std9BalPerBksDt</t>
  </si>
  <si>
    <t>Std9BalPerBks</t>
  </si>
  <si>
    <t>Std9UnapplErndInt</t>
  </si>
  <si>
    <t>Std9UnpstdRcptDsbrsmts</t>
  </si>
  <si>
    <t>Std9NsfChks</t>
  </si>
  <si>
    <t>Std9AdjBalPerBks</t>
  </si>
  <si>
    <t>Std9TrstFndAcctOvrShrt</t>
  </si>
  <si>
    <t>Std9OvrShrtCorrctd</t>
  </si>
  <si>
    <t>Std9ShrtUnreimbSvcChg</t>
  </si>
  <si>
    <t>Std9dot1</t>
  </si>
  <si>
    <t>Std10dot1NotCalc</t>
  </si>
  <si>
    <t>Std10dot1Date1</t>
  </si>
  <si>
    <t>Std10dot1TotalAmt1</t>
  </si>
  <si>
    <t>Std10dot1Date2</t>
  </si>
  <si>
    <t>Std10dot1TotalAmt2</t>
  </si>
  <si>
    <t>Std10dot1</t>
  </si>
  <si>
    <t>Std10dot2NotCalc</t>
  </si>
  <si>
    <t>Std10dot2Date1</t>
  </si>
  <si>
    <t>Std10dot2BankChgs1</t>
  </si>
  <si>
    <t>Std10dot2Date2</t>
  </si>
  <si>
    <t>Std10dot2BankChgs2</t>
  </si>
  <si>
    <t>Std10dot2</t>
  </si>
  <si>
    <t>Std10dot3NotCalc</t>
  </si>
  <si>
    <t>Std10dot3</t>
  </si>
  <si>
    <t>Std10dot4NotCalc</t>
  </si>
  <si>
    <t>Std10dot4</t>
  </si>
  <si>
    <t>Std10dot5</t>
  </si>
  <si>
    <t>Std10dot6NotCalc</t>
  </si>
  <si>
    <t>Std10dot6DtDthDschrg</t>
  </si>
  <si>
    <t>Std10dot6DthDschg</t>
  </si>
  <si>
    <t>Std10dot6TrstFndAmtDue</t>
  </si>
  <si>
    <t>Std10dot6IndvPtyCshAmtDue</t>
  </si>
  <si>
    <t>Std10dot6TotRfndDue</t>
  </si>
  <si>
    <t>Std10dot6AmtRfnd</t>
  </si>
  <si>
    <t>Std10dot6DminusE</t>
  </si>
  <si>
    <t>Std10dot6LastName</t>
  </si>
  <si>
    <t>Std10dot6FirstName</t>
  </si>
  <si>
    <t>Std10dot6DtOfRfnd</t>
  </si>
  <si>
    <t>Std10dot6a</t>
  </si>
  <si>
    <t>Std10dot6b</t>
  </si>
  <si>
    <t>Std10dot6c</t>
  </si>
  <si>
    <t>Std10dot6</t>
  </si>
  <si>
    <t>Std11dot1aNotCalc</t>
  </si>
  <si>
    <t>Std11dot1bNotCalc</t>
  </si>
  <si>
    <t>Std11dot1cNotCalc</t>
  </si>
  <si>
    <t>Std11dot1dNotCalc</t>
  </si>
  <si>
    <t>Std11dot1eNotCalc</t>
  </si>
  <si>
    <t>Std11dot1fNotCalc</t>
  </si>
  <si>
    <t>Std11dot1PrvtLvngSpc</t>
  </si>
  <si>
    <t>Std11dot1LvngWdth</t>
  </si>
  <si>
    <t>Std11dot1LvngLngth</t>
  </si>
  <si>
    <t>Std11dot1LvngSqFt</t>
  </si>
  <si>
    <t>Std11dot1PrvtBdSpc</t>
  </si>
  <si>
    <t>Std11dot1BdrmWidth</t>
  </si>
  <si>
    <t>Std11dot1BdrmLength</t>
  </si>
  <si>
    <t>Std11dot1BdrmSqFt</t>
  </si>
  <si>
    <t>Std11dot1PrvtStrgSpc</t>
  </si>
  <si>
    <t>Std11dot1StrgWidth</t>
  </si>
  <si>
    <t>Std11dot1StrgLength</t>
  </si>
  <si>
    <t>Std11dot1StrgSqFt</t>
  </si>
  <si>
    <t>Std11dot1PrvtKtchnSpc</t>
  </si>
  <si>
    <t>Std11dot1KtchnWidth</t>
  </si>
  <si>
    <t>Std11dot1KtchnLength</t>
  </si>
  <si>
    <t>Std11dot1KtchnSqFt</t>
  </si>
  <si>
    <t>Std11dot1KtchnSink</t>
  </si>
  <si>
    <t>Std11dot1Refrigerator</t>
  </si>
  <si>
    <t>Std11dot1StvMcrwv</t>
  </si>
  <si>
    <t>Std11dot1SeparateBath</t>
  </si>
  <si>
    <t>Std11dot1BathSink</t>
  </si>
  <si>
    <t>Std11dot1ShwrTubAccssbl</t>
  </si>
  <si>
    <t>Std11dot1TotPrvtSpc</t>
  </si>
  <si>
    <t>Std11dot1TotSqFtgPrRsdnt</t>
  </si>
  <si>
    <t>Std11dot1UsblCmmnSqFtg</t>
  </si>
  <si>
    <t>Std11dot1LicCpcty</t>
  </si>
  <si>
    <t>Std11dot1CmmnSqFtgPrRsdnt</t>
  </si>
  <si>
    <t>Std11dot1a</t>
  </si>
  <si>
    <t>Std11dot1</t>
  </si>
  <si>
    <t>Std11dot1b</t>
  </si>
  <si>
    <t>Std11dot1c</t>
  </si>
  <si>
    <t>Std11dot1d</t>
  </si>
  <si>
    <t>Std11dot1e</t>
  </si>
  <si>
    <t>Std11dot1f</t>
  </si>
  <si>
    <t>Std11dot1g</t>
  </si>
  <si>
    <t>Std11dot1h</t>
  </si>
  <si>
    <t>Std11dot1i</t>
  </si>
  <si>
    <t>Std11dot1j</t>
  </si>
  <si>
    <t>Std11dot1k</t>
  </si>
  <si>
    <t>Std11dot2</t>
  </si>
  <si>
    <t>Std11dot3</t>
  </si>
  <si>
    <t>Std11dot4</t>
  </si>
  <si>
    <t>Std11dot5a</t>
  </si>
  <si>
    <t>Std11dot5</t>
  </si>
  <si>
    <t>Std11dot5cii</t>
  </si>
  <si>
    <t>Std11dot5ci</t>
  </si>
  <si>
    <t>Std11dot5b</t>
  </si>
  <si>
    <t>IWP02</t>
  </si>
  <si>
    <t>IWP03</t>
  </si>
  <si>
    <t>DtNdForChngeIdntfd</t>
  </si>
  <si>
    <t>DtNewPlnImplmntd</t>
  </si>
  <si>
    <t>WithdrawalDt</t>
  </si>
  <si>
    <t>Description</t>
  </si>
  <si>
    <t>AreaWidth</t>
  </si>
  <si>
    <t>AreaLength</t>
  </si>
  <si>
    <t>AreaSqFt</t>
  </si>
  <si>
    <t>DtHospFrm</t>
  </si>
  <si>
    <t>DtHospTo</t>
  </si>
  <si>
    <t>DaysInHosp</t>
  </si>
  <si>
    <t>HedHoldChg</t>
  </si>
  <si>
    <t>DailyCoPay</t>
  </si>
  <si>
    <t>CoPayAmtDueToIndv</t>
  </si>
  <si>
    <t>PmtDt</t>
  </si>
  <si>
    <t>RfndCrdtDt</t>
  </si>
  <si>
    <t>o  Date of Admission (see daily census documentation): MM/DD/YYYY</t>
  </si>
  <si>
    <t>o  Date of Health Assessment/Service Plan (see F3050 or equivalent): MM/DD/YYYY</t>
  </si>
  <si>
    <t>Not Calculated in Score</t>
  </si>
  <si>
    <r>
      <t>o If overarching question IV.2 is “Y”, determine if the service plan change was implemented within the required timeframe</t>
    </r>
    <r>
      <rPr>
        <b/>
        <sz val="10"/>
        <color theme="1"/>
        <rFont val="Arial"/>
        <family val="2"/>
      </rPr>
      <t xml:space="preserve">                               </t>
    </r>
  </si>
  <si>
    <t>o Select “N” if no written authorization is on file.</t>
  </si>
  <si>
    <r>
      <t xml:space="preserve">If a Shortage, </t>
    </r>
    <r>
      <rPr>
        <sz val="10"/>
        <rFont val="Arial"/>
        <family val="2"/>
      </rPr>
      <t xml:space="preserve">is it due </t>
    </r>
    <r>
      <rPr>
        <u/>
        <sz val="10"/>
        <rFont val="Arial"/>
        <family val="2"/>
      </rPr>
      <t>solely</t>
    </r>
    <r>
      <rPr>
        <sz val="10"/>
        <rFont val="Arial"/>
        <family val="2"/>
      </rPr>
      <t xml:space="preserve"> to unreimbursed bank service charges for the month immediately preceding the</t>
    </r>
    <r>
      <rPr>
        <b/>
        <sz val="10"/>
        <rFont val="Arial"/>
        <family val="2"/>
      </rPr>
      <t xml:space="preserve"> </t>
    </r>
    <r>
      <rPr>
        <sz val="10"/>
        <rFont val="Arial"/>
        <family val="2"/>
      </rPr>
      <t>date of reconciliation only?</t>
    </r>
  </si>
  <si>
    <t>o If overarching question X.3 is “Y”, verify deposits agree with deposit slips/receipt.</t>
  </si>
  <si>
    <t>a. If the amount in Column D is greater  than $0, was the date of the trust fund account refund within 10 work days of the individual’s date of death/discharge or within 30 days of awareness of death?</t>
  </si>
  <si>
    <t xml:space="preserve">o If overarching question XI.1c is “N”, continue to overarching question XI.1d.
o If overarching question XI.1c is “Y”, complete the Personal Care 3 Facility Checklist.
</t>
  </si>
  <si>
    <t>o If overarching question VI.1 is “Y”, reconcile the pooled petty cash fund below.</t>
  </si>
  <si>
    <t>OVERARCHING QUESTION                                                           Does the contractor maintain a pooled trust fund account?</t>
  </si>
  <si>
    <t>OVERARCHING QUESTION                                                           Has the contractor reconciled the trust fund account within the last 90 days?</t>
  </si>
  <si>
    <r>
      <t>·</t>
    </r>
    <r>
      <rPr>
        <sz val="7"/>
        <color theme="1"/>
        <rFont val="Times New Roman"/>
        <family val="1"/>
      </rPr>
      <t>     </t>
    </r>
    <r>
      <rPr>
        <sz val="10"/>
        <color theme="1"/>
        <rFont val="Arial"/>
        <family val="2"/>
      </rPr>
      <t xml:space="preserve"> Obtain the most recent trust fund bank account reconciliation, including all pages of the bank statement, ending trial balances and reconciliation worksheets. If the reconciliation is not for the most recent bank statement received, obtain all bank statements received since the last bank reconciliation.</t>
    </r>
  </si>
  <si>
    <r>
      <t>·</t>
    </r>
    <r>
      <rPr>
        <sz val="7"/>
        <color theme="1"/>
        <rFont val="Times New Roman"/>
        <family val="1"/>
      </rPr>
      <t xml:space="preserve">      </t>
    </r>
    <r>
      <rPr>
        <sz val="10"/>
        <color theme="1"/>
        <rFont val="Arial"/>
        <family val="2"/>
      </rPr>
      <t>Obtain the checkbook and or check register and deposit slips which reflect activity through the current date.</t>
    </r>
  </si>
  <si>
    <r>
      <t>·</t>
    </r>
    <r>
      <rPr>
        <sz val="7"/>
        <color theme="1"/>
        <rFont val="Times New Roman"/>
        <family val="1"/>
      </rPr>
      <t xml:space="preserve">      </t>
    </r>
    <r>
      <rPr>
        <sz val="10"/>
        <color theme="1"/>
        <rFont val="Arial"/>
        <family val="2"/>
      </rPr>
      <t xml:space="preserve">Obtain each individual’s trust fund trial balance through the current date. If the trust fund is kept manually, list all trust fund participants’ trial balance amount in the </t>
    </r>
    <r>
      <rPr>
        <i/>
        <sz val="10"/>
        <color theme="1"/>
        <rFont val="Arial"/>
        <family val="2"/>
      </rPr>
      <t>POOLED</t>
    </r>
    <r>
      <rPr>
        <sz val="10"/>
        <color theme="1"/>
        <rFont val="Arial"/>
        <family val="2"/>
      </rPr>
      <t xml:space="preserve"> </t>
    </r>
    <r>
      <rPr>
        <i/>
        <sz val="10"/>
        <color theme="1"/>
        <rFont val="Arial"/>
        <family val="2"/>
      </rPr>
      <t>TRUST FUND RECONCILIATION</t>
    </r>
    <r>
      <rPr>
        <sz val="10"/>
        <color theme="1"/>
        <rFont val="Arial"/>
        <family val="2"/>
      </rPr>
      <t xml:space="preserve"> </t>
    </r>
    <r>
      <rPr>
        <i/>
        <sz val="10"/>
        <color theme="1"/>
        <rFont val="Arial"/>
        <family val="2"/>
      </rPr>
      <t>WORKSHEE</t>
    </r>
    <r>
      <rPr>
        <sz val="10"/>
        <color theme="1"/>
        <rFont val="Arial"/>
        <family val="2"/>
      </rPr>
      <t>T (this will populate Balance per Books below).</t>
    </r>
  </si>
  <si>
    <r>
      <t>·</t>
    </r>
    <r>
      <rPr>
        <sz val="7"/>
        <color theme="1"/>
        <rFont val="Times New Roman"/>
        <family val="1"/>
      </rPr>
      <t xml:space="preserve">      </t>
    </r>
    <r>
      <rPr>
        <sz val="10"/>
        <color theme="1"/>
        <rFont val="Arial"/>
        <family val="2"/>
      </rPr>
      <t xml:space="preserve">Complete the bank reconciliation below. List the total of outstanding checks and the total of deposits in transit in the </t>
    </r>
    <r>
      <rPr>
        <i/>
        <sz val="10"/>
        <color theme="1"/>
        <rFont val="Arial"/>
        <family val="2"/>
      </rPr>
      <t>POOLED TRUST FUND RECONCILIATION WORKSHEET</t>
    </r>
    <r>
      <rPr>
        <sz val="10"/>
        <color theme="1"/>
        <rFont val="Arial"/>
        <family val="2"/>
      </rPr>
      <t>.</t>
    </r>
  </si>
  <si>
    <r>
      <t>·</t>
    </r>
    <r>
      <rPr>
        <sz val="7"/>
        <color theme="1"/>
        <rFont val="Times New Roman"/>
        <family val="1"/>
      </rPr>
      <t>     </t>
    </r>
    <r>
      <rPr>
        <sz val="10"/>
        <color theme="1"/>
        <rFont val="Arial"/>
        <family val="2"/>
      </rPr>
      <t xml:space="preserve"> If there is a trust fund overage or shortage, ask the contractor to review for errors or determine the cause of any overage or shortage</t>
    </r>
  </si>
  <si>
    <t>Std11dot1prvtspcsqftgprrsdnt</t>
  </si>
  <si>
    <t>(D) Monthly Co-Pay</t>
  </si>
  <si>
    <t>(E) Number of Days in Month</t>
  </si>
  <si>
    <t>(F) Co-Pay Amount Due to the  Individual
[(D/E)*B] - (C*B)</t>
  </si>
  <si>
    <t xml:space="preserve">o If overarching question V.1 is “Y” and overarching question VII.1 is “Y”, reconcile the individual petty cash fund below. </t>
  </si>
  <si>
    <t>If an Overage/Shortage, did contractor correct prior to the exit conference?</t>
  </si>
  <si>
    <t>XI.1 a</t>
  </si>
  <si>
    <t>XI.1 b</t>
  </si>
  <si>
    <t>XI.1 c</t>
  </si>
  <si>
    <t>XI.1 d</t>
  </si>
  <si>
    <t>XI.1 e</t>
  </si>
  <si>
    <t>XI.1 f</t>
  </si>
  <si>
    <t>ASSISTED LIVING APARTMENT – SINGLE OCCUPANCY SETTING REQUIREMENTS (a-f)</t>
  </si>
  <si>
    <t>NON-APARTMENT SETTING REQUIREMENT (k)</t>
  </si>
  <si>
    <t>B.Balance per Petty Cash Log</t>
  </si>
  <si>
    <t>C. Adjusted Balance per Petty Cash Log</t>
  </si>
  <si>
    <t>D. Petty Cash on Hand</t>
  </si>
  <si>
    <t xml:space="preserve">E. Petty Cash on Hand 
Over (+)/Short (-)
</t>
  </si>
  <si>
    <t>F. Overage/shortage corrected prior to the exit conference?</t>
  </si>
  <si>
    <t>If an overage/shortage, did the contractor correct the overage/shortage prior to the exit conference?</t>
  </si>
  <si>
    <t>If a shortage, was the shortage due solely to un-reimbursed bank service charges for the month immediately preceding the date of reconciliation?</t>
  </si>
  <si>
    <t>Determine staff to resident ratio (Complete F, G, and H)</t>
  </si>
  <si>
    <t>Std8dot1m</t>
  </si>
  <si>
    <t>Std8dot1n</t>
  </si>
  <si>
    <t>XaroAfcAuthToMngMoney</t>
  </si>
  <si>
    <t>XaroAlrcReimbTotals</t>
  </si>
  <si>
    <t>XaroBnkChgsIndvTrstFnd</t>
  </si>
  <si>
    <t>XaroBnkChgsPldTrstFnd</t>
  </si>
  <si>
    <t>XaroComplianceSummaries</t>
  </si>
  <si>
    <t>XaroCoPyCrdtDueHspIdv</t>
  </si>
  <si>
    <t>XaroDpstTstFdOrCshAct</t>
  </si>
  <si>
    <t>XaroDpstsPldTrstFndAcct</t>
  </si>
  <si>
    <t>XaroIndvPtyCshFndRcncltn</t>
  </si>
  <si>
    <t>XaroIndvTrstFndRcncltn</t>
  </si>
  <si>
    <t>XaroIwpData</t>
  </si>
  <si>
    <t>XaroIwpStd10dot3Deposits</t>
  </si>
  <si>
    <t>XaroIwpStd11dot1CmnArClc</t>
  </si>
  <si>
    <t>XaroIwpStd11dot4Hosptlztn</t>
  </si>
  <si>
    <t>XaroIwpStd4dot2Dates</t>
  </si>
  <si>
    <t>XaroIwpStd9dot1DptsTrns</t>
  </si>
  <si>
    <t>XaroIwpStd9dot1OutstChks</t>
  </si>
  <si>
    <t>XaroMonitoringWbk1</t>
  </si>
  <si>
    <t>XaroMonWbkDpstsInTrns</t>
  </si>
  <si>
    <t>XaroOhrReimbTotals</t>
  </si>
  <si>
    <t>XaroOvrCollRmbdCpyBdHld</t>
  </si>
  <si>
    <t>XaroPldPtyCshFndRcncltn</t>
  </si>
  <si>
    <t>XaroPldTrstFndAcctRcltn</t>
  </si>
  <si>
    <t>XaroPrrtdIntPldTrstFnd</t>
  </si>
  <si>
    <t>XaroPrsnCr3FcltyBdOcpncy</t>
  </si>
  <si>
    <t>XaroPrsnCr3FcltyChklst</t>
  </si>
  <si>
    <t>XaroTstFndRfdDscDschIdv</t>
  </si>
  <si>
    <t>XaroUnallwblWthdrwls</t>
  </si>
  <si>
    <t>XaroUnauthUndocWthdrwls</t>
  </si>
  <si>
    <t>XaroUnlicEmplReqs</t>
  </si>
  <si>
    <t>XaroUnsdrmbdpdcpyduedschdidv</t>
  </si>
  <si>
    <t>XaroIwpStd10dot4Wthdrwls</t>
  </si>
  <si>
    <t>XaroIwpStd10dot5Wthdrwls</t>
  </si>
  <si>
    <t>SpreadsheetInfo</t>
  </si>
  <si>
    <t>ContractNumbers</t>
  </si>
  <si>
    <t>POOLED TRUST FUND RECONCILIATION WORKSHEET</t>
  </si>
  <si>
    <t>III.1</t>
  </si>
  <si>
    <t>PETTY CASH FUND RECONCILIATION WORKSHEET</t>
  </si>
  <si>
    <t>o  If the individual receives out-of-home respite, select “N" for overarching question X.4. Continue to Standard X.6.</t>
  </si>
  <si>
    <r>
      <t xml:space="preserve">o If overarching question XI.1d is “N”, continue to overarching question XI.1e.
o If overarching question XI.1d is “Y”, complete the ALRC Living Unit Checklist, columns A-E. </t>
    </r>
    <r>
      <rPr>
        <b/>
        <sz val="10"/>
        <rFont val="Arial"/>
        <family val="2"/>
      </rPr>
      <t>(Below)</t>
    </r>
    <r>
      <rPr>
        <sz val="10"/>
        <rFont val="Arial"/>
        <family val="2"/>
      </rPr>
      <t xml:space="preserve">
</t>
    </r>
  </si>
  <si>
    <r>
      <t xml:space="preserve">o If overarching question XI.1e is “N”, continue to overarching question XI.1f.
o If overarching question XI.1e is “Y”, complete the ALRC Living Unit Checklist, columns A-P. </t>
    </r>
    <r>
      <rPr>
        <b/>
        <sz val="10"/>
        <rFont val="Arial"/>
        <family val="2"/>
      </rPr>
      <t>(Below)</t>
    </r>
    <r>
      <rPr>
        <sz val="10"/>
        <rFont val="Arial"/>
        <family val="2"/>
      </rPr>
      <t xml:space="preserve">
</t>
    </r>
  </si>
  <si>
    <r>
      <t>o If overarching question XI.1f is “Y”, complete the ALRC Living Unit Checklist, column K.</t>
    </r>
    <r>
      <rPr>
        <b/>
        <sz val="10"/>
        <rFont val="Arial"/>
        <family val="2"/>
      </rPr>
      <t>(Below)</t>
    </r>
  </si>
  <si>
    <t>• If “N”,  enter "0" in the ALRC Reimbursement Spreadsheet,  Column “Q”.</t>
  </si>
  <si>
    <t>Personal Care3 Facility?</t>
  </si>
  <si>
    <r>
      <t>Actual Amount</t>
    </r>
    <r>
      <rPr>
        <sz val="10"/>
        <rFont val="Arial Narrow"/>
        <family val="2"/>
      </rPr>
      <t xml:space="preserve"> </t>
    </r>
    <r>
      <rPr>
        <b/>
        <sz val="10"/>
        <rFont val="Arial Narrow"/>
        <family val="2"/>
      </rPr>
      <t xml:space="preserve">Due by DADS
After Co-pay/
Bed-Hold
((Q * O) - V - AB) </t>
    </r>
  </si>
  <si>
    <t>Enter the contract number, client identification number and individual's name (last name, first name)</t>
  </si>
  <si>
    <t>Actual Amount Due by DADS                                                                  (G * H)</t>
  </si>
  <si>
    <t>Enter the contract number, client identification number and name of the individual (last name, first name)</t>
  </si>
  <si>
    <t>IMPORTANT! If any of the elements within the individual's authorized residential setting code are NOT met, enter "0" in column "H" of this spreadsheet.</t>
  </si>
  <si>
    <t xml:space="preserve">Amount Due to DADS </t>
  </si>
  <si>
    <t>CheckDt</t>
  </si>
  <si>
    <t>(A) Date of Death / Discharge</t>
  </si>
  <si>
    <t>(G) Refund made to: Name of individual’s representative or guardian. If not identified in the individual’s file, enter State of Texas.</t>
  </si>
  <si>
    <t>Death or Discharge</t>
  </si>
  <si>
    <t>XaroMonWbkChksDpsts</t>
  </si>
  <si>
    <t>XaroMonWbkTrFndTrlBls</t>
  </si>
  <si>
    <t>IWP04</t>
  </si>
  <si>
    <t>IWP05</t>
  </si>
  <si>
    <t>IWP06</t>
  </si>
  <si>
    <t>IWP07</t>
  </si>
  <si>
    <t>IWP08</t>
  </si>
  <si>
    <t>IWP09</t>
  </si>
  <si>
    <t>IWP10</t>
  </si>
  <si>
    <t>IWP11</t>
  </si>
  <si>
    <t>IWP12</t>
  </si>
  <si>
    <t>IWP13</t>
  </si>
  <si>
    <t>IWP14</t>
  </si>
  <si>
    <t>IWP15</t>
  </si>
  <si>
    <t>IWP16</t>
  </si>
  <si>
    <t>IWP17</t>
  </si>
  <si>
    <t>IWP18</t>
  </si>
  <si>
    <t>IWP19</t>
  </si>
  <si>
    <t>IWP20</t>
  </si>
  <si>
    <t>IWP21</t>
  </si>
  <si>
    <t>IWP22</t>
  </si>
  <si>
    <t>IWP23</t>
  </si>
  <si>
    <t>IWP24</t>
  </si>
  <si>
    <t>IWP25</t>
  </si>
  <si>
    <t>IWP26</t>
  </si>
  <si>
    <t>IWP27</t>
  </si>
  <si>
    <t>IWP28</t>
  </si>
  <si>
    <t>IWP29</t>
  </si>
  <si>
    <t>IWP30</t>
  </si>
  <si>
    <t>Std11dot5DtOfDeathDischg</t>
  </si>
  <si>
    <t>Std11dot5RmbdAmtDue</t>
  </si>
  <si>
    <t>Std11dot5RmbdAmtRfnd</t>
  </si>
  <si>
    <t>Std11dot5RmbdDtOfRfnd</t>
  </si>
  <si>
    <t>Std11dot5CopayAmtDue</t>
  </si>
  <si>
    <t>Std11dot5CopayAmtRfnd</t>
  </si>
  <si>
    <t>Std11dot5CopayDtOfRfnd</t>
  </si>
  <si>
    <t>Std11dot5LastName</t>
  </si>
  <si>
    <t>Std11dot5FirstName</t>
  </si>
  <si>
    <t>Std6dot1</t>
  </si>
  <si>
    <t>Std8dot1</t>
  </si>
  <si>
    <t>From Contract Monitoring Claims Report</t>
  </si>
  <si>
    <t>PRE-FIELD - PER Contract Monitoring Claims Report Information from Contract Monitoring Claims Report is entered in columns "A" through "H" prior to the monitoring review</t>
  </si>
  <si>
    <t>Calculated field- the number of units over/under billed to DADS. Total billable units to DADS (column O) minus the total number of units billed per Contract Monitoring Claims Report (column E).</t>
  </si>
  <si>
    <t>PRE-FIELD - PER Contract Monitoring Claims Report Information from Contract Monitoring Claims Report is entered in columns "A" through "F" prior to the monitoring review</t>
  </si>
  <si>
    <t>11C</t>
  </si>
  <si>
    <t>11E</t>
  </si>
  <si>
    <t>Respite - Assisted Living Apartment</t>
  </si>
  <si>
    <t>Respite - Assisted Living RC Apartment</t>
  </si>
  <si>
    <t>Respite - Assisted Living RC Non-Apartment</t>
  </si>
  <si>
    <t>Calculated field - Reimbursement Amount Due (To)/From DADS. Actual due by DADS minus the amount paid by DADS per Contract Monitoring Claims Report</t>
  </si>
  <si>
    <t>Pre-field - Completed Prior to Entrance (Per Contract Monitoring Claims Report)</t>
  </si>
  <si>
    <r>
      <rPr>
        <b/>
        <sz val="8"/>
        <color theme="1"/>
        <rFont val="Arial"/>
        <family val="2"/>
      </rPr>
      <t>Reference:</t>
    </r>
    <r>
      <rPr>
        <sz val="8"/>
        <color theme="1"/>
        <rFont val="Arial"/>
        <family val="2"/>
      </rPr>
      <t xml:space="preserve"> 40 TAC §46.61, Trust Fund Management</t>
    </r>
  </si>
  <si>
    <r>
      <rPr>
        <b/>
        <sz val="8"/>
        <color theme="1"/>
        <rFont val="Arial"/>
        <family val="2"/>
      </rPr>
      <t>Reference:</t>
    </r>
    <r>
      <rPr>
        <sz val="8"/>
        <color theme="1"/>
        <rFont val="Arial"/>
        <family val="2"/>
      </rPr>
      <t xml:space="preserve">  40 TAC §46.63, Trust Fund Bank Account</t>
    </r>
  </si>
  <si>
    <r>
      <rPr>
        <b/>
        <sz val="8"/>
        <color theme="1"/>
        <rFont val="Arial"/>
        <family val="2"/>
      </rPr>
      <t>Reference:</t>
    </r>
    <r>
      <rPr>
        <sz val="8"/>
        <color theme="1"/>
        <rFont val="Arial"/>
        <family val="2"/>
      </rPr>
      <t xml:space="preserve">  40 TAC §46.41, Required Services</t>
    </r>
  </si>
  <si>
    <r>
      <rPr>
        <b/>
        <sz val="8"/>
        <color theme="1"/>
        <rFont val="Arial"/>
        <family val="2"/>
      </rPr>
      <t>Reference:</t>
    </r>
    <r>
      <rPr>
        <sz val="8"/>
        <color theme="1"/>
        <rFont val="Arial"/>
        <family val="2"/>
      </rPr>
      <t xml:space="preserve"> 40 TAC  §46.39, Service Initiation</t>
    </r>
  </si>
  <si>
    <r>
      <rPr>
        <b/>
        <sz val="8"/>
        <color theme="1"/>
        <rFont val="Arial"/>
        <family val="2"/>
      </rPr>
      <t>Reference:</t>
    </r>
    <r>
      <rPr>
        <sz val="8"/>
        <color theme="1"/>
        <rFont val="Arial"/>
        <family val="2"/>
      </rPr>
      <t xml:space="preserve"> 40 TAC §46.41, Required Services</t>
    </r>
  </si>
  <si>
    <t>Reference: 40 TAC §46.43, Service Plan Changes</t>
  </si>
  <si>
    <r>
      <rPr>
        <b/>
        <sz val="8"/>
        <color theme="1"/>
        <rFont val="Arial"/>
        <family val="2"/>
      </rPr>
      <t>Reference:</t>
    </r>
    <r>
      <rPr>
        <sz val="8"/>
        <color theme="1"/>
        <rFont val="Arial"/>
        <family val="2"/>
      </rPr>
      <t xml:space="preserve"> 40 TAC  §46.61,Trust Fund Management</t>
    </r>
  </si>
  <si>
    <r>
      <rPr>
        <b/>
        <sz val="8"/>
        <color theme="1"/>
        <rFont val="Arial"/>
        <family val="2"/>
      </rPr>
      <t>Reference:</t>
    </r>
    <r>
      <rPr>
        <sz val="8"/>
        <color theme="1"/>
        <rFont val="Arial"/>
        <family val="2"/>
      </rPr>
      <t xml:space="preserve"> 40 TAC §46.65 Trust Fund Transactions</t>
    </r>
  </si>
  <si>
    <r>
      <rPr>
        <b/>
        <sz val="8"/>
        <color theme="1"/>
        <rFont val="Arial"/>
        <family val="2"/>
      </rPr>
      <t>Reference:</t>
    </r>
    <r>
      <rPr>
        <sz val="8"/>
        <color theme="1"/>
        <rFont val="Arial"/>
        <family val="2"/>
      </rPr>
      <t xml:space="preserve"> 40 TAC §46.65, Trust Fund Transactions</t>
    </r>
  </si>
  <si>
    <r>
      <rPr>
        <b/>
        <sz val="8"/>
        <color theme="1"/>
        <rFont val="Arial"/>
        <family val="2"/>
      </rPr>
      <t>Reference:</t>
    </r>
    <r>
      <rPr>
        <sz val="8"/>
        <color theme="1"/>
        <rFont val="Arial"/>
        <family val="2"/>
      </rPr>
      <t xml:space="preserve"> 40 TAC §46.67 Trust Fund Documentation</t>
    </r>
  </si>
  <si>
    <r>
      <rPr>
        <b/>
        <sz val="8"/>
        <color theme="1"/>
        <rFont val="Arial"/>
        <family val="2"/>
      </rPr>
      <t>Reference:</t>
    </r>
    <r>
      <rPr>
        <sz val="8"/>
        <color theme="1"/>
        <rFont val="Arial"/>
        <family val="2"/>
      </rPr>
      <t xml:space="preserve"> 40 TAC §46.63, Trust Fund Bank Account</t>
    </r>
  </si>
  <si>
    <r>
      <rPr>
        <b/>
        <sz val="8"/>
        <color theme="1"/>
        <rFont val="Arial"/>
        <family val="2"/>
      </rPr>
      <t>Reference:</t>
    </r>
    <r>
      <rPr>
        <sz val="8"/>
        <color theme="1"/>
        <rFont val="Arial"/>
        <family val="2"/>
      </rPr>
      <t xml:space="preserve"> 40 TAC §46.63,Trust Fund Bank Account</t>
    </r>
  </si>
  <si>
    <r>
      <rPr>
        <b/>
        <sz val="8"/>
        <color theme="1"/>
        <rFont val="Arial"/>
        <family val="2"/>
      </rPr>
      <t>Reference:</t>
    </r>
    <r>
      <rPr>
        <sz val="8"/>
        <color theme="1"/>
        <rFont val="Arial"/>
        <family val="2"/>
      </rPr>
      <t xml:space="preserve"> 40 TAC  §46.65, Trust Fund Transactions</t>
    </r>
  </si>
  <si>
    <r>
      <rPr>
        <b/>
        <sz val="8"/>
        <color theme="1"/>
        <rFont val="Arial"/>
        <family val="2"/>
      </rPr>
      <t>Reference:</t>
    </r>
    <r>
      <rPr>
        <sz val="8"/>
        <color theme="1"/>
        <rFont val="Arial"/>
        <family val="2"/>
      </rPr>
      <t xml:space="preserve"> 40 TAC §46.15, Additional Services and Fees; 40 TAC §46.41, Required Services</t>
    </r>
  </si>
  <si>
    <r>
      <rPr>
        <b/>
        <sz val="8"/>
        <color theme="1"/>
        <rFont val="Arial"/>
        <family val="2"/>
      </rPr>
      <t>Reference:</t>
    </r>
    <r>
      <rPr>
        <sz val="8"/>
        <color theme="1"/>
        <rFont val="Arial"/>
        <family val="2"/>
      </rPr>
      <t xml:space="preserve"> 40 TAC  §46.71,Trust Fund Procedures for Client Discharge</t>
    </r>
  </si>
  <si>
    <t>Note:  If “N,” request a corrective action plan to address the individual’s accessibility to his/her bathroom</t>
  </si>
  <si>
    <t>Note: If j. is “N,” request a corrective action plan to address the individual’s accessibility to his/her bathroom</t>
  </si>
  <si>
    <r>
      <rPr>
        <b/>
        <sz val="8"/>
        <color theme="1"/>
        <rFont val="Arial"/>
        <family val="2"/>
      </rPr>
      <t>Reference:</t>
    </r>
    <r>
      <rPr>
        <sz val="8"/>
        <color theme="1"/>
        <rFont val="Arial"/>
        <family val="2"/>
      </rPr>
      <t xml:space="preserve"> 40 TAC §46.37, Copayment and Room and Board</t>
    </r>
  </si>
  <si>
    <t>a. Date of refund of unused room and board and, if applicable, co-payment was within 10 workdays of awareness of death/discharge</t>
  </si>
  <si>
    <r>
      <t xml:space="preserve">To offset the </t>
    </r>
    <r>
      <rPr>
        <b/>
        <i/>
        <sz val="12"/>
        <color theme="1"/>
        <rFont val="Arial"/>
        <family val="2"/>
      </rPr>
      <t>Total Reimbursement Amount Due to DADS</t>
    </r>
    <r>
      <rPr>
        <b/>
        <sz val="12"/>
        <color theme="1"/>
        <rFont val="Arial"/>
        <family val="2"/>
      </rPr>
      <t xml:space="preserve"> the contractor must submit negative bills (by individual) as indicated below within 60 calendar days from the date of the exit conference or if applicable, the date the contractor receives Form 5997.</t>
    </r>
  </si>
  <si>
    <t>• requires the contractor to immediately self report any exclusion information discovered to HHSC-OIG</t>
  </si>
  <si>
    <t>2. DADS did not identify a financial error?</t>
  </si>
  <si>
    <t xml:space="preserve">XI. 2.  DADS did not identify a financial error? </t>
  </si>
  <si>
    <r>
      <t>AL/RC</t>
    </r>
    <r>
      <rPr>
        <u/>
        <sz val="11"/>
        <color theme="1"/>
        <rFont val="Arial"/>
        <family val="2"/>
      </rPr>
      <t xml:space="preserve">- </t>
    </r>
  </si>
  <si>
    <t>Subtotal column "Z" - calculated field. Sum of all room and board amounts due  to individual (in parenthesis). An amount not in parenthesis is due from the individual.</t>
  </si>
  <si>
    <t>Dates of Monitoring Period</t>
  </si>
  <si>
    <t>4. If the individual was hospitalized during the monitoring period, was a refund or credit for the prorated co-payment amount made to the individual within 70 days after the date of receipt of the payment that resulted in the refund or credit?</t>
  </si>
  <si>
    <t>5. If the individual was discharged or died during the monitoring period, was the unused room and board and prorated co-payment, if applicable, reimbursed as required?</t>
  </si>
  <si>
    <t>Dates of Fiscal Review</t>
  </si>
  <si>
    <t>Second Month</t>
  </si>
  <si>
    <t>First
Month</t>
  </si>
  <si>
    <t>OVERARCHING QUESTION
Did the contractor provide any money management assistance to the individual?</t>
  </si>
  <si>
    <t>OVERARCHING QUESTION
Does the contractor maintain an individual petty cash fund?</t>
  </si>
  <si>
    <t>OVERARCHING QUESTION
Did the contractor maintain an individual trust fund?</t>
  </si>
  <si>
    <t>OVERARCHING QUESTION
Did the contractor reconcile the trust fund bank account within the last 90 days?</t>
  </si>
  <si>
    <t>OVERARCHING QUESTION
Does the individual participate in a pooled trust fund that is an interest bearing checking account?</t>
  </si>
  <si>
    <t>OVERARCHING QUESTION
Does the individual receive out of home respite?</t>
  </si>
  <si>
    <t>OVERARCHING QUESTION
Is the contract a Personal Care 3 facility?</t>
  </si>
  <si>
    <t>OVERARCHING QUESTION
Did the contractor bill the single occupancy assisted living apartment rate?</t>
  </si>
  <si>
    <t>OVERARCHING QUESTION
Did the contractor bill for the residential care apartment - double occupancy rate?</t>
  </si>
  <si>
    <t>OVERARCHING QUESTION
Did the contractor bill for the non-apartment setting rate?</t>
  </si>
  <si>
    <t>OVERARCHING QUESTION:
Did the individual enter services during the monitoring period?</t>
  </si>
  <si>
    <r>
      <t>o</t>
    </r>
    <r>
      <rPr>
        <sz val="7"/>
        <color theme="1"/>
        <rFont val="Arial"/>
        <family val="2"/>
      </rPr>
      <t xml:space="preserve">    </t>
    </r>
    <r>
      <rPr>
        <sz val="10"/>
        <color theme="1"/>
        <rFont val="Arial"/>
        <family val="2"/>
      </rPr>
      <t>Select two months from the six month service delivery review period.  For the selected two months of service delivery compare the individual’s Health Assessment/Service Plan effective during the selected months to service delivery documentation (F3252/2214/equivalent)</t>
    </r>
  </si>
  <si>
    <t>For the selected two months of service delivery, does service delivery documentation (F3252/2214/equivalent) include, at a minimum, 24 hour supervision and all tasks/services identified on the Individual Service Plan (F3050/equivalent)?</t>
  </si>
  <si>
    <t>OVERARCHING QUESTION
Was a service plan change identified during the monitoring period?</t>
  </si>
  <si>
    <t>o   Indicate below the selected two month(s) reviewed and enter the amount of bank charges that were not reimbursed to the individual’s account.</t>
  </si>
  <si>
    <t>OVERARCHING QUESTION
Were withdrawals made during the selected two months of service delivery from the petty cash fund or trust fund ledger?</t>
  </si>
  <si>
    <t>o  Review the individual’s trust fund ledger to identify withdrawals during the selected two months of service delivery. If the individual only has a petty cash fund/envelope (no trust fund bank account), review the petty cash log.</t>
  </si>
  <si>
    <t>OVERARCHING QUESTION
Does the individual currently reside in the same living unit as during the last two months of service delivery within the monitoring period?</t>
  </si>
  <si>
    <t>Review the facility’s floor plan in place during the last two months of service delivery within the monitoring period. The floor plan should identify the residential location for each person in the sample.</t>
  </si>
  <si>
    <t>Visit the living unit/apartment in which the individual resided during the last two months of service delivery within the monitoring period.</t>
  </si>
  <si>
    <t>Square Footage Calculation</t>
  </si>
  <si>
    <t>XI.3. For the last two months of service delivery during the monitoring period, did the contractor collect the correct monthly room and board rate and, if applicable, co-payment and/or bed hold?</t>
  </si>
  <si>
    <t>o   Review F2067s/F3251 Daily Census Record (or equivalent) for the monitoring period to determine if the individual was hospitalized during the monitoring period.</t>
  </si>
  <si>
    <t>o If the individual was hospitalized during the monitoring period, complete the table below</t>
  </si>
  <si>
    <t xml:space="preserve">XI.4.  If the individual was hospitalized during the monitoring period, was a refund or credit for the prorated co-payment amount made to the individual within 70 days after the date of receipt of the payment that resulted in the refund or credit?                            </t>
  </si>
  <si>
    <t>o  Review F2067s (or equivalent) and/or F3251 Daily Census Record (or equivalent) for the last month of service delivery within the monitoring period to determine if the individual died or was discharged.</t>
  </si>
  <si>
    <t>o  If individual died or discharged during the monitoring period, complete the table below</t>
  </si>
  <si>
    <r>
      <t>XI. 5. If the individual was discharged or died during the monitoring period was the unused room and board and prorated co-payment, if applicable, refunded/reimbursed as required?</t>
    </r>
    <r>
      <rPr>
        <sz val="12"/>
        <color theme="1"/>
        <rFont val="Arial"/>
        <family val="2"/>
      </rPr>
      <t xml:space="preserve">  </t>
    </r>
  </si>
  <si>
    <t>o  If overarching question X.1 is “Y”, review the individual's ledger for the two months selected in Standard IV.1 to verify interest was posted to the ledger.</t>
  </si>
  <si>
    <t>CBA</t>
  </si>
  <si>
    <t>Individual ID</t>
  </si>
  <si>
    <t>Individual Name</t>
  </si>
  <si>
    <t>First Name initial</t>
  </si>
  <si>
    <t>Indiviudal ID</t>
  </si>
  <si>
    <t>Record Review Period
Begin Date</t>
  </si>
  <si>
    <t>Record Review Period
End Date</t>
  </si>
  <si>
    <t>3.  For the last two months of service delivery during the monitoring period, did the contractor collect the correct monthly room and board rate and, if applicable, co-payment and/or bed hold?</t>
  </si>
  <si>
    <t>(G) Date of Payment Resulting in Refund/Credit, if applicable</t>
  </si>
  <si>
    <t>(H) Date(s) of Refund/Credit, if applicable</t>
  </si>
  <si>
    <t>http://www.hhsc.state.tx.us/rad/long-term-svcs/rc/index.shtml</t>
  </si>
  <si>
    <t>http://www.dads.state.tx.us/handbooks/cba/4000/4000.htm#sec4581</t>
  </si>
  <si>
    <t>3a. Does the contractor have a written process for screening employees and contractors for exclusion from participation in Medicare, Medicaid, the State Children’s Health Insurance Program and all Federal health care programs:</t>
  </si>
  <si>
    <t>Std1dot3b</t>
  </si>
  <si>
    <t>(Revised)</t>
  </si>
  <si>
    <t>Std11dot1AptGrandFthr</t>
  </si>
  <si>
    <t>Enter each begin and end date for the two selected months of service delivery during the review period AND any month during the monitoring period in which the individual was absent from the facility.</t>
  </si>
  <si>
    <t>o Select one month within the monitoring period and ask the contractor to provide evidence of LEIE checks conducted for that month:</t>
  </si>
  <si>
    <r>
      <rPr>
        <sz val="10"/>
        <color theme="1"/>
        <rFont val="Symbol"/>
        <family val="1"/>
        <charset val="2"/>
      </rPr>
      <t xml:space="preserve">·  </t>
    </r>
    <r>
      <rPr>
        <sz val="10"/>
        <color theme="1"/>
        <rFont val="Arial"/>
        <family val="2"/>
      </rPr>
      <t>Enter “Y” for each individual on the AL/RC/OHR Monitoring Workbook, item XI.1., and if</t>
    </r>
  </si>
  <si>
    <r>
      <rPr>
        <sz val="10"/>
        <color theme="1"/>
        <rFont val="Symbol"/>
        <family val="1"/>
        <charset val="2"/>
      </rPr>
      <t xml:space="preserve">·  </t>
    </r>
    <r>
      <rPr>
        <sz val="10"/>
        <color theme="1"/>
        <rFont val="Arial"/>
        <family val="2"/>
      </rPr>
      <t>AL/RC- Enter in column ”R” the same amount entered in column “I” of the AL/RC-DADS Reimbursement Spreadsheet for the selected two months of service during the review period</t>
    </r>
  </si>
  <si>
    <r>
      <rPr>
        <sz val="10"/>
        <color theme="1"/>
        <rFont val="Symbol"/>
        <family val="1"/>
        <charset val="2"/>
      </rPr>
      <t xml:space="preserve">·  </t>
    </r>
    <r>
      <rPr>
        <sz val="10"/>
        <color theme="1"/>
        <rFont val="Arial"/>
        <family val="2"/>
      </rPr>
      <t>OHR- - Enter in column ”I” the same amount entered in column “G” of the OHR-DADS Reimbursement Spreadsheet for the selected two months of service during the review period</t>
    </r>
  </si>
  <si>
    <r>
      <rPr>
        <sz val="10"/>
        <color theme="1"/>
        <rFont val="Symbol"/>
        <family val="1"/>
        <charset val="2"/>
      </rPr>
      <t xml:space="preserve">·  </t>
    </r>
    <r>
      <rPr>
        <sz val="10"/>
        <color theme="1"/>
        <rFont val="Arial"/>
        <family val="2"/>
      </rPr>
      <t>Enter “N” for each individual on the AL/RC/OHR Monitoring Workbook, item XI.1, and if</t>
    </r>
  </si>
  <si>
    <r>
      <rPr>
        <sz val="10"/>
        <color theme="1"/>
        <rFont val="Symbol"/>
        <family val="1"/>
        <charset val="2"/>
      </rPr>
      <t xml:space="preserve">·  </t>
    </r>
    <r>
      <rPr>
        <sz val="10"/>
        <color theme="1"/>
        <rFont val="Arial"/>
        <family val="2"/>
      </rPr>
      <t>AL/RC- Enter “0” in column “R” of the AL/RC-DADS Reimbursement Spreadsheet for each individual for the selected two months of service during the review period</t>
    </r>
  </si>
  <si>
    <r>
      <rPr>
        <sz val="10"/>
        <color theme="1"/>
        <rFont val="Symbol"/>
        <family val="1"/>
        <charset val="2"/>
      </rPr>
      <t xml:space="preserve">·  </t>
    </r>
    <r>
      <rPr>
        <sz val="10"/>
        <color theme="1"/>
        <rFont val="Arial"/>
        <family val="2"/>
      </rPr>
      <t>OHR- Enter “0” in column ”I” of the OHR-DADS Reimbursement Spreadsheet for each individual for the selected two months of service during the review period</t>
    </r>
  </si>
  <si>
    <t xml:space="preserve">  If a., b., or c. is “N”;</t>
  </si>
  <si>
    <t xml:space="preserve">  If a., b., and c. are “Y”;</t>
  </si>
  <si>
    <t>DtOfExitRevised</t>
  </si>
  <si>
    <t>1. For each unlicensed employee, were background checks resulting in no bars to employment conducted within the required timeframe?</t>
  </si>
  <si>
    <t xml:space="preserve">      •  the date(s) of the searches</t>
  </si>
  <si>
    <t xml:space="preserve">      •  first and last names and date of birth of all employees and contractors subject to search requirements</t>
  </si>
  <si>
    <t xml:space="preserve">      •  whether or not the employee/contractor appeared in databases</t>
  </si>
  <si>
    <t xml:space="preserve">      •  copy of self report; and</t>
  </si>
  <si>
    <t xml:space="preserve">      •  printed name(s) and signature of staff responsible for completing the searches</t>
  </si>
  <si>
    <r>
      <t>Refer to the facility’s current roster of employees</t>
    </r>
    <r>
      <rPr>
        <b/>
        <sz val="8"/>
        <color theme="1"/>
        <rFont val="Arial"/>
        <family val="2"/>
      </rPr>
      <t xml:space="preserve">. </t>
    </r>
  </si>
  <si>
    <r>
      <t>Column A</t>
    </r>
    <r>
      <rPr>
        <sz val="8"/>
        <color theme="1"/>
        <rFont val="Arial"/>
        <family val="2"/>
      </rPr>
      <t>: Enter the names of up to the first 30 unlicensed employees listed on the roster</t>
    </r>
    <r>
      <rPr>
        <b/>
        <sz val="8"/>
        <color theme="1"/>
        <rFont val="Arial"/>
        <family val="2"/>
      </rPr>
      <t>.</t>
    </r>
    <r>
      <rPr>
        <sz val="8"/>
        <color theme="1"/>
        <rFont val="Arial"/>
        <family val="2"/>
      </rPr>
      <t xml:space="preserve"> </t>
    </r>
  </si>
  <si>
    <t xml:space="preserve">Ask the contractor to complete Column B for each unlicensed employee listed in Column A and to provide:
    - supporting documentation of the hire date, or if later, first date of service to any individual served by the contractor
    -  supporting documentation for evidence of checks for each unlicensed employee listed in Column A.  DPS check evidence must be provided for unlicensed employees hired during the monitoring period.  EMR and NAR check evidence must be provided for all unlicensed employees. </t>
  </si>
  <si>
    <r>
      <t xml:space="preserve">Column B: </t>
    </r>
    <r>
      <rPr>
        <sz val="8"/>
        <color theme="1"/>
        <rFont val="Arial"/>
        <family val="2"/>
      </rPr>
      <t>Enter each unlicensed employee’s date of hire, or if later, first date of service to any individual served by the contractor.</t>
    </r>
  </si>
  <si>
    <r>
      <t>Column C</t>
    </r>
    <r>
      <rPr>
        <sz val="8"/>
        <color theme="1"/>
        <rFont val="Arial"/>
        <family val="2"/>
      </rPr>
      <t xml:space="preserve">: For unlicensed employees who began providing services on or after the begin date of the monitoring period, verify that the DPS check was completed on or before the first date of service.  </t>
    </r>
    <r>
      <rPr>
        <sz val="8"/>
        <rFont val="Arial"/>
        <family val="2"/>
      </rPr>
      <t>For unlicensed employees who began providing services prior to the begin date of the monitoring, mark "NA".</t>
    </r>
  </si>
  <si>
    <t>EMR Check(s) Completed Within Timeframe</t>
  </si>
  <si>
    <t>F.</t>
  </si>
  <si>
    <t>DPS Check(s) Completed Within Timeframe</t>
  </si>
  <si>
    <t>NAR Check(s) Completed Within Timeframe</t>
  </si>
  <si>
    <t>My Signature certifies the dates provided in Column B are correct and that the supporting documentation provided for hire date/first date of service, and DPS, EMR, and NAR checks is complete and correct.</t>
  </si>
  <si>
    <t>DpsChksCmplInTmFrm</t>
  </si>
  <si>
    <t>NarChksCmplInTmFrm</t>
  </si>
  <si>
    <t>EmrChksCmplInTmFrm</t>
  </si>
  <si>
    <t>DtFiscalRvwFirst</t>
  </si>
  <si>
    <t>DtFiscalRvwSecond</t>
  </si>
  <si>
    <t>DtMonitoringPdBgn</t>
  </si>
  <si>
    <t>DtMonitoringPdEnd</t>
  </si>
  <si>
    <t>F. Was the apartment grandfathered in with 160 square feet prior to October 2003?</t>
  </si>
  <si>
    <t>OVERARCHING QUESTION
For the selected two months from Standard IV.1-Service Delivery, were deposits made to the petty cash fund or trust fund ledger?</t>
  </si>
  <si>
    <r>
      <rPr>
        <b/>
        <sz val="8"/>
        <color theme="1"/>
        <rFont val="Arial"/>
        <family val="2"/>
      </rPr>
      <t>Reference:</t>
    </r>
    <r>
      <rPr>
        <sz val="8"/>
        <color theme="1"/>
        <rFont val="Arial"/>
        <family val="2"/>
      </rPr>
      <t xml:space="preserve"> 40 TAC §46.65,Trust Fund Transactions</t>
    </r>
  </si>
  <si>
    <t>Review service delivery documentation for the monitoring period; enter the date the need for a service plan change was identified and, if applicable, the date the new service plan was implemented</t>
  </si>
  <si>
    <t>OVERARCHING QUESTION
Does the individual participate in a pooled trust fund or have a "facility-choice" individual trust fund?</t>
  </si>
  <si>
    <t>o   If overarching question X.2 is “Y”, verify bank charges for pooled accounts or facility-choice individual accounts are reimbursed/refunded to the individual’s account.</t>
  </si>
  <si>
    <r>
      <t>o</t>
    </r>
    <r>
      <rPr>
        <sz val="7"/>
        <color theme="1"/>
        <rFont val="Times New Roman"/>
        <family val="1"/>
      </rPr>
      <t xml:space="preserve">   </t>
    </r>
    <r>
      <rPr>
        <sz val="9"/>
        <color theme="1"/>
        <rFont val="Arial"/>
        <family val="2"/>
      </rPr>
      <t>Using the two months selected in Standard IV.1, review the bank statements for each selected month to determine if the facility routinely reimburses bank charges to the individual's account.</t>
    </r>
  </si>
  <si>
    <t>·      Select "Y" if the amount in Column T of the AL/RC Reimbursement Spreadsheet is not in parentheses().</t>
  </si>
  <si>
    <t>·      Select “Y” if the amount in Column T of the AL/RC Reimbursement Spreadsheet is in parentheses and Column U is “Y”.</t>
  </si>
  <si>
    <t>·      Select “N” if the amount in Column T of the AL/RC Reimbursement Spreadsheet is in parentheses and Column U is “N”.</t>
  </si>
  <si>
    <t>o    Refer to the AL/RC – DADS Reimbursement Spreadsheet, Columns W, X, Z, AA, AC and AD</t>
  </si>
  <si>
    <t>·         Select “Y” if the amount(s) in Columns W, Z and AC are not in parentheses (). AL/RC- DADS Reimbursement Spreadsheet, Columns W, Z and AC (as applicable) is equal to “0”.</t>
  </si>
  <si>
    <t>·         Select “Y” if any of the amounts in Columns W, Z and AC are in parentheses and the corresponding columns X, AA and AD are “Y”.</t>
  </si>
  <si>
    <t>·         Select “N” if any of the amounts in Columns W, Z and AC are in parentheses and the corresponding columns X, AA and AD are “N”.</t>
  </si>
  <si>
    <r>
      <t xml:space="preserve">Applies only if the contractor </t>
    </r>
    <r>
      <rPr>
        <u/>
        <sz val="10"/>
        <rFont val="Arial Narrow"/>
        <family val="2"/>
      </rPr>
      <t>owes</t>
    </r>
    <r>
      <rPr>
        <sz val="10"/>
        <rFont val="Arial Narrow"/>
        <family val="2"/>
      </rPr>
      <t xml:space="preserve"> DADS.  That is, the amount in column "T" is negative (in parentheses).</t>
    </r>
  </si>
  <si>
    <t>Enter "N" if the contractor does NOT provide evidence/documentation that shows the discrepancy was corrected at least three workdays prior to the date of the Entrance Conference.</t>
  </si>
  <si>
    <t>If the amount due to DADS was negative billed at any time prior to the date of the entrance conference, do not include the amount on the Demand for Payment Notice.</t>
  </si>
  <si>
    <t>Enter "Y" if the contractor provides evidence/documentation that the contractor resolved the discrepancy at least three workdays prior to the date of the Entrance Conference.</t>
  </si>
  <si>
    <t>Enter "N" if the contractor does NOT provide evidence/documentation that the contractor resolved the discrepancy at least three workdays prior to the date of the Entrance Conference.</t>
  </si>
  <si>
    <t>If the co-pay due to the individual was corrected at any time prior to the date of the entrance conference, do not include it on the individual funds summary.</t>
  </si>
  <si>
    <t>Applies only if the contractor owes the individual for room and board.  That is, the amount in column "Z" is negative (in parentheses).</t>
  </si>
  <si>
    <t>If the room &amp; board due to the individual was corrected at any time prior to the date of the entrance conference, do not include it on the individual funds summary.</t>
  </si>
  <si>
    <t>Applies only if the contractor owes the individual for bed-hold.  That is, the amount in column "AC" is negative (in parentheses).</t>
  </si>
  <si>
    <t>Enter "N" if the contractor does NOT provide evidence/documentation that the discrepancy was resolved at least three workdays prior to the date of the Entrance Conference.</t>
  </si>
  <si>
    <t>If the bed hold charge due to the individual was corrected at any time prior to the date of the entrance conference, do not include it on the individual funds summary.</t>
  </si>
  <si>
    <t>Was Co-Pay Amount Due (To) Individual (the amount in parentheses) Corrected at least three workdays Prior to the Date of the Entrance Conference?
Note: If the amount due to the individual was corrected at any time prior to the date of the entrance conference, do not include the amount in column W in the Individual Funds Summary</t>
  </si>
  <si>
    <t>Was R&amp;B Amount Due (To) Individual (the amount in parentheses) Corrected at least three workdays Prior to the Date of the Entrance Conference?
Note: If the amount due to the individual was corrected at any time prior to the date of the entrance conference, do not include the amount in column Z in the Individual Funds Summary</t>
  </si>
  <si>
    <t>Was Bed-Hold Amount Due (To) Individual (the amount in parentheses) Corrected at least three workdays Prior to the Date of the Entrance Conference?
Note: If the amount due to the individual was corrected at any time prior to the date of the entrance conference, do not include the amount in column AC in the Individual Funds Summary</t>
  </si>
  <si>
    <t>Applies only if the contractor owes DADS.  That is, the amount in column "K" is negative (in parentheses).</t>
  </si>
  <si>
    <t>Enter "Y" if the contractor provides evidence/documentation that the contractor corrected the discrepancy at least three workdays prior to the date of the Entrance Conference.</t>
  </si>
  <si>
    <t>Was the Full Amount Due to DADS (the amount in parentheses) Corrected by Negative Billing at least three workdays Prior to the Date of the Entrance Conference?
Note:  If the amount due to DADS was negative billed at any time prior to the date of the entrance conference, do not include the amount in column K in the Demand for Payment Notice.</t>
  </si>
  <si>
    <t>(From Demand for Payment Notice)</t>
  </si>
  <si>
    <t>Applies only if the contractor owes the individual for co-pay.  That is, the amount in column "W" is negative (in parentheses).</t>
  </si>
  <si>
    <t>Standard Number</t>
  </si>
  <si>
    <t>Unused Room &amp; Board and/or Prorated Co-pay
Due Deceased or Discharged Individuals
(if Item XI.5. = No)</t>
  </si>
  <si>
    <t>Co-pay Refund or Credit 
Due Hospitalized Individuals
(if Item XI.4. = No)</t>
  </si>
  <si>
    <t>Over collection of Room &amp; Board and,
if applicable, Co-pay and/or Bed Hold
(if Item XI.3. = No and a refund is due)</t>
  </si>
  <si>
    <t>Trust Fund Refunds for
Deceased or Discharged Individuals
(if Item X.6. = No)</t>
  </si>
  <si>
    <t>Deposits – Individual Trust Fund Account or
Individual Petty Cash Account
(if Item X.3. = No)</t>
  </si>
  <si>
    <t>Bank Charges – Facility - 
Choice Individual Trust Fund Account
(if Item X.2. = No)</t>
  </si>
  <si>
    <t>Bank Charges – Pooled Trust Fund Account
(if Item X.2. = No)</t>
  </si>
  <si>
    <t>Prorated Interest – Pooled Trust Fund Account
(if Item X.1. = No)</t>
  </si>
  <si>
    <t>Individual Trust Fund Reconciliation
(if Item IX.1 = No)</t>
  </si>
  <si>
    <t>Pooled Trust
Fund Account
Reconciliation
(if Item VIII.1 = No)</t>
  </si>
  <si>
    <t>Individual Petty Cash
Fund Reconciliation
(if Item VII.1 = No)</t>
  </si>
  <si>
    <t>Pooled Petty
Cash Fund
Reconciliation
(if Item VI.1 = No)</t>
  </si>
  <si>
    <t>Authorization to
Manage Money
(if Item V.1 = N)</t>
  </si>
  <si>
    <t>Month/Year #1</t>
  </si>
  <si>
    <t>$Amount for Month/Year #1</t>
  </si>
  <si>
    <t>Month/Year #2</t>
  </si>
  <si>
    <t>$Amount for Month/Year #2</t>
  </si>
  <si>
    <t>(21 - 29)</t>
  </si>
  <si>
    <t>(31-33)</t>
  </si>
  <si>
    <t>Month/Year</t>
  </si>
  <si>
    <t>(35 or 36)</t>
  </si>
  <si>
    <t>AmountMonth1</t>
  </si>
  <si>
    <t>Month2</t>
  </si>
  <si>
    <t>AmountMonth2</t>
  </si>
  <si>
    <t>MonthYear</t>
  </si>
  <si>
    <t>DaysInMonth</t>
  </si>
  <si>
    <t>• If the contractor does not provide Residential Care services, select NA</t>
  </si>
  <si>
    <t>2. Is the attendant paid the required minimum hourly wage?</t>
  </si>
  <si>
    <t>G.</t>
  </si>
  <si>
    <t>Personal Attendant Paid Required Minimum Base Wage?</t>
  </si>
  <si>
    <t xml:space="preserve">o If overarching question IX.1.a is “Y”, continue to overarching question IX.1 b.
</t>
  </si>
  <si>
    <t>o If overarching question IX1.b is “Y”, reconcile the individual trust fund account.</t>
  </si>
  <si>
    <t>o  Review the individual’s trust fund ledger to identify deposits during the selected two months of service delivery. If the individual only has a petty cash fund/envelope (no trust fund bank account), review the individual’s petty cash log to identify deposits.</t>
  </si>
  <si>
    <t>o  For each deposit, there should be documentation of the following: date, amount, source, and balance after deposit.</t>
  </si>
  <si>
    <t>o  Compare bank deposit slips and/or direct deposits on the trust fund bank statements to the ledger posting to verify the amounts agree. For individuals who only have a petty cash fund, verify receipts for money received from individual, responsible party, family member, etc. agree with deposits posted to the petty cash log.</t>
  </si>
  <si>
    <t>o If overarching question XI.1a is “Y”, continue to overarching question XI.1b.</t>
  </si>
  <si>
    <t xml:space="preserve">o If overarching question XI.1b is “N”, continue to overarching question XI.1c.
</t>
  </si>
  <si>
    <t>Std1dot9</t>
  </si>
  <si>
    <t>Std2dot2NumberYes</t>
  </si>
  <si>
    <t>Std2dot2NumberNo</t>
  </si>
  <si>
    <t>Std2dot2Comments</t>
  </si>
  <si>
    <t>PersAttndtPaidReqMinWage</t>
  </si>
  <si>
    <t>Posting Date</t>
  </si>
  <si>
    <t>1. Are complaints documented, investigated and resolved within thirty days from the receipt of the complaint?</t>
  </si>
  <si>
    <t>• Review the contractor’s log of complaints to verify each of the following:</t>
  </si>
  <si>
    <t>o the finding of the investigation; and</t>
  </si>
  <si>
    <t>o resolution of the complaint.</t>
  </si>
  <si>
    <r>
      <rPr>
        <b/>
        <sz val="8"/>
        <color rgb="FF000000"/>
        <rFont val="Arial"/>
        <family val="2"/>
      </rPr>
      <t>Reference:</t>
    </r>
    <r>
      <rPr>
        <sz val="8"/>
        <color rgb="FF000000"/>
        <rFont val="Arial"/>
        <family val="2"/>
      </rPr>
      <t xml:space="preserve"> 40 TAC §49.309 Complaint Process</t>
    </r>
  </si>
  <si>
    <t>2a. Does the contractor have a policy/procedure for reporting and investigation an allegation of abuse, neglect and exploitation regarding an individual?</t>
  </si>
  <si>
    <t>• Review the contractor's policy and procedures related to ANE to verify compliance with the required elements.</t>
  </si>
  <si>
    <t>• comply with applicable laws and rules governing services provided under the contract;</t>
  </si>
  <si>
    <t>• require the contractor to report an allegation of ANE to the appropriate investigative authority;</t>
  </si>
  <si>
    <t>• ensure the contractor's employees, subcontractors, and volunteers are knowledgable of: acts that constitute ANE, how to report and methods to prevent the occurrence of ANE; and</t>
  </si>
  <si>
    <t>• prohibit the contractor from discharging or retaliating against an individual, employee, subcontractor, volunteer or others.</t>
  </si>
  <si>
    <t>2b. At least annually, did the contractor review incidents of confirmed abuse, neglect or exploitation of which they are notified and identify program process improvements that will prevent reoccurence and improve service delivery?</t>
  </si>
  <si>
    <r>
      <rPr>
        <b/>
        <sz val="8"/>
        <color theme="1"/>
        <rFont val="Arial"/>
        <family val="2"/>
      </rPr>
      <t>Reference:</t>
    </r>
    <r>
      <rPr>
        <sz val="8"/>
        <color theme="1"/>
        <rFont val="Arial"/>
        <family val="2"/>
      </rPr>
      <t xml:space="preserve">  40 TAC §49.309 Complaint Process</t>
    </r>
  </si>
  <si>
    <r>
      <rPr>
        <b/>
        <sz val="8"/>
        <color theme="1"/>
        <rFont val="Arial"/>
        <family val="2"/>
      </rPr>
      <t>Reference:</t>
    </r>
    <r>
      <rPr>
        <sz val="8"/>
        <color theme="1"/>
        <rFont val="Arial"/>
        <family val="2"/>
      </rPr>
      <t xml:space="preserve"> 40 TAC §49.304 Background Checks</t>
    </r>
  </si>
  <si>
    <r>
      <rPr>
        <b/>
        <sz val="8"/>
        <color theme="1"/>
        <rFont val="Arial"/>
        <family val="2"/>
      </rPr>
      <t>Reference:</t>
    </r>
    <r>
      <rPr>
        <sz val="8"/>
        <color theme="1"/>
        <rFont val="Arial"/>
        <family val="2"/>
      </rPr>
      <t xml:space="preserve"> 40 TAC §46.11, Contracting Requirement</t>
    </r>
  </si>
  <si>
    <r>
      <t xml:space="preserve">Reference: </t>
    </r>
    <r>
      <rPr>
        <sz val="8"/>
        <color theme="1"/>
        <rFont val="Arial"/>
        <family val="2"/>
      </rPr>
      <t>40 TAC §49.312 Personal Attendants</t>
    </r>
  </si>
  <si>
    <r>
      <rPr>
        <b/>
        <sz val="8"/>
        <color theme="1"/>
        <rFont val="Arial"/>
        <family val="2"/>
      </rPr>
      <t>Reference:</t>
    </r>
    <r>
      <rPr>
        <sz val="8"/>
        <color theme="1"/>
        <rFont val="Arial"/>
        <family val="2"/>
      </rPr>
      <t xml:space="preserve"> 40 TAC §49.304 Background Checks; 40 TAC §93, Employee Misconduct Registry; Chapter 250 Health and Safety Code §250.003 Nurse Aide Registry and Criminal History Checks of Employees and Applicants for Employment in Certain Facilities Serving the Elderly or Persons with Disabilities; TAC 92.123, Investigation of Facility Employee</t>
    </r>
  </si>
  <si>
    <t>3. The individual and LAR were informed, orally and in writing, of how to report complaints and allegations of abuse, neglect, or exploitation before service initiation?</t>
  </si>
  <si>
    <t>4. The individual and LAR were informed, orally and in writing, of how to report complaints and allegations of abuse, neglect, or exploitation at least once every 12 months? (Effective 9/1/2014)</t>
  </si>
  <si>
    <r>
      <t xml:space="preserve">• If “N”, include in the </t>
    </r>
    <r>
      <rPr>
        <i/>
        <sz val="10"/>
        <color theme="1"/>
        <rFont val="Arial"/>
        <family val="2"/>
      </rPr>
      <t>RC Monitoring Workbook-AL/RC Individuals’ Funds Summary</t>
    </r>
  </si>
  <si>
    <t>OVERARCHING QUESTION
Does the contractor maintain a pooled petty cash fund?</t>
  </si>
  <si>
    <t>o If "N", include the overage or shortage in the RC Monitoring Workbook-AL/RC Individuals’ Funds Summary.</t>
  </si>
  <si>
    <t xml:space="preserve">(See Individual Work Papers for item VII.1) </t>
  </si>
  <si>
    <r>
      <t xml:space="preserve">• If “N”, include the overage or shortage in the </t>
    </r>
    <r>
      <rPr>
        <i/>
        <sz val="10"/>
        <color theme="1"/>
        <rFont val="Arial"/>
        <family val="2"/>
      </rPr>
      <t>RC Monitoring Workbook-AL/RC Individuals’ Funds Summary</t>
    </r>
  </si>
  <si>
    <r>
      <t xml:space="preserve">If “N”, include the overage or shortage in the </t>
    </r>
    <r>
      <rPr>
        <i/>
        <sz val="10"/>
        <color theme="1"/>
        <rFont val="Arial"/>
        <family val="2"/>
      </rPr>
      <t>RC Monitoring Workbook-AL/RC Individuals’ Funds Summary.</t>
    </r>
  </si>
  <si>
    <t>(See Individual Work Papers for item IX.1)</t>
  </si>
  <si>
    <t>• If “N”, include the overage or shortage in the RC Monitoring Workbook-AL/RC Individuals’ Funds Summary.</t>
  </si>
  <si>
    <t>(See Individual Work Papers for items X.1-6)</t>
  </si>
  <si>
    <r>
      <t xml:space="preserve">• If “N”, include the deficiency in the </t>
    </r>
    <r>
      <rPr>
        <i/>
        <sz val="10"/>
        <color theme="1"/>
        <rFont val="Arial"/>
        <family val="2"/>
      </rPr>
      <t>RC Monitoring Workbook-AL/RC Individuals’ Funds Summary</t>
    </r>
    <r>
      <rPr>
        <sz val="10"/>
        <color theme="1"/>
        <rFont val="Arial"/>
        <family val="2"/>
      </rPr>
      <t>.</t>
    </r>
  </si>
  <si>
    <r>
      <t xml:space="preserve">• If “N”, include the deficiency in the </t>
    </r>
    <r>
      <rPr>
        <i/>
        <sz val="10"/>
        <color theme="1"/>
        <rFont val="Arial"/>
        <family val="2"/>
      </rPr>
      <t>RC Monitoring Workbook-AL/RC Individuals’ Funds Summary.</t>
    </r>
  </si>
  <si>
    <r>
      <t xml:space="preserve">• If “N”, include the questioned deposits in the </t>
    </r>
    <r>
      <rPr>
        <i/>
        <sz val="10"/>
        <color theme="1"/>
        <rFont val="Arial"/>
        <family val="2"/>
      </rPr>
      <t>RC Monitoring Workbook-AL/RC Individuals’ Funds Summary.</t>
    </r>
  </si>
  <si>
    <r>
      <t xml:space="preserve">• If “N”, include the questioned withdrawals in the </t>
    </r>
    <r>
      <rPr>
        <i/>
        <sz val="10"/>
        <color theme="1"/>
        <rFont val="Arial"/>
        <family val="2"/>
      </rPr>
      <t>RC Monitoring Workbook-AL/RC Individuals’ Funds Summary.</t>
    </r>
  </si>
  <si>
    <r>
      <t xml:space="preserve">• If “N”, include the unallowable withdrawals in the </t>
    </r>
    <r>
      <rPr>
        <i/>
        <sz val="10"/>
        <color theme="1"/>
        <rFont val="Arial"/>
        <family val="2"/>
      </rPr>
      <t>RC Monitoring Workbook-AL/RC Individuals’ Funds Summary.</t>
    </r>
  </si>
  <si>
    <r>
      <t xml:space="preserve">• If a refund is due, enter the amount in the </t>
    </r>
    <r>
      <rPr>
        <i/>
        <sz val="10"/>
        <color theme="1"/>
        <rFont val="Arial"/>
        <family val="2"/>
      </rPr>
      <t>RC Monitoring Workbook-AL/RC Individuals’ Funds Summary.</t>
    </r>
  </si>
  <si>
    <t xml:space="preserve">(See Individual Work Papers for Items XI. 1- 5) </t>
  </si>
  <si>
    <t>Comments (enter the sample number of any individual where it appears there may be under-billed units as indicated in AL/RC Reimbursement Spreadsheet Column "T"):</t>
  </si>
  <si>
    <t>• If a refund is due, enter the amount in the RC Monitoring Workbook-AL/RC Individuals’ Funds Summary.</t>
  </si>
  <si>
    <t>Comments (enter the sample number of any individual where it appears there may be under-billed units as indicated in the AL/RC Reimbursement Spreadsheet Column "T"):</t>
  </si>
  <si>
    <t>NA</t>
  </si>
  <si>
    <t>IV.3. The individual and LAR were informed, orally and in writing, of how to report complaints and allegations of abuse, neglect, or exploitation before service initiation?</t>
  </si>
  <si>
    <t>i. If entered services during the monitoring period - verify date of notice is prior to or on the date of service initiation; or</t>
  </si>
  <si>
    <t>IV.4. The individual and LAR were informed, orally and in writing, of how to report complaints and allegations of abuse, neglect, or exploitation at least once every 12 months? (Effective 9/1/2014)</t>
  </si>
  <si>
    <t>• Select "Y" if notice was given within 12 months of the previous notice</t>
  </si>
  <si>
    <t>• Select "N" if the annual notice was due after 09/01/2014 but individual and/or LAR were not informed</t>
  </si>
  <si>
    <t>o If overarching question V.1 is “Y”, review the individual’s file for written authorization from the individual or his/her representative to authorize the contractor’s assistance with money management.</t>
  </si>
  <si>
    <r>
      <t xml:space="preserve">o If “N”, include the deficiency in the </t>
    </r>
    <r>
      <rPr>
        <i/>
        <sz val="10"/>
        <color theme="1"/>
        <rFont val="Arial"/>
        <family val="2"/>
      </rPr>
      <t xml:space="preserve">RC Monitoring Workbook-AL/RC Individuals’ Funds Summary.   </t>
    </r>
  </si>
  <si>
    <r>
      <t xml:space="preserve">o If "N", include the overage or shortage in the </t>
    </r>
    <r>
      <rPr>
        <i/>
        <sz val="10"/>
        <color indexed="8"/>
        <rFont val="Arial"/>
        <family val="2"/>
      </rPr>
      <t>RC Monitoring Workbook-AL/RC Individuals’ Funds Summary.</t>
    </r>
    <r>
      <rPr>
        <sz val="10"/>
        <color indexed="8"/>
        <rFont val="Arial"/>
        <family val="2"/>
      </rPr>
      <t xml:space="preserve"> </t>
    </r>
    <r>
      <rPr>
        <b/>
        <sz val="10"/>
        <color indexed="8"/>
        <rFont val="Arial"/>
        <family val="2"/>
      </rPr>
      <t xml:space="preserve"> </t>
    </r>
  </si>
  <si>
    <t xml:space="preserve">•  If “N”, include the overage or shortage in the RC Monitoring Workbook-AL/RC Individuals’ Funds Summary.                                          </t>
  </si>
  <si>
    <t>o If “N”, include the deficiency in the RC-AL/RC Individuals’ Funds Summary.</t>
  </si>
  <si>
    <t xml:space="preserve">o If “N”, include the questioned deposit(s) in the RC-AL/RC Individuals’ Funds Summary </t>
  </si>
  <si>
    <r>
      <t xml:space="preserve">·     If “N”, include the questioned withdrawal(s) in the </t>
    </r>
    <r>
      <rPr>
        <i/>
        <sz val="10"/>
        <color theme="1"/>
        <rFont val="Arial"/>
        <family val="2"/>
      </rPr>
      <t>RC Monitoring Workbook-AL/RC Individuals’ Funds Summary.</t>
    </r>
  </si>
  <si>
    <r>
      <t xml:space="preserve">o If “N”, include the unallowable withdrawal(s) in the </t>
    </r>
    <r>
      <rPr>
        <i/>
        <sz val="10"/>
        <color theme="1"/>
        <rFont val="Arial"/>
        <family val="2"/>
      </rPr>
      <t>RC Monitoring Workbook-AL/RC Individuals Funds Summary.</t>
    </r>
  </si>
  <si>
    <r>
      <t xml:space="preserve">o If the contractor owes the individual or individual’s representative or guardian a refund, enter the amount in the </t>
    </r>
    <r>
      <rPr>
        <i/>
        <sz val="10"/>
        <color theme="1"/>
        <rFont val="Arial"/>
        <family val="2"/>
      </rPr>
      <t xml:space="preserve">RC Monitoring Workbook-AL/RC Individuals’ Funds Summary. </t>
    </r>
  </si>
  <si>
    <r>
      <t xml:space="preserve">o </t>
    </r>
    <r>
      <rPr>
        <b/>
        <sz val="10"/>
        <color theme="1"/>
        <rFont val="Arial"/>
        <family val="2"/>
      </rPr>
      <t>NOTE</t>
    </r>
    <r>
      <rPr>
        <sz val="10"/>
        <color theme="1"/>
        <rFont val="Arial"/>
        <family val="2"/>
      </rPr>
      <t xml:space="preserve">: If a refund was previously made and earned interest posted after the refund is the ONLY refund amount due, do not include in the </t>
    </r>
    <r>
      <rPr>
        <i/>
        <sz val="10"/>
        <color theme="1"/>
        <rFont val="Arial"/>
        <family val="2"/>
      </rPr>
      <t xml:space="preserve">RC Monitoring Workbook-AL/RC Individuals’ Funds Summary. </t>
    </r>
  </si>
  <si>
    <t>o date of investigation is within thirty days from receipt of the complaint, unless the contractor documented reasonable cause for the delay;</t>
  </si>
  <si>
    <t>o  If the individual receives RC, Complete the RC – DADS Reimbursement Spreadsheet</t>
  </si>
  <si>
    <t>·      If “N”, and the contractor has not provided evidence of negative billing, complete the RC Monitoring Workbook- Demand for Payment Notice.  If the contractor corrected the billing at any time prior to the exit, do not enter the amount on the Demand for Payment.  Indicate on the Notes page that “no recoupment is required; contractor has completed negative billing.</t>
  </si>
  <si>
    <t>·        If “N”, and the contractor has not provided evidence of correction, enter the room &amp; board and/or co-pay and/or bed hold refund amount due in the RC Monitoring Workbook- AL/RC Individuals’ Funds Summary.  If the contractor corrected the room &amp; board and/or co-pay and/or bed hold refund amount due at any time prior to the exit, do not enter the amount on the Individual Funds Summary.  Document this correction in the Notes tab.</t>
  </si>
  <si>
    <t>(C)Individual Responsibility Portion of Bed Hold Charge</t>
  </si>
  <si>
    <t>·         If “N”, enter the co-pay refund amount due in the RC Monitoring Workbook- AL/RC Individuals’ Funds Summary.  If the contractor corrected the co-pay at any time prior to the exit, do not enter the amount on the Individual Funds Summary.  Document this correction in the Notes tab.</t>
  </si>
  <si>
    <t>·         If “N”, enter the room &amp; board and/or co-pay refund amount due in the RC Monitoring Workbook- AL/RC Individuals’ Funds Summary.  If the contractor corrected the room &amp; board and/or co-pay at any time prior to the exit, do not enter the amount on the Individual Funds Summary.  Document this correction in the Notes tab.</t>
  </si>
  <si>
    <t>RC- DADS REIMBURSEMENT SPREADSHEET INSTRUCTIONS</t>
  </si>
  <si>
    <r>
      <t xml:space="preserve">Enter the authorized base </t>
    </r>
    <r>
      <rPr>
        <u/>
        <sz val="10"/>
        <rFont val="Arial Narrow"/>
        <family val="2"/>
      </rPr>
      <t>monthly</t>
    </r>
    <r>
      <rPr>
        <sz val="10"/>
        <rFont val="Arial Narrow"/>
        <family val="2"/>
      </rPr>
      <t xml:space="preserve"> co-pay. For CCAD refer to F2065A.</t>
    </r>
  </si>
  <si>
    <r>
      <t xml:space="preserve">Enter the authorized room and board </t>
    </r>
    <r>
      <rPr>
        <u/>
        <sz val="10"/>
        <rFont val="Arial Narrow"/>
        <family val="2"/>
      </rPr>
      <t>monthly</t>
    </r>
    <r>
      <rPr>
        <sz val="10"/>
        <rFont val="Arial Narrow"/>
        <family val="2"/>
      </rPr>
      <t xml:space="preserve"> amount. For CCAD refer to F2065A. </t>
    </r>
  </si>
  <si>
    <t>Enter the authorized CCAD bed-hold daily amount (TAC §46.49(d)). For CCAD refer to F2065A or the bed-hold rate established by the HHSC</t>
  </si>
  <si>
    <t xml:space="preserve">Enter the amount the CCAD individual paid the contractor for bed-hold during institutional leave (days the individual stay at a hospital, nursing facility, state school, state hospital or ICF/MR). </t>
  </si>
  <si>
    <t>For codes 19K, 19L, 19N or 19O:</t>
  </si>
  <si>
    <t xml:space="preserve">Enter the number of billable residential care units (days) from daily census record. Review F3251 to determine number of billable units (days) . </t>
  </si>
  <si>
    <t>Exclude the day the individual was discharge from the RC facility</t>
  </si>
  <si>
    <t>Include the day the individual returned to the RC facility from the hospital</t>
  </si>
  <si>
    <t>For codes 19I or 19J</t>
  </si>
  <si>
    <t xml:space="preserve">Enter the number of billable bed-hold units (days) from daily census record. Review F3251 to determine number of billable units (days). To calculate billable bed-hold units (days) include all days </t>
  </si>
  <si>
    <t>Enter the number of billable units (days) from daily census report. Review F3251 to determine number of billable units (days) . To calculate billable units (days) for Individual Room &amp; Board include all days the individual was present at the home and if applicable,</t>
  </si>
  <si>
    <t>Exclude the day the individual was discharge from the RC home</t>
  </si>
  <si>
    <t>Include the day the individual returned to the RC home from the hospital</t>
  </si>
  <si>
    <r>
      <t xml:space="preserve">IMPORTANT! If any of the elements within the individual's authorized residential setting code are NOT met, enter "0" in column "Q" of this spreadsheet AND enter "0" in column J - Verified Units, of the </t>
    </r>
    <r>
      <rPr>
        <b/>
        <i/>
        <sz val="10"/>
        <rFont val="Arial Narrow"/>
        <family val="2"/>
      </rPr>
      <t>RC Monitoring Workbook - Demand for Payment Notice</t>
    </r>
    <r>
      <rPr>
        <b/>
        <sz val="10"/>
        <rFont val="Arial Narrow"/>
        <family val="2"/>
      </rPr>
      <t>.</t>
    </r>
  </si>
  <si>
    <t>Enter "Y" if the contractor provides evidence that the amount was negative billed and successfully processed and finalized prior to receiving the sample.</t>
  </si>
  <si>
    <t>Enter "N" if the contractor does NOT provide evidence that the amount was negative billed and successfully processed and finalized prior to receiving the sample.</t>
  </si>
  <si>
    <t>AMOUNTS INDIVIDUAL MUST PAY PER AUTHORIZATION FORM (CCAD F2065A)</t>
  </si>
  <si>
    <t>The facility must refund the individual's co-payment for the days the client uses institutional leave (§46.49(e)).</t>
  </si>
  <si>
    <t>The facility must charge the individual for bed-holds during institutional leave Bed-hold charges for a CCAD RC individual are the bed-hold rate plus the R&amp;B charges.</t>
  </si>
  <si>
    <t xml:space="preserve">   (CCAD F2065A)</t>
  </si>
  <si>
    <t>(from Daily Census Record - 
CCAD F3251)</t>
  </si>
  <si>
    <t>Was the Full Amount Due to DADS (the amount in parentheses) negative billed and successfully processed and finalized prior to receiving the sample?</t>
  </si>
  <si>
    <t>DADS Reimb. Spreadsheet Col T (ALRC)</t>
  </si>
  <si>
    <t>Std1dot2a</t>
  </si>
  <si>
    <t>Std1dot2aComments</t>
  </si>
  <si>
    <t>Std1dot2b</t>
  </si>
  <si>
    <t>Std1dot2bComments</t>
  </si>
  <si>
    <t>=IF(Standard_IV_3_Comments = 0, "", Standard_IV_3_Comments)</t>
  </si>
  <si>
    <t>Std4dot3Comments</t>
  </si>
  <si>
    <t>Std4dot3NumberYes</t>
  </si>
  <si>
    <t>Std4dot3NumberNo</t>
  </si>
  <si>
    <t>Std4dot4Comments</t>
  </si>
  <si>
    <t>Std4dot4NumberYes</t>
  </si>
  <si>
    <t>Std4dot4NumberNo</t>
  </si>
  <si>
    <t>Std4dot3</t>
  </si>
  <si>
    <t>Std4dot4</t>
  </si>
  <si>
    <r>
      <rPr>
        <b/>
        <sz val="8"/>
        <color theme="1"/>
        <rFont val="Arial"/>
        <family val="2"/>
      </rPr>
      <t>Reference:</t>
    </r>
    <r>
      <rPr>
        <sz val="8"/>
        <color theme="1"/>
        <rFont val="Arial"/>
        <family val="2"/>
      </rPr>
      <t xml:space="preserve">  40 TAC §49.310 Abuse, Neglect, and Exploitation Allegations</t>
    </r>
  </si>
  <si>
    <t>• Mark "NA" if the contractor has not been notified of any confirmed incidents of abuse, neglect, or exploitation on or after 09/01/2014</t>
  </si>
  <si>
    <t>• Mark "NA" if the contractor was notified of confirmed abuse, neglect, or exploitation on or after 09/01/2014; however, the annual review is not yet due.</t>
  </si>
  <si>
    <t>• Mark "Y" if the contractor has been notified of confirmed incidents of abuse, neglect, or exploitation on or after 09/01/2014 and, at least annually, identified program process improvements to prevent reoccurrence and improve service delivery.</t>
  </si>
  <si>
    <t>3b. Does the contractor conduct or contract with an entity to conduct monthly searches of the federal and state Listed of Excluded Individuals/Entities for all employees and contractors and document:</t>
  </si>
  <si>
    <r>
      <rPr>
        <b/>
        <sz val="8"/>
        <color theme="1"/>
        <rFont val="Arian"/>
      </rPr>
      <t>Reference:</t>
    </r>
    <r>
      <rPr>
        <sz val="8"/>
        <color theme="1"/>
        <rFont val="Arian"/>
      </rPr>
      <t xml:space="preserve"> 40 TAC §49.304 Background Checks; 40 TAC §49.305 Records</t>
    </r>
  </si>
  <si>
    <t>9.  Does the contractor have a process to notify personal attendants hired on or after September 1, 2013 within the three days of hire of the required minimum wage?</t>
  </si>
  <si>
    <r>
      <rPr>
        <b/>
        <sz val="8"/>
        <color theme="1"/>
        <rFont val="Arial"/>
        <family val="2"/>
      </rPr>
      <t xml:space="preserve">Reference: </t>
    </r>
    <r>
      <rPr>
        <sz val="8"/>
        <color theme="1"/>
        <rFont val="Arial"/>
        <family val="2"/>
      </rPr>
      <t>40 TAC §49.309 Complaint Process; 40 TAC §49.310 Abuse, Neglect, and Exploitation Allegations</t>
    </r>
  </si>
  <si>
    <r>
      <rPr>
        <b/>
        <sz val="8"/>
        <color theme="1"/>
        <rFont val="Arial"/>
        <family val="2"/>
      </rPr>
      <t>Reference:</t>
    </r>
    <r>
      <rPr>
        <sz val="8"/>
        <color theme="1"/>
        <rFont val="Arial"/>
        <family val="2"/>
      </rPr>
      <t xml:space="preserve"> 40 TAC §49.311 Claims Payment</t>
    </r>
  </si>
  <si>
    <t>ii. If entered service prior to the monitoring period then "NA"
Note: Informing the individual and LAR regarding ANE applies to those individuals who entered services on or after 09/01/2014</t>
  </si>
  <si>
    <r>
      <t>Column D:</t>
    </r>
    <r>
      <rPr>
        <sz val="8"/>
        <rFont val="Arial"/>
        <family val="2"/>
      </rPr>
      <t xml:space="preserve"> For unlicensed employees who began providing services on or after the begin date of the monitoring period, verify that the NAR check was completed on or before the first date of service and annually (within 365 days of the previous check).  For unlicensed employees hired prior to the monitoring period, verify that each NAR check conducted during the monitoring period was performed within 365 days of the previous check and the most recent check was completed within the past 365 days. If no NAR check was due during the monitoring period, select NA.</t>
    </r>
  </si>
  <si>
    <r>
      <t xml:space="preserve">Column E: </t>
    </r>
    <r>
      <rPr>
        <sz val="8"/>
        <rFont val="Arial"/>
        <family val="2"/>
      </rPr>
      <t>For unlicensed employees who began providing services on or after the begin date of the monitoring period, verify that the EMR check was completed on or before the first date of service and annually (within 365 days of the previous check).  For unlicensed employees hired prior to the monitoring period, verify that each EMR check conducted during the monitoring period was performed within 365 days of the previous check and the most recent check was completed within the past 365 days. If no EMR check was due during the monitoring period, select NA.</t>
    </r>
  </si>
  <si>
    <r>
      <t>Column F:</t>
    </r>
    <r>
      <rPr>
        <sz val="8"/>
        <color theme="1"/>
        <rFont val="Arial"/>
        <family val="2"/>
      </rPr>
      <t xml:space="preserve"> For unlicensed employees who began providing services on or after the begin date of the monitoring period, select “Y” to indicate that none of the three checks (DPS, NAR, EMR) barred the unlicensed employee from employment. For a list of barrable offenses, scroll down.  For unlicensed employees hired prior to the monitoring period, select “Y” to indicate that the NAR and EMR checks did not bar the unlicensed employee from employment. If none of the three checks (DPS, NAR, EMR) were due during the monitoring period, select NA.</t>
    </r>
  </si>
  <si>
    <t>• Select "NA" if individual entered services during monitoring period, and annual notice was not yet due
• Select "NA" if individual entered services prior to 9/1/2014 and annual notice is not yet due</t>
  </si>
  <si>
    <t xml:space="preserve">      •  date any excluded employee/contractor was self-reported to HHSC-OIG</t>
  </si>
  <si>
    <t>ICN</t>
  </si>
  <si>
    <r>
      <rPr>
        <b/>
        <sz val="8"/>
        <color theme="1"/>
        <rFont val="Arial"/>
        <family val="2"/>
      </rPr>
      <t>Column G</t>
    </r>
    <r>
      <rPr>
        <sz val="8"/>
        <color theme="1"/>
        <rFont val="Arial"/>
        <family val="2"/>
      </rPr>
      <t>: Select NA if the contract is not a Residential Care contract.  Randomly select a date on or after September 1, 2013 and ask to review the Residential Care contractor’s payroll records that specify personal attendants’ hourly base wages for the pay period that includes that date.  
For unlicensed employees that provide personal attendant services, review the contractor’s payroll records to determine that the unlicensed employee is paid an hourly base wage of $7.50 per hour beginning September 1, 2013, $7.86 per hour beginning September 1, 2014, or $8.00 per hour beginning September 1, 2015.  If any attendant(s) listed below were not paid during the selected period, select additional dates when the attendant(s)worked and request records to review the attendant(s) hourly base wage.  Select NA if the listed staff was not a personal attendant or the personal attendant terminated employment prior to 9/1/13.</t>
    </r>
  </si>
  <si>
    <t>6.  If the individual was discharged or died during the monitoring period, was his/her trust fund account and petty cash refunded as required?</t>
  </si>
  <si>
    <r>
      <t xml:space="preserve">OVERARCHING QUESTION
Was the individual discharged or did the individual die during the monitoring period?
</t>
    </r>
    <r>
      <rPr>
        <sz val="10"/>
        <rFont val="Arial"/>
        <family val="2"/>
      </rPr>
      <t>[Review F2067s (or equivalent) and/or F3251 Daily Census Record (or equivalent) within the monitoring period to determine if the individual died or was discharged.]</t>
    </r>
  </si>
  <si>
    <t>X.6. If the individual was discharged or died during the monitoring period, was his/her trust fund account refunded as required?</t>
  </si>
  <si>
    <t>5.0.9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</si>
</sst>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quot;$&quot;#,##0.00_);\(&quot;$&quot;#,##0.00\)"/>
    <numFmt numFmtId="44" formatCode="_(&quot;$&quot;* #,##0.00_);_(&quot;$&quot;* \(#,##0.00\);_(&quot;$&quot;* &quot;-&quot;??_);_(@_)"/>
    <numFmt numFmtId="43" formatCode="_(* #,##0.00_);_(* \(#,##0.00\);_(* &quot;-&quot;??_);_(@_)"/>
    <numFmt numFmtId="164" formatCode="mm/dd/yyyy"/>
    <numFmt numFmtId="165" formatCode="0;\-0;;@"/>
    <numFmt numFmtId="166" formatCode="mm/yyyy"/>
    <numFmt numFmtId="167" formatCode="0.0"/>
    <numFmt numFmtId="168" formatCode="0.00;\-0.00;;@"/>
    <numFmt numFmtId="169" formatCode="0.0000"/>
    <numFmt numFmtId="170" formatCode="0.00_);\(0.00\)"/>
    <numFmt numFmtId="171" formatCode="[$-409]mmmm\ d\,\ yyyy;@"/>
  </numFmts>
  <fonts count="92">
    <font>
      <sz val="11"/>
      <color theme="1"/>
      <name val="Calibri"/>
      <family val="2"/>
      <scheme val="minor"/>
    </font>
    <font>
      <sz val="11"/>
      <color theme="1"/>
      <name val="Arial"/>
      <family val="2"/>
    </font>
    <font>
      <sz val="10"/>
      <color theme="1"/>
      <name val="Arial"/>
      <family val="2"/>
    </font>
    <font>
      <sz val="8"/>
      <color theme="1"/>
      <name val="Arial"/>
      <family val="2"/>
    </font>
    <font>
      <sz val="12"/>
      <color theme="1"/>
      <name val="Arial"/>
      <family val="2"/>
    </font>
    <font>
      <sz val="9"/>
      <color theme="1"/>
      <name val="Arial"/>
      <family val="2"/>
    </font>
    <font>
      <b/>
      <sz val="12"/>
      <color theme="1"/>
      <name val="Arial"/>
      <family val="2"/>
    </font>
    <font>
      <b/>
      <sz val="10"/>
      <color theme="1"/>
      <name val="Arial"/>
      <family val="2"/>
    </font>
    <font>
      <b/>
      <sz val="8"/>
      <color theme="1"/>
      <name val="Arial"/>
      <family val="2"/>
    </font>
    <font>
      <sz val="8"/>
      <color rgb="FF000000"/>
      <name val="Arial"/>
      <family val="2"/>
    </font>
    <font>
      <b/>
      <sz val="10"/>
      <color rgb="FF000000"/>
      <name val="Arial"/>
      <family val="2"/>
    </font>
    <font>
      <i/>
      <sz val="10"/>
      <color theme="1"/>
      <name val="Arial"/>
      <family val="2"/>
    </font>
    <font>
      <i/>
      <sz val="9"/>
      <color theme="1"/>
      <name val="Arial"/>
      <family val="2"/>
    </font>
    <font>
      <b/>
      <sz val="9"/>
      <color theme="1"/>
      <name val="Arial"/>
      <family val="2"/>
    </font>
    <font>
      <b/>
      <sz val="11"/>
      <color theme="1"/>
      <name val="Calibri"/>
      <family val="2"/>
      <scheme val="minor"/>
    </font>
    <font>
      <sz val="10"/>
      <color theme="1"/>
      <name val="Symbol"/>
      <family val="1"/>
      <charset val="2"/>
    </font>
    <font>
      <b/>
      <sz val="8"/>
      <color rgb="FF000000"/>
      <name val="Arial"/>
      <family val="2"/>
    </font>
    <font>
      <sz val="10"/>
      <color theme="1"/>
      <name val="Arian"/>
    </font>
    <font>
      <sz val="10"/>
      <color theme="1"/>
      <name val="Calibri"/>
      <family val="2"/>
      <scheme val="minor"/>
    </font>
    <font>
      <sz val="8"/>
      <color theme="1"/>
      <name val="Calibri"/>
      <family val="2"/>
      <scheme val="minor"/>
    </font>
    <font>
      <sz val="10"/>
      <color rgb="FF000000"/>
      <name val="Arial"/>
      <family val="2"/>
    </font>
    <font>
      <i/>
      <sz val="8"/>
      <color theme="1"/>
      <name val="Arial"/>
      <family val="2"/>
    </font>
    <font>
      <b/>
      <sz val="9"/>
      <color theme="0"/>
      <name val="Arial"/>
      <family val="2"/>
    </font>
    <font>
      <sz val="9"/>
      <color theme="0"/>
      <name val="Arial"/>
      <family val="2"/>
    </font>
    <font>
      <b/>
      <i/>
      <sz val="12"/>
      <color theme="1"/>
      <name val="Arial"/>
      <family val="2"/>
    </font>
    <font>
      <b/>
      <sz val="11"/>
      <color theme="1"/>
      <name val="Arial"/>
      <family val="2"/>
    </font>
    <font>
      <sz val="10"/>
      <color theme="1"/>
      <name val="Times New Roman"/>
      <family val="1"/>
    </font>
    <font>
      <sz val="7"/>
      <color theme="1"/>
      <name val="Times New Roman"/>
      <family val="1"/>
    </font>
    <font>
      <sz val="7"/>
      <color theme="1"/>
      <name val="Arial"/>
      <family val="2"/>
    </font>
    <font>
      <sz val="9"/>
      <color theme="1"/>
      <name val="Courier New"/>
      <family val="3"/>
    </font>
    <font>
      <sz val="12"/>
      <color rgb="FF000000"/>
      <name val="Arial"/>
      <family val="2"/>
    </font>
    <font>
      <b/>
      <sz val="10"/>
      <name val="Arial"/>
      <family val="2"/>
    </font>
    <font>
      <sz val="10"/>
      <name val="Arial"/>
      <family val="2"/>
    </font>
    <font>
      <sz val="12"/>
      <color theme="1"/>
      <name val="Times New Roman"/>
      <family val="1"/>
    </font>
    <font>
      <vertAlign val="superscript"/>
      <sz val="9"/>
      <color theme="1"/>
      <name val="Arial"/>
      <family val="2"/>
    </font>
    <font>
      <b/>
      <sz val="10"/>
      <name val="Arial Narrow"/>
      <family val="2"/>
    </font>
    <font>
      <b/>
      <sz val="10"/>
      <color indexed="12"/>
      <name val="Arial Narrow"/>
      <family val="2"/>
    </font>
    <font>
      <sz val="10"/>
      <name val="Arial Narrow"/>
      <family val="2"/>
    </font>
    <font>
      <i/>
      <sz val="10"/>
      <name val="Arial Narrow"/>
      <family val="2"/>
    </font>
    <font>
      <b/>
      <i/>
      <sz val="10"/>
      <name val="Arial Narrow"/>
      <family val="2"/>
    </font>
    <font>
      <sz val="10"/>
      <color indexed="12"/>
      <name val="Arial Narrow"/>
      <family val="2"/>
    </font>
    <font>
      <sz val="8"/>
      <color indexed="12"/>
      <name val="Arial Narrow"/>
      <family val="2"/>
    </font>
    <font>
      <b/>
      <sz val="8"/>
      <color indexed="12"/>
      <name val="Arial Narrow"/>
      <family val="2"/>
    </font>
    <font>
      <sz val="8"/>
      <name val="Arial"/>
      <family val="2"/>
    </font>
    <font>
      <u/>
      <sz val="10"/>
      <color indexed="12"/>
      <name val="Arial"/>
      <family val="2"/>
    </font>
    <font>
      <b/>
      <sz val="12"/>
      <name val="Arial Narrow"/>
      <family val="2"/>
    </font>
    <font>
      <u/>
      <sz val="10"/>
      <color indexed="12"/>
      <name val="Arial Narrow"/>
      <family val="2"/>
    </font>
    <font>
      <b/>
      <sz val="9"/>
      <name val="Arial Narrow"/>
      <family val="2"/>
    </font>
    <font>
      <sz val="9"/>
      <name val="Arial Narrow"/>
      <family val="2"/>
    </font>
    <font>
      <b/>
      <u/>
      <sz val="10"/>
      <name val="Arial Narrow"/>
      <family val="2"/>
    </font>
    <font>
      <u/>
      <sz val="10"/>
      <name val="Arial Narrow"/>
      <family val="2"/>
    </font>
    <font>
      <sz val="11"/>
      <name val="Calibri"/>
      <family val="2"/>
      <scheme val="minor"/>
    </font>
    <font>
      <sz val="12"/>
      <color theme="1"/>
      <name val="Courier New"/>
      <family val="3"/>
    </font>
    <font>
      <sz val="11"/>
      <color theme="1"/>
      <name val="Courier New"/>
      <family val="3"/>
    </font>
    <font>
      <sz val="8"/>
      <color rgb="FF000000"/>
      <name val="Tahoma"/>
      <family val="2"/>
    </font>
    <font>
      <sz val="10"/>
      <color indexed="8"/>
      <name val="Arial"/>
      <family val="2"/>
    </font>
    <font>
      <b/>
      <sz val="10"/>
      <color indexed="8"/>
      <name val="Arial"/>
      <family val="2"/>
    </font>
    <font>
      <i/>
      <sz val="10"/>
      <color indexed="8"/>
      <name val="Arial"/>
      <family val="2"/>
    </font>
    <font>
      <u/>
      <sz val="10"/>
      <name val="Arial"/>
      <family val="2"/>
    </font>
    <font>
      <sz val="8"/>
      <color theme="1"/>
      <name val="Symbol"/>
      <family val="1"/>
      <charset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0"/>
      <name val="Calibri"/>
      <family val="2"/>
      <scheme val="minor"/>
    </font>
    <font>
      <sz val="10"/>
      <color theme="0"/>
      <name val="Arial"/>
      <family val="2"/>
    </font>
    <font>
      <sz val="9"/>
      <name val="Arial"/>
      <family val="2"/>
    </font>
    <font>
      <b/>
      <sz val="9"/>
      <name val="Arial"/>
      <family val="2"/>
    </font>
    <font>
      <b/>
      <sz val="12"/>
      <name val="Arial"/>
      <family val="2"/>
    </font>
    <font>
      <b/>
      <sz val="8"/>
      <name val="Arial"/>
      <family val="2"/>
    </font>
    <font>
      <sz val="12"/>
      <name val="Arial"/>
      <family val="2"/>
    </font>
    <font>
      <b/>
      <u/>
      <sz val="10"/>
      <color theme="1"/>
      <name val="Arial"/>
      <family val="2"/>
    </font>
    <font>
      <u/>
      <sz val="11"/>
      <color theme="1"/>
      <name val="Arial"/>
      <family val="2"/>
    </font>
    <font>
      <sz val="8"/>
      <color theme="1"/>
      <name val="Arian"/>
    </font>
    <font>
      <b/>
      <sz val="8"/>
      <color theme="1"/>
      <name val="Arian"/>
    </font>
    <font>
      <sz val="11"/>
      <color theme="1"/>
      <name val="Calibri"/>
      <family val="2"/>
      <scheme val="minor"/>
    </font>
    <font>
      <sz val="11"/>
      <color rgb="FFFF0000"/>
      <name val="Calibri"/>
      <family val="2"/>
      <scheme val="minor"/>
    </font>
    <font>
      <b/>
      <sz val="7"/>
      <color theme="1"/>
      <name val="Arial"/>
      <family val="2"/>
    </font>
    <font>
      <sz val="10"/>
      <name val="Calibri"/>
      <family val="2"/>
      <scheme val="minor"/>
    </font>
  </fonts>
  <fills count="29">
    <fill>
      <patternFill patternType="none"/>
    </fill>
    <fill>
      <patternFill patternType="gray125"/>
    </fill>
    <fill>
      <patternFill patternType="solid">
        <fgColor theme="0" tint="-4.9989318521683403E-2"/>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rgb="FFFFFF00"/>
        <bgColor indexed="64"/>
      </patternFill>
    </fill>
    <fill>
      <patternFill patternType="solid">
        <fgColor rgb="FFCCFFCC"/>
        <bgColor indexed="64"/>
      </patternFill>
    </fill>
  </fills>
  <borders count="256">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bottom/>
      <diagonal/>
    </border>
    <border>
      <left/>
      <right style="thick">
        <color indexed="64"/>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style="thick">
        <color indexed="64"/>
      </right>
      <top style="thick">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style="medium">
        <color indexed="64"/>
      </right>
      <top style="thick">
        <color indexed="64"/>
      </top>
      <bottom/>
      <diagonal/>
    </border>
    <border>
      <left style="medium">
        <color indexed="64"/>
      </left>
      <right/>
      <top style="thick">
        <color indexed="64"/>
      </top>
      <bottom/>
      <diagonal/>
    </border>
    <border>
      <left/>
      <right style="medium">
        <color indexed="64"/>
      </right>
      <top style="thick">
        <color indexed="64"/>
      </top>
      <bottom/>
      <diagonal/>
    </border>
    <border>
      <left style="thick">
        <color indexed="64"/>
      </left>
      <right style="medium">
        <color indexed="64"/>
      </right>
      <top/>
      <bottom/>
      <diagonal/>
    </border>
    <border>
      <left style="thick">
        <color indexed="64"/>
      </left>
      <right/>
      <top style="medium">
        <color indexed="64"/>
      </top>
      <bottom/>
      <diagonal/>
    </border>
    <border>
      <left/>
      <right/>
      <top style="medium">
        <color indexed="64"/>
      </top>
      <bottom/>
      <diagonal/>
    </border>
    <border>
      <left/>
      <right style="thick">
        <color indexed="64"/>
      </right>
      <top style="medium">
        <color indexed="64"/>
      </top>
      <bottom/>
      <diagonal/>
    </border>
    <border>
      <left style="medium">
        <color indexed="64"/>
      </left>
      <right/>
      <top/>
      <bottom style="thick">
        <color indexed="64"/>
      </bottom>
      <diagonal/>
    </border>
    <border>
      <left/>
      <right style="medium">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right style="thick">
        <color indexed="64"/>
      </right>
      <top style="medium">
        <color indexed="64"/>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ck">
        <color indexed="64"/>
      </bottom>
      <diagonal/>
    </border>
    <border>
      <left style="thick">
        <color indexed="64"/>
      </left>
      <right style="medium">
        <color indexed="64"/>
      </right>
      <top style="medium">
        <color indexed="64"/>
      </top>
      <bottom style="medium">
        <color indexed="64"/>
      </bottom>
      <diagonal/>
    </border>
    <border>
      <left style="medium">
        <color indexed="64"/>
      </left>
      <right/>
      <top style="medium">
        <color indexed="64"/>
      </top>
      <bottom style="thick">
        <color indexed="64"/>
      </bottom>
      <diagonal/>
    </border>
    <border>
      <left style="medium">
        <color indexed="64"/>
      </left>
      <right style="thick">
        <color indexed="64"/>
      </right>
      <top/>
      <bottom style="medium">
        <color indexed="64"/>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thick">
        <color indexed="64"/>
      </left>
      <right/>
      <top/>
      <bottom style="mediumDashed">
        <color indexed="64"/>
      </bottom>
      <diagonal/>
    </border>
    <border>
      <left/>
      <right style="thick">
        <color indexed="64"/>
      </right>
      <top/>
      <bottom style="mediumDashed">
        <color indexed="64"/>
      </bottom>
      <diagonal/>
    </border>
    <border>
      <left style="medium">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mediumDashed">
        <color indexed="64"/>
      </top>
      <bottom style="thick">
        <color indexed="64"/>
      </bottom>
      <diagonal/>
    </border>
    <border>
      <left/>
      <right style="thick">
        <color indexed="64"/>
      </right>
      <top style="mediumDashed">
        <color indexed="64"/>
      </top>
      <bottom style="thick">
        <color indexed="64"/>
      </bottom>
      <diagonal/>
    </border>
    <border>
      <left style="thick">
        <color indexed="64"/>
      </left>
      <right style="medium">
        <color indexed="64"/>
      </right>
      <top/>
      <bottom style="medium">
        <color indexed="64"/>
      </bottom>
      <diagonal/>
    </border>
    <border>
      <left style="thick">
        <color indexed="64"/>
      </left>
      <right style="medium">
        <color indexed="64"/>
      </right>
      <top style="medium">
        <color indexed="64"/>
      </top>
      <bottom/>
      <diagonal/>
    </border>
    <border>
      <left style="thick">
        <color indexed="64"/>
      </left>
      <right style="medium">
        <color indexed="64"/>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medium">
        <color indexed="64"/>
      </left>
      <right/>
      <top style="thick">
        <color indexed="64"/>
      </top>
      <bottom style="medium">
        <color indexed="64"/>
      </bottom>
      <diagonal/>
    </border>
    <border>
      <left style="medium">
        <color indexed="64"/>
      </left>
      <right style="medium">
        <color indexed="64"/>
      </right>
      <top style="thick">
        <color indexed="64"/>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thick">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ck">
        <color indexed="64"/>
      </left>
      <right/>
      <top style="thick">
        <color indexed="64"/>
      </top>
      <bottom style="thin">
        <color auto="1"/>
      </bottom>
      <diagonal/>
    </border>
    <border>
      <left/>
      <right/>
      <top style="thick">
        <color indexed="64"/>
      </top>
      <bottom style="thin">
        <color auto="1"/>
      </bottom>
      <diagonal/>
    </border>
    <border>
      <left/>
      <right style="thick">
        <color indexed="64"/>
      </right>
      <top style="thick">
        <color indexed="64"/>
      </top>
      <bottom style="thin">
        <color auto="1"/>
      </bottom>
      <diagonal/>
    </border>
    <border>
      <left style="thick">
        <color indexed="64"/>
      </left>
      <right/>
      <top style="thin">
        <color auto="1"/>
      </top>
      <bottom style="thin">
        <color auto="1"/>
      </bottom>
      <diagonal/>
    </border>
    <border>
      <left/>
      <right/>
      <top/>
      <bottom style="thin">
        <color auto="1"/>
      </bottom>
      <diagonal/>
    </border>
    <border>
      <left/>
      <right style="thin">
        <color auto="1"/>
      </right>
      <top style="thick">
        <color indexed="64"/>
      </top>
      <bottom style="thin">
        <color auto="1"/>
      </bottom>
      <diagonal/>
    </border>
    <border>
      <left/>
      <right style="thick">
        <color indexed="64"/>
      </right>
      <top style="thin">
        <color auto="1"/>
      </top>
      <bottom style="thin">
        <color auto="1"/>
      </bottom>
      <diagonal/>
    </border>
    <border>
      <left style="thin">
        <color auto="1"/>
      </left>
      <right style="thick">
        <color indexed="64"/>
      </right>
      <top style="thin">
        <color auto="1"/>
      </top>
      <bottom style="thin">
        <color auto="1"/>
      </bottom>
      <diagonal/>
    </border>
    <border>
      <left style="thick">
        <color indexed="64"/>
      </left>
      <right/>
      <top style="thin">
        <color auto="1"/>
      </top>
      <bottom style="thick">
        <color indexed="64"/>
      </bottom>
      <diagonal/>
    </border>
    <border>
      <left/>
      <right/>
      <top style="thin">
        <color auto="1"/>
      </top>
      <bottom style="thick">
        <color indexed="64"/>
      </bottom>
      <diagonal/>
    </border>
    <border>
      <left/>
      <right style="thin">
        <color auto="1"/>
      </right>
      <top style="thin">
        <color auto="1"/>
      </top>
      <bottom style="thick">
        <color indexed="64"/>
      </bottom>
      <diagonal/>
    </border>
    <border>
      <left style="thin">
        <color auto="1"/>
      </left>
      <right style="thick">
        <color indexed="64"/>
      </right>
      <top style="thin">
        <color auto="1"/>
      </top>
      <bottom style="thick">
        <color indexed="64"/>
      </bottom>
      <diagonal/>
    </border>
    <border>
      <left style="medium">
        <color indexed="64"/>
      </left>
      <right style="thick">
        <color indexed="64"/>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hair">
        <color indexed="64"/>
      </bottom>
      <diagonal/>
    </border>
    <border>
      <left style="medium">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style="thick">
        <color indexed="64"/>
      </left>
      <right style="thick">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style="thick">
        <color indexed="64"/>
      </right>
      <top style="thick">
        <color indexed="64"/>
      </top>
      <bottom style="medium">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style="thick">
        <color indexed="64"/>
      </top>
      <bottom style="thick">
        <color indexed="64"/>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bottom style="thin">
        <color indexed="64"/>
      </bottom>
      <diagonal/>
    </border>
    <border>
      <left style="thin">
        <color auto="1"/>
      </left>
      <right style="thin">
        <color auto="1"/>
      </right>
      <top/>
      <bottom style="thin">
        <color auto="1"/>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auto="1"/>
      </right>
      <top/>
      <bottom style="thin">
        <color auto="1"/>
      </bottom>
      <diagonal/>
    </border>
    <border>
      <left/>
      <right style="medium">
        <color indexed="64"/>
      </right>
      <top/>
      <bottom style="thin">
        <color indexed="64"/>
      </bottom>
      <diagonal/>
    </border>
    <border>
      <left style="medium">
        <color indexed="64"/>
      </left>
      <right/>
      <top/>
      <bottom style="thin">
        <color indexed="64"/>
      </bottom>
      <diagonal/>
    </border>
    <border>
      <left/>
      <right/>
      <top style="thin">
        <color auto="1"/>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bottom style="thin">
        <color auto="1"/>
      </bottom>
      <diagonal/>
    </border>
    <border>
      <left/>
      <right style="thick">
        <color indexed="64"/>
      </right>
      <top/>
      <bottom style="thin">
        <color auto="1"/>
      </bottom>
      <diagonal/>
    </border>
    <border>
      <left style="thick">
        <color indexed="64"/>
      </left>
      <right style="medium">
        <color indexed="64"/>
      </right>
      <top/>
      <bottom style="thick">
        <color indexed="64"/>
      </bottom>
      <diagonal/>
    </border>
  </borders>
  <cellStyleXfs count="314">
    <xf numFmtId="0" fontId="0" fillId="0" borderId="0"/>
    <xf numFmtId="0" fontId="44" fillId="0" borderId="0" applyNumberFormat="0" applyFill="0" applyBorder="0" applyAlignment="0" applyProtection="0">
      <alignment vertical="top"/>
      <protection locked="0"/>
    </xf>
    <xf numFmtId="0" fontId="60" fillId="0" borderId="0"/>
    <xf numFmtId="0" fontId="60" fillId="4" borderId="0" applyNumberFormat="0" applyBorder="0" applyAlignment="0" applyProtection="0"/>
    <xf numFmtId="0" fontId="60" fillId="5" borderId="0" applyNumberFormat="0" applyBorder="0" applyAlignment="0" applyProtection="0"/>
    <xf numFmtId="0" fontId="60" fillId="6" borderId="0" applyNumberFormat="0" applyBorder="0" applyAlignment="0" applyProtection="0"/>
    <xf numFmtId="0" fontId="60" fillId="7" borderId="0" applyNumberFormat="0" applyBorder="0" applyAlignment="0" applyProtection="0"/>
    <xf numFmtId="0" fontId="60" fillId="8"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7" borderId="0" applyNumberFormat="0" applyBorder="0" applyAlignment="0" applyProtection="0"/>
    <xf numFmtId="0" fontId="60" fillId="10" borderId="0" applyNumberFormat="0" applyBorder="0" applyAlignment="0" applyProtection="0"/>
    <xf numFmtId="0" fontId="60" fillId="13" borderId="0" applyNumberFormat="0" applyBorder="0" applyAlignment="0" applyProtection="0"/>
    <xf numFmtId="0" fontId="61" fillId="14" borderId="0" applyNumberFormat="0" applyBorder="0" applyAlignment="0" applyProtection="0"/>
    <xf numFmtId="0" fontId="61" fillId="11" borderId="0" applyNumberFormat="0" applyBorder="0" applyAlignment="0" applyProtection="0"/>
    <xf numFmtId="0" fontId="61" fillId="12" borderId="0" applyNumberFormat="0" applyBorder="0" applyAlignment="0" applyProtection="0"/>
    <xf numFmtId="0" fontId="61" fillId="15"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18" borderId="0" applyNumberFormat="0" applyBorder="0" applyAlignment="0" applyProtection="0"/>
    <xf numFmtId="0" fontId="61" fillId="19" borderId="0" applyNumberFormat="0" applyBorder="0" applyAlignment="0" applyProtection="0"/>
    <xf numFmtId="0" fontId="61" fillId="20" borderId="0" applyNumberFormat="0" applyBorder="0" applyAlignment="0" applyProtection="0"/>
    <xf numFmtId="0" fontId="61" fillId="15" borderId="0" applyNumberFormat="0" applyBorder="0" applyAlignment="0" applyProtection="0"/>
    <xf numFmtId="0" fontId="61" fillId="16" borderId="0" applyNumberFormat="0" applyBorder="0" applyAlignment="0" applyProtection="0"/>
    <xf numFmtId="0" fontId="61" fillId="21" borderId="0" applyNumberFormat="0" applyBorder="0" applyAlignment="0" applyProtection="0"/>
    <xf numFmtId="0" fontId="62" fillId="5" borderId="0" applyNumberFormat="0" applyBorder="0" applyAlignment="0" applyProtection="0"/>
    <xf numFmtId="0" fontId="63" fillId="22" borderId="123" applyNumberFormat="0" applyAlignment="0" applyProtection="0"/>
    <xf numFmtId="0" fontId="64" fillId="23" borderId="124" applyNumberFormat="0" applyAlignment="0" applyProtection="0"/>
    <xf numFmtId="0" fontId="65" fillId="0" borderId="0" applyNumberFormat="0" applyFill="0" applyBorder="0" applyAlignment="0" applyProtection="0"/>
    <xf numFmtId="0" fontId="66" fillId="6" borderId="0" applyNumberFormat="0" applyBorder="0" applyAlignment="0" applyProtection="0"/>
    <xf numFmtId="0" fontId="67" fillId="0" borderId="125" applyNumberFormat="0" applyFill="0" applyAlignment="0" applyProtection="0"/>
    <xf numFmtId="0" fontId="68" fillId="0" borderId="126" applyNumberFormat="0" applyFill="0" applyAlignment="0" applyProtection="0"/>
    <xf numFmtId="0" fontId="69" fillId="0" borderId="127" applyNumberFormat="0" applyFill="0" applyAlignment="0" applyProtection="0"/>
    <xf numFmtId="0" fontId="69" fillId="0" borderId="0" applyNumberFormat="0" applyFill="0" applyBorder="0" applyAlignment="0" applyProtection="0"/>
    <xf numFmtId="0" fontId="70" fillId="9" borderId="123" applyNumberFormat="0" applyAlignment="0" applyProtection="0"/>
    <xf numFmtId="0" fontId="71" fillId="0" borderId="128" applyNumberFormat="0" applyFill="0" applyAlignment="0" applyProtection="0"/>
    <xf numFmtId="0" fontId="72" fillId="24" borderId="0" applyNumberFormat="0" applyBorder="0" applyAlignment="0" applyProtection="0"/>
    <xf numFmtId="0" fontId="60" fillId="25" borderId="129" applyNumberFormat="0" applyFont="0" applyAlignment="0" applyProtection="0"/>
    <xf numFmtId="0" fontId="73" fillId="22" borderId="130" applyNumberFormat="0" applyAlignment="0" applyProtection="0"/>
    <xf numFmtId="0" fontId="74" fillId="0" borderId="0" applyNumberFormat="0" applyFill="0" applyBorder="0" applyAlignment="0" applyProtection="0"/>
    <xf numFmtId="0" fontId="75" fillId="0" borderId="131" applyNumberFormat="0" applyFill="0" applyAlignment="0" applyProtection="0"/>
    <xf numFmtId="0" fontId="76" fillId="0" borderId="0" applyNumberFormat="0" applyFill="0" applyBorder="0" applyAlignment="0" applyProtection="0"/>
    <xf numFmtId="0" fontId="63" fillId="22" borderId="204" applyNumberFormat="0" applyAlignment="0" applyProtection="0"/>
    <xf numFmtId="0" fontId="63" fillId="22" borderId="225" applyNumberFormat="0" applyAlignment="0" applyProtection="0"/>
    <xf numFmtId="0" fontId="63" fillId="22" borderId="220" applyNumberFormat="0" applyAlignment="0" applyProtection="0"/>
    <xf numFmtId="0" fontId="63" fillId="22" borderId="152" applyNumberFormat="0" applyAlignment="0" applyProtection="0"/>
    <xf numFmtId="0" fontId="63" fillId="22" borderId="212" applyNumberFormat="0" applyAlignment="0" applyProtection="0"/>
    <xf numFmtId="0" fontId="63" fillId="22" borderId="188" applyNumberFormat="0" applyAlignment="0" applyProtection="0"/>
    <xf numFmtId="0" fontId="63" fillId="22" borderId="172" applyNumberFormat="0" applyAlignment="0" applyProtection="0"/>
    <xf numFmtId="0" fontId="63" fillId="22" borderId="143" applyNumberFormat="0" applyAlignment="0" applyProtection="0"/>
    <xf numFmtId="0" fontId="63" fillId="22" borderId="135" applyNumberFormat="0" applyAlignment="0" applyProtection="0"/>
    <xf numFmtId="0" fontId="70" fillId="9" borderId="135" applyNumberFormat="0" applyAlignment="0" applyProtection="0"/>
    <xf numFmtId="0" fontId="60" fillId="25" borderId="136" applyNumberFormat="0" applyFont="0" applyAlignment="0" applyProtection="0"/>
    <xf numFmtId="0" fontId="73" fillId="22" borderId="137" applyNumberFormat="0" applyAlignment="0" applyProtection="0"/>
    <xf numFmtId="0" fontId="75" fillId="0" borderId="138" applyNumberFormat="0" applyFill="0" applyAlignment="0" applyProtection="0"/>
    <xf numFmtId="0" fontId="63" fillId="22" borderId="139" applyNumberFormat="0" applyAlignment="0" applyProtection="0"/>
    <xf numFmtId="0" fontId="70" fillId="9" borderId="139" applyNumberFormat="0" applyAlignment="0" applyProtection="0"/>
    <xf numFmtId="0" fontId="60" fillId="25" borderId="140" applyNumberFormat="0" applyFont="0" applyAlignment="0" applyProtection="0"/>
    <xf numFmtId="0" fontId="73" fillId="22" borderId="141" applyNumberFormat="0" applyAlignment="0" applyProtection="0"/>
    <xf numFmtId="0" fontId="75" fillId="0" borderId="142" applyNumberFormat="0" applyFill="0" applyAlignment="0" applyProtection="0"/>
    <xf numFmtId="0" fontId="70" fillId="9" borderId="143" applyNumberFormat="0" applyAlignment="0" applyProtection="0"/>
    <xf numFmtId="0" fontId="60" fillId="25" borderId="144" applyNumberFormat="0" applyFont="0" applyAlignment="0" applyProtection="0"/>
    <xf numFmtId="0" fontId="73" fillId="22" borderId="145" applyNumberFormat="0" applyAlignment="0" applyProtection="0"/>
    <xf numFmtId="0" fontId="75" fillId="0" borderId="146" applyNumberFormat="0" applyFill="0" applyAlignment="0" applyProtection="0"/>
    <xf numFmtId="0" fontId="63" fillId="22" borderId="147" applyNumberFormat="0" applyAlignment="0" applyProtection="0"/>
    <xf numFmtId="0" fontId="70" fillId="9" borderId="147" applyNumberFormat="0" applyAlignment="0" applyProtection="0"/>
    <xf numFmtId="0" fontId="60" fillId="25" borderId="148" applyNumberFormat="0" applyFont="0" applyAlignment="0" applyProtection="0"/>
    <xf numFmtId="0" fontId="73" fillId="22" borderId="149" applyNumberFormat="0" applyAlignment="0" applyProtection="0"/>
    <xf numFmtId="0" fontId="75" fillId="0" borderId="150" applyNumberFormat="0" applyFill="0" applyAlignment="0" applyProtection="0"/>
    <xf numFmtId="0" fontId="63" fillId="22" borderId="180" applyNumberFormat="0" applyAlignment="0" applyProtection="0"/>
    <xf numFmtId="0" fontId="63" fillId="22" borderId="151" applyNumberFormat="0" applyAlignment="0" applyProtection="0"/>
    <xf numFmtId="0" fontId="63" fillId="22" borderId="156" applyNumberFormat="0" applyAlignment="0" applyProtection="0"/>
    <xf numFmtId="0" fontId="70" fillId="9" borderId="151" applyNumberFormat="0" applyAlignment="0" applyProtection="0"/>
    <xf numFmtId="0" fontId="70" fillId="9" borderId="152" applyNumberFormat="0" applyAlignment="0" applyProtection="0"/>
    <xf numFmtId="0" fontId="60" fillId="25" borderId="153" applyNumberFormat="0" applyFont="0" applyAlignment="0" applyProtection="0"/>
    <xf numFmtId="0" fontId="73" fillId="22" borderId="154" applyNumberFormat="0" applyAlignment="0" applyProtection="0"/>
    <xf numFmtId="0" fontId="75" fillId="0" borderId="155" applyNumberFormat="0" applyFill="0" applyAlignment="0" applyProtection="0"/>
    <xf numFmtId="0" fontId="70" fillId="9" borderId="156" applyNumberFormat="0" applyAlignment="0" applyProtection="0"/>
    <xf numFmtId="0" fontId="60" fillId="25" borderId="157" applyNumberFormat="0" applyFont="0" applyAlignment="0" applyProtection="0"/>
    <xf numFmtId="0" fontId="73" fillId="22" borderId="158" applyNumberFormat="0" applyAlignment="0" applyProtection="0"/>
    <xf numFmtId="0" fontId="75" fillId="0" borderId="159" applyNumberFormat="0" applyFill="0" applyAlignment="0" applyProtection="0"/>
    <xf numFmtId="0" fontId="63" fillId="22" borderId="160" applyNumberFormat="0" applyAlignment="0" applyProtection="0"/>
    <xf numFmtId="0" fontId="70" fillId="9" borderId="160" applyNumberFormat="0" applyAlignment="0" applyProtection="0"/>
    <xf numFmtId="0" fontId="60" fillId="25" borderId="161" applyNumberFormat="0" applyFont="0" applyAlignment="0" applyProtection="0"/>
    <xf numFmtId="0" fontId="73" fillId="22" borderId="162" applyNumberFormat="0" applyAlignment="0" applyProtection="0"/>
    <xf numFmtId="0" fontId="75" fillId="0" borderId="163" applyNumberFormat="0" applyFill="0" applyAlignment="0" applyProtection="0"/>
    <xf numFmtId="0" fontId="63" fillId="22" borderId="164" applyNumberFormat="0" applyAlignment="0" applyProtection="0"/>
    <xf numFmtId="0" fontId="70" fillId="9" borderId="164" applyNumberFormat="0" applyAlignment="0" applyProtection="0"/>
    <xf numFmtId="0" fontId="60" fillId="25" borderId="165" applyNumberFormat="0" applyFont="0" applyAlignment="0" applyProtection="0"/>
    <xf numFmtId="0" fontId="73" fillId="22" borderId="166" applyNumberFormat="0" applyAlignment="0" applyProtection="0"/>
    <xf numFmtId="0" fontId="75" fillId="0" borderId="167" applyNumberFormat="0" applyFill="0" applyAlignment="0" applyProtection="0"/>
    <xf numFmtId="0" fontId="63" fillId="22" borderId="200" applyNumberFormat="0" applyAlignment="0" applyProtection="0"/>
    <xf numFmtId="0" fontId="70" fillId="9" borderId="212" applyNumberFormat="0" applyAlignment="0" applyProtection="0"/>
    <xf numFmtId="0" fontId="63" fillId="22" borderId="184" applyNumberFormat="0" applyAlignment="0" applyProtection="0"/>
    <xf numFmtId="0" fontId="63" fillId="22" borderId="168" applyNumberFormat="0" applyAlignment="0" applyProtection="0"/>
    <xf numFmtId="0" fontId="63" fillId="22" borderId="176" applyNumberFormat="0" applyAlignment="0" applyProtection="0"/>
    <xf numFmtId="0" fontId="63" fillId="22" borderId="192" applyNumberFormat="0" applyAlignment="0" applyProtection="0"/>
    <xf numFmtId="0" fontId="70" fillId="9" borderId="168" applyNumberFormat="0" applyAlignment="0" applyProtection="0"/>
    <xf numFmtId="0" fontId="70" fillId="9" borderId="188" applyNumberFormat="0" applyAlignment="0" applyProtection="0"/>
    <xf numFmtId="0" fontId="60" fillId="25" borderId="169" applyNumberFormat="0" applyFont="0" applyAlignment="0" applyProtection="0"/>
    <xf numFmtId="0" fontId="73" fillId="22" borderId="170" applyNumberFormat="0" applyAlignment="0" applyProtection="0"/>
    <xf numFmtId="0" fontId="75" fillId="0" borderId="171" applyNumberFormat="0" applyFill="0" applyAlignment="0" applyProtection="0"/>
    <xf numFmtId="0" fontId="70" fillId="9" borderId="172" applyNumberFormat="0" applyAlignment="0" applyProtection="0"/>
    <xf numFmtId="0" fontId="60" fillId="25" borderId="173" applyNumberFormat="0" applyFont="0" applyAlignment="0" applyProtection="0"/>
    <xf numFmtId="0" fontId="73" fillId="22" borderId="174" applyNumberFormat="0" applyAlignment="0" applyProtection="0"/>
    <xf numFmtId="0" fontId="75" fillId="0" borderId="175" applyNumberFormat="0" applyFill="0" applyAlignment="0" applyProtection="0"/>
    <xf numFmtId="0" fontId="70" fillId="9" borderId="176" applyNumberFormat="0" applyAlignment="0" applyProtection="0"/>
    <xf numFmtId="0" fontId="60" fillId="25" borderId="177" applyNumberFormat="0" applyFont="0" applyAlignment="0" applyProtection="0"/>
    <xf numFmtId="0" fontId="73" fillId="22" borderId="178" applyNumberFormat="0" applyAlignment="0" applyProtection="0"/>
    <xf numFmtId="0" fontId="75" fillId="0" borderId="179" applyNumberFormat="0" applyFill="0" applyAlignment="0" applyProtection="0"/>
    <xf numFmtId="0" fontId="70" fillId="9" borderId="180" applyNumberFormat="0" applyAlignment="0" applyProtection="0"/>
    <xf numFmtId="0" fontId="60" fillId="25" borderId="181" applyNumberFormat="0" applyFont="0" applyAlignment="0" applyProtection="0"/>
    <xf numFmtId="0" fontId="73" fillId="22" borderId="182" applyNumberFormat="0" applyAlignment="0" applyProtection="0"/>
    <xf numFmtId="0" fontId="75" fillId="0" borderId="183" applyNumberFormat="0" applyFill="0" applyAlignment="0" applyProtection="0"/>
    <xf numFmtId="0" fontId="70" fillId="9" borderId="204" applyNumberFormat="0" applyAlignment="0" applyProtection="0"/>
    <xf numFmtId="0" fontId="70" fillId="9" borderId="200" applyNumberFormat="0" applyAlignment="0" applyProtection="0"/>
    <xf numFmtId="0" fontId="70" fillId="9" borderId="184" applyNumberFormat="0" applyAlignment="0" applyProtection="0"/>
    <xf numFmtId="0" fontId="70" fillId="9" borderId="192" applyNumberFormat="0" applyAlignment="0" applyProtection="0"/>
    <xf numFmtId="0" fontId="60" fillId="25" borderId="185" applyNumberFormat="0" applyFont="0" applyAlignment="0" applyProtection="0"/>
    <xf numFmtId="0" fontId="73" fillId="22" borderId="186" applyNumberFormat="0" applyAlignment="0" applyProtection="0"/>
    <xf numFmtId="0" fontId="63" fillId="22" borderId="196" applyNumberFormat="0" applyAlignment="0" applyProtection="0"/>
    <xf numFmtId="0" fontId="75" fillId="0" borderId="187" applyNumberFormat="0" applyFill="0" applyAlignment="0" applyProtection="0"/>
    <xf numFmtId="0" fontId="60" fillId="25" borderId="189" applyNumberFormat="0" applyFont="0" applyAlignment="0" applyProtection="0"/>
    <xf numFmtId="0" fontId="73" fillId="22" borderId="190" applyNumberFormat="0" applyAlignment="0" applyProtection="0"/>
    <xf numFmtId="0" fontId="75" fillId="0" borderId="191" applyNumberFormat="0" applyFill="0" applyAlignment="0" applyProtection="0"/>
    <xf numFmtId="0" fontId="60" fillId="25" borderId="193" applyNumberFormat="0" applyFont="0" applyAlignment="0" applyProtection="0"/>
    <xf numFmtId="0" fontId="73" fillId="22" borderId="194" applyNumberFormat="0" applyAlignment="0" applyProtection="0"/>
    <xf numFmtId="0" fontId="75" fillId="0" borderId="195" applyNumberFormat="0" applyFill="0" applyAlignment="0" applyProtection="0"/>
    <xf numFmtId="0" fontId="63" fillId="22" borderId="208" applyNumberFormat="0" applyAlignment="0" applyProtection="0"/>
    <xf numFmtId="0" fontId="70" fillId="9" borderId="196" applyNumberFormat="0" applyAlignment="0" applyProtection="0"/>
    <xf numFmtId="0" fontId="63" fillId="22" borderId="224" applyNumberFormat="0" applyAlignment="0" applyProtection="0"/>
    <xf numFmtId="0" fontId="60" fillId="25" borderId="197" applyNumberFormat="0" applyFont="0" applyAlignment="0" applyProtection="0"/>
    <xf numFmtId="0" fontId="73" fillId="22" borderId="198" applyNumberFormat="0" applyAlignment="0" applyProtection="0"/>
    <xf numFmtId="0" fontId="75" fillId="0" borderId="199" applyNumberFormat="0" applyFill="0" applyAlignment="0" applyProtection="0"/>
    <xf numFmtId="0" fontId="63" fillId="22" borderId="216" applyNumberFormat="0" applyAlignment="0" applyProtection="0"/>
    <xf numFmtId="0" fontId="60" fillId="25" borderId="201" applyNumberFormat="0" applyFont="0" applyAlignment="0" applyProtection="0"/>
    <xf numFmtId="0" fontId="73" fillId="22" borderId="202" applyNumberFormat="0" applyAlignment="0" applyProtection="0"/>
    <xf numFmtId="0" fontId="75" fillId="0" borderId="203" applyNumberFormat="0" applyFill="0" applyAlignment="0" applyProtection="0"/>
    <xf numFmtId="0" fontId="60" fillId="25" borderId="205" applyNumberFormat="0" applyFont="0" applyAlignment="0" applyProtection="0"/>
    <xf numFmtId="0" fontId="73" fillId="22" borderId="206" applyNumberFormat="0" applyAlignment="0" applyProtection="0"/>
    <xf numFmtId="0" fontId="75" fillId="0" borderId="207" applyNumberFormat="0" applyFill="0" applyAlignment="0" applyProtection="0"/>
    <xf numFmtId="0" fontId="70" fillId="9" borderId="208" applyNumberFormat="0" applyAlignment="0" applyProtection="0"/>
    <xf numFmtId="0" fontId="60" fillId="25" borderId="209" applyNumberFormat="0" applyFont="0" applyAlignment="0" applyProtection="0"/>
    <xf numFmtId="0" fontId="73" fillId="22" borderId="210" applyNumberFormat="0" applyAlignment="0" applyProtection="0"/>
    <xf numFmtId="0" fontId="75" fillId="0" borderId="211" applyNumberFormat="0" applyFill="0" applyAlignment="0" applyProtection="0"/>
    <xf numFmtId="0" fontId="60" fillId="25" borderId="213" applyNumberFormat="0" applyFont="0" applyAlignment="0" applyProtection="0"/>
    <xf numFmtId="0" fontId="73" fillId="22" borderId="214" applyNumberFormat="0" applyAlignment="0" applyProtection="0"/>
    <xf numFmtId="0" fontId="75" fillId="0" borderId="215" applyNumberFormat="0" applyFill="0" applyAlignment="0" applyProtection="0"/>
    <xf numFmtId="0" fontId="70" fillId="9" borderId="224" applyNumberFormat="0" applyAlignment="0" applyProtection="0"/>
    <xf numFmtId="0" fontId="70" fillId="9" borderId="216" applyNumberFormat="0" applyAlignment="0" applyProtection="0"/>
    <xf numFmtId="0" fontId="60" fillId="25" borderId="217" applyNumberFormat="0" applyFont="0" applyAlignment="0" applyProtection="0"/>
    <xf numFmtId="0" fontId="73" fillId="22" borderId="218" applyNumberFormat="0" applyAlignment="0" applyProtection="0"/>
    <xf numFmtId="0" fontId="75" fillId="0" borderId="219" applyNumberFormat="0" applyFill="0" applyAlignment="0" applyProtection="0"/>
    <xf numFmtId="0" fontId="70" fillId="9" borderId="220" applyNumberFormat="0" applyAlignment="0" applyProtection="0"/>
    <xf numFmtId="0" fontId="70" fillId="9" borderId="225" applyNumberFormat="0" applyAlignment="0" applyProtection="0"/>
    <xf numFmtId="0" fontId="60" fillId="25" borderId="221" applyNumberFormat="0" applyFont="0" applyAlignment="0" applyProtection="0"/>
    <xf numFmtId="0" fontId="73" fillId="22" borderId="222" applyNumberFormat="0" applyAlignment="0" applyProtection="0"/>
    <xf numFmtId="0" fontId="75" fillId="0" borderId="223" applyNumberFormat="0" applyFill="0" applyAlignment="0" applyProtection="0"/>
    <xf numFmtId="0" fontId="60" fillId="25" borderId="226" applyNumberFormat="0" applyFont="0" applyAlignment="0" applyProtection="0"/>
    <xf numFmtId="0" fontId="73" fillId="22" borderId="227" applyNumberFormat="0" applyAlignment="0" applyProtection="0"/>
    <xf numFmtId="0" fontId="75" fillId="0" borderId="228" applyNumberFormat="0" applyFill="0" applyAlignment="0" applyProtection="0"/>
    <xf numFmtId="0" fontId="1" fillId="0" borderId="0"/>
    <xf numFmtId="0" fontId="88" fillId="0" borderId="0"/>
    <xf numFmtId="0" fontId="88" fillId="0" borderId="0"/>
    <xf numFmtId="0" fontId="1" fillId="0" borderId="0"/>
    <xf numFmtId="0" fontId="63" fillId="22" borderId="245" applyNumberFormat="0" applyAlignment="0" applyProtection="0"/>
    <xf numFmtId="0" fontId="70" fillId="9" borderId="245" applyNumberFormat="0" applyAlignment="0" applyProtection="0"/>
    <xf numFmtId="0" fontId="60" fillId="25" borderId="246" applyNumberFormat="0" applyFont="0" applyAlignment="0" applyProtection="0"/>
    <xf numFmtId="0" fontId="73" fillId="22" borderId="247" applyNumberFormat="0" applyAlignment="0" applyProtection="0"/>
    <xf numFmtId="0" fontId="75" fillId="0" borderId="248" applyNumberFormat="0" applyFill="0" applyAlignment="0" applyProtection="0"/>
    <xf numFmtId="0" fontId="63" fillId="22" borderId="249" applyNumberFormat="0" applyAlignment="0" applyProtection="0"/>
    <xf numFmtId="0" fontId="63" fillId="22" borderId="249" applyNumberFormat="0" applyAlignment="0" applyProtection="0"/>
    <xf numFmtId="0" fontId="63" fillId="22" borderId="249" applyNumberFormat="0" applyAlignment="0" applyProtection="0"/>
    <xf numFmtId="0" fontId="63" fillId="22" borderId="249" applyNumberFormat="0" applyAlignment="0" applyProtection="0"/>
    <xf numFmtId="0" fontId="63" fillId="22" borderId="249" applyNumberFormat="0" applyAlignment="0" applyProtection="0"/>
    <xf numFmtId="0" fontId="63" fillId="22" borderId="249" applyNumberFormat="0" applyAlignment="0" applyProtection="0"/>
    <xf numFmtId="0" fontId="63" fillId="22" borderId="249" applyNumberFormat="0" applyAlignment="0" applyProtection="0"/>
    <xf numFmtId="0" fontId="63" fillId="22" borderId="249" applyNumberFormat="0" applyAlignment="0" applyProtection="0"/>
    <xf numFmtId="0" fontId="63" fillId="22" borderId="249" applyNumberFormat="0" applyAlignment="0" applyProtection="0"/>
    <xf numFmtId="0" fontId="70" fillId="9" borderId="249" applyNumberFormat="0" applyAlignment="0" applyProtection="0"/>
    <xf numFmtId="0" fontId="60" fillId="25" borderId="250" applyNumberFormat="0" applyFont="0" applyAlignment="0" applyProtection="0"/>
    <xf numFmtId="0" fontId="73" fillId="22" borderId="251" applyNumberFormat="0" applyAlignment="0" applyProtection="0"/>
    <xf numFmtId="0" fontId="75" fillId="0" borderId="252" applyNumberFormat="0" applyFill="0" applyAlignment="0" applyProtection="0"/>
    <xf numFmtId="0" fontId="63" fillId="22" borderId="249" applyNumberFormat="0" applyAlignment="0" applyProtection="0"/>
    <xf numFmtId="0" fontId="70" fillId="9" borderId="249" applyNumberFormat="0" applyAlignment="0" applyProtection="0"/>
    <xf numFmtId="0" fontId="60" fillId="25" borderId="250" applyNumberFormat="0" applyFont="0" applyAlignment="0" applyProtection="0"/>
    <xf numFmtId="0" fontId="73" fillId="22" borderId="251" applyNumberFormat="0" applyAlignment="0" applyProtection="0"/>
    <xf numFmtId="0" fontId="75" fillId="0" borderId="252" applyNumberFormat="0" applyFill="0" applyAlignment="0" applyProtection="0"/>
    <xf numFmtId="0" fontId="70" fillId="9" borderId="249" applyNumberFormat="0" applyAlignment="0" applyProtection="0"/>
    <xf numFmtId="0" fontId="60" fillId="25" borderId="250" applyNumberFormat="0" applyFont="0" applyAlignment="0" applyProtection="0"/>
    <xf numFmtId="0" fontId="73" fillId="22" borderId="251" applyNumberFormat="0" applyAlignment="0" applyProtection="0"/>
    <xf numFmtId="0" fontId="75" fillId="0" borderId="252" applyNumberFormat="0" applyFill="0" applyAlignment="0" applyProtection="0"/>
    <xf numFmtId="0" fontId="63" fillId="22" borderId="249" applyNumberFormat="0" applyAlignment="0" applyProtection="0"/>
    <xf numFmtId="0" fontId="70" fillId="9" borderId="249" applyNumberFormat="0" applyAlignment="0" applyProtection="0"/>
    <xf numFmtId="0" fontId="60" fillId="25" borderId="250" applyNumberFormat="0" applyFont="0" applyAlignment="0" applyProtection="0"/>
    <xf numFmtId="0" fontId="73" fillId="22" borderId="251" applyNumberFormat="0" applyAlignment="0" applyProtection="0"/>
    <xf numFmtId="0" fontId="75" fillId="0" borderId="252" applyNumberFormat="0" applyFill="0" applyAlignment="0" applyProtection="0"/>
    <xf numFmtId="0" fontId="63" fillId="22" borderId="249" applyNumberFormat="0" applyAlignment="0" applyProtection="0"/>
    <xf numFmtId="0" fontId="63" fillId="22" borderId="249" applyNumberFormat="0" applyAlignment="0" applyProtection="0"/>
    <xf numFmtId="0" fontId="63" fillId="22" borderId="249" applyNumberFormat="0" applyAlignment="0" applyProtection="0"/>
    <xf numFmtId="0" fontId="70" fillId="9" borderId="249" applyNumberFormat="0" applyAlignment="0" applyProtection="0"/>
    <xf numFmtId="0" fontId="70" fillId="9" borderId="249" applyNumberFormat="0" applyAlignment="0" applyProtection="0"/>
    <xf numFmtId="0" fontId="60" fillId="25" borderId="250" applyNumberFormat="0" applyFont="0" applyAlignment="0" applyProtection="0"/>
    <xf numFmtId="0" fontId="73" fillId="22" borderId="251" applyNumberFormat="0" applyAlignment="0" applyProtection="0"/>
    <xf numFmtId="0" fontId="75" fillId="0" borderId="252" applyNumberFormat="0" applyFill="0" applyAlignment="0" applyProtection="0"/>
    <xf numFmtId="0" fontId="70" fillId="9" borderId="249" applyNumberFormat="0" applyAlignment="0" applyProtection="0"/>
    <xf numFmtId="0" fontId="60" fillId="25" borderId="250" applyNumberFormat="0" applyFont="0" applyAlignment="0" applyProtection="0"/>
    <xf numFmtId="0" fontId="73" fillId="22" borderId="251" applyNumberFormat="0" applyAlignment="0" applyProtection="0"/>
    <xf numFmtId="0" fontId="75" fillId="0" borderId="252" applyNumberFormat="0" applyFill="0" applyAlignment="0" applyProtection="0"/>
    <xf numFmtId="0" fontId="63" fillId="22" borderId="249" applyNumberFormat="0" applyAlignment="0" applyProtection="0"/>
    <xf numFmtId="0" fontId="70" fillId="9" borderId="249" applyNumberFormat="0" applyAlignment="0" applyProtection="0"/>
    <xf numFmtId="0" fontId="60" fillId="25" borderId="250" applyNumberFormat="0" applyFont="0" applyAlignment="0" applyProtection="0"/>
    <xf numFmtId="0" fontId="73" fillId="22" borderId="251" applyNumberFormat="0" applyAlignment="0" applyProtection="0"/>
    <xf numFmtId="0" fontId="75" fillId="0" borderId="252" applyNumberFormat="0" applyFill="0" applyAlignment="0" applyProtection="0"/>
    <xf numFmtId="0" fontId="63" fillId="22" borderId="249" applyNumberFormat="0" applyAlignment="0" applyProtection="0"/>
    <xf numFmtId="0" fontId="70" fillId="9" borderId="249" applyNumberFormat="0" applyAlignment="0" applyProtection="0"/>
    <xf numFmtId="0" fontId="60" fillId="25" borderId="250" applyNumberFormat="0" applyFont="0" applyAlignment="0" applyProtection="0"/>
    <xf numFmtId="0" fontId="73" fillId="22" borderId="251" applyNumberFormat="0" applyAlignment="0" applyProtection="0"/>
    <xf numFmtId="0" fontId="75" fillId="0" borderId="252" applyNumberFormat="0" applyFill="0" applyAlignment="0" applyProtection="0"/>
    <xf numFmtId="0" fontId="63" fillId="22" borderId="249" applyNumberFormat="0" applyAlignment="0" applyProtection="0"/>
    <xf numFmtId="0" fontId="70" fillId="9" borderId="249" applyNumberFormat="0" applyAlignment="0" applyProtection="0"/>
    <xf numFmtId="0" fontId="63" fillId="22" borderId="249" applyNumberFormat="0" applyAlignment="0" applyProtection="0"/>
    <xf numFmtId="0" fontId="63" fillId="22" borderId="249" applyNumberFormat="0" applyAlignment="0" applyProtection="0"/>
    <xf numFmtId="0" fontId="63" fillId="22" borderId="249" applyNumberFormat="0" applyAlignment="0" applyProtection="0"/>
    <xf numFmtId="0" fontId="63" fillId="22" borderId="249" applyNumberFormat="0" applyAlignment="0" applyProtection="0"/>
    <xf numFmtId="0" fontId="70" fillId="9" borderId="249" applyNumberFormat="0" applyAlignment="0" applyProtection="0"/>
    <xf numFmtId="0" fontId="70" fillId="9" borderId="249" applyNumberFormat="0" applyAlignment="0" applyProtection="0"/>
    <xf numFmtId="0" fontId="60" fillId="25" borderId="250" applyNumberFormat="0" applyFont="0" applyAlignment="0" applyProtection="0"/>
    <xf numFmtId="0" fontId="73" fillId="22" borderId="251" applyNumberFormat="0" applyAlignment="0" applyProtection="0"/>
    <xf numFmtId="0" fontId="75" fillId="0" borderId="252" applyNumberFormat="0" applyFill="0" applyAlignment="0" applyProtection="0"/>
    <xf numFmtId="0" fontId="70" fillId="9" borderId="249" applyNumberFormat="0" applyAlignment="0" applyProtection="0"/>
    <xf numFmtId="0" fontId="60" fillId="25" borderId="250" applyNumberFormat="0" applyFont="0" applyAlignment="0" applyProtection="0"/>
    <xf numFmtId="0" fontId="73" fillId="22" borderId="251" applyNumberFormat="0" applyAlignment="0" applyProtection="0"/>
    <xf numFmtId="0" fontId="75" fillId="0" borderId="252" applyNumberFormat="0" applyFill="0" applyAlignment="0" applyProtection="0"/>
    <xf numFmtId="0" fontId="70" fillId="9" borderId="249" applyNumberFormat="0" applyAlignment="0" applyProtection="0"/>
    <xf numFmtId="0" fontId="60" fillId="25" borderId="250" applyNumberFormat="0" applyFont="0" applyAlignment="0" applyProtection="0"/>
    <xf numFmtId="0" fontId="73" fillId="22" borderId="251" applyNumberFormat="0" applyAlignment="0" applyProtection="0"/>
    <xf numFmtId="0" fontId="75" fillId="0" borderId="252" applyNumberFormat="0" applyFill="0" applyAlignment="0" applyProtection="0"/>
    <xf numFmtId="0" fontId="70" fillId="9" borderId="249" applyNumberFormat="0" applyAlignment="0" applyProtection="0"/>
    <xf numFmtId="0" fontId="60" fillId="25" borderId="250" applyNumberFormat="0" applyFont="0" applyAlignment="0" applyProtection="0"/>
    <xf numFmtId="0" fontId="73" fillId="22" borderId="251" applyNumberFormat="0" applyAlignment="0" applyProtection="0"/>
    <xf numFmtId="0" fontId="75" fillId="0" borderId="252" applyNumberFormat="0" applyFill="0" applyAlignment="0" applyProtection="0"/>
    <xf numFmtId="0" fontId="70" fillId="9" borderId="249" applyNumberFormat="0" applyAlignment="0" applyProtection="0"/>
    <xf numFmtId="0" fontId="70" fillId="9" borderId="249" applyNumberFormat="0" applyAlignment="0" applyProtection="0"/>
    <xf numFmtId="0" fontId="70" fillId="9" borderId="249" applyNumberFormat="0" applyAlignment="0" applyProtection="0"/>
    <xf numFmtId="0" fontId="70" fillId="9" borderId="249" applyNumberFormat="0" applyAlignment="0" applyProtection="0"/>
    <xf numFmtId="0" fontId="60" fillId="25" borderId="250" applyNumberFormat="0" applyFont="0" applyAlignment="0" applyProtection="0"/>
    <xf numFmtId="0" fontId="73" fillId="22" borderId="251" applyNumberFormat="0" applyAlignment="0" applyProtection="0"/>
    <xf numFmtId="0" fontId="63" fillId="22" borderId="249" applyNumberFormat="0" applyAlignment="0" applyProtection="0"/>
    <xf numFmtId="0" fontId="75" fillId="0" borderId="252" applyNumberFormat="0" applyFill="0" applyAlignment="0" applyProtection="0"/>
    <xf numFmtId="0" fontId="60" fillId="25" borderId="250" applyNumberFormat="0" applyFont="0" applyAlignment="0" applyProtection="0"/>
    <xf numFmtId="0" fontId="73" fillId="22" borderId="251" applyNumberFormat="0" applyAlignment="0" applyProtection="0"/>
    <xf numFmtId="0" fontId="75" fillId="0" borderId="252" applyNumberFormat="0" applyFill="0" applyAlignment="0" applyProtection="0"/>
    <xf numFmtId="0" fontId="60" fillId="25" borderId="250" applyNumberFormat="0" applyFont="0" applyAlignment="0" applyProtection="0"/>
    <xf numFmtId="0" fontId="73" fillId="22" borderId="251" applyNumberFormat="0" applyAlignment="0" applyProtection="0"/>
    <xf numFmtId="0" fontId="75" fillId="0" borderId="252" applyNumberFormat="0" applyFill="0" applyAlignment="0" applyProtection="0"/>
    <xf numFmtId="0" fontId="63" fillId="22" borderId="249" applyNumberFormat="0" applyAlignment="0" applyProtection="0"/>
    <xf numFmtId="0" fontId="70" fillId="9" borderId="249" applyNumberFormat="0" applyAlignment="0" applyProtection="0"/>
    <xf numFmtId="0" fontId="63" fillId="22" borderId="249" applyNumberFormat="0" applyAlignment="0" applyProtection="0"/>
    <xf numFmtId="0" fontId="60" fillId="25" borderId="250" applyNumberFormat="0" applyFont="0" applyAlignment="0" applyProtection="0"/>
    <xf numFmtId="0" fontId="73" fillId="22" borderId="251" applyNumberFormat="0" applyAlignment="0" applyProtection="0"/>
    <xf numFmtId="0" fontId="75" fillId="0" borderId="252" applyNumberFormat="0" applyFill="0" applyAlignment="0" applyProtection="0"/>
    <xf numFmtId="0" fontId="63" fillId="22" borderId="249" applyNumberFormat="0" applyAlignment="0" applyProtection="0"/>
    <xf numFmtId="0" fontId="60" fillId="25" borderId="250" applyNumberFormat="0" applyFont="0" applyAlignment="0" applyProtection="0"/>
    <xf numFmtId="0" fontId="73" fillId="22" borderId="251" applyNumberFormat="0" applyAlignment="0" applyProtection="0"/>
    <xf numFmtId="0" fontId="75" fillId="0" borderId="252" applyNumberFormat="0" applyFill="0" applyAlignment="0" applyProtection="0"/>
    <xf numFmtId="0" fontId="60" fillId="25" borderId="250" applyNumberFormat="0" applyFont="0" applyAlignment="0" applyProtection="0"/>
    <xf numFmtId="0" fontId="73" fillId="22" borderId="251" applyNumberFormat="0" applyAlignment="0" applyProtection="0"/>
    <xf numFmtId="0" fontId="75" fillId="0" borderId="252" applyNumberFormat="0" applyFill="0" applyAlignment="0" applyProtection="0"/>
    <xf numFmtId="0" fontId="70" fillId="9" borderId="249" applyNumberFormat="0" applyAlignment="0" applyProtection="0"/>
    <xf numFmtId="0" fontId="60" fillId="25" borderId="250" applyNumberFormat="0" applyFont="0" applyAlignment="0" applyProtection="0"/>
    <xf numFmtId="0" fontId="73" fillId="22" borderId="251" applyNumberFormat="0" applyAlignment="0" applyProtection="0"/>
    <xf numFmtId="0" fontId="75" fillId="0" borderId="252" applyNumberFormat="0" applyFill="0" applyAlignment="0" applyProtection="0"/>
    <xf numFmtId="0" fontId="60" fillId="25" borderId="250" applyNumberFormat="0" applyFont="0" applyAlignment="0" applyProtection="0"/>
    <xf numFmtId="0" fontId="73" fillId="22" borderId="251" applyNumberFormat="0" applyAlignment="0" applyProtection="0"/>
    <xf numFmtId="0" fontId="75" fillId="0" borderId="252" applyNumberFormat="0" applyFill="0" applyAlignment="0" applyProtection="0"/>
    <xf numFmtId="0" fontId="70" fillId="9" borderId="249" applyNumberFormat="0" applyAlignment="0" applyProtection="0"/>
    <xf numFmtId="0" fontId="70" fillId="9" borderId="249" applyNumberFormat="0" applyAlignment="0" applyProtection="0"/>
    <xf numFmtId="0" fontId="60" fillId="25" borderId="250" applyNumberFormat="0" applyFont="0" applyAlignment="0" applyProtection="0"/>
    <xf numFmtId="0" fontId="73" fillId="22" borderId="251" applyNumberFormat="0" applyAlignment="0" applyProtection="0"/>
    <xf numFmtId="0" fontId="75" fillId="0" borderId="252" applyNumberFormat="0" applyFill="0" applyAlignment="0" applyProtection="0"/>
    <xf numFmtId="0" fontId="70" fillId="9" borderId="249" applyNumberFormat="0" applyAlignment="0" applyProtection="0"/>
    <xf numFmtId="0" fontId="70" fillId="9" borderId="249" applyNumberFormat="0" applyAlignment="0" applyProtection="0"/>
    <xf numFmtId="0" fontId="60" fillId="25" borderId="250" applyNumberFormat="0" applyFont="0" applyAlignment="0" applyProtection="0"/>
    <xf numFmtId="0" fontId="73" fillId="22" borderId="251" applyNumberFormat="0" applyAlignment="0" applyProtection="0"/>
    <xf numFmtId="0" fontId="75" fillId="0" borderId="252" applyNumberFormat="0" applyFill="0" applyAlignment="0" applyProtection="0"/>
    <xf numFmtId="0" fontId="60" fillId="25" borderId="250" applyNumberFormat="0" applyFont="0" applyAlignment="0" applyProtection="0"/>
    <xf numFmtId="0" fontId="73" fillId="22" borderId="251" applyNumberFormat="0" applyAlignment="0" applyProtection="0"/>
    <xf numFmtId="0" fontId="75" fillId="0" borderId="252" applyNumberFormat="0" applyFill="0" applyAlignment="0" applyProtection="0"/>
    <xf numFmtId="0" fontId="73" fillId="22" borderId="247" applyNumberFormat="0" applyAlignment="0" applyProtection="0"/>
    <xf numFmtId="0" fontId="73" fillId="22" borderId="247" applyNumberFormat="0" applyAlignment="0" applyProtection="0"/>
    <xf numFmtId="0" fontId="73" fillId="22" borderId="247" applyNumberFormat="0" applyAlignment="0" applyProtection="0"/>
    <xf numFmtId="0" fontId="73" fillId="22" borderId="247" applyNumberFormat="0" applyAlignment="0" applyProtection="0"/>
    <xf numFmtId="0" fontId="73" fillId="22" borderId="247" applyNumberFormat="0" applyAlignment="0" applyProtection="0"/>
    <xf numFmtId="0" fontId="73" fillId="22" borderId="247" applyNumberFormat="0" applyAlignment="0" applyProtection="0"/>
    <xf numFmtId="0" fontId="73" fillId="22" borderId="247" applyNumberFormat="0" applyAlignment="0" applyProtection="0"/>
    <xf numFmtId="0" fontId="73" fillId="22" borderId="247" applyNumberFormat="0" applyAlignment="0" applyProtection="0"/>
    <xf numFmtId="0" fontId="73" fillId="22" borderId="247" applyNumberFormat="0" applyAlignment="0" applyProtection="0"/>
    <xf numFmtId="0" fontId="73" fillId="22" borderId="247" applyNumberFormat="0" applyAlignment="0" applyProtection="0"/>
    <xf numFmtId="0" fontId="73" fillId="22" borderId="247" applyNumberFormat="0" applyAlignment="0" applyProtection="0"/>
    <xf numFmtId="0" fontId="73" fillId="22" borderId="247" applyNumberFormat="0" applyAlignment="0" applyProtection="0"/>
    <xf numFmtId="0" fontId="73" fillId="22" borderId="247" applyNumberFormat="0" applyAlignment="0" applyProtection="0"/>
    <xf numFmtId="0" fontId="73" fillId="22" borderId="247" applyNumberFormat="0" applyAlignment="0" applyProtection="0"/>
    <xf numFmtId="0" fontId="73" fillId="22" borderId="247" applyNumberFormat="0" applyAlignment="0" applyProtection="0"/>
    <xf numFmtId="0" fontId="73" fillId="22" borderId="247" applyNumberFormat="0" applyAlignment="0" applyProtection="0"/>
    <xf numFmtId="0" fontId="73" fillId="22" borderId="247" applyNumberFormat="0" applyAlignment="0" applyProtection="0"/>
    <xf numFmtId="0" fontId="73" fillId="22" borderId="247" applyNumberFormat="0" applyAlignment="0" applyProtection="0"/>
    <xf numFmtId="0" fontId="73" fillId="22" borderId="247" applyNumberFormat="0" applyAlignment="0" applyProtection="0"/>
    <xf numFmtId="0" fontId="73" fillId="22" borderId="247" applyNumberFormat="0" applyAlignment="0" applyProtection="0"/>
    <xf numFmtId="0" fontId="73" fillId="22" borderId="247" applyNumberFormat="0" applyAlignment="0" applyProtection="0"/>
    <xf numFmtId="0" fontId="73" fillId="22" borderId="247" applyNumberFormat="0" applyAlignment="0" applyProtection="0"/>
    <xf numFmtId="0" fontId="73" fillId="22" borderId="247" applyNumberFormat="0" applyAlignment="0" applyProtection="0"/>
  </cellStyleXfs>
  <cellXfs count="1973">
    <xf numFmtId="0" fontId="0" fillId="0" borderId="0" xfId="0"/>
    <xf numFmtId="0" fontId="4" fillId="0" borderId="0" xfId="0" applyFont="1"/>
    <xf numFmtId="0" fontId="5" fillId="0" borderId="7" xfId="0" applyFont="1" applyBorder="1" applyAlignment="1">
      <alignment horizontal="right" vertical="center" wrapText="1"/>
    </xf>
    <xf numFmtId="165" fontId="7" fillId="2" borderId="12" xfId="0" quotePrefix="1" applyNumberFormat="1" applyFont="1" applyFill="1" applyBorder="1" applyAlignment="1">
      <alignment horizontal="center" vertical="center" wrapText="1"/>
    </xf>
    <xf numFmtId="0" fontId="2" fillId="0" borderId="0" xfId="0" applyFont="1"/>
    <xf numFmtId="0" fontId="2" fillId="0" borderId="19" xfId="0" applyFont="1" applyBorder="1" applyAlignment="1">
      <alignment horizontal="right"/>
    </xf>
    <xf numFmtId="0" fontId="14" fillId="0" borderId="0" xfId="0" applyFont="1"/>
    <xf numFmtId="0" fontId="2" fillId="0" borderId="31" xfId="0" applyFont="1" applyBorder="1" applyAlignment="1">
      <alignment horizontal="right" vertical="top"/>
    </xf>
    <xf numFmtId="0" fontId="2" fillId="0" borderId="5" xfId="0" applyFont="1" applyBorder="1" applyAlignment="1">
      <alignment horizontal="right" vertical="top"/>
    </xf>
    <xf numFmtId="0" fontId="2" fillId="0" borderId="0" xfId="0" applyFont="1" applyAlignment="1">
      <alignment wrapText="1"/>
    </xf>
    <xf numFmtId="0" fontId="2" fillId="0" borderId="7" xfId="0" applyFont="1" applyBorder="1" applyAlignment="1">
      <alignment wrapText="1"/>
    </xf>
    <xf numFmtId="0" fontId="3" fillId="0" borderId="7" xfId="0" applyFont="1" applyBorder="1" applyAlignment="1">
      <alignment horizontal="right" vertical="center" wrapText="1"/>
    </xf>
    <xf numFmtId="0" fontId="18" fillId="0" borderId="0" xfId="0" applyFont="1"/>
    <xf numFmtId="1" fontId="0" fillId="0" borderId="0" xfId="0" applyNumberFormat="1"/>
    <xf numFmtId="0" fontId="19" fillId="0" borderId="0" xfId="0" applyFont="1"/>
    <xf numFmtId="0" fontId="2" fillId="0" borderId="26" xfId="0" applyFont="1" applyBorder="1" applyAlignment="1">
      <alignment horizontal="left" vertical="top" wrapText="1" indent="1"/>
    </xf>
    <xf numFmtId="0" fontId="2" fillId="0" borderId="42" xfId="0" applyFont="1" applyBorder="1" applyAlignment="1">
      <alignment horizontal="right" indent="1"/>
    </xf>
    <xf numFmtId="0" fontId="7" fillId="0" borderId="41" xfId="0" applyFont="1" applyBorder="1"/>
    <xf numFmtId="0" fontId="7" fillId="0" borderId="63" xfId="0" applyFont="1" applyBorder="1" applyAlignment="1">
      <alignment horizontal="center" vertical="top" wrapText="1"/>
    </xf>
    <xf numFmtId="0" fontId="2" fillId="0" borderId="18" xfId="0" applyFont="1" applyBorder="1" applyAlignment="1">
      <alignment horizontal="right"/>
    </xf>
    <xf numFmtId="0" fontId="5" fillId="0" borderId="0" xfId="0" applyFont="1"/>
    <xf numFmtId="0" fontId="2" fillId="0" borderId="42" xfId="0" applyFont="1" applyBorder="1" applyAlignment="1">
      <alignment horizontal="right" vertical="center" indent="1"/>
    </xf>
    <xf numFmtId="0" fontId="2" fillId="0" borderId="18" xfId="0" applyFont="1" applyBorder="1" applyAlignment="1">
      <alignment horizontal="right" vertical="center"/>
    </xf>
    <xf numFmtId="0" fontId="4" fillId="0" borderId="7" xfId="0" applyFont="1" applyBorder="1"/>
    <xf numFmtId="0" fontId="7" fillId="0" borderId="61" xfId="0" applyFont="1" applyBorder="1" applyAlignment="1">
      <alignment horizontal="center"/>
    </xf>
    <xf numFmtId="0" fontId="13" fillId="0" borderId="44" xfId="0" applyFont="1" applyBorder="1" applyAlignment="1">
      <alignment horizontal="center"/>
    </xf>
    <xf numFmtId="0" fontId="13" fillId="0" borderId="18" xfId="0" applyFont="1" applyBorder="1" applyAlignment="1">
      <alignment horizontal="center"/>
    </xf>
    <xf numFmtId="0" fontId="13" fillId="0" borderId="59" xfId="0" applyFont="1" applyBorder="1" applyAlignment="1">
      <alignment horizontal="center"/>
    </xf>
    <xf numFmtId="1" fontId="2" fillId="0" borderId="12" xfId="0" applyNumberFormat="1" applyFont="1" applyBorder="1" applyAlignment="1">
      <alignment horizontal="center" vertical="center" wrapText="1"/>
    </xf>
    <xf numFmtId="10" fontId="2" fillId="0" borderId="12" xfId="0" applyNumberFormat="1" applyFont="1" applyBorder="1" applyAlignment="1">
      <alignment horizontal="center" vertical="center" wrapText="1"/>
    </xf>
    <xf numFmtId="0" fontId="7" fillId="0" borderId="14" xfId="0" applyFont="1" applyBorder="1" applyAlignment="1">
      <alignment horizontal="center" vertical="center" wrapText="1"/>
    </xf>
    <xf numFmtId="0" fontId="26" fillId="0" borderId="0" xfId="0" applyFont="1" applyAlignment="1">
      <alignment wrapText="1"/>
    </xf>
    <xf numFmtId="0" fontId="30" fillId="0" borderId="0" xfId="0" applyFont="1"/>
    <xf numFmtId="0" fontId="2" fillId="0" borderId="5" xfId="0" applyFont="1" applyBorder="1" applyAlignment="1">
      <alignment horizontal="right" wrapText="1"/>
    </xf>
    <xf numFmtId="0" fontId="13" fillId="0" borderId="42" xfId="0" applyFont="1" applyBorder="1" applyAlignment="1">
      <alignment horizontal="center"/>
    </xf>
    <xf numFmtId="0" fontId="7" fillId="0" borderId="55" xfId="0" applyFont="1" applyBorder="1" applyAlignment="1">
      <alignment horizontal="right"/>
    </xf>
    <xf numFmtId="0" fontId="2" fillId="0" borderId="1" xfId="0" applyFont="1" applyBorder="1" applyAlignment="1">
      <alignment wrapText="1"/>
    </xf>
    <xf numFmtId="0" fontId="2" fillId="0" borderId="2" xfId="0" applyFont="1" applyBorder="1" applyAlignment="1">
      <alignment wrapText="1"/>
    </xf>
    <xf numFmtId="0" fontId="2" fillId="0" borderId="62" xfId="0" applyFont="1" applyBorder="1" applyAlignment="1">
      <alignment horizontal="center"/>
    </xf>
    <xf numFmtId="0" fontId="2" fillId="0" borderId="42" xfId="0" applyFont="1" applyBorder="1" applyAlignment="1">
      <alignment horizontal="center"/>
    </xf>
    <xf numFmtId="44" fontId="0" fillId="0" borderId="0" xfId="0" applyNumberFormat="1"/>
    <xf numFmtId="0" fontId="0" fillId="0" borderId="7" xfId="0" applyBorder="1"/>
    <xf numFmtId="0" fontId="0" fillId="0" borderId="0" xfId="0" applyAlignment="1">
      <alignment horizontal="center"/>
    </xf>
    <xf numFmtId="0" fontId="7" fillId="0" borderId="18" xfId="0" applyFont="1" applyBorder="1" applyAlignment="1">
      <alignment horizontal="right" vertical="top" wrapText="1" indent="1"/>
    </xf>
    <xf numFmtId="0" fontId="7" fillId="0" borderId="25" xfId="0" applyFont="1" applyBorder="1" applyAlignment="1">
      <alignment horizontal="right" vertical="top" wrapText="1" indent="1"/>
    </xf>
    <xf numFmtId="0" fontId="7" fillId="0" borderId="24" xfId="0" applyFont="1" applyBorder="1" applyAlignment="1">
      <alignment horizontal="right" vertical="top" wrapText="1" indent="1"/>
    </xf>
    <xf numFmtId="0" fontId="7" fillId="0" borderId="49" xfId="0" applyFont="1" applyBorder="1" applyAlignment="1">
      <alignment horizontal="right" vertical="top" wrapText="1" indent="1"/>
    </xf>
    <xf numFmtId="0" fontId="7" fillId="0" borderId="42" xfId="0" applyFont="1" applyBorder="1" applyAlignment="1">
      <alignment horizontal="right" vertical="top" wrapText="1" indent="1"/>
    </xf>
    <xf numFmtId="0" fontId="5" fillId="0" borderId="7" xfId="0" applyFont="1" applyBorder="1" applyAlignment="1">
      <alignment vertical="top" wrapText="1"/>
    </xf>
    <xf numFmtId="0" fontId="2" fillId="0" borderId="0" xfId="0" applyFont="1" applyAlignment="1">
      <alignment vertical="top" wrapText="1"/>
    </xf>
    <xf numFmtId="0" fontId="7" fillId="0" borderId="0" xfId="0" applyFont="1" applyAlignment="1">
      <alignment vertical="top" wrapText="1"/>
    </xf>
    <xf numFmtId="0" fontId="7" fillId="0" borderId="68" xfId="0" applyFont="1" applyBorder="1" applyAlignment="1">
      <alignment horizontal="left" vertical="top" wrapText="1"/>
    </xf>
    <xf numFmtId="0" fontId="7" fillId="0" borderId="34" xfId="0" applyFont="1" applyBorder="1" applyAlignment="1">
      <alignment horizontal="left" vertical="top" wrapText="1"/>
    </xf>
    <xf numFmtId="0" fontId="7" fillId="0" borderId="0" xfId="0" applyFont="1" applyAlignment="1">
      <alignment horizontal="center" vertical="top" wrapText="1"/>
    </xf>
    <xf numFmtId="0" fontId="7" fillId="0" borderId="0" xfId="0" applyFont="1" applyAlignment="1">
      <alignment vertical="center" wrapText="1"/>
    </xf>
    <xf numFmtId="0" fontId="0" fillId="0" borderId="0" xfId="0" applyAlignment="1">
      <alignment vertical="center"/>
    </xf>
    <xf numFmtId="0" fontId="5" fillId="0" borderId="0" xfId="0" applyFont="1" applyAlignment="1">
      <alignment vertical="top" wrapText="1"/>
    </xf>
    <xf numFmtId="0" fontId="7" fillId="0" borderId="7" xfId="0" applyFont="1" applyBorder="1" applyAlignment="1">
      <alignment vertical="center" wrapText="1"/>
    </xf>
    <xf numFmtId="0" fontId="2" fillId="0" borderId="7" xfId="0" applyFont="1" applyBorder="1"/>
    <xf numFmtId="167" fontId="2" fillId="0" borderId="83" xfId="0" applyNumberFormat="1" applyFont="1" applyBorder="1" applyAlignment="1">
      <alignment horizontal="center" vertical="center" wrapText="1"/>
    </xf>
    <xf numFmtId="167" fontId="2" fillId="0" borderId="87" xfId="0" applyNumberFormat="1" applyFont="1" applyBorder="1" applyAlignment="1">
      <alignment horizontal="center" vertical="center" wrapText="1"/>
    </xf>
    <xf numFmtId="44" fontId="5" fillId="0" borderId="54" xfId="0" applyNumberFormat="1" applyFont="1" applyBorder="1" applyAlignment="1">
      <alignment vertical="top" wrapText="1"/>
    </xf>
    <xf numFmtId="0" fontId="0" fillId="0" borderId="0" xfId="0" applyAlignment="1">
      <alignment wrapText="1"/>
    </xf>
    <xf numFmtId="0" fontId="33" fillId="0" borderId="0" xfId="0" applyFont="1"/>
    <xf numFmtId="7" fontId="37" fillId="0" borderId="106" xfId="0" applyNumberFormat="1" applyFont="1" applyBorder="1" applyAlignment="1">
      <alignment vertical="center" wrapText="1"/>
    </xf>
    <xf numFmtId="0" fontId="39" fillId="0" borderId="95" xfId="0" applyFont="1" applyBorder="1" applyAlignment="1">
      <alignment horizontal="center" vertical="top"/>
    </xf>
    <xf numFmtId="0" fontId="39" fillId="0" borderId="95" xfId="0" applyFont="1" applyBorder="1" applyAlignment="1">
      <alignment horizontal="center" vertical="top" wrapText="1"/>
    </xf>
    <xf numFmtId="0" fontId="39" fillId="0" borderId="96" xfId="0" applyFont="1" applyBorder="1" applyAlignment="1">
      <alignment horizontal="center" vertical="top" wrapText="1"/>
    </xf>
    <xf numFmtId="0" fontId="39" fillId="0" borderId="93" xfId="0" applyFont="1" applyBorder="1" applyAlignment="1">
      <alignment horizontal="center" vertical="top" wrapText="1"/>
    </xf>
    <xf numFmtId="0" fontId="39" fillId="0" borderId="24" xfId="0" applyFont="1" applyBorder="1" applyAlignment="1">
      <alignment horizontal="center" vertical="top" wrapText="1"/>
    </xf>
    <xf numFmtId="0" fontId="39" fillId="0" borderId="17" xfId="0" applyFont="1" applyBorder="1" applyAlignment="1">
      <alignment horizontal="center" vertical="top" wrapText="1"/>
    </xf>
    <xf numFmtId="0" fontId="39" fillId="0" borderId="97" xfId="0" applyFont="1" applyBorder="1" applyAlignment="1">
      <alignment horizontal="center" vertical="top" wrapText="1"/>
    </xf>
    <xf numFmtId="0" fontId="39" fillId="0" borderId="94" xfId="0" applyFont="1" applyBorder="1" applyAlignment="1">
      <alignment horizontal="center" vertical="top" wrapText="1"/>
    </xf>
    <xf numFmtId="0" fontId="39" fillId="0" borderId="98" xfId="0" applyFont="1" applyBorder="1" applyAlignment="1">
      <alignment horizontal="center" vertical="top"/>
    </xf>
    <xf numFmtId="0" fontId="39" fillId="0" borderId="93" xfId="0" applyFont="1" applyBorder="1" applyAlignment="1">
      <alignment horizontal="center" vertical="top"/>
    </xf>
    <xf numFmtId="0" fontId="37" fillId="0" borderId="0" xfId="0" applyFont="1"/>
    <xf numFmtId="7" fontId="37" fillId="0" borderId="114" xfId="0" applyNumberFormat="1" applyFont="1" applyBorder="1" applyAlignment="1">
      <alignment horizontal="right" vertical="center" wrapText="1"/>
    </xf>
    <xf numFmtId="7" fontId="37" fillId="0" borderId="102" xfId="0" applyNumberFormat="1" applyFont="1" applyBorder="1" applyAlignment="1">
      <alignment vertical="center" wrapText="1"/>
    </xf>
    <xf numFmtId="7" fontId="37" fillId="0" borderId="113" xfId="0" applyNumberFormat="1" applyFont="1" applyBorder="1" applyAlignment="1">
      <alignment vertical="center" wrapText="1"/>
    </xf>
    <xf numFmtId="7" fontId="37" fillId="0" borderId="113" xfId="0" applyNumberFormat="1" applyFont="1" applyBorder="1" applyAlignment="1">
      <alignment horizontal="right" vertical="center"/>
    </xf>
    <xf numFmtId="0" fontId="38" fillId="0" borderId="0" xfId="0" applyFont="1" applyAlignment="1">
      <alignment horizontal="center" vertical="center"/>
    </xf>
    <xf numFmtId="0" fontId="39" fillId="0" borderId="0" xfId="0" applyFont="1" applyAlignment="1">
      <alignment horizontal="center" vertical="top"/>
    </xf>
    <xf numFmtId="0" fontId="37" fillId="0" borderId="0" xfId="0" applyFont="1" applyAlignment="1">
      <alignment horizontal="center"/>
    </xf>
    <xf numFmtId="0" fontId="38" fillId="0" borderId="0" xfId="0" applyFont="1" applyAlignment="1">
      <alignment horizontal="center" vertical="top"/>
    </xf>
    <xf numFmtId="0" fontId="35" fillId="0" borderId="0" xfId="0" applyFont="1" applyAlignment="1">
      <alignment horizontal="center" vertical="top" wrapText="1"/>
    </xf>
    <xf numFmtId="7" fontId="37" fillId="0" borderId="0" xfId="0" applyNumberFormat="1" applyFont="1" applyAlignment="1">
      <alignment vertical="center"/>
    </xf>
    <xf numFmtId="0" fontId="37" fillId="0" borderId="0" xfId="0" applyFont="1" applyAlignment="1">
      <alignment vertical="center"/>
    </xf>
    <xf numFmtId="0" fontId="43" fillId="0" borderId="0" xfId="0" applyFont="1"/>
    <xf numFmtId="0" fontId="32" fillId="0" borderId="0" xfId="0" applyFont="1"/>
    <xf numFmtId="7" fontId="37" fillId="0" borderId="105" xfId="0" applyNumberFormat="1" applyFont="1" applyBorder="1" applyAlignment="1">
      <alignment horizontal="right" vertical="center" wrapText="1"/>
    </xf>
    <xf numFmtId="39" fontId="37" fillId="0" borderId="107" xfId="0" applyNumberFormat="1" applyFont="1" applyBorder="1" applyAlignment="1">
      <alignment horizontal="center" vertical="center" wrapText="1"/>
    </xf>
    <xf numFmtId="0" fontId="35" fillId="0" borderId="0" xfId="0" applyFont="1"/>
    <xf numFmtId="0" fontId="37" fillId="0" borderId="0" xfId="0" applyFont="1" applyAlignment="1">
      <alignment horizontal="center" wrapText="1"/>
    </xf>
    <xf numFmtId="0" fontId="37" fillId="0" borderId="0" xfId="0" applyFont="1" applyAlignment="1">
      <alignment horizontal="center" vertical="center"/>
    </xf>
    <xf numFmtId="0" fontId="37" fillId="0" borderId="21" xfId="0" applyFont="1" applyBorder="1"/>
    <xf numFmtId="0" fontId="0" fillId="0" borderId="0" xfId="0" applyAlignment="1">
      <alignment vertical="top" wrapText="1"/>
    </xf>
    <xf numFmtId="0" fontId="2" fillId="0" borderId="4" xfId="0" applyFont="1" applyBorder="1" applyAlignment="1">
      <alignment wrapText="1"/>
    </xf>
    <xf numFmtId="0" fontId="2" fillId="0" borderId="5" xfId="0" applyFont="1" applyBorder="1" applyAlignment="1">
      <alignment wrapText="1"/>
    </xf>
    <xf numFmtId="0" fontId="7" fillId="0" borderId="66" xfId="0" applyFont="1" applyBorder="1" applyAlignment="1">
      <alignment horizontal="center"/>
    </xf>
    <xf numFmtId="0" fontId="7" fillId="0" borderId="64" xfId="0" applyFont="1" applyBorder="1" applyAlignment="1">
      <alignment horizontal="center"/>
    </xf>
    <xf numFmtId="0" fontId="7" fillId="0" borderId="65" xfId="0" applyFont="1" applyBorder="1" applyAlignment="1">
      <alignment horizontal="left"/>
    </xf>
    <xf numFmtId="0" fontId="53" fillId="0" borderId="0" xfId="0" applyFont="1"/>
    <xf numFmtId="0" fontId="7" fillId="0" borderId="13" xfId="0" applyFont="1" applyBorder="1" applyAlignment="1">
      <alignment horizontal="center" vertical="center" wrapText="1"/>
    </xf>
    <xf numFmtId="0" fontId="7" fillId="0" borderId="12" xfId="0" applyFont="1" applyBorder="1" applyAlignment="1">
      <alignment horizontal="center" vertical="center" wrapText="1"/>
    </xf>
    <xf numFmtId="164" fontId="0" fillId="0" borderId="24" xfId="0" applyNumberFormat="1" applyBorder="1" applyAlignment="1">
      <alignment wrapText="1"/>
    </xf>
    <xf numFmtId="1" fontId="2" fillId="0" borderId="29" xfId="0" applyNumberFormat="1" applyFont="1" applyBorder="1" applyAlignment="1">
      <alignment horizontal="center" vertical="center" wrapText="1"/>
    </xf>
    <xf numFmtId="0" fontId="7" fillId="0" borderId="12" xfId="0" applyFont="1" applyBorder="1" applyAlignment="1">
      <alignment horizontal="center" vertical="top" wrapText="1"/>
    </xf>
    <xf numFmtId="0" fontId="2" fillId="0" borderId="41" xfId="0" applyFont="1" applyBorder="1" applyAlignment="1">
      <alignment horizontal="right" indent="1"/>
    </xf>
    <xf numFmtId="0" fontId="3" fillId="0" borderId="1" xfId="0" applyFont="1" applyBorder="1" applyAlignment="1">
      <alignment horizontal="center" vertical="top" wrapText="1"/>
    </xf>
    <xf numFmtId="0" fontId="3" fillId="0" borderId="9" xfId="0" applyFont="1" applyBorder="1" applyAlignment="1">
      <alignment horizontal="center" vertical="top" wrapText="1"/>
    </xf>
    <xf numFmtId="44" fontId="5" fillId="0" borderId="54" xfId="0" applyNumberFormat="1" applyFont="1" applyBorder="1" applyAlignment="1">
      <alignment horizontal="center" vertical="top" wrapText="1"/>
    </xf>
    <xf numFmtId="44" fontId="5" fillId="0" borderId="15" xfId="0" applyNumberFormat="1" applyFont="1" applyBorder="1" applyAlignment="1">
      <alignment horizontal="center" vertical="center" wrapText="1"/>
    </xf>
    <xf numFmtId="0" fontId="2" fillId="0" borderId="53" xfId="0" applyFont="1" applyBorder="1" applyAlignment="1">
      <alignment horizontal="right" vertical="center" indent="1"/>
    </xf>
    <xf numFmtId="1" fontId="2" fillId="0" borderId="6" xfId="0" applyNumberFormat="1" applyFont="1" applyBorder="1" applyAlignment="1">
      <alignment horizontal="center" vertical="center" wrapText="1"/>
    </xf>
    <xf numFmtId="0" fontId="35" fillId="0" borderId="19" xfId="0" applyFont="1" applyBorder="1" applyAlignment="1">
      <alignment horizontal="left" vertical="top"/>
    </xf>
    <xf numFmtId="0" fontId="35" fillId="0" borderId="21" xfId="0" applyFont="1" applyBorder="1" applyAlignment="1">
      <alignment horizontal="left" vertical="top"/>
    </xf>
    <xf numFmtId="0" fontId="35" fillId="0" borderId="21" xfId="0" applyFont="1" applyBorder="1" applyAlignment="1">
      <alignment vertical="top"/>
    </xf>
    <xf numFmtId="0" fontId="35" fillId="0" borderId="90" xfId="0" applyFont="1" applyBorder="1" applyAlignment="1">
      <alignment vertical="top"/>
    </xf>
    <xf numFmtId="0" fontId="35" fillId="0" borderId="74" xfId="0" applyFont="1" applyBorder="1" applyAlignment="1">
      <alignment vertical="top"/>
    </xf>
    <xf numFmtId="0" fontId="47" fillId="0" borderId="116" xfId="0" applyFont="1" applyBorder="1" applyAlignment="1">
      <alignment horizontal="center" vertical="top" wrapText="1"/>
    </xf>
    <xf numFmtId="0" fontId="35" fillId="0" borderId="120" xfId="0" applyFont="1" applyBorder="1" applyAlignment="1">
      <alignment vertical="top"/>
    </xf>
    <xf numFmtId="0" fontId="37" fillId="0" borderId="122" xfId="0" applyFont="1" applyBorder="1" applyAlignment="1">
      <alignment wrapText="1"/>
    </xf>
    <xf numFmtId="0" fontId="48" fillId="0" borderId="75" xfId="0" applyFont="1" applyBorder="1" applyAlignment="1">
      <alignment wrapText="1"/>
    </xf>
    <xf numFmtId="0" fontId="37" fillId="0" borderId="109" xfId="0" applyFont="1" applyBorder="1" applyAlignment="1">
      <alignment horizontal="center" wrapText="1"/>
    </xf>
    <xf numFmtId="0" fontId="37" fillId="0" borderId="116" xfId="0" applyFont="1" applyBorder="1" applyAlignment="1">
      <alignment horizontal="center" wrapText="1"/>
    </xf>
    <xf numFmtId="0" fontId="48" fillId="0" borderId="120" xfId="0" applyFont="1" applyBorder="1" applyAlignment="1">
      <alignment wrapText="1"/>
    </xf>
    <xf numFmtId="0" fontId="37" fillId="0" borderId="118" xfId="0" applyFont="1" applyBorder="1" applyAlignment="1">
      <alignment horizontal="center" wrapText="1"/>
    </xf>
    <xf numFmtId="0" fontId="37" fillId="0" borderId="103" xfId="0" applyFont="1" applyBorder="1" applyAlignment="1">
      <alignment horizontal="center" wrapText="1"/>
    </xf>
    <xf numFmtId="0" fontId="47" fillId="0" borderId="21" xfId="0" applyFont="1" applyBorder="1" applyAlignment="1">
      <alignment vertical="top"/>
    </xf>
    <xf numFmtId="0" fontId="35" fillId="0" borderId="21" xfId="0" applyFont="1" applyBorder="1"/>
    <xf numFmtId="0" fontId="35" fillId="0" borderId="119" xfId="0" applyFont="1" applyBorder="1" applyAlignment="1">
      <alignment vertical="top"/>
    </xf>
    <xf numFmtId="0" fontId="35" fillId="0" borderId="115" xfId="0" applyFont="1" applyBorder="1" applyAlignment="1">
      <alignment vertical="top"/>
    </xf>
    <xf numFmtId="0" fontId="47" fillId="0" borderId="109" xfId="0" applyFont="1" applyBorder="1" applyAlignment="1">
      <alignment horizontal="center" vertical="top" wrapText="1"/>
    </xf>
    <xf numFmtId="7" fontId="37" fillId="0" borderId="109" xfId="0" applyNumberFormat="1" applyFont="1" applyBorder="1" applyAlignment="1">
      <alignment horizontal="right" vertical="center" wrapText="1"/>
    </xf>
    <xf numFmtId="7" fontId="37" fillId="0" borderId="109" xfId="0" applyNumberFormat="1" applyFont="1" applyBorder="1" applyAlignment="1">
      <alignment vertical="center" wrapText="1"/>
    </xf>
    <xf numFmtId="0" fontId="39" fillId="0" borderId="99" xfId="0" applyFont="1" applyBorder="1" applyAlignment="1">
      <alignment horizontal="center" vertical="top"/>
    </xf>
    <xf numFmtId="7" fontId="37" fillId="0" borderId="109" xfId="0" applyNumberFormat="1" applyFont="1" applyBorder="1" applyAlignment="1">
      <alignment vertical="center"/>
    </xf>
    <xf numFmtId="7" fontId="37" fillId="0" borderId="109" xfId="0" applyNumberFormat="1" applyFont="1" applyBorder="1" applyAlignment="1">
      <alignment horizontal="right" vertical="center"/>
    </xf>
    <xf numFmtId="0" fontId="35" fillId="0" borderId="19" xfId="0" applyFont="1" applyBorder="1" applyAlignment="1">
      <alignment vertical="top"/>
    </xf>
    <xf numFmtId="7" fontId="37" fillId="0" borderId="108" xfId="0" applyNumberFormat="1" applyFont="1" applyBorder="1" applyAlignment="1">
      <alignment horizontal="right" vertical="center" wrapText="1"/>
    </xf>
    <xf numFmtId="0" fontId="13" fillId="0" borderId="15" xfId="0" applyFont="1" applyBorder="1" applyAlignment="1">
      <alignment horizontal="center" vertical="top" wrapText="1"/>
    </xf>
    <xf numFmtId="0" fontId="13" fillId="0" borderId="8" xfId="0" applyFont="1" applyBorder="1" applyAlignment="1">
      <alignment horizontal="center" vertical="top" wrapText="1"/>
    </xf>
    <xf numFmtId="0" fontId="13" fillId="0" borderId="6" xfId="0" applyFont="1" applyBorder="1" applyAlignment="1">
      <alignment horizontal="center" vertical="top" wrapText="1"/>
    </xf>
    <xf numFmtId="0" fontId="8" fillId="0" borderId="44" xfId="0" applyFont="1" applyBorder="1" applyAlignment="1">
      <alignment horizontal="center" wrapText="1"/>
    </xf>
    <xf numFmtId="0" fontId="8" fillId="0" borderId="42" xfId="0" applyFont="1" applyBorder="1" applyAlignment="1">
      <alignment horizontal="center" wrapText="1"/>
    </xf>
    <xf numFmtId="0" fontId="8" fillId="0" borderId="47" xfId="0" applyFont="1" applyBorder="1" applyAlignment="1">
      <alignment horizontal="center" wrapText="1"/>
    </xf>
    <xf numFmtId="165" fontId="2" fillId="0" borderId="7" xfId="0" applyNumberFormat="1" applyFont="1" applyBorder="1" applyAlignment="1">
      <alignment horizontal="center" vertical="center" wrapText="1"/>
    </xf>
    <xf numFmtId="0" fontId="77" fillId="0" borderId="0" xfId="0" applyFont="1" applyProtection="1">
      <protection hidden="1"/>
    </xf>
    <xf numFmtId="0" fontId="78" fillId="0" borderId="0" xfId="0" applyFont="1" applyProtection="1">
      <protection hidden="1"/>
    </xf>
    <xf numFmtId="0" fontId="23" fillId="0" borderId="7" xfId="0" applyFont="1" applyBorder="1" applyAlignment="1" applyProtection="1">
      <alignment vertical="top" wrapText="1"/>
      <protection hidden="1"/>
    </xf>
    <xf numFmtId="0" fontId="23" fillId="0" borderId="0" xfId="0" applyFont="1" applyAlignment="1" applyProtection="1">
      <alignment vertical="top" wrapText="1"/>
      <protection hidden="1"/>
    </xf>
    <xf numFmtId="49" fontId="0" fillId="0" borderId="0" xfId="0" applyNumberFormat="1"/>
    <xf numFmtId="1" fontId="0" fillId="0" borderId="24" xfId="0" applyNumberFormat="1" applyBorder="1" applyAlignment="1">
      <alignment wrapText="1"/>
    </xf>
    <xf numFmtId="0" fontId="0" fillId="0" borderId="19" xfId="0" applyBorder="1" applyAlignment="1">
      <alignment wrapText="1"/>
    </xf>
    <xf numFmtId="0" fontId="0" fillId="0" borderId="21" xfId="0" applyBorder="1"/>
    <xf numFmtId="2" fontId="0" fillId="0" borderId="0" xfId="0" applyNumberFormat="1"/>
    <xf numFmtId="49" fontId="0" fillId="0" borderId="23" xfId="0" applyNumberFormat="1" applyBorder="1"/>
    <xf numFmtId="164" fontId="0" fillId="0" borderId="0" xfId="0" applyNumberFormat="1"/>
    <xf numFmtId="164" fontId="0" fillId="0" borderId="22" xfId="0" applyNumberFormat="1" applyBorder="1"/>
    <xf numFmtId="164" fontId="0" fillId="0" borderId="25" xfId="0" applyNumberFormat="1" applyBorder="1"/>
    <xf numFmtId="0" fontId="0" fillId="0" borderId="24" xfId="0" applyBorder="1" applyAlignment="1">
      <alignment wrapText="1"/>
    </xf>
    <xf numFmtId="49" fontId="0" fillId="0" borderId="24" xfId="0" applyNumberFormat="1" applyBorder="1" applyAlignment="1">
      <alignment wrapText="1"/>
    </xf>
    <xf numFmtId="2" fontId="0" fillId="0" borderId="24" xfId="0" applyNumberFormat="1" applyBorder="1" applyAlignment="1">
      <alignment wrapText="1"/>
    </xf>
    <xf numFmtId="2" fontId="0" fillId="0" borderId="0" xfId="0" applyNumberFormat="1" applyAlignment="1">
      <alignment wrapText="1"/>
    </xf>
    <xf numFmtId="2" fontId="0" fillId="0" borderId="22" xfId="0" applyNumberFormat="1" applyBorder="1" applyAlignment="1">
      <alignment wrapText="1"/>
    </xf>
    <xf numFmtId="164" fontId="0" fillId="0" borderId="0" xfId="0" applyNumberFormat="1" applyAlignment="1">
      <alignment wrapText="1"/>
    </xf>
    <xf numFmtId="164" fontId="0" fillId="0" borderId="21" xfId="0" applyNumberFormat="1" applyBorder="1" applyAlignment="1">
      <alignment wrapText="1"/>
    </xf>
    <xf numFmtId="2" fontId="0" fillId="0" borderId="25" xfId="0" applyNumberFormat="1" applyBorder="1" applyAlignment="1">
      <alignment wrapText="1"/>
    </xf>
    <xf numFmtId="164" fontId="0" fillId="0" borderId="23" xfId="0" applyNumberFormat="1" applyBorder="1" applyAlignment="1">
      <alignment wrapText="1"/>
    </xf>
    <xf numFmtId="0" fontId="0" fillId="0" borderId="31" xfId="0" applyBorder="1"/>
    <xf numFmtId="0" fontId="0" fillId="0" borderId="20" xfId="0" applyBorder="1"/>
    <xf numFmtId="49" fontId="0" fillId="0" borderId="24" xfId="0" applyNumberFormat="1" applyBorder="1"/>
    <xf numFmtId="1" fontId="0" fillId="0" borderId="24" xfId="0" applyNumberFormat="1" applyBorder="1"/>
    <xf numFmtId="169" fontId="0" fillId="0" borderId="24" xfId="0" applyNumberFormat="1" applyBorder="1"/>
    <xf numFmtId="2" fontId="0" fillId="0" borderId="24" xfId="0" applyNumberFormat="1" applyBorder="1"/>
    <xf numFmtId="1" fontId="0" fillId="0" borderId="25" xfId="0" applyNumberFormat="1" applyBorder="1"/>
    <xf numFmtId="1" fontId="0" fillId="0" borderId="21" xfId="0" applyNumberFormat="1" applyBorder="1"/>
    <xf numFmtId="0" fontId="0" fillId="0" borderId="22" xfId="0" applyBorder="1"/>
    <xf numFmtId="1" fontId="0" fillId="0" borderId="23" xfId="0" applyNumberFormat="1" applyBorder="1"/>
    <xf numFmtId="10" fontId="0" fillId="0" borderId="21" xfId="0" applyNumberFormat="1" applyBorder="1"/>
    <xf numFmtId="10" fontId="0" fillId="0" borderId="0" xfId="0" applyNumberFormat="1"/>
    <xf numFmtId="10" fontId="0" fillId="0" borderId="19" xfId="0" applyNumberFormat="1" applyBorder="1" applyAlignment="1">
      <alignment wrapText="1"/>
    </xf>
    <xf numFmtId="10" fontId="0" fillId="0" borderId="31" xfId="0" applyNumberFormat="1" applyBorder="1" applyAlignment="1">
      <alignment wrapText="1"/>
    </xf>
    <xf numFmtId="10" fontId="0" fillId="0" borderId="20" xfId="0" applyNumberFormat="1" applyBorder="1" applyAlignment="1">
      <alignment wrapText="1"/>
    </xf>
    <xf numFmtId="1" fontId="0" fillId="0" borderId="21" xfId="0" applyNumberFormat="1" applyBorder="1" applyAlignment="1">
      <alignment wrapText="1"/>
    </xf>
    <xf numFmtId="2" fontId="0" fillId="0" borderId="22" xfId="0" applyNumberFormat="1" applyBorder="1"/>
    <xf numFmtId="2" fontId="0" fillId="0" borderId="25" xfId="0" applyNumberFormat="1" applyBorder="1"/>
    <xf numFmtId="10" fontId="0" fillId="0" borderId="22" xfId="0" applyNumberFormat="1" applyBorder="1"/>
    <xf numFmtId="165" fontId="0" fillId="0" borderId="0" xfId="0" applyNumberFormat="1"/>
    <xf numFmtId="4" fontId="0" fillId="0" borderId="0" xfId="0" applyNumberFormat="1"/>
    <xf numFmtId="10" fontId="0" fillId="0" borderId="0" xfId="0" applyNumberFormat="1" applyAlignment="1">
      <alignment wrapText="1"/>
    </xf>
    <xf numFmtId="10" fontId="0" fillId="0" borderId="22" xfId="0" applyNumberFormat="1" applyBorder="1" applyAlignment="1">
      <alignment wrapText="1"/>
    </xf>
    <xf numFmtId="165" fontId="0" fillId="0" borderId="0" xfId="0" applyNumberFormat="1" applyAlignment="1">
      <alignment wrapText="1"/>
    </xf>
    <xf numFmtId="4" fontId="0" fillId="0" borderId="0" xfId="0" applyNumberFormat="1" applyAlignment="1">
      <alignment wrapText="1"/>
    </xf>
    <xf numFmtId="164" fontId="0" fillId="0" borderId="24" xfId="0" applyNumberFormat="1" applyBorder="1"/>
    <xf numFmtId="165" fontId="0" fillId="0" borderId="21" xfId="0" applyNumberFormat="1" applyBorder="1"/>
    <xf numFmtId="168" fontId="0" fillId="0" borderId="0" xfId="0" applyNumberFormat="1"/>
    <xf numFmtId="2" fontId="0" fillId="0" borderId="23" xfId="0" applyNumberFormat="1" applyBorder="1"/>
    <xf numFmtId="165" fontId="0" fillId="0" borderId="23" xfId="0" applyNumberFormat="1" applyBorder="1"/>
    <xf numFmtId="165" fontId="0" fillId="0" borderId="24" xfId="0" applyNumberFormat="1" applyBorder="1"/>
    <xf numFmtId="168" fontId="0" fillId="0" borderId="24" xfId="0" applyNumberFormat="1" applyBorder="1"/>
    <xf numFmtId="0" fontId="0" fillId="0" borderId="24" xfId="0" applyBorder="1"/>
    <xf numFmtId="0" fontId="0" fillId="0" borderId="25" xfId="0" applyBorder="1"/>
    <xf numFmtId="169" fontId="0" fillId="0" borderId="23" xfId="0" applyNumberFormat="1" applyBorder="1"/>
    <xf numFmtId="169" fontId="0" fillId="0" borderId="25" xfId="0" applyNumberFormat="1" applyBorder="1"/>
    <xf numFmtId="0" fontId="0" fillId="0" borderId="31" xfId="0" applyBorder="1" applyAlignment="1">
      <alignment vertical="top" wrapText="1"/>
    </xf>
    <xf numFmtId="49" fontId="0" fillId="0" borderId="21" xfId="0" applyNumberFormat="1" applyBorder="1"/>
    <xf numFmtId="49" fontId="0" fillId="0" borderId="22" xfId="0" applyNumberFormat="1" applyBorder="1"/>
    <xf numFmtId="49" fontId="0" fillId="0" borderId="25" xfId="0" applyNumberFormat="1" applyBorder="1"/>
    <xf numFmtId="49" fontId="0" fillId="0" borderId="19" xfId="0" applyNumberFormat="1" applyBorder="1"/>
    <xf numFmtId="168" fontId="0" fillId="0" borderId="21" xfId="0" applyNumberFormat="1" applyBorder="1"/>
    <xf numFmtId="0" fontId="0" fillId="0" borderId="13" xfId="0" applyBorder="1"/>
    <xf numFmtId="0" fontId="0" fillId="0" borderId="14" xfId="0" applyBorder="1"/>
    <xf numFmtId="0" fontId="2" fillId="0" borderId="59" xfId="0" applyFont="1" applyBorder="1" applyAlignment="1">
      <alignment horizontal="left" wrapText="1"/>
    </xf>
    <xf numFmtId="0" fontId="2" fillId="0" borderId="7" xfId="0" applyFont="1" applyBorder="1" applyAlignment="1">
      <alignment horizontal="left" wrapText="1"/>
    </xf>
    <xf numFmtId="0" fontId="79" fillId="0" borderId="7" xfId="0" applyFont="1" applyBorder="1" applyAlignment="1" applyProtection="1">
      <alignment vertical="top" wrapText="1"/>
      <protection hidden="1"/>
    </xf>
    <xf numFmtId="44" fontId="5" fillId="26" borderId="47" xfId="0" applyNumberFormat="1" applyFont="1" applyFill="1" applyBorder="1" applyAlignment="1" applyProtection="1">
      <alignment vertical="top" wrapText="1"/>
      <protection locked="0"/>
    </xf>
    <xf numFmtId="44" fontId="5" fillId="26" borderId="47" xfId="0" applyNumberFormat="1" applyFont="1" applyFill="1" applyBorder="1" applyAlignment="1" applyProtection="1">
      <alignment horizontal="center" vertical="top" wrapText="1"/>
      <protection locked="0"/>
    </xf>
    <xf numFmtId="1" fontId="2" fillId="26" borderId="59" xfId="0" applyNumberFormat="1" applyFont="1" applyFill="1" applyBorder="1" applyAlignment="1" applyProtection="1">
      <alignment horizontal="right"/>
      <protection locked="0"/>
    </xf>
    <xf numFmtId="1" fontId="2" fillId="26" borderId="44" xfId="0" applyNumberFormat="1" applyFont="1" applyFill="1" applyBorder="1" applyAlignment="1" applyProtection="1">
      <alignment horizontal="right"/>
      <protection locked="0"/>
    </xf>
    <xf numFmtId="0" fontId="2" fillId="26" borderId="44" xfId="0" applyFont="1" applyFill="1" applyBorder="1" applyAlignment="1" applyProtection="1">
      <alignment horizontal="center"/>
      <protection locked="0"/>
    </xf>
    <xf numFmtId="0" fontId="2" fillId="26" borderId="60" xfId="0" applyFont="1" applyFill="1" applyBorder="1" applyAlignment="1" applyProtection="1">
      <alignment horizontal="center"/>
      <protection locked="0"/>
    </xf>
    <xf numFmtId="164" fontId="3" fillId="26" borderId="42" xfId="0" applyNumberFormat="1" applyFont="1" applyFill="1" applyBorder="1" applyAlignment="1" applyProtection="1">
      <alignment horizontal="left"/>
      <protection locked="0"/>
    </xf>
    <xf numFmtId="0" fontId="2" fillId="26" borderId="5" xfId="0" applyFont="1" applyFill="1" applyBorder="1" applyAlignment="1" applyProtection="1">
      <alignment horizontal="center" vertical="center" wrapText="1"/>
      <protection locked="0"/>
    </xf>
    <xf numFmtId="164" fontId="3" fillId="26" borderId="42" xfId="0" applyNumberFormat="1" applyFont="1" applyFill="1" applyBorder="1" applyAlignment="1" applyProtection="1">
      <alignment horizontal="center"/>
      <protection locked="0"/>
    </xf>
    <xf numFmtId="1" fontId="2" fillId="26" borderId="18" xfId="0" applyNumberFormat="1" applyFont="1" applyFill="1" applyBorder="1" applyAlignment="1" applyProtection="1">
      <alignment horizontal="right"/>
      <protection locked="0"/>
    </xf>
    <xf numFmtId="164" fontId="3" fillId="26" borderId="44" xfId="0" applyNumberFormat="1" applyFont="1" applyFill="1" applyBorder="1" applyAlignment="1" applyProtection="1">
      <alignment horizontal="center"/>
      <protection locked="0"/>
    </xf>
    <xf numFmtId="164" fontId="3" fillId="26" borderId="60" xfId="0" applyNumberFormat="1" applyFont="1" applyFill="1" applyBorder="1" applyAlignment="1" applyProtection="1">
      <alignment vertical="top" wrapText="1"/>
      <protection locked="0"/>
    </xf>
    <xf numFmtId="0" fontId="2" fillId="26" borderId="25" xfId="0" applyFont="1" applyFill="1" applyBorder="1" applyAlignment="1" applyProtection="1">
      <alignment horizontal="center" vertical="center" wrapText="1"/>
      <protection locked="0"/>
    </xf>
    <xf numFmtId="2" fontId="2" fillId="26" borderId="25" xfId="0" applyNumberFormat="1" applyFont="1" applyFill="1" applyBorder="1" applyAlignment="1" applyProtection="1">
      <alignment horizontal="right" vertical="center" wrapText="1"/>
      <protection locked="0"/>
    </xf>
    <xf numFmtId="2" fontId="2" fillId="26" borderId="62" xfId="0" applyNumberFormat="1" applyFont="1" applyFill="1" applyBorder="1" applyAlignment="1" applyProtection="1">
      <alignment horizontal="right" vertical="center" wrapText="1"/>
      <protection locked="0"/>
    </xf>
    <xf numFmtId="2" fontId="2" fillId="26" borderId="25" xfId="0" applyNumberFormat="1" applyFont="1" applyFill="1" applyBorder="1" applyAlignment="1" applyProtection="1">
      <alignment vertical="top" wrapText="1"/>
      <protection locked="0"/>
    </xf>
    <xf numFmtId="2" fontId="2" fillId="26" borderId="42" xfId="0" applyNumberFormat="1" applyFont="1" applyFill="1" applyBorder="1" applyAlignment="1" applyProtection="1">
      <alignment vertical="top" wrapText="1"/>
      <protection locked="0"/>
    </xf>
    <xf numFmtId="0" fontId="2" fillId="26" borderId="34" xfId="0" applyFont="1" applyFill="1" applyBorder="1" applyAlignment="1" applyProtection="1">
      <alignment horizontal="center" vertical="center" wrapText="1"/>
      <protection locked="0"/>
    </xf>
    <xf numFmtId="2" fontId="2" fillId="26" borderId="34" xfId="0" applyNumberFormat="1" applyFont="1" applyFill="1" applyBorder="1" applyAlignment="1" applyProtection="1">
      <alignment vertical="top" wrapText="1"/>
      <protection locked="0"/>
    </xf>
    <xf numFmtId="2" fontId="2" fillId="26" borderId="43" xfId="0" applyNumberFormat="1" applyFont="1" applyFill="1" applyBorder="1" applyAlignment="1" applyProtection="1">
      <alignment vertical="top" wrapText="1"/>
      <protection locked="0"/>
    </xf>
    <xf numFmtId="0" fontId="2" fillId="26" borderId="62" xfId="0" applyFont="1" applyFill="1" applyBorder="1" applyAlignment="1" applyProtection="1">
      <alignment horizontal="center" vertical="center" wrapText="1"/>
      <protection locked="0"/>
    </xf>
    <xf numFmtId="2" fontId="2" fillId="26" borderId="62" xfId="0" applyNumberFormat="1" applyFont="1" applyFill="1" applyBorder="1" applyAlignment="1" applyProtection="1">
      <alignment vertical="top" wrapText="1"/>
      <protection locked="0"/>
    </xf>
    <xf numFmtId="0" fontId="2" fillId="26" borderId="42" xfId="0" applyFont="1" applyFill="1" applyBorder="1" applyAlignment="1" applyProtection="1">
      <alignment horizontal="center" vertical="center" wrapText="1"/>
      <protection locked="0"/>
    </xf>
    <xf numFmtId="0" fontId="2" fillId="26" borderId="43" xfId="0" applyFont="1" applyFill="1" applyBorder="1" applyAlignment="1" applyProtection="1">
      <alignment horizontal="center" vertical="center" wrapText="1"/>
      <protection locked="0"/>
    </xf>
    <xf numFmtId="7" fontId="37" fillId="26" borderId="113" xfId="0" applyNumberFormat="1" applyFont="1" applyFill="1" applyBorder="1" applyAlignment="1" applyProtection="1">
      <alignment vertical="center"/>
      <protection locked="0"/>
    </xf>
    <xf numFmtId="0" fontId="40" fillId="26" borderId="109" xfId="0" applyFont="1" applyFill="1" applyBorder="1" applyAlignment="1" applyProtection="1">
      <alignment vertical="center"/>
      <protection locked="0"/>
    </xf>
    <xf numFmtId="37" fontId="41" fillId="26" borderId="109" xfId="0" applyNumberFormat="1" applyFont="1" applyFill="1" applyBorder="1" applyAlignment="1" applyProtection="1">
      <alignment horizontal="left" vertical="center"/>
      <protection locked="0"/>
    </xf>
    <xf numFmtId="37" fontId="40" fillId="26" borderId="109" xfId="0" applyNumberFormat="1" applyFont="1" applyFill="1" applyBorder="1" applyAlignment="1" applyProtection="1">
      <alignment horizontal="center" vertical="center" wrapText="1"/>
      <protection locked="0"/>
    </xf>
    <xf numFmtId="164" fontId="41" fillId="26" borderId="109" xfId="0" applyNumberFormat="1" applyFont="1" applyFill="1" applyBorder="1" applyAlignment="1" applyProtection="1">
      <alignment horizontal="center" vertical="center" wrapText="1"/>
      <protection locked="0"/>
    </xf>
    <xf numFmtId="7" fontId="37" fillId="26" borderId="109" xfId="0" applyNumberFormat="1" applyFont="1" applyFill="1" applyBorder="1" applyAlignment="1" applyProtection="1">
      <alignment horizontal="right" vertical="center" wrapText="1"/>
      <protection locked="0"/>
    </xf>
    <xf numFmtId="7" fontId="36" fillId="26" borderId="113" xfId="0" applyNumberFormat="1" applyFont="1" applyFill="1" applyBorder="1" applyAlignment="1" applyProtection="1">
      <alignment vertical="center" wrapText="1"/>
      <protection locked="0"/>
    </xf>
    <xf numFmtId="7" fontId="36" fillId="26" borderId="74" xfId="0" applyNumberFormat="1" applyFont="1" applyFill="1" applyBorder="1" applyAlignment="1" applyProtection="1">
      <alignment horizontal="right" vertical="center" wrapText="1"/>
      <protection locked="0"/>
    </xf>
    <xf numFmtId="7" fontId="36" fillId="26" borderId="114" xfId="0" applyNumberFormat="1" applyFont="1" applyFill="1" applyBorder="1" applyAlignment="1" applyProtection="1">
      <alignment horizontal="right" vertical="center" wrapText="1"/>
      <protection locked="0"/>
    </xf>
    <xf numFmtId="7" fontId="36" fillId="26" borderId="116" xfId="0" applyNumberFormat="1" applyFont="1" applyFill="1" applyBorder="1" applyAlignment="1" applyProtection="1">
      <alignment vertical="center" wrapText="1"/>
      <protection locked="0"/>
    </xf>
    <xf numFmtId="7" fontId="36" fillId="26" borderId="114" xfId="0" applyNumberFormat="1" applyFont="1" applyFill="1" applyBorder="1" applyAlignment="1" applyProtection="1">
      <alignment vertical="center" wrapText="1"/>
      <protection locked="0"/>
    </xf>
    <xf numFmtId="37" fontId="36" fillId="26" borderId="109" xfId="0" applyNumberFormat="1" applyFont="1" applyFill="1" applyBorder="1" applyAlignment="1" applyProtection="1">
      <alignment horizontal="center" vertical="center" wrapText="1"/>
      <protection locked="0"/>
    </xf>
    <xf numFmtId="164" fontId="2" fillId="26" borderId="20" xfId="0" applyNumberFormat="1" applyFont="1" applyFill="1" applyBorder="1" applyAlignment="1" applyProtection="1">
      <alignment horizontal="left" indent="1"/>
      <protection locked="0"/>
    </xf>
    <xf numFmtId="164" fontId="2" fillId="26" borderId="20" xfId="0" applyNumberFormat="1" applyFont="1" applyFill="1" applyBorder="1" applyAlignment="1" applyProtection="1">
      <alignment horizontal="left"/>
      <protection locked="0"/>
    </xf>
    <xf numFmtId="49" fontId="2" fillId="26" borderId="42" xfId="0" applyNumberFormat="1" applyFont="1" applyFill="1" applyBorder="1" applyAlignment="1" applyProtection="1">
      <alignment horizontal="left"/>
      <protection locked="0"/>
    </xf>
    <xf numFmtId="1" fontId="2" fillId="26" borderId="42" xfId="0" applyNumberFormat="1" applyFont="1" applyFill="1" applyBorder="1" applyAlignment="1" applyProtection="1">
      <alignment horizontal="left"/>
      <protection locked="0"/>
    </xf>
    <xf numFmtId="164" fontId="3" fillId="26" borderId="42" xfId="0" applyNumberFormat="1" applyFont="1" applyFill="1" applyBorder="1" applyAlignment="1" applyProtection="1">
      <alignment horizontal="center" vertical="center" shrinkToFit="1"/>
      <protection locked="0"/>
    </xf>
    <xf numFmtId="1" fontId="3" fillId="26" borderId="42" xfId="0" applyNumberFormat="1" applyFont="1" applyFill="1" applyBorder="1" applyAlignment="1" applyProtection="1">
      <alignment vertical="center" shrinkToFit="1"/>
      <protection locked="0"/>
    </xf>
    <xf numFmtId="39" fontId="40" fillId="26" borderId="109" xfId="0" applyNumberFormat="1" applyFont="1" applyFill="1" applyBorder="1" applyAlignment="1" applyProtection="1">
      <alignment horizontal="center" vertical="center" wrapText="1"/>
      <protection locked="0"/>
    </xf>
    <xf numFmtId="39" fontId="36" fillId="26" borderId="113" xfId="0" applyNumberFormat="1" applyFont="1" applyFill="1" applyBorder="1" applyAlignment="1" applyProtection="1">
      <alignment horizontal="center" vertical="center" wrapText="1"/>
      <protection locked="0"/>
    </xf>
    <xf numFmtId="39" fontId="36" fillId="26" borderId="116" xfId="0" applyNumberFormat="1" applyFont="1" applyFill="1" applyBorder="1" applyAlignment="1" applyProtection="1">
      <alignment horizontal="center" vertical="center" wrapText="1"/>
      <protection locked="0"/>
    </xf>
    <xf numFmtId="170" fontId="37" fillId="0" borderId="75" xfId="0" applyNumberFormat="1" applyFont="1" applyBorder="1" applyAlignment="1">
      <alignment horizontal="center" vertical="center" wrapText="1"/>
    </xf>
    <xf numFmtId="0" fontId="37" fillId="0" borderId="0" xfId="0" applyFont="1" applyAlignment="1">
      <alignment horizontal="right"/>
    </xf>
    <xf numFmtId="0" fontId="35" fillId="0" borderId="116" xfId="0" applyFont="1" applyBorder="1" applyAlignment="1">
      <alignment horizontal="center" vertical="top" wrapText="1"/>
    </xf>
    <xf numFmtId="0" fontId="35" fillId="0" borderId="118" xfId="0" applyFont="1" applyBorder="1" applyAlignment="1">
      <alignment horizontal="center" vertical="top" wrapText="1"/>
    </xf>
    <xf numFmtId="164" fontId="41" fillId="0" borderId="0" xfId="0" applyNumberFormat="1" applyFont="1" applyAlignment="1" applyProtection="1">
      <alignment horizontal="center" vertical="center" wrapText="1"/>
      <protection locked="0"/>
    </xf>
    <xf numFmtId="0" fontId="7" fillId="0" borderId="41" xfId="0" applyFont="1" applyBorder="1" applyAlignment="1">
      <alignment horizontal="center"/>
    </xf>
    <xf numFmtId="0" fontId="0" fillId="27" borderId="31" xfId="0" applyFill="1" applyBorder="1" applyAlignment="1">
      <alignment wrapText="1"/>
    </xf>
    <xf numFmtId="164" fontId="2" fillId="26" borderId="42" xfId="0" applyNumberFormat="1" applyFont="1" applyFill="1" applyBorder="1" applyAlignment="1" applyProtection="1">
      <alignment horizontal="left"/>
      <protection locked="0"/>
    </xf>
    <xf numFmtId="0" fontId="7" fillId="0" borderId="41" xfId="0" applyFont="1" applyBorder="1" applyAlignment="1">
      <alignment horizontal="center" wrapText="1"/>
    </xf>
    <xf numFmtId="49" fontId="0" fillId="27" borderId="24" xfId="0" applyNumberFormat="1" applyFill="1" applyBorder="1"/>
    <xf numFmtId="164" fontId="2" fillId="0" borderId="24" xfId="0" applyNumberFormat="1" applyFont="1" applyBorder="1" applyAlignment="1">
      <alignment vertical="center" wrapText="1"/>
    </xf>
    <xf numFmtId="164" fontId="2" fillId="0" borderId="25" xfId="0" applyNumberFormat="1" applyFont="1" applyBorder="1" applyAlignment="1">
      <alignment vertical="center" wrapText="1"/>
    </xf>
    <xf numFmtId="0" fontId="5" fillId="0" borderId="23" xfId="0" applyFont="1" applyBorder="1" applyAlignment="1">
      <alignment horizontal="right" vertical="center" wrapText="1"/>
    </xf>
    <xf numFmtId="0" fontId="5" fillId="0" borderId="24" xfId="0" applyFont="1" applyBorder="1" applyAlignment="1">
      <alignment horizontal="right" vertical="center" wrapText="1"/>
    </xf>
    <xf numFmtId="166" fontId="2" fillId="26" borderId="42" xfId="0" applyNumberFormat="1" applyFont="1" applyFill="1" applyBorder="1" applyAlignment="1" applyProtection="1">
      <alignment horizontal="center" vertical="center" wrapText="1"/>
      <protection locked="0"/>
    </xf>
    <xf numFmtId="166" fontId="2" fillId="26" borderId="50" xfId="0" applyNumberFormat="1" applyFont="1" applyFill="1" applyBorder="1" applyAlignment="1" applyProtection="1">
      <alignment horizontal="center" vertical="center" wrapText="1"/>
      <protection locked="0"/>
    </xf>
    <xf numFmtId="0" fontId="0" fillId="0" borderId="23" xfId="0" applyBorder="1" applyAlignment="1">
      <alignment horizontal="center" wrapText="1"/>
    </xf>
    <xf numFmtId="0" fontId="0" fillId="0" borderId="5" xfId="0" applyBorder="1" applyAlignment="1">
      <alignment horizontal="center" wrapText="1"/>
    </xf>
    <xf numFmtId="0" fontId="0" fillId="27" borderId="20" xfId="0" applyFill="1" applyBorder="1" applyAlignment="1">
      <alignment wrapText="1"/>
    </xf>
    <xf numFmtId="2" fontId="0" fillId="27" borderId="24" xfId="0" applyNumberFormat="1" applyFill="1" applyBorder="1"/>
    <xf numFmtId="2" fontId="0" fillId="27" borderId="25" xfId="0" applyNumberFormat="1" applyFill="1" applyBorder="1"/>
    <xf numFmtId="0" fontId="0" fillId="27" borderId="31" xfId="0" applyFill="1" applyBorder="1" applyAlignment="1">
      <alignment vertical="top" wrapText="1"/>
    </xf>
    <xf numFmtId="49" fontId="0" fillId="27" borderId="0" xfId="0" applyNumberFormat="1" applyFill="1"/>
    <xf numFmtId="0" fontId="7" fillId="0" borderId="0" xfId="0" applyFont="1"/>
    <xf numFmtId="0" fontId="7" fillId="0" borderId="15" xfId="0" applyFont="1" applyBorder="1" applyAlignment="1">
      <alignment horizontal="center" vertical="center"/>
    </xf>
    <xf numFmtId="0" fontId="5" fillId="0" borderId="4" xfId="0" applyFont="1" applyBorder="1" applyAlignment="1">
      <alignment horizontal="right" vertical="center" wrapText="1"/>
    </xf>
    <xf numFmtId="49" fontId="2" fillId="26" borderId="0" xfId="0" applyNumberFormat="1" applyFont="1" applyFill="1" applyAlignment="1" applyProtection="1">
      <alignment horizontal="left" vertical="center" wrapText="1"/>
      <protection locked="0"/>
    </xf>
    <xf numFmtId="164" fontId="2" fillId="2" borderId="8" xfId="0" applyNumberFormat="1" applyFont="1" applyFill="1" applyBorder="1" applyAlignment="1">
      <alignment horizontal="left" vertical="center" wrapText="1"/>
    </xf>
    <xf numFmtId="165" fontId="2" fillId="0" borderId="0" xfId="0" applyNumberFormat="1" applyFont="1" applyAlignment="1">
      <alignment vertical="center" wrapText="1"/>
    </xf>
    <xf numFmtId="164" fontId="2" fillId="2" borderId="0" xfId="0" applyNumberFormat="1" applyFont="1" applyFill="1" applyAlignment="1">
      <alignment vertical="center" wrapText="1"/>
    </xf>
    <xf numFmtId="164" fontId="2" fillId="2" borderId="8" xfId="0" applyNumberFormat="1" applyFont="1" applyFill="1" applyBorder="1" applyAlignment="1">
      <alignment vertical="center" wrapText="1"/>
    </xf>
    <xf numFmtId="165" fontId="2" fillId="0" borderId="5" xfId="0" applyNumberFormat="1" applyFont="1" applyBorder="1" applyAlignment="1">
      <alignment vertical="center" wrapText="1"/>
    </xf>
    <xf numFmtId="165" fontId="2" fillId="0" borderId="6" xfId="0" applyNumberFormat="1" applyFont="1" applyBorder="1" applyAlignment="1">
      <alignment vertical="center" wrapText="1"/>
    </xf>
    <xf numFmtId="164" fontId="2" fillId="2" borderId="5" xfId="0" applyNumberFormat="1" applyFont="1" applyFill="1" applyBorder="1" applyAlignment="1">
      <alignment vertical="center" wrapText="1"/>
    </xf>
    <xf numFmtId="164" fontId="2" fillId="2" borderId="6" xfId="0" applyNumberFormat="1" applyFont="1" applyFill="1" applyBorder="1" applyAlignment="1">
      <alignment vertical="center" wrapText="1"/>
    </xf>
    <xf numFmtId="0" fontId="3" fillId="0" borderId="4" xfId="0" applyFont="1" applyBorder="1" applyAlignment="1">
      <alignment horizontal="right" vertical="center" wrapText="1"/>
    </xf>
    <xf numFmtId="0" fontId="4" fillId="0" borderId="7" xfId="0" applyFont="1" applyBorder="1" applyAlignment="1">
      <alignment wrapText="1"/>
    </xf>
    <xf numFmtId="0" fontId="4" fillId="0" borderId="0" xfId="0" applyFont="1" applyAlignment="1">
      <alignment wrapText="1"/>
    </xf>
    <xf numFmtId="0" fontId="80" fillId="0" borderId="110" xfId="0" applyFont="1" applyBorder="1" applyAlignment="1">
      <alignment horizontal="center" wrapText="1"/>
    </xf>
    <xf numFmtId="0" fontId="0" fillId="0" borderId="23" xfId="0" applyBorder="1"/>
    <xf numFmtId="0" fontId="0" fillId="0" borderId="232" xfId="85" applyFont="1" applyFill="1" applyBorder="1"/>
    <xf numFmtId="0" fontId="13" fillId="0" borderId="25" xfId="0" applyFont="1" applyBorder="1" applyAlignment="1">
      <alignment horizontal="center" wrapText="1"/>
    </xf>
    <xf numFmtId="0" fontId="13" fillId="0" borderId="46" xfId="0" applyFont="1" applyBorder="1" applyAlignment="1">
      <alignment horizontal="center" wrapText="1"/>
    </xf>
    <xf numFmtId="0" fontId="13" fillId="0" borderId="59" xfId="0" applyFont="1" applyBorder="1" applyAlignment="1">
      <alignment horizontal="center" wrapText="1"/>
    </xf>
    <xf numFmtId="0" fontId="13" fillId="0" borderId="41" xfId="0" applyFont="1" applyBorder="1" applyAlignment="1">
      <alignment horizontal="center" wrapText="1"/>
    </xf>
    <xf numFmtId="0" fontId="82" fillId="0" borderId="42" xfId="0" applyFont="1" applyBorder="1" applyAlignment="1">
      <alignment horizontal="center" wrapText="1"/>
    </xf>
    <xf numFmtId="0" fontId="82" fillId="0" borderId="18" xfId="0" applyFont="1" applyBorder="1" applyAlignment="1">
      <alignment horizontal="center" wrapText="1"/>
    </xf>
    <xf numFmtId="0" fontId="82" fillId="0" borderId="47" xfId="0" applyFont="1" applyBorder="1" applyAlignment="1">
      <alignment horizontal="center" wrapText="1"/>
    </xf>
    <xf numFmtId="0" fontId="82" fillId="0" borderId="44" xfId="0" applyFont="1" applyBorder="1" applyAlignment="1">
      <alignment horizontal="center" wrapText="1"/>
    </xf>
    <xf numFmtId="0" fontId="82" fillId="0" borderId="72" xfId="0" applyFont="1" applyBorder="1" applyAlignment="1">
      <alignment horizontal="center" wrapText="1"/>
    </xf>
    <xf numFmtId="0" fontId="0" fillId="0" borderId="20" xfId="0" applyBorder="1" applyAlignment="1">
      <alignment wrapText="1"/>
    </xf>
    <xf numFmtId="0" fontId="0" fillId="0" borderId="31" xfId="0" applyBorder="1" applyAlignment="1">
      <alignment wrapText="1"/>
    </xf>
    <xf numFmtId="0" fontId="3" fillId="0" borderId="21" xfId="0" applyFont="1" applyBorder="1" applyAlignment="1">
      <alignment horizontal="right" vertical="center" wrapText="1"/>
    </xf>
    <xf numFmtId="164" fontId="2" fillId="2" borderId="22" xfId="0" applyNumberFormat="1" applyFont="1" applyFill="1" applyBorder="1" applyAlignment="1">
      <alignment vertical="center" wrapText="1"/>
    </xf>
    <xf numFmtId="0" fontId="3" fillId="0" borderId="33" xfId="0" applyFont="1" applyBorder="1" applyAlignment="1">
      <alignment horizontal="right" vertical="center" wrapText="1"/>
    </xf>
    <xf numFmtId="164" fontId="2" fillId="2" borderId="34" xfId="0" applyNumberFormat="1" applyFont="1" applyFill="1" applyBorder="1" applyAlignment="1">
      <alignment vertical="center" wrapText="1"/>
    </xf>
    <xf numFmtId="0" fontId="7" fillId="0" borderId="41" xfId="0" applyFont="1" applyBorder="1" applyAlignment="1">
      <alignment horizontal="left" vertical="top" wrapText="1" indent="1"/>
    </xf>
    <xf numFmtId="49" fontId="2" fillId="0" borderId="12" xfId="0" applyNumberFormat="1" applyFont="1" applyBorder="1" applyAlignment="1">
      <alignment horizontal="center" vertical="center" wrapText="1"/>
    </xf>
    <xf numFmtId="166" fontId="0" fillId="0" borderId="0" xfId="0" applyNumberFormat="1"/>
    <xf numFmtId="166" fontId="0" fillId="0" borderId="24" xfId="0" applyNumberFormat="1" applyBorder="1"/>
    <xf numFmtId="164" fontId="2" fillId="28" borderId="18" xfId="0" applyNumberFormat="1" applyFont="1" applyFill="1" applyBorder="1" applyAlignment="1" applyProtection="1">
      <alignment horizontal="center" vertical="top" wrapText="1"/>
      <protection locked="0"/>
    </xf>
    <xf numFmtId="164" fontId="32" fillId="28" borderId="18" xfId="0" applyNumberFormat="1" applyFont="1" applyFill="1" applyBorder="1" applyAlignment="1" applyProtection="1">
      <alignment horizontal="center" vertical="top" wrapText="1"/>
      <protection locked="0"/>
    </xf>
    <xf numFmtId="164" fontId="2" fillId="28" borderId="25" xfId="0" applyNumberFormat="1" applyFont="1" applyFill="1" applyBorder="1" applyAlignment="1" applyProtection="1">
      <alignment horizontal="center" vertical="top" wrapText="1"/>
      <protection locked="0"/>
    </xf>
    <xf numFmtId="164" fontId="32" fillId="28" borderId="25" xfId="0" applyNumberFormat="1" applyFont="1" applyFill="1" applyBorder="1" applyAlignment="1" applyProtection="1">
      <alignment horizontal="center" vertical="top" wrapText="1"/>
      <protection locked="0"/>
    </xf>
    <xf numFmtId="0" fontId="89" fillId="0" borderId="0" xfId="0" applyFont="1"/>
    <xf numFmtId="0" fontId="89" fillId="0" borderId="0" xfId="0" applyFont="1" applyAlignment="1">
      <alignment wrapText="1"/>
    </xf>
    <xf numFmtId="0" fontId="5" fillId="0" borderId="21" xfId="0" applyFont="1" applyBorder="1" applyAlignment="1">
      <alignment horizontal="right" vertical="center" wrapText="1"/>
    </xf>
    <xf numFmtId="0" fontId="3" fillId="26" borderId="44" xfId="0" applyFont="1" applyFill="1" applyBorder="1" applyAlignment="1" applyProtection="1">
      <alignment vertical="center"/>
      <protection locked="0"/>
    </xf>
    <xf numFmtId="49" fontId="3" fillId="26" borderId="42" xfId="0" applyNumberFormat="1" applyFont="1" applyFill="1" applyBorder="1" applyAlignment="1" applyProtection="1">
      <alignment vertical="center" shrinkToFit="1"/>
      <protection locked="0"/>
    </xf>
    <xf numFmtId="49" fontId="3" fillId="26" borderId="47" xfId="0" applyNumberFormat="1" applyFont="1" applyFill="1" applyBorder="1" applyAlignment="1" applyProtection="1">
      <alignment vertical="center" wrapText="1"/>
      <protection locked="0"/>
    </xf>
    <xf numFmtId="49" fontId="3" fillId="26" borderId="44" xfId="0" applyNumberFormat="1" applyFont="1" applyFill="1" applyBorder="1" applyAlignment="1" applyProtection="1">
      <alignment horizontal="center" vertical="center" shrinkToFit="1"/>
      <protection locked="0"/>
    </xf>
    <xf numFmtId="2" fontId="3" fillId="26" borderId="42" xfId="0" applyNumberFormat="1" applyFont="1" applyFill="1" applyBorder="1" applyAlignment="1" applyProtection="1">
      <alignment horizontal="center" vertical="center" shrinkToFit="1"/>
      <protection locked="0"/>
    </xf>
    <xf numFmtId="7" fontId="3" fillId="26" borderId="47" xfId="0" applyNumberFormat="1" applyFont="1" applyFill="1" applyBorder="1" applyAlignment="1" applyProtection="1">
      <alignment horizontal="right" vertical="center" shrinkToFit="1"/>
      <protection locked="0"/>
    </xf>
    <xf numFmtId="7" fontId="3" fillId="26" borderId="72" xfId="0" applyNumberFormat="1" applyFont="1" applyFill="1" applyBorder="1" applyAlignment="1" applyProtection="1">
      <alignment horizontal="right" vertical="center" shrinkToFit="1"/>
      <protection locked="0"/>
    </xf>
    <xf numFmtId="0" fontId="90" fillId="0" borderId="41" xfId="0" applyFont="1" applyBorder="1" applyAlignment="1">
      <alignment horizontal="center" wrapText="1"/>
    </xf>
    <xf numFmtId="0" fontId="35" fillId="0" borderId="103" xfId="0" applyFont="1" applyBorder="1" applyAlignment="1">
      <alignment horizontal="center" vertical="top" wrapText="1"/>
    </xf>
    <xf numFmtId="0" fontId="35" fillId="0" borderId="100" xfId="0" applyFont="1" applyBorder="1" applyAlignment="1">
      <alignment horizontal="center" vertical="top" wrapText="1"/>
    </xf>
    <xf numFmtId="0" fontId="35" fillId="0" borderId="102" xfId="0" applyFont="1" applyBorder="1" applyAlignment="1">
      <alignment horizontal="center" vertical="top" wrapText="1"/>
    </xf>
    <xf numFmtId="0" fontId="35" fillId="0" borderId="111" xfId="0" applyFont="1" applyBorder="1" applyAlignment="1">
      <alignment horizontal="center" vertical="top" wrapText="1"/>
    </xf>
    <xf numFmtId="7" fontId="37" fillId="26" borderId="233" xfId="0" applyNumberFormat="1" applyFont="1" applyFill="1" applyBorder="1" applyAlignment="1" applyProtection="1">
      <alignment vertical="center"/>
      <protection locked="0"/>
    </xf>
    <xf numFmtId="0" fontId="40" fillId="26" borderId="234" xfId="0" applyFont="1" applyFill="1" applyBorder="1" applyAlignment="1" applyProtection="1">
      <alignment vertical="center"/>
      <protection locked="0"/>
    </xf>
    <xf numFmtId="37" fontId="41" fillId="26" borderId="234" xfId="0" applyNumberFormat="1" applyFont="1" applyFill="1" applyBorder="1" applyAlignment="1" applyProtection="1">
      <alignment horizontal="left" vertical="center"/>
      <protection locked="0"/>
    </xf>
    <xf numFmtId="37" fontId="40" fillId="26" borderId="234" xfId="0" applyNumberFormat="1" applyFont="1" applyFill="1" applyBorder="1" applyAlignment="1" applyProtection="1">
      <alignment horizontal="center" vertical="center" wrapText="1"/>
      <protection locked="0"/>
    </xf>
    <xf numFmtId="164" fontId="41" fillId="26" borderId="234" xfId="0" applyNumberFormat="1" applyFont="1" applyFill="1" applyBorder="1" applyAlignment="1" applyProtection="1">
      <alignment horizontal="center" vertical="center" wrapText="1"/>
      <protection locked="0"/>
    </xf>
    <xf numFmtId="39" fontId="40" fillId="26" borderId="234" xfId="0" applyNumberFormat="1" applyFont="1" applyFill="1" applyBorder="1" applyAlignment="1" applyProtection="1">
      <alignment horizontal="center" vertical="center" wrapText="1"/>
      <protection locked="0"/>
    </xf>
    <xf numFmtId="7" fontId="37" fillId="26" borderId="234" xfId="0" applyNumberFormat="1" applyFont="1" applyFill="1" applyBorder="1" applyAlignment="1" applyProtection="1">
      <alignment horizontal="right" vertical="center" wrapText="1"/>
      <protection locked="0"/>
    </xf>
    <xf numFmtId="7" fontId="37" fillId="0" borderId="235" xfId="0" applyNumberFormat="1" applyFont="1" applyBorder="1" applyAlignment="1">
      <alignment horizontal="right" vertical="center" wrapText="1"/>
    </xf>
    <xf numFmtId="7" fontId="36" fillId="26" borderId="233" xfId="0" applyNumberFormat="1" applyFont="1" applyFill="1" applyBorder="1" applyAlignment="1" applyProtection="1">
      <alignment vertical="center" wrapText="1"/>
      <protection locked="0"/>
    </xf>
    <xf numFmtId="7" fontId="36" fillId="26" borderId="80" xfId="0" applyNumberFormat="1" applyFont="1" applyFill="1" applyBorder="1" applyAlignment="1" applyProtection="1">
      <alignment horizontal="right" vertical="center" wrapText="1"/>
      <protection locked="0"/>
    </xf>
    <xf numFmtId="7" fontId="36" fillId="26" borderId="235" xfId="0" applyNumberFormat="1" applyFont="1" applyFill="1" applyBorder="1" applyAlignment="1" applyProtection="1">
      <alignment horizontal="right" vertical="center" wrapText="1"/>
      <protection locked="0"/>
    </xf>
    <xf numFmtId="7" fontId="36" fillId="26" borderId="236" xfId="0" applyNumberFormat="1" applyFont="1" applyFill="1" applyBorder="1" applyAlignment="1" applyProtection="1">
      <alignment vertical="center" wrapText="1"/>
      <protection locked="0"/>
    </xf>
    <xf numFmtId="7" fontId="36" fillId="26" borderId="235" xfId="0" applyNumberFormat="1" applyFont="1" applyFill="1" applyBorder="1" applyAlignment="1" applyProtection="1">
      <alignment vertical="center" wrapText="1"/>
      <protection locked="0"/>
    </xf>
    <xf numFmtId="39" fontId="36" fillId="26" borderId="233" xfId="0" applyNumberFormat="1" applyFont="1" applyFill="1" applyBorder="1" applyAlignment="1" applyProtection="1">
      <alignment horizontal="center" vertical="center" wrapText="1"/>
      <protection locked="0"/>
    </xf>
    <xf numFmtId="39" fontId="36" fillId="26" borderId="236" xfId="0" applyNumberFormat="1" applyFont="1" applyFill="1" applyBorder="1" applyAlignment="1" applyProtection="1">
      <alignment horizontal="center" vertical="center" wrapText="1"/>
      <protection locked="0"/>
    </xf>
    <xf numFmtId="7" fontId="37" fillId="0" borderId="233" xfId="0" applyNumberFormat="1" applyFont="1" applyBorder="1" applyAlignment="1">
      <alignment vertical="center" wrapText="1"/>
    </xf>
    <xf numFmtId="170" fontId="37" fillId="0" borderId="237" xfId="0" applyNumberFormat="1" applyFont="1" applyBorder="1" applyAlignment="1">
      <alignment horizontal="center" vertical="center" wrapText="1"/>
    </xf>
    <xf numFmtId="7" fontId="37" fillId="0" borderId="234" xfId="0" applyNumberFormat="1" applyFont="1" applyBorder="1" applyAlignment="1">
      <alignment horizontal="right" vertical="center" wrapText="1"/>
    </xf>
    <xf numFmtId="37" fontId="36" fillId="26" borderId="234" xfId="0" applyNumberFormat="1" applyFont="1" applyFill="1" applyBorder="1" applyAlignment="1" applyProtection="1">
      <alignment horizontal="center" vertical="center" wrapText="1"/>
      <protection locked="0"/>
    </xf>
    <xf numFmtId="7" fontId="37" fillId="0" borderId="234" xfId="0" applyNumberFormat="1" applyFont="1" applyBorder="1" applyAlignment="1">
      <alignment vertical="center" wrapText="1"/>
    </xf>
    <xf numFmtId="7" fontId="37" fillId="0" borderId="234" xfId="0" applyNumberFormat="1" applyFont="1" applyBorder="1" applyAlignment="1">
      <alignment vertical="center"/>
    </xf>
    <xf numFmtId="7" fontId="37" fillId="0" borderId="233" xfId="0" applyNumberFormat="1" applyFont="1" applyBorder="1" applyAlignment="1">
      <alignment horizontal="right" vertical="center"/>
    </xf>
    <xf numFmtId="7" fontId="37" fillId="0" borderId="234" xfId="0" applyNumberFormat="1" applyFont="1" applyBorder="1" applyAlignment="1">
      <alignment horizontal="right" vertical="center"/>
    </xf>
    <xf numFmtId="0" fontId="35" fillId="0" borderId="24" xfId="0" applyFont="1" applyBorder="1" applyAlignment="1">
      <alignment horizontal="center" vertical="top" wrapText="1"/>
    </xf>
    <xf numFmtId="0" fontId="5" fillId="0" borderId="0" xfId="0" applyFont="1" applyAlignment="1">
      <alignment horizontal="center" vertical="center"/>
    </xf>
    <xf numFmtId="0" fontId="3" fillId="0" borderId="113" xfId="0" applyFont="1" applyBorder="1" applyAlignment="1">
      <alignment horizontal="center" vertical="center" wrapText="1"/>
    </xf>
    <xf numFmtId="0" fontId="5" fillId="0" borderId="113" xfId="0" applyFont="1" applyBorder="1" applyAlignment="1">
      <alignment horizontal="center" vertical="center" wrapText="1"/>
    </xf>
    <xf numFmtId="0" fontId="3" fillId="0" borderId="111" xfId="0" applyFont="1" applyBorder="1" applyAlignment="1">
      <alignment horizontal="center" vertical="center" wrapText="1"/>
    </xf>
    <xf numFmtId="0" fontId="5" fillId="0" borderId="241" xfId="0" applyFont="1" applyBorder="1" applyAlignment="1">
      <alignment horizontal="center" vertical="center" wrapText="1"/>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2" fillId="26" borderId="11" xfId="0" applyFont="1" applyFill="1" applyBorder="1" applyAlignment="1" applyProtection="1">
      <alignment horizontal="center" vertical="center" wrapText="1"/>
      <protection locked="0"/>
    </xf>
    <xf numFmtId="0" fontId="2" fillId="26" borderId="12" xfId="0" applyFont="1" applyFill="1" applyBorder="1" applyAlignment="1" applyProtection="1">
      <alignment horizontal="center" vertical="center" wrapText="1"/>
      <protection locked="0"/>
    </xf>
    <xf numFmtId="0" fontId="2" fillId="26" borderId="6" xfId="0" applyFont="1" applyFill="1" applyBorder="1" applyAlignment="1" applyProtection="1">
      <alignment horizontal="center" vertical="center" wrapText="1"/>
      <protection locked="0"/>
    </xf>
    <xf numFmtId="43" fontId="2" fillId="28" borderId="6" xfId="0" applyNumberFormat="1" applyFont="1" applyFill="1" applyBorder="1" applyAlignment="1" applyProtection="1">
      <alignment horizontal="center" vertical="center" wrapText="1"/>
      <protection locked="0"/>
    </xf>
    <xf numFmtId="43" fontId="2" fillId="28" borderId="12" xfId="0" applyNumberFormat="1" applyFont="1" applyFill="1" applyBorder="1" applyAlignment="1" applyProtection="1">
      <alignment horizontal="center" vertical="center" wrapText="1"/>
      <protection locked="0"/>
    </xf>
    <xf numFmtId="43" fontId="2" fillId="26" borderId="6" xfId="0" applyNumberFormat="1" applyFont="1" applyFill="1" applyBorder="1" applyAlignment="1" applyProtection="1">
      <alignment horizontal="center" vertical="center" wrapText="1"/>
      <protection locked="0"/>
    </xf>
    <xf numFmtId="164" fontId="2" fillId="28" borderId="12" xfId="0" applyNumberFormat="1" applyFont="1" applyFill="1" applyBorder="1" applyAlignment="1" applyProtection="1">
      <alignment horizontal="center" vertical="center" wrapText="1"/>
      <protection locked="0"/>
    </xf>
    <xf numFmtId="0" fontId="2" fillId="26" borderId="8" xfId="0" applyFont="1" applyFill="1" applyBorder="1" applyAlignment="1" applyProtection="1">
      <alignment horizontal="center" vertical="center" wrapText="1"/>
      <protection locked="0"/>
    </xf>
    <xf numFmtId="0" fontId="2" fillId="28" borderId="12" xfId="0" applyFont="1" applyFill="1" applyBorder="1" applyAlignment="1" applyProtection="1">
      <alignment horizontal="center" vertical="center" wrapText="1"/>
      <protection locked="0"/>
    </xf>
    <xf numFmtId="166" fontId="2" fillId="28" borderId="12" xfId="0" applyNumberFormat="1" applyFont="1" applyFill="1" applyBorder="1" applyAlignment="1" applyProtection="1">
      <alignment horizontal="center" vertical="center" wrapText="1"/>
      <protection locked="0"/>
    </xf>
    <xf numFmtId="44" fontId="2" fillId="28" borderId="12" xfId="0" applyNumberFormat="1" applyFont="1" applyFill="1" applyBorder="1" applyAlignment="1" applyProtection="1">
      <alignment horizontal="center" vertical="center" wrapText="1"/>
      <protection locked="0"/>
    </xf>
    <xf numFmtId="0" fontId="2" fillId="28" borderId="11" xfId="0" applyFont="1" applyFill="1" applyBorder="1" applyAlignment="1" applyProtection="1">
      <alignment horizontal="center" vertical="center" wrapText="1"/>
      <protection locked="0"/>
    </xf>
    <xf numFmtId="166" fontId="2" fillId="28" borderId="11" xfId="0" applyNumberFormat="1" applyFont="1" applyFill="1" applyBorder="1" applyAlignment="1" applyProtection="1">
      <alignment horizontal="center" vertical="center" wrapText="1"/>
      <protection locked="0"/>
    </xf>
    <xf numFmtId="166" fontId="2" fillId="28" borderId="15" xfId="0" applyNumberFormat="1" applyFont="1" applyFill="1" applyBorder="1" applyAlignment="1" applyProtection="1">
      <alignment horizontal="center" vertical="center" wrapText="1"/>
      <protection locked="0"/>
    </xf>
    <xf numFmtId="164" fontId="2" fillId="26" borderId="11" xfId="0" applyNumberFormat="1" applyFont="1" applyFill="1" applyBorder="1" applyAlignment="1" applyProtection="1">
      <alignment horizontal="center" vertical="center" wrapText="1"/>
      <protection locked="0"/>
    </xf>
    <xf numFmtId="44" fontId="2" fillId="26" borderId="11" xfId="0" applyNumberFormat="1" applyFont="1" applyFill="1" applyBorder="1" applyAlignment="1" applyProtection="1">
      <alignment horizontal="center" vertical="center" wrapText="1"/>
      <protection locked="0"/>
    </xf>
    <xf numFmtId="0" fontId="3" fillId="0" borderId="1"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5" xfId="0" applyFont="1" applyBorder="1" applyAlignment="1">
      <alignment horizontal="center" vertical="center" wrapText="1"/>
    </xf>
    <xf numFmtId="0" fontId="4" fillId="0" borderId="0" xfId="0" applyFont="1" applyAlignment="1">
      <alignment horizontal="right"/>
    </xf>
    <xf numFmtId="44" fontId="2" fillId="0" borderId="12"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6" xfId="0" applyFont="1" applyBorder="1" applyAlignment="1">
      <alignment horizontal="center" vertical="center" wrapText="1"/>
    </xf>
    <xf numFmtId="44" fontId="2" fillId="0" borderId="6" xfId="0" applyNumberFormat="1" applyFont="1" applyBorder="1" applyAlignment="1">
      <alignment horizontal="center" vertical="center" wrapText="1"/>
    </xf>
    <xf numFmtId="0" fontId="3" fillId="0" borderId="12" xfId="0" applyFont="1" applyBorder="1" applyAlignment="1">
      <alignment horizontal="center" vertical="center" wrapText="1"/>
    </xf>
    <xf numFmtId="0" fontId="3" fillId="0" borderId="0" xfId="0" applyFont="1" applyAlignment="1">
      <alignment horizontal="center" wrapText="1"/>
    </xf>
    <xf numFmtId="0" fontId="2" fillId="0" borderId="12" xfId="0" applyFont="1" applyBorder="1" applyAlignment="1">
      <alignment horizontal="center" vertical="center" wrapText="1"/>
    </xf>
    <xf numFmtId="0" fontId="3" fillId="0" borderId="12" xfId="0" applyFont="1" applyBorder="1" applyAlignment="1">
      <alignment horizontal="center" vertical="center"/>
    </xf>
    <xf numFmtId="0" fontId="13" fillId="0" borderId="12" xfId="0" applyFont="1" applyBorder="1" applyAlignment="1">
      <alignment horizontal="center" wrapText="1"/>
    </xf>
    <xf numFmtId="0" fontId="5" fillId="0" borderId="6" xfId="0" applyFont="1" applyBorder="1" applyAlignment="1">
      <alignment horizontal="center" vertical="center" wrapText="1"/>
    </xf>
    <xf numFmtId="0" fontId="13" fillId="0" borderId="14" xfId="0" applyFont="1" applyBorder="1" applyAlignment="1">
      <alignment horizontal="center" vertical="center" wrapText="1"/>
    </xf>
    <xf numFmtId="0" fontId="2" fillId="28" borderId="6" xfId="0" applyFont="1" applyFill="1" applyBorder="1" applyAlignment="1" applyProtection="1">
      <alignment horizontal="center" vertical="center" wrapText="1"/>
      <protection locked="0"/>
    </xf>
    <xf numFmtId="43" fontId="2" fillId="28" borderId="14" xfId="0" applyNumberFormat="1" applyFont="1" applyFill="1" applyBorder="1" applyAlignment="1" applyProtection="1">
      <alignment horizontal="center" vertical="center" wrapText="1"/>
      <protection locked="0"/>
    </xf>
    <xf numFmtId="0" fontId="2" fillId="28" borderId="8" xfId="0" applyFont="1" applyFill="1" applyBorder="1" applyAlignment="1" applyProtection="1">
      <alignment horizontal="center" vertical="center" wrapText="1"/>
      <protection locked="0"/>
    </xf>
    <xf numFmtId="0" fontId="2" fillId="2" borderId="15" xfId="0" applyFont="1" applyFill="1" applyBorder="1" applyAlignment="1">
      <alignment vertical="top" wrapText="1"/>
    </xf>
    <xf numFmtId="0" fontId="2" fillId="2" borderId="13" xfId="0" applyFont="1" applyFill="1" applyBorder="1" applyAlignment="1">
      <alignment vertical="top" wrapText="1"/>
    </xf>
    <xf numFmtId="0" fontId="2" fillId="2" borderId="14" xfId="0" applyFont="1" applyFill="1" applyBorder="1" applyAlignment="1">
      <alignment vertical="top" wrapText="1"/>
    </xf>
    <xf numFmtId="0" fontId="2" fillId="2" borderId="15" xfId="0" applyFont="1" applyFill="1" applyBorder="1" applyAlignment="1">
      <alignment vertical="center" wrapText="1"/>
    </xf>
    <xf numFmtId="0" fontId="2" fillId="2" borderId="13" xfId="0" applyFont="1" applyFill="1" applyBorder="1" applyAlignment="1">
      <alignment vertical="center" wrapText="1"/>
    </xf>
    <xf numFmtId="0" fontId="2" fillId="2" borderId="14" xfId="0" applyFont="1" applyFill="1" applyBorder="1" applyAlignment="1">
      <alignment vertical="center" wrapText="1"/>
    </xf>
    <xf numFmtId="0" fontId="7" fillId="2" borderId="15" xfId="0" applyFont="1" applyFill="1" applyBorder="1" applyAlignment="1">
      <alignment vertical="center" wrapText="1"/>
    </xf>
    <xf numFmtId="0" fontId="7" fillId="2" borderId="13" xfId="0" applyFont="1" applyFill="1" applyBorder="1" applyAlignment="1">
      <alignment vertical="center" wrapText="1"/>
    </xf>
    <xf numFmtId="0" fontId="7" fillId="2" borderId="14" xfId="0" applyFont="1" applyFill="1" applyBorder="1" applyAlignment="1">
      <alignment vertical="center" wrapText="1"/>
    </xf>
    <xf numFmtId="0" fontId="7" fillId="2" borderId="15" xfId="0" applyFont="1" applyFill="1" applyBorder="1" applyAlignment="1">
      <alignment vertical="top" wrapText="1"/>
    </xf>
    <xf numFmtId="0" fontId="7" fillId="2" borderId="13" xfId="0" applyFont="1" applyFill="1" applyBorder="1" applyAlignment="1">
      <alignment vertical="top" wrapText="1"/>
    </xf>
    <xf numFmtId="0" fontId="1" fillId="0" borderId="0" xfId="0" applyFont="1"/>
    <xf numFmtId="44" fontId="2" fillId="28" borderId="12" xfId="0" applyNumberFormat="1" applyFont="1" applyFill="1" applyBorder="1" applyAlignment="1" applyProtection="1">
      <alignment horizontal="center" vertical="center"/>
      <protection locked="0"/>
    </xf>
    <xf numFmtId="166" fontId="2" fillId="28" borderId="12" xfId="0" applyNumberFormat="1" applyFont="1" applyFill="1" applyBorder="1" applyAlignment="1" applyProtection="1">
      <alignment horizontal="center" vertical="center"/>
      <protection locked="0"/>
    </xf>
    <xf numFmtId="166" fontId="2" fillId="28" borderId="15" xfId="0" applyNumberFormat="1" applyFont="1" applyFill="1" applyBorder="1" applyAlignment="1" applyProtection="1">
      <alignment horizontal="center" vertical="center"/>
      <protection locked="0"/>
    </xf>
    <xf numFmtId="0" fontId="2" fillId="28" borderId="12" xfId="0" applyFont="1" applyFill="1" applyBorder="1" applyAlignment="1" applyProtection="1">
      <alignment horizontal="center" vertical="center"/>
      <protection locked="0"/>
    </xf>
    <xf numFmtId="44" fontId="2" fillId="28" borderId="6" xfId="0" applyNumberFormat="1" applyFont="1" applyFill="1" applyBorder="1" applyAlignment="1" applyProtection="1">
      <alignment horizontal="center" vertical="center" wrapText="1"/>
      <protection locked="0"/>
    </xf>
    <xf numFmtId="43" fontId="2" fillId="28" borderId="12" xfId="0" applyNumberFormat="1" applyFont="1" applyFill="1" applyBorder="1" applyAlignment="1" applyProtection="1">
      <alignment horizontal="center" vertical="center"/>
      <protection locked="0"/>
    </xf>
    <xf numFmtId="1" fontId="0" fillId="0" borderId="0" xfId="0" applyNumberFormat="1" applyAlignment="1">
      <alignment wrapText="1"/>
    </xf>
    <xf numFmtId="166" fontId="0" fillId="0" borderId="22" xfId="0" applyNumberFormat="1" applyBorder="1"/>
    <xf numFmtId="166" fontId="0" fillId="0" borderId="25" xfId="0" applyNumberFormat="1" applyBorder="1"/>
    <xf numFmtId="164" fontId="5" fillId="26" borderId="47" xfId="0" applyNumberFormat="1" applyFont="1" applyFill="1" applyBorder="1" applyAlignment="1" applyProtection="1">
      <alignment horizontal="center" vertical="center" wrapText="1"/>
      <protection locked="0"/>
    </xf>
    <xf numFmtId="1" fontId="5" fillId="26" borderId="72" xfId="0" applyNumberFormat="1" applyFont="1" applyFill="1" applyBorder="1" applyAlignment="1" applyProtection="1">
      <alignment horizontal="center" vertical="center" wrapText="1"/>
      <protection locked="0"/>
    </xf>
    <xf numFmtId="0" fontId="5" fillId="26" borderId="12" xfId="0" applyFont="1" applyFill="1" applyBorder="1" applyAlignment="1" applyProtection="1">
      <alignment horizontal="center" vertical="center"/>
      <protection locked="0"/>
    </xf>
    <xf numFmtId="1" fontId="5" fillId="26" borderId="73" xfId="0" applyNumberFormat="1" applyFont="1" applyFill="1" applyBorder="1" applyAlignment="1" applyProtection="1">
      <alignment horizontal="center" vertical="center" wrapText="1"/>
      <protection locked="0"/>
    </xf>
    <xf numFmtId="10" fontId="0" fillId="0" borderId="31" xfId="0" applyNumberFormat="1" applyBorder="1"/>
    <xf numFmtId="10" fontId="0" fillId="0" borderId="20" xfId="0" applyNumberFormat="1" applyBorder="1"/>
    <xf numFmtId="168" fontId="0" fillId="0" borderId="20" xfId="0" applyNumberFormat="1" applyBorder="1"/>
    <xf numFmtId="164" fontId="5" fillId="26" borderId="37" xfId="0" applyNumberFormat="1" applyFont="1" applyFill="1" applyBorder="1" applyAlignment="1" applyProtection="1">
      <alignment horizontal="center" vertical="center" wrapText="1"/>
      <protection locked="0"/>
    </xf>
    <xf numFmtId="0" fontId="2" fillId="0" borderId="8" xfId="0" applyFont="1" applyBorder="1"/>
    <xf numFmtId="164" fontId="5" fillId="26" borderId="55" xfId="0" applyNumberFormat="1" applyFont="1" applyFill="1" applyBorder="1" applyAlignment="1" applyProtection="1">
      <alignment horizontal="center" vertical="center" wrapText="1"/>
      <protection locked="0"/>
    </xf>
    <xf numFmtId="164" fontId="5" fillId="26" borderId="50" xfId="0" applyNumberFormat="1" applyFont="1" applyFill="1" applyBorder="1" applyAlignment="1" applyProtection="1">
      <alignment horizontal="center" vertical="center" wrapText="1"/>
      <protection locked="0"/>
    </xf>
    <xf numFmtId="0" fontId="7" fillId="0" borderId="42" xfId="0" applyFont="1" applyBorder="1" applyAlignment="1">
      <alignment horizontal="center" vertical="top" wrapText="1"/>
    </xf>
    <xf numFmtId="0" fontId="7" fillId="0" borderId="18" xfId="0" applyFont="1" applyBorder="1" applyAlignment="1">
      <alignment horizontal="center" vertical="top" wrapText="1"/>
    </xf>
    <xf numFmtId="49" fontId="7" fillId="0" borderId="12" xfId="0" applyNumberFormat="1" applyFont="1" applyBorder="1" applyAlignment="1">
      <alignment horizontal="center" vertical="center" wrapText="1"/>
    </xf>
    <xf numFmtId="49" fontId="32" fillId="28" borderId="18" xfId="0" applyNumberFormat="1" applyFont="1" applyFill="1" applyBorder="1" applyAlignment="1" applyProtection="1">
      <alignment horizontal="center" vertical="top" wrapText="1"/>
      <protection locked="0"/>
    </xf>
    <xf numFmtId="49" fontId="32" fillId="28" borderId="42" xfId="0" applyNumberFormat="1" applyFont="1" applyFill="1" applyBorder="1" applyAlignment="1" applyProtection="1">
      <alignment horizontal="center" vertical="top" wrapText="1"/>
      <protection locked="0"/>
    </xf>
    <xf numFmtId="0" fontId="77" fillId="0" borderId="0" xfId="0" applyFont="1"/>
    <xf numFmtId="0" fontId="7" fillId="0" borderId="15" xfId="0" applyFont="1" applyBorder="1" applyAlignment="1">
      <alignment horizontal="center" vertical="center" wrapText="1"/>
    </xf>
    <xf numFmtId="49" fontId="0" fillId="0" borderId="25" xfId="0" applyNumberFormat="1" applyBorder="1" applyAlignment="1">
      <alignment wrapText="1"/>
    </xf>
    <xf numFmtId="0" fontId="3" fillId="0" borderId="0" xfId="0" applyFont="1" applyAlignment="1">
      <alignment horizontal="center" vertical="center" wrapText="1"/>
    </xf>
    <xf numFmtId="171" fontId="3" fillId="0" borderId="0" xfId="0" applyNumberFormat="1" applyFont="1" applyAlignment="1">
      <alignment horizontal="center" vertical="center"/>
    </xf>
    <xf numFmtId="0" fontId="39" fillId="0" borderId="18" xfId="0" applyFont="1" applyBorder="1" applyAlignment="1">
      <alignment horizontal="center" vertical="top" wrapText="1"/>
    </xf>
    <xf numFmtId="0" fontId="2" fillId="0" borderId="4" xfId="0" applyFont="1" applyBorder="1"/>
    <xf numFmtId="0" fontId="2" fillId="0" borderId="5" xfId="0" applyFont="1" applyBorder="1"/>
    <xf numFmtId="0" fontId="7" fillId="0" borderId="61" xfId="0" applyFont="1" applyBorder="1" applyAlignment="1">
      <alignment horizontal="center" vertical="top" wrapText="1"/>
    </xf>
    <xf numFmtId="0" fontId="2" fillId="26" borderId="59" xfId="0" applyFont="1" applyFill="1" applyBorder="1" applyAlignment="1">
      <alignment horizontal="center" vertical="center" wrapText="1"/>
    </xf>
    <xf numFmtId="0" fontId="0" fillId="0" borderId="0" xfId="0" applyAlignment="1">
      <alignment horizontal="left"/>
    </xf>
    <xf numFmtId="1" fontId="2" fillId="26" borderId="78" xfId="0" applyNumberFormat="1" applyFont="1" applyFill="1" applyBorder="1" applyAlignment="1">
      <alignment horizontal="center" vertical="center" wrapText="1"/>
    </xf>
    <xf numFmtId="1" fontId="2" fillId="26" borderId="82" xfId="0" applyNumberFormat="1" applyFont="1" applyFill="1" applyBorder="1" applyAlignment="1">
      <alignment horizontal="center" vertical="center" wrapText="1"/>
    </xf>
    <xf numFmtId="0" fontId="2" fillId="26" borderId="48" xfId="0" applyFont="1" applyFill="1" applyBorder="1" applyAlignment="1">
      <alignment horizontal="center" vertical="center" wrapText="1"/>
    </xf>
    <xf numFmtId="0" fontId="7" fillId="0" borderId="8" xfId="0" applyFont="1" applyBorder="1" applyAlignment="1">
      <alignment horizontal="center" vertical="top" wrapText="1"/>
    </xf>
    <xf numFmtId="0" fontId="7" fillId="0" borderId="6" xfId="0" applyFont="1" applyBorder="1" applyAlignment="1">
      <alignment horizontal="center" vertical="top" wrapText="1"/>
    </xf>
    <xf numFmtId="0" fontId="7" fillId="0" borderId="6" xfId="0" applyFont="1" applyBorder="1" applyAlignment="1">
      <alignment vertical="top" wrapText="1"/>
    </xf>
    <xf numFmtId="0" fontId="2" fillId="0" borderId="6" xfId="0" applyFont="1" applyBorder="1" applyAlignment="1">
      <alignment horizontal="center" vertical="top" wrapText="1"/>
    </xf>
    <xf numFmtId="7" fontId="37" fillId="26" borderId="233" xfId="0" applyNumberFormat="1" applyFont="1" applyFill="1" applyBorder="1" applyAlignment="1">
      <alignment vertical="center"/>
    </xf>
    <xf numFmtId="0" fontId="40" fillId="26" borderId="237" xfId="0" applyFont="1" applyFill="1" applyBorder="1" applyAlignment="1">
      <alignment vertical="center"/>
    </xf>
    <xf numFmtId="37" fontId="41" fillId="26" borderId="234" xfId="0" applyNumberFormat="1" applyFont="1" applyFill="1" applyBorder="1" applyAlignment="1">
      <alignment horizontal="left" vertical="center"/>
    </xf>
    <xf numFmtId="37" fontId="40" fillId="26" borderId="234" xfId="0" applyNumberFormat="1" applyFont="1" applyFill="1" applyBorder="1" applyAlignment="1">
      <alignment horizontal="center" vertical="center" wrapText="1"/>
    </xf>
    <xf numFmtId="164" fontId="41" fillId="26" borderId="234" xfId="0" applyNumberFormat="1" applyFont="1" applyFill="1" applyBorder="1" applyAlignment="1">
      <alignment horizontal="center" vertical="center" wrapText="1"/>
    </xf>
    <xf numFmtId="39" fontId="40" fillId="26" borderId="234" xfId="0" applyNumberFormat="1" applyFont="1" applyFill="1" applyBorder="1" applyAlignment="1">
      <alignment horizontal="center" vertical="center" wrapText="1"/>
    </xf>
    <xf numFmtId="7" fontId="37" fillId="26" borderId="234" xfId="0" applyNumberFormat="1" applyFont="1" applyFill="1" applyBorder="1" applyAlignment="1">
      <alignment horizontal="right" vertical="center" wrapText="1"/>
    </xf>
    <xf numFmtId="39" fontId="36" fillId="26" borderId="239" xfId="0" applyNumberFormat="1" applyFont="1" applyFill="1" applyBorder="1" applyAlignment="1">
      <alignment horizontal="center" vertical="center" wrapText="1"/>
    </xf>
    <xf numFmtId="7" fontId="36" fillId="26" borderId="235" xfId="0" applyNumberFormat="1" applyFont="1" applyFill="1" applyBorder="1" applyAlignment="1">
      <alignment vertical="center" wrapText="1"/>
    </xf>
    <xf numFmtId="37" fontId="36" fillId="26" borderId="234" xfId="0" applyNumberFormat="1" applyFont="1" applyFill="1" applyBorder="1" applyAlignment="1">
      <alignment horizontal="center" vertical="center" wrapText="1"/>
    </xf>
    <xf numFmtId="7" fontId="37" fillId="26" borderId="113" xfId="0" applyNumberFormat="1" applyFont="1" applyFill="1" applyBorder="1" applyAlignment="1">
      <alignment vertical="center"/>
    </xf>
    <xf numFmtId="0" fontId="40" fillId="26" borderId="75" xfId="0" applyFont="1" applyFill="1" applyBorder="1" applyAlignment="1">
      <alignment vertical="center"/>
    </xf>
    <xf numFmtId="37" fontId="41" fillId="26" borderId="109" xfId="0" applyNumberFormat="1" applyFont="1" applyFill="1" applyBorder="1" applyAlignment="1">
      <alignment horizontal="left" vertical="center"/>
    </xf>
    <xf numFmtId="37" fontId="40" fillId="26" borderId="109" xfId="0" applyNumberFormat="1" applyFont="1" applyFill="1" applyBorder="1" applyAlignment="1">
      <alignment horizontal="center" vertical="center" wrapText="1"/>
    </xf>
    <xf numFmtId="164" fontId="41" fillId="26" borderId="109" xfId="0" applyNumberFormat="1" applyFont="1" applyFill="1" applyBorder="1" applyAlignment="1">
      <alignment horizontal="center" vertical="center" wrapText="1"/>
    </xf>
    <xf numFmtId="39" fontId="40" fillId="26" borderId="109" xfId="0" applyNumberFormat="1" applyFont="1" applyFill="1" applyBorder="1" applyAlignment="1">
      <alignment horizontal="center" vertical="center" wrapText="1"/>
    </xf>
    <xf numFmtId="7" fontId="37" fillId="26" borderId="109" xfId="0" applyNumberFormat="1" applyFont="1" applyFill="1" applyBorder="1" applyAlignment="1">
      <alignment horizontal="right" vertical="center" wrapText="1"/>
    </xf>
    <xf numFmtId="39" fontId="36" fillId="26" borderId="120" xfId="0" applyNumberFormat="1" applyFont="1" applyFill="1" applyBorder="1" applyAlignment="1">
      <alignment horizontal="center" vertical="center" wrapText="1"/>
    </xf>
    <xf numFmtId="7" fontId="36" fillId="26" borderId="114" xfId="0" applyNumberFormat="1" applyFont="1" applyFill="1" applyBorder="1" applyAlignment="1">
      <alignment vertical="center" wrapText="1"/>
    </xf>
    <xf numFmtId="37" fontId="36" fillId="26" borderId="109" xfId="0" applyNumberFormat="1" applyFont="1" applyFill="1" applyBorder="1" applyAlignment="1">
      <alignment horizontal="center" vertical="center" wrapText="1"/>
    </xf>
    <xf numFmtId="44" fontId="7" fillId="0" borderId="0" xfId="0" applyNumberFormat="1" applyFont="1" applyAlignment="1">
      <alignment horizontal="center" vertical="center"/>
    </xf>
    <xf numFmtId="49" fontId="3" fillId="26" borderId="229" xfId="0" applyNumberFormat="1" applyFont="1" applyFill="1" applyBorder="1" applyAlignment="1" applyProtection="1">
      <alignment horizontal="right" vertical="center" shrinkToFit="1"/>
      <protection locked="0"/>
    </xf>
    <xf numFmtId="49" fontId="3" fillId="26" borderId="72" xfId="0" applyNumberFormat="1" applyFont="1" applyFill="1" applyBorder="1" applyAlignment="1" applyProtection="1">
      <alignment horizontal="right" vertical="center" shrinkToFit="1"/>
      <protection locked="0"/>
    </xf>
    <xf numFmtId="49" fontId="32" fillId="0" borderId="55" xfId="0" applyNumberFormat="1" applyFont="1" applyBorder="1" applyAlignment="1">
      <alignment vertical="top" wrapText="1"/>
    </xf>
    <xf numFmtId="49" fontId="32" fillId="0" borderId="56" xfId="0" applyNumberFormat="1" applyFont="1" applyBorder="1" applyAlignment="1">
      <alignment vertical="top" wrapText="1"/>
    </xf>
    <xf numFmtId="0" fontId="7" fillId="0" borderId="9" xfId="0" applyFont="1" applyBorder="1" applyAlignment="1">
      <alignment horizontal="center" vertical="center" wrapText="1"/>
    </xf>
    <xf numFmtId="0" fontId="7" fillId="0" borderId="11" xfId="0" applyFont="1" applyBorder="1" applyAlignment="1">
      <alignment horizontal="center" vertical="center" wrapText="1"/>
    </xf>
    <xf numFmtId="1" fontId="7" fillId="0" borderId="9" xfId="0" applyNumberFormat="1" applyFont="1" applyBorder="1" applyAlignment="1" applyProtection="1">
      <alignment horizontal="center" vertical="center" wrapText="1"/>
      <protection hidden="1"/>
    </xf>
    <xf numFmtId="1" fontId="7" fillId="0" borderId="11" xfId="0" applyNumberFormat="1" applyFont="1" applyBorder="1" applyAlignment="1" applyProtection="1">
      <alignment horizontal="center" vertical="center" wrapText="1"/>
      <protection hidden="1"/>
    </xf>
    <xf numFmtId="0" fontId="3" fillId="0" borderId="1" xfId="0" applyFont="1" applyBorder="1" applyAlignment="1">
      <alignment horizontal="center" vertical="top" wrapText="1"/>
    </xf>
    <xf numFmtId="0" fontId="3" fillId="0" borderId="4" xfId="0" applyFont="1" applyBorder="1" applyAlignment="1">
      <alignment horizontal="center" vertical="top" wrapText="1"/>
    </xf>
    <xf numFmtId="0" fontId="7" fillId="0" borderId="1" xfId="0" applyFont="1" applyBorder="1" applyAlignment="1">
      <alignment horizontal="left" vertical="top" wrapText="1"/>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7" fillId="0" borderId="7" xfId="0" applyFont="1" applyBorder="1" applyAlignment="1">
      <alignment horizontal="left" vertical="top" wrapText="1"/>
    </xf>
    <xf numFmtId="0" fontId="7" fillId="0" borderId="0" xfId="0" applyFont="1" applyAlignment="1">
      <alignment horizontal="left" vertical="top" wrapText="1"/>
    </xf>
    <xf numFmtId="0" fontId="7" fillId="0" borderId="8" xfId="0" applyFont="1" applyBorder="1" applyAlignment="1">
      <alignment horizontal="left" vertical="top" wrapText="1"/>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7" xfId="0" applyFont="1" applyBorder="1" applyAlignment="1">
      <alignment horizontal="center" vertical="top" wrapText="1"/>
    </xf>
    <xf numFmtId="0" fontId="5" fillId="0" borderId="0" xfId="0" applyFont="1" applyAlignment="1">
      <alignment horizontal="center" vertical="top" wrapText="1"/>
    </xf>
    <xf numFmtId="0" fontId="5" fillId="0" borderId="8" xfId="0" applyFont="1" applyBorder="1" applyAlignment="1">
      <alignment horizontal="center" vertical="top" wrapText="1"/>
    </xf>
    <xf numFmtId="0" fontId="5" fillId="0" borderId="5" xfId="0" applyFont="1" applyBorder="1" applyAlignment="1">
      <alignment horizontal="center" vertical="top" wrapText="1"/>
    </xf>
    <xf numFmtId="0" fontId="5" fillId="0" borderId="6" xfId="0" applyFont="1" applyBorder="1" applyAlignment="1">
      <alignment horizontal="center" vertical="top" wrapText="1"/>
    </xf>
    <xf numFmtId="0" fontId="3" fillId="0" borderId="26" xfId="0" applyFont="1" applyBorder="1" applyAlignment="1">
      <alignment horizontal="center" vertical="top" wrapText="1"/>
    </xf>
    <xf numFmtId="0" fontId="3" fillId="0" borderId="255" xfId="0" applyFont="1" applyBorder="1" applyAlignment="1">
      <alignment horizontal="center" vertical="top" wrapText="1"/>
    </xf>
    <xf numFmtId="0" fontId="3" fillId="28" borderId="27" xfId="0" applyFont="1" applyFill="1" applyBorder="1" applyAlignment="1" applyProtection="1">
      <alignment horizontal="left" vertical="top" wrapText="1"/>
      <protection locked="0"/>
    </xf>
    <xf numFmtId="0" fontId="3" fillId="28" borderId="2" xfId="0" applyFont="1" applyFill="1" applyBorder="1" applyAlignment="1" applyProtection="1">
      <alignment horizontal="left" vertical="top" wrapText="1"/>
      <protection locked="0"/>
    </xf>
    <xf numFmtId="0" fontId="3" fillId="28" borderId="3" xfId="0" applyFont="1" applyFill="1" applyBorder="1" applyAlignment="1" applyProtection="1">
      <alignment horizontal="left" vertical="top" wrapText="1"/>
      <protection locked="0"/>
    </xf>
    <xf numFmtId="0" fontId="3" fillId="28" borderId="33" xfId="0" applyFont="1" applyFill="1" applyBorder="1" applyAlignment="1" applyProtection="1">
      <alignment horizontal="left" vertical="top" wrapText="1"/>
      <protection locked="0"/>
    </xf>
    <xf numFmtId="0" fontId="3" fillId="28" borderId="5" xfId="0" applyFont="1" applyFill="1" applyBorder="1" applyAlignment="1" applyProtection="1">
      <alignment horizontal="left" vertical="top" wrapText="1"/>
      <protection locked="0"/>
    </xf>
    <xf numFmtId="0" fontId="3" fillId="28" borderId="6" xfId="0" applyFont="1" applyFill="1" applyBorder="1" applyAlignment="1" applyProtection="1">
      <alignment horizontal="left" vertical="top" wrapText="1"/>
      <protection locked="0"/>
    </xf>
    <xf numFmtId="0" fontId="2" fillId="26" borderId="3" xfId="0" applyFont="1" applyFill="1" applyBorder="1" applyAlignment="1" applyProtection="1">
      <alignment horizontal="center" vertical="center" wrapText="1"/>
      <protection locked="0"/>
    </xf>
    <xf numFmtId="0" fontId="2" fillId="26" borderId="8" xfId="0" applyFont="1" applyFill="1" applyBorder="1" applyAlignment="1" applyProtection="1">
      <alignment horizontal="center" vertical="center" wrapText="1"/>
      <protection locked="0"/>
    </xf>
    <xf numFmtId="0" fontId="2" fillId="26" borderId="6" xfId="0" applyFont="1" applyFill="1" applyBorder="1" applyAlignment="1" applyProtection="1">
      <alignment horizontal="center" vertical="center" wrapText="1"/>
      <protection locked="0"/>
    </xf>
    <xf numFmtId="0" fontId="7" fillId="0" borderId="1" xfId="0" applyFont="1" applyBorder="1" applyAlignment="1">
      <alignment horizontal="left" vertical="top" wrapText="1" indent="1"/>
    </xf>
    <xf numFmtId="0" fontId="7" fillId="0" borderId="2" xfId="0" applyFont="1" applyBorder="1" applyAlignment="1">
      <alignment horizontal="left" vertical="top" wrapText="1" indent="1"/>
    </xf>
    <xf numFmtId="0" fontId="7" fillId="0" borderId="3" xfId="0" applyFont="1" applyBorder="1" applyAlignment="1">
      <alignment horizontal="left" vertical="top" wrapText="1" indent="1"/>
    </xf>
    <xf numFmtId="0" fontId="3" fillId="0" borderId="4" xfId="0" applyFont="1" applyBorder="1" applyAlignment="1">
      <alignment horizontal="left" vertical="top" wrapText="1" indent="1"/>
    </xf>
    <xf numFmtId="0" fontId="3" fillId="0" borderId="5" xfId="0" applyFont="1" applyBorder="1" applyAlignment="1">
      <alignment horizontal="left" vertical="top" wrapText="1" indent="1"/>
    </xf>
    <xf numFmtId="0" fontId="3" fillId="0" borderId="6" xfId="0" applyFont="1" applyBorder="1" applyAlignment="1">
      <alignment horizontal="left" vertical="top" wrapText="1" indent="1"/>
    </xf>
    <xf numFmtId="0" fontId="2" fillId="0" borderId="7" xfId="0" applyFont="1" applyBorder="1" applyAlignment="1">
      <alignment horizontal="left" vertical="top" wrapText="1" indent="3"/>
    </xf>
    <xf numFmtId="0" fontId="2" fillId="0" borderId="0" xfId="0" applyFont="1" applyAlignment="1">
      <alignment horizontal="left" vertical="top" wrapText="1" indent="3"/>
    </xf>
    <xf numFmtId="0" fontId="2" fillId="0" borderId="8" xfId="0" applyFont="1" applyBorder="1" applyAlignment="1">
      <alignment horizontal="left" vertical="top" wrapText="1" indent="3"/>
    </xf>
    <xf numFmtId="0" fontId="20" fillId="0" borderId="7" xfId="0" applyFont="1" applyBorder="1" applyAlignment="1">
      <alignment horizontal="left" vertical="top" wrapText="1" indent="3"/>
    </xf>
    <xf numFmtId="0" fontId="20" fillId="0" borderId="0" xfId="0" applyFont="1" applyAlignment="1">
      <alignment horizontal="left" vertical="top" wrapText="1" indent="3"/>
    </xf>
    <xf numFmtId="0" fontId="20" fillId="0" borderId="8" xfId="0" applyFont="1" applyBorder="1" applyAlignment="1">
      <alignment horizontal="left" vertical="top" wrapText="1" indent="3"/>
    </xf>
    <xf numFmtId="0" fontId="2" fillId="0" borderId="7" xfId="0" applyFont="1" applyBorder="1" applyAlignment="1">
      <alignment horizontal="left" vertical="top" wrapText="1" indent="2"/>
    </xf>
    <xf numFmtId="0" fontId="2" fillId="0" borderId="0" xfId="0" applyFont="1" applyAlignment="1">
      <alignment horizontal="left" vertical="top" wrapText="1" indent="2"/>
    </xf>
    <xf numFmtId="0" fontId="2" fillId="0" borderId="8" xfId="0" applyFont="1" applyBorder="1" applyAlignment="1">
      <alignment horizontal="left" vertical="top" wrapText="1" indent="2"/>
    </xf>
    <xf numFmtId="0" fontId="2" fillId="0" borderId="7" xfId="0" applyFont="1" applyBorder="1" applyAlignment="1">
      <alignment horizontal="left" vertical="top" wrapText="1" indent="1"/>
    </xf>
    <xf numFmtId="0" fontId="2" fillId="0" borderId="0" xfId="0" applyFont="1" applyAlignment="1">
      <alignment horizontal="left" vertical="top" wrapText="1" indent="1"/>
    </xf>
    <xf numFmtId="0" fontId="2" fillId="0" borderId="8" xfId="0" applyFont="1" applyBorder="1" applyAlignment="1">
      <alignment horizontal="left" vertical="top" wrapText="1" indent="1"/>
    </xf>
    <xf numFmtId="0" fontId="2" fillId="28" borderId="15" xfId="0" applyFont="1" applyFill="1" applyBorder="1" applyAlignment="1" applyProtection="1">
      <alignment horizontal="center" vertical="center" wrapText="1"/>
      <protection locked="0"/>
    </xf>
    <xf numFmtId="0" fontId="2" fillId="28" borderId="13" xfId="0" applyFont="1" applyFill="1" applyBorder="1" applyAlignment="1" applyProtection="1">
      <alignment horizontal="center" vertical="center" wrapText="1"/>
      <protection locked="0"/>
    </xf>
    <xf numFmtId="0" fontId="2" fillId="28" borderId="14" xfId="0" applyFont="1" applyFill="1" applyBorder="1" applyAlignment="1" applyProtection="1">
      <alignment horizontal="center" vertical="center" wrapText="1"/>
      <protection locked="0"/>
    </xf>
    <xf numFmtId="49" fontId="2" fillId="26" borderId="23" xfId="0" applyNumberFormat="1" applyFont="1" applyFill="1" applyBorder="1" applyAlignment="1" applyProtection="1">
      <alignment horizontal="left" vertical="top" wrapText="1" indent="1"/>
      <protection locked="0"/>
    </xf>
    <xf numFmtId="49" fontId="2" fillId="26" borderId="24" xfId="0" applyNumberFormat="1" applyFont="1" applyFill="1" applyBorder="1" applyAlignment="1" applyProtection="1">
      <alignment horizontal="left" vertical="top" wrapText="1" indent="1"/>
      <protection locked="0"/>
    </xf>
    <xf numFmtId="49" fontId="2" fillId="26" borderId="36" xfId="0" applyNumberFormat="1" applyFont="1" applyFill="1" applyBorder="1" applyAlignment="1" applyProtection="1">
      <alignment horizontal="left" vertical="top" wrapText="1" indent="1"/>
      <protection locked="0"/>
    </xf>
    <xf numFmtId="1" fontId="7" fillId="0" borderId="1" xfId="0" applyNumberFormat="1" applyFont="1" applyBorder="1" applyAlignment="1" applyProtection="1">
      <alignment horizontal="center" vertical="center" wrapText="1"/>
      <protection hidden="1"/>
    </xf>
    <xf numFmtId="1" fontId="7" fillId="0" borderId="3" xfId="0" applyNumberFormat="1" applyFont="1" applyBorder="1" applyAlignment="1" applyProtection="1">
      <alignment horizontal="center" vertical="center" wrapText="1"/>
      <protection hidden="1"/>
    </xf>
    <xf numFmtId="1" fontId="7" fillId="0" borderId="4" xfId="0" applyNumberFormat="1" applyFont="1" applyBorder="1" applyAlignment="1" applyProtection="1">
      <alignment horizontal="center" vertical="center" wrapText="1"/>
      <protection hidden="1"/>
    </xf>
    <xf numFmtId="1" fontId="7" fillId="0" borderId="6" xfId="0" applyNumberFormat="1" applyFont="1" applyBorder="1" applyAlignment="1" applyProtection="1">
      <alignment horizontal="center" vertical="center" wrapText="1"/>
      <protection hidden="1"/>
    </xf>
    <xf numFmtId="0" fontId="10" fillId="0" borderId="1" xfId="0" applyFont="1" applyBorder="1" applyAlignment="1">
      <alignment horizontal="left" vertical="top" wrapText="1" indent="1"/>
    </xf>
    <xf numFmtId="0" fontId="10" fillId="0" borderId="2" xfId="0" applyFont="1" applyBorder="1" applyAlignment="1">
      <alignment horizontal="left" vertical="top" wrapText="1" indent="1"/>
    </xf>
    <xf numFmtId="0" fontId="10" fillId="0" borderId="3" xfId="0" applyFont="1" applyBorder="1" applyAlignment="1">
      <alignment horizontal="left" vertical="top" wrapText="1" indent="1"/>
    </xf>
    <xf numFmtId="0" fontId="6" fillId="0" borderId="7" xfId="0" applyFont="1" applyBorder="1" applyAlignment="1">
      <alignment horizontal="right" wrapText="1"/>
    </xf>
    <xf numFmtId="0" fontId="6" fillId="0" borderId="0" xfId="0" applyFont="1" applyAlignment="1">
      <alignment horizontal="right" wrapText="1"/>
    </xf>
    <xf numFmtId="0" fontId="6" fillId="0" borderId="8" xfId="0" applyFont="1" applyBorder="1" applyAlignment="1">
      <alignment horizontal="right" wrapText="1"/>
    </xf>
    <xf numFmtId="0" fontId="6" fillId="0" borderId="4" xfId="0" applyFont="1" applyBorder="1" applyAlignment="1">
      <alignment horizontal="right" wrapText="1"/>
    </xf>
    <xf numFmtId="0" fontId="6" fillId="0" borderId="5" xfId="0" applyFont="1" applyBorder="1" applyAlignment="1">
      <alignment horizontal="right" wrapText="1"/>
    </xf>
    <xf numFmtId="0" fontId="6" fillId="0" borderId="6" xfId="0" applyFont="1" applyBorder="1" applyAlignment="1">
      <alignment horizontal="right" wrapText="1"/>
    </xf>
    <xf numFmtId="0" fontId="12" fillId="0" borderId="4" xfId="0" applyFont="1" applyBorder="1" applyAlignment="1">
      <alignment horizontal="left" vertical="top" wrapText="1"/>
    </xf>
    <xf numFmtId="0" fontId="12" fillId="0" borderId="5" xfId="0" applyFont="1" applyBorder="1" applyAlignment="1">
      <alignment horizontal="left" vertical="top" wrapText="1"/>
    </xf>
    <xf numFmtId="0" fontId="12" fillId="0" borderId="6" xfId="0" applyFont="1" applyBorder="1" applyAlignment="1">
      <alignment horizontal="left" vertical="top" wrapText="1"/>
    </xf>
    <xf numFmtId="0" fontId="3" fillId="0" borderId="7" xfId="0" applyFont="1" applyBorder="1" applyAlignment="1">
      <alignment horizontal="left" wrapText="1"/>
    </xf>
    <xf numFmtId="0" fontId="3" fillId="0" borderId="0" xfId="0" applyFont="1" applyAlignment="1">
      <alignment horizontal="left" wrapText="1"/>
    </xf>
    <xf numFmtId="0" fontId="3" fillId="0" borderId="8" xfId="0" applyFont="1" applyBorder="1" applyAlignment="1">
      <alignment horizontal="left" wrapText="1"/>
    </xf>
    <xf numFmtId="0" fontId="3" fillId="0" borderId="4" xfId="0" applyFont="1" applyBorder="1" applyAlignment="1">
      <alignment horizontal="left" wrapText="1"/>
    </xf>
    <xf numFmtId="0" fontId="3" fillId="0" borderId="5" xfId="0" applyFont="1" applyBorder="1" applyAlignment="1">
      <alignment horizontal="left" wrapText="1"/>
    </xf>
    <xf numFmtId="0" fontId="3" fillId="0" borderId="6" xfId="0" applyFont="1" applyBorder="1" applyAlignment="1">
      <alignment horizontal="left" wrapText="1"/>
    </xf>
    <xf numFmtId="0" fontId="3" fillId="26" borderId="2" xfId="0" applyFont="1" applyFill="1" applyBorder="1" applyAlignment="1" applyProtection="1">
      <alignment horizontal="left" vertical="top" wrapText="1"/>
      <protection locked="0"/>
    </xf>
    <xf numFmtId="0" fontId="3" fillId="26" borderId="3" xfId="0" applyFont="1" applyFill="1" applyBorder="1" applyAlignment="1" applyProtection="1">
      <alignment horizontal="left" vertical="top" wrapText="1"/>
      <protection locked="0"/>
    </xf>
    <xf numFmtId="0" fontId="3" fillId="26" borderId="5" xfId="0" applyFont="1" applyFill="1" applyBorder="1" applyAlignment="1" applyProtection="1">
      <alignment horizontal="left" vertical="top" wrapText="1"/>
      <protection locked="0"/>
    </xf>
    <xf numFmtId="0" fontId="3" fillId="26" borderId="6" xfId="0" applyFont="1" applyFill="1" applyBorder="1" applyAlignment="1" applyProtection="1">
      <alignment horizontal="left" vertical="top" wrapText="1"/>
      <protection locked="0"/>
    </xf>
    <xf numFmtId="44" fontId="2" fillId="26" borderId="42" xfId="0" applyNumberFormat="1" applyFont="1" applyFill="1" applyBorder="1" applyAlignment="1" applyProtection="1">
      <alignment horizontal="right" vertical="center"/>
      <protection locked="0"/>
    </xf>
    <xf numFmtId="0" fontId="3" fillId="26" borderId="10" xfId="0" applyFont="1" applyFill="1" applyBorder="1" applyAlignment="1" applyProtection="1">
      <alignment horizontal="left" vertical="top" wrapText="1"/>
      <protection locked="0"/>
    </xf>
    <xf numFmtId="0" fontId="3" fillId="26" borderId="11" xfId="0" applyFont="1" applyFill="1" applyBorder="1" applyAlignment="1" applyProtection="1">
      <alignment horizontal="left" vertical="top" wrapText="1"/>
      <protection locked="0"/>
    </xf>
    <xf numFmtId="0" fontId="6" fillId="0" borderId="1" xfId="0" applyFont="1" applyBorder="1" applyAlignment="1">
      <alignment horizontal="left" vertical="top" wrapText="1"/>
    </xf>
    <xf numFmtId="0" fontId="6" fillId="0" borderId="2" xfId="0" applyFont="1" applyBorder="1" applyAlignment="1">
      <alignment horizontal="left" vertical="top" wrapText="1"/>
    </xf>
    <xf numFmtId="0" fontId="6" fillId="0" borderId="3" xfId="0" applyFont="1" applyBorder="1" applyAlignment="1">
      <alignment horizontal="left" vertical="top" wrapText="1"/>
    </xf>
    <xf numFmtId="0" fontId="2" fillId="26" borderId="9" xfId="0" applyFont="1" applyFill="1" applyBorder="1" applyAlignment="1" applyProtection="1">
      <alignment horizontal="center" vertical="center" wrapText="1"/>
      <protection locked="0"/>
    </xf>
    <xf numFmtId="0" fontId="2" fillId="26" borderId="11" xfId="0" applyFont="1" applyFill="1" applyBorder="1" applyAlignment="1" applyProtection="1">
      <alignment horizontal="center" vertical="center" wrapText="1"/>
      <protection locked="0"/>
    </xf>
    <xf numFmtId="0" fontId="6" fillId="0" borderId="1" xfId="0" applyFont="1" applyBorder="1" applyAlignment="1">
      <alignment horizontal="right" wrapText="1"/>
    </xf>
    <xf numFmtId="0" fontId="6" fillId="0" borderId="2" xfId="0" applyFont="1" applyBorder="1" applyAlignment="1">
      <alignment horizontal="right" wrapText="1"/>
    </xf>
    <xf numFmtId="0" fontId="6" fillId="0" borderId="3" xfId="0" applyFont="1" applyBorder="1" applyAlignment="1">
      <alignment horizontal="right" wrapText="1"/>
    </xf>
    <xf numFmtId="164" fontId="2" fillId="26" borderId="37" xfId="0" applyNumberFormat="1" applyFont="1" applyFill="1" applyBorder="1" applyAlignment="1" applyProtection="1">
      <alignment horizontal="right" vertical="center"/>
      <protection locked="0"/>
    </xf>
    <xf numFmtId="164" fontId="2" fillId="26" borderId="16" xfId="0" applyNumberFormat="1" applyFont="1" applyFill="1" applyBorder="1" applyAlignment="1" applyProtection="1">
      <alignment horizontal="center"/>
      <protection locked="0"/>
    </xf>
    <xf numFmtId="44" fontId="2" fillId="26" borderId="16" xfId="0" applyNumberFormat="1" applyFont="1" applyFill="1" applyBorder="1" applyAlignment="1" applyProtection="1">
      <alignment horizontal="right"/>
      <protection locked="0"/>
    </xf>
    <xf numFmtId="44" fontId="2" fillId="26" borderId="47" xfId="0" applyNumberFormat="1" applyFont="1" applyFill="1" applyBorder="1" applyAlignment="1" applyProtection="1">
      <alignment horizontal="right" vertical="center"/>
      <protection locked="0"/>
    </xf>
    <xf numFmtId="44" fontId="7" fillId="0" borderId="45" xfId="0" applyNumberFormat="1" applyFont="1" applyBorder="1" applyAlignment="1">
      <alignment horizontal="right"/>
    </xf>
    <xf numFmtId="44" fontId="7" fillId="0" borderId="39" xfId="0" applyNumberFormat="1" applyFont="1" applyBorder="1"/>
    <xf numFmtId="1" fontId="7" fillId="0" borderId="55" xfId="0" applyNumberFormat="1" applyFont="1" applyBorder="1" applyAlignment="1">
      <alignment horizontal="right" indent="1"/>
    </xf>
    <xf numFmtId="1" fontId="7" fillId="0" borderId="56" xfId="0" applyNumberFormat="1" applyFont="1" applyBorder="1" applyAlignment="1">
      <alignment horizontal="right" indent="1"/>
    </xf>
    <xf numFmtId="1" fontId="7" fillId="0" borderId="49" xfId="0" applyNumberFormat="1" applyFont="1" applyBorder="1" applyAlignment="1">
      <alignment horizontal="right" indent="1"/>
    </xf>
    <xf numFmtId="0" fontId="7" fillId="0" borderId="41" xfId="0" applyFont="1" applyBorder="1" applyAlignment="1">
      <alignment horizontal="center"/>
    </xf>
    <xf numFmtId="0" fontId="7" fillId="0" borderId="46" xfId="0" applyFont="1" applyBorder="1" applyAlignment="1">
      <alignment horizontal="center"/>
    </xf>
    <xf numFmtId="0" fontId="7" fillId="0" borderId="35" xfId="0" applyFont="1" applyBorder="1" applyAlignment="1">
      <alignment horizontal="center"/>
    </xf>
    <xf numFmtId="0" fontId="7" fillId="0" borderId="25" xfId="0" applyFont="1" applyBorder="1" applyAlignment="1">
      <alignment horizontal="center"/>
    </xf>
    <xf numFmtId="164" fontId="2" fillId="26" borderId="18" xfId="0" applyNumberFormat="1" applyFont="1" applyFill="1" applyBorder="1" applyAlignment="1" applyProtection="1">
      <alignment horizontal="right" vertical="center"/>
      <protection locked="0"/>
    </xf>
    <xf numFmtId="0" fontId="7" fillId="0" borderId="1" xfId="0" applyFont="1" applyBorder="1" applyAlignment="1">
      <alignment horizontal="left" wrapText="1"/>
    </xf>
    <xf numFmtId="0" fontId="7" fillId="0" borderId="3" xfId="0" applyFont="1" applyBorder="1" applyAlignment="1">
      <alignment horizontal="left" wrapText="1"/>
    </xf>
    <xf numFmtId="0" fontId="6" fillId="0" borderId="1" xfId="0" applyFont="1" applyBorder="1" applyAlignment="1">
      <alignment vertical="top" wrapText="1"/>
    </xf>
    <xf numFmtId="0" fontId="0" fillId="0" borderId="2" xfId="0" applyBorder="1" applyAlignment="1">
      <alignment wrapText="1"/>
    </xf>
    <xf numFmtId="0" fontId="0" fillId="0" borderId="3" xfId="0" applyBorder="1" applyAlignment="1">
      <alignment wrapText="1"/>
    </xf>
    <xf numFmtId="0" fontId="0" fillId="0" borderId="7" xfId="0" applyBorder="1" applyAlignment="1">
      <alignment wrapText="1"/>
    </xf>
    <xf numFmtId="0" fontId="0" fillId="0" borderId="0" xfId="0" applyAlignment="1">
      <alignment wrapText="1"/>
    </xf>
    <xf numFmtId="0" fontId="0" fillId="0" borderId="8" xfId="0" applyBorder="1" applyAlignment="1">
      <alignment wrapText="1"/>
    </xf>
    <xf numFmtId="44" fontId="2" fillId="26" borderId="38" xfId="0" applyNumberFormat="1" applyFont="1" applyFill="1" applyBorder="1" applyProtection="1">
      <protection locked="0"/>
    </xf>
    <xf numFmtId="0" fontId="7" fillId="0" borderId="7" xfId="0" applyFont="1" applyBorder="1" applyAlignment="1">
      <alignment horizontal="left" vertical="center" wrapText="1" indent="1"/>
    </xf>
    <xf numFmtId="0" fontId="7" fillId="0" borderId="0" xfId="0" applyFont="1" applyAlignment="1">
      <alignment horizontal="left" vertical="center" wrapText="1" indent="1"/>
    </xf>
    <xf numFmtId="0" fontId="7" fillId="0" borderId="8" xfId="0" applyFont="1" applyBorder="1" applyAlignment="1">
      <alignment horizontal="left" vertical="center" wrapText="1" indent="1"/>
    </xf>
    <xf numFmtId="0" fontId="7" fillId="0" borderId="16" xfId="0" applyFont="1" applyBorder="1" applyAlignment="1">
      <alignment horizontal="center"/>
    </xf>
    <xf numFmtId="0" fontId="7" fillId="0" borderId="18" xfId="0" applyFont="1" applyBorder="1" applyAlignment="1">
      <alignment horizontal="center"/>
    </xf>
    <xf numFmtId="0" fontId="7" fillId="0" borderId="42" xfId="0" applyFont="1" applyBorder="1" applyAlignment="1">
      <alignment horizontal="center"/>
    </xf>
    <xf numFmtId="0" fontId="7" fillId="0" borderId="47" xfId="0" applyFont="1" applyBorder="1" applyAlignment="1">
      <alignment horizontal="center"/>
    </xf>
    <xf numFmtId="164" fontId="2" fillId="26" borderId="18" xfId="0" applyNumberFormat="1" applyFont="1" applyFill="1" applyBorder="1" applyAlignment="1" applyProtection="1">
      <alignment horizontal="center"/>
      <protection locked="0"/>
    </xf>
    <xf numFmtId="0" fontId="59" fillId="0" borderId="1" xfId="0" applyFont="1" applyBorder="1" applyAlignment="1">
      <alignment horizontal="left" wrapText="1" indent="5"/>
    </xf>
    <xf numFmtId="0" fontId="0" fillId="0" borderId="2" xfId="0" applyBorder="1" applyAlignment="1">
      <alignment horizontal="left" wrapText="1" indent="1"/>
    </xf>
    <xf numFmtId="0" fontId="0" fillId="0" borderId="3" xfId="0" applyBorder="1" applyAlignment="1">
      <alignment horizontal="left" wrapText="1" indent="1"/>
    </xf>
    <xf numFmtId="0" fontId="59" fillId="0" borderId="7" xfId="0" applyFont="1" applyBorder="1" applyAlignment="1">
      <alignment horizontal="left" wrapText="1" indent="5"/>
    </xf>
    <xf numFmtId="0" fontId="0" fillId="0" borderId="0" xfId="0" applyAlignment="1">
      <alignment horizontal="left" wrapText="1"/>
    </xf>
    <xf numFmtId="0" fontId="0" fillId="0" borderId="8" xfId="0" applyBorder="1" applyAlignment="1">
      <alignment horizontal="left" wrapText="1"/>
    </xf>
    <xf numFmtId="0" fontId="0" fillId="0" borderId="0" xfId="0" applyAlignment="1">
      <alignment horizontal="left" wrapText="1" indent="1"/>
    </xf>
    <xf numFmtId="0" fontId="0" fillId="0" borderId="8" xfId="0" applyBorder="1" applyAlignment="1">
      <alignment horizontal="left" wrapText="1" indent="1"/>
    </xf>
    <xf numFmtId="0" fontId="59" fillId="0" borderId="4" xfId="0" applyFont="1" applyBorder="1" applyAlignment="1">
      <alignment horizontal="left" wrapText="1" indent="5"/>
    </xf>
    <xf numFmtId="0" fontId="0" fillId="0" borderId="5" xfId="0" applyBorder="1" applyAlignment="1">
      <alignment horizontal="left" wrapText="1"/>
    </xf>
    <xf numFmtId="0" fontId="0" fillId="0" borderId="6" xfId="0" applyBorder="1" applyAlignment="1">
      <alignment horizontal="left" wrapText="1"/>
    </xf>
    <xf numFmtId="0" fontId="6" fillId="0" borderId="15"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9" xfId="0" applyFont="1" applyBorder="1" applyAlignment="1">
      <alignment horizontal="center" vertical="top" wrapText="1"/>
    </xf>
    <xf numFmtId="0" fontId="6" fillId="0" borderId="10" xfId="0" applyFont="1" applyBorder="1" applyAlignment="1">
      <alignment horizontal="center" vertical="top" wrapText="1"/>
    </xf>
    <xf numFmtId="0" fontId="6" fillId="0" borderId="11" xfId="0" applyFont="1" applyBorder="1" applyAlignment="1">
      <alignment horizontal="center" vertical="top" wrapText="1"/>
    </xf>
    <xf numFmtId="44" fontId="2" fillId="26" borderId="42" xfId="0" applyNumberFormat="1" applyFont="1" applyFill="1" applyBorder="1" applyAlignment="1" applyProtection="1">
      <alignment horizontal="center"/>
      <protection locked="0"/>
    </xf>
    <xf numFmtId="44" fontId="2" fillId="26" borderId="47" xfId="0" applyNumberFormat="1" applyFont="1" applyFill="1" applyBorder="1" applyAlignment="1" applyProtection="1">
      <alignment horizontal="center"/>
      <protection locked="0"/>
    </xf>
    <xf numFmtId="0" fontId="2" fillId="0" borderId="44" xfId="0" applyFont="1" applyBorder="1" applyAlignment="1">
      <alignment horizontal="left" indent="3"/>
    </xf>
    <xf numFmtId="0" fontId="2" fillId="0" borderId="42" xfId="0" applyFont="1" applyBorder="1" applyAlignment="1">
      <alignment horizontal="left" indent="3"/>
    </xf>
    <xf numFmtId="0" fontId="7" fillId="0" borderId="37" xfId="0" applyFont="1" applyBorder="1" applyAlignment="1">
      <alignment horizontal="left" indent="1"/>
    </xf>
    <xf numFmtId="0" fontId="7" fillId="0" borderId="17" xfId="0" applyFont="1" applyBorder="1" applyAlignment="1">
      <alignment horizontal="left" indent="1"/>
    </xf>
    <xf numFmtId="44" fontId="2" fillId="0" borderId="42" xfId="0" applyNumberFormat="1" applyFont="1" applyBorder="1" applyAlignment="1">
      <alignment horizontal="center"/>
    </xf>
    <xf numFmtId="44" fontId="2" fillId="0" borderId="47" xfId="0" applyNumberFormat="1" applyFont="1" applyBorder="1" applyAlignment="1">
      <alignment horizontal="center"/>
    </xf>
    <xf numFmtId="0" fontId="7" fillId="0" borderId="37" xfId="0" applyFont="1" applyBorder="1" applyAlignment="1">
      <alignment horizontal="left" wrapText="1" indent="1"/>
    </xf>
    <xf numFmtId="0" fontId="7" fillId="0" borderId="17" xfId="0" applyFont="1" applyBorder="1" applyAlignment="1">
      <alignment horizontal="left" wrapText="1" indent="1"/>
    </xf>
    <xf numFmtId="0" fontId="7" fillId="0" borderId="1" xfId="0" applyFont="1" applyBorder="1" applyAlignment="1">
      <alignment horizontal="center" vertical="center" wrapText="1"/>
    </xf>
    <xf numFmtId="0" fontId="7" fillId="0" borderId="3" xfId="0" applyFont="1" applyBorder="1" applyAlignment="1">
      <alignment horizontal="center" vertical="center" wrapText="1"/>
    </xf>
    <xf numFmtId="49" fontId="3" fillId="26" borderId="7" xfId="0" applyNumberFormat="1" applyFont="1" applyFill="1" applyBorder="1" applyAlignment="1" applyProtection="1">
      <alignment horizontal="left" vertical="top"/>
      <protection locked="0"/>
    </xf>
    <xf numFmtId="49" fontId="3" fillId="26" borderId="0" xfId="0" applyNumberFormat="1" applyFont="1" applyFill="1" applyAlignment="1" applyProtection="1">
      <alignment horizontal="left" vertical="top"/>
      <protection locked="0"/>
    </xf>
    <xf numFmtId="49" fontId="3" fillId="26" borderId="8" xfId="0" applyNumberFormat="1" applyFont="1" applyFill="1" applyBorder="1" applyAlignment="1" applyProtection="1">
      <alignment horizontal="left" vertical="top"/>
      <protection locked="0"/>
    </xf>
    <xf numFmtId="49" fontId="0" fillId="0" borderId="4" xfId="0" applyNumberFormat="1" applyBorder="1" applyProtection="1">
      <protection locked="0"/>
    </xf>
    <xf numFmtId="49" fontId="0" fillId="0" borderId="5" xfId="0" applyNumberFormat="1" applyBorder="1" applyProtection="1">
      <protection locked="0"/>
    </xf>
    <xf numFmtId="49" fontId="0" fillId="0" borderId="6" xfId="0" applyNumberFormat="1" applyBorder="1" applyProtection="1">
      <protection locked="0"/>
    </xf>
    <xf numFmtId="0" fontId="3" fillId="0" borderId="1" xfId="0" applyFont="1"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7" xfId="0" applyBorder="1" applyAlignment="1">
      <alignment horizontal="left" vertical="top" wrapText="1"/>
    </xf>
    <xf numFmtId="0" fontId="0" fillId="0" borderId="0" xfId="0" applyAlignment="1">
      <alignment horizontal="left" vertical="top" wrapText="1"/>
    </xf>
    <xf numFmtId="0" fontId="0" fillId="0" borderId="8" xfId="0" applyBorder="1" applyAlignment="1">
      <alignment horizontal="left" vertical="top" wrapText="1"/>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horizontal="center" vertical="center" wrapText="1"/>
    </xf>
    <xf numFmtId="0" fontId="7" fillId="0" borderId="6" xfId="0" applyFont="1" applyBorder="1" applyAlignment="1">
      <alignment horizontal="center" vertical="center" wrapText="1"/>
    </xf>
    <xf numFmtId="0" fontId="2" fillId="0" borderId="7" xfId="0" applyFont="1" applyBorder="1" applyAlignment="1">
      <alignment horizontal="left" wrapText="1" indent="2"/>
    </xf>
    <xf numFmtId="0" fontId="2" fillId="0" borderId="0" xfId="0" applyFont="1" applyAlignment="1">
      <alignment horizontal="left" wrapText="1" indent="2"/>
    </xf>
    <xf numFmtId="0" fontId="2" fillId="0" borderId="8" xfId="0" applyFont="1" applyBorder="1" applyAlignment="1">
      <alignment horizontal="left" wrapText="1" indent="2"/>
    </xf>
    <xf numFmtId="0" fontId="7" fillId="0" borderId="1"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6" xfId="0" applyFont="1" applyBorder="1" applyAlignment="1">
      <alignment horizontal="center" vertical="center"/>
    </xf>
    <xf numFmtId="44" fontId="2" fillId="26" borderId="16" xfId="0" applyNumberFormat="1" applyFont="1" applyFill="1" applyBorder="1" applyAlignment="1" applyProtection="1">
      <alignment horizontal="center"/>
      <protection locked="0"/>
    </xf>
    <xf numFmtId="44" fontId="2" fillId="26" borderId="38" xfId="0" applyNumberFormat="1" applyFont="1" applyFill="1" applyBorder="1" applyAlignment="1" applyProtection="1">
      <alignment horizontal="center"/>
      <protection locked="0"/>
    </xf>
    <xf numFmtId="0" fontId="7" fillId="0" borderId="67" xfId="0" applyFont="1" applyBorder="1" applyAlignment="1">
      <alignment horizontal="center"/>
    </xf>
    <xf numFmtId="0" fontId="7" fillId="0" borderId="66" xfId="0" applyFont="1" applyBorder="1" applyAlignment="1">
      <alignment horizontal="center"/>
    </xf>
    <xf numFmtId="0" fontId="7" fillId="0" borderId="64" xfId="0" applyFont="1" applyBorder="1" applyAlignment="1">
      <alignment horizontal="center"/>
    </xf>
    <xf numFmtId="0" fontId="6" fillId="0" borderId="1" xfId="0" applyFont="1" applyBorder="1" applyAlignment="1">
      <alignment horizontal="right" vertical="top" wrapText="1"/>
    </xf>
    <xf numFmtId="0" fontId="6" fillId="0" borderId="2" xfId="0" applyFont="1" applyBorder="1" applyAlignment="1">
      <alignment horizontal="right" vertical="top" wrapText="1"/>
    </xf>
    <xf numFmtId="0" fontId="6" fillId="0" borderId="3" xfId="0" applyFont="1" applyBorder="1" applyAlignment="1">
      <alignment horizontal="right" vertical="top" wrapText="1"/>
    </xf>
    <xf numFmtId="0" fontId="6" fillId="0" borderId="4" xfId="0" applyFont="1" applyBorder="1" applyAlignment="1">
      <alignment horizontal="right" vertical="top" wrapText="1"/>
    </xf>
    <xf numFmtId="0" fontId="6" fillId="0" borderId="5" xfId="0" applyFont="1" applyBorder="1" applyAlignment="1">
      <alignment horizontal="right" vertical="top" wrapText="1"/>
    </xf>
    <xf numFmtId="0" fontId="6" fillId="0" borderId="6" xfId="0" applyFont="1" applyBorder="1" applyAlignment="1">
      <alignment horizontal="right" vertical="top" wrapText="1"/>
    </xf>
    <xf numFmtId="44" fontId="2" fillId="26" borderId="17" xfId="0" applyNumberFormat="1" applyFont="1" applyFill="1" applyBorder="1" applyAlignment="1" applyProtection="1">
      <alignment horizontal="center"/>
      <protection locked="0"/>
    </xf>
    <xf numFmtId="0" fontId="7" fillId="0" borderId="62" xfId="0" applyFont="1" applyBorder="1" applyAlignment="1">
      <alignment horizontal="center"/>
    </xf>
    <xf numFmtId="0" fontId="12" fillId="0" borderId="4" xfId="0" applyFont="1" applyBorder="1" applyAlignment="1">
      <alignment horizontal="center" vertical="top" wrapText="1"/>
    </xf>
    <xf numFmtId="0" fontId="12" fillId="0" borderId="5" xfId="0" applyFont="1" applyBorder="1" applyAlignment="1">
      <alignment horizontal="center" vertical="top" wrapText="1"/>
    </xf>
    <xf numFmtId="0" fontId="12" fillId="0" borderId="6" xfId="0" applyFont="1" applyBorder="1" applyAlignment="1">
      <alignment horizontal="center" vertical="top" wrapText="1"/>
    </xf>
    <xf numFmtId="0" fontId="2" fillId="0" borderId="4" xfId="0" applyFont="1" applyBorder="1" applyAlignment="1">
      <alignment horizontal="left" vertical="top" wrapText="1" indent="2"/>
    </xf>
    <xf numFmtId="0" fontId="2" fillId="0" borderId="5" xfId="0" applyFont="1" applyBorder="1" applyAlignment="1">
      <alignment horizontal="left" vertical="top" wrapText="1" indent="2"/>
    </xf>
    <xf numFmtId="0" fontId="2" fillId="0" borderId="6" xfId="0" applyFont="1" applyBorder="1" applyAlignment="1">
      <alignment horizontal="left" vertical="top" wrapText="1" indent="2"/>
    </xf>
    <xf numFmtId="0" fontId="7" fillId="0" borderId="18" xfId="0" applyFont="1" applyBorder="1" applyAlignment="1">
      <alignment horizontal="left" wrapText="1" indent="1"/>
    </xf>
    <xf numFmtId="44" fontId="2" fillId="26" borderId="16" xfId="0" applyNumberFormat="1" applyFont="1" applyFill="1" applyBorder="1" applyAlignment="1" applyProtection="1">
      <alignment horizontal="center" vertical="center"/>
      <protection locked="0"/>
    </xf>
    <xf numFmtId="44" fontId="2" fillId="26" borderId="18" xfId="0" applyNumberFormat="1" applyFont="1" applyFill="1" applyBorder="1" applyAlignment="1" applyProtection="1">
      <alignment horizontal="center" vertical="center"/>
      <protection locked="0"/>
    </xf>
    <xf numFmtId="164" fontId="2" fillId="26" borderId="16" xfId="0" applyNumberFormat="1" applyFont="1" applyFill="1" applyBorder="1" applyAlignment="1" applyProtection="1">
      <alignment horizontal="left"/>
      <protection locked="0"/>
    </xf>
    <xf numFmtId="164" fontId="2" fillId="26" borderId="18" xfId="0" applyNumberFormat="1" applyFont="1" applyFill="1" applyBorder="1" applyAlignment="1" applyProtection="1">
      <alignment horizontal="left"/>
      <protection locked="0"/>
    </xf>
    <xf numFmtId="0" fontId="2" fillId="0" borderId="37" xfId="0" applyFont="1" applyBorder="1" applyAlignment="1">
      <alignment horizontal="left" indent="3"/>
    </xf>
    <xf numFmtId="0" fontId="2" fillId="0" borderId="17" xfId="0" applyFont="1" applyBorder="1" applyAlignment="1">
      <alignment horizontal="left" indent="3"/>
    </xf>
    <xf numFmtId="0" fontId="2" fillId="0" borderId="1" xfId="0" applyFont="1" applyBorder="1" applyAlignment="1">
      <alignment horizontal="center" vertical="center" wrapText="1"/>
    </xf>
    <xf numFmtId="0" fontId="2" fillId="0" borderId="3"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3" fillId="0" borderId="4" xfId="0" applyFont="1" applyBorder="1" applyAlignment="1">
      <alignment horizontal="left" wrapText="1" indent="1"/>
    </xf>
    <xf numFmtId="0" fontId="0" fillId="0" borderId="5" xfId="0" applyBorder="1"/>
    <xf numFmtId="0" fontId="0" fillId="0" borderId="6" xfId="0" applyBorder="1"/>
    <xf numFmtId="44" fontId="7" fillId="0" borderId="42" xfId="0" applyNumberFormat="1" applyFont="1" applyBorder="1" applyAlignment="1">
      <alignment horizontal="center" vertical="center"/>
    </xf>
    <xf numFmtId="44" fontId="7" fillId="0" borderId="47" xfId="0" applyNumberFormat="1" applyFont="1" applyBorder="1" applyAlignment="1">
      <alignment horizontal="center" vertical="center"/>
    </xf>
    <xf numFmtId="0" fontId="0" fillId="0" borderId="5" xfId="0" applyBorder="1" applyAlignment="1">
      <alignment horizontal="right" vertical="top" wrapText="1"/>
    </xf>
    <xf numFmtId="0" fontId="0" fillId="0" borderId="6" xfId="0" applyBorder="1" applyAlignment="1">
      <alignment horizontal="right" vertical="top" wrapText="1"/>
    </xf>
    <xf numFmtId="0" fontId="6" fillId="0" borderId="1" xfId="0" applyFont="1" applyBorder="1" applyAlignment="1">
      <alignment horizontal="center" vertical="top" wrapText="1"/>
    </xf>
    <xf numFmtId="0" fontId="6" fillId="0" borderId="2" xfId="0" applyFont="1" applyBorder="1" applyAlignment="1">
      <alignment horizontal="center" vertical="top" wrapText="1"/>
    </xf>
    <xf numFmtId="0" fontId="6" fillId="0" borderId="3" xfId="0" applyFont="1" applyBorder="1" applyAlignment="1">
      <alignment horizontal="center" vertical="top" wrapText="1"/>
    </xf>
    <xf numFmtId="0" fontId="2" fillId="0" borderId="37" xfId="0" applyFont="1" applyBorder="1" applyAlignment="1">
      <alignment horizontal="left" wrapText="1" indent="3"/>
    </xf>
    <xf numFmtId="0" fontId="2" fillId="0" borderId="17" xfId="0" applyFont="1" applyBorder="1" applyAlignment="1">
      <alignment horizontal="left" wrapText="1" indent="3"/>
    </xf>
    <xf numFmtId="0" fontId="2" fillId="0" borderId="18" xfId="0" applyFont="1" applyBorder="1" applyAlignment="1">
      <alignment horizontal="left" wrapText="1" indent="3"/>
    </xf>
    <xf numFmtId="44" fontId="2" fillId="26" borderId="19" xfId="0" applyNumberFormat="1" applyFont="1" applyFill="1" applyBorder="1" applyAlignment="1" applyProtection="1">
      <alignment horizontal="center"/>
      <protection locked="0"/>
    </xf>
    <xf numFmtId="44" fontId="2" fillId="26" borderId="32" xfId="0" applyNumberFormat="1" applyFont="1" applyFill="1" applyBorder="1" applyAlignment="1" applyProtection="1">
      <alignment horizontal="center"/>
      <protection locked="0"/>
    </xf>
    <xf numFmtId="0" fontId="2" fillId="26" borderId="15" xfId="0" applyFont="1" applyFill="1" applyBorder="1" applyAlignment="1" applyProtection="1">
      <alignment horizontal="center" vertical="center" wrapText="1"/>
      <protection locked="0"/>
    </xf>
    <xf numFmtId="0" fontId="2" fillId="26" borderId="13" xfId="0" applyFont="1" applyFill="1" applyBorder="1" applyAlignment="1" applyProtection="1">
      <alignment horizontal="center" vertical="center" wrapText="1"/>
      <protection locked="0"/>
    </xf>
    <xf numFmtId="0" fontId="2" fillId="0" borderId="7" xfId="0" applyFont="1" applyBorder="1" applyAlignment="1">
      <alignment horizontal="left" vertical="top" wrapText="1" indent="5"/>
    </xf>
    <xf numFmtId="0" fontId="2" fillId="0" borderId="0" xfId="0" applyFont="1" applyAlignment="1">
      <alignment horizontal="left" vertical="top" wrapText="1" indent="5"/>
    </xf>
    <xf numFmtId="0" fontId="2" fillId="0" borderId="8" xfId="0" applyFont="1" applyBorder="1" applyAlignment="1">
      <alignment horizontal="left" vertical="top" wrapText="1" indent="5"/>
    </xf>
    <xf numFmtId="0" fontId="3" fillId="0" borderId="0" xfId="0" applyFont="1" applyAlignment="1">
      <alignment horizontal="left" vertical="top" wrapText="1" indent="1"/>
    </xf>
    <xf numFmtId="0" fontId="10" fillId="0" borderId="1" xfId="0" applyFont="1" applyBorder="1" applyAlignment="1">
      <alignment horizontal="left" vertical="center" wrapText="1" indent="1"/>
    </xf>
    <xf numFmtId="0" fontId="10" fillId="0" borderId="2" xfId="0" applyFont="1" applyBorder="1" applyAlignment="1">
      <alignment horizontal="left" vertical="center" wrapText="1" indent="1"/>
    </xf>
    <xf numFmtId="0" fontId="10" fillId="0" borderId="3" xfId="0" applyFont="1" applyBorder="1" applyAlignment="1">
      <alignment horizontal="left" vertical="center" wrapText="1" indent="1"/>
    </xf>
    <xf numFmtId="0" fontId="2" fillId="0" borderId="7" xfId="0" applyFont="1" applyBorder="1" applyAlignment="1">
      <alignment horizontal="left" vertical="center" wrapText="1" indent="5"/>
    </xf>
    <xf numFmtId="0" fontId="2" fillId="0" borderId="0" xfId="0" applyFont="1" applyAlignment="1">
      <alignment horizontal="left" vertical="center" wrapText="1" indent="5"/>
    </xf>
    <xf numFmtId="0" fontId="2" fillId="0" borderId="8" xfId="0" applyFont="1" applyBorder="1" applyAlignment="1">
      <alignment horizontal="left" vertical="center" wrapText="1" indent="5"/>
    </xf>
    <xf numFmtId="0" fontId="8" fillId="0" borderId="4" xfId="0" applyFont="1" applyBorder="1" applyAlignment="1">
      <alignment horizontal="left" vertical="center" wrapText="1" indent="1"/>
    </xf>
    <xf numFmtId="0" fontId="3" fillId="0" borderId="5" xfId="0" applyFont="1" applyBorder="1" applyAlignment="1">
      <alignment horizontal="left" vertical="center" wrapText="1" indent="1"/>
    </xf>
    <xf numFmtId="0" fontId="3" fillId="0" borderId="6" xfId="0" applyFont="1" applyBorder="1" applyAlignment="1">
      <alignment horizontal="left" vertical="center" wrapText="1" indent="1"/>
    </xf>
    <xf numFmtId="0" fontId="6" fillId="0" borderId="1" xfId="0" applyFont="1" applyBorder="1" applyAlignment="1">
      <alignment horizontal="right" vertical="center" wrapText="1"/>
    </xf>
    <xf numFmtId="0" fontId="6" fillId="0" borderId="2" xfId="0" applyFont="1" applyBorder="1" applyAlignment="1">
      <alignment horizontal="right" vertical="center" wrapText="1"/>
    </xf>
    <xf numFmtId="0" fontId="6" fillId="0" borderId="3" xfId="0" applyFont="1" applyBorder="1" applyAlignment="1">
      <alignment horizontal="right" vertical="center" wrapText="1"/>
    </xf>
    <xf numFmtId="0" fontId="6" fillId="0" borderId="7" xfId="0" applyFont="1" applyBorder="1" applyAlignment="1">
      <alignment horizontal="right" vertical="center" wrapText="1"/>
    </xf>
    <xf numFmtId="0" fontId="6" fillId="0" borderId="0" xfId="0" applyFont="1" applyAlignment="1">
      <alignment horizontal="right" vertical="center" wrapText="1"/>
    </xf>
    <xf numFmtId="0" fontId="6" fillId="0" borderId="8" xfId="0" applyFont="1" applyBorder="1" applyAlignment="1">
      <alignment horizontal="right" vertical="center" wrapText="1"/>
    </xf>
    <xf numFmtId="0" fontId="6" fillId="0" borderId="4" xfId="0" applyFont="1" applyBorder="1" applyAlignment="1">
      <alignment horizontal="right" vertical="center" wrapText="1"/>
    </xf>
    <xf numFmtId="0" fontId="6" fillId="0" borderId="5" xfId="0" applyFont="1" applyBorder="1" applyAlignment="1">
      <alignment horizontal="right" vertical="center" wrapText="1"/>
    </xf>
    <xf numFmtId="0" fontId="6" fillId="0" borderId="6" xfId="0" applyFont="1" applyBorder="1" applyAlignment="1">
      <alignment horizontal="right" vertical="center" wrapText="1"/>
    </xf>
    <xf numFmtId="0" fontId="7" fillId="0" borderId="30" xfId="0" applyFont="1" applyBorder="1" applyAlignment="1">
      <alignment horizontal="right" vertical="top" wrapText="1"/>
    </xf>
    <xf numFmtId="0" fontId="7" fillId="0" borderId="31" xfId="0" applyFont="1" applyBorder="1" applyAlignment="1">
      <alignment horizontal="right" vertical="top" wrapText="1"/>
    </xf>
    <xf numFmtId="0" fontId="7" fillId="0" borderId="60" xfId="0" applyFont="1" applyBorder="1" applyAlignment="1">
      <alignment horizontal="left" vertical="top" wrapText="1" indent="1"/>
    </xf>
    <xf numFmtId="0" fontId="14" fillId="0" borderId="53" xfId="0" applyFont="1" applyBorder="1" applyAlignment="1">
      <alignment horizontal="left" indent="1"/>
    </xf>
    <xf numFmtId="0" fontId="2" fillId="0" borderId="44" xfId="0" applyFont="1" applyBorder="1" applyAlignment="1">
      <alignment horizontal="left" vertical="center" wrapText="1" indent="1"/>
    </xf>
    <xf numFmtId="0" fontId="0" fillId="0" borderId="42" xfId="0" applyBorder="1" applyAlignment="1">
      <alignment horizontal="left" indent="1"/>
    </xf>
    <xf numFmtId="0" fontId="0" fillId="0" borderId="44" xfId="0" applyBorder="1" applyAlignment="1">
      <alignment horizontal="left" indent="1"/>
    </xf>
    <xf numFmtId="0" fontId="2" fillId="0" borderId="44" xfId="0" applyFont="1" applyBorder="1" applyAlignment="1">
      <alignment horizontal="left" vertical="top" wrapText="1" indent="1"/>
    </xf>
    <xf numFmtId="0" fontId="2" fillId="0" borderId="42" xfId="0" applyFont="1" applyBorder="1" applyAlignment="1">
      <alignment horizontal="left" vertical="top" wrapText="1" indent="1"/>
    </xf>
    <xf numFmtId="0" fontId="7" fillId="0" borderId="12" xfId="0" applyFont="1" applyBorder="1" applyAlignment="1">
      <alignment horizontal="left" vertical="center" wrapText="1"/>
    </xf>
    <xf numFmtId="0" fontId="0" fillId="0" borderId="12" xfId="0" applyBorder="1" applyAlignment="1">
      <alignment horizontal="left" vertical="center" wrapText="1"/>
    </xf>
    <xf numFmtId="0" fontId="7" fillId="0" borderId="132" xfId="0" applyFont="1" applyBorder="1" applyAlignment="1">
      <alignment horizontal="left" vertical="center" wrapText="1"/>
    </xf>
    <xf numFmtId="0" fontId="7" fillId="0" borderId="133" xfId="0" applyFont="1" applyBorder="1" applyAlignment="1">
      <alignment horizontal="left" vertical="center" wrapText="1"/>
    </xf>
    <xf numFmtId="0" fontId="7" fillId="0" borderId="134" xfId="0" applyFont="1" applyBorder="1" applyAlignment="1">
      <alignment horizontal="left" vertical="center" wrapText="1"/>
    </xf>
    <xf numFmtId="0" fontId="7" fillId="0" borderId="35" xfId="0" applyFont="1" applyBorder="1" applyAlignment="1">
      <alignment horizontal="left" vertical="center" wrapText="1"/>
    </xf>
    <xf numFmtId="0" fontId="7" fillId="0" borderId="24" xfId="0" applyFont="1" applyBorder="1" applyAlignment="1">
      <alignment horizontal="left" vertical="center" wrapText="1"/>
    </xf>
    <xf numFmtId="0" fontId="7" fillId="0" borderId="25" xfId="0" applyFont="1" applyBorder="1" applyAlignment="1">
      <alignment horizontal="left" vertical="center" wrapText="1"/>
    </xf>
    <xf numFmtId="0" fontId="2" fillId="0" borderId="1" xfId="0" applyFont="1" applyBorder="1" applyAlignment="1">
      <alignment horizontal="left" vertical="center" indent="2"/>
    </xf>
    <xf numFmtId="0" fontId="2" fillId="0" borderId="2" xfId="0" applyFont="1" applyBorder="1" applyAlignment="1">
      <alignment horizontal="left" vertical="center" indent="2"/>
    </xf>
    <xf numFmtId="0" fontId="2" fillId="0" borderId="3" xfId="0" applyFont="1" applyBorder="1" applyAlignment="1">
      <alignment horizontal="left" vertical="center" indent="2"/>
    </xf>
    <xf numFmtId="0" fontId="2" fillId="0" borderId="4" xfId="0" applyFont="1" applyBorder="1" applyAlignment="1">
      <alignment horizontal="left" vertical="center" indent="2"/>
    </xf>
    <xf numFmtId="0" fontId="2" fillId="0" borderId="5" xfId="0" applyFont="1" applyBorder="1" applyAlignment="1">
      <alignment horizontal="left" vertical="center" indent="2"/>
    </xf>
    <xf numFmtId="0" fontId="2" fillId="0" borderId="6" xfId="0" applyFont="1" applyBorder="1" applyAlignment="1">
      <alignment horizontal="left" vertical="center" indent="2"/>
    </xf>
    <xf numFmtId="0" fontId="31" fillId="0" borderId="2" xfId="0" applyFont="1" applyBorder="1" applyAlignment="1">
      <alignment horizontal="left" vertical="top" wrapText="1" indent="1"/>
    </xf>
    <xf numFmtId="0" fontId="0" fillId="0" borderId="2" xfId="0" applyBorder="1" applyAlignment="1">
      <alignment horizontal="left" vertical="top" wrapText="1" indent="1"/>
    </xf>
    <xf numFmtId="0" fontId="0" fillId="0" borderId="3" xfId="0" applyBorder="1" applyAlignment="1">
      <alignment horizontal="left" vertical="top" wrapText="1" indent="1"/>
    </xf>
    <xf numFmtId="0" fontId="0" fillId="0" borderId="5" xfId="0" applyBorder="1" applyAlignment="1">
      <alignment horizontal="left" vertical="top" wrapText="1" indent="1"/>
    </xf>
    <xf numFmtId="0" fontId="0" fillId="0" borderId="6" xfId="0" applyBorder="1" applyAlignment="1">
      <alignment horizontal="left" vertical="top" wrapText="1" indent="1"/>
    </xf>
    <xf numFmtId="0" fontId="3" fillId="26" borderId="10" xfId="0" applyFont="1" applyFill="1" applyBorder="1" applyAlignment="1" applyProtection="1">
      <alignment horizontal="center" vertical="top" wrapText="1"/>
      <protection locked="0"/>
    </xf>
    <xf numFmtId="0" fontId="3" fillId="26" borderId="11" xfId="0" applyFont="1" applyFill="1" applyBorder="1" applyAlignment="1" applyProtection="1">
      <alignment horizontal="center" vertical="top" wrapText="1"/>
      <protection locked="0"/>
    </xf>
    <xf numFmtId="0" fontId="7" fillId="0" borderId="15" xfId="0" applyFont="1" applyBorder="1" applyAlignment="1">
      <alignment horizontal="center" vertical="center" wrapText="1"/>
    </xf>
    <xf numFmtId="0" fontId="0" fillId="0" borderId="13" xfId="0" applyBorder="1" applyAlignment="1">
      <alignment horizontal="center" vertical="center" wrapText="1"/>
    </xf>
    <xf numFmtId="0" fontId="0" fillId="0" borderId="13" xfId="0" applyBorder="1"/>
    <xf numFmtId="0" fontId="0" fillId="0" borderId="14" xfId="0" applyBorder="1"/>
    <xf numFmtId="0" fontId="6" fillId="0" borderId="9" xfId="0" applyFont="1" applyBorder="1" applyAlignment="1">
      <alignment horizontal="right" vertical="top" wrapText="1"/>
    </xf>
    <xf numFmtId="0" fontId="0" fillId="0" borderId="10" xfId="0" applyBorder="1" applyAlignment="1">
      <alignment horizontal="right" vertical="top" wrapText="1"/>
    </xf>
    <xf numFmtId="0" fontId="0" fillId="0" borderId="11" xfId="0" applyBorder="1" applyAlignment="1">
      <alignment horizontal="right" vertical="top" wrapText="1"/>
    </xf>
    <xf numFmtId="0" fontId="7" fillId="0" borderId="61" xfId="0" applyFont="1" applyBorder="1" applyAlignment="1">
      <alignment horizontal="center" vertical="top" wrapText="1"/>
    </xf>
    <xf numFmtId="0" fontId="7" fillId="0" borderId="62" xfId="0" applyFont="1" applyBorder="1" applyAlignment="1">
      <alignment horizontal="center" vertical="top" wrapText="1"/>
    </xf>
    <xf numFmtId="164" fontId="2" fillId="26" borderId="0" xfId="0" applyNumberFormat="1" applyFont="1" applyFill="1" applyAlignment="1" applyProtection="1">
      <alignment horizontal="left" vertical="top" wrapText="1"/>
      <protection locked="0"/>
    </xf>
    <xf numFmtId="164" fontId="2" fillId="26" borderId="8" xfId="0" applyNumberFormat="1" applyFont="1" applyFill="1" applyBorder="1" applyAlignment="1" applyProtection="1">
      <alignment horizontal="left" vertical="top" wrapText="1"/>
      <protection locked="0"/>
    </xf>
    <xf numFmtId="165" fontId="2" fillId="0" borderId="1" xfId="0" applyNumberFormat="1" applyFont="1" applyBorder="1" applyAlignment="1">
      <alignment horizontal="center" vertical="center" wrapText="1"/>
    </xf>
    <xf numFmtId="0" fontId="0" fillId="0" borderId="3" xfId="0" applyBorder="1"/>
    <xf numFmtId="0" fontId="0" fillId="0" borderId="4" xfId="0" applyBorder="1"/>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0" fillId="0" borderId="11" xfId="0" applyBorder="1"/>
    <xf numFmtId="0" fontId="0" fillId="0" borderId="2" xfId="0" applyBorder="1" applyAlignment="1">
      <alignment horizontal="left" wrapText="1"/>
    </xf>
    <xf numFmtId="0" fontId="0" fillId="0" borderId="3" xfId="0" applyBorder="1" applyAlignment="1">
      <alignment horizontal="left" wrapText="1"/>
    </xf>
    <xf numFmtId="49" fontId="3" fillId="26" borderId="10" xfId="0" applyNumberFormat="1" applyFont="1" applyFill="1" applyBorder="1" applyAlignment="1" applyProtection="1">
      <alignment horizontal="left" vertical="top" wrapText="1"/>
      <protection locked="0"/>
    </xf>
    <xf numFmtId="49" fontId="0" fillId="0" borderId="10" xfId="0" applyNumberFormat="1" applyBorder="1" applyProtection="1">
      <protection locked="0"/>
    </xf>
    <xf numFmtId="49" fontId="0" fillId="0" borderId="11" xfId="0" applyNumberFormat="1" applyBorder="1" applyProtection="1">
      <protection locked="0"/>
    </xf>
    <xf numFmtId="0" fontId="2" fillId="0" borderId="4" xfId="0" applyFont="1" applyBorder="1" applyAlignment="1">
      <alignment horizontal="left" vertical="center" wrapText="1" indent="1"/>
    </xf>
    <xf numFmtId="0" fontId="2" fillId="0" borderId="5" xfId="0" applyFont="1" applyBorder="1" applyAlignment="1">
      <alignment horizontal="left" vertical="center" wrapText="1" indent="1"/>
    </xf>
    <xf numFmtId="0" fontId="2" fillId="0" borderId="5" xfId="0" applyFont="1" applyBorder="1" applyAlignment="1">
      <alignment horizontal="left" vertical="center" indent="1"/>
    </xf>
    <xf numFmtId="0" fontId="2" fillId="0" borderId="6" xfId="0" applyFont="1" applyBorder="1" applyAlignment="1">
      <alignment horizontal="left" vertical="center" indent="1"/>
    </xf>
    <xf numFmtId="0" fontId="7" fillId="0" borderId="65" xfId="0" applyFont="1" applyBorder="1" applyAlignment="1">
      <alignment horizontal="center"/>
    </xf>
    <xf numFmtId="0" fontId="17" fillId="0" borderId="7" xfId="0" applyFont="1" applyBorder="1" applyAlignment="1">
      <alignment horizontal="left" vertical="top" wrapText="1" indent="3"/>
    </xf>
    <xf numFmtId="0" fontId="17" fillId="0" borderId="0" xfId="0" applyFont="1" applyAlignment="1">
      <alignment horizontal="left" vertical="top" wrapText="1" indent="3"/>
    </xf>
    <xf numFmtId="0" fontId="17" fillId="0" borderId="8" xfId="0" applyFont="1" applyBorder="1" applyAlignment="1">
      <alignment horizontal="left" vertical="top" wrapText="1" indent="3"/>
    </xf>
    <xf numFmtId="0" fontId="2" fillId="26" borderId="14" xfId="0" applyFont="1" applyFill="1" applyBorder="1" applyAlignment="1" applyProtection="1">
      <alignment horizontal="center" vertical="center" wrapText="1"/>
      <protection locked="0"/>
    </xf>
    <xf numFmtId="49" fontId="3" fillId="26" borderId="11" xfId="0" applyNumberFormat="1" applyFont="1" applyFill="1" applyBorder="1" applyAlignment="1" applyProtection="1">
      <alignment horizontal="left" vertical="top" wrapText="1"/>
      <protection locked="0"/>
    </xf>
    <xf numFmtId="0" fontId="6" fillId="0" borderId="4" xfId="0" applyFont="1" applyBorder="1" applyAlignment="1">
      <alignment horizontal="right" vertical="top" wrapText="1" indent="1"/>
    </xf>
    <xf numFmtId="0" fontId="6" fillId="0" borderId="5" xfId="0" applyFont="1" applyBorder="1" applyAlignment="1">
      <alignment horizontal="right" vertical="top" wrapText="1" indent="1"/>
    </xf>
    <xf numFmtId="0" fontId="6" fillId="0" borderId="6" xfId="0" applyFont="1" applyBorder="1" applyAlignment="1">
      <alignment horizontal="right" vertical="top" wrapText="1" indent="1"/>
    </xf>
    <xf numFmtId="0" fontId="13" fillId="0" borderId="2" xfId="0" applyFont="1" applyBorder="1" applyAlignment="1">
      <alignment horizontal="left" vertical="top" wrapText="1"/>
    </xf>
    <xf numFmtId="0" fontId="13" fillId="0" borderId="3" xfId="0" applyFont="1" applyBorder="1" applyAlignment="1">
      <alignment horizontal="left" vertical="top" wrapText="1"/>
    </xf>
    <xf numFmtId="0" fontId="13" fillId="0" borderId="0" xfId="0" applyFont="1" applyAlignment="1">
      <alignment horizontal="left" vertical="top" wrapText="1"/>
    </xf>
    <xf numFmtId="0" fontId="13" fillId="0" borderId="8" xfId="0" applyFont="1" applyBorder="1" applyAlignment="1">
      <alignment horizontal="left" vertical="top" wrapText="1"/>
    </xf>
    <xf numFmtId="0" fontId="8" fillId="0" borderId="0" xfId="0" applyFont="1" applyAlignment="1">
      <alignment horizontal="left" vertical="top" wrapText="1"/>
    </xf>
    <xf numFmtId="0" fontId="3" fillId="0" borderId="0" xfId="0" applyFont="1" applyAlignment="1">
      <alignment horizontal="left" vertical="top" wrapText="1"/>
    </xf>
    <xf numFmtId="0" fontId="3" fillId="0" borderId="8" xfId="0" applyFont="1" applyBorder="1" applyAlignment="1">
      <alignment horizontal="left" vertical="top" wrapText="1"/>
    </xf>
    <xf numFmtId="0" fontId="3" fillId="0" borderId="5" xfId="0" applyFont="1" applyBorder="1" applyAlignment="1">
      <alignment horizontal="left" vertical="top" wrapText="1"/>
    </xf>
    <xf numFmtId="0" fontId="3" fillId="0" borderId="6" xfId="0" applyFont="1" applyBorder="1" applyAlignment="1">
      <alignment horizontal="left" vertical="top" wrapText="1"/>
    </xf>
    <xf numFmtId="0" fontId="13" fillId="0" borderId="1" xfId="0" applyFont="1" applyBorder="1" applyAlignment="1">
      <alignment horizontal="left" vertical="top" wrapText="1"/>
    </xf>
    <xf numFmtId="0" fontId="13" fillId="0" borderId="7" xfId="0" applyFont="1" applyBorder="1" applyAlignment="1">
      <alignment horizontal="left" vertical="top" wrapText="1"/>
    </xf>
    <xf numFmtId="0" fontId="3" fillId="0" borderId="7" xfId="0" applyFont="1" applyBorder="1" applyAlignment="1">
      <alignment horizontal="left" vertical="top" wrapText="1" indent="1"/>
    </xf>
    <xf numFmtId="0" fontId="3" fillId="0" borderId="8" xfId="0" applyFont="1" applyBorder="1" applyAlignment="1">
      <alignment horizontal="left" vertical="top" wrapText="1" indent="1"/>
    </xf>
    <xf numFmtId="0" fontId="0" fillId="0" borderId="4" xfId="0" applyBorder="1" applyAlignment="1">
      <alignment horizontal="left" vertical="top" wrapText="1" indent="1"/>
    </xf>
    <xf numFmtId="164" fontId="2" fillId="26" borderId="4" xfId="0" applyNumberFormat="1" applyFont="1" applyFill="1" applyBorder="1" applyAlignment="1" applyProtection="1">
      <alignment horizontal="center" vertical="top" wrapText="1"/>
      <protection locked="0"/>
    </xf>
    <xf numFmtId="164" fontId="2" fillId="26" borderId="6" xfId="0" applyNumberFormat="1" applyFont="1" applyFill="1" applyBorder="1" applyAlignment="1" applyProtection="1">
      <alignment horizontal="center" vertical="top" wrapText="1"/>
      <protection locked="0"/>
    </xf>
    <xf numFmtId="49" fontId="2" fillId="0" borderId="59" xfId="0" applyNumberFormat="1" applyFont="1" applyBorder="1" applyAlignment="1">
      <alignment horizontal="left" vertical="top" wrapText="1" indent="1"/>
    </xf>
    <xf numFmtId="49" fontId="2" fillId="0" borderId="41" xfId="0" applyNumberFormat="1" applyFont="1" applyBorder="1" applyAlignment="1">
      <alignment horizontal="left" vertical="top" wrapText="1" indent="1"/>
    </xf>
    <xf numFmtId="0" fontId="5" fillId="0" borderId="9" xfId="0" applyFont="1" applyBorder="1" applyAlignment="1">
      <alignment vertical="top" wrapText="1"/>
    </xf>
    <xf numFmtId="0" fontId="5" fillId="0" borderId="10" xfId="0" applyFont="1" applyBorder="1" applyAlignment="1">
      <alignment vertical="top" wrapText="1"/>
    </xf>
    <xf numFmtId="0" fontId="5" fillId="0" borderId="11" xfId="0" applyFont="1" applyBorder="1" applyAlignment="1">
      <alignment vertical="top" wrapText="1"/>
    </xf>
    <xf numFmtId="0" fontId="6" fillId="0" borderId="9" xfId="0" applyFont="1" applyBorder="1" applyAlignment="1">
      <alignment horizontal="left" vertical="top" wrapText="1"/>
    </xf>
    <xf numFmtId="0" fontId="6" fillId="0" borderId="10" xfId="0" applyFont="1" applyBorder="1" applyAlignment="1">
      <alignment horizontal="left" vertical="top" wrapText="1"/>
    </xf>
    <xf numFmtId="0" fontId="6" fillId="0" borderId="11" xfId="0" applyFont="1" applyBorder="1" applyAlignment="1">
      <alignment horizontal="left" vertical="top" wrapText="1"/>
    </xf>
    <xf numFmtId="0" fontId="14" fillId="0" borderId="2" xfId="0" applyFont="1" applyBorder="1"/>
    <xf numFmtId="0" fontId="14" fillId="0" borderId="3" xfId="0" applyFont="1" applyBorder="1"/>
    <xf numFmtId="0" fontId="9" fillId="0" borderId="4" xfId="0" applyFont="1" applyBorder="1" applyAlignment="1">
      <alignment horizontal="left" vertical="top" wrapText="1" indent="1"/>
    </xf>
    <xf numFmtId="0" fontId="9" fillId="0" borderId="5" xfId="0" applyFont="1" applyBorder="1" applyAlignment="1">
      <alignment horizontal="left" vertical="top" wrapText="1" indent="1"/>
    </xf>
    <xf numFmtId="0" fontId="9" fillId="0" borderId="6" xfId="0" applyFont="1" applyBorder="1" applyAlignment="1">
      <alignment horizontal="left" vertical="top" wrapText="1" indent="1"/>
    </xf>
    <xf numFmtId="0" fontId="17" fillId="0" borderId="7" xfId="0" applyFont="1" applyBorder="1" applyAlignment="1">
      <alignment horizontal="left" vertical="top" wrapText="1" indent="2"/>
    </xf>
    <xf numFmtId="0" fontId="17" fillId="0" borderId="0" xfId="0" applyFont="1" applyAlignment="1">
      <alignment horizontal="left" vertical="top" wrapText="1" indent="2"/>
    </xf>
    <xf numFmtId="0" fontId="17" fillId="0" borderId="8" xfId="0" applyFont="1" applyBorder="1" applyAlignment="1">
      <alignment horizontal="left" vertical="top" wrapText="1" indent="2"/>
    </xf>
    <xf numFmtId="0" fontId="86" fillId="0" borderId="4" xfId="0" applyFont="1" applyBorder="1" applyAlignment="1">
      <alignment horizontal="left" vertical="top" wrapText="1" indent="1"/>
    </xf>
    <xf numFmtId="0" fontId="86" fillId="0" borderId="5" xfId="0" applyFont="1" applyBorder="1" applyAlignment="1">
      <alignment horizontal="left" vertical="top" wrapText="1" indent="1"/>
    </xf>
    <xf numFmtId="0" fontId="86" fillId="0" borderId="6" xfId="0" applyFont="1" applyBorder="1" applyAlignment="1">
      <alignment horizontal="left" vertical="top" wrapText="1" indent="1"/>
    </xf>
    <xf numFmtId="49" fontId="2" fillId="26" borderId="4" xfId="0" applyNumberFormat="1" applyFont="1" applyFill="1" applyBorder="1" applyAlignment="1" applyProtection="1">
      <alignment horizontal="center" vertical="center" wrapText="1"/>
      <protection locked="0"/>
    </xf>
    <xf numFmtId="49" fontId="2" fillId="26" borderId="6" xfId="0" applyNumberFormat="1" applyFont="1" applyFill="1" applyBorder="1" applyAlignment="1" applyProtection="1">
      <alignment horizontal="center" vertical="center" wrapText="1"/>
      <protection locked="0"/>
    </xf>
    <xf numFmtId="0" fontId="0" fillId="0" borderId="0" xfId="0"/>
    <xf numFmtId="0" fontId="5" fillId="0" borderId="1" xfId="0" applyFont="1" applyBorder="1" applyAlignment="1">
      <alignment horizontal="left" vertical="top" wrapText="1" indent="1"/>
    </xf>
    <xf numFmtId="0" fontId="5" fillId="0" borderId="2" xfId="0" applyFont="1" applyBorder="1" applyAlignment="1">
      <alignment horizontal="left" vertical="top" wrapText="1" indent="1"/>
    </xf>
    <xf numFmtId="0" fontId="5" fillId="0" borderId="3" xfId="0" applyFont="1" applyBorder="1" applyAlignment="1">
      <alignment horizontal="left" vertical="top" wrapText="1" indent="1"/>
    </xf>
    <xf numFmtId="49" fontId="2" fillId="26" borderId="4" xfId="0" applyNumberFormat="1" applyFont="1" applyFill="1" applyBorder="1" applyAlignment="1" applyProtection="1">
      <alignment horizontal="left" vertical="center" wrapText="1"/>
      <protection locked="0"/>
    </xf>
    <xf numFmtId="49" fontId="2" fillId="26" borderId="5" xfId="0" applyNumberFormat="1" applyFont="1" applyFill="1" applyBorder="1" applyAlignment="1" applyProtection="1">
      <alignment horizontal="left" vertical="center" wrapText="1"/>
      <protection locked="0"/>
    </xf>
    <xf numFmtId="49" fontId="2" fillId="26" borderId="6" xfId="0" applyNumberFormat="1" applyFont="1" applyFill="1" applyBorder="1" applyAlignment="1" applyProtection="1">
      <alignment horizontal="left" vertical="center" wrapText="1"/>
      <protection locked="0"/>
    </xf>
    <xf numFmtId="0" fontId="5" fillId="0" borderId="230" xfId="0" applyFont="1" applyBorder="1" applyAlignment="1">
      <alignment horizontal="left" vertical="top" wrapText="1" indent="1"/>
    </xf>
    <xf numFmtId="0" fontId="5" fillId="0" borderId="68" xfId="0" applyFont="1" applyBorder="1" applyAlignment="1">
      <alignment horizontal="left" vertical="top" wrapText="1" indent="1"/>
    </xf>
    <xf numFmtId="0" fontId="5" fillId="0" borderId="231" xfId="0" applyFont="1" applyBorder="1" applyAlignment="1">
      <alignment horizontal="left" vertical="top" wrapText="1" indent="1"/>
    </xf>
    <xf numFmtId="0" fontId="2" fillId="0" borderId="1" xfId="0" applyFont="1" applyBorder="1" applyAlignment="1">
      <alignment horizontal="left" vertical="top" wrapText="1" indent="1"/>
    </xf>
    <xf numFmtId="0" fontId="2" fillId="0" borderId="3" xfId="0" applyFont="1" applyBorder="1" applyAlignment="1">
      <alignment horizontal="left" vertical="top" wrapText="1" indent="1"/>
    </xf>
    <xf numFmtId="0" fontId="7" fillId="0" borderId="7" xfId="0" applyFont="1" applyBorder="1" applyAlignment="1">
      <alignment horizontal="left" vertical="top" wrapText="1" indent="1"/>
    </xf>
    <xf numFmtId="0" fontId="7" fillId="0" borderId="0" xfId="0" applyFont="1" applyAlignment="1">
      <alignment horizontal="left" vertical="top" wrapText="1" indent="1"/>
    </xf>
    <xf numFmtId="0" fontId="3" fillId="0" borderId="9" xfId="0" applyFont="1" applyBorder="1" applyAlignment="1">
      <alignment horizontal="left" wrapText="1" indent="1"/>
    </xf>
    <xf numFmtId="0" fontId="3" fillId="0" borderId="10" xfId="0" applyFont="1" applyBorder="1" applyAlignment="1">
      <alignment horizontal="left" wrapText="1" indent="1"/>
    </xf>
    <xf numFmtId="0" fontId="3" fillId="0" borderId="6" xfId="0" applyFont="1" applyBorder="1" applyAlignment="1">
      <alignment horizontal="left" wrapText="1" indent="1"/>
    </xf>
    <xf numFmtId="44" fontId="5" fillId="0" borderId="47" xfId="0" applyNumberFormat="1" applyFont="1" applyBorder="1" applyAlignment="1">
      <alignment horizontal="center" vertical="center" wrapText="1"/>
    </xf>
    <xf numFmtId="44" fontId="2" fillId="0" borderId="31" xfId="0" applyNumberFormat="1" applyFont="1" applyBorder="1" applyAlignment="1">
      <alignment horizontal="center" vertical="top" wrapText="1"/>
    </xf>
    <xf numFmtId="44" fontId="2" fillId="0" borderId="32" xfId="0" applyNumberFormat="1" applyFont="1" applyBorder="1" applyAlignment="1">
      <alignment horizontal="center" vertical="top" wrapText="1"/>
    </xf>
    <xf numFmtId="0" fontId="5" fillId="0" borderId="7" xfId="0" applyFont="1" applyBorder="1" applyAlignment="1">
      <alignment horizontal="left" vertical="top" wrapText="1"/>
    </xf>
    <xf numFmtId="0" fontId="5" fillId="0" borderId="0" xfId="0" applyFont="1" applyAlignment="1">
      <alignment horizontal="left" vertical="top" wrapText="1"/>
    </xf>
    <xf numFmtId="0" fontId="5" fillId="0" borderId="8" xfId="0" applyFont="1" applyBorder="1" applyAlignment="1">
      <alignment horizontal="left" vertical="top" wrapText="1"/>
    </xf>
    <xf numFmtId="0" fontId="7" fillId="0" borderId="63" xfId="0" applyFont="1" applyBorder="1" applyAlignment="1">
      <alignment horizontal="center" vertical="top" wrapText="1"/>
    </xf>
    <xf numFmtId="0" fontId="7" fillId="0" borderId="53" xfId="0" applyFont="1" applyBorder="1" applyAlignment="1">
      <alignment horizontal="left" vertical="top" wrapText="1" indent="1"/>
    </xf>
    <xf numFmtId="44" fontId="7" fillId="0" borderId="56" xfId="0" applyNumberFormat="1" applyFont="1" applyBorder="1" applyAlignment="1">
      <alignment horizontal="right"/>
    </xf>
    <xf numFmtId="164" fontId="2" fillId="26" borderId="23" xfId="0" applyNumberFormat="1" applyFont="1" applyFill="1" applyBorder="1" applyAlignment="1" applyProtection="1">
      <alignment horizontal="left"/>
      <protection locked="0"/>
    </xf>
    <xf numFmtId="164" fontId="2" fillId="26" borderId="25" xfId="0" applyNumberFormat="1" applyFont="1" applyFill="1" applyBorder="1" applyAlignment="1" applyProtection="1">
      <alignment horizontal="left"/>
      <protection locked="0"/>
    </xf>
    <xf numFmtId="0" fontId="2" fillId="0" borderId="53" xfId="0" applyFont="1" applyBorder="1" applyAlignment="1">
      <alignment horizontal="right" vertical="center" indent="1"/>
    </xf>
    <xf numFmtId="0" fontId="2" fillId="0" borderId="41" xfId="0" applyFont="1" applyBorder="1" applyAlignment="1">
      <alignment horizontal="right" vertical="center" indent="1"/>
    </xf>
    <xf numFmtId="0" fontId="2" fillId="0" borderId="35" xfId="0" applyFont="1" applyBorder="1" applyAlignment="1">
      <alignment horizontal="left" wrapText="1"/>
    </xf>
    <xf numFmtId="0" fontId="2" fillId="0" borderId="24" xfId="0" applyFont="1" applyBorder="1" applyAlignment="1">
      <alignment horizontal="left" wrapText="1"/>
    </xf>
    <xf numFmtId="0" fontId="2" fillId="0" borderId="25" xfId="0" applyFont="1" applyBorder="1" applyAlignment="1">
      <alignment horizontal="left" wrapText="1"/>
    </xf>
    <xf numFmtId="0" fontId="7" fillId="0" borderId="30" xfId="0" applyFont="1" applyBorder="1" applyAlignment="1">
      <alignment horizontal="left" indent="1"/>
    </xf>
    <xf numFmtId="0" fontId="7" fillId="0" borderId="31" xfId="0" applyFont="1" applyBorder="1" applyAlignment="1">
      <alignment horizontal="left" indent="1"/>
    </xf>
    <xf numFmtId="0" fontId="7" fillId="0" borderId="30" xfId="0" applyFont="1" applyBorder="1" applyAlignment="1">
      <alignment horizontal="right"/>
    </xf>
    <xf numFmtId="0" fontId="7" fillId="0" borderId="31" xfId="0" applyFont="1" applyBorder="1" applyAlignment="1">
      <alignment horizontal="right"/>
    </xf>
    <xf numFmtId="0" fontId="7" fillId="0" borderId="20" xfId="0" applyFont="1" applyBorder="1" applyAlignment="1">
      <alignment horizontal="right"/>
    </xf>
    <xf numFmtId="44" fontId="2" fillId="26" borderId="19" xfId="0" applyNumberFormat="1" applyFont="1" applyFill="1" applyBorder="1" applyAlignment="1" applyProtection="1">
      <alignment horizontal="center" vertical="center"/>
      <protection locked="0"/>
    </xf>
    <xf numFmtId="44" fontId="2" fillId="26" borderId="32" xfId="0" applyNumberFormat="1" applyFont="1" applyFill="1" applyBorder="1" applyAlignment="1" applyProtection="1">
      <alignment horizontal="center" vertical="center"/>
      <protection locked="0"/>
    </xf>
    <xf numFmtId="44" fontId="2" fillId="26" borderId="23" xfId="0" applyNumberFormat="1" applyFont="1" applyFill="1" applyBorder="1" applyAlignment="1" applyProtection="1">
      <alignment horizontal="center" vertical="center"/>
      <protection locked="0"/>
    </xf>
    <xf numFmtId="44" fontId="2" fillId="26" borderId="36" xfId="0" applyNumberFormat="1" applyFont="1" applyFill="1" applyBorder="1" applyAlignment="1" applyProtection="1">
      <alignment horizontal="center" vertical="center"/>
      <protection locked="0"/>
    </xf>
    <xf numFmtId="44" fontId="2" fillId="26" borderId="41" xfId="0" applyNumberFormat="1" applyFont="1" applyFill="1" applyBorder="1" applyAlignment="1" applyProtection="1">
      <alignment horizontal="center"/>
      <protection locked="0"/>
    </xf>
    <xf numFmtId="44" fontId="2" fillId="26" borderId="46" xfId="0" applyNumberFormat="1" applyFont="1" applyFill="1" applyBorder="1" applyAlignment="1" applyProtection="1">
      <alignment horizontal="center"/>
      <protection locked="0"/>
    </xf>
    <xf numFmtId="0" fontId="7" fillId="0" borderId="35" xfId="0" applyFont="1" applyBorder="1" applyAlignment="1">
      <alignment horizontal="left" indent="1"/>
    </xf>
    <xf numFmtId="0" fontId="7" fillId="0" borderId="24" xfId="0" applyFont="1" applyBorder="1" applyAlignment="1">
      <alignment horizontal="left" indent="1"/>
    </xf>
    <xf numFmtId="0" fontId="2" fillId="26" borderId="53" xfId="0" applyFont="1" applyFill="1"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81" fillId="0" borderId="76" xfId="0" applyFont="1" applyBorder="1" applyAlignment="1">
      <alignment horizontal="center" wrapText="1"/>
    </xf>
    <xf numFmtId="0" fontId="82" fillId="0" borderId="77" xfId="0" applyFont="1" applyBorder="1" applyAlignment="1">
      <alignment horizontal="center" wrapText="1"/>
    </xf>
    <xf numFmtId="0" fontId="82" fillId="0" borderId="78" xfId="0" applyFont="1" applyBorder="1" applyAlignment="1">
      <alignment horizontal="center" wrapText="1"/>
    </xf>
    <xf numFmtId="0" fontId="2" fillId="0" borderId="7" xfId="0" applyFont="1" applyBorder="1" applyAlignment="1">
      <alignment horizontal="left" vertical="center" wrapText="1"/>
    </xf>
    <xf numFmtId="0" fontId="2" fillId="0" borderId="0" xfId="0" applyFont="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0" fillId="0" borderId="10" xfId="0" applyBorder="1" applyAlignment="1">
      <alignment horizontal="center" wrapText="1"/>
    </xf>
    <xf numFmtId="0" fontId="0" fillId="0" borderId="11" xfId="0" applyBorder="1" applyAlignment="1">
      <alignment horizontal="center" wrapText="1"/>
    </xf>
    <xf numFmtId="0" fontId="52" fillId="0" borderId="7" xfId="0" applyFont="1" applyBorder="1" applyAlignment="1">
      <alignment horizontal="left" vertical="center" wrapText="1" indent="1"/>
    </xf>
    <xf numFmtId="0" fontId="52" fillId="0" borderId="0" xfId="0" applyFont="1" applyAlignment="1">
      <alignment horizontal="left" vertical="center" wrapText="1" indent="1"/>
    </xf>
    <xf numFmtId="0" fontId="52" fillId="0" borderId="8" xfId="0" applyFont="1" applyBorder="1" applyAlignment="1">
      <alignment horizontal="left" vertical="center" wrapText="1" indent="1"/>
    </xf>
    <xf numFmtId="0" fontId="52" fillId="0" borderId="4" xfId="0" applyFont="1" applyBorder="1" applyAlignment="1">
      <alignment horizontal="left" vertical="center" wrapText="1" indent="1"/>
    </xf>
    <xf numFmtId="0" fontId="52" fillId="0" borderId="5" xfId="0" applyFont="1" applyBorder="1" applyAlignment="1">
      <alignment horizontal="left" vertical="center" wrapText="1" indent="1"/>
    </xf>
    <xf numFmtId="0" fontId="52" fillId="0" borderId="6" xfId="0" applyFont="1" applyBorder="1" applyAlignment="1">
      <alignment horizontal="left" vertical="center" wrapText="1" indent="1"/>
    </xf>
    <xf numFmtId="44" fontId="2" fillId="0" borderId="19" xfId="0" applyNumberFormat="1" applyFont="1" applyBorder="1" applyAlignment="1">
      <alignment horizontal="center"/>
    </xf>
    <xf numFmtId="44" fontId="2" fillId="0" borderId="31" xfId="0" applyNumberFormat="1" applyFont="1" applyBorder="1" applyAlignment="1">
      <alignment horizontal="center"/>
    </xf>
    <xf numFmtId="44" fontId="2" fillId="0" borderId="32" xfId="0" applyNumberFormat="1" applyFont="1" applyBorder="1" applyAlignment="1">
      <alignment horizontal="center"/>
    </xf>
    <xf numFmtId="0" fontId="7" fillId="0" borderId="55" xfId="0" applyFont="1" applyBorder="1" applyAlignment="1">
      <alignment horizontal="right"/>
    </xf>
    <xf numFmtId="0" fontId="7" fillId="0" borderId="56" xfId="0" applyFont="1" applyBorder="1" applyAlignment="1">
      <alignment horizontal="right"/>
    </xf>
    <xf numFmtId="0" fontId="2" fillId="0" borderId="1" xfId="0" applyFont="1" applyBorder="1" applyAlignment="1">
      <alignment horizontal="left" vertical="center" wrapText="1" indent="1"/>
    </xf>
    <xf numFmtId="0" fontId="2" fillId="0" borderId="2" xfId="0" applyFont="1" applyBorder="1" applyAlignment="1">
      <alignment horizontal="left" vertical="center" wrapText="1" indent="1"/>
    </xf>
    <xf numFmtId="0" fontId="2" fillId="0" borderId="3" xfId="0" applyFont="1" applyBorder="1" applyAlignment="1">
      <alignment horizontal="left" vertical="center" wrapText="1" indent="1"/>
    </xf>
    <xf numFmtId="0" fontId="2" fillId="0" borderId="6" xfId="0" applyFont="1" applyBorder="1" applyAlignment="1">
      <alignment horizontal="left" vertical="center" wrapText="1" indent="1"/>
    </xf>
    <xf numFmtId="0" fontId="6" fillId="0" borderId="1" xfId="0" applyFont="1" applyBorder="1" applyAlignment="1">
      <alignment horizontal="left" wrapText="1"/>
    </xf>
    <xf numFmtId="0" fontId="6" fillId="0" borderId="2" xfId="0" applyFont="1" applyBorder="1" applyAlignment="1">
      <alignment horizontal="left" wrapText="1"/>
    </xf>
    <xf numFmtId="0" fontId="6" fillId="0" borderId="3" xfId="0" applyFont="1" applyBorder="1" applyAlignment="1">
      <alignment horizontal="left" wrapText="1"/>
    </xf>
    <xf numFmtId="0" fontId="2" fillId="0" borderId="7" xfId="0" applyFont="1" applyBorder="1" applyAlignment="1">
      <alignment horizontal="left" wrapText="1" indent="1"/>
    </xf>
    <xf numFmtId="0" fontId="2" fillId="0" borderId="0" xfId="0" applyFont="1" applyAlignment="1">
      <alignment horizontal="left" wrapText="1" indent="1"/>
    </xf>
    <xf numFmtId="0" fontId="2" fillId="0" borderId="4" xfId="0" applyFont="1" applyBorder="1" applyAlignment="1">
      <alignment horizontal="left" wrapText="1" indent="1"/>
    </xf>
    <xf numFmtId="0" fontId="2" fillId="0" borderId="5" xfId="0" applyFont="1" applyBorder="1" applyAlignment="1">
      <alignment horizontal="left" indent="1"/>
    </xf>
    <xf numFmtId="0" fontId="2" fillId="28" borderId="1" xfId="0" applyFont="1" applyFill="1" applyBorder="1" applyAlignment="1" applyProtection="1">
      <alignment horizontal="center" vertical="center"/>
      <protection locked="0"/>
    </xf>
    <xf numFmtId="0" fontId="2" fillId="28" borderId="3" xfId="0" applyFont="1" applyFill="1" applyBorder="1" applyAlignment="1" applyProtection="1">
      <alignment horizontal="center" vertical="center"/>
      <protection locked="0"/>
    </xf>
    <xf numFmtId="0" fontId="2" fillId="28" borderId="4" xfId="0" applyFont="1" applyFill="1" applyBorder="1" applyAlignment="1" applyProtection="1">
      <alignment horizontal="center" vertical="center"/>
      <protection locked="0"/>
    </xf>
    <xf numFmtId="0" fontId="2" fillId="28" borderId="6" xfId="0" applyFont="1" applyFill="1" applyBorder="1" applyAlignment="1" applyProtection="1">
      <alignment horizontal="center" vertical="center"/>
      <protection locked="0"/>
    </xf>
    <xf numFmtId="0" fontId="2" fillId="0" borderId="7" xfId="0" applyFont="1" applyBorder="1" applyAlignment="1">
      <alignment horizontal="left" vertical="center" wrapText="1" indent="1"/>
    </xf>
    <xf numFmtId="0" fontId="2" fillId="0" borderId="0" xfId="0" applyFont="1" applyAlignment="1">
      <alignment horizontal="left" vertical="center" wrapText="1" indent="1"/>
    </xf>
    <xf numFmtId="0" fontId="2" fillId="0" borderId="7" xfId="0" applyFont="1" applyBorder="1" applyAlignment="1">
      <alignment horizontal="left" indent="1"/>
    </xf>
    <xf numFmtId="0" fontId="2" fillId="0" borderId="0" xfId="0" applyFont="1" applyAlignment="1">
      <alignment horizontal="left" indent="1"/>
    </xf>
    <xf numFmtId="0" fontId="2" fillId="0" borderId="5" xfId="0" applyFont="1" applyBorder="1" applyAlignment="1">
      <alignment horizontal="left" wrapText="1" indent="1"/>
    </xf>
    <xf numFmtId="0" fontId="2" fillId="28" borderId="7" xfId="0" applyFont="1" applyFill="1" applyBorder="1" applyAlignment="1" applyProtection="1">
      <alignment horizontal="center" vertical="center"/>
      <protection locked="0"/>
    </xf>
    <xf numFmtId="0" fontId="2" fillId="28" borderId="8" xfId="0" applyFont="1" applyFill="1" applyBorder="1" applyAlignment="1" applyProtection="1">
      <alignment horizontal="center" vertical="center"/>
      <protection locked="0"/>
    </xf>
    <xf numFmtId="164" fontId="2" fillId="26" borderId="42" xfId="0" applyNumberFormat="1" applyFont="1" applyFill="1" applyBorder="1" applyAlignment="1" applyProtection="1">
      <alignment horizontal="left" vertical="top" wrapText="1"/>
      <protection locked="0"/>
    </xf>
    <xf numFmtId="0" fontId="2" fillId="0" borderId="37" xfId="0" applyFont="1" applyBorder="1" applyAlignment="1">
      <alignment horizontal="left" vertical="top" wrapText="1" indent="3"/>
    </xf>
    <xf numFmtId="0" fontId="2" fillId="0" borderId="17" xfId="0" applyFont="1" applyBorder="1" applyAlignment="1">
      <alignment horizontal="left" vertical="top" wrapText="1" indent="3"/>
    </xf>
    <xf numFmtId="0" fontId="2" fillId="0" borderId="18" xfId="0" applyFont="1" applyBorder="1" applyAlignment="1">
      <alignment horizontal="left" vertical="top" wrapText="1" indent="3"/>
    </xf>
    <xf numFmtId="0" fontId="7" fillId="0" borderId="12" xfId="0" applyFont="1" applyBorder="1" applyAlignment="1">
      <alignment horizontal="center" vertical="center" wrapText="1"/>
    </xf>
    <xf numFmtId="44" fontId="2" fillId="26" borderId="42" xfId="0" applyNumberFormat="1" applyFont="1" applyFill="1" applyBorder="1" applyAlignment="1" applyProtection="1">
      <alignment horizontal="right"/>
      <protection locked="0"/>
    </xf>
    <xf numFmtId="44" fontId="0" fillId="26" borderId="47" xfId="0" applyNumberFormat="1" applyFill="1" applyBorder="1" applyProtection="1">
      <protection locked="0"/>
    </xf>
    <xf numFmtId="0" fontId="6" fillId="0" borderId="9" xfId="0" applyFont="1" applyBorder="1" applyAlignment="1">
      <alignment vertical="top" wrapText="1"/>
    </xf>
    <xf numFmtId="0" fontId="6" fillId="0" borderId="10" xfId="0" applyFont="1" applyBorder="1" applyAlignment="1">
      <alignment vertical="top" wrapText="1"/>
    </xf>
    <xf numFmtId="0" fontId="6" fillId="0" borderId="11" xfId="0" applyFont="1" applyBorder="1" applyAlignment="1">
      <alignment vertical="top" wrapText="1"/>
    </xf>
    <xf numFmtId="0" fontId="7" fillId="0" borderId="59" xfId="0" applyFont="1" applyBorder="1" applyAlignment="1">
      <alignment horizontal="center"/>
    </xf>
    <xf numFmtId="0" fontId="7" fillId="0" borderId="23" xfId="0" applyFont="1" applyBorder="1" applyAlignment="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2" fillId="0" borderId="1" xfId="0" applyFont="1" applyBorder="1" applyAlignment="1">
      <alignment horizontal="left" wrapText="1" indent="2"/>
    </xf>
    <xf numFmtId="0" fontId="2" fillId="0" borderId="2" xfId="0" applyFont="1" applyBorder="1" applyAlignment="1">
      <alignment horizontal="left" wrapText="1" indent="2"/>
    </xf>
    <xf numFmtId="0" fontId="2" fillId="0" borderId="3" xfId="0" applyFont="1" applyBorder="1" applyAlignment="1">
      <alignment horizontal="left" wrapText="1" indent="2"/>
    </xf>
    <xf numFmtId="0" fontId="7" fillId="0" borderId="9" xfId="0" applyFont="1" applyBorder="1" applyAlignment="1">
      <alignment horizontal="left" wrapText="1"/>
    </xf>
    <xf numFmtId="0" fontId="7" fillId="0" borderId="11" xfId="0" applyFont="1" applyBorder="1" applyAlignment="1">
      <alignment horizontal="left" wrapText="1"/>
    </xf>
    <xf numFmtId="0" fontId="31" fillId="0" borderId="1" xfId="0" applyFont="1" applyBorder="1" applyAlignment="1">
      <alignment vertical="top" wrapText="1"/>
    </xf>
    <xf numFmtId="0" fontId="32" fillId="0" borderId="2" xfId="0" applyFont="1" applyBorder="1" applyAlignment="1">
      <alignment vertical="top" wrapText="1"/>
    </xf>
    <xf numFmtId="0" fontId="32" fillId="0" borderId="3" xfId="0" applyFont="1" applyBorder="1" applyAlignment="1">
      <alignment vertical="top" wrapText="1"/>
    </xf>
    <xf numFmtId="0" fontId="0" fillId="0" borderId="4" xfId="0" applyBorder="1" applyAlignment="1">
      <alignment vertical="top" wrapText="1"/>
    </xf>
    <xf numFmtId="0" fontId="0" fillId="0" borderId="5" xfId="0" applyBorder="1" applyAlignment="1">
      <alignment vertical="top" wrapText="1"/>
    </xf>
    <xf numFmtId="0" fontId="0" fillId="0" borderId="6" xfId="0" applyBorder="1" applyAlignment="1">
      <alignment vertical="top" wrapText="1"/>
    </xf>
    <xf numFmtId="0" fontId="32" fillId="0" borderId="9" xfId="0" applyFont="1" applyBorder="1" applyAlignment="1">
      <alignment vertical="top" wrapText="1"/>
    </xf>
    <xf numFmtId="0" fontId="32" fillId="0" borderId="10" xfId="0" applyFont="1" applyBorder="1" applyAlignment="1">
      <alignment vertical="top" wrapText="1"/>
    </xf>
    <xf numFmtId="0" fontId="0" fillId="0" borderId="10" xfId="0" applyBorder="1" applyAlignment="1">
      <alignment wrapText="1"/>
    </xf>
    <xf numFmtId="0" fontId="0" fillId="0" borderId="11" xfId="0" applyBorder="1" applyAlignment="1">
      <alignment wrapText="1"/>
    </xf>
    <xf numFmtId="0" fontId="32" fillId="0" borderId="4" xfId="0" applyFont="1" applyBorder="1" applyAlignment="1">
      <alignment horizontal="left" wrapText="1"/>
    </xf>
    <xf numFmtId="0" fontId="2" fillId="0" borderId="5" xfId="0" applyFont="1" applyBorder="1" applyAlignment="1">
      <alignment wrapText="1"/>
    </xf>
    <xf numFmtId="0" fontId="2" fillId="0" borderId="6" xfId="0" applyFont="1" applyBorder="1" applyAlignment="1">
      <alignment wrapText="1"/>
    </xf>
    <xf numFmtId="0" fontId="2" fillId="0" borderId="4" xfId="0" applyFont="1" applyBorder="1" applyAlignment="1">
      <alignment horizontal="left" wrapText="1" indent="2"/>
    </xf>
    <xf numFmtId="0" fontId="2" fillId="0" borderId="5" xfId="0" applyFont="1" applyBorder="1" applyAlignment="1">
      <alignment horizontal="left" wrapText="1" indent="2"/>
    </xf>
    <xf numFmtId="0" fontId="2" fillId="0" borderId="6" xfId="0" applyFont="1" applyBorder="1" applyAlignment="1">
      <alignment horizontal="left" wrapText="1" indent="2"/>
    </xf>
    <xf numFmtId="0" fontId="7" fillId="0" borderId="61" xfId="0" applyFont="1" applyBorder="1" applyAlignment="1">
      <alignment horizontal="center"/>
    </xf>
    <xf numFmtId="0" fontId="7" fillId="0" borderId="63" xfId="0" applyFont="1" applyBorder="1" applyAlignment="1">
      <alignment horizontal="center"/>
    </xf>
    <xf numFmtId="0" fontId="13" fillId="0" borderId="42" xfId="0" applyFont="1" applyBorder="1" applyAlignment="1">
      <alignment horizontal="center"/>
    </xf>
    <xf numFmtId="0" fontId="13" fillId="0" borderId="47" xfId="0" applyFont="1" applyBorder="1" applyAlignment="1">
      <alignment horizontal="center"/>
    </xf>
    <xf numFmtId="0" fontId="13" fillId="0" borderId="16" xfId="0" applyFont="1" applyBorder="1" applyAlignment="1">
      <alignment horizontal="center"/>
    </xf>
    <xf numFmtId="0" fontId="2" fillId="26" borderId="4" xfId="0" applyFont="1" applyFill="1" applyBorder="1" applyAlignment="1" applyProtection="1">
      <alignment horizontal="center" vertical="center" wrapText="1"/>
      <protection locked="0"/>
    </xf>
    <xf numFmtId="0" fontId="2" fillId="0" borderId="61" xfId="0" applyFont="1" applyBorder="1" applyAlignment="1">
      <alignment horizontal="right" vertical="center" wrapText="1"/>
    </xf>
    <xf numFmtId="0" fontId="2" fillId="0" borderId="62" xfId="0" applyFont="1" applyBorder="1" applyAlignment="1">
      <alignment horizontal="right" vertical="center" wrapText="1"/>
    </xf>
    <xf numFmtId="166" fontId="2" fillId="0" borderId="62" xfId="0" applyNumberFormat="1" applyFont="1" applyBorder="1" applyAlignment="1">
      <alignment horizontal="center" vertical="center" wrapText="1"/>
    </xf>
    <xf numFmtId="166" fontId="2" fillId="0" borderId="63" xfId="0" applyNumberFormat="1" applyFont="1" applyBorder="1" applyAlignment="1">
      <alignment horizontal="center" vertical="center" wrapText="1"/>
    </xf>
    <xf numFmtId="0" fontId="2" fillId="0" borderId="7" xfId="0" applyFont="1" applyBorder="1" applyAlignment="1">
      <alignment horizontal="justify" vertical="center" wrapText="1"/>
    </xf>
    <xf numFmtId="0" fontId="2" fillId="0" borderId="0" xfId="0" applyFont="1" applyAlignment="1">
      <alignment horizontal="justify" vertical="center" wrapText="1"/>
    </xf>
    <xf numFmtId="0" fontId="2" fillId="0" borderId="8" xfId="0" applyFont="1" applyBorder="1" applyAlignment="1">
      <alignment horizontal="justify" vertical="center" wrapText="1"/>
    </xf>
    <xf numFmtId="0" fontId="2" fillId="0" borderId="51" xfId="0" applyFont="1" applyBorder="1" applyAlignment="1">
      <alignment horizontal="center" vertical="center" wrapText="1"/>
    </xf>
    <xf numFmtId="0" fontId="2" fillId="0" borderId="52" xfId="0" applyFont="1" applyBorder="1" applyAlignment="1">
      <alignment horizontal="center" vertical="center" wrapText="1"/>
    </xf>
    <xf numFmtId="0" fontId="25" fillId="0" borderId="1" xfId="0" applyFont="1" applyBorder="1" applyAlignment="1">
      <alignment horizontal="left" wrapText="1"/>
    </xf>
    <xf numFmtId="0" fontId="25" fillId="0" borderId="2" xfId="0" applyFont="1" applyBorder="1" applyAlignment="1">
      <alignment horizontal="left" wrapText="1"/>
    </xf>
    <xf numFmtId="0" fontId="25" fillId="0" borderId="3" xfId="0" applyFont="1" applyBorder="1" applyAlignment="1">
      <alignment horizontal="left" wrapText="1"/>
    </xf>
    <xf numFmtId="0" fontId="2" fillId="26" borderId="42" xfId="0" applyFont="1" applyFill="1" applyBorder="1" applyAlignment="1" applyProtection="1">
      <alignment horizontal="left" vertical="top" wrapText="1"/>
      <protection locked="0"/>
    </xf>
    <xf numFmtId="0" fontId="31" fillId="0" borderId="1" xfId="0" applyFont="1" applyBorder="1" applyAlignment="1">
      <alignment horizontal="left" vertical="top" wrapText="1"/>
    </xf>
    <xf numFmtId="0" fontId="31" fillId="0" borderId="2" xfId="0" applyFont="1" applyBorder="1" applyAlignment="1">
      <alignment horizontal="left" vertical="top" wrapText="1"/>
    </xf>
    <xf numFmtId="0" fontId="31" fillId="0" borderId="3" xfId="0" applyFont="1" applyBorder="1" applyAlignment="1">
      <alignment horizontal="left" vertical="top" wrapText="1"/>
    </xf>
    <xf numFmtId="0" fontId="91" fillId="0" borderId="4" xfId="0" applyFont="1" applyBorder="1" applyAlignment="1">
      <alignment vertical="top" wrapText="1"/>
    </xf>
    <xf numFmtId="0" fontId="91" fillId="0" borderId="5" xfId="0" applyFont="1" applyBorder="1" applyAlignment="1">
      <alignment vertical="top" wrapText="1"/>
    </xf>
    <xf numFmtId="0" fontId="91" fillId="0" borderId="6" xfId="0" applyFont="1" applyBorder="1" applyAlignment="1">
      <alignment vertical="top" wrapText="1"/>
    </xf>
    <xf numFmtId="0" fontId="0" fillId="0" borderId="11" xfId="0" applyBorder="1" applyAlignment="1" applyProtection="1">
      <alignment horizontal="center" vertical="center" wrapText="1"/>
      <protection locked="0"/>
    </xf>
    <xf numFmtId="0" fontId="31" fillId="0" borderId="1" xfId="0" applyFont="1" applyBorder="1" applyAlignment="1">
      <alignment horizontal="left" vertical="top" wrapText="1" indent="1"/>
    </xf>
    <xf numFmtId="0" fontId="31" fillId="0" borderId="3" xfId="0" applyFont="1" applyBorder="1" applyAlignment="1">
      <alignment horizontal="left" vertical="top" wrapText="1" indent="1"/>
    </xf>
    <xf numFmtId="164" fontId="2" fillId="26" borderId="44" xfId="0" applyNumberFormat="1" applyFont="1" applyFill="1" applyBorder="1" applyAlignment="1" applyProtection="1">
      <alignment horizontal="center" vertical="top" wrapText="1"/>
      <protection locked="0"/>
    </xf>
    <xf numFmtId="164" fontId="2" fillId="26" borderId="42" xfId="0" applyNumberFormat="1" applyFont="1" applyFill="1" applyBorder="1" applyAlignment="1" applyProtection="1">
      <alignment horizontal="center" vertical="top" wrapText="1"/>
      <protection locked="0"/>
    </xf>
    <xf numFmtId="0" fontId="7" fillId="0" borderId="61" xfId="0" applyFont="1" applyBorder="1" applyAlignment="1">
      <alignment horizontal="left" vertical="top" wrapText="1"/>
    </xf>
    <xf numFmtId="0" fontId="7" fillId="0" borderId="62" xfId="0" applyFont="1" applyBorder="1" applyAlignment="1">
      <alignment horizontal="left" vertical="top" wrapText="1"/>
    </xf>
    <xf numFmtId="0" fontId="7" fillId="0" borderId="16" xfId="0" applyFont="1" applyBorder="1" applyAlignment="1">
      <alignment horizontal="center" vertical="top" wrapText="1"/>
    </xf>
    <xf numFmtId="0" fontId="7" fillId="0" borderId="17" xfId="0" applyFont="1" applyBorder="1" applyAlignment="1">
      <alignment horizontal="center" vertical="top" wrapText="1"/>
    </xf>
    <xf numFmtId="0" fontId="2" fillId="26" borderId="16" xfId="0" applyFont="1" applyFill="1" applyBorder="1" applyAlignment="1" applyProtection="1">
      <alignment horizontal="left" vertical="top" wrapText="1"/>
      <protection locked="0"/>
    </xf>
    <xf numFmtId="0" fontId="2" fillId="26" borderId="17" xfId="0" applyFont="1" applyFill="1" applyBorder="1" applyAlignment="1" applyProtection="1">
      <alignment horizontal="left" vertical="top" wrapText="1"/>
      <protection locked="0"/>
    </xf>
    <xf numFmtId="0" fontId="2" fillId="26" borderId="38" xfId="0" applyFont="1" applyFill="1" applyBorder="1" applyAlignment="1" applyProtection="1">
      <alignment horizontal="left" vertical="top" wrapText="1"/>
      <protection locked="0"/>
    </xf>
    <xf numFmtId="0" fontId="32" fillId="0" borderId="1" xfId="0" applyFont="1" applyBorder="1" applyAlignment="1">
      <alignment horizontal="left" vertical="center" wrapText="1"/>
    </xf>
    <xf numFmtId="0" fontId="32" fillId="0" borderId="2" xfId="0" applyFont="1" applyBorder="1" applyAlignment="1">
      <alignment horizontal="left" vertical="center" wrapText="1"/>
    </xf>
    <xf numFmtId="0" fontId="32" fillId="0" borderId="3" xfId="0" applyFont="1" applyBorder="1" applyAlignment="1">
      <alignment horizontal="left" vertical="center" wrapText="1"/>
    </xf>
    <xf numFmtId="0" fontId="32" fillId="0" borderId="7" xfId="0" applyFont="1" applyBorder="1" applyAlignment="1">
      <alignment horizontal="left" vertical="center" wrapText="1"/>
    </xf>
    <xf numFmtId="0" fontId="32" fillId="0" borderId="0" xfId="0" applyFont="1" applyAlignment="1">
      <alignment horizontal="left" vertical="center" wrapText="1"/>
    </xf>
    <xf numFmtId="0" fontId="32" fillId="0" borderId="8" xfId="0" applyFont="1" applyBorder="1" applyAlignment="1">
      <alignment horizontal="left" vertical="center" wrapText="1"/>
    </xf>
    <xf numFmtId="0" fontId="32" fillId="0" borderId="4" xfId="0" applyFont="1" applyBorder="1" applyAlignment="1">
      <alignment horizontal="left" vertical="center" wrapText="1"/>
    </xf>
    <xf numFmtId="0" fontId="32" fillId="0" borderId="5" xfId="0" applyFont="1" applyBorder="1" applyAlignment="1">
      <alignment horizontal="left" vertical="center" wrapText="1"/>
    </xf>
    <xf numFmtId="0" fontId="32" fillId="0" borderId="6" xfId="0" applyFont="1" applyBorder="1" applyAlignment="1">
      <alignment horizontal="left" vertical="center" wrapText="1"/>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8" xfId="0" applyFont="1" applyBorder="1" applyAlignment="1">
      <alignment horizontal="left" vertical="center" wrapText="1"/>
    </xf>
    <xf numFmtId="0" fontId="7" fillId="0" borderId="44" xfId="0" applyFont="1" applyBorder="1" applyAlignment="1">
      <alignment horizontal="center" vertical="top" wrapText="1"/>
    </xf>
    <xf numFmtId="0" fontId="7" fillId="0" borderId="42" xfId="0" applyFont="1" applyBorder="1" applyAlignment="1">
      <alignment horizontal="center" vertical="top" wrapText="1"/>
    </xf>
    <xf numFmtId="0" fontId="7" fillId="0" borderId="67" xfId="0" applyFont="1" applyBorder="1" applyAlignment="1">
      <alignment horizontal="left" vertical="top" wrapText="1"/>
    </xf>
    <xf numFmtId="0" fontId="7" fillId="0" borderId="66" xfId="0" applyFont="1" applyBorder="1" applyAlignment="1">
      <alignment horizontal="left" vertical="top" wrapText="1"/>
    </xf>
    <xf numFmtId="0" fontId="7" fillId="0" borderId="64" xfId="0" applyFont="1" applyBorder="1" applyAlignment="1">
      <alignment horizontal="left" vertical="top" wrapText="1"/>
    </xf>
    <xf numFmtId="44" fontId="5" fillId="26" borderId="37" xfId="0" applyNumberFormat="1" applyFont="1" applyFill="1" applyBorder="1" applyAlignment="1" applyProtection="1">
      <alignment horizontal="center" vertical="center" wrapText="1"/>
      <protection locked="0"/>
    </xf>
    <xf numFmtId="44" fontId="5" fillId="26" borderId="38" xfId="0" applyNumberFormat="1" applyFont="1" applyFill="1" applyBorder="1" applyAlignment="1" applyProtection="1">
      <alignment horizontal="center" vertical="center" wrapText="1"/>
      <protection locked="0"/>
    </xf>
    <xf numFmtId="44" fontId="5" fillId="26" borderId="55" xfId="0" applyNumberFormat="1" applyFont="1" applyFill="1" applyBorder="1" applyAlignment="1" applyProtection="1">
      <alignment horizontal="center" vertical="center" wrapText="1"/>
      <protection locked="0"/>
    </xf>
    <xf numFmtId="44" fontId="5" fillId="26" borderId="39" xfId="0" applyNumberFormat="1" applyFont="1" applyFill="1" applyBorder="1" applyAlignment="1" applyProtection="1">
      <alignment horizontal="center" vertical="center" wrapText="1"/>
      <protection locked="0"/>
    </xf>
    <xf numFmtId="44" fontId="5" fillId="26" borderId="12" xfId="0" applyNumberFormat="1" applyFont="1" applyFill="1" applyBorder="1" applyAlignment="1" applyProtection="1">
      <alignment horizontal="center" vertical="center" wrapText="1"/>
      <protection locked="0"/>
    </xf>
    <xf numFmtId="0" fontId="0" fillId="0" borderId="5" xfId="0" applyBorder="1" applyAlignment="1">
      <alignment horizontal="left" indent="2"/>
    </xf>
    <xf numFmtId="0" fontId="0" fillId="0" borderId="6" xfId="0" applyBorder="1" applyAlignment="1">
      <alignment horizontal="left" indent="2"/>
    </xf>
    <xf numFmtId="0" fontId="1" fillId="0" borderId="8" xfId="0" applyFont="1" applyBorder="1" applyAlignment="1">
      <alignment horizontal="left" wrapText="1" indent="2"/>
    </xf>
    <xf numFmtId="0" fontId="1" fillId="0" borderId="5" xfId="0" applyFont="1" applyBorder="1" applyAlignment="1">
      <alignment horizontal="left" indent="2"/>
    </xf>
    <xf numFmtId="0" fontId="1" fillId="0" borderId="6" xfId="0" applyFont="1" applyBorder="1" applyAlignment="1">
      <alignment horizontal="left" indent="2"/>
    </xf>
    <xf numFmtId="0" fontId="2" fillId="0" borderId="4" xfId="0" applyFont="1" applyBorder="1"/>
    <xf numFmtId="0" fontId="2" fillId="0" borderId="5" xfId="0" applyFont="1" applyBorder="1"/>
    <xf numFmtId="0" fontId="2" fillId="0" borderId="6" xfId="0" applyFont="1" applyBorder="1"/>
    <xf numFmtId="7" fontId="5" fillId="0" borderId="229" xfId="0" applyNumberFormat="1" applyFont="1" applyBorder="1" applyAlignment="1">
      <alignment horizontal="center" vertical="center" wrapText="1"/>
    </xf>
    <xf numFmtId="7" fontId="5" fillId="0" borderId="12" xfId="0" applyNumberFormat="1" applyFont="1" applyBorder="1" applyAlignment="1">
      <alignment horizontal="center" vertical="center" wrapText="1"/>
    </xf>
    <xf numFmtId="0" fontId="31" fillId="0" borderId="15" xfId="2" applyFont="1" applyBorder="1" applyAlignment="1">
      <alignment horizontal="center" vertical="top" wrapText="1"/>
    </xf>
    <xf numFmtId="0" fontId="31" fillId="0" borderId="13" xfId="2" applyFont="1" applyBorder="1" applyAlignment="1">
      <alignment horizontal="center" vertical="top" wrapText="1"/>
    </xf>
    <xf numFmtId="0" fontId="51" fillId="0" borderId="13" xfId="0" applyFont="1" applyBorder="1"/>
    <xf numFmtId="0" fontId="31" fillId="0" borderId="1" xfId="2" applyFont="1" applyBorder="1" applyAlignment="1">
      <alignment horizontal="center" vertical="top" wrapText="1"/>
    </xf>
    <xf numFmtId="0" fontId="51" fillId="0" borderId="3" xfId="0" applyFont="1" applyBorder="1" applyAlignment="1">
      <alignment vertical="top" wrapText="1"/>
    </xf>
    <xf numFmtId="0" fontId="51" fillId="0" borderId="7" xfId="0" applyFont="1" applyBorder="1" applyAlignment="1">
      <alignment vertical="top" wrapText="1"/>
    </xf>
    <xf numFmtId="0" fontId="51" fillId="0" borderId="8" xfId="0" applyFont="1" applyBorder="1" applyAlignment="1">
      <alignment vertical="top" wrapText="1"/>
    </xf>
    <xf numFmtId="0" fontId="2" fillId="0" borderId="1" xfId="0" applyFont="1" applyBorder="1" applyAlignment="1">
      <alignment horizontal="left" vertical="center" wrapText="1" indent="2"/>
    </xf>
    <xf numFmtId="0" fontId="2" fillId="0" borderId="2" xfId="0" applyFont="1" applyBorder="1" applyAlignment="1">
      <alignment horizontal="left" vertical="center" wrapText="1" indent="2"/>
    </xf>
    <xf numFmtId="0" fontId="2" fillId="0" borderId="3" xfId="0" applyFont="1" applyBorder="1" applyAlignment="1">
      <alignment horizontal="left" vertical="center" wrapText="1" indent="2"/>
    </xf>
    <xf numFmtId="0" fontId="0" fillId="0" borderId="14" xfId="0" applyBorder="1" applyAlignment="1">
      <alignment horizontal="center" vertical="center" wrapText="1"/>
    </xf>
    <xf numFmtId="0" fontId="31" fillId="0" borderId="12" xfId="0" applyFont="1" applyBorder="1" applyAlignment="1">
      <alignment horizontal="left" vertical="top" wrapText="1" indent="1"/>
    </xf>
    <xf numFmtId="0" fontId="14" fillId="0" borderId="12" xfId="0" applyFont="1" applyBorder="1" applyAlignment="1">
      <alignment horizontal="left" vertical="top" wrapText="1" indent="1"/>
    </xf>
    <xf numFmtId="0" fontId="7" fillId="0" borderId="12" xfId="0" applyFont="1" applyBorder="1" applyAlignment="1">
      <alignment horizontal="left"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30" xfId="0" applyFont="1" applyBorder="1" applyAlignment="1">
      <alignment horizontal="left" vertical="top" wrapText="1" indent="1"/>
    </xf>
    <xf numFmtId="0" fontId="2" fillId="0" borderId="31" xfId="0" applyFont="1" applyBorder="1" applyAlignment="1">
      <alignment horizontal="left" vertical="top" wrapText="1" indent="1"/>
    </xf>
    <xf numFmtId="0" fontId="2" fillId="0" borderId="32" xfId="0" applyFont="1" applyBorder="1" applyAlignment="1">
      <alignment horizontal="left" vertical="top" wrapText="1" indent="1"/>
    </xf>
    <xf numFmtId="0" fontId="2" fillId="0" borderId="30"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6" xfId="0" applyFont="1" applyBorder="1" applyAlignment="1">
      <alignment horizontal="center" vertical="center" wrapText="1"/>
    </xf>
    <xf numFmtId="0" fontId="51" fillId="0" borderId="10" xfId="0" applyFont="1" applyBorder="1" applyAlignment="1">
      <alignment wrapText="1"/>
    </xf>
    <xf numFmtId="0" fontId="51" fillId="0" borderId="11" xfId="0" applyFont="1" applyBorder="1" applyAlignment="1">
      <alignment wrapText="1"/>
    </xf>
    <xf numFmtId="0" fontId="2" fillId="0" borderId="55" xfId="0" applyFont="1" applyBorder="1" applyAlignment="1">
      <alignment horizontal="left" vertical="top" wrapText="1" indent="1"/>
    </xf>
    <xf numFmtId="0" fontId="2" fillId="0" borderId="56" xfId="0" applyFont="1" applyBorder="1" applyAlignment="1">
      <alignment horizontal="left" vertical="top" wrapText="1" indent="1"/>
    </xf>
    <xf numFmtId="0" fontId="2" fillId="0" borderId="39" xfId="0" applyFont="1" applyBorder="1" applyAlignment="1">
      <alignment horizontal="left" vertical="top" wrapText="1" indent="1"/>
    </xf>
    <xf numFmtId="0" fontId="7" fillId="0" borderId="9" xfId="0" applyFont="1" applyBorder="1" applyAlignment="1">
      <alignment horizontal="left" vertical="top" wrapText="1"/>
    </xf>
    <xf numFmtId="0" fontId="7" fillId="0" borderId="10" xfId="0" applyFont="1" applyBorder="1" applyAlignment="1">
      <alignment horizontal="left" vertical="top" wrapText="1"/>
    </xf>
    <xf numFmtId="0" fontId="7" fillId="0" borderId="11" xfId="0" applyFont="1" applyBorder="1" applyAlignment="1">
      <alignment horizontal="left" vertical="top" wrapText="1"/>
    </xf>
    <xf numFmtId="0" fontId="2" fillId="26" borderId="1" xfId="0" applyFont="1" applyFill="1" applyBorder="1" applyAlignment="1" applyProtection="1">
      <alignment horizontal="center" vertical="center"/>
      <protection locked="0"/>
    </xf>
    <xf numFmtId="0" fontId="2" fillId="26" borderId="3" xfId="0" applyFont="1" applyFill="1" applyBorder="1" applyAlignment="1" applyProtection="1">
      <alignment horizontal="center" vertical="center"/>
      <protection locked="0"/>
    </xf>
    <xf numFmtId="0" fontId="2" fillId="26" borderId="7" xfId="0" applyFont="1" applyFill="1" applyBorder="1" applyAlignment="1" applyProtection="1">
      <alignment horizontal="center" vertical="center"/>
      <protection locked="0"/>
    </xf>
    <xf numFmtId="0" fontId="2" fillId="26" borderId="8" xfId="0" applyFont="1" applyFill="1" applyBorder="1" applyAlignment="1" applyProtection="1">
      <alignment horizontal="center" vertical="center"/>
      <protection locked="0"/>
    </xf>
    <xf numFmtId="0" fontId="2" fillId="26" borderId="1" xfId="0" applyFont="1" applyFill="1" applyBorder="1" applyAlignment="1" applyProtection="1">
      <alignment horizontal="center" vertical="center" wrapText="1"/>
      <protection locked="0"/>
    </xf>
    <xf numFmtId="0" fontId="2" fillId="26" borderId="7" xfId="0" applyFont="1" applyFill="1" applyBorder="1" applyAlignment="1" applyProtection="1">
      <alignment horizontal="center" vertical="center" wrapText="1"/>
      <protection locked="0"/>
    </xf>
    <xf numFmtId="0" fontId="7" fillId="0" borderId="1" xfId="0" applyFont="1" applyBorder="1" applyAlignment="1">
      <alignment horizontal="center" vertical="top" wrapText="1"/>
    </xf>
    <xf numFmtId="0" fontId="7" fillId="0" borderId="3" xfId="0" applyFont="1" applyBorder="1" applyAlignment="1">
      <alignment horizontal="center" vertical="top" wrapText="1"/>
    </xf>
    <xf numFmtId="0" fontId="7" fillId="0" borderId="7" xfId="0" applyFont="1" applyBorder="1" applyAlignment="1">
      <alignment horizontal="center" vertical="top" wrapText="1"/>
    </xf>
    <xf numFmtId="0" fontId="7" fillId="0" borderId="8" xfId="0" applyFont="1" applyBorder="1" applyAlignment="1">
      <alignment horizontal="center" vertical="top" wrapText="1"/>
    </xf>
    <xf numFmtId="0" fontId="7" fillId="0" borderId="15" xfId="0" applyFont="1" applyBorder="1" applyAlignment="1">
      <alignment horizontal="center" vertical="top" wrapText="1"/>
    </xf>
    <xf numFmtId="0" fontId="7" fillId="0" borderId="13" xfId="0" applyFont="1" applyBorder="1" applyAlignment="1">
      <alignment horizontal="center" vertical="top" wrapText="1"/>
    </xf>
    <xf numFmtId="0" fontId="2" fillId="0" borderId="7" xfId="0" applyFont="1" applyBorder="1" applyAlignment="1">
      <alignment horizontal="center" wrapText="1"/>
    </xf>
    <xf numFmtId="0" fontId="2" fillId="0" borderId="8" xfId="0" applyFont="1" applyBorder="1" applyAlignment="1">
      <alignment horizontal="center" wrapText="1"/>
    </xf>
    <xf numFmtId="0" fontId="84" fillId="0" borderId="7" xfId="0" applyFont="1" applyBorder="1" applyAlignment="1">
      <alignment horizontal="left" wrapText="1"/>
    </xf>
    <xf numFmtId="0" fontId="84" fillId="0" borderId="0" xfId="0" applyFont="1" applyAlignment="1">
      <alignment horizontal="left" wrapText="1"/>
    </xf>
    <xf numFmtId="0" fontId="84" fillId="0" borderId="8" xfId="0" applyFont="1" applyBorder="1" applyAlignment="1">
      <alignment horizontal="left" wrapText="1"/>
    </xf>
    <xf numFmtId="0" fontId="0" fillId="0" borderId="7" xfId="0" applyBorder="1" applyAlignment="1">
      <alignment horizontal="center" wrapText="1"/>
    </xf>
    <xf numFmtId="0" fontId="0" fillId="0" borderId="8" xfId="0" applyBorder="1" applyAlignment="1">
      <alignment horizontal="center" wrapText="1"/>
    </xf>
    <xf numFmtId="0" fontId="0" fillId="0" borderId="4" xfId="0" applyBorder="1" applyAlignment="1">
      <alignment horizontal="center" wrapText="1"/>
    </xf>
    <xf numFmtId="0" fontId="0" fillId="0" borderId="6" xfId="0" applyBorder="1" applyAlignment="1">
      <alignment horizontal="center" wrapText="1"/>
    </xf>
    <xf numFmtId="164" fontId="5" fillId="26" borderId="37" xfId="0" applyNumberFormat="1" applyFont="1" applyFill="1" applyBorder="1" applyAlignment="1" applyProtection="1">
      <alignment horizontal="center" vertical="center" wrapText="1"/>
      <protection locked="0"/>
    </xf>
    <xf numFmtId="0" fontId="5" fillId="0" borderId="38" xfId="0" applyFont="1" applyBorder="1" applyAlignment="1" applyProtection="1">
      <alignment horizontal="center" vertical="center" wrapText="1"/>
      <protection locked="0"/>
    </xf>
    <xf numFmtId="0" fontId="31" fillId="0" borderId="2" xfId="0" applyFont="1" applyBorder="1" applyAlignment="1">
      <alignment horizontal="center" vertical="top" wrapText="1"/>
    </xf>
    <xf numFmtId="0" fontId="31" fillId="0" borderId="3" xfId="0" applyFont="1" applyBorder="1" applyAlignment="1">
      <alignment horizontal="center" vertical="top" wrapText="1"/>
    </xf>
    <xf numFmtId="0" fontId="31" fillId="0" borderId="0" xfId="0" applyFont="1" applyAlignment="1">
      <alignment horizontal="center" vertical="top" wrapText="1"/>
    </xf>
    <xf numFmtId="0" fontId="31" fillId="0" borderId="8" xfId="0" applyFont="1" applyBorder="1" applyAlignment="1">
      <alignment horizontal="center" vertical="top" wrapText="1"/>
    </xf>
    <xf numFmtId="0" fontId="2" fillId="0" borderId="12" xfId="0" applyFont="1" applyBorder="1" applyAlignment="1">
      <alignment horizontal="left" wrapText="1" indent="2"/>
    </xf>
    <xf numFmtId="0" fontId="2" fillId="0" borderId="4" xfId="0" applyFont="1" applyBorder="1" applyAlignment="1">
      <alignment horizontal="left" wrapText="1"/>
    </xf>
    <xf numFmtId="0" fontId="2" fillId="0" borderId="5" xfId="0" applyFont="1" applyBorder="1" applyAlignment="1">
      <alignment horizontal="left" wrapText="1"/>
    </xf>
    <xf numFmtId="0" fontId="2" fillId="0" borderId="6" xfId="0" applyFont="1" applyBorder="1" applyAlignment="1">
      <alignment horizontal="left" wrapText="1"/>
    </xf>
    <xf numFmtId="0" fontId="2" fillId="26" borderId="9" xfId="0" applyFont="1" applyFill="1" applyBorder="1" applyAlignment="1" applyProtection="1">
      <alignment horizontal="left" wrapText="1"/>
      <protection locked="0"/>
    </xf>
    <xf numFmtId="0" fontId="2" fillId="26" borderId="10" xfId="0" applyFont="1" applyFill="1" applyBorder="1" applyAlignment="1" applyProtection="1">
      <alignment horizontal="left" wrapText="1"/>
      <protection locked="0"/>
    </xf>
    <xf numFmtId="0" fontId="2" fillId="26" borderId="70" xfId="0" applyFont="1" applyFill="1" applyBorder="1" applyAlignment="1" applyProtection="1">
      <alignment horizontal="left" wrapText="1"/>
      <protection locked="0"/>
    </xf>
    <xf numFmtId="0" fontId="2" fillId="26" borderId="11" xfId="0" applyFont="1" applyFill="1" applyBorder="1" applyAlignment="1" applyProtection="1">
      <alignment horizontal="left" wrapText="1"/>
      <protection locked="0"/>
    </xf>
    <xf numFmtId="164" fontId="5" fillId="26" borderId="55" xfId="0" applyNumberFormat="1" applyFont="1" applyFill="1" applyBorder="1" applyAlignment="1" applyProtection="1">
      <alignment horizontal="center" vertical="center" wrapText="1"/>
      <protection locked="0"/>
    </xf>
    <xf numFmtId="0" fontId="5" fillId="0" borderId="39" xfId="0" applyFont="1" applyBorder="1" applyAlignment="1" applyProtection="1">
      <alignment horizontal="center" vertical="center" wrapText="1"/>
      <protection locked="0"/>
    </xf>
    <xf numFmtId="0" fontId="7" fillId="0" borderId="30" xfId="0" applyFont="1" applyBorder="1" applyAlignment="1">
      <alignment horizontal="center" vertical="top" wrapText="1"/>
    </xf>
    <xf numFmtId="0" fontId="7" fillId="0" borderId="32" xfId="0" applyFont="1" applyBorder="1" applyAlignment="1">
      <alignment horizontal="center" vertical="top" wrapText="1"/>
    </xf>
    <xf numFmtId="0" fontId="7" fillId="0" borderId="4" xfId="0" applyFont="1" applyBorder="1" applyAlignment="1">
      <alignment horizontal="center" vertical="top" wrapText="1"/>
    </xf>
    <xf numFmtId="0" fontId="7" fillId="0" borderId="6" xfId="0" applyFont="1" applyBorder="1" applyAlignment="1">
      <alignment horizontal="center" vertical="top" wrapText="1"/>
    </xf>
    <xf numFmtId="0" fontId="2" fillId="0" borderId="4" xfId="0" applyFont="1" applyBorder="1" applyAlignment="1">
      <alignment horizontal="left" vertical="top" wrapText="1"/>
    </xf>
    <xf numFmtId="0" fontId="2" fillId="0" borderId="6" xfId="0" applyFont="1" applyBorder="1" applyAlignment="1">
      <alignment horizontal="left" vertical="top" wrapText="1"/>
    </xf>
    <xf numFmtId="44" fontId="2" fillId="26" borderId="9" xfId="0" applyNumberFormat="1" applyFont="1" applyFill="1" applyBorder="1" applyAlignment="1" applyProtection="1">
      <alignment horizontal="center" wrapText="1"/>
      <protection locked="0"/>
    </xf>
    <xf numFmtId="44" fontId="2" fillId="26" borderId="11" xfId="0" applyNumberFormat="1" applyFont="1" applyFill="1" applyBorder="1" applyAlignment="1" applyProtection="1">
      <alignment horizontal="center" wrapText="1"/>
      <protection locked="0"/>
    </xf>
    <xf numFmtId="164" fontId="2" fillId="26" borderId="9" xfId="0" applyNumberFormat="1" applyFont="1" applyFill="1" applyBorder="1" applyAlignment="1" applyProtection="1">
      <alignment horizontal="center" wrapText="1"/>
      <protection locked="0"/>
    </xf>
    <xf numFmtId="164" fontId="2" fillId="26" borderId="11" xfId="0" applyNumberFormat="1" applyFont="1" applyFill="1" applyBorder="1" applyAlignment="1" applyProtection="1">
      <alignment horizontal="center" wrapText="1"/>
      <protection locked="0"/>
    </xf>
    <xf numFmtId="0" fontId="18" fillId="0" borderId="3" xfId="0" applyFont="1" applyBorder="1"/>
    <xf numFmtId="0" fontId="18" fillId="0" borderId="4" xfId="0" applyFont="1" applyBorder="1"/>
    <xf numFmtId="0" fontId="18" fillId="0" borderId="6" xfId="0" applyFont="1" applyBorder="1"/>
    <xf numFmtId="0" fontId="2" fillId="0" borderId="37" xfId="0" applyFont="1" applyBorder="1" applyAlignment="1">
      <alignment horizontal="center" vertical="center" wrapText="1"/>
    </xf>
    <xf numFmtId="0" fontId="2" fillId="0" borderId="38"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39" xfId="0" applyFont="1" applyBorder="1" applyAlignment="1">
      <alignment horizontal="center" vertical="center" wrapText="1"/>
    </xf>
    <xf numFmtId="0" fontId="7" fillId="0" borderId="1" xfId="0" applyFont="1" applyBorder="1" applyAlignment="1">
      <alignment horizontal="center" wrapText="1"/>
    </xf>
    <xf numFmtId="0" fontId="7" fillId="0" borderId="2" xfId="0" applyFont="1" applyBorder="1" applyAlignment="1">
      <alignment horizontal="center" wrapText="1"/>
    </xf>
    <xf numFmtId="0" fontId="7" fillId="0" borderId="3" xfId="0" applyFont="1" applyBorder="1" applyAlignment="1">
      <alignment horizontal="center" wrapText="1"/>
    </xf>
    <xf numFmtId="0" fontId="6" fillId="0" borderId="7" xfId="0" applyFont="1" applyBorder="1" applyAlignment="1">
      <alignment horizontal="left" wrapText="1"/>
    </xf>
    <xf numFmtId="0" fontId="6" fillId="0" borderId="0" xfId="0" applyFont="1" applyAlignment="1">
      <alignment horizontal="left" wrapText="1"/>
    </xf>
    <xf numFmtId="0" fontId="2" fillId="0" borderId="37" xfId="0" applyFont="1" applyBorder="1" applyAlignment="1">
      <alignment horizontal="left" wrapText="1" indent="1"/>
    </xf>
    <xf numFmtId="0" fontId="2" fillId="0" borderId="17" xfId="0" applyFont="1" applyBorder="1" applyAlignment="1">
      <alignment horizontal="left" wrapText="1" indent="1"/>
    </xf>
    <xf numFmtId="0" fontId="2" fillId="0" borderId="38" xfId="0" applyFont="1" applyBorder="1" applyAlignment="1">
      <alignment horizontal="left" wrapText="1" indent="1"/>
    </xf>
    <xf numFmtId="0" fontId="2" fillId="26" borderId="37" xfId="0" applyFont="1" applyFill="1" applyBorder="1" applyAlignment="1" applyProtection="1">
      <alignment horizontal="center" vertical="center" wrapText="1"/>
      <protection locked="0"/>
    </xf>
    <xf numFmtId="0" fontId="2" fillId="26" borderId="38" xfId="0" applyFont="1" applyFill="1" applyBorder="1" applyAlignment="1" applyProtection="1">
      <alignment horizontal="center" vertical="center" wrapText="1"/>
      <protection locked="0"/>
    </xf>
    <xf numFmtId="0" fontId="32" fillId="0" borderId="7" xfId="0" applyFont="1" applyBorder="1" applyAlignment="1">
      <alignment horizontal="left" wrapText="1" indent="1"/>
    </xf>
    <xf numFmtId="0" fontId="32" fillId="0" borderId="0" xfId="0" applyFont="1" applyAlignment="1">
      <alignment horizontal="left" wrapText="1" indent="1"/>
    </xf>
    <xf numFmtId="0" fontId="0" fillId="0" borderId="32" xfId="0" applyBorder="1"/>
    <xf numFmtId="0" fontId="0" fillId="0" borderId="7" xfId="0" applyBorder="1"/>
    <xf numFmtId="0" fontId="0" fillId="0" borderId="8" xfId="0" applyBorder="1"/>
    <xf numFmtId="0" fontId="0" fillId="0" borderId="10" xfId="0" applyBorder="1"/>
    <xf numFmtId="0" fontId="2" fillId="26" borderId="44" xfId="0" applyFont="1" applyFill="1" applyBorder="1" applyAlignment="1" applyProtection="1">
      <alignment horizontal="left" vertical="top" wrapText="1"/>
      <protection locked="0"/>
    </xf>
    <xf numFmtId="2" fontId="2" fillId="26" borderId="42" xfId="0" applyNumberFormat="1" applyFont="1" applyFill="1" applyBorder="1" applyAlignment="1" applyProtection="1">
      <alignment horizontal="right" vertical="top" wrapText="1"/>
      <protection locked="0"/>
    </xf>
    <xf numFmtId="2" fontId="2" fillId="0" borderId="42" xfId="0" applyNumberFormat="1" applyFont="1" applyBorder="1" applyAlignment="1">
      <alignment horizontal="right" vertical="top" wrapText="1"/>
    </xf>
    <xf numFmtId="2" fontId="2" fillId="0" borderId="47" xfId="0" applyNumberFormat="1" applyFont="1" applyBorder="1" applyAlignment="1">
      <alignment horizontal="right" vertical="top" wrapText="1"/>
    </xf>
    <xf numFmtId="0" fontId="7" fillId="0" borderId="1" xfId="0" applyFont="1" applyBorder="1" applyAlignment="1">
      <alignment horizontal="right" vertical="top" wrapText="1" indent="1"/>
    </xf>
    <xf numFmtId="0" fontId="7" fillId="0" borderId="2" xfId="0" applyFont="1" applyBorder="1" applyAlignment="1">
      <alignment horizontal="right" vertical="top" wrapText="1" indent="1"/>
    </xf>
    <xf numFmtId="0" fontId="7" fillId="0" borderId="3" xfId="0" applyFont="1" applyBorder="1" applyAlignment="1">
      <alignment horizontal="right" vertical="top" wrapText="1" indent="1"/>
    </xf>
    <xf numFmtId="2" fontId="2" fillId="0" borderId="9" xfId="0" applyNumberFormat="1" applyFont="1" applyBorder="1" applyAlignment="1">
      <alignment horizontal="right" vertical="top" wrapText="1"/>
    </xf>
    <xf numFmtId="0" fontId="2" fillId="0" borderId="11" xfId="0" applyFont="1" applyBorder="1" applyAlignment="1">
      <alignment horizontal="right" vertical="top" wrapText="1"/>
    </xf>
    <xf numFmtId="2" fontId="2" fillId="26" borderId="9" xfId="0" applyNumberFormat="1" applyFont="1" applyFill="1" applyBorder="1" applyAlignment="1" applyProtection="1">
      <alignment horizontal="right" vertical="top" wrapText="1"/>
      <protection locked="0"/>
    </xf>
    <xf numFmtId="2" fontId="2" fillId="26" borderId="11" xfId="0" applyNumberFormat="1" applyFont="1" applyFill="1" applyBorder="1" applyAlignment="1" applyProtection="1">
      <alignment horizontal="right" vertical="top" wrapText="1"/>
      <protection locked="0"/>
    </xf>
    <xf numFmtId="0" fontId="7" fillId="0" borderId="9" xfId="0" applyFont="1" applyBorder="1" applyAlignment="1">
      <alignment horizontal="right" vertical="top" wrapText="1" indent="1"/>
    </xf>
    <xf numFmtId="0" fontId="7" fillId="0" borderId="10" xfId="0" applyFont="1" applyBorder="1" applyAlignment="1">
      <alignment horizontal="right" vertical="top" wrapText="1" indent="1"/>
    </xf>
    <xf numFmtId="0" fontId="7" fillId="0" borderId="11" xfId="0" applyFont="1" applyBorder="1" applyAlignment="1">
      <alignment horizontal="right" vertical="top" wrapText="1" indent="1"/>
    </xf>
    <xf numFmtId="0" fontId="2" fillId="26" borderId="48" xfId="0" applyFont="1" applyFill="1" applyBorder="1" applyAlignment="1" applyProtection="1">
      <alignment horizontal="left" vertical="top" wrapText="1"/>
      <protection locked="0"/>
    </xf>
    <xf numFmtId="0" fontId="2" fillId="26" borderId="43" xfId="0" applyFont="1" applyFill="1" applyBorder="1" applyAlignment="1" applyProtection="1">
      <alignment horizontal="left" vertical="top" wrapText="1"/>
      <protection locked="0"/>
    </xf>
    <xf numFmtId="0" fontId="32" fillId="6" borderId="9" xfId="31" applyFont="1" applyBorder="1" applyAlignment="1" applyProtection="1">
      <alignment horizontal="center" vertical="center" wrapText="1"/>
      <protection locked="0"/>
    </xf>
    <xf numFmtId="0" fontId="32" fillId="6" borderId="11" xfId="31" applyFont="1" applyBorder="1" applyAlignment="1" applyProtection="1">
      <alignment horizontal="center" vertical="center" wrapText="1"/>
      <protection locked="0"/>
    </xf>
    <xf numFmtId="0" fontId="7" fillId="0" borderId="9" xfId="0" applyFont="1" applyBorder="1" applyAlignment="1">
      <alignment horizontal="right" vertical="center" wrapText="1"/>
    </xf>
    <xf numFmtId="0" fontId="7" fillId="0" borderId="10" xfId="0" applyFont="1" applyBorder="1" applyAlignment="1">
      <alignment horizontal="right" vertical="center" wrapText="1"/>
    </xf>
    <xf numFmtId="0" fontId="7" fillId="0" borderId="11" xfId="0" applyFont="1" applyBorder="1" applyAlignment="1">
      <alignment horizontal="right" vertical="center"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11" xfId="0" applyFont="1" applyBorder="1" applyAlignment="1">
      <alignment horizontal="center" vertical="top" wrapText="1"/>
    </xf>
    <xf numFmtId="0" fontId="2" fillId="26" borderId="61" xfId="0" applyFont="1" applyFill="1" applyBorder="1" applyAlignment="1" applyProtection="1">
      <alignment horizontal="left" vertical="top" wrapText="1"/>
      <protection locked="0"/>
    </xf>
    <xf numFmtId="0" fontId="2" fillId="26" borderId="62" xfId="0" applyFont="1" applyFill="1" applyBorder="1" applyAlignment="1" applyProtection="1">
      <alignment horizontal="left" vertical="top" wrapText="1"/>
      <protection locked="0"/>
    </xf>
    <xf numFmtId="2" fontId="2" fillId="26" borderId="62" xfId="0" applyNumberFormat="1" applyFont="1" applyFill="1" applyBorder="1" applyAlignment="1" applyProtection="1">
      <alignment horizontal="right" vertical="top" wrapText="1"/>
      <protection locked="0"/>
    </xf>
    <xf numFmtId="2" fontId="2" fillId="0" borderId="62" xfId="0" applyNumberFormat="1" applyFont="1" applyBorder="1" applyAlignment="1">
      <alignment horizontal="right" vertical="top" wrapText="1"/>
    </xf>
    <xf numFmtId="2" fontId="2" fillId="0" borderId="63" xfId="0" applyNumberFormat="1" applyFont="1" applyBorder="1" applyAlignment="1">
      <alignment horizontal="right" vertical="top" wrapText="1"/>
    </xf>
    <xf numFmtId="0" fontId="2" fillId="0" borderId="4" xfId="0" applyFont="1" applyBorder="1" applyAlignment="1">
      <alignment horizontal="left" vertical="top" wrapText="1" indent="3"/>
    </xf>
    <xf numFmtId="0" fontId="2" fillId="0" borderId="5" xfId="0" applyFont="1" applyBorder="1" applyAlignment="1">
      <alignment horizontal="left" vertical="top" wrapText="1" indent="3"/>
    </xf>
    <xf numFmtId="0" fontId="2" fillId="0" borderId="6" xfId="0" applyFont="1" applyBorder="1" applyAlignment="1">
      <alignment horizontal="left" vertical="top" wrapText="1" indent="3"/>
    </xf>
    <xf numFmtId="0" fontId="7" fillId="0" borderId="70" xfId="0" applyFont="1" applyBorder="1" applyAlignment="1">
      <alignment horizontal="left" vertical="top" wrapText="1"/>
    </xf>
    <xf numFmtId="2" fontId="2" fillId="0" borderId="67" xfId="0" applyNumberFormat="1" applyFont="1" applyBorder="1" applyAlignment="1">
      <alignment horizontal="right" vertical="center" wrapText="1"/>
    </xf>
    <xf numFmtId="2" fontId="2" fillId="0" borderId="66" xfId="0" applyNumberFormat="1" applyFont="1" applyBorder="1" applyAlignment="1">
      <alignment horizontal="right" vertical="center" wrapText="1"/>
    </xf>
    <xf numFmtId="2" fontId="2" fillId="0" borderId="64" xfId="0" applyNumberFormat="1" applyFont="1" applyBorder="1" applyAlignment="1">
      <alignment horizontal="right" vertical="center" wrapText="1"/>
    </xf>
    <xf numFmtId="2" fontId="2" fillId="0" borderId="16" xfId="0" applyNumberFormat="1" applyFont="1" applyBorder="1" applyAlignment="1">
      <alignment horizontal="right" vertical="center" wrapText="1"/>
    </xf>
    <xf numFmtId="2" fontId="2" fillId="0" borderId="17" xfId="0" applyNumberFormat="1" applyFont="1" applyBorder="1" applyAlignment="1">
      <alignment horizontal="right" vertical="center" wrapText="1"/>
    </xf>
    <xf numFmtId="2" fontId="2" fillId="0" borderId="38" xfId="0" applyNumberFormat="1" applyFont="1" applyBorder="1" applyAlignment="1">
      <alignment horizontal="right" vertical="center" wrapText="1"/>
    </xf>
    <xf numFmtId="2" fontId="2" fillId="0" borderId="45" xfId="0" applyNumberFormat="1" applyFont="1" applyBorder="1" applyAlignment="1">
      <alignment horizontal="right" vertical="center" wrapText="1"/>
    </xf>
    <xf numFmtId="2" fontId="2" fillId="0" borderId="56" xfId="0" applyNumberFormat="1" applyFont="1" applyBorder="1" applyAlignment="1">
      <alignment horizontal="right" vertical="center" wrapText="1"/>
    </xf>
    <xf numFmtId="2" fontId="2" fillId="0" borderId="39" xfId="0" applyNumberFormat="1" applyFont="1" applyBorder="1" applyAlignment="1">
      <alignment horizontal="right" vertical="center" wrapText="1"/>
    </xf>
    <xf numFmtId="0" fontId="32" fillId="0" borderId="37" xfId="0" applyFont="1" applyBorder="1" applyAlignment="1">
      <alignment horizontal="left" vertical="top" wrapText="1"/>
    </xf>
    <xf numFmtId="0" fontId="32" fillId="0" borderId="17" xfId="0" applyFont="1" applyBorder="1" applyAlignment="1">
      <alignment horizontal="left" vertical="top" wrapText="1"/>
    </xf>
    <xf numFmtId="0" fontId="32" fillId="0" borderId="18" xfId="0" applyFont="1" applyBorder="1" applyAlignment="1">
      <alignment horizontal="left" vertical="top" wrapText="1"/>
    </xf>
    <xf numFmtId="0" fontId="32" fillId="0" borderId="55" xfId="0" applyFont="1" applyBorder="1" applyAlignment="1">
      <alignment horizontal="left" vertical="top" wrapText="1"/>
    </xf>
    <xf numFmtId="0" fontId="32" fillId="0" borderId="56" xfId="0" applyFont="1" applyBorder="1" applyAlignment="1">
      <alignment horizontal="left" vertical="top" wrapText="1"/>
    </xf>
    <xf numFmtId="0" fontId="32" fillId="0" borderId="39" xfId="0" applyFont="1" applyBorder="1" applyAlignment="1">
      <alignment horizontal="left" vertical="top" wrapText="1"/>
    </xf>
    <xf numFmtId="0" fontId="13" fillId="0" borderId="70" xfId="0" applyFont="1" applyBorder="1" applyAlignment="1">
      <alignment horizontal="center" wrapText="1"/>
    </xf>
    <xf numFmtId="0" fontId="13" fillId="0" borderId="71" xfId="0" applyFont="1" applyBorder="1" applyAlignment="1">
      <alignment horizontal="center" wrapText="1"/>
    </xf>
    <xf numFmtId="0" fontId="13" fillId="0" borderId="11" xfId="0" applyFont="1" applyBorder="1" applyAlignment="1">
      <alignment horizontal="center" wrapText="1"/>
    </xf>
    <xf numFmtId="0" fontId="7" fillId="0" borderId="19" xfId="0" applyFont="1" applyBorder="1" applyAlignment="1">
      <alignment horizontal="center" vertical="top" wrapText="1"/>
    </xf>
    <xf numFmtId="0" fontId="7" fillId="0" borderId="31" xfId="0" applyFont="1" applyBorder="1" applyAlignment="1">
      <alignment horizontal="center" vertical="top" wrapText="1"/>
    </xf>
    <xf numFmtId="0" fontId="7" fillId="0" borderId="21" xfId="0" applyFont="1" applyBorder="1" applyAlignment="1">
      <alignment horizontal="center" vertical="top" wrapText="1"/>
    </xf>
    <xf numFmtId="0" fontId="7" fillId="0" borderId="0" xfId="0" applyFont="1" applyAlignment="1">
      <alignment horizontal="center" vertical="top" wrapText="1"/>
    </xf>
    <xf numFmtId="0" fontId="7" fillId="0" borderId="33" xfId="0" applyFont="1" applyBorder="1" applyAlignment="1">
      <alignment horizontal="center" vertical="top" wrapText="1"/>
    </xf>
    <xf numFmtId="0" fontId="7" fillId="0" borderId="5" xfId="0" applyFont="1" applyBorder="1" applyAlignment="1">
      <alignment horizontal="center" vertical="top" wrapText="1"/>
    </xf>
    <xf numFmtId="0" fontId="32" fillId="0" borderId="37" xfId="0" applyFont="1" applyBorder="1" applyAlignment="1">
      <alignment horizontal="left" vertical="top" wrapText="1" indent="2"/>
    </xf>
    <xf numFmtId="0" fontId="32" fillId="0" borderId="17" xfId="0" applyFont="1" applyBorder="1" applyAlignment="1">
      <alignment horizontal="left" vertical="top" wrapText="1" indent="2"/>
    </xf>
    <xf numFmtId="0" fontId="32" fillId="0" borderId="18" xfId="0" applyFont="1" applyBorder="1" applyAlignment="1">
      <alignment horizontal="left" vertical="top" wrapText="1" indent="2"/>
    </xf>
    <xf numFmtId="2" fontId="2" fillId="0" borderId="1" xfId="0" applyNumberFormat="1" applyFont="1" applyBorder="1" applyAlignment="1">
      <alignment horizontal="right" vertical="center" wrapText="1"/>
    </xf>
    <xf numFmtId="2" fontId="2" fillId="0" borderId="3" xfId="0" applyNumberFormat="1" applyFont="1" applyBorder="1" applyAlignment="1">
      <alignment horizontal="right" vertical="center" wrapText="1"/>
    </xf>
    <xf numFmtId="2" fontId="2" fillId="0" borderId="7" xfId="0" applyNumberFormat="1" applyFont="1" applyBorder="1" applyAlignment="1">
      <alignment horizontal="right" vertical="center" wrapText="1"/>
    </xf>
    <xf numFmtId="2" fontId="2" fillId="0" borderId="8" xfId="0" applyNumberFormat="1" applyFont="1" applyBorder="1" applyAlignment="1">
      <alignment horizontal="right" vertical="center" wrapText="1"/>
    </xf>
    <xf numFmtId="2" fontId="2" fillId="0" borderId="4" xfId="0" applyNumberFormat="1" applyFont="1" applyBorder="1" applyAlignment="1">
      <alignment horizontal="right" vertical="center" wrapText="1"/>
    </xf>
    <xf numFmtId="2" fontId="2" fillId="0" borderId="6" xfId="0" applyNumberFormat="1" applyFont="1" applyBorder="1" applyAlignment="1">
      <alignment horizontal="right" vertical="center" wrapText="1"/>
    </xf>
    <xf numFmtId="0" fontId="5" fillId="0" borderId="7" xfId="0" applyFont="1" applyBorder="1" applyAlignment="1">
      <alignment horizontal="right" vertical="top" wrapText="1" indent="1"/>
    </xf>
    <xf numFmtId="0" fontId="5" fillId="0" borderId="0" xfId="0" applyFont="1" applyAlignment="1">
      <alignment horizontal="right" vertical="top" wrapText="1" indent="1"/>
    </xf>
    <xf numFmtId="0" fontId="5" fillId="0" borderId="8" xfId="0" applyFont="1" applyBorder="1" applyAlignment="1">
      <alignment horizontal="right" vertical="top" wrapText="1" indent="1"/>
    </xf>
    <xf numFmtId="0" fontId="5" fillId="0" borderId="4" xfId="0" applyFont="1" applyBorder="1" applyAlignment="1">
      <alignment horizontal="right" vertical="top" wrapText="1" indent="1"/>
    </xf>
    <xf numFmtId="0" fontId="5" fillId="0" borderId="5" xfId="0" applyFont="1" applyBorder="1" applyAlignment="1">
      <alignment horizontal="right" vertical="top" wrapText="1" indent="1"/>
    </xf>
    <xf numFmtId="0" fontId="5" fillId="0" borderId="6" xfId="0" applyFont="1" applyBorder="1" applyAlignment="1">
      <alignment horizontal="right" vertical="top" wrapText="1" indent="1"/>
    </xf>
    <xf numFmtId="44" fontId="2" fillId="26" borderId="42" xfId="0" applyNumberFormat="1" applyFont="1" applyFill="1" applyBorder="1" applyAlignment="1" applyProtection="1">
      <alignment horizontal="center" vertical="top" wrapText="1"/>
      <protection locked="0"/>
    </xf>
    <xf numFmtId="0" fontId="7" fillId="0" borderId="44" xfId="0" applyFont="1" applyBorder="1" applyAlignment="1">
      <alignment horizontal="left" vertical="top" wrapText="1" indent="1"/>
    </xf>
    <xf numFmtId="0" fontId="7" fillId="0" borderId="42" xfId="0" applyFont="1" applyBorder="1" applyAlignment="1">
      <alignment horizontal="left" vertical="top" wrapText="1" indent="1"/>
    </xf>
    <xf numFmtId="0" fontId="7" fillId="0" borderId="16" xfId="0" applyFont="1" applyBorder="1" applyAlignment="1">
      <alignment horizontal="left" vertical="top" wrapText="1" indent="1"/>
    </xf>
    <xf numFmtId="0" fontId="7" fillId="0" borderId="37" xfId="0" applyFont="1" applyBorder="1" applyAlignment="1">
      <alignment horizontal="left" vertical="top" wrapText="1" indent="1"/>
    </xf>
    <xf numFmtId="0" fontId="7" fillId="0" borderId="17" xfId="0" applyFont="1" applyBorder="1" applyAlignment="1">
      <alignment horizontal="left" vertical="top" wrapText="1" indent="1"/>
    </xf>
    <xf numFmtId="44" fontId="2" fillId="0" borderId="16" xfId="0" applyNumberFormat="1" applyFont="1" applyBorder="1" applyAlignment="1">
      <alignment horizontal="center"/>
    </xf>
    <xf numFmtId="44" fontId="2" fillId="0" borderId="38" xfId="0" applyNumberFormat="1" applyFont="1" applyBorder="1" applyAlignment="1">
      <alignment horizontal="center"/>
    </xf>
    <xf numFmtId="0" fontId="13" fillId="0" borderId="37" xfId="0" applyFont="1" applyBorder="1" applyAlignment="1">
      <alignment horizontal="left" vertical="top" wrapText="1" indent="1"/>
    </xf>
    <xf numFmtId="0" fontId="13" fillId="0" borderId="17" xfId="0" applyFont="1" applyBorder="1" applyAlignment="1">
      <alignment horizontal="left" vertical="top" wrapText="1" indent="1"/>
    </xf>
    <xf numFmtId="0" fontId="2" fillId="0" borderId="38" xfId="0" applyFont="1" applyBorder="1" applyAlignment="1">
      <alignment horizontal="left" vertical="top" wrapText="1" indent="3"/>
    </xf>
    <xf numFmtId="164" fontId="2" fillId="26" borderId="16" xfId="0" applyNumberFormat="1" applyFont="1" applyFill="1" applyBorder="1" applyAlignment="1" applyProtection="1">
      <alignment horizontal="left" vertical="top" wrapText="1"/>
      <protection locked="0"/>
    </xf>
    <xf numFmtId="164" fontId="2" fillId="26" borderId="18" xfId="0" applyNumberFormat="1" applyFont="1" applyFill="1" applyBorder="1" applyAlignment="1" applyProtection="1">
      <alignment horizontal="left" vertical="top" wrapText="1"/>
      <protection locked="0"/>
    </xf>
    <xf numFmtId="0" fontId="2" fillId="0" borderId="44" xfId="0" applyFont="1" applyBorder="1" applyAlignment="1">
      <alignment horizontal="left" vertical="top" wrapText="1"/>
    </xf>
    <xf numFmtId="0" fontId="2" fillId="0" borderId="42" xfId="0" applyFont="1" applyBorder="1" applyAlignment="1">
      <alignment horizontal="left" vertical="top" wrapText="1"/>
    </xf>
    <xf numFmtId="0" fontId="7" fillId="0" borderId="44" xfId="0" applyFont="1" applyBorder="1" applyAlignment="1">
      <alignment horizontal="left" vertical="top" wrapText="1"/>
    </xf>
    <xf numFmtId="0" fontId="7" fillId="0" borderId="42" xfId="0" applyFont="1" applyBorder="1" applyAlignment="1">
      <alignment horizontal="left" vertical="top" wrapText="1"/>
    </xf>
    <xf numFmtId="0" fontId="7" fillId="0" borderId="60" xfId="0" applyFont="1" applyBorder="1" applyAlignment="1">
      <alignment horizontal="left" vertical="top" wrapText="1"/>
    </xf>
    <xf numFmtId="0" fontId="7" fillId="0" borderId="53" xfId="0" applyFont="1" applyBorder="1" applyAlignment="1">
      <alignment horizontal="left" vertical="top" wrapText="1"/>
    </xf>
    <xf numFmtId="0" fontId="55" fillId="0" borderId="7" xfId="0" applyFont="1" applyBorder="1" applyAlignment="1">
      <alignment horizontal="left" vertical="center" wrapText="1" indent="2"/>
    </xf>
    <xf numFmtId="0" fontId="55" fillId="0" borderId="0" xfId="0" applyFont="1" applyAlignment="1">
      <alignment horizontal="left" vertical="center" wrapText="1" indent="2"/>
    </xf>
    <xf numFmtId="0" fontId="55" fillId="0" borderId="8" xfId="0" applyFont="1" applyBorder="1" applyAlignment="1">
      <alignment horizontal="left" vertical="center" wrapText="1" indent="2"/>
    </xf>
    <xf numFmtId="0" fontId="55" fillId="0" borderId="4" xfId="0" applyFont="1" applyBorder="1" applyAlignment="1">
      <alignment horizontal="left" vertical="center" wrapText="1" indent="2"/>
    </xf>
    <xf numFmtId="0" fontId="55" fillId="0" borderId="5" xfId="0" applyFont="1" applyBorder="1" applyAlignment="1">
      <alignment horizontal="left" vertical="center" wrapText="1" indent="2"/>
    </xf>
    <xf numFmtId="0" fontId="55" fillId="0" borderId="6" xfId="0" applyFont="1" applyBorder="1" applyAlignment="1">
      <alignment horizontal="left" vertical="center" wrapText="1" indent="2"/>
    </xf>
    <xf numFmtId="0" fontId="2" fillId="0" borderId="0" xfId="0" applyFont="1" applyAlignment="1">
      <alignment horizontal="center"/>
    </xf>
    <xf numFmtId="0" fontId="2" fillId="0" borderId="8" xfId="0" applyFont="1" applyBorder="1" applyAlignment="1">
      <alignment horizontal="center"/>
    </xf>
    <xf numFmtId="0" fontId="2" fillId="26" borderId="53" xfId="0" applyFont="1" applyFill="1" applyBorder="1" applyAlignment="1" applyProtection="1">
      <alignment horizontal="center" vertical="center"/>
      <protection locked="0"/>
    </xf>
    <xf numFmtId="0" fontId="2" fillId="26" borderId="54" xfId="0" applyFont="1" applyFill="1" applyBorder="1" applyAlignment="1" applyProtection="1">
      <alignment horizontal="center" vertical="center"/>
      <protection locked="0"/>
    </xf>
    <xf numFmtId="44" fontId="2" fillId="26" borderId="62" xfId="0" applyNumberFormat="1" applyFont="1" applyFill="1" applyBorder="1" applyAlignment="1" applyProtection="1">
      <alignment horizontal="center"/>
      <protection locked="0"/>
    </xf>
    <xf numFmtId="44" fontId="2" fillId="26" borderId="63" xfId="0" applyNumberFormat="1" applyFont="1" applyFill="1" applyBorder="1" applyAlignment="1" applyProtection="1">
      <alignment horizontal="center"/>
      <protection locked="0"/>
    </xf>
    <xf numFmtId="165" fontId="2" fillId="0" borderId="3" xfId="0" applyNumberFormat="1" applyFont="1" applyBorder="1" applyAlignment="1">
      <alignment horizontal="center" vertical="center" wrapText="1"/>
    </xf>
    <xf numFmtId="165" fontId="2" fillId="0" borderId="7" xfId="0" applyNumberFormat="1" applyFont="1" applyBorder="1" applyAlignment="1">
      <alignment horizontal="center" vertical="center" wrapText="1"/>
    </xf>
    <xf numFmtId="165" fontId="2" fillId="0" borderId="8" xfId="0" applyNumberFormat="1" applyFont="1" applyBorder="1" applyAlignment="1">
      <alignment horizontal="center" vertical="center" wrapText="1"/>
    </xf>
    <xf numFmtId="44" fontId="0" fillId="26" borderId="38" xfId="0" applyNumberFormat="1" applyFill="1" applyBorder="1" applyProtection="1">
      <protection locked="0"/>
    </xf>
    <xf numFmtId="0" fontId="5" fillId="0" borderId="4" xfId="0" applyFont="1" applyBorder="1" applyAlignment="1">
      <alignment horizontal="left" vertical="top" wrapText="1" indent="2"/>
    </xf>
    <xf numFmtId="0" fontId="5" fillId="0" borderId="5" xfId="0" applyFont="1" applyBorder="1" applyAlignment="1">
      <alignment horizontal="left" vertical="top" wrapText="1" indent="2"/>
    </xf>
    <xf numFmtId="0" fontId="5" fillId="0" borderId="6" xfId="0" applyFont="1" applyBorder="1" applyAlignment="1">
      <alignment horizontal="left" vertical="top" wrapText="1" indent="2"/>
    </xf>
    <xf numFmtId="0" fontId="2" fillId="26" borderId="57" xfId="0" applyFont="1" applyFill="1" applyBorder="1" applyAlignment="1" applyProtection="1">
      <alignment horizontal="center" vertical="center" wrapText="1"/>
      <protection locked="0"/>
    </xf>
    <xf numFmtId="0" fontId="2" fillId="26" borderId="58" xfId="0" applyFont="1" applyFill="1" applyBorder="1" applyAlignment="1" applyProtection="1">
      <alignment horizontal="center" vertical="center" wrapText="1"/>
      <protection locked="0"/>
    </xf>
    <xf numFmtId="0" fontId="32" fillId="0" borderId="7" xfId="0" applyFont="1" applyBorder="1" applyAlignment="1">
      <alignment horizontal="center"/>
    </xf>
    <xf numFmtId="0" fontId="32" fillId="0" borderId="0" xfId="0" applyFont="1" applyAlignment="1">
      <alignment horizontal="center"/>
    </xf>
    <xf numFmtId="0" fontId="7" fillId="0" borderId="35" xfId="0" applyFont="1" applyBorder="1" applyAlignment="1">
      <alignment horizontal="left" vertical="top" wrapText="1"/>
    </xf>
    <xf numFmtId="0" fontId="7" fillId="0" borderId="36" xfId="0" applyFont="1" applyBorder="1" applyAlignment="1">
      <alignment horizontal="left" vertical="top" wrapText="1"/>
    </xf>
    <xf numFmtId="0" fontId="32" fillId="26" borderId="55" xfId="0" applyFont="1" applyFill="1" applyBorder="1" applyAlignment="1" applyProtection="1">
      <alignment horizontal="left"/>
      <protection locked="0"/>
    </xf>
    <xf numFmtId="0" fontId="32" fillId="26" borderId="56" xfId="0" applyFont="1" applyFill="1" applyBorder="1" applyAlignment="1" applyProtection="1">
      <alignment horizontal="left"/>
      <protection locked="0"/>
    </xf>
    <xf numFmtId="0" fontId="32" fillId="26" borderId="45" xfId="0" applyFont="1" applyFill="1" applyBorder="1" applyAlignment="1" applyProtection="1">
      <alignment horizontal="left"/>
      <protection locked="0"/>
    </xf>
    <xf numFmtId="0" fontId="32" fillId="26" borderId="39" xfId="0" applyFont="1" applyFill="1" applyBorder="1" applyAlignment="1" applyProtection="1">
      <alignment horizontal="left"/>
      <protection locked="0"/>
    </xf>
    <xf numFmtId="44" fontId="2" fillId="26" borderId="30" xfId="0" applyNumberFormat="1" applyFont="1" applyFill="1" applyBorder="1" applyAlignment="1" applyProtection="1">
      <alignment horizontal="center" vertical="top" wrapText="1"/>
      <protection locked="0"/>
    </xf>
    <xf numFmtId="44" fontId="2" fillId="26" borderId="32" xfId="0" applyNumberFormat="1" applyFont="1" applyFill="1" applyBorder="1" applyAlignment="1" applyProtection="1">
      <alignment horizontal="center" vertical="top" wrapText="1"/>
      <protection locked="0"/>
    </xf>
    <xf numFmtId="164" fontId="32" fillId="26" borderId="55" xfId="0" applyNumberFormat="1" applyFont="1" applyFill="1" applyBorder="1" applyAlignment="1" applyProtection="1">
      <alignment horizontal="center"/>
      <protection locked="0"/>
    </xf>
    <xf numFmtId="164" fontId="32" fillId="26" borderId="39" xfId="0" applyNumberFormat="1" applyFont="1" applyFill="1" applyBorder="1" applyAlignment="1" applyProtection="1">
      <alignment horizontal="center"/>
      <protection locked="0"/>
    </xf>
    <xf numFmtId="0" fontId="2" fillId="0" borderId="12" xfId="0" applyFont="1" applyBorder="1" applyAlignment="1">
      <alignment horizontal="left" wrapText="1"/>
    </xf>
    <xf numFmtId="0" fontId="2" fillId="0" borderId="35" xfId="0" applyFont="1" applyBorder="1" applyAlignment="1">
      <alignment horizontal="left" vertical="top" wrapText="1"/>
    </xf>
    <xf numFmtId="0" fontId="2" fillId="0" borderId="36" xfId="0" applyFont="1" applyBorder="1" applyAlignment="1">
      <alignment horizontal="left" vertical="top" wrapText="1"/>
    </xf>
    <xf numFmtId="44" fontId="2" fillId="0" borderId="37" xfId="0" applyNumberFormat="1" applyFont="1" applyBorder="1" applyAlignment="1">
      <alignment horizontal="center" vertical="top" wrapText="1"/>
    </xf>
    <xf numFmtId="0" fontId="5" fillId="0" borderId="7" xfId="0" applyFont="1" applyBorder="1" applyAlignment="1">
      <alignment horizontal="left" vertical="center" wrapText="1" indent="1"/>
    </xf>
    <xf numFmtId="0" fontId="5" fillId="0" borderId="0" xfId="0" applyFont="1" applyAlignment="1">
      <alignment horizontal="left" vertical="center" wrapText="1" indent="1"/>
    </xf>
    <xf numFmtId="0" fontId="5" fillId="0" borderId="8" xfId="0" applyFont="1" applyBorder="1" applyAlignment="1">
      <alignment horizontal="left" vertical="center" wrapText="1" indent="1"/>
    </xf>
    <xf numFmtId="0" fontId="5" fillId="0" borderId="4"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6" xfId="0" applyFont="1" applyBorder="1" applyAlignment="1">
      <alignment horizontal="left" vertical="center" wrapText="1" indent="1"/>
    </xf>
    <xf numFmtId="44" fontId="0" fillId="26" borderId="17" xfId="0" applyNumberFormat="1" applyFill="1" applyBorder="1" applyProtection="1">
      <protection locked="0"/>
    </xf>
    <xf numFmtId="164" fontId="2" fillId="26" borderId="42" xfId="0" applyNumberFormat="1" applyFont="1" applyFill="1" applyBorder="1" applyAlignment="1" applyProtection="1">
      <alignment horizontal="center" wrapText="1"/>
      <protection locked="0"/>
    </xf>
    <xf numFmtId="164" fontId="2" fillId="26" borderId="47" xfId="0" applyNumberFormat="1" applyFont="1" applyFill="1" applyBorder="1" applyAlignment="1" applyProtection="1">
      <alignment horizontal="center" wrapText="1"/>
      <protection locked="0"/>
    </xf>
    <xf numFmtId="164" fontId="2" fillId="26" borderId="44" xfId="0" applyNumberFormat="1" applyFont="1" applyFill="1" applyBorder="1" applyAlignment="1" applyProtection="1">
      <alignment horizontal="center" wrapText="1"/>
      <protection locked="0"/>
    </xf>
    <xf numFmtId="0" fontId="2" fillId="0" borderId="9" xfId="0" applyFont="1" applyBorder="1" applyAlignment="1">
      <alignment horizontal="left" vertical="center" wrapText="1" indent="2"/>
    </xf>
    <xf numFmtId="0" fontId="2" fillId="0" borderId="10" xfId="0" applyFont="1" applyBorder="1" applyAlignment="1">
      <alignment horizontal="left" vertical="center" wrapText="1" indent="2"/>
    </xf>
    <xf numFmtId="0" fontId="0" fillId="0" borderId="11" xfId="0" applyBorder="1" applyAlignment="1">
      <alignment horizontal="left" vertical="center" wrapText="1" indent="2"/>
    </xf>
    <xf numFmtId="0" fontId="2" fillId="26" borderId="12" xfId="0" applyFont="1" applyFill="1" applyBorder="1" applyAlignment="1" applyProtection="1">
      <alignment horizontal="center" vertical="center" wrapText="1"/>
      <protection locked="0"/>
    </xf>
    <xf numFmtId="0" fontId="81" fillId="0" borderId="76" xfId="0" applyFont="1" applyBorder="1" applyAlignment="1">
      <alignment horizontal="center" vertical="center" wrapText="1"/>
    </xf>
    <xf numFmtId="0" fontId="81" fillId="0" borderId="77" xfId="0" applyFont="1" applyBorder="1" applyAlignment="1">
      <alignment horizontal="center" vertical="center" wrapText="1"/>
    </xf>
    <xf numFmtId="0" fontId="81" fillId="0" borderId="78" xfId="0" applyFont="1" applyBorder="1" applyAlignment="1">
      <alignment horizontal="center" vertical="center" wrapText="1"/>
    </xf>
    <xf numFmtId="0" fontId="32" fillId="0" borderId="9" xfId="0" applyFont="1" applyBorder="1" applyAlignment="1">
      <alignment horizontal="left" vertical="center" wrapText="1" indent="2"/>
    </xf>
    <xf numFmtId="0" fontId="32" fillId="0" borderId="10" xfId="0" applyFont="1" applyBorder="1" applyAlignment="1">
      <alignment horizontal="left" vertical="center" wrapText="1" indent="2"/>
    </xf>
    <xf numFmtId="0" fontId="32" fillId="0" borderId="11" xfId="0" applyFont="1" applyBorder="1" applyAlignment="1">
      <alignment horizontal="left" vertical="center" wrapText="1" indent="2"/>
    </xf>
    <xf numFmtId="0" fontId="81" fillId="0" borderId="2" xfId="0" applyFont="1" applyBorder="1" applyAlignment="1">
      <alignment horizontal="center"/>
    </xf>
    <xf numFmtId="0" fontId="83" fillId="0" borderId="77" xfId="0" applyFont="1" applyBorder="1" applyAlignment="1">
      <alignment horizontal="center"/>
    </xf>
    <xf numFmtId="0" fontId="83" fillId="0" borderId="78" xfId="0" applyFont="1" applyBorder="1" applyAlignment="1">
      <alignment horizontal="center"/>
    </xf>
    <xf numFmtId="0" fontId="2" fillId="0" borderId="1" xfId="0" applyFont="1" applyBorder="1" applyAlignment="1">
      <alignment horizontal="left" vertical="top" wrapText="1" indent="2"/>
    </xf>
    <xf numFmtId="0" fontId="2" fillId="0" borderId="2" xfId="0" applyFont="1" applyBorder="1" applyAlignment="1">
      <alignment horizontal="left" vertical="top" wrapText="1" indent="2"/>
    </xf>
    <xf numFmtId="0" fontId="2" fillId="0" borderId="3" xfId="0" applyFont="1" applyBorder="1" applyAlignment="1">
      <alignment horizontal="left" vertical="top" wrapText="1" indent="2"/>
    </xf>
    <xf numFmtId="0" fontId="2" fillId="0" borderId="9" xfId="0" applyFont="1" applyBorder="1" applyAlignment="1">
      <alignment wrapText="1"/>
    </xf>
    <xf numFmtId="0" fontId="51" fillId="0" borderId="4" xfId="0" applyFont="1" applyBorder="1" applyAlignment="1">
      <alignment horizontal="left" vertical="top" wrapText="1" indent="1"/>
    </xf>
    <xf numFmtId="0" fontId="51" fillId="0" borderId="5" xfId="0" applyFont="1" applyBorder="1" applyAlignment="1">
      <alignment horizontal="left" vertical="top" wrapText="1" indent="1"/>
    </xf>
    <xf numFmtId="0" fontId="51" fillId="0" borderId="6" xfId="0" applyFont="1" applyBorder="1" applyAlignment="1">
      <alignment horizontal="left" vertical="top" wrapText="1" indent="1"/>
    </xf>
    <xf numFmtId="0" fontId="0" fillId="0" borderId="7" xfId="0" applyBorder="1" applyAlignment="1">
      <alignment horizontal="left" vertical="top" wrapText="1" indent="1"/>
    </xf>
    <xf numFmtId="0" fontId="0" fillId="0" borderId="0" xfId="0" applyAlignment="1">
      <alignment horizontal="left" vertical="top" wrapText="1" indent="1"/>
    </xf>
    <xf numFmtId="0" fontId="0" fillId="0" borderId="8" xfId="0" applyBorder="1" applyAlignment="1">
      <alignment horizontal="left" vertical="top" wrapText="1" indent="1"/>
    </xf>
    <xf numFmtId="0" fontId="7" fillId="0" borderId="61" xfId="0" applyFont="1" applyBorder="1" applyAlignment="1">
      <alignment horizontal="center" wrapText="1"/>
    </xf>
    <xf numFmtId="0" fontId="7" fillId="0" borderId="62" xfId="0" applyFont="1" applyBorder="1" applyAlignment="1">
      <alignment horizontal="center" wrapText="1"/>
    </xf>
    <xf numFmtId="0" fontId="7" fillId="0" borderId="63" xfId="0" applyFont="1" applyBorder="1" applyAlignment="1">
      <alignment horizontal="center" wrapText="1"/>
    </xf>
    <xf numFmtId="0" fontId="6" fillId="0" borderId="1" xfId="0" applyFont="1" applyBorder="1" applyAlignment="1">
      <alignment horizontal="left" wrapText="1" indent="2"/>
    </xf>
    <xf numFmtId="0" fontId="6" fillId="0" borderId="2" xfId="0" applyFont="1" applyBorder="1" applyAlignment="1">
      <alignment horizontal="left" wrapText="1" indent="2"/>
    </xf>
    <xf numFmtId="0" fontId="6" fillId="0" borderId="3" xfId="0" applyFont="1" applyBorder="1" applyAlignment="1">
      <alignment horizontal="left" wrapText="1" indent="2"/>
    </xf>
    <xf numFmtId="0" fontId="2" fillId="0" borderId="7" xfId="0" applyFont="1" applyBorder="1" applyAlignment="1">
      <alignment horizontal="left" wrapText="1" indent="4"/>
    </xf>
    <xf numFmtId="0" fontId="2" fillId="0" borderId="0" xfId="0" applyFont="1" applyAlignment="1">
      <alignment horizontal="left" wrapText="1" indent="4"/>
    </xf>
    <xf numFmtId="0" fontId="2" fillId="0" borderId="8" xfId="0" applyFont="1" applyBorder="1" applyAlignment="1">
      <alignment horizontal="left" wrapText="1" indent="4"/>
    </xf>
    <xf numFmtId="0" fontId="0" fillId="0" borderId="13" xfId="0" applyBorder="1" applyAlignment="1">
      <alignment wrapText="1"/>
    </xf>
    <xf numFmtId="0" fontId="32" fillId="0" borderId="9" xfId="0" applyFont="1" applyBorder="1" applyAlignment="1">
      <alignment horizontal="left" vertical="top" wrapText="1" indent="2"/>
    </xf>
    <xf numFmtId="0" fontId="32" fillId="0" borderId="10" xfId="0" applyFont="1" applyBorder="1" applyAlignment="1">
      <alignment horizontal="left" vertical="top" wrapText="1" indent="2"/>
    </xf>
    <xf numFmtId="0" fontId="32" fillId="0" borderId="11" xfId="0" applyFont="1" applyBorder="1" applyAlignment="1">
      <alignment horizontal="left" vertical="top" wrapText="1" indent="2"/>
    </xf>
    <xf numFmtId="0" fontId="7" fillId="0" borderId="47" xfId="0" applyFont="1" applyBorder="1" applyAlignment="1">
      <alignment horizontal="center" vertical="top" wrapText="1"/>
    </xf>
    <xf numFmtId="0" fontId="2" fillId="0" borderId="1" xfId="0" applyFont="1" applyBorder="1" applyAlignment="1">
      <alignment wrapText="1"/>
    </xf>
    <xf numFmtId="0" fontId="2" fillId="0" borderId="2" xfId="0" applyFont="1" applyBorder="1" applyAlignment="1">
      <alignment wrapText="1"/>
    </xf>
    <xf numFmtId="0" fontId="2" fillId="0" borderId="3" xfId="0" applyFont="1" applyBorder="1" applyAlignment="1">
      <alignment wrapText="1"/>
    </xf>
    <xf numFmtId="0" fontId="5" fillId="0" borderId="7" xfId="0" applyFont="1" applyBorder="1" applyAlignment="1">
      <alignment wrapText="1"/>
    </xf>
    <xf numFmtId="0" fontId="5" fillId="0" borderId="0" xfId="0" applyFont="1" applyAlignment="1">
      <alignment wrapText="1"/>
    </xf>
    <xf numFmtId="0" fontId="5" fillId="0" borderId="8" xfId="0" applyFont="1" applyBorder="1" applyAlignment="1">
      <alignment wrapText="1"/>
    </xf>
    <xf numFmtId="0" fontId="31" fillId="0" borderId="7" xfId="0" applyFont="1" applyBorder="1" applyAlignment="1">
      <alignment horizontal="left" vertical="top" wrapText="1" indent="1"/>
    </xf>
    <xf numFmtId="0" fontId="31" fillId="0" borderId="0" xfId="0" applyFont="1" applyAlignment="1">
      <alignment horizontal="left" vertical="top" wrapText="1" indent="1"/>
    </xf>
    <xf numFmtId="0" fontId="31" fillId="0" borderId="8" xfId="0" applyFont="1" applyBorder="1" applyAlignment="1">
      <alignment horizontal="left" vertical="top" wrapText="1" indent="1"/>
    </xf>
    <xf numFmtId="0" fontId="6" fillId="0" borderId="4" xfId="0" applyFont="1" applyBorder="1" applyAlignment="1">
      <alignment wrapText="1"/>
    </xf>
    <xf numFmtId="0" fontId="6" fillId="0" borderId="5" xfId="0" applyFont="1" applyBorder="1" applyAlignment="1">
      <alignment wrapText="1"/>
    </xf>
    <xf numFmtId="0" fontId="6" fillId="0" borderId="6" xfId="0" applyFont="1" applyBorder="1" applyAlignment="1">
      <alignment wrapText="1"/>
    </xf>
    <xf numFmtId="166" fontId="2" fillId="26" borderId="5" xfId="0" applyNumberFormat="1" applyFont="1" applyFill="1" applyBorder="1" applyAlignment="1" applyProtection="1">
      <alignment horizontal="center" vertical="center" wrapText="1"/>
      <protection locked="0"/>
    </xf>
    <xf numFmtId="166" fontId="2" fillId="26" borderId="6" xfId="0" applyNumberFormat="1" applyFont="1" applyFill="1" applyBorder="1" applyAlignment="1" applyProtection="1">
      <alignment horizontal="center" vertical="center" wrapText="1"/>
      <protection locked="0"/>
    </xf>
    <xf numFmtId="0" fontId="2" fillId="0" borderId="9" xfId="0" applyFont="1" applyBorder="1" applyAlignment="1">
      <alignment horizontal="left" wrapText="1" indent="3"/>
    </xf>
    <xf numFmtId="0" fontId="2" fillId="0" borderId="10" xfId="0" applyFont="1" applyBorder="1" applyAlignment="1">
      <alignment horizontal="left" wrapText="1" indent="3"/>
    </xf>
    <xf numFmtId="0" fontId="2" fillId="0" borderId="11" xfId="0" applyFont="1" applyBorder="1" applyAlignment="1">
      <alignment horizontal="left" wrapText="1" indent="3"/>
    </xf>
    <xf numFmtId="0" fontId="31" fillId="0" borderId="1" xfId="0" applyFont="1" applyBorder="1" applyAlignment="1">
      <alignment horizontal="left" wrapText="1"/>
    </xf>
    <xf numFmtId="0" fontId="31" fillId="0" borderId="2" xfId="0" applyFont="1" applyBorder="1" applyAlignment="1">
      <alignment horizontal="left" wrapText="1"/>
    </xf>
    <xf numFmtId="0" fontId="2" fillId="0" borderId="27" xfId="0" applyFont="1" applyBorder="1" applyAlignment="1">
      <alignment horizontal="center" vertical="top" wrapText="1"/>
    </xf>
    <xf numFmtId="0" fontId="2" fillId="0" borderId="28" xfId="0" applyFont="1" applyBorder="1" applyAlignment="1">
      <alignment horizontal="center" vertical="top" wrapText="1"/>
    </xf>
    <xf numFmtId="0" fontId="2" fillId="0" borderId="27" xfId="0" applyFont="1" applyBorder="1" applyAlignment="1">
      <alignment horizontal="left" vertical="top" wrapText="1" indent="1"/>
    </xf>
    <xf numFmtId="0" fontId="2" fillId="0" borderId="28" xfId="0" applyFont="1" applyBorder="1" applyAlignment="1">
      <alignment horizontal="left" vertical="top" wrapText="1" indent="1"/>
    </xf>
    <xf numFmtId="165" fontId="2" fillId="0" borderId="21" xfId="0" applyNumberFormat="1" applyFont="1" applyBorder="1" applyAlignment="1">
      <alignment horizontal="center" vertical="center" wrapText="1"/>
    </xf>
    <xf numFmtId="165" fontId="2" fillId="0" borderId="22" xfId="0" applyNumberFormat="1" applyFont="1" applyBorder="1" applyAlignment="1">
      <alignment horizontal="center" vertical="center" wrapText="1"/>
    </xf>
    <xf numFmtId="0" fontId="2" fillId="0" borderId="19" xfId="0" applyFont="1" applyBorder="1" applyAlignment="1">
      <alignment horizontal="center" vertical="top" wrapText="1"/>
    </xf>
    <xf numFmtId="0" fontId="2" fillId="0" borderId="31" xfId="0" applyFont="1" applyBorder="1" applyAlignment="1">
      <alignment horizontal="center" vertical="top" wrapText="1"/>
    </xf>
    <xf numFmtId="0" fontId="2" fillId="0" borderId="0" xfId="0" applyFont="1" applyAlignment="1">
      <alignment horizontal="center" vertical="top" wrapText="1"/>
    </xf>
    <xf numFmtId="0" fontId="2" fillId="0" borderId="8" xfId="0" applyFont="1" applyBorder="1" applyAlignment="1">
      <alignment horizontal="center" vertical="top" wrapText="1"/>
    </xf>
    <xf numFmtId="164" fontId="2" fillId="26" borderId="33" xfId="0" applyNumberFormat="1" applyFont="1" applyFill="1" applyBorder="1" applyAlignment="1" applyProtection="1">
      <alignment horizontal="center" vertical="top" wrapText="1"/>
      <protection locked="0"/>
    </xf>
    <xf numFmtId="164" fontId="2" fillId="26" borderId="5" xfId="0" applyNumberFormat="1" applyFont="1" applyFill="1" applyBorder="1" applyAlignment="1" applyProtection="1">
      <alignment horizontal="center" vertical="top" wrapText="1"/>
      <protection locked="0"/>
    </xf>
    <xf numFmtId="0" fontId="2" fillId="26" borderId="19" xfId="0" applyFont="1" applyFill="1" applyBorder="1" applyAlignment="1" applyProtection="1">
      <alignment horizontal="left" vertical="top" wrapText="1" indent="1"/>
      <protection locked="0"/>
    </xf>
    <xf numFmtId="0" fontId="2" fillId="26" borderId="31" xfId="0" applyFont="1" applyFill="1" applyBorder="1" applyAlignment="1" applyProtection="1">
      <alignment horizontal="left" vertical="top" wrapText="1" indent="1"/>
      <protection locked="0"/>
    </xf>
    <xf numFmtId="0" fontId="2" fillId="26" borderId="20" xfId="0" applyFont="1" applyFill="1" applyBorder="1" applyAlignment="1" applyProtection="1">
      <alignment horizontal="left" vertical="top" wrapText="1" indent="1"/>
      <protection locked="0"/>
    </xf>
    <xf numFmtId="0" fontId="2" fillId="26" borderId="33" xfId="0" applyFont="1" applyFill="1" applyBorder="1" applyAlignment="1" applyProtection="1">
      <alignment horizontal="left" vertical="top" wrapText="1" indent="1"/>
      <protection locked="0"/>
    </xf>
    <xf numFmtId="0" fontId="2" fillId="26" borderId="5" xfId="0" applyFont="1" applyFill="1" applyBorder="1" applyAlignment="1" applyProtection="1">
      <alignment horizontal="left" vertical="top" wrapText="1" indent="1"/>
      <protection locked="0"/>
    </xf>
    <xf numFmtId="0" fontId="2" fillId="26" borderId="34" xfId="0" applyFont="1" applyFill="1" applyBorder="1" applyAlignment="1" applyProtection="1">
      <alignment horizontal="left" vertical="top" wrapText="1" indent="1"/>
      <protection locked="0"/>
    </xf>
    <xf numFmtId="0" fontId="2" fillId="0" borderId="30" xfId="0" applyFont="1" applyBorder="1" applyAlignment="1">
      <alignment horizontal="left" vertical="center" wrapText="1" indent="1"/>
    </xf>
    <xf numFmtId="0" fontId="2" fillId="0" borderId="31" xfId="0" applyFont="1" applyBorder="1" applyAlignment="1">
      <alignment horizontal="left" vertical="center" wrapText="1" indent="1"/>
    </xf>
    <xf numFmtId="0" fontId="2" fillId="0" borderId="23" xfId="0" applyFont="1" applyBorder="1" applyAlignment="1">
      <alignment horizontal="center" vertical="center" wrapText="1"/>
    </xf>
    <xf numFmtId="0" fontId="2" fillId="0" borderId="25" xfId="0" applyFont="1" applyBorder="1" applyAlignment="1">
      <alignment horizontal="center" vertical="center"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6" fillId="0" borderId="9" xfId="0" applyFont="1" applyBorder="1" applyAlignment="1">
      <alignment wrapText="1"/>
    </xf>
    <xf numFmtId="0" fontId="6" fillId="0" borderId="10" xfId="0" applyFont="1" applyBorder="1" applyAlignment="1">
      <alignment wrapText="1"/>
    </xf>
    <xf numFmtId="0" fontId="6" fillId="0" borderId="11" xfId="0" applyFont="1" applyBorder="1" applyAlignment="1">
      <alignment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0" fillId="0" borderId="19"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5" xfId="0" applyBorder="1" applyAlignment="1">
      <alignment horizontal="center"/>
    </xf>
    <xf numFmtId="0" fontId="2" fillId="0" borderId="7" xfId="0" applyFont="1" applyBorder="1" applyAlignment="1">
      <alignment horizontal="left" wrapText="1" indent="3"/>
    </xf>
    <xf numFmtId="0" fontId="2" fillId="0" borderId="0" xfId="0" applyFont="1" applyAlignment="1">
      <alignment horizontal="left" wrapText="1" indent="3"/>
    </xf>
    <xf numFmtId="0" fontId="2" fillId="26" borderId="9" xfId="0" applyFont="1" applyFill="1" applyBorder="1" applyAlignment="1" applyProtection="1">
      <alignment horizontal="center" wrapText="1"/>
      <protection locked="0"/>
    </xf>
    <xf numFmtId="0" fontId="2" fillId="26" borderId="11" xfId="0" applyFont="1" applyFill="1" applyBorder="1" applyAlignment="1" applyProtection="1">
      <alignment horizontal="center" wrapText="1"/>
      <protection locked="0"/>
    </xf>
    <xf numFmtId="0" fontId="7" fillId="0" borderId="2" xfId="0" applyFont="1" applyBorder="1" applyAlignment="1">
      <alignment horizontal="left" wrapText="1"/>
    </xf>
    <xf numFmtId="0" fontId="2" fillId="26" borderId="1" xfId="0" applyFont="1" applyFill="1" applyBorder="1" applyAlignment="1">
      <alignment horizontal="center" vertical="center" wrapText="1"/>
    </xf>
    <xf numFmtId="0" fontId="2" fillId="26" borderId="3" xfId="0" applyFont="1" applyFill="1" applyBorder="1" applyAlignment="1">
      <alignment horizontal="center" vertical="center" wrapText="1"/>
    </xf>
    <xf numFmtId="0" fontId="2" fillId="26" borderId="4" xfId="0" applyFont="1" applyFill="1" applyBorder="1" applyAlignment="1">
      <alignment horizontal="center" vertical="center" wrapText="1"/>
    </xf>
    <xf numFmtId="0" fontId="2" fillId="26" borderId="6"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1" xfId="0" applyFont="1" applyBorder="1" applyAlignment="1">
      <alignment horizontal="left" wrapText="1"/>
    </xf>
    <xf numFmtId="0" fontId="0" fillId="0" borderId="2" xfId="0" applyBorder="1"/>
    <xf numFmtId="164" fontId="2" fillId="26" borderId="9" xfId="0" applyNumberFormat="1" applyFont="1" applyFill="1" applyBorder="1" applyAlignment="1" applyProtection="1">
      <alignment horizontal="left" wrapText="1"/>
      <protection locked="0"/>
    </xf>
    <xf numFmtId="164" fontId="0" fillId="0" borderId="11" xfId="0" applyNumberFormat="1" applyBorder="1" applyAlignment="1" applyProtection="1">
      <alignment horizontal="left" wrapText="1"/>
      <protection locked="0"/>
    </xf>
    <xf numFmtId="0" fontId="7" fillId="0" borderId="9" xfId="0" applyFont="1" applyBorder="1" applyAlignment="1">
      <alignment horizontal="center" wrapText="1"/>
    </xf>
    <xf numFmtId="0" fontId="7" fillId="0" borderId="11" xfId="0" applyFont="1" applyBorder="1" applyAlignment="1">
      <alignment horizontal="center" wrapText="1"/>
    </xf>
    <xf numFmtId="0" fontId="2" fillId="26" borderId="31" xfId="0" applyFont="1" applyFill="1" applyBorder="1" applyAlignment="1" applyProtection="1">
      <alignment horizontal="center" vertical="center" wrapText="1"/>
      <protection locked="0"/>
    </xf>
    <xf numFmtId="0" fontId="2" fillId="26" borderId="32" xfId="0" applyFont="1" applyFill="1" applyBorder="1" applyAlignment="1" applyProtection="1">
      <alignment horizontal="center" vertical="center" wrapText="1"/>
      <protection locked="0"/>
    </xf>
    <xf numFmtId="0" fontId="31" fillId="0" borderId="37" xfId="0" applyFont="1" applyBorder="1" applyAlignment="1">
      <alignment horizontal="left" vertical="top" wrapText="1" indent="1"/>
    </xf>
    <xf numFmtId="0" fontId="31" fillId="0" borderId="17" xfId="0" applyFont="1" applyBorder="1" applyAlignment="1">
      <alignment horizontal="left" vertical="top" wrapText="1" indent="1"/>
    </xf>
    <xf numFmtId="0" fontId="31" fillId="0" borderId="18" xfId="0" applyFont="1" applyBorder="1" applyAlignment="1">
      <alignment horizontal="left" vertical="top" wrapText="1" indent="1"/>
    </xf>
    <xf numFmtId="0" fontId="31" fillId="0" borderId="55" xfId="0" applyFont="1" applyBorder="1" applyAlignment="1">
      <alignment horizontal="left" vertical="top" wrapText="1" indent="1"/>
    </xf>
    <xf numFmtId="0" fontId="31" fillId="0" borderId="56" xfId="0" applyFont="1" applyBorder="1" applyAlignment="1">
      <alignment horizontal="left" vertical="top" wrapText="1" indent="1"/>
    </xf>
    <xf numFmtId="0" fontId="31" fillId="0" borderId="49" xfId="0" applyFont="1" applyBorder="1" applyAlignment="1">
      <alignment horizontal="left" vertical="top" wrapText="1" indent="1"/>
    </xf>
    <xf numFmtId="0" fontId="2" fillId="26" borderId="56" xfId="0" applyFont="1" applyFill="1" applyBorder="1" applyAlignment="1" applyProtection="1">
      <alignment horizontal="center" vertical="center" wrapText="1"/>
      <protection locked="0"/>
    </xf>
    <xf numFmtId="0" fontId="2" fillId="26" borderId="39" xfId="0" applyFont="1" applyFill="1" applyBorder="1" applyAlignment="1" applyProtection="1">
      <alignment horizontal="center" vertical="center" wrapText="1"/>
      <protection locked="0"/>
    </xf>
    <xf numFmtId="0" fontId="2" fillId="0" borderId="8" xfId="0" applyFont="1" applyBorder="1" applyAlignment="1">
      <alignment horizontal="left" vertical="center" wrapText="1" indent="1"/>
    </xf>
    <xf numFmtId="0" fontId="2" fillId="0" borderId="7" xfId="0" applyFont="1" applyBorder="1" applyAlignment="1">
      <alignment horizontal="left" vertical="center" wrapText="1" indent="2"/>
    </xf>
    <xf numFmtId="0" fontId="2" fillId="0" borderId="0" xfId="0" applyFont="1" applyAlignment="1">
      <alignment horizontal="left" vertical="center" wrapText="1" indent="2"/>
    </xf>
    <xf numFmtId="0" fontId="2" fillId="0" borderId="8" xfId="0" applyFont="1" applyBorder="1" applyAlignment="1">
      <alignment horizontal="left" vertical="center" wrapText="1" indent="2"/>
    </xf>
    <xf numFmtId="0" fontId="2" fillId="0" borderId="4" xfId="0" applyFont="1" applyBorder="1" applyAlignment="1">
      <alignment horizontal="left" vertical="center" wrapText="1" indent="2"/>
    </xf>
    <xf numFmtId="0" fontId="2" fillId="0" borderId="5" xfId="0" applyFont="1" applyBorder="1" applyAlignment="1">
      <alignment horizontal="left" vertical="center" wrapText="1" indent="2"/>
    </xf>
    <xf numFmtId="0" fontId="2" fillId="0" borderId="6" xfId="0" applyFont="1" applyBorder="1" applyAlignment="1">
      <alignment horizontal="left" vertical="center" wrapText="1" indent="2"/>
    </xf>
    <xf numFmtId="44" fontId="14" fillId="0" borderId="39" xfId="0" applyNumberFormat="1" applyFont="1" applyBorder="1"/>
    <xf numFmtId="44" fontId="7" fillId="0" borderId="49" xfId="0" applyNumberFormat="1" applyFont="1" applyBorder="1" applyAlignment="1">
      <alignment horizontal="right"/>
    </xf>
    <xf numFmtId="44" fontId="14" fillId="0" borderId="50" xfId="0" applyNumberFormat="1" applyFont="1" applyBorder="1"/>
    <xf numFmtId="165" fontId="2" fillId="0" borderId="1" xfId="0" applyNumberFormat="1" applyFont="1" applyBorder="1" applyAlignment="1">
      <alignment horizontal="center" vertical="center"/>
    </xf>
    <xf numFmtId="165" fontId="2" fillId="0" borderId="3" xfId="0" applyNumberFormat="1" applyFont="1" applyBorder="1" applyAlignment="1">
      <alignment horizontal="center" vertical="center"/>
    </xf>
    <xf numFmtId="165" fontId="2" fillId="0" borderId="7" xfId="0" applyNumberFormat="1" applyFont="1" applyBorder="1" applyAlignment="1">
      <alignment horizontal="center" vertical="center"/>
    </xf>
    <xf numFmtId="165" fontId="2" fillId="0" borderId="8" xfId="0" applyNumberFormat="1" applyFont="1" applyBorder="1" applyAlignment="1">
      <alignment horizontal="center" vertical="center"/>
    </xf>
    <xf numFmtId="44" fontId="2" fillId="26" borderId="43" xfId="0" applyNumberFormat="1" applyFont="1" applyFill="1" applyBorder="1" applyAlignment="1" applyProtection="1">
      <alignment horizontal="center" vertical="center" wrapText="1"/>
      <protection locked="0"/>
    </xf>
    <xf numFmtId="44" fontId="2" fillId="26" borderId="50" xfId="0" applyNumberFormat="1" applyFont="1" applyFill="1" applyBorder="1" applyAlignment="1" applyProtection="1">
      <alignment horizontal="center" vertical="center" wrapText="1"/>
      <protection locked="0"/>
    </xf>
    <xf numFmtId="0" fontId="2" fillId="0" borderId="48" xfId="0" applyFont="1" applyBorder="1" applyAlignment="1">
      <alignment horizontal="right" vertical="top" wrapText="1"/>
    </xf>
    <xf numFmtId="0" fontId="2" fillId="0" borderId="43" xfId="0" applyFont="1" applyBorder="1" applyAlignment="1">
      <alignment horizontal="right" vertical="top" wrapText="1"/>
    </xf>
    <xf numFmtId="0" fontId="32" fillId="0" borderId="1" xfId="0" applyFont="1" applyBorder="1" applyAlignment="1">
      <alignment horizontal="left" vertical="center" wrapText="1" indent="2"/>
    </xf>
    <xf numFmtId="0" fontId="32" fillId="0" borderId="2" xfId="0" applyFont="1" applyBorder="1" applyAlignment="1">
      <alignment horizontal="left" vertical="center" wrapText="1" indent="2"/>
    </xf>
    <xf numFmtId="0" fontId="32" fillId="0" borderId="3" xfId="0" applyFont="1" applyBorder="1" applyAlignment="1">
      <alignment horizontal="left" vertical="center" wrapText="1" indent="2"/>
    </xf>
    <xf numFmtId="0" fontId="32" fillId="0" borderId="7" xfId="0" applyFont="1" applyBorder="1" applyAlignment="1">
      <alignment horizontal="left" vertical="center" wrapText="1" indent="2"/>
    </xf>
    <xf numFmtId="0" fontId="32" fillId="0" borderId="0" xfId="0" applyFont="1" applyAlignment="1">
      <alignment horizontal="left" vertical="center" wrapText="1" indent="2"/>
    </xf>
    <xf numFmtId="0" fontId="32" fillId="0" borderId="8" xfId="0" applyFont="1" applyBorder="1" applyAlignment="1">
      <alignment horizontal="left" vertical="center" wrapText="1" indent="2"/>
    </xf>
    <xf numFmtId="0" fontId="29" fillId="0" borderId="7" xfId="0" applyFont="1" applyBorder="1" applyAlignment="1">
      <alignment horizontal="left" wrapText="1" indent="2"/>
    </xf>
    <xf numFmtId="0" fontId="0" fillId="0" borderId="0" xfId="0" applyAlignment="1">
      <alignment horizontal="left" wrapText="1" indent="2"/>
    </xf>
    <xf numFmtId="0" fontId="0" fillId="0" borderId="8" xfId="0" applyBorder="1" applyAlignment="1">
      <alignment horizontal="left" wrapText="1" indent="2"/>
    </xf>
    <xf numFmtId="0" fontId="32" fillId="0" borderId="1" xfId="0" applyFont="1" applyBorder="1" applyAlignment="1">
      <alignment horizontal="left" wrapText="1"/>
    </xf>
    <xf numFmtId="0" fontId="31" fillId="0" borderId="3" xfId="0" applyFont="1" applyBorder="1" applyAlignment="1">
      <alignment horizontal="left" wrapText="1"/>
    </xf>
    <xf numFmtId="0" fontId="7" fillId="0" borderId="38" xfId="0" applyFont="1" applyBorder="1" applyAlignment="1">
      <alignment horizontal="center" vertical="top" wrapText="1"/>
    </xf>
    <xf numFmtId="0" fontId="2" fillId="0" borderId="6" xfId="0" applyFont="1" applyBorder="1" applyAlignment="1">
      <alignment horizontal="left" wrapText="1" indent="1"/>
    </xf>
    <xf numFmtId="0" fontId="7" fillId="0" borderId="16" xfId="0" applyFont="1" applyBorder="1" applyAlignment="1">
      <alignment horizontal="left" vertical="top" wrapText="1"/>
    </xf>
    <xf numFmtId="0" fontId="7" fillId="0" borderId="17" xfId="0" applyFont="1" applyBorder="1" applyAlignment="1">
      <alignment horizontal="left" vertical="top" wrapText="1"/>
    </xf>
    <xf numFmtId="0" fontId="7" fillId="0" borderId="38" xfId="0" applyFont="1" applyBorder="1" applyAlignment="1">
      <alignment horizontal="left" vertical="top" wrapText="1"/>
    </xf>
    <xf numFmtId="0" fontId="2" fillId="0" borderId="253" xfId="0" applyFont="1" applyBorder="1" applyAlignment="1">
      <alignment horizontal="left" wrapText="1" indent="2"/>
    </xf>
    <xf numFmtId="0" fontId="2" fillId="0" borderId="80" xfId="0" applyFont="1" applyBorder="1" applyAlignment="1">
      <alignment horizontal="left" wrapText="1" indent="2"/>
    </xf>
    <xf numFmtId="0" fontId="2" fillId="0" borderId="254" xfId="0" applyFont="1" applyBorder="1" applyAlignment="1">
      <alignment horizontal="left" wrapText="1" indent="2"/>
    </xf>
    <xf numFmtId="0" fontId="2" fillId="0" borderId="9" xfId="0" applyFont="1" applyBorder="1" applyAlignment="1">
      <alignment horizontal="left" wrapText="1"/>
    </xf>
    <xf numFmtId="0" fontId="2" fillId="0" borderId="7" xfId="0" applyFont="1" applyBorder="1" applyAlignment="1">
      <alignment horizontal="left" vertical="center" indent="2"/>
    </xf>
    <xf numFmtId="0" fontId="2" fillId="0" borderId="0" xfId="0" applyFont="1" applyAlignment="1">
      <alignment horizontal="left" vertical="center" indent="2"/>
    </xf>
    <xf numFmtId="0" fontId="2" fillId="0" borderId="8" xfId="0" applyFont="1" applyBorder="1" applyAlignment="1">
      <alignment horizontal="left" vertical="center" indent="2"/>
    </xf>
    <xf numFmtId="2" fontId="2" fillId="26" borderId="43" xfId="0" applyNumberFormat="1" applyFont="1" applyFill="1" applyBorder="1" applyAlignment="1" applyProtection="1">
      <alignment horizontal="right" vertical="top" wrapText="1"/>
      <protection locked="0"/>
    </xf>
    <xf numFmtId="2" fontId="2" fillId="0" borderId="43" xfId="0" applyNumberFormat="1" applyFont="1" applyBorder="1" applyAlignment="1">
      <alignment horizontal="right" vertical="top" wrapText="1"/>
    </xf>
    <xf numFmtId="2" fontId="2" fillId="0" borderId="50" xfId="0" applyNumberFormat="1" applyFont="1" applyBorder="1" applyAlignment="1">
      <alignment horizontal="right" vertical="top" wrapText="1"/>
    </xf>
    <xf numFmtId="0" fontId="2" fillId="0" borderId="1" xfId="0" applyFont="1" applyBorder="1" applyAlignment="1">
      <alignment horizontal="left" wrapText="1" indent="1"/>
    </xf>
    <xf numFmtId="0" fontId="2" fillId="0" borderId="2" xfId="0" applyFont="1" applyBorder="1" applyAlignment="1">
      <alignment horizontal="left" wrapText="1" indent="1"/>
    </xf>
    <xf numFmtId="0" fontId="2" fillId="0" borderId="3" xfId="0" applyFont="1" applyBorder="1" applyAlignment="1">
      <alignment horizontal="left" wrapText="1" indent="1"/>
    </xf>
    <xf numFmtId="2" fontId="2" fillId="0" borderId="10" xfId="0" applyNumberFormat="1" applyFont="1" applyBorder="1" applyAlignment="1">
      <alignment horizontal="right" vertical="center" wrapText="1"/>
    </xf>
    <xf numFmtId="0" fontId="2" fillId="0" borderId="11" xfId="0" applyFont="1" applyBorder="1" applyAlignment="1">
      <alignment horizontal="right" vertical="center" wrapText="1"/>
    </xf>
    <xf numFmtId="0" fontId="7" fillId="0" borderId="71" xfId="0" applyFont="1" applyBorder="1" applyAlignment="1">
      <alignment horizontal="center" vertical="top" wrapText="1"/>
    </xf>
    <xf numFmtId="0" fontId="32" fillId="0" borderId="65" xfId="0" applyFont="1" applyBorder="1" applyAlignment="1">
      <alignment horizontal="left" vertical="top" wrapText="1"/>
    </xf>
    <xf numFmtId="0" fontId="32" fillId="0" borderId="66" xfId="0" applyFont="1" applyBorder="1" applyAlignment="1">
      <alignment horizontal="left" vertical="top" wrapText="1"/>
    </xf>
    <xf numFmtId="0" fontId="32" fillId="0" borderId="69" xfId="0" applyFont="1" applyBorder="1" applyAlignment="1">
      <alignment horizontal="left" vertical="top" wrapText="1"/>
    </xf>
    <xf numFmtId="0" fontId="13" fillId="0" borderId="9" xfId="0" applyFont="1" applyBorder="1" applyAlignment="1">
      <alignment horizontal="center" wrapText="1"/>
    </xf>
    <xf numFmtId="0" fontId="13" fillId="0" borderId="10" xfId="0" applyFont="1" applyBorder="1" applyAlignment="1">
      <alignment horizontal="center" wrapText="1"/>
    </xf>
    <xf numFmtId="0" fontId="2" fillId="0" borderId="2" xfId="0" applyFont="1" applyBorder="1" applyAlignment="1">
      <alignment horizontal="left" vertical="top" wrapText="1" indent="1"/>
    </xf>
    <xf numFmtId="0" fontId="2" fillId="26" borderId="53" xfId="0" applyFont="1" applyFill="1" applyBorder="1" applyAlignment="1" applyProtection="1">
      <alignment horizontal="left" vertical="top" wrapText="1" indent="1"/>
      <protection locked="0"/>
    </xf>
    <xf numFmtId="0" fontId="2" fillId="26" borderId="54" xfId="0" applyFont="1" applyFill="1" applyBorder="1" applyAlignment="1" applyProtection="1">
      <alignment horizontal="left" vertical="top" wrapText="1" indent="1"/>
      <protection locked="0"/>
    </xf>
    <xf numFmtId="0" fontId="2" fillId="0" borderId="7" xfId="0" applyFont="1" applyBorder="1" applyAlignment="1">
      <alignment horizontal="left" vertical="top" wrapText="1"/>
    </xf>
    <xf numFmtId="0" fontId="2" fillId="0" borderId="0" xfId="0" applyFont="1" applyAlignment="1">
      <alignment horizontal="left" vertical="top" wrapText="1"/>
    </xf>
    <xf numFmtId="44" fontId="2" fillId="0" borderId="30" xfId="0" applyNumberFormat="1" applyFont="1" applyBorder="1" applyAlignment="1">
      <alignment horizontal="center" vertical="top" wrapText="1"/>
    </xf>
    <xf numFmtId="0" fontId="7" fillId="0" borderId="65" xfId="0" applyFont="1" applyBorder="1" applyAlignment="1">
      <alignment horizontal="left" vertical="top" wrapText="1"/>
    </xf>
    <xf numFmtId="0" fontId="0" fillId="0" borderId="66" xfId="0" applyBorder="1" applyAlignment="1">
      <alignment horizontal="left" vertical="top" wrapText="1"/>
    </xf>
    <xf numFmtId="0" fontId="0" fillId="0" borderId="64" xfId="0" applyBorder="1" applyAlignment="1">
      <alignment horizontal="left" vertical="top" wrapText="1"/>
    </xf>
    <xf numFmtId="0" fontId="2" fillId="0" borderId="23" xfId="0" applyFont="1" applyBorder="1" applyAlignment="1">
      <alignment horizontal="left" wrapText="1"/>
    </xf>
    <xf numFmtId="0" fontId="0" fillId="0" borderId="36" xfId="0" applyBorder="1" applyAlignment="1">
      <alignment horizontal="left" wrapText="1"/>
    </xf>
    <xf numFmtId="0" fontId="2" fillId="0" borderId="57" xfId="0" applyFont="1" applyBorder="1" applyAlignment="1">
      <alignment horizontal="center" vertical="center" wrapText="1"/>
    </xf>
    <xf numFmtId="0" fontId="2" fillId="0" borderId="58" xfId="0" applyFont="1" applyBorder="1" applyAlignment="1">
      <alignment horizontal="center" vertical="center"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4" xfId="0" applyFont="1" applyBorder="1" applyAlignment="1">
      <alignment horizontal="left" vertical="top" wrapText="1"/>
    </xf>
    <xf numFmtId="0" fontId="6" fillId="0" borderId="5" xfId="0" applyFont="1" applyBorder="1" applyAlignment="1">
      <alignment horizontal="left" vertical="top" wrapText="1"/>
    </xf>
    <xf numFmtId="0" fontId="6" fillId="0" borderId="6" xfId="0" applyFont="1" applyBorder="1" applyAlignment="1">
      <alignment horizontal="left" vertical="top" wrapText="1"/>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 xfId="0" applyFont="1" applyBorder="1" applyAlignment="1">
      <alignment horizontal="left" vertical="center" wrapText="1"/>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3" fillId="0" borderId="6" xfId="0" applyFont="1" applyBorder="1" applyAlignment="1">
      <alignment horizontal="left" vertical="center" wrapText="1"/>
    </xf>
    <xf numFmtId="0" fontId="2" fillId="0" borderId="0" xfId="0" applyFont="1" applyAlignment="1">
      <alignment horizontal="center" vertical="center" wrapText="1"/>
    </xf>
    <xf numFmtId="0" fontId="2" fillId="0" borderId="5" xfId="0" applyFont="1" applyBorder="1" applyAlignment="1">
      <alignment horizontal="center" vertical="center" wrapText="1"/>
    </xf>
    <xf numFmtId="0" fontId="31" fillId="0" borderId="65" xfId="0" applyFont="1" applyBorder="1" applyAlignment="1">
      <alignment horizontal="center" vertical="top" wrapText="1"/>
    </xf>
    <xf numFmtId="0" fontId="31" fillId="0" borderId="64" xfId="0" applyFont="1" applyBorder="1" applyAlignment="1">
      <alignment horizontal="center" vertical="top" wrapText="1"/>
    </xf>
    <xf numFmtId="0" fontId="31" fillId="0" borderId="37" xfId="0" applyFont="1" applyBorder="1" applyAlignment="1">
      <alignment horizontal="center" vertical="top" wrapText="1"/>
    </xf>
    <xf numFmtId="0" fontId="31" fillId="0" borderId="38" xfId="0" applyFont="1" applyBorder="1" applyAlignment="1">
      <alignment horizontal="center" vertical="top" wrapText="1"/>
    </xf>
    <xf numFmtId="0" fontId="31" fillId="0" borderId="30" xfId="0" applyFont="1" applyBorder="1" applyAlignment="1">
      <alignment horizontal="center" vertical="top" wrapText="1"/>
    </xf>
    <xf numFmtId="0" fontId="31" fillId="0" borderId="32" xfId="0" applyFont="1" applyBorder="1" applyAlignment="1">
      <alignment horizontal="center" vertical="top" wrapText="1"/>
    </xf>
    <xf numFmtId="0" fontId="0" fillId="0" borderId="3" xfId="0" applyBorder="1" applyAlignment="1">
      <alignment horizontal="center" vertical="top" wrapText="1"/>
    </xf>
    <xf numFmtId="0" fontId="0" fillId="0" borderId="7" xfId="0" applyBorder="1" applyAlignment="1">
      <alignment horizontal="center" vertical="top" wrapText="1"/>
    </xf>
    <xf numFmtId="0" fontId="0" fillId="0" borderId="8" xfId="0" applyBorder="1" applyAlignment="1">
      <alignment horizontal="center" vertical="top" wrapText="1"/>
    </xf>
    <xf numFmtId="0" fontId="0" fillId="0" borderId="35" xfId="0" applyBorder="1" applyAlignment="1">
      <alignment horizontal="center" vertical="top" wrapText="1"/>
    </xf>
    <xf numFmtId="0" fontId="0" fillId="0" borderId="36" xfId="0" applyBorder="1" applyAlignment="1">
      <alignment horizontal="center" vertical="top" wrapText="1"/>
    </xf>
    <xf numFmtId="0" fontId="32" fillId="0" borderId="9" xfId="0" applyFont="1" applyBorder="1" applyAlignment="1">
      <alignment horizontal="left" wrapText="1" indent="1"/>
    </xf>
    <xf numFmtId="0" fontId="32" fillId="0" borderId="10" xfId="0" applyFont="1" applyBorder="1" applyAlignment="1">
      <alignment horizontal="left" wrapText="1" indent="1"/>
    </xf>
    <xf numFmtId="0" fontId="32" fillId="0" borderId="11" xfId="0" applyFont="1" applyBorder="1" applyAlignment="1">
      <alignment horizontal="left" wrapText="1" indent="1"/>
    </xf>
    <xf numFmtId="0" fontId="2" fillId="0" borderId="9" xfId="0" applyFont="1" applyBorder="1" applyAlignment="1">
      <alignment horizontal="left" wrapText="1" indent="1"/>
    </xf>
    <xf numFmtId="0" fontId="2" fillId="0" borderId="10" xfId="0" applyFont="1" applyBorder="1" applyAlignment="1">
      <alignment horizontal="left" wrapText="1" indent="1"/>
    </xf>
    <xf numFmtId="0" fontId="2" fillId="0" borderId="11" xfId="0" applyFont="1" applyBorder="1" applyAlignment="1">
      <alignment horizontal="left" wrapText="1" indent="1"/>
    </xf>
    <xf numFmtId="0" fontId="5" fillId="0" borderId="61" xfId="0" applyFont="1" applyBorder="1" applyAlignment="1">
      <alignment horizontal="left" vertical="top" wrapText="1" indent="1"/>
    </xf>
    <xf numFmtId="0" fontId="5" fillId="0" borderId="62" xfId="0" applyFont="1" applyBorder="1" applyAlignment="1">
      <alignment horizontal="left" vertical="top" wrapText="1" indent="1"/>
    </xf>
    <xf numFmtId="0" fontId="5" fillId="0" borderId="63" xfId="0" applyFont="1" applyBorder="1" applyAlignment="1">
      <alignment horizontal="left" vertical="top" wrapText="1" indent="1"/>
    </xf>
    <xf numFmtId="165" fontId="2" fillId="0" borderId="4" xfId="0" applyNumberFormat="1" applyFont="1" applyBorder="1" applyAlignment="1">
      <alignment horizontal="left" vertical="center" wrapText="1"/>
    </xf>
    <xf numFmtId="165" fontId="2" fillId="0" borderId="5" xfId="0" applyNumberFormat="1" applyFont="1" applyBorder="1" applyAlignment="1">
      <alignment horizontal="left" vertical="center" wrapText="1"/>
    </xf>
    <xf numFmtId="165" fontId="2" fillId="0" borderId="6" xfId="0" applyNumberFormat="1" applyFont="1" applyBorder="1" applyAlignment="1">
      <alignment horizontal="left" vertical="center" wrapText="1"/>
    </xf>
    <xf numFmtId="165" fontId="2" fillId="0" borderId="4" xfId="0" applyNumberFormat="1" applyFont="1" applyBorder="1" applyAlignment="1">
      <alignment horizontal="center" vertical="center" wrapText="1"/>
    </xf>
    <xf numFmtId="165" fontId="2" fillId="0" borderId="6" xfId="0" applyNumberFormat="1" applyFont="1" applyBorder="1" applyAlignment="1">
      <alignment horizontal="center" vertical="center" wrapText="1"/>
    </xf>
    <xf numFmtId="0" fontId="2" fillId="0" borderId="1" xfId="0" applyFont="1" applyBorder="1" applyAlignment="1">
      <alignment horizontal="center" vertical="top" wrapText="1"/>
    </xf>
    <xf numFmtId="164" fontId="2" fillId="0" borderId="4" xfId="0" applyNumberFormat="1" applyFont="1" applyBorder="1" applyAlignment="1">
      <alignment horizontal="center" vertical="top" wrapText="1"/>
    </xf>
    <xf numFmtId="164" fontId="2" fillId="0" borderId="6" xfId="0" applyNumberFormat="1" applyFont="1" applyBorder="1" applyAlignment="1">
      <alignment horizontal="center" vertical="top" wrapText="1"/>
    </xf>
    <xf numFmtId="49" fontId="2" fillId="0" borderId="44" xfId="0" applyNumberFormat="1" applyFont="1" applyBorder="1" applyAlignment="1">
      <alignment horizontal="left" vertical="top" wrapText="1" indent="1"/>
    </xf>
    <xf numFmtId="49" fontId="2" fillId="0" borderId="42" xfId="0" applyNumberFormat="1" applyFont="1" applyBorder="1" applyAlignment="1">
      <alignment horizontal="left" vertical="top" wrapText="1" indent="1"/>
    </xf>
    <xf numFmtId="165" fontId="2" fillId="0" borderId="16" xfId="0" applyNumberFormat="1" applyFont="1" applyBorder="1" applyAlignment="1">
      <alignment horizontal="left" vertical="top" wrapText="1" indent="1"/>
    </xf>
    <xf numFmtId="165" fontId="2" fillId="0" borderId="17" xfId="0" applyNumberFormat="1" applyFont="1" applyBorder="1" applyAlignment="1">
      <alignment horizontal="left" vertical="top" wrapText="1" indent="1"/>
    </xf>
    <xf numFmtId="165" fontId="2" fillId="0" borderId="38" xfId="0" applyNumberFormat="1" applyFont="1" applyBorder="1" applyAlignment="1">
      <alignment horizontal="left" vertical="top" wrapText="1" indent="1"/>
    </xf>
    <xf numFmtId="49" fontId="2" fillId="0" borderId="55" xfId="0" applyNumberFormat="1" applyFont="1" applyBorder="1" applyAlignment="1">
      <alignment horizontal="center" vertical="top" wrapText="1"/>
    </xf>
    <xf numFmtId="49" fontId="2" fillId="0" borderId="56" xfId="0" applyNumberFormat="1" applyFont="1" applyBorder="1" applyAlignment="1">
      <alignment horizontal="center" vertical="top" wrapText="1"/>
    </xf>
    <xf numFmtId="49" fontId="2" fillId="0" borderId="39" xfId="0" applyNumberFormat="1" applyFont="1" applyBorder="1" applyAlignment="1">
      <alignment horizontal="center" vertical="top" wrapText="1"/>
    </xf>
    <xf numFmtId="0" fontId="15" fillId="0" borderId="7" xfId="0" applyFont="1" applyBorder="1" applyAlignment="1">
      <alignment horizontal="left" vertical="top" wrapText="1" indent="2"/>
    </xf>
    <xf numFmtId="0" fontId="15" fillId="0" borderId="0" xfId="0" applyFont="1" applyAlignment="1">
      <alignment horizontal="left" vertical="top" wrapText="1" indent="2"/>
    </xf>
    <xf numFmtId="0" fontId="15" fillId="0" borderId="8" xfId="0" applyFont="1" applyBorder="1" applyAlignment="1">
      <alignment horizontal="left" vertical="top" wrapText="1" indent="2"/>
    </xf>
    <xf numFmtId="0" fontId="2" fillId="26" borderId="16" xfId="0" applyFont="1" applyFill="1" applyBorder="1" applyAlignment="1">
      <alignment horizontal="center" vertical="top" wrapText="1"/>
    </xf>
    <xf numFmtId="0" fontId="2" fillId="26" borderId="17" xfId="0" applyFont="1" applyFill="1" applyBorder="1" applyAlignment="1">
      <alignment horizontal="center" vertical="top" wrapText="1"/>
    </xf>
    <xf numFmtId="0" fontId="2" fillId="26" borderId="38" xfId="0" applyFont="1" applyFill="1" applyBorder="1" applyAlignment="1">
      <alignment horizontal="center" vertical="top" wrapText="1"/>
    </xf>
    <xf numFmtId="0" fontId="2" fillId="0" borderId="8" xfId="0" applyFont="1" applyBorder="1" applyAlignment="1">
      <alignment horizontal="left" vertical="top" wrapText="1"/>
    </xf>
    <xf numFmtId="0" fontId="2" fillId="0" borderId="1"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7" fillId="0" borderId="79" xfId="0" applyFont="1" applyBorder="1" applyAlignment="1">
      <alignment vertical="top" wrapText="1"/>
    </xf>
    <xf numFmtId="0" fontId="2" fillId="0" borderId="74" xfId="0" applyFont="1" applyBorder="1" applyAlignment="1">
      <alignment wrapText="1"/>
    </xf>
    <xf numFmtId="0" fontId="2" fillId="0" borderId="75" xfId="0" applyFont="1" applyBorder="1" applyAlignment="1">
      <alignment wrapText="1"/>
    </xf>
    <xf numFmtId="0" fontId="2" fillId="0" borderId="76" xfId="0" applyFont="1" applyBorder="1" applyAlignment="1">
      <alignment vertical="top" wrapText="1"/>
    </xf>
    <xf numFmtId="0" fontId="2" fillId="0" borderId="77" xfId="0" applyFont="1" applyBorder="1"/>
    <xf numFmtId="0" fontId="2" fillId="0" borderId="81" xfId="0" applyFont="1" applyBorder="1"/>
    <xf numFmtId="0" fontId="7" fillId="0" borderId="65" xfId="0" applyFont="1" applyBorder="1" applyAlignment="1">
      <alignment horizontal="center" vertical="top" wrapText="1"/>
    </xf>
    <xf numFmtId="0" fontId="7" fillId="0" borderId="66" xfId="0" applyFont="1" applyBorder="1" applyAlignment="1">
      <alignment horizontal="center" vertical="top" wrapText="1"/>
    </xf>
    <xf numFmtId="0" fontId="7" fillId="0" borderId="64" xfId="0" applyFont="1" applyBorder="1" applyAlignment="1">
      <alignment horizontal="center" vertical="top" wrapText="1"/>
    </xf>
    <xf numFmtId="0" fontId="7" fillId="0" borderId="30" xfId="0" applyFont="1" applyBorder="1" applyAlignment="1">
      <alignment horizontal="left" vertical="top" wrapText="1"/>
    </xf>
    <xf numFmtId="0" fontId="7" fillId="0" borderId="31" xfId="0" applyFont="1" applyBorder="1" applyAlignment="1">
      <alignment horizontal="left" vertical="top" wrapText="1"/>
    </xf>
    <xf numFmtId="0" fontId="7" fillId="0" borderId="32" xfId="0" applyFont="1" applyBorder="1" applyAlignment="1">
      <alignment horizontal="left" vertical="top" wrapText="1"/>
    </xf>
    <xf numFmtId="0" fontId="2" fillId="26" borderId="45" xfId="0" applyFont="1" applyFill="1" applyBorder="1" applyAlignment="1">
      <alignment horizontal="center" vertical="top" wrapText="1"/>
    </xf>
    <xf numFmtId="0" fontId="2" fillId="26" borderId="56" xfId="0" applyFont="1" applyFill="1" applyBorder="1" applyAlignment="1">
      <alignment horizontal="center" vertical="top" wrapText="1"/>
    </xf>
    <xf numFmtId="0" fontId="2" fillId="26" borderId="39" xfId="0" applyFont="1" applyFill="1" applyBorder="1" applyAlignment="1">
      <alignment horizontal="center" vertical="top" wrapText="1"/>
    </xf>
    <xf numFmtId="0" fontId="7" fillId="0" borderId="22" xfId="0" applyFont="1" applyBorder="1" applyAlignment="1">
      <alignment horizontal="center" vertical="top" wrapText="1"/>
    </xf>
    <xf numFmtId="0" fontId="7" fillId="0" borderId="34" xfId="0" applyFont="1" applyBorder="1" applyAlignment="1">
      <alignment horizontal="center" vertical="top" wrapText="1"/>
    </xf>
    <xf numFmtId="0" fontId="2" fillId="0" borderId="79" xfId="0" applyFont="1" applyBorder="1" applyAlignment="1">
      <alignment horizontal="left" vertical="top" wrapText="1"/>
    </xf>
    <xf numFmtId="0" fontId="2" fillId="0" borderId="74" xfId="0" applyFont="1" applyBorder="1" applyAlignment="1">
      <alignment horizontal="left" vertical="top" wrapText="1"/>
    </xf>
    <xf numFmtId="0" fontId="2" fillId="0" borderId="82" xfId="0" applyFont="1" applyBorder="1" applyAlignment="1">
      <alignment horizontal="left" vertical="top" wrapText="1"/>
    </xf>
    <xf numFmtId="0" fontId="7" fillId="0" borderId="15" xfId="0" applyFont="1" applyBorder="1" applyAlignment="1">
      <alignment horizontal="left" vertical="top" wrapText="1"/>
    </xf>
    <xf numFmtId="0" fontId="7" fillId="0" borderId="14" xfId="0" applyFont="1" applyBorder="1" applyAlignment="1">
      <alignment horizontal="left" vertical="top" wrapText="1"/>
    </xf>
    <xf numFmtId="0" fontId="2" fillId="0" borderId="15" xfId="0" applyFont="1" applyBorder="1" applyAlignment="1">
      <alignment horizontal="center" vertical="center" wrapText="1"/>
    </xf>
    <xf numFmtId="0" fontId="2" fillId="0" borderId="14" xfId="0" applyFont="1" applyBorder="1" applyAlignment="1">
      <alignment horizontal="center" vertical="center" wrapText="1"/>
    </xf>
    <xf numFmtId="0" fontId="7" fillId="0" borderId="2" xfId="0" applyFont="1" applyBorder="1" applyAlignment="1">
      <alignment horizontal="center" vertical="top" wrapText="1"/>
    </xf>
    <xf numFmtId="0" fontId="2" fillId="0" borderId="79" xfId="0" applyFont="1" applyBorder="1" applyAlignment="1">
      <alignment vertical="top" wrapText="1"/>
    </xf>
    <xf numFmtId="0" fontId="2" fillId="0" borderId="74" xfId="0" applyFont="1" applyBorder="1"/>
    <xf numFmtId="0" fontId="2" fillId="0" borderId="75" xfId="0" applyFont="1" applyBorder="1"/>
    <xf numFmtId="0" fontId="7" fillId="0" borderId="79" xfId="0" applyFont="1" applyBorder="1" applyAlignment="1">
      <alignment horizontal="left" vertical="top" wrapText="1"/>
    </xf>
    <xf numFmtId="0" fontId="7" fillId="0" borderId="74" xfId="0" applyFont="1" applyBorder="1" applyAlignment="1">
      <alignment horizontal="left" vertical="top" wrapText="1"/>
    </xf>
    <xf numFmtId="0" fontId="7" fillId="0" borderId="82" xfId="0" applyFont="1" applyBorder="1" applyAlignment="1">
      <alignment horizontal="left" vertical="top" wrapText="1"/>
    </xf>
    <xf numFmtId="0" fontId="7" fillId="0" borderId="84" xfId="0" applyFont="1" applyBorder="1" applyAlignment="1">
      <alignment vertical="top" wrapText="1"/>
    </xf>
    <xf numFmtId="0" fontId="2" fillId="0" borderId="85" xfId="0" applyFont="1" applyBorder="1" applyAlignment="1">
      <alignment wrapText="1"/>
    </xf>
    <xf numFmtId="0" fontId="2" fillId="0" borderId="86" xfId="0" applyFont="1" applyBorder="1" applyAlignment="1">
      <alignment wrapText="1"/>
    </xf>
    <xf numFmtId="0" fontId="2" fillId="0" borderId="12" xfId="0" applyFont="1" applyBorder="1" applyAlignment="1">
      <alignment horizontal="center" vertical="center" wrapText="1"/>
    </xf>
    <xf numFmtId="0" fontId="5" fillId="0" borderId="15" xfId="0" applyFont="1" applyBorder="1" applyAlignment="1">
      <alignment horizontal="center" wrapText="1"/>
    </xf>
    <xf numFmtId="0" fontId="5" fillId="0" borderId="14" xfId="0" applyFont="1" applyBorder="1" applyAlignment="1">
      <alignment horizontal="center" wrapText="1"/>
    </xf>
    <xf numFmtId="0" fontId="13" fillId="0" borderId="15"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5" xfId="0" applyFont="1" applyBorder="1" applyAlignment="1">
      <alignment horizontal="center" vertical="center" textRotation="90" wrapText="1"/>
    </xf>
    <xf numFmtId="0" fontId="13" fillId="0" borderId="7" xfId="0" applyFont="1" applyBorder="1" applyAlignment="1">
      <alignment horizontal="center" vertical="center" textRotation="90" wrapText="1"/>
    </xf>
    <xf numFmtId="0" fontId="13" fillId="0" borderId="4" xfId="0" applyFont="1" applyBorder="1" applyAlignment="1">
      <alignment horizontal="center" vertical="center" textRotation="90" wrapText="1"/>
    </xf>
    <xf numFmtId="0" fontId="13" fillId="0" borderId="13" xfId="0" applyFont="1" applyBorder="1" applyAlignment="1">
      <alignment horizontal="center" vertical="center" textRotation="90" wrapText="1"/>
    </xf>
    <xf numFmtId="0" fontId="5" fillId="0" borderId="9" xfId="0" applyFont="1" applyBorder="1" applyAlignment="1">
      <alignment horizontal="left" vertical="center" wrapText="1"/>
    </xf>
    <xf numFmtId="0" fontId="5" fillId="0" borderId="10" xfId="0" applyFont="1" applyBorder="1" applyAlignment="1">
      <alignment horizontal="left" vertical="center" wrapText="1"/>
    </xf>
    <xf numFmtId="0" fontId="5" fillId="0" borderId="11" xfId="0" applyFont="1" applyBorder="1" applyAlignment="1">
      <alignment horizontal="left" vertical="center" wrapText="1"/>
    </xf>
    <xf numFmtId="0" fontId="13" fillId="0" borderId="14" xfId="0" applyFont="1" applyBorder="1" applyAlignment="1">
      <alignment horizontal="center" vertical="center" textRotation="90" wrapText="1"/>
    </xf>
    <xf numFmtId="0" fontId="5" fillId="0" borderId="13" xfId="0" applyFont="1" applyBorder="1" applyAlignment="1">
      <alignment horizontal="center" wrapText="1"/>
    </xf>
    <xf numFmtId="0" fontId="5" fillId="0" borderId="1" xfId="0" applyFont="1" applyBorder="1" applyAlignment="1">
      <alignment horizontal="left" vertical="top" wrapText="1"/>
    </xf>
    <xf numFmtId="0" fontId="5" fillId="0" borderId="2" xfId="0" applyFont="1" applyBorder="1" applyAlignment="1">
      <alignment horizontal="left" vertical="top" wrapText="1"/>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9" xfId="0" applyFont="1" applyBorder="1" applyAlignment="1">
      <alignment horizontal="left" vertical="top" wrapText="1"/>
    </xf>
    <xf numFmtId="0" fontId="5" fillId="0" borderId="10" xfId="0" applyFont="1" applyBorder="1" applyAlignment="1">
      <alignment horizontal="left" vertical="top" wrapText="1"/>
    </xf>
    <xf numFmtId="0" fontId="5" fillId="0" borderId="11" xfId="0" applyFont="1" applyBorder="1" applyAlignment="1">
      <alignment horizontal="left" vertical="top" wrapText="1"/>
    </xf>
    <xf numFmtId="0" fontId="2" fillId="0" borderId="13" xfId="0" applyFont="1" applyBorder="1" applyAlignment="1">
      <alignment horizontal="center" vertical="center" wrapText="1"/>
    </xf>
    <xf numFmtId="0" fontId="8" fillId="0" borderId="15" xfId="0" applyFont="1" applyBorder="1" applyAlignment="1">
      <alignment horizontal="center" vertical="center" textRotation="90" wrapText="1"/>
    </xf>
    <xf numFmtId="0" fontId="8" fillId="0" borderId="13" xfId="0" applyFont="1" applyBorder="1" applyAlignment="1">
      <alignment horizontal="center" vertical="center" textRotation="90" wrapText="1"/>
    </xf>
    <xf numFmtId="0" fontId="3" fillId="2" borderId="1"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2" fillId="2" borderId="1" xfId="0" applyFont="1" applyFill="1" applyBorder="1" applyAlignment="1">
      <alignment horizontal="center"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0" xfId="0" applyFont="1" applyFill="1" applyAlignment="1">
      <alignment horizontal="center" vertical="top" wrapText="1"/>
    </xf>
    <xf numFmtId="0" fontId="2" fillId="2" borderId="8"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5" xfId="0" applyFont="1" applyFill="1" applyBorder="1" applyAlignment="1">
      <alignment horizontal="center" vertical="top" wrapText="1"/>
    </xf>
    <xf numFmtId="0" fontId="2" fillId="2" borderId="6" xfId="0" applyFont="1" applyFill="1" applyBorder="1" applyAlignment="1">
      <alignment horizontal="center" vertical="top" wrapText="1"/>
    </xf>
    <xf numFmtId="0" fontId="5" fillId="0" borderId="19" xfId="0" applyFont="1" applyBorder="1" applyAlignment="1">
      <alignment horizontal="left" vertical="top" wrapText="1" indent="1"/>
    </xf>
    <xf numFmtId="0" fontId="5" fillId="0" borderId="31" xfId="0" applyFont="1" applyBorder="1" applyAlignment="1">
      <alignment horizontal="left" vertical="top" wrapText="1" indent="1"/>
    </xf>
    <xf numFmtId="0" fontId="5" fillId="0" borderId="32" xfId="0" applyFont="1" applyBorder="1" applyAlignment="1">
      <alignment horizontal="left" vertical="top" wrapText="1" indent="1"/>
    </xf>
    <xf numFmtId="0" fontId="5" fillId="0" borderId="30" xfId="0" applyFont="1" applyBorder="1" applyAlignment="1">
      <alignment horizontal="center" vertical="top" wrapText="1"/>
    </xf>
    <xf numFmtId="0" fontId="5" fillId="0" borderId="32" xfId="0" applyFont="1" applyBorder="1" applyAlignment="1">
      <alignment horizontal="center" vertical="top" wrapText="1"/>
    </xf>
    <xf numFmtId="0" fontId="5" fillId="0" borderId="20" xfId="0" applyFont="1" applyBorder="1" applyAlignment="1">
      <alignment horizontal="center" vertical="top" wrapText="1"/>
    </xf>
    <xf numFmtId="165" fontId="2" fillId="0" borderId="33" xfId="0" applyNumberFormat="1" applyFont="1" applyBorder="1" applyAlignment="1">
      <alignment horizontal="left" vertical="center" wrapText="1"/>
    </xf>
    <xf numFmtId="165" fontId="2" fillId="0" borderId="34" xfId="0" applyNumberFormat="1" applyFont="1" applyBorder="1" applyAlignment="1">
      <alignment horizontal="center" vertical="center" wrapText="1"/>
    </xf>
    <xf numFmtId="165" fontId="2" fillId="0" borderId="18" xfId="0" applyNumberFormat="1" applyFont="1" applyBorder="1" applyAlignment="1">
      <alignment horizontal="left" vertical="top" wrapText="1" indent="1"/>
    </xf>
    <xf numFmtId="0" fontId="5" fillId="0" borderId="41" xfId="0" applyFont="1" applyBorder="1" applyAlignment="1">
      <alignment horizontal="left" vertical="top" wrapText="1" indent="1"/>
    </xf>
    <xf numFmtId="0" fontId="5" fillId="0" borderId="46" xfId="0" applyFont="1" applyBorder="1" applyAlignment="1">
      <alignment horizontal="left" vertical="top" wrapText="1" indent="1"/>
    </xf>
    <xf numFmtId="0" fontId="5" fillId="0" borderId="59" xfId="0" applyFont="1" applyBorder="1" applyAlignment="1">
      <alignment horizontal="left" vertical="top" wrapText="1" indent="1"/>
    </xf>
    <xf numFmtId="0" fontId="5" fillId="0" borderId="28" xfId="0" applyFont="1" applyBorder="1" applyAlignment="1">
      <alignment horizontal="center" vertical="top" wrapText="1"/>
    </xf>
    <xf numFmtId="0" fontId="2" fillId="0" borderId="53" xfId="0" applyFont="1" applyBorder="1" applyAlignment="1">
      <alignment horizontal="left" vertical="top" wrapText="1"/>
    </xf>
    <xf numFmtId="0" fontId="2" fillId="0" borderId="54" xfId="0" applyFont="1" applyBorder="1" applyAlignment="1">
      <alignment horizontal="left" vertical="top" wrapText="1"/>
    </xf>
    <xf numFmtId="0" fontId="7" fillId="0" borderId="55" xfId="0" applyFont="1" applyBorder="1" applyAlignment="1">
      <alignment horizontal="left" vertical="top" wrapText="1"/>
    </xf>
    <xf numFmtId="0" fontId="7" fillId="0" borderId="56" xfId="0" applyFont="1" applyBorder="1" applyAlignment="1">
      <alignment horizontal="left" vertical="top" wrapText="1"/>
    </xf>
    <xf numFmtId="0" fontId="7" fillId="0" borderId="39" xfId="0" applyFont="1" applyBorder="1" applyAlignment="1">
      <alignment horizontal="left" vertical="top" wrapText="1"/>
    </xf>
    <xf numFmtId="0" fontId="21" fillId="0" borderId="27" xfId="0" applyFont="1" applyBorder="1" applyAlignment="1">
      <alignment horizontal="left" vertical="top" wrapText="1"/>
    </xf>
    <xf numFmtId="0" fontId="21" fillId="0" borderId="2" xfId="0" applyFont="1" applyBorder="1" applyAlignment="1">
      <alignment horizontal="left" vertical="top" wrapText="1"/>
    </xf>
    <xf numFmtId="0" fontId="21" fillId="0" borderId="28" xfId="0" applyFont="1" applyBorder="1" applyAlignment="1">
      <alignment horizontal="left" vertical="top" wrapText="1"/>
    </xf>
    <xf numFmtId="0" fontId="8" fillId="0" borderId="21" xfId="0" applyFont="1" applyBorder="1" applyAlignment="1">
      <alignment horizontal="left" vertical="top" wrapText="1"/>
    </xf>
    <xf numFmtId="0" fontId="8" fillId="0" borderId="22" xfId="0" applyFont="1" applyBorder="1" applyAlignment="1">
      <alignment horizontal="left" vertical="top" wrapText="1"/>
    </xf>
    <xf numFmtId="0" fontId="7" fillId="0" borderId="18" xfId="0" applyFont="1" applyBorder="1" applyAlignment="1">
      <alignment horizontal="center" vertical="top" wrapText="1"/>
    </xf>
    <xf numFmtId="0" fontId="7" fillId="0" borderId="93" xfId="0" applyFont="1" applyBorder="1" applyAlignment="1">
      <alignment horizontal="center" vertical="top" wrapText="1"/>
    </xf>
    <xf numFmtId="0" fontId="7" fillId="0" borderId="95" xfId="0" applyFont="1" applyBorder="1" applyAlignment="1">
      <alignment horizontal="center" vertical="top" wrapText="1"/>
    </xf>
    <xf numFmtId="0" fontId="7" fillId="0" borderId="96" xfId="0" applyFont="1" applyBorder="1" applyAlignment="1">
      <alignment horizontal="center" vertical="top" wrapText="1"/>
    </xf>
    <xf numFmtId="0" fontId="7" fillId="0" borderId="53" xfId="0" applyFont="1" applyBorder="1" applyAlignment="1">
      <alignment horizontal="center" vertical="top" wrapText="1"/>
    </xf>
    <xf numFmtId="0" fontId="7" fillId="0" borderId="41" xfId="0" applyFont="1" applyBorder="1" applyAlignment="1">
      <alignment horizontal="center" vertical="top" wrapText="1"/>
    </xf>
    <xf numFmtId="49" fontId="2" fillId="28" borderId="16" xfId="0" applyNumberFormat="1" applyFont="1" applyFill="1" applyBorder="1" applyAlignment="1" applyProtection="1">
      <alignment horizontal="left" vertical="top" wrapText="1"/>
      <protection locked="0"/>
    </xf>
    <xf numFmtId="49" fontId="2" fillId="28" borderId="17" xfId="0" applyNumberFormat="1" applyFont="1" applyFill="1" applyBorder="1" applyAlignment="1" applyProtection="1">
      <alignment horizontal="left" vertical="top" wrapText="1"/>
      <protection locked="0"/>
    </xf>
    <xf numFmtId="49" fontId="2" fillId="28" borderId="18" xfId="0" applyNumberFormat="1" applyFont="1" applyFill="1" applyBorder="1" applyAlignment="1" applyProtection="1">
      <alignment horizontal="left" vertical="top" wrapText="1"/>
      <protection locked="0"/>
    </xf>
    <xf numFmtId="0" fontId="3" fillId="0" borderId="21" xfId="0" applyFont="1" applyBorder="1" applyAlignment="1">
      <alignment horizontal="left" vertical="center" wrapText="1"/>
    </xf>
    <xf numFmtId="0" fontId="3" fillId="0" borderId="0" xfId="0" applyFont="1" applyAlignment="1">
      <alignment horizontal="left" vertical="center" wrapText="1"/>
    </xf>
    <xf numFmtId="0" fontId="3" fillId="0" borderId="22" xfId="0" applyFont="1" applyBorder="1" applyAlignment="1">
      <alignment horizontal="left" vertical="center" wrapText="1"/>
    </xf>
    <xf numFmtId="0" fontId="8" fillId="0" borderId="21" xfId="0" applyFont="1" applyBorder="1" applyAlignment="1">
      <alignment horizontal="left" vertical="center" wrapText="1"/>
    </xf>
    <xf numFmtId="0" fontId="8" fillId="0" borderId="0" xfId="0" applyFont="1" applyAlignment="1">
      <alignment horizontal="left" vertical="center" wrapText="1"/>
    </xf>
    <xf numFmtId="0" fontId="8" fillId="0" borderId="22" xfId="0" applyFont="1" applyBorder="1" applyAlignment="1">
      <alignment horizontal="left" vertical="center" wrapText="1"/>
    </xf>
    <xf numFmtId="0" fontId="82" fillId="0" borderId="21" xfId="0" applyFont="1" applyBorder="1" applyAlignment="1">
      <alignment horizontal="left" vertical="center" wrapText="1"/>
    </xf>
    <xf numFmtId="0" fontId="82" fillId="0" borderId="0" xfId="0" applyFont="1" applyAlignment="1">
      <alignment horizontal="left" vertical="center" wrapText="1"/>
    </xf>
    <xf numFmtId="0" fontId="82" fillId="0" borderId="22" xfId="0" applyFont="1" applyBorder="1" applyAlignment="1">
      <alignment horizontal="left" vertical="center" wrapText="1"/>
    </xf>
    <xf numFmtId="0" fontId="11" fillId="0" borderId="0" xfId="0" applyFont="1" applyAlignment="1">
      <alignment horizontal="left" vertical="center" wrapText="1"/>
    </xf>
    <xf numFmtId="0" fontId="11" fillId="0" borderId="0" xfId="0" applyFont="1" applyAlignment="1">
      <alignment horizontal="left" wrapText="1"/>
    </xf>
    <xf numFmtId="0" fontId="25" fillId="0" borderId="9" xfId="0" applyFont="1" applyBorder="1" applyAlignment="1">
      <alignment horizontal="left" vertical="top" wrapText="1"/>
    </xf>
    <xf numFmtId="0" fontId="25" fillId="0" borderId="10" xfId="0" applyFont="1" applyBorder="1" applyAlignment="1">
      <alignment horizontal="left" vertical="top" wrapText="1"/>
    </xf>
    <xf numFmtId="0" fontId="25" fillId="0" borderId="11" xfId="0" applyFont="1" applyBorder="1" applyAlignment="1">
      <alignment horizontal="left" vertical="top" wrapText="1"/>
    </xf>
    <xf numFmtId="0" fontId="2" fillId="0" borderId="5" xfId="0" applyFont="1" applyBorder="1" applyAlignment="1">
      <alignment horizontal="left" vertical="top" wrapText="1"/>
    </xf>
    <xf numFmtId="0" fontId="7" fillId="0" borderId="12" xfId="0" applyFont="1" applyBorder="1" applyAlignment="1">
      <alignment horizontal="left" vertical="top" wrapText="1"/>
    </xf>
    <xf numFmtId="0" fontId="2" fillId="0" borderId="40" xfId="0" applyFont="1" applyBorder="1" applyAlignment="1">
      <alignment horizontal="left" vertical="top" wrapText="1"/>
    </xf>
    <xf numFmtId="0" fontId="2" fillId="0" borderId="88" xfId="0" applyFont="1" applyBorder="1" applyAlignment="1">
      <alignment horizontal="left" vertical="top" wrapText="1"/>
    </xf>
    <xf numFmtId="0" fontId="2" fillId="0" borderId="41" xfId="0" applyFont="1" applyBorder="1" applyAlignment="1">
      <alignment horizontal="left" vertical="top" wrapText="1"/>
    </xf>
    <xf numFmtId="0" fontId="2" fillId="0" borderId="46" xfId="0" applyFont="1" applyBorder="1" applyAlignment="1">
      <alignment horizontal="left" vertical="top" wrapText="1"/>
    </xf>
    <xf numFmtId="0" fontId="2" fillId="0" borderId="60" xfId="0" applyFont="1" applyBorder="1" applyAlignment="1">
      <alignment horizontal="left" vertical="top" wrapText="1"/>
    </xf>
    <xf numFmtId="0" fontId="2" fillId="0" borderId="29" xfId="0" applyFont="1" applyBorder="1" applyAlignment="1">
      <alignment horizontal="left" vertical="top" wrapText="1"/>
    </xf>
    <xf numFmtId="0" fontId="2" fillId="0" borderId="59" xfId="0" applyFont="1" applyBorder="1" applyAlignment="1">
      <alignment horizontal="left" vertical="top" wrapText="1"/>
    </xf>
    <xf numFmtId="0" fontId="2" fillId="0" borderId="47" xfId="0" applyFont="1" applyBorder="1" applyAlignment="1">
      <alignment horizontal="left" vertical="top" wrapText="1"/>
    </xf>
    <xf numFmtId="0" fontId="7" fillId="0" borderId="35" xfId="0" applyFont="1" applyBorder="1" applyAlignment="1">
      <alignment horizontal="center" vertical="top" wrapText="1"/>
    </xf>
    <xf numFmtId="0" fontId="7" fillId="0" borderId="24" xfId="0" applyFont="1" applyBorder="1" applyAlignment="1">
      <alignment horizontal="center" vertical="top" wrapText="1"/>
    </xf>
    <xf numFmtId="0" fontId="7" fillId="0" borderId="36" xfId="0" applyFont="1" applyBorder="1" applyAlignment="1">
      <alignment horizontal="center" vertical="top" wrapText="1"/>
    </xf>
    <xf numFmtId="0" fontId="3" fillId="0" borderId="23" xfId="0" applyFont="1" applyBorder="1" applyAlignment="1">
      <alignment horizontal="left" vertical="top" wrapText="1"/>
    </xf>
    <xf numFmtId="0" fontId="3" fillId="0" borderId="24" xfId="0" applyFont="1" applyBorder="1" applyAlignment="1">
      <alignment horizontal="left" vertical="top" wrapText="1"/>
    </xf>
    <xf numFmtId="0" fontId="3" fillId="0" borderId="25" xfId="0" applyFont="1" applyBorder="1" applyAlignment="1">
      <alignment horizontal="left" vertical="top" wrapText="1"/>
    </xf>
    <xf numFmtId="0" fontId="37" fillId="0" borderId="31" xfId="0" applyFont="1" applyBorder="1" applyAlignment="1">
      <alignment horizontal="left"/>
    </xf>
    <xf numFmtId="0" fontId="37" fillId="0" borderId="20" xfId="0" applyFont="1" applyBorder="1" applyAlignment="1">
      <alignment horizontal="left"/>
    </xf>
    <xf numFmtId="0" fontId="37" fillId="0" borderId="0" xfId="0" applyFont="1" applyAlignment="1">
      <alignment horizontal="left"/>
    </xf>
    <xf numFmtId="0" fontId="37" fillId="0" borderId="22" xfId="0" applyFont="1" applyBorder="1" applyAlignment="1">
      <alignment horizontal="left"/>
    </xf>
    <xf numFmtId="0" fontId="37" fillId="0" borderId="21" xfId="0" applyFont="1" applyBorder="1" applyAlignment="1">
      <alignment horizontal="right"/>
    </xf>
    <xf numFmtId="0" fontId="37" fillId="0" borderId="0" xfId="0" applyFont="1" applyAlignment="1">
      <alignment horizontal="right"/>
    </xf>
    <xf numFmtId="0" fontId="37" fillId="0" borderId="0" xfId="0" applyFont="1" applyAlignment="1">
      <alignment horizontal="left" wrapText="1"/>
    </xf>
    <xf numFmtId="0" fontId="37" fillId="0" borderId="22" xfId="0" applyFont="1" applyBorder="1" applyAlignment="1">
      <alignment horizontal="left" wrapText="1"/>
    </xf>
    <xf numFmtId="0" fontId="35" fillId="0" borderId="16" xfId="0" applyFont="1" applyBorder="1" applyAlignment="1">
      <alignment horizontal="center" vertical="center"/>
    </xf>
    <xf numFmtId="0" fontId="35" fillId="0" borderId="17" xfId="0" applyFont="1" applyBorder="1" applyAlignment="1">
      <alignment horizontal="center" vertical="center"/>
    </xf>
    <xf numFmtId="0" fontId="35" fillId="0" borderId="18" xfId="0" applyFont="1" applyBorder="1" applyAlignment="1">
      <alignment horizontal="center" vertical="center"/>
    </xf>
    <xf numFmtId="0" fontId="35" fillId="0" borderId="19" xfId="0" applyFont="1" applyBorder="1" applyAlignment="1">
      <alignment horizontal="left" vertical="center"/>
    </xf>
    <xf numFmtId="0" fontId="35" fillId="0" borderId="31" xfId="0" applyFont="1" applyBorder="1" applyAlignment="1">
      <alignment horizontal="left" vertical="center"/>
    </xf>
    <xf numFmtId="0" fontId="35" fillId="0" borderId="20" xfId="0" applyFont="1" applyBorder="1" applyAlignment="1">
      <alignment horizontal="left" vertical="center"/>
    </xf>
    <xf numFmtId="0" fontId="35" fillId="0" borderId="21" xfId="0" applyFont="1" applyBorder="1" applyAlignment="1">
      <alignment horizontal="left" vertical="center"/>
    </xf>
    <xf numFmtId="0" fontId="35" fillId="0" borderId="0" xfId="0" applyFont="1" applyAlignment="1">
      <alignment horizontal="left" vertical="center"/>
    </xf>
    <xf numFmtId="0" fontId="35" fillId="0" borderId="22" xfId="0" applyFont="1" applyBorder="1" applyAlignment="1">
      <alignment horizontal="left" vertical="center"/>
    </xf>
    <xf numFmtId="0" fontId="35" fillId="0" borderId="23" xfId="0" applyFont="1" applyBorder="1" applyAlignment="1">
      <alignment horizontal="left" vertical="center"/>
    </xf>
    <xf numFmtId="0" fontId="35" fillId="0" borderId="24" xfId="0" applyFont="1" applyBorder="1" applyAlignment="1">
      <alignment horizontal="left" vertical="center"/>
    </xf>
    <xf numFmtId="0" fontId="35" fillId="0" borderId="25" xfId="0" applyFont="1" applyBorder="1" applyAlignment="1">
      <alignment horizontal="left" vertical="center"/>
    </xf>
    <xf numFmtId="0" fontId="35" fillId="0" borderId="16" xfId="0" applyFont="1" applyBorder="1" applyAlignment="1">
      <alignment horizontal="left" vertical="center" wrapText="1"/>
    </xf>
    <xf numFmtId="0" fontId="35" fillId="0" borderId="17" xfId="0" applyFont="1" applyBorder="1" applyAlignment="1">
      <alignment horizontal="left" vertical="center" wrapText="1"/>
    </xf>
    <xf numFmtId="0" fontId="35" fillId="0" borderId="18" xfId="0" applyFont="1" applyBorder="1" applyAlignment="1">
      <alignment horizontal="left" vertical="center" wrapText="1"/>
    </xf>
    <xf numFmtId="0" fontId="35" fillId="0" borderId="19" xfId="0" applyFont="1" applyBorder="1" applyAlignment="1">
      <alignment horizontal="left" vertical="top"/>
    </xf>
    <xf numFmtId="0" fontId="35" fillId="0" borderId="21" xfId="0" applyFont="1" applyBorder="1" applyAlignment="1">
      <alignment horizontal="left" vertical="top"/>
    </xf>
    <xf numFmtId="0" fontId="37" fillId="0" borderId="31" xfId="0" applyFont="1" applyBorder="1" applyAlignment="1">
      <alignment horizontal="left" wrapText="1"/>
    </xf>
    <xf numFmtId="0" fontId="37" fillId="0" borderId="20" xfId="0" applyFont="1" applyBorder="1" applyAlignment="1">
      <alignment horizontal="left" wrapText="1"/>
    </xf>
    <xf numFmtId="0" fontId="43" fillId="0" borderId="0" xfId="0" applyFont="1" applyAlignment="1">
      <alignment horizontal="right"/>
    </xf>
    <xf numFmtId="0" fontId="43" fillId="0" borderId="0" xfId="0" applyFont="1" applyAlignment="1">
      <alignment horizontal="left"/>
    </xf>
    <xf numFmtId="0" fontId="37" fillId="0" borderId="19" xfId="0" applyFont="1" applyBorder="1" applyAlignment="1">
      <alignment horizontal="left" wrapText="1"/>
    </xf>
    <xf numFmtId="0" fontId="37" fillId="0" borderId="21" xfId="0" applyFont="1" applyBorder="1" applyAlignment="1">
      <alignment horizontal="left" wrapText="1"/>
    </xf>
    <xf numFmtId="0" fontId="44" fillId="0" borderId="0" xfId="1" applyFill="1" applyBorder="1" applyAlignment="1" applyProtection="1">
      <alignment horizontal="left" wrapText="1"/>
    </xf>
    <xf numFmtId="0" fontId="37" fillId="0" borderId="0" xfId="0" applyFont="1" applyAlignment="1">
      <alignment horizontal="left" indent="4"/>
    </xf>
    <xf numFmtId="0" fontId="37" fillId="0" borderId="22" xfId="0" applyFont="1" applyBorder="1" applyAlignment="1">
      <alignment horizontal="left" indent="4"/>
    </xf>
    <xf numFmtId="0" fontId="37" fillId="0" borderId="0" xfId="0" applyFont="1" applyAlignment="1">
      <alignment horizontal="left" wrapText="1" indent="4"/>
    </xf>
    <xf numFmtId="0" fontId="37" fillId="0" borderId="22" xfId="0" applyFont="1" applyBorder="1" applyAlignment="1">
      <alignment horizontal="left" wrapText="1" indent="4"/>
    </xf>
    <xf numFmtId="0" fontId="35" fillId="0" borderId="23" xfId="0" applyFont="1" applyBorder="1" applyAlignment="1">
      <alignment horizontal="left" vertical="top"/>
    </xf>
    <xf numFmtId="0" fontId="35" fillId="0" borderId="0" xfId="0" applyFont="1" applyAlignment="1">
      <alignment horizontal="left" wrapText="1"/>
    </xf>
    <xf numFmtId="0" fontId="35" fillId="0" borderId="22" xfId="0" applyFont="1" applyBorder="1" applyAlignment="1">
      <alignment horizontal="left" wrapText="1"/>
    </xf>
    <xf numFmtId="0" fontId="35" fillId="0" borderId="21" xfId="0" applyFont="1" applyBorder="1" applyAlignment="1">
      <alignment horizontal="center" vertical="top"/>
    </xf>
    <xf numFmtId="0" fontId="37" fillId="0" borderId="116" xfId="0" applyFont="1" applyBorder="1" applyAlignment="1">
      <alignment horizontal="left" wrapText="1"/>
    </xf>
    <xf numFmtId="0" fontId="37" fillId="0" borderId="118" xfId="0" applyFont="1" applyBorder="1" applyAlignment="1">
      <alignment horizontal="left" wrapText="1"/>
    </xf>
    <xf numFmtId="0" fontId="37" fillId="0" borderId="19" xfId="0" applyFont="1" applyBorder="1" applyAlignment="1">
      <alignment horizontal="left"/>
    </xf>
    <xf numFmtId="0" fontId="37" fillId="0" borderId="23" xfId="0" applyFont="1" applyBorder="1" applyAlignment="1">
      <alignment horizontal="left" wrapText="1"/>
    </xf>
    <xf numFmtId="0" fontId="37" fillId="0" borderId="24" xfId="0" applyFont="1" applyBorder="1" applyAlignment="1">
      <alignment horizontal="left" wrapText="1"/>
    </xf>
    <xf numFmtId="0" fontId="37" fillId="0" borderId="25" xfId="0" applyFont="1" applyBorder="1" applyAlignment="1">
      <alignment horizontal="left" wrapText="1"/>
    </xf>
    <xf numFmtId="0" fontId="35" fillId="0" borderId="16"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53" xfId="0" applyFont="1" applyBorder="1" applyAlignment="1">
      <alignment horizontal="center" vertical="top" wrapText="1"/>
    </xf>
    <xf numFmtId="0" fontId="35" fillId="0" borderId="121" xfId="0" applyFont="1" applyBorder="1" applyAlignment="1">
      <alignment horizontal="center" vertical="top" wrapText="1"/>
    </xf>
    <xf numFmtId="0" fontId="35" fillId="0" borderId="119" xfId="0" applyFont="1" applyBorder="1" applyAlignment="1">
      <alignment horizontal="center" vertical="top"/>
    </xf>
    <xf numFmtId="0" fontId="35" fillId="0" borderId="115" xfId="0" applyFont="1" applyBorder="1" applyAlignment="1">
      <alignment horizontal="center" vertical="top"/>
    </xf>
    <xf numFmtId="0" fontId="35" fillId="0" borderId="90" xfId="0" applyFont="1" applyBorder="1" applyAlignment="1">
      <alignment horizontal="center" vertical="top"/>
    </xf>
    <xf numFmtId="0" fontId="35" fillId="0" borderId="116" xfId="0" applyFont="1" applyBorder="1" applyAlignment="1">
      <alignment horizontal="center" vertical="top" wrapText="1"/>
    </xf>
    <xf numFmtId="0" fontId="35" fillId="0" borderId="118" xfId="0" applyFont="1" applyBorder="1" applyAlignment="1">
      <alignment horizontal="center" vertical="top" wrapText="1"/>
    </xf>
    <xf numFmtId="0" fontId="35" fillId="0" borderId="0" xfId="0" applyFont="1" applyAlignment="1">
      <alignment horizontal="left" vertical="top"/>
    </xf>
    <xf numFmtId="0" fontId="37" fillId="0" borderId="0" xfId="0" applyFont="1" applyAlignment="1">
      <alignment horizontal="left" wrapText="1" indent="2"/>
    </xf>
    <xf numFmtId="0" fontId="37" fillId="0" borderId="22" xfId="0" applyFont="1" applyBorder="1" applyAlignment="1">
      <alignment horizontal="left" wrapText="1" indent="2"/>
    </xf>
    <xf numFmtId="0" fontId="47" fillId="0" borderId="21" xfId="0" applyFont="1" applyBorder="1" applyAlignment="1">
      <alignment horizontal="left" vertical="top"/>
    </xf>
    <xf numFmtId="0" fontId="47" fillId="0" borderId="23" xfId="0" applyFont="1" applyBorder="1" applyAlignment="1">
      <alignment horizontal="left" vertical="top"/>
    </xf>
    <xf numFmtId="0" fontId="37" fillId="0" borderId="24" xfId="0" applyFont="1" applyBorder="1" applyAlignment="1">
      <alignment horizontal="left" wrapText="1" indent="2"/>
    </xf>
    <xf numFmtId="0" fontId="37" fillId="0" borderId="25" xfId="0" applyFont="1" applyBorder="1" applyAlignment="1">
      <alignment horizontal="left" wrapText="1" indent="2"/>
    </xf>
    <xf numFmtId="0" fontId="35" fillId="0" borderId="100" xfId="0" applyFont="1" applyBorder="1" applyAlignment="1">
      <alignment horizontal="center" vertical="top" wrapText="1"/>
    </xf>
    <xf numFmtId="0" fontId="35" fillId="0" borderId="103" xfId="0" applyFont="1" applyBorder="1" applyAlignment="1">
      <alignment horizontal="center" vertical="top" wrapText="1"/>
    </xf>
    <xf numFmtId="0" fontId="39" fillId="0" borderId="97" xfId="0" applyFont="1" applyBorder="1" applyAlignment="1">
      <alignment horizontal="center" vertical="top" wrapText="1"/>
    </xf>
    <xf numFmtId="0" fontId="39" fillId="0" borderId="17" xfId="0" applyFont="1" applyBorder="1" applyAlignment="1">
      <alignment horizontal="center" vertical="top" wrapText="1"/>
    </xf>
    <xf numFmtId="0" fontId="39" fillId="0" borderId="18" xfId="0" applyFont="1" applyBorder="1" applyAlignment="1">
      <alignment horizontal="center" vertical="top" wrapText="1"/>
    </xf>
    <xf numFmtId="0" fontId="35" fillId="0" borderId="67" xfId="0" applyFont="1" applyBorder="1" applyAlignment="1">
      <alignment horizontal="center" vertical="center"/>
    </xf>
    <xf numFmtId="0" fontId="35" fillId="0" borderId="66" xfId="0" applyFont="1" applyBorder="1" applyAlignment="1">
      <alignment horizontal="center" vertical="center"/>
    </xf>
    <xf numFmtId="0" fontId="35" fillId="0" borderId="69" xfId="0" applyFont="1" applyBorder="1" applyAlignment="1">
      <alignment horizontal="center" vertical="center"/>
    </xf>
    <xf numFmtId="7" fontId="42" fillId="26" borderId="236" xfId="0" applyNumberFormat="1" applyFont="1" applyFill="1" applyBorder="1" applyAlignment="1" applyProtection="1">
      <alignment horizontal="left" vertical="center" wrapText="1"/>
      <protection locked="0"/>
    </xf>
    <xf numFmtId="7" fontId="42" fillId="26" borderId="238" xfId="0" applyNumberFormat="1" applyFont="1" applyFill="1" applyBorder="1" applyAlignment="1" applyProtection="1">
      <alignment horizontal="left" vertical="center" wrapText="1"/>
      <protection locked="0"/>
    </xf>
    <xf numFmtId="0" fontId="39" fillId="0" borderId="95" xfId="0" applyFont="1" applyBorder="1" applyAlignment="1">
      <alignment horizontal="center" vertical="top"/>
    </xf>
    <xf numFmtId="0" fontId="39" fillId="0" borderId="16" xfId="0" applyFont="1" applyBorder="1" applyAlignment="1">
      <alignment horizontal="center" vertical="top"/>
    </xf>
    <xf numFmtId="0" fontId="39" fillId="0" borderId="17" xfId="0" applyFont="1" applyBorder="1" applyAlignment="1">
      <alignment horizontal="center" vertical="top"/>
    </xf>
    <xf numFmtId="0" fontId="39" fillId="0" borderId="94" xfId="0" applyFont="1" applyBorder="1" applyAlignment="1">
      <alignment horizontal="center" vertical="top"/>
    </xf>
    <xf numFmtId="7" fontId="42" fillId="26" borderId="116" xfId="0" applyNumberFormat="1" applyFont="1" applyFill="1" applyBorder="1" applyAlignment="1" applyProtection="1">
      <alignment horizontal="left" vertical="center" wrapText="1"/>
      <protection locked="0"/>
    </xf>
    <xf numFmtId="7" fontId="42" fillId="26" borderId="118" xfId="0" applyNumberFormat="1" applyFont="1" applyFill="1" applyBorder="1" applyAlignment="1" applyProtection="1">
      <alignment horizontal="left" vertical="center" wrapText="1"/>
      <protection locked="0"/>
    </xf>
    <xf numFmtId="0" fontId="35" fillId="0" borderId="67" xfId="0" applyFont="1" applyBorder="1" applyAlignment="1">
      <alignment horizontal="center" vertical="center" wrapText="1"/>
    </xf>
    <xf numFmtId="0" fontId="35" fillId="0" borderId="66" xfId="0" applyFont="1" applyBorder="1" applyAlignment="1">
      <alignment horizontal="center" vertical="center" wrapText="1"/>
    </xf>
    <xf numFmtId="0" fontId="35" fillId="0" borderId="69" xfId="0" applyFont="1" applyBorder="1" applyAlignment="1">
      <alignment horizontal="center" vertical="center" wrapText="1"/>
    </xf>
    <xf numFmtId="0" fontId="35" fillId="0" borderId="89" xfId="0" applyFont="1" applyBorder="1" applyAlignment="1">
      <alignment horizontal="center" vertical="top" wrapText="1"/>
    </xf>
    <xf numFmtId="0" fontId="35" fillId="0" borderId="117" xfId="0" applyFont="1" applyBorder="1" applyAlignment="1">
      <alignment horizontal="center" vertical="top" wrapText="1"/>
    </xf>
    <xf numFmtId="0" fontId="37" fillId="0" borderId="23" xfId="0" applyFont="1" applyBorder="1" applyAlignment="1">
      <alignment horizontal="left" wrapText="1" indent="10"/>
    </xf>
    <xf numFmtId="0" fontId="37" fillId="0" borderId="24" xfId="0" applyFont="1" applyBorder="1" applyAlignment="1">
      <alignment horizontal="left" wrapText="1" indent="10"/>
    </xf>
    <xf numFmtId="0" fontId="37" fillId="0" borderId="25" xfId="0" applyFont="1" applyBorder="1" applyAlignment="1">
      <alignment horizontal="left" wrapText="1" indent="10"/>
    </xf>
    <xf numFmtId="0" fontId="37" fillId="0" borderId="21" xfId="0" applyFont="1" applyBorder="1" applyAlignment="1">
      <alignment horizontal="left" wrapText="1" indent="10"/>
    </xf>
    <xf numFmtId="0" fontId="37" fillId="0" borderId="0" xfId="0" applyFont="1" applyAlignment="1">
      <alignment horizontal="left" wrapText="1" indent="10"/>
    </xf>
    <xf numFmtId="0" fontId="37" fillId="0" borderId="22" xfId="0" applyFont="1" applyBorder="1" applyAlignment="1">
      <alignment horizontal="left" wrapText="1" indent="10"/>
    </xf>
    <xf numFmtId="0" fontId="37" fillId="0" borderId="21" xfId="0" applyFont="1" applyBorder="1" applyAlignment="1">
      <alignment horizontal="left" vertical="center" wrapText="1" indent="10"/>
    </xf>
    <xf numFmtId="0" fontId="37" fillId="0" borderId="0" xfId="0" applyFont="1" applyAlignment="1">
      <alignment horizontal="left" vertical="center" wrapText="1" indent="10"/>
    </xf>
    <xf numFmtId="0" fontId="37" fillId="0" borderId="22" xfId="0" applyFont="1" applyBorder="1" applyAlignment="1">
      <alignment horizontal="left" vertical="center" wrapText="1" indent="10"/>
    </xf>
    <xf numFmtId="0" fontId="45" fillId="0" borderId="16"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44" fillId="0" borderId="0" xfId="1" applyFill="1" applyBorder="1" applyAlignment="1" applyProtection="1">
      <alignment horizontal="left"/>
    </xf>
    <xf numFmtId="0" fontId="46" fillId="0" borderId="0" xfId="1" applyFont="1" applyFill="1" applyBorder="1" applyAlignment="1" applyProtection="1">
      <alignment horizontal="left"/>
    </xf>
    <xf numFmtId="0" fontId="46" fillId="0" borderId="22" xfId="1" applyFont="1" applyFill="1" applyBorder="1" applyAlignment="1" applyProtection="1">
      <alignment horizontal="left"/>
    </xf>
    <xf numFmtId="0" fontId="35" fillId="0" borderId="23" xfId="0" applyFont="1" applyBorder="1" applyAlignment="1">
      <alignment horizontal="center" vertical="center"/>
    </xf>
    <xf numFmtId="0" fontId="35" fillId="0" borderId="24" xfId="0" applyFont="1" applyBorder="1" applyAlignment="1">
      <alignment horizontal="center" vertical="center"/>
    </xf>
    <xf numFmtId="0" fontId="35" fillId="0" borderId="25" xfId="0" applyFont="1" applyBorder="1" applyAlignment="1">
      <alignment horizontal="center" vertical="center"/>
    </xf>
    <xf numFmtId="0" fontId="39" fillId="0" borderId="31" xfId="0" applyFont="1" applyBorder="1" applyAlignment="1">
      <alignment horizontal="center" vertical="top"/>
    </xf>
    <xf numFmtId="0" fontId="39" fillId="0" borderId="112" xfId="0" applyFont="1" applyBorder="1" applyAlignment="1">
      <alignment horizontal="center" vertical="top"/>
    </xf>
    <xf numFmtId="0" fontId="35" fillId="0" borderId="102" xfId="0" applyFont="1" applyBorder="1" applyAlignment="1">
      <alignment horizontal="center" vertical="top" wrapText="1"/>
    </xf>
    <xf numFmtId="0" fontId="35" fillId="0" borderId="111" xfId="0" applyFont="1" applyBorder="1" applyAlignment="1">
      <alignment horizontal="center" vertical="top" wrapText="1"/>
    </xf>
    <xf numFmtId="0" fontId="35" fillId="0" borderId="104" xfId="0" applyFont="1" applyBorder="1" applyAlignment="1">
      <alignment horizontal="center" vertical="top" wrapText="1"/>
    </xf>
    <xf numFmtId="0" fontId="39" fillId="0" borderId="16" xfId="0" applyFont="1" applyBorder="1" applyAlignment="1">
      <alignment horizontal="center" vertical="top" wrapText="1"/>
    </xf>
    <xf numFmtId="0" fontId="47" fillId="0" borderId="100" xfId="0" applyFont="1" applyBorder="1" applyAlignment="1">
      <alignment horizontal="center" vertical="top" wrapText="1"/>
    </xf>
    <xf numFmtId="0" fontId="47" fillId="0" borderId="103" xfId="0" applyFont="1" applyBorder="1" applyAlignment="1">
      <alignment horizontal="center" vertical="top" wrapText="1"/>
    </xf>
    <xf numFmtId="0" fontId="35" fillId="0" borderId="101" xfId="0" applyFont="1" applyBorder="1" applyAlignment="1">
      <alignment horizontal="center" vertical="top" wrapText="1"/>
    </xf>
    <xf numFmtId="7" fontId="42" fillId="26" borderId="116" xfId="0" applyNumberFormat="1" applyFont="1" applyFill="1" applyBorder="1" applyAlignment="1">
      <alignment horizontal="left" vertical="center" wrapText="1"/>
    </xf>
    <xf numFmtId="7" fontId="42" fillId="26" borderId="74" xfId="0" applyNumberFormat="1" applyFont="1" applyFill="1" applyBorder="1" applyAlignment="1">
      <alignment horizontal="left" vertical="center" wrapText="1"/>
    </xf>
    <xf numFmtId="7" fontId="42" fillId="26" borderId="118" xfId="0" applyNumberFormat="1" applyFont="1" applyFill="1" applyBorder="1" applyAlignment="1">
      <alignment horizontal="left" vertical="center" wrapText="1"/>
    </xf>
    <xf numFmtId="7" fontId="42" fillId="26" borderId="236" xfId="0" applyNumberFormat="1" applyFont="1" applyFill="1" applyBorder="1" applyAlignment="1">
      <alignment horizontal="left" vertical="center" wrapText="1"/>
    </xf>
    <xf numFmtId="7" fontId="42" fillId="26" borderId="80" xfId="0" applyNumberFormat="1" applyFont="1" applyFill="1" applyBorder="1" applyAlignment="1">
      <alignment horizontal="left" vertical="center" wrapText="1"/>
    </xf>
    <xf numFmtId="7" fontId="42" fillId="26" borderId="238" xfId="0" applyNumberFormat="1" applyFont="1" applyFill="1" applyBorder="1" applyAlignment="1">
      <alignment horizontal="left" vertical="center" wrapText="1"/>
    </xf>
    <xf numFmtId="0" fontId="5" fillId="0" borderId="4" xfId="0" applyFont="1" applyBorder="1" applyAlignment="1">
      <alignment horizontal="center" vertical="top" wrapText="1"/>
    </xf>
    <xf numFmtId="10" fontId="5" fillId="0" borderId="15" xfId="0" applyNumberFormat="1" applyFont="1" applyBorder="1" applyAlignment="1">
      <alignment horizontal="center" vertical="center" wrapText="1"/>
    </xf>
    <xf numFmtId="10" fontId="5" fillId="0" borderId="14" xfId="0" applyNumberFormat="1" applyFont="1" applyBorder="1" applyAlignment="1">
      <alignment horizontal="center" vertical="center" wrapText="1"/>
    </xf>
    <xf numFmtId="1" fontId="5" fillId="0" borderId="15" xfId="0" applyNumberFormat="1" applyFont="1" applyBorder="1" applyAlignment="1">
      <alignment horizontal="center" vertical="center" wrapText="1"/>
    </xf>
    <xf numFmtId="1" fontId="5" fillId="0" borderId="14" xfId="0" applyNumberFormat="1" applyFont="1" applyBorder="1" applyAlignment="1">
      <alignment horizontal="center" vertical="center" wrapText="1"/>
    </xf>
    <xf numFmtId="44" fontId="2" fillId="0" borderId="55" xfId="0" applyNumberFormat="1" applyFont="1" applyBorder="1" applyAlignment="1">
      <alignment horizontal="center"/>
    </xf>
    <xf numFmtId="44" fontId="2" fillId="0" borderId="39" xfId="0" applyNumberFormat="1" applyFont="1" applyBorder="1" applyAlignment="1">
      <alignment horizontal="center"/>
    </xf>
    <xf numFmtId="0" fontId="13" fillId="0" borderId="4" xfId="0" applyFont="1" applyBorder="1" applyAlignment="1">
      <alignment horizontal="left" vertical="center" wrapText="1" indent="1"/>
    </xf>
    <xf numFmtId="0" fontId="13" fillId="0" borderId="5" xfId="0" applyFont="1" applyBorder="1" applyAlignment="1">
      <alignment horizontal="left" vertical="center" wrapText="1" indent="1"/>
    </xf>
    <xf numFmtId="0" fontId="13" fillId="0" borderId="6" xfId="0" applyFont="1" applyBorder="1" applyAlignment="1">
      <alignment horizontal="left" vertical="center" wrapText="1" indent="1"/>
    </xf>
    <xf numFmtId="0" fontId="13" fillId="0" borderId="1" xfId="0" applyFont="1" applyBorder="1" applyAlignment="1">
      <alignment horizontal="left" vertical="center" wrapText="1" indent="1"/>
    </xf>
    <xf numFmtId="0" fontId="13" fillId="0" borderId="2" xfId="0" applyFont="1" applyBorder="1" applyAlignment="1">
      <alignment horizontal="left" vertical="center" wrapText="1" indent="1"/>
    </xf>
    <xf numFmtId="0" fontId="13" fillId="0" borderId="3" xfId="0" applyFont="1" applyBorder="1" applyAlignment="1">
      <alignment horizontal="left" vertical="center" wrapText="1" indent="1"/>
    </xf>
    <xf numFmtId="0" fontId="13" fillId="0" borderId="1" xfId="0" applyFont="1" applyBorder="1" applyAlignment="1">
      <alignment horizontal="left" vertical="top" wrapText="1" indent="1"/>
    </xf>
    <xf numFmtId="0" fontId="13" fillId="0" borderId="2" xfId="0" applyFont="1" applyBorder="1" applyAlignment="1">
      <alignment horizontal="left" vertical="top" wrapText="1" indent="1"/>
    </xf>
    <xf numFmtId="0" fontId="13" fillId="0" borderId="3" xfId="0" applyFont="1" applyBorder="1" applyAlignment="1">
      <alignment horizontal="left" vertical="top" wrapText="1" indent="1"/>
    </xf>
    <xf numFmtId="0" fontId="11" fillId="0" borderId="7" xfId="0" applyFont="1" applyBorder="1" applyAlignment="1">
      <alignment horizontal="center" vertical="top"/>
    </xf>
    <xf numFmtId="0" fontId="11" fillId="0" borderId="0" xfId="0" applyFont="1" applyAlignment="1">
      <alignment horizontal="center" vertical="top"/>
    </xf>
    <xf numFmtId="0" fontId="11" fillId="0" borderId="8" xfId="0" applyFont="1" applyBorder="1" applyAlignment="1">
      <alignment horizontal="center" vertical="top"/>
    </xf>
    <xf numFmtId="0" fontId="11" fillId="0" borderId="4" xfId="0" applyFont="1" applyBorder="1" applyAlignment="1">
      <alignment horizontal="center" vertical="top"/>
    </xf>
    <xf numFmtId="0" fontId="11" fillId="0" borderId="5" xfId="0" applyFont="1" applyBorder="1" applyAlignment="1">
      <alignment horizontal="center" vertical="top"/>
    </xf>
    <xf numFmtId="0" fontId="11" fillId="0" borderId="6" xfId="0" applyFont="1" applyBorder="1" applyAlignment="1">
      <alignment horizontal="center" vertical="top"/>
    </xf>
    <xf numFmtId="0" fontId="6" fillId="0" borderId="7" xfId="0" applyFont="1" applyBorder="1" applyAlignment="1">
      <alignment horizontal="center" vertical="top" wrapText="1"/>
    </xf>
    <xf numFmtId="0" fontId="6" fillId="0" borderId="0" xfId="0" applyFont="1" applyAlignment="1">
      <alignment horizontal="center" vertical="top" wrapText="1"/>
    </xf>
    <xf numFmtId="0" fontId="6" fillId="0" borderId="8" xfId="0" applyFont="1" applyBorder="1" applyAlignment="1">
      <alignment horizontal="center" vertical="top" wrapText="1"/>
    </xf>
    <xf numFmtId="0" fontId="6" fillId="0" borderId="4" xfId="0" applyFont="1" applyBorder="1" applyAlignment="1">
      <alignment horizontal="center" vertical="top" wrapText="1"/>
    </xf>
    <xf numFmtId="0" fontId="6" fillId="0" borderId="5" xfId="0" applyFont="1" applyBorder="1" applyAlignment="1">
      <alignment horizontal="center" vertical="top" wrapText="1"/>
    </xf>
    <xf numFmtId="0" fontId="6" fillId="0" borderId="6" xfId="0" applyFont="1" applyBorder="1" applyAlignment="1">
      <alignment horizontal="center" vertical="top" wrapText="1"/>
    </xf>
    <xf numFmtId="0" fontId="7" fillId="0" borderId="13" xfId="0" applyFont="1" applyBorder="1" applyAlignment="1">
      <alignment horizontal="left" vertical="top" wrapText="1"/>
    </xf>
    <xf numFmtId="0" fontId="7" fillId="0" borderId="15" xfId="0" applyFont="1" applyBorder="1" applyAlignment="1">
      <alignment horizontal="right" vertical="center" indent="1"/>
    </xf>
    <xf numFmtId="0" fontId="7" fillId="0" borderId="14" xfId="0" applyFont="1" applyBorder="1" applyAlignment="1">
      <alignment horizontal="right" vertical="center" indent="1"/>
    </xf>
    <xf numFmtId="44" fontId="7" fillId="0" borderId="1" xfId="0" applyNumberFormat="1" applyFont="1" applyBorder="1" applyAlignment="1">
      <alignment horizontal="center" vertical="center"/>
    </xf>
    <xf numFmtId="44" fontId="7" fillId="0" borderId="3" xfId="0" applyNumberFormat="1" applyFont="1" applyBorder="1" applyAlignment="1">
      <alignment horizontal="center" vertical="center"/>
    </xf>
    <xf numFmtId="44" fontId="7" fillId="0" borderId="4" xfId="0" applyNumberFormat="1" applyFont="1" applyBorder="1" applyAlignment="1">
      <alignment horizontal="center" vertical="center"/>
    </xf>
    <xf numFmtId="44" fontId="7" fillId="0" borderId="6" xfId="0" applyNumberFormat="1" applyFont="1" applyBorder="1" applyAlignment="1">
      <alignment horizontal="center" vertical="center"/>
    </xf>
    <xf numFmtId="1" fontId="7" fillId="0" borderId="65" xfId="0" applyNumberFormat="1" applyFont="1" applyBorder="1" applyAlignment="1">
      <alignment horizontal="center" vertical="center" wrapText="1"/>
    </xf>
    <xf numFmtId="1" fontId="7" fillId="0" borderId="64"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7" xfId="0" applyFont="1" applyBorder="1" applyAlignment="1">
      <alignment horizontal="center" vertical="center" wrapText="1"/>
    </xf>
    <xf numFmtId="0" fontId="6" fillId="0" borderId="0" xfId="0" applyFont="1" applyAlignment="1">
      <alignment horizontal="center" vertical="center" wrapText="1"/>
    </xf>
    <xf numFmtId="0" fontId="6" fillId="0" borderId="8" xfId="0" applyFont="1" applyBorder="1" applyAlignment="1">
      <alignment horizontal="center" vertical="center" wrapText="1"/>
    </xf>
    <xf numFmtId="0" fontId="7" fillId="0" borderId="9" xfId="0" applyFont="1" applyBorder="1" applyAlignment="1">
      <alignment horizontal="right" vertical="center" wrapText="1" indent="1"/>
    </xf>
    <xf numFmtId="0" fontId="7" fillId="0" borderId="10" xfId="0" applyFont="1" applyBorder="1" applyAlignment="1">
      <alignment horizontal="right" vertical="center" wrapText="1" indent="1"/>
    </xf>
    <xf numFmtId="0" fontId="7" fillId="0" borderId="11" xfId="0" applyFont="1" applyBorder="1" applyAlignment="1">
      <alignment horizontal="right" vertical="center" wrapText="1" indent="1"/>
    </xf>
    <xf numFmtId="0" fontId="22" fillId="3" borderId="1" xfId="0" applyFont="1" applyFill="1" applyBorder="1" applyAlignment="1">
      <alignment horizontal="left" vertical="center" wrapText="1" indent="1"/>
    </xf>
    <xf numFmtId="0" fontId="22" fillId="3" borderId="2" xfId="0" applyFont="1" applyFill="1" applyBorder="1" applyAlignment="1">
      <alignment horizontal="left" vertical="center" wrapText="1" indent="1"/>
    </xf>
    <xf numFmtId="0" fontId="22" fillId="3" borderId="3" xfId="0" applyFont="1" applyFill="1" applyBorder="1" applyAlignment="1">
      <alignment horizontal="left" vertical="center" wrapText="1" indent="1"/>
    </xf>
    <xf numFmtId="0" fontId="22" fillId="3" borderId="4" xfId="0" applyFont="1" applyFill="1" applyBorder="1" applyAlignment="1">
      <alignment horizontal="left" vertical="center" wrapText="1" indent="1"/>
    </xf>
    <xf numFmtId="0" fontId="22" fillId="3" borderId="5" xfId="0" applyFont="1" applyFill="1" applyBorder="1" applyAlignment="1">
      <alignment horizontal="left" vertical="center" wrapText="1" indent="1"/>
    </xf>
    <xf numFmtId="0" fontId="22" fillId="3" borderId="6" xfId="0" applyFont="1" applyFill="1" applyBorder="1" applyAlignment="1">
      <alignment horizontal="left" vertical="center" wrapText="1" indent="1"/>
    </xf>
    <xf numFmtId="0" fontId="7" fillId="0" borderId="1" xfId="0" applyFont="1" applyBorder="1" applyAlignment="1">
      <alignment horizontal="right" vertical="center" wrapText="1" indent="1"/>
    </xf>
    <xf numFmtId="0" fontId="7" fillId="0" borderId="2" xfId="0" applyFont="1" applyBorder="1" applyAlignment="1">
      <alignment horizontal="right" vertical="center" wrapText="1" indent="1"/>
    </xf>
    <xf numFmtId="0" fontId="7" fillId="0" borderId="3" xfId="0" applyFont="1" applyBorder="1" applyAlignment="1">
      <alignment horizontal="right" vertical="center" wrapText="1" indent="1"/>
    </xf>
    <xf numFmtId="1" fontId="23" fillId="3" borderId="1" xfId="0" applyNumberFormat="1" applyFont="1" applyFill="1" applyBorder="1" applyAlignment="1">
      <alignment horizontal="center" vertical="center" wrapText="1"/>
    </xf>
    <xf numFmtId="1" fontId="23" fillId="3" borderId="2" xfId="0" applyNumberFormat="1" applyFont="1" applyFill="1" applyBorder="1" applyAlignment="1">
      <alignment horizontal="center" vertical="center" wrapText="1"/>
    </xf>
    <xf numFmtId="1" fontId="23" fillId="3" borderId="3" xfId="0" applyNumberFormat="1" applyFont="1" applyFill="1" applyBorder="1" applyAlignment="1">
      <alignment horizontal="center" vertical="center" wrapText="1"/>
    </xf>
    <xf numFmtId="1" fontId="23" fillId="3" borderId="7" xfId="0" applyNumberFormat="1" applyFont="1" applyFill="1" applyBorder="1" applyAlignment="1">
      <alignment horizontal="center" vertical="center" wrapText="1"/>
    </xf>
    <xf numFmtId="1" fontId="23" fillId="3" borderId="0" xfId="0" applyNumberFormat="1" applyFont="1" applyFill="1" applyAlignment="1">
      <alignment horizontal="center" vertical="center" wrapText="1"/>
    </xf>
    <xf numFmtId="1" fontId="23" fillId="3" borderId="8" xfId="0" applyNumberFormat="1" applyFont="1" applyFill="1" applyBorder="1" applyAlignment="1">
      <alignment horizontal="center" vertical="center" wrapText="1"/>
    </xf>
    <xf numFmtId="1" fontId="23" fillId="3" borderId="4" xfId="0" applyNumberFormat="1" applyFont="1" applyFill="1" applyBorder="1" applyAlignment="1">
      <alignment horizontal="center" vertical="center" wrapText="1"/>
    </xf>
    <xf numFmtId="1" fontId="23" fillId="3" borderId="5" xfId="0" applyNumberFormat="1" applyFont="1" applyFill="1" applyBorder="1" applyAlignment="1">
      <alignment horizontal="center" vertical="center" wrapText="1"/>
    </xf>
    <xf numFmtId="1" fontId="23" fillId="3" borderId="6" xfId="0" applyNumberFormat="1" applyFont="1" applyFill="1" applyBorder="1" applyAlignment="1">
      <alignment horizontal="center" vertical="center" wrapText="1"/>
    </xf>
    <xf numFmtId="44" fontId="7" fillId="0" borderId="1" xfId="0" applyNumberFormat="1" applyFont="1" applyBorder="1" applyAlignment="1">
      <alignment horizontal="center" vertical="center" wrapText="1"/>
    </xf>
    <xf numFmtId="44" fontId="7" fillId="0" borderId="2" xfId="0" applyNumberFormat="1" applyFont="1" applyBorder="1" applyAlignment="1">
      <alignment horizontal="center" vertical="center" wrapText="1"/>
    </xf>
    <xf numFmtId="44" fontId="7" fillId="0" borderId="3" xfId="0" applyNumberFormat="1" applyFont="1" applyBorder="1" applyAlignment="1">
      <alignment horizontal="center" vertical="center" wrapText="1"/>
    </xf>
    <xf numFmtId="44" fontId="7" fillId="0" borderId="4" xfId="0" applyNumberFormat="1" applyFont="1" applyBorder="1" applyAlignment="1">
      <alignment horizontal="center" vertical="center" wrapText="1"/>
    </xf>
    <xf numFmtId="44" fontId="7" fillId="0" borderId="5" xfId="0" applyNumberFormat="1" applyFont="1" applyBorder="1" applyAlignment="1">
      <alignment horizontal="center" vertical="center" wrapText="1"/>
    </xf>
    <xf numFmtId="44" fontId="7" fillId="0" borderId="6" xfId="0" applyNumberFormat="1" applyFont="1" applyBorder="1" applyAlignment="1">
      <alignment horizontal="center" vertical="center" wrapText="1"/>
    </xf>
    <xf numFmtId="0" fontId="6" fillId="0" borderId="8" xfId="0" applyFont="1" applyBorder="1" applyAlignment="1">
      <alignment horizontal="center" vertical="center"/>
    </xf>
    <xf numFmtId="0" fontId="6" fillId="0" borderId="6" xfId="0" applyFont="1" applyBorder="1" applyAlignment="1">
      <alignment horizontal="center" vertical="center"/>
    </xf>
    <xf numFmtId="0" fontId="11" fillId="0" borderId="7" xfId="0" applyFont="1" applyBorder="1" applyAlignment="1">
      <alignment horizontal="center" vertical="top" wrapText="1"/>
    </xf>
    <xf numFmtId="0" fontId="11" fillId="0" borderId="0" xfId="0" applyFont="1" applyAlignment="1">
      <alignment horizontal="center" vertical="top" wrapText="1"/>
    </xf>
    <xf numFmtId="0" fontId="11" fillId="0" borderId="4" xfId="0" applyFont="1" applyBorder="1" applyAlignment="1">
      <alignment horizontal="center" vertical="top" wrapText="1"/>
    </xf>
    <xf numFmtId="0" fontId="11" fillId="0" borderId="5" xfId="0" applyFont="1" applyBorder="1" applyAlignment="1">
      <alignment horizontal="center" vertical="top" wrapText="1"/>
    </xf>
    <xf numFmtId="1" fontId="7" fillId="0" borderId="66" xfId="0" applyNumberFormat="1" applyFont="1" applyBorder="1" applyAlignment="1">
      <alignment horizontal="center" vertical="center"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82" fillId="0" borderId="15" xfId="0" applyFont="1" applyBorder="1" applyAlignment="1">
      <alignment horizontal="center" wrapText="1"/>
    </xf>
    <xf numFmtId="0" fontId="0" fillId="0" borderId="13" xfId="0" applyBorder="1" applyAlignment="1">
      <alignment horizontal="center" wrapText="1"/>
    </xf>
    <xf numFmtId="0" fontId="0" fillId="0" borderId="14" xfId="0" applyBorder="1" applyAlignment="1">
      <alignment horizontal="center" wrapText="1"/>
    </xf>
    <xf numFmtId="0" fontId="0" fillId="0" borderId="11" xfId="0" applyBorder="1" applyAlignment="1">
      <alignment horizontal="center" vertical="top"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0" fillId="0" borderId="11" xfId="0" applyBorder="1" applyAlignment="1">
      <alignment horizontal="center" vertical="center" wrapText="1"/>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7" fillId="0" borderId="2" xfId="0" applyFont="1" applyBorder="1" applyAlignment="1">
      <alignment horizontal="center" vertical="center"/>
    </xf>
    <xf numFmtId="0" fontId="0" fillId="0" borderId="3" xfId="0" applyBorder="1" applyAlignment="1">
      <alignment horizontal="center" vertical="center"/>
    </xf>
    <xf numFmtId="44" fontId="7" fillId="0" borderId="16" xfId="0" applyNumberFormat="1" applyFont="1" applyBorder="1" applyAlignment="1">
      <alignment horizontal="center" vertical="center"/>
    </xf>
    <xf numFmtId="44" fontId="7" fillId="0" borderId="17" xfId="0" applyNumberFormat="1" applyFont="1" applyBorder="1" applyAlignment="1">
      <alignment horizontal="center" vertical="center"/>
    </xf>
    <xf numFmtId="0" fontId="0" fillId="0" borderId="38" xfId="0" applyBorder="1" applyAlignment="1">
      <alignment horizontal="center" vertical="center"/>
    </xf>
    <xf numFmtId="0" fontId="8" fillId="0" borderId="44" xfId="0" applyFont="1" applyBorder="1" applyAlignment="1">
      <alignment horizontal="center" wrapText="1"/>
    </xf>
    <xf numFmtId="0" fontId="8" fillId="0" borderId="59" xfId="0" applyFont="1" applyBorder="1" applyAlignment="1">
      <alignment horizontal="center" wrapText="1"/>
    </xf>
    <xf numFmtId="0" fontId="8" fillId="0" borderId="41" xfId="0" applyFont="1" applyBorder="1" applyAlignment="1">
      <alignment horizontal="center" wrapText="1"/>
    </xf>
    <xf numFmtId="0" fontId="8" fillId="0" borderId="46" xfId="0" applyFont="1" applyBorder="1" applyAlignment="1">
      <alignment horizontal="center" wrapText="1"/>
    </xf>
    <xf numFmtId="0" fontId="82" fillId="0" borderId="13" xfId="0" applyFont="1" applyBorder="1" applyAlignment="1">
      <alignment horizontal="center" wrapText="1"/>
    </xf>
    <xf numFmtId="0" fontId="80" fillId="0" borderId="110" xfId="0" applyFont="1" applyBorder="1" applyAlignment="1">
      <alignment horizontal="center" wrapText="1"/>
    </xf>
    <xf numFmtId="0" fontId="8" fillId="0" borderId="7" xfId="0" applyFont="1" applyBorder="1" applyAlignment="1">
      <alignment horizontal="center" wrapText="1"/>
    </xf>
    <xf numFmtId="0" fontId="8" fillId="0" borderId="0" xfId="0" applyFont="1" applyAlignment="1">
      <alignment horizontal="center" wrapText="1"/>
    </xf>
    <xf numFmtId="0" fontId="8" fillId="0" borderId="8" xfId="0" applyFont="1" applyBorder="1" applyAlignment="1">
      <alignment horizontal="center" wrapText="1"/>
    </xf>
    <xf numFmtId="0" fontId="8" fillId="0" borderId="35" xfId="0" applyFont="1" applyBorder="1" applyAlignment="1">
      <alignment horizontal="center" wrapText="1"/>
    </xf>
    <xf numFmtId="0" fontId="8" fillId="0" borderId="24" xfId="0" applyFont="1" applyBorder="1" applyAlignment="1">
      <alignment horizontal="center" wrapText="1"/>
    </xf>
    <xf numFmtId="0" fontId="8" fillId="0" borderId="36" xfId="0" applyFont="1" applyBorder="1" applyAlignment="1">
      <alignment horizontal="center" wrapText="1"/>
    </xf>
    <xf numFmtId="0" fontId="7" fillId="0" borderId="59" xfId="0" applyFont="1" applyBorder="1" applyAlignment="1">
      <alignment horizontal="right" vertical="center" wrapText="1"/>
    </xf>
    <xf numFmtId="0" fontId="7" fillId="0" borderId="41" xfId="0" applyFont="1" applyBorder="1" applyAlignment="1">
      <alignment horizontal="right" vertical="center" wrapText="1"/>
    </xf>
    <xf numFmtId="0" fontId="7" fillId="0" borderId="44" xfId="0" applyFont="1" applyBorder="1" applyAlignment="1">
      <alignment horizontal="right" vertical="center" wrapText="1"/>
    </xf>
    <xf numFmtId="0" fontId="7" fillId="0" borderId="42" xfId="0" applyFont="1" applyBorder="1" applyAlignment="1">
      <alignment horizontal="right" vertical="center" wrapText="1"/>
    </xf>
    <xf numFmtId="0" fontId="7" fillId="0" borderId="60" xfId="0" applyFont="1" applyBorder="1" applyAlignment="1">
      <alignment horizontal="right" vertical="center" wrapText="1"/>
    </xf>
    <xf numFmtId="0" fontId="7" fillId="0" borderId="53" xfId="0" applyFont="1" applyBorder="1" applyAlignment="1">
      <alignment horizontal="right" vertical="center" wrapText="1"/>
    </xf>
    <xf numFmtId="0" fontId="5" fillId="0" borderId="27" xfId="0" applyFont="1" applyBorder="1" applyAlignment="1">
      <alignment horizontal="center" vertical="center" wrapText="1"/>
    </xf>
    <xf numFmtId="0" fontId="5" fillId="0" borderId="28" xfId="0" applyFont="1" applyBorder="1" applyAlignment="1">
      <alignment horizontal="center" vertical="center" wrapText="1"/>
    </xf>
    <xf numFmtId="165" fontId="5" fillId="0" borderId="23" xfId="0" applyNumberFormat="1" applyFont="1" applyBorder="1" applyAlignment="1">
      <alignment horizontal="center" vertical="center" wrapText="1"/>
    </xf>
    <xf numFmtId="165" fontId="5" fillId="0" borderId="25"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165" fontId="5" fillId="0" borderId="7" xfId="0" applyNumberFormat="1" applyFont="1" applyBorder="1" applyAlignment="1">
      <alignment horizontal="center" vertical="center" wrapText="1"/>
    </xf>
    <xf numFmtId="165" fontId="5" fillId="0" borderId="0" xfId="0" applyNumberFormat="1" applyFont="1" applyAlignment="1">
      <alignment horizontal="center" vertical="center" wrapText="1"/>
    </xf>
    <xf numFmtId="165" fontId="5" fillId="0" borderId="24" xfId="0" applyNumberFormat="1" applyFont="1" applyBorder="1" applyAlignment="1">
      <alignment horizontal="center" vertical="center" wrapText="1"/>
    </xf>
    <xf numFmtId="0" fontId="5" fillId="0" borderId="19" xfId="0" applyFont="1" applyBorder="1" applyAlignment="1">
      <alignment horizontal="center" vertical="center" wrapText="1"/>
    </xf>
    <xf numFmtId="0" fontId="5" fillId="0" borderId="31" xfId="0" applyFont="1" applyBorder="1" applyAlignment="1">
      <alignment horizontal="center" vertical="center" wrapText="1"/>
    </xf>
    <xf numFmtId="0" fontId="0" fillId="0" borderId="32" xfId="0" applyBorder="1" applyAlignment="1">
      <alignment horizontal="center" vertical="center" wrapText="1"/>
    </xf>
    <xf numFmtId="0" fontId="0" fillId="0" borderId="36" xfId="0" applyBorder="1" applyAlignment="1">
      <alignment horizontal="center" vertical="center" wrapText="1"/>
    </xf>
    <xf numFmtId="44" fontId="7" fillId="0" borderId="41" xfId="0" applyNumberFormat="1" applyFont="1" applyBorder="1" applyAlignment="1">
      <alignment horizontal="center" vertical="center"/>
    </xf>
    <xf numFmtId="44" fontId="7" fillId="0" borderId="46" xfId="0" applyNumberFormat="1" applyFont="1" applyBorder="1" applyAlignment="1">
      <alignment horizontal="center" vertical="center"/>
    </xf>
    <xf numFmtId="44" fontId="7" fillId="0" borderId="53" xfId="0" applyNumberFormat="1" applyFont="1" applyBorder="1" applyAlignment="1">
      <alignment horizontal="center" vertical="center"/>
    </xf>
    <xf numFmtId="44" fontId="7" fillId="0" borderId="54" xfId="0" applyNumberFormat="1" applyFont="1" applyBorder="1" applyAlignment="1">
      <alignment horizontal="center" vertical="center"/>
    </xf>
    <xf numFmtId="164" fontId="3" fillId="2" borderId="8" xfId="0" applyNumberFormat="1" applyFont="1" applyFill="1" applyBorder="1" applyAlignment="1">
      <alignment horizontal="right" vertical="center" wrapText="1"/>
    </xf>
    <xf numFmtId="0" fontId="0" fillId="0" borderId="8" xfId="0" applyBorder="1" applyAlignment="1">
      <alignment horizontal="right" vertical="center" wrapText="1"/>
    </xf>
    <xf numFmtId="164" fontId="3" fillId="2" borderId="5" xfId="0" applyNumberFormat="1" applyFont="1" applyFill="1" applyBorder="1" applyAlignment="1">
      <alignment horizontal="right" vertical="center" wrapText="1"/>
    </xf>
    <xf numFmtId="0" fontId="0" fillId="0" borderId="6" xfId="0" applyBorder="1" applyAlignment="1">
      <alignment horizontal="right"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165" fontId="5" fillId="0" borderId="0" xfId="0" applyNumberFormat="1" applyFont="1" applyAlignment="1">
      <alignment horizontal="left" vertical="center" wrapText="1"/>
    </xf>
    <xf numFmtId="165" fontId="5" fillId="0" borderId="22" xfId="0" applyNumberFormat="1" applyFont="1" applyBorder="1" applyAlignment="1">
      <alignment horizontal="left" vertical="center" wrapTex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164" fontId="5" fillId="0" borderId="21" xfId="0" applyNumberFormat="1" applyFont="1" applyBorder="1" applyAlignment="1">
      <alignment horizontal="center" vertical="center" wrapText="1"/>
    </xf>
    <xf numFmtId="164" fontId="5" fillId="0" borderId="22" xfId="0" applyNumberFormat="1" applyFont="1" applyBorder="1" applyAlignment="1">
      <alignment horizontal="center" vertical="center" wrapText="1"/>
    </xf>
    <xf numFmtId="0" fontId="7" fillId="0" borderId="17" xfId="0" applyFont="1" applyBorder="1" applyAlignment="1">
      <alignment horizontal="center"/>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49" fontId="5" fillId="0" borderId="23" xfId="0" applyNumberFormat="1" applyFont="1" applyBorder="1" applyAlignment="1">
      <alignment horizontal="center" vertical="center" wrapText="1"/>
    </xf>
    <xf numFmtId="49"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9" fontId="5" fillId="28" borderId="111" xfId="0" applyNumberFormat="1" applyFont="1" applyFill="1" applyBorder="1" applyAlignment="1" applyProtection="1">
      <alignment horizontal="center" vertical="center" wrapText="1"/>
      <protection locked="0"/>
    </xf>
    <xf numFmtId="49" fontId="5" fillId="28" borderId="103" xfId="0" applyNumberFormat="1" applyFont="1" applyFill="1" applyBorder="1" applyAlignment="1" applyProtection="1">
      <alignment horizontal="center" vertical="center" wrapText="1"/>
      <protection locked="0"/>
    </xf>
    <xf numFmtId="49" fontId="5" fillId="28" borderId="103" xfId="0" applyNumberFormat="1" applyFont="1" applyFill="1" applyBorder="1" applyAlignment="1" applyProtection="1">
      <alignment horizontal="left" vertical="top" wrapText="1"/>
      <protection locked="0"/>
    </xf>
    <xf numFmtId="49" fontId="5" fillId="28" borderId="104" xfId="0" applyNumberFormat="1" applyFont="1" applyFill="1" applyBorder="1" applyAlignment="1" applyProtection="1">
      <alignment horizontal="left" vertical="top" wrapText="1"/>
      <protection locked="0"/>
    </xf>
    <xf numFmtId="49" fontId="5" fillId="28" borderId="113" xfId="0" applyNumberFormat="1" applyFont="1" applyFill="1" applyBorder="1" applyAlignment="1" applyProtection="1">
      <alignment horizontal="center" vertical="center" wrapText="1"/>
      <protection locked="0"/>
    </xf>
    <xf numFmtId="49" fontId="5" fillId="28" borderId="109" xfId="0" applyNumberFormat="1" applyFont="1" applyFill="1" applyBorder="1" applyAlignment="1" applyProtection="1">
      <alignment horizontal="center" vertical="center" wrapText="1"/>
      <protection locked="0"/>
    </xf>
    <xf numFmtId="49" fontId="5" fillId="28" borderId="109" xfId="0" applyNumberFormat="1" applyFont="1" applyFill="1" applyBorder="1" applyAlignment="1" applyProtection="1">
      <alignment horizontal="left" vertical="top" wrapText="1"/>
      <protection locked="0"/>
    </xf>
    <xf numFmtId="49" fontId="5" fillId="28" borderId="114" xfId="0" applyNumberFormat="1" applyFont="1" applyFill="1" applyBorder="1" applyAlignment="1" applyProtection="1">
      <alignment horizontal="left" vertical="top" wrapText="1"/>
      <protection locked="0"/>
    </xf>
    <xf numFmtId="0" fontId="13" fillId="0" borderId="100" xfId="0" applyFont="1" applyBorder="1" applyAlignment="1">
      <alignment horizontal="center" vertical="center"/>
    </xf>
    <xf numFmtId="165" fontId="13" fillId="0" borderId="100" xfId="0" applyNumberFormat="1" applyFont="1" applyBorder="1" applyAlignment="1">
      <alignment horizontal="center" vertical="center" wrapText="1"/>
    </xf>
    <xf numFmtId="165" fontId="13" fillId="0" borderId="101" xfId="0" applyNumberFormat="1" applyFont="1" applyBorder="1" applyAlignment="1">
      <alignment horizontal="center" vertical="center" wrapText="1"/>
    </xf>
    <xf numFmtId="0" fontId="5" fillId="0" borderId="102" xfId="0" applyFont="1" applyBorder="1" applyAlignment="1">
      <alignment horizontal="center" vertical="center" wrapText="1"/>
    </xf>
    <xf numFmtId="0" fontId="5" fillId="0" borderId="101" xfId="0" applyFont="1" applyBorder="1" applyAlignment="1">
      <alignment horizontal="center" vertical="center" wrapText="1"/>
    </xf>
    <xf numFmtId="0" fontId="5" fillId="0" borderId="113" xfId="0" applyFont="1" applyBorder="1" applyAlignment="1">
      <alignment horizontal="center" vertical="center" wrapText="1"/>
    </xf>
    <xf numFmtId="0" fontId="5" fillId="0" borderId="114" xfId="0" applyFont="1" applyBorder="1" applyAlignment="1">
      <alignment horizontal="center" vertical="center" wrapText="1"/>
    </xf>
    <xf numFmtId="164" fontId="5" fillId="2" borderId="111" xfId="0" applyNumberFormat="1" applyFont="1" applyFill="1" applyBorder="1" applyAlignment="1">
      <alignment horizontal="center" vertical="center" wrapText="1"/>
    </xf>
    <xf numFmtId="164" fontId="5" fillId="2" borderId="243" xfId="0" applyNumberFormat="1" applyFont="1" applyFill="1" applyBorder="1" applyAlignment="1">
      <alignment horizontal="center" vertical="center" wrapText="1"/>
    </xf>
    <xf numFmtId="164" fontId="5" fillId="2" borderId="104" xfId="0" applyNumberFormat="1" applyFont="1" applyFill="1" applyBorder="1" applyAlignment="1">
      <alignment horizontal="center" vertical="center" wrapText="1"/>
    </xf>
    <xf numFmtId="164" fontId="5" fillId="2" borderId="242" xfId="0" applyNumberFormat="1" applyFont="1" applyFill="1" applyBorder="1" applyAlignment="1">
      <alignment horizontal="left" vertical="center" wrapText="1"/>
    </xf>
    <xf numFmtId="164" fontId="5" fillId="2" borderId="243" xfId="0" applyNumberFormat="1" applyFont="1" applyFill="1" applyBorder="1" applyAlignment="1">
      <alignment horizontal="left" vertical="center" wrapText="1"/>
    </xf>
    <xf numFmtId="165" fontId="5" fillId="2" borderId="103" xfId="0" applyNumberFormat="1" applyFont="1" applyFill="1" applyBorder="1" applyAlignment="1">
      <alignment horizontal="left" vertical="center" wrapText="1"/>
    </xf>
    <xf numFmtId="165" fontId="5" fillId="2" borderId="104" xfId="0" applyNumberFormat="1" applyFont="1" applyFill="1" applyBorder="1" applyAlignment="1">
      <alignment horizontal="left" vertical="center" wrapText="1"/>
    </xf>
    <xf numFmtId="164" fontId="5" fillId="2" borderId="241" xfId="0" applyNumberFormat="1" applyFont="1" applyFill="1" applyBorder="1" applyAlignment="1">
      <alignment horizontal="center" vertical="center" wrapText="1"/>
    </xf>
    <xf numFmtId="0" fontId="5" fillId="0" borderId="100" xfId="0" applyFont="1" applyBorder="1" applyAlignment="1">
      <alignment horizontal="center" vertical="center" wrapText="1"/>
    </xf>
    <xf numFmtId="0" fontId="5" fillId="0" borderId="89" xfId="0" applyFont="1" applyBorder="1" applyAlignment="1">
      <alignment horizontal="center" vertical="center" wrapText="1"/>
    </xf>
    <xf numFmtId="165" fontId="5" fillId="2" borderId="111" xfId="0" applyNumberFormat="1" applyFont="1" applyFill="1" applyBorder="1" applyAlignment="1">
      <alignment horizontal="center" vertical="center" wrapText="1"/>
    </xf>
    <xf numFmtId="165" fontId="5" fillId="2" borderId="103" xfId="0" applyNumberFormat="1" applyFont="1" applyFill="1" applyBorder="1" applyAlignment="1">
      <alignment horizontal="center" vertical="center" wrapText="1"/>
    </xf>
    <xf numFmtId="165" fontId="5" fillId="2" borderId="104" xfId="0" applyNumberFormat="1" applyFont="1" applyFill="1" applyBorder="1" applyAlignment="1">
      <alignment horizontal="center" vertical="center" wrapText="1"/>
    </xf>
    <xf numFmtId="165" fontId="5" fillId="2" borderId="109" xfId="0" applyNumberFormat="1" applyFont="1" applyFill="1" applyBorder="1" applyAlignment="1">
      <alignment horizontal="left" vertical="center" wrapText="1"/>
    </xf>
    <xf numFmtId="165" fontId="5" fillId="2" borderId="114" xfId="0" applyNumberFormat="1" applyFont="1" applyFill="1" applyBorder="1" applyAlignment="1">
      <alignment horizontal="left" vertical="center" wrapText="1"/>
    </xf>
    <xf numFmtId="165" fontId="5" fillId="2" borderId="103" xfId="0" applyNumberFormat="1" applyFont="1" applyFill="1" applyBorder="1" applyAlignment="1">
      <alignment horizontal="center" vertical="top" wrapText="1"/>
    </xf>
    <xf numFmtId="165" fontId="5" fillId="2" borderId="104" xfId="0" applyNumberFormat="1" applyFont="1" applyFill="1" applyBorder="1" applyAlignment="1">
      <alignment horizontal="center" vertical="top" wrapText="1"/>
    </xf>
    <xf numFmtId="0" fontId="13" fillId="0" borderId="102" xfId="0" applyFont="1" applyBorder="1" applyAlignment="1">
      <alignment horizontal="center" vertical="center"/>
    </xf>
    <xf numFmtId="164" fontId="5" fillId="2" borderId="109" xfId="0" applyNumberFormat="1" applyFont="1" applyFill="1" applyBorder="1" applyAlignment="1">
      <alignment horizontal="left" vertical="center" wrapText="1"/>
    </xf>
    <xf numFmtId="164" fontId="5" fillId="2" borderId="114" xfId="0" applyNumberFormat="1" applyFont="1" applyFill="1" applyBorder="1" applyAlignment="1">
      <alignment horizontal="left" vertical="center" wrapText="1"/>
    </xf>
    <xf numFmtId="0" fontId="5" fillId="0" borderId="102" xfId="0" applyFont="1" applyBorder="1" applyAlignment="1">
      <alignment horizontal="left" vertical="center" wrapText="1"/>
    </xf>
    <xf numFmtId="0" fontId="5" fillId="0" borderId="100" xfId="0" applyFont="1" applyBorder="1" applyAlignment="1">
      <alignment horizontal="left" vertical="center" wrapText="1"/>
    </xf>
    <xf numFmtId="0" fontId="5" fillId="0" borderId="101" xfId="0" applyFont="1" applyBorder="1" applyAlignment="1">
      <alignment horizontal="left" vertical="center" wrapText="1"/>
    </xf>
    <xf numFmtId="165" fontId="5" fillId="2" borderId="111" xfId="0" applyNumberFormat="1" applyFont="1" applyFill="1" applyBorder="1" applyAlignment="1">
      <alignment horizontal="left" vertical="center" wrapText="1"/>
    </xf>
    <xf numFmtId="165" fontId="5" fillId="2" borderId="91" xfId="0" applyNumberFormat="1" applyFont="1" applyFill="1" applyBorder="1" applyAlignment="1">
      <alignment horizontal="center" vertical="center" wrapText="1"/>
    </xf>
    <xf numFmtId="165" fontId="5" fillId="2" borderId="240" xfId="0" applyNumberFormat="1" applyFont="1" applyFill="1" applyBorder="1" applyAlignment="1">
      <alignment horizontal="center" vertical="center" wrapText="1"/>
    </xf>
    <xf numFmtId="165" fontId="5" fillId="2" borderId="92" xfId="0" applyNumberFormat="1" applyFont="1" applyFill="1" applyBorder="1" applyAlignment="1">
      <alignment horizontal="center" vertical="center" wrapText="1"/>
    </xf>
    <xf numFmtId="49" fontId="5" fillId="0" borderId="241" xfId="0" applyNumberFormat="1" applyFont="1" applyBorder="1" applyAlignment="1">
      <alignment horizontal="center" vertical="center" wrapText="1"/>
    </xf>
    <xf numFmtId="49" fontId="5" fillId="0" borderId="242" xfId="0" applyNumberFormat="1" applyFont="1" applyBorder="1" applyAlignment="1">
      <alignment horizontal="center" vertical="center" wrapText="1"/>
    </xf>
    <xf numFmtId="165" fontId="5" fillId="2" borderId="242" xfId="0" applyNumberFormat="1" applyFont="1" applyFill="1" applyBorder="1" applyAlignment="1">
      <alignment horizontal="center" vertical="center" wrapText="1"/>
    </xf>
    <xf numFmtId="165" fontId="5" fillId="2" borderId="244" xfId="0" applyNumberFormat="1" applyFont="1" applyFill="1" applyBorder="1" applyAlignment="1">
      <alignment horizontal="center" vertical="center" wrapText="1"/>
    </xf>
    <xf numFmtId="165" fontId="5" fillId="2" borderId="243" xfId="0" applyNumberFormat="1" applyFont="1" applyFill="1" applyBorder="1" applyAlignment="1">
      <alignment horizontal="center" vertical="center" wrapText="1"/>
    </xf>
    <xf numFmtId="49" fontId="5" fillId="0" borderId="111" xfId="0" applyNumberFormat="1" applyFont="1" applyBorder="1" applyAlignment="1">
      <alignment horizontal="center" vertical="top" wrapText="1"/>
    </xf>
    <xf numFmtId="49" fontId="5" fillId="0" borderId="103" xfId="0" applyNumberFormat="1" applyFont="1" applyBorder="1" applyAlignment="1">
      <alignment horizontal="center" vertical="top" wrapText="1"/>
    </xf>
  </cellXfs>
  <cellStyles count="314">
    <cellStyle name="20% - Accent1 2" xfId="3" xr:uid="{00000000-0005-0000-0000-000000000000}"/>
    <cellStyle name="20% - Accent2 2" xfId="4" xr:uid="{00000000-0005-0000-0000-000001000000}"/>
    <cellStyle name="20% - Accent3 2" xfId="5" xr:uid="{00000000-0005-0000-0000-000002000000}"/>
    <cellStyle name="20% - Accent4 2" xfId="6" xr:uid="{00000000-0005-0000-0000-000003000000}"/>
    <cellStyle name="20% - Accent5 2" xfId="7" xr:uid="{00000000-0005-0000-0000-000004000000}"/>
    <cellStyle name="20% - Accent6 2" xfId="8" xr:uid="{00000000-0005-0000-0000-000005000000}"/>
    <cellStyle name="40% - Accent1 2" xfId="9" xr:uid="{00000000-0005-0000-0000-000006000000}"/>
    <cellStyle name="40% - Accent2 2" xfId="10" xr:uid="{00000000-0005-0000-0000-000007000000}"/>
    <cellStyle name="40% - Accent3 2" xfId="11" xr:uid="{00000000-0005-0000-0000-000008000000}"/>
    <cellStyle name="40% - Accent4 2" xfId="12" xr:uid="{00000000-0005-0000-0000-000009000000}"/>
    <cellStyle name="40% - Accent5 2" xfId="13" xr:uid="{00000000-0005-0000-0000-00000A000000}"/>
    <cellStyle name="40% - Accent6 2" xfId="14" xr:uid="{00000000-0005-0000-0000-00000B000000}"/>
    <cellStyle name="60% - Accent1 2" xfId="15" xr:uid="{00000000-0005-0000-0000-00000C000000}"/>
    <cellStyle name="60% - Accent2 2" xfId="16" xr:uid="{00000000-0005-0000-0000-00000D000000}"/>
    <cellStyle name="60% - Accent3 2" xfId="17" xr:uid="{00000000-0005-0000-0000-00000E000000}"/>
    <cellStyle name="60% - Accent4 2" xfId="18" xr:uid="{00000000-0005-0000-0000-00000F000000}"/>
    <cellStyle name="60% - Accent5 2" xfId="19" xr:uid="{00000000-0005-0000-0000-000010000000}"/>
    <cellStyle name="60% - Accent6 2" xfId="20" xr:uid="{00000000-0005-0000-0000-000011000000}"/>
    <cellStyle name="Accent1 2" xfId="21" xr:uid="{00000000-0005-0000-0000-000012000000}"/>
    <cellStyle name="Accent2 2" xfId="22" xr:uid="{00000000-0005-0000-0000-000013000000}"/>
    <cellStyle name="Accent3 2" xfId="23" xr:uid="{00000000-0005-0000-0000-000014000000}"/>
    <cellStyle name="Accent4 2" xfId="24" xr:uid="{00000000-0005-0000-0000-000015000000}"/>
    <cellStyle name="Accent5 2" xfId="25" xr:uid="{00000000-0005-0000-0000-000016000000}"/>
    <cellStyle name="Accent6 2" xfId="26" xr:uid="{00000000-0005-0000-0000-000017000000}"/>
    <cellStyle name="Bad 2" xfId="27" xr:uid="{00000000-0005-0000-0000-000018000000}"/>
    <cellStyle name="Calculation 2" xfId="28" xr:uid="{00000000-0005-0000-0000-000019000000}"/>
    <cellStyle name="Calculation 2 10" xfId="88" xr:uid="{00000000-0005-0000-0000-00001A000000}"/>
    <cellStyle name="Calculation 2 10 2" xfId="216" xr:uid="{00000000-0005-0000-0000-00001B000000}"/>
    <cellStyle name="Calculation 2 11" xfId="96" xr:uid="{00000000-0005-0000-0000-00001C000000}"/>
    <cellStyle name="Calculation 2 11 2" xfId="224" xr:uid="{00000000-0005-0000-0000-00001D000000}"/>
    <cellStyle name="Calculation 2 12" xfId="50" xr:uid="{00000000-0005-0000-0000-00001E000000}"/>
    <cellStyle name="Calculation 2 12 2" xfId="178" xr:uid="{00000000-0005-0000-0000-00001F000000}"/>
    <cellStyle name="Calculation 2 13" xfId="97" xr:uid="{00000000-0005-0000-0000-000020000000}"/>
    <cellStyle name="Calculation 2 13 2" xfId="225" xr:uid="{00000000-0005-0000-0000-000021000000}"/>
    <cellStyle name="Calculation 2 14" xfId="71" xr:uid="{00000000-0005-0000-0000-000022000000}"/>
    <cellStyle name="Calculation 2 14 2" xfId="199" xr:uid="{00000000-0005-0000-0000-000023000000}"/>
    <cellStyle name="Calculation 2 15" xfId="95" xr:uid="{00000000-0005-0000-0000-000024000000}"/>
    <cellStyle name="Calculation 2 15 2" xfId="223" xr:uid="{00000000-0005-0000-0000-000025000000}"/>
    <cellStyle name="Calculation 2 16" xfId="49" xr:uid="{00000000-0005-0000-0000-000026000000}"/>
    <cellStyle name="Calculation 2 16 2" xfId="177" xr:uid="{00000000-0005-0000-0000-000027000000}"/>
    <cellStyle name="Calculation 2 17" xfId="98" xr:uid="{00000000-0005-0000-0000-000028000000}"/>
    <cellStyle name="Calculation 2 17 2" xfId="226" xr:uid="{00000000-0005-0000-0000-000029000000}"/>
    <cellStyle name="Calculation 2 18" xfId="122" xr:uid="{00000000-0005-0000-0000-00002A000000}"/>
    <cellStyle name="Calculation 2 18 2" xfId="250" xr:uid="{00000000-0005-0000-0000-00002B000000}"/>
    <cellStyle name="Calculation 2 19" xfId="93" xr:uid="{00000000-0005-0000-0000-00002C000000}"/>
    <cellStyle name="Calculation 2 19 2" xfId="221" xr:uid="{00000000-0005-0000-0000-00002D000000}"/>
    <cellStyle name="Calculation 2 2" xfId="52" xr:uid="{00000000-0005-0000-0000-00002E000000}"/>
    <cellStyle name="Calculation 2 2 2" xfId="180" xr:uid="{00000000-0005-0000-0000-00002F000000}"/>
    <cellStyle name="Calculation 2 20" xfId="44" xr:uid="{00000000-0005-0000-0000-000030000000}"/>
    <cellStyle name="Calculation 2 20 2" xfId="172" xr:uid="{00000000-0005-0000-0000-000031000000}"/>
    <cellStyle name="Calculation 2 21" xfId="130" xr:uid="{00000000-0005-0000-0000-000032000000}"/>
    <cellStyle name="Calculation 2 21 2" xfId="258" xr:uid="{00000000-0005-0000-0000-000033000000}"/>
    <cellStyle name="Calculation 2 22" xfId="48" xr:uid="{00000000-0005-0000-0000-000034000000}"/>
    <cellStyle name="Calculation 2 22 2" xfId="176" xr:uid="{00000000-0005-0000-0000-000035000000}"/>
    <cellStyle name="Calculation 2 23" xfId="136" xr:uid="{00000000-0005-0000-0000-000036000000}"/>
    <cellStyle name="Calculation 2 23 2" xfId="264" xr:uid="{00000000-0005-0000-0000-000037000000}"/>
    <cellStyle name="Calculation 2 24" xfId="46" xr:uid="{00000000-0005-0000-0000-000038000000}"/>
    <cellStyle name="Calculation 2 24 2" xfId="174" xr:uid="{00000000-0005-0000-0000-000039000000}"/>
    <cellStyle name="Calculation 2 25" xfId="132" xr:uid="{00000000-0005-0000-0000-00003A000000}"/>
    <cellStyle name="Calculation 2 25 2" xfId="260" xr:uid="{00000000-0005-0000-0000-00003B000000}"/>
    <cellStyle name="Calculation 2 26" xfId="45" xr:uid="{00000000-0005-0000-0000-00003C000000}"/>
    <cellStyle name="Calculation 2 26 2" xfId="173" xr:uid="{00000000-0005-0000-0000-00003D000000}"/>
    <cellStyle name="Calculation 2 27" xfId="167" xr:uid="{00000000-0005-0000-0000-00003E000000}"/>
    <cellStyle name="Calculation 2 3" xfId="57" xr:uid="{00000000-0005-0000-0000-00003F000000}"/>
    <cellStyle name="Calculation 2 3 2" xfId="185" xr:uid="{00000000-0005-0000-0000-000040000000}"/>
    <cellStyle name="Calculation 2 4" xfId="51" xr:uid="{00000000-0005-0000-0000-000041000000}"/>
    <cellStyle name="Calculation 2 4 2" xfId="179" xr:uid="{00000000-0005-0000-0000-000042000000}"/>
    <cellStyle name="Calculation 2 5" xfId="66" xr:uid="{00000000-0005-0000-0000-000043000000}"/>
    <cellStyle name="Calculation 2 5 2" xfId="194" xr:uid="{00000000-0005-0000-0000-000044000000}"/>
    <cellStyle name="Calculation 2 6" xfId="72" xr:uid="{00000000-0005-0000-0000-000045000000}"/>
    <cellStyle name="Calculation 2 6 2" xfId="200" xr:uid="{00000000-0005-0000-0000-000046000000}"/>
    <cellStyle name="Calculation 2 7" xfId="47" xr:uid="{00000000-0005-0000-0000-000047000000}"/>
    <cellStyle name="Calculation 2 7 2" xfId="175" xr:uid="{00000000-0005-0000-0000-000048000000}"/>
    <cellStyle name="Calculation 2 8" xfId="73" xr:uid="{00000000-0005-0000-0000-000049000000}"/>
    <cellStyle name="Calculation 2 8 2" xfId="201" xr:uid="{00000000-0005-0000-0000-00004A000000}"/>
    <cellStyle name="Calculation 2 9" xfId="83" xr:uid="{00000000-0005-0000-0000-00004B000000}"/>
    <cellStyle name="Calculation 2 9 2" xfId="211" xr:uid="{00000000-0005-0000-0000-00004C000000}"/>
    <cellStyle name="Check Cell 2" xfId="29" xr:uid="{00000000-0005-0000-0000-00004D000000}"/>
    <cellStyle name="Explanatory Text 2" xfId="30" xr:uid="{00000000-0005-0000-0000-00004E000000}"/>
    <cellStyle name="Good 2" xfId="31" xr:uid="{00000000-0005-0000-0000-00004F000000}"/>
    <cellStyle name="Heading 1 2" xfId="32" xr:uid="{00000000-0005-0000-0000-000050000000}"/>
    <cellStyle name="Heading 2 2" xfId="33" xr:uid="{00000000-0005-0000-0000-000051000000}"/>
    <cellStyle name="Heading 3 2" xfId="34" xr:uid="{00000000-0005-0000-0000-000052000000}"/>
    <cellStyle name="Heading 4 2" xfId="35" xr:uid="{00000000-0005-0000-0000-000053000000}"/>
    <cellStyle name="Hyperlink" xfId="1" builtinId="8"/>
    <cellStyle name="Input 2" xfId="36" xr:uid="{00000000-0005-0000-0000-000055000000}"/>
    <cellStyle name="Input 2 10" xfId="89" xr:uid="{00000000-0005-0000-0000-000056000000}"/>
    <cellStyle name="Input 2 10 2" xfId="217" xr:uid="{00000000-0005-0000-0000-000057000000}"/>
    <cellStyle name="Input 2 11" xfId="99" xr:uid="{00000000-0005-0000-0000-000058000000}"/>
    <cellStyle name="Input 2 11 2" xfId="227" xr:uid="{00000000-0005-0000-0000-000059000000}"/>
    <cellStyle name="Input 2 12" xfId="104" xr:uid="{00000000-0005-0000-0000-00005A000000}"/>
    <cellStyle name="Input 2 12 2" xfId="232" xr:uid="{00000000-0005-0000-0000-00005B000000}"/>
    <cellStyle name="Input 2 13" xfId="108" xr:uid="{00000000-0005-0000-0000-00005C000000}"/>
    <cellStyle name="Input 2 13 2" xfId="236" xr:uid="{00000000-0005-0000-0000-00005D000000}"/>
    <cellStyle name="Input 2 14" xfId="112" xr:uid="{00000000-0005-0000-0000-00005E000000}"/>
    <cellStyle name="Input 2 14 2" xfId="240" xr:uid="{00000000-0005-0000-0000-00005F000000}"/>
    <cellStyle name="Input 2 15" xfId="118" xr:uid="{00000000-0005-0000-0000-000060000000}"/>
    <cellStyle name="Input 2 15 2" xfId="246" xr:uid="{00000000-0005-0000-0000-000061000000}"/>
    <cellStyle name="Input 2 16" xfId="100" xr:uid="{00000000-0005-0000-0000-000062000000}"/>
    <cellStyle name="Input 2 16 2" xfId="228" xr:uid="{00000000-0005-0000-0000-000063000000}"/>
    <cellStyle name="Input 2 17" xfId="119" xr:uid="{00000000-0005-0000-0000-000064000000}"/>
    <cellStyle name="Input 2 17 2" xfId="247" xr:uid="{00000000-0005-0000-0000-000065000000}"/>
    <cellStyle name="Input 2 18" xfId="131" xr:uid="{00000000-0005-0000-0000-000066000000}"/>
    <cellStyle name="Input 2 18 2" xfId="259" xr:uid="{00000000-0005-0000-0000-000067000000}"/>
    <cellStyle name="Input 2 19" xfId="117" xr:uid="{00000000-0005-0000-0000-000068000000}"/>
    <cellStyle name="Input 2 19 2" xfId="245" xr:uid="{00000000-0005-0000-0000-000069000000}"/>
    <cellStyle name="Input 2 2" xfId="53" xr:uid="{00000000-0005-0000-0000-00006A000000}"/>
    <cellStyle name="Input 2 2 2" xfId="181" xr:uid="{00000000-0005-0000-0000-00006B000000}"/>
    <cellStyle name="Input 2 20" xfId="116" xr:uid="{00000000-0005-0000-0000-00006C000000}"/>
    <cellStyle name="Input 2 20 2" xfId="244" xr:uid="{00000000-0005-0000-0000-00006D000000}"/>
    <cellStyle name="Input 2 21" xfId="143" xr:uid="{00000000-0005-0000-0000-00006E000000}"/>
    <cellStyle name="Input 2 21 2" xfId="271" xr:uid="{00000000-0005-0000-0000-00006F000000}"/>
    <cellStyle name="Input 2 22" xfId="94" xr:uid="{00000000-0005-0000-0000-000070000000}"/>
    <cellStyle name="Input 2 22 2" xfId="222" xr:uid="{00000000-0005-0000-0000-000071000000}"/>
    <cellStyle name="Input 2 23" xfId="151" xr:uid="{00000000-0005-0000-0000-000072000000}"/>
    <cellStyle name="Input 2 23 2" xfId="279" xr:uid="{00000000-0005-0000-0000-000073000000}"/>
    <cellStyle name="Input 2 24" xfId="155" xr:uid="{00000000-0005-0000-0000-000074000000}"/>
    <cellStyle name="Input 2 24 2" xfId="283" xr:uid="{00000000-0005-0000-0000-000075000000}"/>
    <cellStyle name="Input 2 25" xfId="150" xr:uid="{00000000-0005-0000-0000-000076000000}"/>
    <cellStyle name="Input 2 25 2" xfId="278" xr:uid="{00000000-0005-0000-0000-000077000000}"/>
    <cellStyle name="Input 2 26" xfId="156" xr:uid="{00000000-0005-0000-0000-000078000000}"/>
    <cellStyle name="Input 2 26 2" xfId="284" xr:uid="{00000000-0005-0000-0000-000079000000}"/>
    <cellStyle name="Input 2 27" xfId="168" xr:uid="{00000000-0005-0000-0000-00007A000000}"/>
    <cellStyle name="Input 2 3" xfId="58" xr:uid="{00000000-0005-0000-0000-00007B000000}"/>
    <cellStyle name="Input 2 3 2" xfId="186" xr:uid="{00000000-0005-0000-0000-00007C000000}"/>
    <cellStyle name="Input 2 4" xfId="62" xr:uid="{00000000-0005-0000-0000-00007D000000}"/>
    <cellStyle name="Input 2 4 2" xfId="190" xr:uid="{00000000-0005-0000-0000-00007E000000}"/>
    <cellStyle name="Input 2 5" xfId="67" xr:uid="{00000000-0005-0000-0000-00007F000000}"/>
    <cellStyle name="Input 2 5 2" xfId="195" xr:uid="{00000000-0005-0000-0000-000080000000}"/>
    <cellStyle name="Input 2 6" xfId="74" xr:uid="{00000000-0005-0000-0000-000081000000}"/>
    <cellStyle name="Input 2 6 2" xfId="202" xr:uid="{00000000-0005-0000-0000-000082000000}"/>
    <cellStyle name="Input 2 7" xfId="75" xr:uid="{00000000-0005-0000-0000-000083000000}"/>
    <cellStyle name="Input 2 7 2" xfId="203" xr:uid="{00000000-0005-0000-0000-000084000000}"/>
    <cellStyle name="Input 2 8" xfId="79" xr:uid="{00000000-0005-0000-0000-000085000000}"/>
    <cellStyle name="Input 2 8 2" xfId="207" xr:uid="{00000000-0005-0000-0000-000086000000}"/>
    <cellStyle name="Input 2 9" xfId="84" xr:uid="{00000000-0005-0000-0000-000087000000}"/>
    <cellStyle name="Input 2 9 2" xfId="212" xr:uid="{00000000-0005-0000-0000-000088000000}"/>
    <cellStyle name="Linked Cell 2" xfId="37" xr:uid="{00000000-0005-0000-0000-000089000000}"/>
    <cellStyle name="Neutral 2" xfId="38" xr:uid="{00000000-0005-0000-0000-00008A000000}"/>
    <cellStyle name="Normal" xfId="0" builtinId="0"/>
    <cellStyle name="Normal 2" xfId="2" xr:uid="{00000000-0005-0000-0000-00008C000000}"/>
    <cellStyle name="Normal 2 2" xfId="165" xr:uid="{00000000-0005-0000-0000-00008D000000}"/>
    <cellStyle name="Normal 2 3" xfId="164" xr:uid="{00000000-0005-0000-0000-00008E000000}"/>
    <cellStyle name="Normal 3" xfId="163" xr:uid="{00000000-0005-0000-0000-00008F000000}"/>
    <cellStyle name="Normal 3 2" xfId="166" xr:uid="{00000000-0005-0000-0000-000090000000}"/>
    <cellStyle name="Note 2" xfId="39" xr:uid="{00000000-0005-0000-0000-000091000000}"/>
    <cellStyle name="Note 2 10" xfId="101" xr:uid="{00000000-0005-0000-0000-000092000000}"/>
    <cellStyle name="Note 2 10 2" xfId="229" xr:uid="{00000000-0005-0000-0000-000093000000}"/>
    <cellStyle name="Note 2 11" xfId="105" xr:uid="{00000000-0005-0000-0000-000094000000}"/>
    <cellStyle name="Note 2 11 2" xfId="233" xr:uid="{00000000-0005-0000-0000-000095000000}"/>
    <cellStyle name="Note 2 12" xfId="109" xr:uid="{00000000-0005-0000-0000-000096000000}"/>
    <cellStyle name="Note 2 12 2" xfId="237" xr:uid="{00000000-0005-0000-0000-000097000000}"/>
    <cellStyle name="Note 2 13" xfId="113" xr:uid="{00000000-0005-0000-0000-000098000000}"/>
    <cellStyle name="Note 2 13 2" xfId="241" xr:uid="{00000000-0005-0000-0000-000099000000}"/>
    <cellStyle name="Note 2 14" xfId="120" xr:uid="{00000000-0005-0000-0000-00009A000000}"/>
    <cellStyle name="Note 2 14 2" xfId="248" xr:uid="{00000000-0005-0000-0000-00009B000000}"/>
    <cellStyle name="Note 2 15" xfId="124" xr:uid="{00000000-0005-0000-0000-00009C000000}"/>
    <cellStyle name="Note 2 15 2" xfId="252" xr:uid="{00000000-0005-0000-0000-00009D000000}"/>
    <cellStyle name="Note 2 16" xfId="127" xr:uid="{00000000-0005-0000-0000-00009E000000}"/>
    <cellStyle name="Note 2 16 2" xfId="255" xr:uid="{00000000-0005-0000-0000-00009F000000}"/>
    <cellStyle name="Note 2 17" xfId="133" xr:uid="{00000000-0005-0000-0000-0000A0000000}"/>
    <cellStyle name="Note 2 17 2" xfId="261" xr:uid="{00000000-0005-0000-0000-0000A1000000}"/>
    <cellStyle name="Note 2 18" xfId="137" xr:uid="{00000000-0005-0000-0000-0000A2000000}"/>
    <cellStyle name="Note 2 18 2" xfId="265" xr:uid="{00000000-0005-0000-0000-0000A3000000}"/>
    <cellStyle name="Note 2 19" xfId="140" xr:uid="{00000000-0005-0000-0000-0000A4000000}"/>
    <cellStyle name="Note 2 19 2" xfId="268" xr:uid="{00000000-0005-0000-0000-0000A5000000}"/>
    <cellStyle name="Note 2 2" xfId="54" xr:uid="{00000000-0005-0000-0000-0000A6000000}"/>
    <cellStyle name="Note 2 2 2" xfId="182" xr:uid="{00000000-0005-0000-0000-0000A7000000}"/>
    <cellStyle name="Note 2 20" xfId="144" xr:uid="{00000000-0005-0000-0000-0000A8000000}"/>
    <cellStyle name="Note 2 20 2" xfId="272" xr:uid="{00000000-0005-0000-0000-0000A9000000}"/>
    <cellStyle name="Note 2 21" xfId="147" xr:uid="{00000000-0005-0000-0000-0000AA000000}"/>
    <cellStyle name="Note 2 21 2" xfId="275" xr:uid="{00000000-0005-0000-0000-0000AB000000}"/>
    <cellStyle name="Note 2 22" xfId="152" xr:uid="{00000000-0005-0000-0000-0000AC000000}"/>
    <cellStyle name="Note 2 22 2" xfId="280" xr:uid="{00000000-0005-0000-0000-0000AD000000}"/>
    <cellStyle name="Note 2 23" xfId="157" xr:uid="{00000000-0005-0000-0000-0000AE000000}"/>
    <cellStyle name="Note 2 23 2" xfId="285" xr:uid="{00000000-0005-0000-0000-0000AF000000}"/>
    <cellStyle name="Note 2 24" xfId="160" xr:uid="{00000000-0005-0000-0000-0000B0000000}"/>
    <cellStyle name="Note 2 24 2" xfId="288" xr:uid="{00000000-0005-0000-0000-0000B1000000}"/>
    <cellStyle name="Note 2 25" xfId="169" xr:uid="{00000000-0005-0000-0000-0000B2000000}"/>
    <cellStyle name="Note 2 3" xfId="59" xr:uid="{00000000-0005-0000-0000-0000B3000000}"/>
    <cellStyle name="Note 2 3 2" xfId="187" xr:uid="{00000000-0005-0000-0000-0000B4000000}"/>
    <cellStyle name="Note 2 4" xfId="63" xr:uid="{00000000-0005-0000-0000-0000B5000000}"/>
    <cellStyle name="Note 2 4 2" xfId="191" xr:uid="{00000000-0005-0000-0000-0000B6000000}"/>
    <cellStyle name="Note 2 5" xfId="68" xr:uid="{00000000-0005-0000-0000-0000B7000000}"/>
    <cellStyle name="Note 2 5 2" xfId="196" xr:uid="{00000000-0005-0000-0000-0000B8000000}"/>
    <cellStyle name="Note 2 6" xfId="76" xr:uid="{00000000-0005-0000-0000-0000B9000000}"/>
    <cellStyle name="Note 2 6 2" xfId="204" xr:uid="{00000000-0005-0000-0000-0000BA000000}"/>
    <cellStyle name="Note 2 7" xfId="80" xr:uid="{00000000-0005-0000-0000-0000BB000000}"/>
    <cellStyle name="Note 2 7 2" xfId="208" xr:uid="{00000000-0005-0000-0000-0000BC000000}"/>
    <cellStyle name="Note 2 8" xfId="85" xr:uid="{00000000-0005-0000-0000-0000BD000000}"/>
    <cellStyle name="Note 2 8 2" xfId="213" xr:uid="{00000000-0005-0000-0000-0000BE000000}"/>
    <cellStyle name="Note 2 9" xfId="90" xr:uid="{00000000-0005-0000-0000-0000BF000000}"/>
    <cellStyle name="Note 2 9 2" xfId="218" xr:uid="{00000000-0005-0000-0000-0000C0000000}"/>
    <cellStyle name="Output 2" xfId="40" xr:uid="{00000000-0005-0000-0000-0000C1000000}"/>
    <cellStyle name="Output 2 10" xfId="102" xr:uid="{00000000-0005-0000-0000-0000C2000000}"/>
    <cellStyle name="Output 2 10 2" xfId="230" xr:uid="{00000000-0005-0000-0000-0000C3000000}"/>
    <cellStyle name="Output 2 10 3" xfId="299" xr:uid="{00000000-0005-0000-0000-0000C4000000}"/>
    <cellStyle name="Output 2 11" xfId="106" xr:uid="{00000000-0005-0000-0000-0000C5000000}"/>
    <cellStyle name="Output 2 11 2" xfId="234" xr:uid="{00000000-0005-0000-0000-0000C6000000}"/>
    <cellStyle name="Output 2 11 3" xfId="300" xr:uid="{00000000-0005-0000-0000-0000C7000000}"/>
    <cellStyle name="Output 2 12" xfId="110" xr:uid="{00000000-0005-0000-0000-0000C8000000}"/>
    <cellStyle name="Output 2 12 2" xfId="238" xr:uid="{00000000-0005-0000-0000-0000C9000000}"/>
    <cellStyle name="Output 2 12 3" xfId="301" xr:uid="{00000000-0005-0000-0000-0000CA000000}"/>
    <cellStyle name="Output 2 13" xfId="114" xr:uid="{00000000-0005-0000-0000-0000CB000000}"/>
    <cellStyle name="Output 2 13 2" xfId="242" xr:uid="{00000000-0005-0000-0000-0000CC000000}"/>
    <cellStyle name="Output 2 13 3" xfId="302" xr:uid="{00000000-0005-0000-0000-0000CD000000}"/>
    <cellStyle name="Output 2 14" xfId="121" xr:uid="{00000000-0005-0000-0000-0000CE000000}"/>
    <cellStyle name="Output 2 14 2" xfId="249" xr:uid="{00000000-0005-0000-0000-0000CF000000}"/>
    <cellStyle name="Output 2 14 3" xfId="303" xr:uid="{00000000-0005-0000-0000-0000D0000000}"/>
    <cellStyle name="Output 2 15" xfId="125" xr:uid="{00000000-0005-0000-0000-0000D1000000}"/>
    <cellStyle name="Output 2 15 2" xfId="253" xr:uid="{00000000-0005-0000-0000-0000D2000000}"/>
    <cellStyle name="Output 2 15 3" xfId="304" xr:uid="{00000000-0005-0000-0000-0000D3000000}"/>
    <cellStyle name="Output 2 16" xfId="128" xr:uid="{00000000-0005-0000-0000-0000D4000000}"/>
    <cellStyle name="Output 2 16 2" xfId="256" xr:uid="{00000000-0005-0000-0000-0000D5000000}"/>
    <cellStyle name="Output 2 16 3" xfId="305" xr:uid="{00000000-0005-0000-0000-0000D6000000}"/>
    <cellStyle name="Output 2 17" xfId="134" xr:uid="{00000000-0005-0000-0000-0000D7000000}"/>
    <cellStyle name="Output 2 17 2" xfId="262" xr:uid="{00000000-0005-0000-0000-0000D8000000}"/>
    <cellStyle name="Output 2 17 3" xfId="306" xr:uid="{00000000-0005-0000-0000-0000D9000000}"/>
    <cellStyle name="Output 2 18" xfId="138" xr:uid="{00000000-0005-0000-0000-0000DA000000}"/>
    <cellStyle name="Output 2 18 2" xfId="266" xr:uid="{00000000-0005-0000-0000-0000DB000000}"/>
    <cellStyle name="Output 2 18 3" xfId="307" xr:uid="{00000000-0005-0000-0000-0000DC000000}"/>
    <cellStyle name="Output 2 19" xfId="141" xr:uid="{00000000-0005-0000-0000-0000DD000000}"/>
    <cellStyle name="Output 2 19 2" xfId="269" xr:uid="{00000000-0005-0000-0000-0000DE000000}"/>
    <cellStyle name="Output 2 19 3" xfId="308" xr:uid="{00000000-0005-0000-0000-0000DF000000}"/>
    <cellStyle name="Output 2 2" xfId="55" xr:uid="{00000000-0005-0000-0000-0000E0000000}"/>
    <cellStyle name="Output 2 2 2" xfId="183" xr:uid="{00000000-0005-0000-0000-0000E1000000}"/>
    <cellStyle name="Output 2 2 3" xfId="291" xr:uid="{00000000-0005-0000-0000-0000E2000000}"/>
    <cellStyle name="Output 2 20" xfId="145" xr:uid="{00000000-0005-0000-0000-0000E3000000}"/>
    <cellStyle name="Output 2 20 2" xfId="273" xr:uid="{00000000-0005-0000-0000-0000E4000000}"/>
    <cellStyle name="Output 2 20 3" xfId="309" xr:uid="{00000000-0005-0000-0000-0000E5000000}"/>
    <cellStyle name="Output 2 21" xfId="148" xr:uid="{00000000-0005-0000-0000-0000E6000000}"/>
    <cellStyle name="Output 2 21 2" xfId="276" xr:uid="{00000000-0005-0000-0000-0000E7000000}"/>
    <cellStyle name="Output 2 21 3" xfId="310" xr:uid="{00000000-0005-0000-0000-0000E8000000}"/>
    <cellStyle name="Output 2 22" xfId="153" xr:uid="{00000000-0005-0000-0000-0000E9000000}"/>
    <cellStyle name="Output 2 22 2" xfId="281" xr:uid="{00000000-0005-0000-0000-0000EA000000}"/>
    <cellStyle name="Output 2 22 3" xfId="311" xr:uid="{00000000-0005-0000-0000-0000EB000000}"/>
    <cellStyle name="Output 2 23" xfId="158" xr:uid="{00000000-0005-0000-0000-0000EC000000}"/>
    <cellStyle name="Output 2 23 2" xfId="286" xr:uid="{00000000-0005-0000-0000-0000ED000000}"/>
    <cellStyle name="Output 2 23 3" xfId="312" xr:uid="{00000000-0005-0000-0000-0000EE000000}"/>
    <cellStyle name="Output 2 24" xfId="161" xr:uid="{00000000-0005-0000-0000-0000EF000000}"/>
    <cellStyle name="Output 2 24 2" xfId="289" xr:uid="{00000000-0005-0000-0000-0000F0000000}"/>
    <cellStyle name="Output 2 24 3" xfId="313" xr:uid="{00000000-0005-0000-0000-0000F1000000}"/>
    <cellStyle name="Output 2 25" xfId="170" xr:uid="{00000000-0005-0000-0000-0000F2000000}"/>
    <cellStyle name="Output 2 3" xfId="60" xr:uid="{00000000-0005-0000-0000-0000F3000000}"/>
    <cellStyle name="Output 2 3 2" xfId="188" xr:uid="{00000000-0005-0000-0000-0000F4000000}"/>
    <cellStyle name="Output 2 3 3" xfId="292" xr:uid="{00000000-0005-0000-0000-0000F5000000}"/>
    <cellStyle name="Output 2 4" xfId="64" xr:uid="{00000000-0005-0000-0000-0000F6000000}"/>
    <cellStyle name="Output 2 4 2" xfId="192" xr:uid="{00000000-0005-0000-0000-0000F7000000}"/>
    <cellStyle name="Output 2 4 3" xfId="293" xr:uid="{00000000-0005-0000-0000-0000F8000000}"/>
    <cellStyle name="Output 2 5" xfId="69" xr:uid="{00000000-0005-0000-0000-0000F9000000}"/>
    <cellStyle name="Output 2 5 2" xfId="197" xr:uid="{00000000-0005-0000-0000-0000FA000000}"/>
    <cellStyle name="Output 2 5 3" xfId="294" xr:uid="{00000000-0005-0000-0000-0000FB000000}"/>
    <cellStyle name="Output 2 6" xfId="77" xr:uid="{00000000-0005-0000-0000-0000FC000000}"/>
    <cellStyle name="Output 2 6 2" xfId="205" xr:uid="{00000000-0005-0000-0000-0000FD000000}"/>
    <cellStyle name="Output 2 6 3" xfId="295" xr:uid="{00000000-0005-0000-0000-0000FE000000}"/>
    <cellStyle name="Output 2 7" xfId="81" xr:uid="{00000000-0005-0000-0000-0000FF000000}"/>
    <cellStyle name="Output 2 7 2" xfId="209" xr:uid="{00000000-0005-0000-0000-000000010000}"/>
    <cellStyle name="Output 2 7 3" xfId="296" xr:uid="{00000000-0005-0000-0000-000001010000}"/>
    <cellStyle name="Output 2 8" xfId="86" xr:uid="{00000000-0005-0000-0000-000002010000}"/>
    <cellStyle name="Output 2 8 2" xfId="214" xr:uid="{00000000-0005-0000-0000-000003010000}"/>
    <cellStyle name="Output 2 8 3" xfId="297" xr:uid="{00000000-0005-0000-0000-000004010000}"/>
    <cellStyle name="Output 2 9" xfId="91" xr:uid="{00000000-0005-0000-0000-000005010000}"/>
    <cellStyle name="Output 2 9 2" xfId="219" xr:uid="{00000000-0005-0000-0000-000006010000}"/>
    <cellStyle name="Output 2 9 3" xfId="298" xr:uid="{00000000-0005-0000-0000-000007010000}"/>
    <cellStyle name="Title 2" xfId="41" xr:uid="{00000000-0005-0000-0000-000008010000}"/>
    <cellStyle name="Total 2" xfId="42" xr:uid="{00000000-0005-0000-0000-000009010000}"/>
    <cellStyle name="Total 2 10" xfId="103" xr:uid="{00000000-0005-0000-0000-00000A010000}"/>
    <cellStyle name="Total 2 10 2" xfId="231" xr:uid="{00000000-0005-0000-0000-00000B010000}"/>
    <cellStyle name="Total 2 11" xfId="107" xr:uid="{00000000-0005-0000-0000-00000C010000}"/>
    <cellStyle name="Total 2 11 2" xfId="235" xr:uid="{00000000-0005-0000-0000-00000D010000}"/>
    <cellStyle name="Total 2 12" xfId="111" xr:uid="{00000000-0005-0000-0000-00000E010000}"/>
    <cellStyle name="Total 2 12 2" xfId="239" xr:uid="{00000000-0005-0000-0000-00000F010000}"/>
    <cellStyle name="Total 2 13" xfId="115" xr:uid="{00000000-0005-0000-0000-000010010000}"/>
    <cellStyle name="Total 2 13 2" xfId="243" xr:uid="{00000000-0005-0000-0000-000011010000}"/>
    <cellStyle name="Total 2 14" xfId="123" xr:uid="{00000000-0005-0000-0000-000012010000}"/>
    <cellStyle name="Total 2 14 2" xfId="251" xr:uid="{00000000-0005-0000-0000-000013010000}"/>
    <cellStyle name="Total 2 15" xfId="126" xr:uid="{00000000-0005-0000-0000-000014010000}"/>
    <cellStyle name="Total 2 15 2" xfId="254" xr:uid="{00000000-0005-0000-0000-000015010000}"/>
    <cellStyle name="Total 2 16" xfId="129" xr:uid="{00000000-0005-0000-0000-000016010000}"/>
    <cellStyle name="Total 2 16 2" xfId="257" xr:uid="{00000000-0005-0000-0000-000017010000}"/>
    <cellStyle name="Total 2 17" xfId="135" xr:uid="{00000000-0005-0000-0000-000018010000}"/>
    <cellStyle name="Total 2 17 2" xfId="263" xr:uid="{00000000-0005-0000-0000-000019010000}"/>
    <cellStyle name="Total 2 18" xfId="139" xr:uid="{00000000-0005-0000-0000-00001A010000}"/>
    <cellStyle name="Total 2 18 2" xfId="267" xr:uid="{00000000-0005-0000-0000-00001B010000}"/>
    <cellStyle name="Total 2 19" xfId="142" xr:uid="{00000000-0005-0000-0000-00001C010000}"/>
    <cellStyle name="Total 2 19 2" xfId="270" xr:uid="{00000000-0005-0000-0000-00001D010000}"/>
    <cellStyle name="Total 2 2" xfId="56" xr:uid="{00000000-0005-0000-0000-00001E010000}"/>
    <cellStyle name="Total 2 2 2" xfId="184" xr:uid="{00000000-0005-0000-0000-00001F010000}"/>
    <cellStyle name="Total 2 20" xfId="146" xr:uid="{00000000-0005-0000-0000-000020010000}"/>
    <cellStyle name="Total 2 20 2" xfId="274" xr:uid="{00000000-0005-0000-0000-000021010000}"/>
    <cellStyle name="Total 2 21" xfId="149" xr:uid="{00000000-0005-0000-0000-000022010000}"/>
    <cellStyle name="Total 2 21 2" xfId="277" xr:uid="{00000000-0005-0000-0000-000023010000}"/>
    <cellStyle name="Total 2 22" xfId="154" xr:uid="{00000000-0005-0000-0000-000024010000}"/>
    <cellStyle name="Total 2 22 2" xfId="282" xr:uid="{00000000-0005-0000-0000-000025010000}"/>
    <cellStyle name="Total 2 23" xfId="159" xr:uid="{00000000-0005-0000-0000-000026010000}"/>
    <cellStyle name="Total 2 23 2" xfId="287" xr:uid="{00000000-0005-0000-0000-000027010000}"/>
    <cellStyle name="Total 2 24" xfId="162" xr:uid="{00000000-0005-0000-0000-000028010000}"/>
    <cellStyle name="Total 2 24 2" xfId="290" xr:uid="{00000000-0005-0000-0000-000029010000}"/>
    <cellStyle name="Total 2 25" xfId="171" xr:uid="{00000000-0005-0000-0000-00002A010000}"/>
    <cellStyle name="Total 2 3" xfId="61" xr:uid="{00000000-0005-0000-0000-00002B010000}"/>
    <cellStyle name="Total 2 3 2" xfId="189" xr:uid="{00000000-0005-0000-0000-00002C010000}"/>
    <cellStyle name="Total 2 4" xfId="65" xr:uid="{00000000-0005-0000-0000-00002D010000}"/>
    <cellStyle name="Total 2 4 2" xfId="193" xr:uid="{00000000-0005-0000-0000-00002E010000}"/>
    <cellStyle name="Total 2 5" xfId="70" xr:uid="{00000000-0005-0000-0000-00002F010000}"/>
    <cellStyle name="Total 2 5 2" xfId="198" xr:uid="{00000000-0005-0000-0000-000030010000}"/>
    <cellStyle name="Total 2 6" xfId="78" xr:uid="{00000000-0005-0000-0000-000031010000}"/>
    <cellStyle name="Total 2 6 2" xfId="206" xr:uid="{00000000-0005-0000-0000-000032010000}"/>
    <cellStyle name="Total 2 7" xfId="82" xr:uid="{00000000-0005-0000-0000-000033010000}"/>
    <cellStyle name="Total 2 7 2" xfId="210" xr:uid="{00000000-0005-0000-0000-000034010000}"/>
    <cellStyle name="Total 2 8" xfId="87" xr:uid="{00000000-0005-0000-0000-000035010000}"/>
    <cellStyle name="Total 2 8 2" xfId="215" xr:uid="{00000000-0005-0000-0000-000036010000}"/>
    <cellStyle name="Total 2 9" xfId="92" xr:uid="{00000000-0005-0000-0000-000037010000}"/>
    <cellStyle name="Total 2 9 2" xfId="220" xr:uid="{00000000-0005-0000-0000-000038010000}"/>
    <cellStyle name="Warning Text 2" xfId="43" xr:uid="{00000000-0005-0000-0000-000039010000}"/>
  </cellStyles>
  <dxfs count="86">
    <dxf>
      <fill>
        <patternFill>
          <bgColor indexed="45"/>
        </patternFill>
      </fill>
    </dxf>
    <dxf>
      <fill>
        <patternFill>
          <bgColor indexed="45"/>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ont>
        <condense val="0"/>
        <extend val="0"/>
        <color rgb="FF9C0006"/>
      </font>
      <fill>
        <patternFill>
          <bgColor rgb="FFFFC7CE"/>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99CC"/>
        </patternFill>
      </fill>
    </dxf>
    <dxf>
      <fill>
        <patternFill>
          <bgColor rgb="FFFF99CC"/>
        </patternFill>
      </fill>
    </dxf>
    <dxf>
      <font>
        <condense val="0"/>
        <extend val="0"/>
        <color rgb="FF9C0006"/>
      </font>
      <fill>
        <patternFill>
          <bgColor rgb="FFFFC7CE"/>
        </patternFill>
      </fill>
    </dxf>
  </dxfs>
  <tableStyles count="0" defaultTableStyle="TableStyleMedium9" defaultPivotStyle="PivotStyleLight16"/>
  <colors>
    <mruColors>
      <color rgb="FFCCFFCC"/>
      <color rgb="FFFF0000"/>
      <color rgb="FFFF99CC"/>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3" Type="http://schemas.openxmlformats.org/officeDocument/2006/relationships/usernames" Target="revisions/userNam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revisionHeaders" Target="revisions/revisionHeader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76833" name="Check Box 1" hidden="1">
              <a:extLst>
                <a:ext uri="{63B3BB69-23CF-44E3-9099-C40C66FF867C}">
                  <a14:compatExt spid="_x0000_s376833"/>
                </a:ext>
                <a:ext uri="{FF2B5EF4-FFF2-40B4-BE49-F238E27FC236}">
                  <a16:creationId xmlns:a16="http://schemas.microsoft.com/office/drawing/2014/main" id="{00000000-0008-0000-0A00-000001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76834" name="Check Box 2" hidden="1">
              <a:extLst>
                <a:ext uri="{63B3BB69-23CF-44E3-9099-C40C66FF867C}">
                  <a14:compatExt spid="_x0000_s376834"/>
                </a:ext>
                <a:ext uri="{FF2B5EF4-FFF2-40B4-BE49-F238E27FC236}">
                  <a16:creationId xmlns:a16="http://schemas.microsoft.com/office/drawing/2014/main" id="{00000000-0008-0000-0A00-000002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76835" name="Check Box 3" hidden="1">
              <a:extLst>
                <a:ext uri="{63B3BB69-23CF-44E3-9099-C40C66FF867C}">
                  <a14:compatExt spid="_x0000_s376835"/>
                </a:ext>
                <a:ext uri="{FF2B5EF4-FFF2-40B4-BE49-F238E27FC236}">
                  <a16:creationId xmlns:a16="http://schemas.microsoft.com/office/drawing/2014/main" id="{00000000-0008-0000-0A00-000003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76836" name="Check Box 4" hidden="1">
              <a:extLst>
                <a:ext uri="{63B3BB69-23CF-44E3-9099-C40C66FF867C}">
                  <a14:compatExt spid="_x0000_s376836"/>
                </a:ext>
                <a:ext uri="{FF2B5EF4-FFF2-40B4-BE49-F238E27FC236}">
                  <a16:creationId xmlns:a16="http://schemas.microsoft.com/office/drawing/2014/main" id="{00000000-0008-0000-0A00-000004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76837" name="Check Box 5" hidden="1">
              <a:extLst>
                <a:ext uri="{63B3BB69-23CF-44E3-9099-C40C66FF867C}">
                  <a14:compatExt spid="_x0000_s376837"/>
                </a:ext>
                <a:ext uri="{FF2B5EF4-FFF2-40B4-BE49-F238E27FC236}">
                  <a16:creationId xmlns:a16="http://schemas.microsoft.com/office/drawing/2014/main" id="{00000000-0008-0000-0A00-000005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76838" name="Check Box 6" hidden="1">
              <a:extLst>
                <a:ext uri="{63B3BB69-23CF-44E3-9099-C40C66FF867C}">
                  <a14:compatExt spid="_x0000_s376838"/>
                </a:ext>
                <a:ext uri="{FF2B5EF4-FFF2-40B4-BE49-F238E27FC236}">
                  <a16:creationId xmlns:a16="http://schemas.microsoft.com/office/drawing/2014/main" id="{00000000-0008-0000-0A00-000006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76839" name="Check Box 7" hidden="1">
              <a:extLst>
                <a:ext uri="{63B3BB69-23CF-44E3-9099-C40C66FF867C}">
                  <a14:compatExt spid="_x0000_s376839"/>
                </a:ext>
                <a:ext uri="{FF2B5EF4-FFF2-40B4-BE49-F238E27FC236}">
                  <a16:creationId xmlns:a16="http://schemas.microsoft.com/office/drawing/2014/main" id="{00000000-0008-0000-0A00-000007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76840" name="Check Box 8" hidden="1">
              <a:extLst>
                <a:ext uri="{63B3BB69-23CF-44E3-9099-C40C66FF867C}">
                  <a14:compatExt spid="_x0000_s376840"/>
                </a:ext>
                <a:ext uri="{FF2B5EF4-FFF2-40B4-BE49-F238E27FC236}">
                  <a16:creationId xmlns:a16="http://schemas.microsoft.com/office/drawing/2014/main" id="{00000000-0008-0000-0A00-000008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76841" name="Check Box 9" hidden="1">
              <a:extLst>
                <a:ext uri="{63B3BB69-23CF-44E3-9099-C40C66FF867C}">
                  <a14:compatExt spid="_x0000_s376841"/>
                </a:ext>
                <a:ext uri="{FF2B5EF4-FFF2-40B4-BE49-F238E27FC236}">
                  <a16:creationId xmlns:a16="http://schemas.microsoft.com/office/drawing/2014/main" id="{00000000-0008-0000-0A00-000009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76842" name="Check Box 10" hidden="1">
              <a:extLst>
                <a:ext uri="{63B3BB69-23CF-44E3-9099-C40C66FF867C}">
                  <a14:compatExt spid="_x0000_s376842"/>
                </a:ext>
                <a:ext uri="{FF2B5EF4-FFF2-40B4-BE49-F238E27FC236}">
                  <a16:creationId xmlns:a16="http://schemas.microsoft.com/office/drawing/2014/main" id="{00000000-0008-0000-0A00-00000A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76843" name="Check Box 11" hidden="1">
              <a:extLst>
                <a:ext uri="{63B3BB69-23CF-44E3-9099-C40C66FF867C}">
                  <a14:compatExt spid="_x0000_s376843"/>
                </a:ext>
                <a:ext uri="{FF2B5EF4-FFF2-40B4-BE49-F238E27FC236}">
                  <a16:creationId xmlns:a16="http://schemas.microsoft.com/office/drawing/2014/main" id="{00000000-0008-0000-0A00-00000B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76844" name="Check Box 12" hidden="1">
              <a:extLst>
                <a:ext uri="{63B3BB69-23CF-44E3-9099-C40C66FF867C}">
                  <a14:compatExt spid="_x0000_s376844"/>
                </a:ext>
                <a:ext uri="{FF2B5EF4-FFF2-40B4-BE49-F238E27FC236}">
                  <a16:creationId xmlns:a16="http://schemas.microsoft.com/office/drawing/2014/main" id="{00000000-0008-0000-0A00-00000C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76845" name="Check Box 13" hidden="1">
              <a:extLst>
                <a:ext uri="{63B3BB69-23CF-44E3-9099-C40C66FF867C}">
                  <a14:compatExt spid="_x0000_s376845"/>
                </a:ext>
                <a:ext uri="{FF2B5EF4-FFF2-40B4-BE49-F238E27FC236}">
                  <a16:creationId xmlns:a16="http://schemas.microsoft.com/office/drawing/2014/main" id="{00000000-0008-0000-0A00-00000DC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75809" name="Check Box 1" hidden="1">
              <a:extLst>
                <a:ext uri="{63B3BB69-23CF-44E3-9099-C40C66FF867C}">
                  <a14:compatExt spid="_x0000_s375809"/>
                </a:ext>
                <a:ext uri="{FF2B5EF4-FFF2-40B4-BE49-F238E27FC236}">
                  <a16:creationId xmlns:a16="http://schemas.microsoft.com/office/drawing/2014/main" id="{00000000-0008-0000-0B00-000001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75810" name="Check Box 2" hidden="1">
              <a:extLst>
                <a:ext uri="{63B3BB69-23CF-44E3-9099-C40C66FF867C}">
                  <a14:compatExt spid="_x0000_s375810"/>
                </a:ext>
                <a:ext uri="{FF2B5EF4-FFF2-40B4-BE49-F238E27FC236}">
                  <a16:creationId xmlns:a16="http://schemas.microsoft.com/office/drawing/2014/main" id="{00000000-0008-0000-0B00-000002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75811" name="Check Box 3" hidden="1">
              <a:extLst>
                <a:ext uri="{63B3BB69-23CF-44E3-9099-C40C66FF867C}">
                  <a14:compatExt spid="_x0000_s375811"/>
                </a:ext>
                <a:ext uri="{FF2B5EF4-FFF2-40B4-BE49-F238E27FC236}">
                  <a16:creationId xmlns:a16="http://schemas.microsoft.com/office/drawing/2014/main" id="{00000000-0008-0000-0B00-000003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75812" name="Check Box 4" hidden="1">
              <a:extLst>
                <a:ext uri="{63B3BB69-23CF-44E3-9099-C40C66FF867C}">
                  <a14:compatExt spid="_x0000_s375812"/>
                </a:ext>
                <a:ext uri="{FF2B5EF4-FFF2-40B4-BE49-F238E27FC236}">
                  <a16:creationId xmlns:a16="http://schemas.microsoft.com/office/drawing/2014/main" id="{00000000-0008-0000-0B00-000004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75813" name="Check Box 5" hidden="1">
              <a:extLst>
                <a:ext uri="{63B3BB69-23CF-44E3-9099-C40C66FF867C}">
                  <a14:compatExt spid="_x0000_s375813"/>
                </a:ext>
                <a:ext uri="{FF2B5EF4-FFF2-40B4-BE49-F238E27FC236}">
                  <a16:creationId xmlns:a16="http://schemas.microsoft.com/office/drawing/2014/main" id="{00000000-0008-0000-0B00-000005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75814" name="Check Box 6" hidden="1">
              <a:extLst>
                <a:ext uri="{63B3BB69-23CF-44E3-9099-C40C66FF867C}">
                  <a14:compatExt spid="_x0000_s375814"/>
                </a:ext>
                <a:ext uri="{FF2B5EF4-FFF2-40B4-BE49-F238E27FC236}">
                  <a16:creationId xmlns:a16="http://schemas.microsoft.com/office/drawing/2014/main" id="{00000000-0008-0000-0B00-000006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75815" name="Check Box 7" hidden="1">
              <a:extLst>
                <a:ext uri="{63B3BB69-23CF-44E3-9099-C40C66FF867C}">
                  <a14:compatExt spid="_x0000_s375815"/>
                </a:ext>
                <a:ext uri="{FF2B5EF4-FFF2-40B4-BE49-F238E27FC236}">
                  <a16:creationId xmlns:a16="http://schemas.microsoft.com/office/drawing/2014/main" id="{00000000-0008-0000-0B00-000007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75816" name="Check Box 8" hidden="1">
              <a:extLst>
                <a:ext uri="{63B3BB69-23CF-44E3-9099-C40C66FF867C}">
                  <a14:compatExt spid="_x0000_s375816"/>
                </a:ext>
                <a:ext uri="{FF2B5EF4-FFF2-40B4-BE49-F238E27FC236}">
                  <a16:creationId xmlns:a16="http://schemas.microsoft.com/office/drawing/2014/main" id="{00000000-0008-0000-0B00-000008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75817" name="Check Box 9" hidden="1">
              <a:extLst>
                <a:ext uri="{63B3BB69-23CF-44E3-9099-C40C66FF867C}">
                  <a14:compatExt spid="_x0000_s375817"/>
                </a:ext>
                <a:ext uri="{FF2B5EF4-FFF2-40B4-BE49-F238E27FC236}">
                  <a16:creationId xmlns:a16="http://schemas.microsoft.com/office/drawing/2014/main" id="{00000000-0008-0000-0B00-000009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75818" name="Check Box 10" hidden="1">
              <a:extLst>
                <a:ext uri="{63B3BB69-23CF-44E3-9099-C40C66FF867C}">
                  <a14:compatExt spid="_x0000_s375818"/>
                </a:ext>
                <a:ext uri="{FF2B5EF4-FFF2-40B4-BE49-F238E27FC236}">
                  <a16:creationId xmlns:a16="http://schemas.microsoft.com/office/drawing/2014/main" id="{00000000-0008-0000-0B00-00000A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75819" name="Check Box 11" hidden="1">
              <a:extLst>
                <a:ext uri="{63B3BB69-23CF-44E3-9099-C40C66FF867C}">
                  <a14:compatExt spid="_x0000_s375819"/>
                </a:ext>
                <a:ext uri="{FF2B5EF4-FFF2-40B4-BE49-F238E27FC236}">
                  <a16:creationId xmlns:a16="http://schemas.microsoft.com/office/drawing/2014/main" id="{00000000-0008-0000-0B00-00000B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75820" name="Check Box 12" hidden="1">
              <a:extLst>
                <a:ext uri="{63B3BB69-23CF-44E3-9099-C40C66FF867C}">
                  <a14:compatExt spid="_x0000_s375820"/>
                </a:ext>
                <a:ext uri="{FF2B5EF4-FFF2-40B4-BE49-F238E27FC236}">
                  <a16:creationId xmlns:a16="http://schemas.microsoft.com/office/drawing/2014/main" id="{00000000-0008-0000-0B00-00000C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75821" name="Check Box 13" hidden="1">
              <a:extLst>
                <a:ext uri="{63B3BB69-23CF-44E3-9099-C40C66FF867C}">
                  <a14:compatExt spid="_x0000_s375821"/>
                </a:ext>
                <a:ext uri="{FF2B5EF4-FFF2-40B4-BE49-F238E27FC236}">
                  <a16:creationId xmlns:a16="http://schemas.microsoft.com/office/drawing/2014/main" id="{00000000-0008-0000-0B00-00000DB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74785" name="Check Box 1" hidden="1">
              <a:extLst>
                <a:ext uri="{63B3BB69-23CF-44E3-9099-C40C66FF867C}">
                  <a14:compatExt spid="_x0000_s374785"/>
                </a:ext>
                <a:ext uri="{FF2B5EF4-FFF2-40B4-BE49-F238E27FC236}">
                  <a16:creationId xmlns:a16="http://schemas.microsoft.com/office/drawing/2014/main" id="{00000000-0008-0000-0C00-000001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74786" name="Check Box 2" hidden="1">
              <a:extLst>
                <a:ext uri="{63B3BB69-23CF-44E3-9099-C40C66FF867C}">
                  <a14:compatExt spid="_x0000_s374786"/>
                </a:ext>
                <a:ext uri="{FF2B5EF4-FFF2-40B4-BE49-F238E27FC236}">
                  <a16:creationId xmlns:a16="http://schemas.microsoft.com/office/drawing/2014/main" id="{00000000-0008-0000-0C00-000002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74787" name="Check Box 3" hidden="1">
              <a:extLst>
                <a:ext uri="{63B3BB69-23CF-44E3-9099-C40C66FF867C}">
                  <a14:compatExt spid="_x0000_s374787"/>
                </a:ext>
                <a:ext uri="{FF2B5EF4-FFF2-40B4-BE49-F238E27FC236}">
                  <a16:creationId xmlns:a16="http://schemas.microsoft.com/office/drawing/2014/main" id="{00000000-0008-0000-0C00-000003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74788" name="Check Box 4" hidden="1">
              <a:extLst>
                <a:ext uri="{63B3BB69-23CF-44E3-9099-C40C66FF867C}">
                  <a14:compatExt spid="_x0000_s374788"/>
                </a:ext>
                <a:ext uri="{FF2B5EF4-FFF2-40B4-BE49-F238E27FC236}">
                  <a16:creationId xmlns:a16="http://schemas.microsoft.com/office/drawing/2014/main" id="{00000000-0008-0000-0C00-000004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74789" name="Check Box 5" hidden="1">
              <a:extLst>
                <a:ext uri="{63B3BB69-23CF-44E3-9099-C40C66FF867C}">
                  <a14:compatExt spid="_x0000_s374789"/>
                </a:ext>
                <a:ext uri="{FF2B5EF4-FFF2-40B4-BE49-F238E27FC236}">
                  <a16:creationId xmlns:a16="http://schemas.microsoft.com/office/drawing/2014/main" id="{00000000-0008-0000-0C00-000005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74790" name="Check Box 6" hidden="1">
              <a:extLst>
                <a:ext uri="{63B3BB69-23CF-44E3-9099-C40C66FF867C}">
                  <a14:compatExt spid="_x0000_s374790"/>
                </a:ext>
                <a:ext uri="{FF2B5EF4-FFF2-40B4-BE49-F238E27FC236}">
                  <a16:creationId xmlns:a16="http://schemas.microsoft.com/office/drawing/2014/main" id="{00000000-0008-0000-0C00-000006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74791" name="Check Box 7" hidden="1">
              <a:extLst>
                <a:ext uri="{63B3BB69-23CF-44E3-9099-C40C66FF867C}">
                  <a14:compatExt spid="_x0000_s374791"/>
                </a:ext>
                <a:ext uri="{FF2B5EF4-FFF2-40B4-BE49-F238E27FC236}">
                  <a16:creationId xmlns:a16="http://schemas.microsoft.com/office/drawing/2014/main" id="{00000000-0008-0000-0C00-000007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74792" name="Check Box 8" hidden="1">
              <a:extLst>
                <a:ext uri="{63B3BB69-23CF-44E3-9099-C40C66FF867C}">
                  <a14:compatExt spid="_x0000_s374792"/>
                </a:ext>
                <a:ext uri="{FF2B5EF4-FFF2-40B4-BE49-F238E27FC236}">
                  <a16:creationId xmlns:a16="http://schemas.microsoft.com/office/drawing/2014/main" id="{00000000-0008-0000-0C00-000008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74793" name="Check Box 9" hidden="1">
              <a:extLst>
                <a:ext uri="{63B3BB69-23CF-44E3-9099-C40C66FF867C}">
                  <a14:compatExt spid="_x0000_s374793"/>
                </a:ext>
                <a:ext uri="{FF2B5EF4-FFF2-40B4-BE49-F238E27FC236}">
                  <a16:creationId xmlns:a16="http://schemas.microsoft.com/office/drawing/2014/main" id="{00000000-0008-0000-0C00-000009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74794" name="Check Box 10" hidden="1">
              <a:extLst>
                <a:ext uri="{63B3BB69-23CF-44E3-9099-C40C66FF867C}">
                  <a14:compatExt spid="_x0000_s374794"/>
                </a:ext>
                <a:ext uri="{FF2B5EF4-FFF2-40B4-BE49-F238E27FC236}">
                  <a16:creationId xmlns:a16="http://schemas.microsoft.com/office/drawing/2014/main" id="{00000000-0008-0000-0C00-00000A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74795" name="Check Box 11" hidden="1">
              <a:extLst>
                <a:ext uri="{63B3BB69-23CF-44E3-9099-C40C66FF867C}">
                  <a14:compatExt spid="_x0000_s374795"/>
                </a:ext>
                <a:ext uri="{FF2B5EF4-FFF2-40B4-BE49-F238E27FC236}">
                  <a16:creationId xmlns:a16="http://schemas.microsoft.com/office/drawing/2014/main" id="{00000000-0008-0000-0C00-00000B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74796" name="Check Box 12" hidden="1">
              <a:extLst>
                <a:ext uri="{63B3BB69-23CF-44E3-9099-C40C66FF867C}">
                  <a14:compatExt spid="_x0000_s374796"/>
                </a:ext>
                <a:ext uri="{FF2B5EF4-FFF2-40B4-BE49-F238E27FC236}">
                  <a16:creationId xmlns:a16="http://schemas.microsoft.com/office/drawing/2014/main" id="{00000000-0008-0000-0C00-00000C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74797" name="Check Box 13" hidden="1">
              <a:extLst>
                <a:ext uri="{63B3BB69-23CF-44E3-9099-C40C66FF867C}">
                  <a14:compatExt spid="_x0000_s374797"/>
                </a:ext>
                <a:ext uri="{FF2B5EF4-FFF2-40B4-BE49-F238E27FC236}">
                  <a16:creationId xmlns:a16="http://schemas.microsoft.com/office/drawing/2014/main" id="{00000000-0008-0000-0C00-00000DB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73761" name="Check Box 1" hidden="1">
              <a:extLst>
                <a:ext uri="{63B3BB69-23CF-44E3-9099-C40C66FF867C}">
                  <a14:compatExt spid="_x0000_s373761"/>
                </a:ext>
                <a:ext uri="{FF2B5EF4-FFF2-40B4-BE49-F238E27FC236}">
                  <a16:creationId xmlns:a16="http://schemas.microsoft.com/office/drawing/2014/main" id="{00000000-0008-0000-0D00-000001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73762" name="Check Box 2" hidden="1">
              <a:extLst>
                <a:ext uri="{63B3BB69-23CF-44E3-9099-C40C66FF867C}">
                  <a14:compatExt spid="_x0000_s373762"/>
                </a:ext>
                <a:ext uri="{FF2B5EF4-FFF2-40B4-BE49-F238E27FC236}">
                  <a16:creationId xmlns:a16="http://schemas.microsoft.com/office/drawing/2014/main" id="{00000000-0008-0000-0D00-000002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73763" name="Check Box 3" hidden="1">
              <a:extLst>
                <a:ext uri="{63B3BB69-23CF-44E3-9099-C40C66FF867C}">
                  <a14:compatExt spid="_x0000_s373763"/>
                </a:ext>
                <a:ext uri="{FF2B5EF4-FFF2-40B4-BE49-F238E27FC236}">
                  <a16:creationId xmlns:a16="http://schemas.microsoft.com/office/drawing/2014/main" id="{00000000-0008-0000-0D00-000003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73764" name="Check Box 4" hidden="1">
              <a:extLst>
                <a:ext uri="{63B3BB69-23CF-44E3-9099-C40C66FF867C}">
                  <a14:compatExt spid="_x0000_s373764"/>
                </a:ext>
                <a:ext uri="{FF2B5EF4-FFF2-40B4-BE49-F238E27FC236}">
                  <a16:creationId xmlns:a16="http://schemas.microsoft.com/office/drawing/2014/main" id="{00000000-0008-0000-0D00-000004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73765" name="Check Box 5" hidden="1">
              <a:extLst>
                <a:ext uri="{63B3BB69-23CF-44E3-9099-C40C66FF867C}">
                  <a14:compatExt spid="_x0000_s373765"/>
                </a:ext>
                <a:ext uri="{FF2B5EF4-FFF2-40B4-BE49-F238E27FC236}">
                  <a16:creationId xmlns:a16="http://schemas.microsoft.com/office/drawing/2014/main" id="{00000000-0008-0000-0D00-000005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73766" name="Check Box 6" hidden="1">
              <a:extLst>
                <a:ext uri="{63B3BB69-23CF-44E3-9099-C40C66FF867C}">
                  <a14:compatExt spid="_x0000_s373766"/>
                </a:ext>
                <a:ext uri="{FF2B5EF4-FFF2-40B4-BE49-F238E27FC236}">
                  <a16:creationId xmlns:a16="http://schemas.microsoft.com/office/drawing/2014/main" id="{00000000-0008-0000-0D00-000006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73767" name="Check Box 7" hidden="1">
              <a:extLst>
                <a:ext uri="{63B3BB69-23CF-44E3-9099-C40C66FF867C}">
                  <a14:compatExt spid="_x0000_s373767"/>
                </a:ext>
                <a:ext uri="{FF2B5EF4-FFF2-40B4-BE49-F238E27FC236}">
                  <a16:creationId xmlns:a16="http://schemas.microsoft.com/office/drawing/2014/main" id="{00000000-0008-0000-0D00-000007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73768" name="Check Box 8" hidden="1">
              <a:extLst>
                <a:ext uri="{63B3BB69-23CF-44E3-9099-C40C66FF867C}">
                  <a14:compatExt spid="_x0000_s373768"/>
                </a:ext>
                <a:ext uri="{FF2B5EF4-FFF2-40B4-BE49-F238E27FC236}">
                  <a16:creationId xmlns:a16="http://schemas.microsoft.com/office/drawing/2014/main" id="{00000000-0008-0000-0D00-000008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73769" name="Check Box 9" hidden="1">
              <a:extLst>
                <a:ext uri="{63B3BB69-23CF-44E3-9099-C40C66FF867C}">
                  <a14:compatExt spid="_x0000_s373769"/>
                </a:ext>
                <a:ext uri="{FF2B5EF4-FFF2-40B4-BE49-F238E27FC236}">
                  <a16:creationId xmlns:a16="http://schemas.microsoft.com/office/drawing/2014/main" id="{00000000-0008-0000-0D00-000009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73770" name="Check Box 10" hidden="1">
              <a:extLst>
                <a:ext uri="{63B3BB69-23CF-44E3-9099-C40C66FF867C}">
                  <a14:compatExt spid="_x0000_s373770"/>
                </a:ext>
                <a:ext uri="{FF2B5EF4-FFF2-40B4-BE49-F238E27FC236}">
                  <a16:creationId xmlns:a16="http://schemas.microsoft.com/office/drawing/2014/main" id="{00000000-0008-0000-0D00-00000A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73771" name="Check Box 11" hidden="1">
              <a:extLst>
                <a:ext uri="{63B3BB69-23CF-44E3-9099-C40C66FF867C}">
                  <a14:compatExt spid="_x0000_s373771"/>
                </a:ext>
                <a:ext uri="{FF2B5EF4-FFF2-40B4-BE49-F238E27FC236}">
                  <a16:creationId xmlns:a16="http://schemas.microsoft.com/office/drawing/2014/main" id="{00000000-0008-0000-0D00-00000B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73772" name="Check Box 12" hidden="1">
              <a:extLst>
                <a:ext uri="{63B3BB69-23CF-44E3-9099-C40C66FF867C}">
                  <a14:compatExt spid="_x0000_s373772"/>
                </a:ext>
                <a:ext uri="{FF2B5EF4-FFF2-40B4-BE49-F238E27FC236}">
                  <a16:creationId xmlns:a16="http://schemas.microsoft.com/office/drawing/2014/main" id="{00000000-0008-0000-0D00-00000C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73773" name="Check Box 13" hidden="1">
              <a:extLst>
                <a:ext uri="{63B3BB69-23CF-44E3-9099-C40C66FF867C}">
                  <a14:compatExt spid="_x0000_s373773"/>
                </a:ext>
                <a:ext uri="{FF2B5EF4-FFF2-40B4-BE49-F238E27FC236}">
                  <a16:creationId xmlns:a16="http://schemas.microsoft.com/office/drawing/2014/main" id="{00000000-0008-0000-0D00-00000DB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72737" name="Check Box 1" hidden="1">
              <a:extLst>
                <a:ext uri="{63B3BB69-23CF-44E3-9099-C40C66FF867C}">
                  <a14:compatExt spid="_x0000_s372737"/>
                </a:ext>
                <a:ext uri="{FF2B5EF4-FFF2-40B4-BE49-F238E27FC236}">
                  <a16:creationId xmlns:a16="http://schemas.microsoft.com/office/drawing/2014/main" id="{00000000-0008-0000-0E00-000001B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72738" name="Check Box 2" hidden="1">
              <a:extLst>
                <a:ext uri="{63B3BB69-23CF-44E3-9099-C40C66FF867C}">
                  <a14:compatExt spid="_x0000_s372738"/>
                </a:ext>
                <a:ext uri="{FF2B5EF4-FFF2-40B4-BE49-F238E27FC236}">
                  <a16:creationId xmlns:a16="http://schemas.microsoft.com/office/drawing/2014/main" id="{00000000-0008-0000-0E00-000002B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72739" name="Check Box 3" hidden="1">
              <a:extLst>
                <a:ext uri="{63B3BB69-23CF-44E3-9099-C40C66FF867C}">
                  <a14:compatExt spid="_x0000_s372739"/>
                </a:ext>
                <a:ext uri="{FF2B5EF4-FFF2-40B4-BE49-F238E27FC236}">
                  <a16:creationId xmlns:a16="http://schemas.microsoft.com/office/drawing/2014/main" id="{00000000-0008-0000-0E00-000003B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72740" name="Check Box 4" hidden="1">
              <a:extLst>
                <a:ext uri="{63B3BB69-23CF-44E3-9099-C40C66FF867C}">
                  <a14:compatExt spid="_x0000_s372740"/>
                </a:ext>
                <a:ext uri="{FF2B5EF4-FFF2-40B4-BE49-F238E27FC236}">
                  <a16:creationId xmlns:a16="http://schemas.microsoft.com/office/drawing/2014/main" id="{00000000-0008-0000-0E00-000004B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72741" name="Check Box 5" hidden="1">
              <a:extLst>
                <a:ext uri="{63B3BB69-23CF-44E3-9099-C40C66FF867C}">
                  <a14:compatExt spid="_x0000_s372741"/>
                </a:ext>
                <a:ext uri="{FF2B5EF4-FFF2-40B4-BE49-F238E27FC236}">
                  <a16:creationId xmlns:a16="http://schemas.microsoft.com/office/drawing/2014/main" id="{00000000-0008-0000-0E00-000005B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72742" name="Check Box 6" hidden="1">
              <a:extLst>
                <a:ext uri="{63B3BB69-23CF-44E3-9099-C40C66FF867C}">
                  <a14:compatExt spid="_x0000_s372742"/>
                </a:ext>
                <a:ext uri="{FF2B5EF4-FFF2-40B4-BE49-F238E27FC236}">
                  <a16:creationId xmlns:a16="http://schemas.microsoft.com/office/drawing/2014/main" id="{00000000-0008-0000-0E00-000006B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72743" name="Check Box 7" hidden="1">
              <a:extLst>
                <a:ext uri="{63B3BB69-23CF-44E3-9099-C40C66FF867C}">
                  <a14:compatExt spid="_x0000_s372743"/>
                </a:ext>
                <a:ext uri="{FF2B5EF4-FFF2-40B4-BE49-F238E27FC236}">
                  <a16:creationId xmlns:a16="http://schemas.microsoft.com/office/drawing/2014/main" id="{00000000-0008-0000-0E00-000007B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72744" name="Check Box 8" hidden="1">
              <a:extLst>
                <a:ext uri="{63B3BB69-23CF-44E3-9099-C40C66FF867C}">
                  <a14:compatExt spid="_x0000_s372744"/>
                </a:ext>
                <a:ext uri="{FF2B5EF4-FFF2-40B4-BE49-F238E27FC236}">
                  <a16:creationId xmlns:a16="http://schemas.microsoft.com/office/drawing/2014/main" id="{00000000-0008-0000-0E00-000008B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72745" name="Check Box 9" hidden="1">
              <a:extLst>
                <a:ext uri="{63B3BB69-23CF-44E3-9099-C40C66FF867C}">
                  <a14:compatExt spid="_x0000_s372745"/>
                </a:ext>
                <a:ext uri="{FF2B5EF4-FFF2-40B4-BE49-F238E27FC236}">
                  <a16:creationId xmlns:a16="http://schemas.microsoft.com/office/drawing/2014/main" id="{00000000-0008-0000-0E00-000009B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72746" name="Check Box 10" hidden="1">
              <a:extLst>
                <a:ext uri="{63B3BB69-23CF-44E3-9099-C40C66FF867C}">
                  <a14:compatExt spid="_x0000_s372746"/>
                </a:ext>
                <a:ext uri="{FF2B5EF4-FFF2-40B4-BE49-F238E27FC236}">
                  <a16:creationId xmlns:a16="http://schemas.microsoft.com/office/drawing/2014/main" id="{00000000-0008-0000-0E00-00000AB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72747" name="Check Box 11" hidden="1">
              <a:extLst>
                <a:ext uri="{63B3BB69-23CF-44E3-9099-C40C66FF867C}">
                  <a14:compatExt spid="_x0000_s372747"/>
                </a:ext>
                <a:ext uri="{FF2B5EF4-FFF2-40B4-BE49-F238E27FC236}">
                  <a16:creationId xmlns:a16="http://schemas.microsoft.com/office/drawing/2014/main" id="{00000000-0008-0000-0E00-00000BB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72748" name="Check Box 12" hidden="1">
              <a:extLst>
                <a:ext uri="{63B3BB69-23CF-44E3-9099-C40C66FF867C}">
                  <a14:compatExt spid="_x0000_s372748"/>
                </a:ext>
                <a:ext uri="{FF2B5EF4-FFF2-40B4-BE49-F238E27FC236}">
                  <a16:creationId xmlns:a16="http://schemas.microsoft.com/office/drawing/2014/main" id="{00000000-0008-0000-0E00-00000CB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72749" name="Check Box 13" hidden="1">
              <a:extLst>
                <a:ext uri="{63B3BB69-23CF-44E3-9099-C40C66FF867C}">
                  <a14:compatExt spid="_x0000_s372749"/>
                </a:ext>
                <a:ext uri="{FF2B5EF4-FFF2-40B4-BE49-F238E27FC236}">
                  <a16:creationId xmlns:a16="http://schemas.microsoft.com/office/drawing/2014/main" id="{00000000-0008-0000-0E00-00000DB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71713" name="Check Box 1" hidden="1">
              <a:extLst>
                <a:ext uri="{63B3BB69-23CF-44E3-9099-C40C66FF867C}">
                  <a14:compatExt spid="_x0000_s371713"/>
                </a:ext>
                <a:ext uri="{FF2B5EF4-FFF2-40B4-BE49-F238E27FC236}">
                  <a16:creationId xmlns:a16="http://schemas.microsoft.com/office/drawing/2014/main" id="{00000000-0008-0000-0F00-000001A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71714" name="Check Box 2" hidden="1">
              <a:extLst>
                <a:ext uri="{63B3BB69-23CF-44E3-9099-C40C66FF867C}">
                  <a14:compatExt spid="_x0000_s371714"/>
                </a:ext>
                <a:ext uri="{FF2B5EF4-FFF2-40B4-BE49-F238E27FC236}">
                  <a16:creationId xmlns:a16="http://schemas.microsoft.com/office/drawing/2014/main" id="{00000000-0008-0000-0F00-000002A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71715" name="Check Box 3" hidden="1">
              <a:extLst>
                <a:ext uri="{63B3BB69-23CF-44E3-9099-C40C66FF867C}">
                  <a14:compatExt spid="_x0000_s371715"/>
                </a:ext>
                <a:ext uri="{FF2B5EF4-FFF2-40B4-BE49-F238E27FC236}">
                  <a16:creationId xmlns:a16="http://schemas.microsoft.com/office/drawing/2014/main" id="{00000000-0008-0000-0F00-000003A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71716" name="Check Box 4" hidden="1">
              <a:extLst>
                <a:ext uri="{63B3BB69-23CF-44E3-9099-C40C66FF867C}">
                  <a14:compatExt spid="_x0000_s371716"/>
                </a:ext>
                <a:ext uri="{FF2B5EF4-FFF2-40B4-BE49-F238E27FC236}">
                  <a16:creationId xmlns:a16="http://schemas.microsoft.com/office/drawing/2014/main" id="{00000000-0008-0000-0F00-000004A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71717" name="Check Box 5" hidden="1">
              <a:extLst>
                <a:ext uri="{63B3BB69-23CF-44E3-9099-C40C66FF867C}">
                  <a14:compatExt spid="_x0000_s371717"/>
                </a:ext>
                <a:ext uri="{FF2B5EF4-FFF2-40B4-BE49-F238E27FC236}">
                  <a16:creationId xmlns:a16="http://schemas.microsoft.com/office/drawing/2014/main" id="{00000000-0008-0000-0F00-000005A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71718" name="Check Box 6" hidden="1">
              <a:extLst>
                <a:ext uri="{63B3BB69-23CF-44E3-9099-C40C66FF867C}">
                  <a14:compatExt spid="_x0000_s371718"/>
                </a:ext>
                <a:ext uri="{FF2B5EF4-FFF2-40B4-BE49-F238E27FC236}">
                  <a16:creationId xmlns:a16="http://schemas.microsoft.com/office/drawing/2014/main" id="{00000000-0008-0000-0F00-000006A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71719" name="Check Box 7" hidden="1">
              <a:extLst>
                <a:ext uri="{63B3BB69-23CF-44E3-9099-C40C66FF867C}">
                  <a14:compatExt spid="_x0000_s371719"/>
                </a:ext>
                <a:ext uri="{FF2B5EF4-FFF2-40B4-BE49-F238E27FC236}">
                  <a16:creationId xmlns:a16="http://schemas.microsoft.com/office/drawing/2014/main" id="{00000000-0008-0000-0F00-000007A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71720" name="Check Box 8" hidden="1">
              <a:extLst>
                <a:ext uri="{63B3BB69-23CF-44E3-9099-C40C66FF867C}">
                  <a14:compatExt spid="_x0000_s371720"/>
                </a:ext>
                <a:ext uri="{FF2B5EF4-FFF2-40B4-BE49-F238E27FC236}">
                  <a16:creationId xmlns:a16="http://schemas.microsoft.com/office/drawing/2014/main" id="{00000000-0008-0000-0F00-000008A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71721" name="Check Box 9" hidden="1">
              <a:extLst>
                <a:ext uri="{63B3BB69-23CF-44E3-9099-C40C66FF867C}">
                  <a14:compatExt spid="_x0000_s371721"/>
                </a:ext>
                <a:ext uri="{FF2B5EF4-FFF2-40B4-BE49-F238E27FC236}">
                  <a16:creationId xmlns:a16="http://schemas.microsoft.com/office/drawing/2014/main" id="{00000000-0008-0000-0F00-000009A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71722" name="Check Box 10" hidden="1">
              <a:extLst>
                <a:ext uri="{63B3BB69-23CF-44E3-9099-C40C66FF867C}">
                  <a14:compatExt spid="_x0000_s371722"/>
                </a:ext>
                <a:ext uri="{FF2B5EF4-FFF2-40B4-BE49-F238E27FC236}">
                  <a16:creationId xmlns:a16="http://schemas.microsoft.com/office/drawing/2014/main" id="{00000000-0008-0000-0F00-00000AA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71723" name="Check Box 11" hidden="1">
              <a:extLst>
                <a:ext uri="{63B3BB69-23CF-44E3-9099-C40C66FF867C}">
                  <a14:compatExt spid="_x0000_s371723"/>
                </a:ext>
                <a:ext uri="{FF2B5EF4-FFF2-40B4-BE49-F238E27FC236}">
                  <a16:creationId xmlns:a16="http://schemas.microsoft.com/office/drawing/2014/main" id="{00000000-0008-0000-0F00-00000BA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71724" name="Check Box 12" hidden="1">
              <a:extLst>
                <a:ext uri="{63B3BB69-23CF-44E3-9099-C40C66FF867C}">
                  <a14:compatExt spid="_x0000_s371724"/>
                </a:ext>
                <a:ext uri="{FF2B5EF4-FFF2-40B4-BE49-F238E27FC236}">
                  <a16:creationId xmlns:a16="http://schemas.microsoft.com/office/drawing/2014/main" id="{00000000-0008-0000-0F00-00000CA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71725" name="Check Box 13" hidden="1">
              <a:extLst>
                <a:ext uri="{63B3BB69-23CF-44E3-9099-C40C66FF867C}">
                  <a14:compatExt spid="_x0000_s371725"/>
                </a:ext>
                <a:ext uri="{FF2B5EF4-FFF2-40B4-BE49-F238E27FC236}">
                  <a16:creationId xmlns:a16="http://schemas.microsoft.com/office/drawing/2014/main" id="{00000000-0008-0000-0F00-00000DA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70689" name="Check Box 1" hidden="1">
              <a:extLst>
                <a:ext uri="{63B3BB69-23CF-44E3-9099-C40C66FF867C}">
                  <a14:compatExt spid="_x0000_s370689"/>
                </a:ext>
                <a:ext uri="{FF2B5EF4-FFF2-40B4-BE49-F238E27FC236}">
                  <a16:creationId xmlns:a16="http://schemas.microsoft.com/office/drawing/2014/main" id="{00000000-0008-0000-1000-000001A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70690" name="Check Box 2" hidden="1">
              <a:extLst>
                <a:ext uri="{63B3BB69-23CF-44E3-9099-C40C66FF867C}">
                  <a14:compatExt spid="_x0000_s370690"/>
                </a:ext>
                <a:ext uri="{FF2B5EF4-FFF2-40B4-BE49-F238E27FC236}">
                  <a16:creationId xmlns:a16="http://schemas.microsoft.com/office/drawing/2014/main" id="{00000000-0008-0000-1000-000002A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70691" name="Check Box 3" hidden="1">
              <a:extLst>
                <a:ext uri="{63B3BB69-23CF-44E3-9099-C40C66FF867C}">
                  <a14:compatExt spid="_x0000_s370691"/>
                </a:ext>
                <a:ext uri="{FF2B5EF4-FFF2-40B4-BE49-F238E27FC236}">
                  <a16:creationId xmlns:a16="http://schemas.microsoft.com/office/drawing/2014/main" id="{00000000-0008-0000-1000-000003A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70692" name="Check Box 4" hidden="1">
              <a:extLst>
                <a:ext uri="{63B3BB69-23CF-44E3-9099-C40C66FF867C}">
                  <a14:compatExt spid="_x0000_s370692"/>
                </a:ext>
                <a:ext uri="{FF2B5EF4-FFF2-40B4-BE49-F238E27FC236}">
                  <a16:creationId xmlns:a16="http://schemas.microsoft.com/office/drawing/2014/main" id="{00000000-0008-0000-1000-000004A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70693" name="Check Box 5" hidden="1">
              <a:extLst>
                <a:ext uri="{63B3BB69-23CF-44E3-9099-C40C66FF867C}">
                  <a14:compatExt spid="_x0000_s370693"/>
                </a:ext>
                <a:ext uri="{FF2B5EF4-FFF2-40B4-BE49-F238E27FC236}">
                  <a16:creationId xmlns:a16="http://schemas.microsoft.com/office/drawing/2014/main" id="{00000000-0008-0000-1000-000005A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70694" name="Check Box 6" hidden="1">
              <a:extLst>
                <a:ext uri="{63B3BB69-23CF-44E3-9099-C40C66FF867C}">
                  <a14:compatExt spid="_x0000_s370694"/>
                </a:ext>
                <a:ext uri="{FF2B5EF4-FFF2-40B4-BE49-F238E27FC236}">
                  <a16:creationId xmlns:a16="http://schemas.microsoft.com/office/drawing/2014/main" id="{00000000-0008-0000-1000-000006A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70695" name="Check Box 7" hidden="1">
              <a:extLst>
                <a:ext uri="{63B3BB69-23CF-44E3-9099-C40C66FF867C}">
                  <a14:compatExt spid="_x0000_s370695"/>
                </a:ext>
                <a:ext uri="{FF2B5EF4-FFF2-40B4-BE49-F238E27FC236}">
                  <a16:creationId xmlns:a16="http://schemas.microsoft.com/office/drawing/2014/main" id="{00000000-0008-0000-1000-000007A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70696" name="Check Box 8" hidden="1">
              <a:extLst>
                <a:ext uri="{63B3BB69-23CF-44E3-9099-C40C66FF867C}">
                  <a14:compatExt spid="_x0000_s370696"/>
                </a:ext>
                <a:ext uri="{FF2B5EF4-FFF2-40B4-BE49-F238E27FC236}">
                  <a16:creationId xmlns:a16="http://schemas.microsoft.com/office/drawing/2014/main" id="{00000000-0008-0000-1000-000008A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70697" name="Check Box 9" hidden="1">
              <a:extLst>
                <a:ext uri="{63B3BB69-23CF-44E3-9099-C40C66FF867C}">
                  <a14:compatExt spid="_x0000_s370697"/>
                </a:ext>
                <a:ext uri="{FF2B5EF4-FFF2-40B4-BE49-F238E27FC236}">
                  <a16:creationId xmlns:a16="http://schemas.microsoft.com/office/drawing/2014/main" id="{00000000-0008-0000-1000-000009A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70698" name="Check Box 10" hidden="1">
              <a:extLst>
                <a:ext uri="{63B3BB69-23CF-44E3-9099-C40C66FF867C}">
                  <a14:compatExt spid="_x0000_s370698"/>
                </a:ext>
                <a:ext uri="{FF2B5EF4-FFF2-40B4-BE49-F238E27FC236}">
                  <a16:creationId xmlns:a16="http://schemas.microsoft.com/office/drawing/2014/main" id="{00000000-0008-0000-1000-00000AA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70699" name="Check Box 11" hidden="1">
              <a:extLst>
                <a:ext uri="{63B3BB69-23CF-44E3-9099-C40C66FF867C}">
                  <a14:compatExt spid="_x0000_s370699"/>
                </a:ext>
                <a:ext uri="{FF2B5EF4-FFF2-40B4-BE49-F238E27FC236}">
                  <a16:creationId xmlns:a16="http://schemas.microsoft.com/office/drawing/2014/main" id="{00000000-0008-0000-1000-00000BA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70700" name="Check Box 12" hidden="1">
              <a:extLst>
                <a:ext uri="{63B3BB69-23CF-44E3-9099-C40C66FF867C}">
                  <a14:compatExt spid="_x0000_s370700"/>
                </a:ext>
                <a:ext uri="{FF2B5EF4-FFF2-40B4-BE49-F238E27FC236}">
                  <a16:creationId xmlns:a16="http://schemas.microsoft.com/office/drawing/2014/main" id="{00000000-0008-0000-1000-00000CA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70701" name="Check Box 13" hidden="1">
              <a:extLst>
                <a:ext uri="{63B3BB69-23CF-44E3-9099-C40C66FF867C}">
                  <a14:compatExt spid="_x0000_s370701"/>
                </a:ext>
                <a:ext uri="{FF2B5EF4-FFF2-40B4-BE49-F238E27FC236}">
                  <a16:creationId xmlns:a16="http://schemas.microsoft.com/office/drawing/2014/main" id="{00000000-0008-0000-1000-00000DA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69665" name="Check Box 1" hidden="1">
              <a:extLst>
                <a:ext uri="{63B3BB69-23CF-44E3-9099-C40C66FF867C}">
                  <a14:compatExt spid="_x0000_s369665"/>
                </a:ext>
                <a:ext uri="{FF2B5EF4-FFF2-40B4-BE49-F238E27FC236}">
                  <a16:creationId xmlns:a16="http://schemas.microsoft.com/office/drawing/2014/main" id="{00000000-0008-0000-1100-000001A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69666" name="Check Box 2" hidden="1">
              <a:extLst>
                <a:ext uri="{63B3BB69-23CF-44E3-9099-C40C66FF867C}">
                  <a14:compatExt spid="_x0000_s369666"/>
                </a:ext>
                <a:ext uri="{FF2B5EF4-FFF2-40B4-BE49-F238E27FC236}">
                  <a16:creationId xmlns:a16="http://schemas.microsoft.com/office/drawing/2014/main" id="{00000000-0008-0000-1100-000002A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69667" name="Check Box 3" hidden="1">
              <a:extLst>
                <a:ext uri="{63B3BB69-23CF-44E3-9099-C40C66FF867C}">
                  <a14:compatExt spid="_x0000_s369667"/>
                </a:ext>
                <a:ext uri="{FF2B5EF4-FFF2-40B4-BE49-F238E27FC236}">
                  <a16:creationId xmlns:a16="http://schemas.microsoft.com/office/drawing/2014/main" id="{00000000-0008-0000-1100-000003A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69668" name="Check Box 4" hidden="1">
              <a:extLst>
                <a:ext uri="{63B3BB69-23CF-44E3-9099-C40C66FF867C}">
                  <a14:compatExt spid="_x0000_s369668"/>
                </a:ext>
                <a:ext uri="{FF2B5EF4-FFF2-40B4-BE49-F238E27FC236}">
                  <a16:creationId xmlns:a16="http://schemas.microsoft.com/office/drawing/2014/main" id="{00000000-0008-0000-1100-000004A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69669" name="Check Box 5" hidden="1">
              <a:extLst>
                <a:ext uri="{63B3BB69-23CF-44E3-9099-C40C66FF867C}">
                  <a14:compatExt spid="_x0000_s369669"/>
                </a:ext>
                <a:ext uri="{FF2B5EF4-FFF2-40B4-BE49-F238E27FC236}">
                  <a16:creationId xmlns:a16="http://schemas.microsoft.com/office/drawing/2014/main" id="{00000000-0008-0000-1100-000005A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69670" name="Check Box 6" hidden="1">
              <a:extLst>
                <a:ext uri="{63B3BB69-23CF-44E3-9099-C40C66FF867C}">
                  <a14:compatExt spid="_x0000_s369670"/>
                </a:ext>
                <a:ext uri="{FF2B5EF4-FFF2-40B4-BE49-F238E27FC236}">
                  <a16:creationId xmlns:a16="http://schemas.microsoft.com/office/drawing/2014/main" id="{00000000-0008-0000-1100-000006A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69671" name="Check Box 7" hidden="1">
              <a:extLst>
                <a:ext uri="{63B3BB69-23CF-44E3-9099-C40C66FF867C}">
                  <a14:compatExt spid="_x0000_s369671"/>
                </a:ext>
                <a:ext uri="{FF2B5EF4-FFF2-40B4-BE49-F238E27FC236}">
                  <a16:creationId xmlns:a16="http://schemas.microsoft.com/office/drawing/2014/main" id="{00000000-0008-0000-1100-000007A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69672" name="Check Box 8" hidden="1">
              <a:extLst>
                <a:ext uri="{63B3BB69-23CF-44E3-9099-C40C66FF867C}">
                  <a14:compatExt spid="_x0000_s369672"/>
                </a:ext>
                <a:ext uri="{FF2B5EF4-FFF2-40B4-BE49-F238E27FC236}">
                  <a16:creationId xmlns:a16="http://schemas.microsoft.com/office/drawing/2014/main" id="{00000000-0008-0000-1100-000008A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69673" name="Check Box 9" hidden="1">
              <a:extLst>
                <a:ext uri="{63B3BB69-23CF-44E3-9099-C40C66FF867C}">
                  <a14:compatExt spid="_x0000_s369673"/>
                </a:ext>
                <a:ext uri="{FF2B5EF4-FFF2-40B4-BE49-F238E27FC236}">
                  <a16:creationId xmlns:a16="http://schemas.microsoft.com/office/drawing/2014/main" id="{00000000-0008-0000-1100-000009A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69674" name="Check Box 10" hidden="1">
              <a:extLst>
                <a:ext uri="{63B3BB69-23CF-44E3-9099-C40C66FF867C}">
                  <a14:compatExt spid="_x0000_s369674"/>
                </a:ext>
                <a:ext uri="{FF2B5EF4-FFF2-40B4-BE49-F238E27FC236}">
                  <a16:creationId xmlns:a16="http://schemas.microsoft.com/office/drawing/2014/main" id="{00000000-0008-0000-1100-00000AA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69675" name="Check Box 11" hidden="1">
              <a:extLst>
                <a:ext uri="{63B3BB69-23CF-44E3-9099-C40C66FF867C}">
                  <a14:compatExt spid="_x0000_s369675"/>
                </a:ext>
                <a:ext uri="{FF2B5EF4-FFF2-40B4-BE49-F238E27FC236}">
                  <a16:creationId xmlns:a16="http://schemas.microsoft.com/office/drawing/2014/main" id="{00000000-0008-0000-1100-00000BA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69676" name="Check Box 12" hidden="1">
              <a:extLst>
                <a:ext uri="{63B3BB69-23CF-44E3-9099-C40C66FF867C}">
                  <a14:compatExt spid="_x0000_s369676"/>
                </a:ext>
                <a:ext uri="{FF2B5EF4-FFF2-40B4-BE49-F238E27FC236}">
                  <a16:creationId xmlns:a16="http://schemas.microsoft.com/office/drawing/2014/main" id="{00000000-0008-0000-1100-00000CA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69677" name="Check Box 13" hidden="1">
              <a:extLst>
                <a:ext uri="{63B3BB69-23CF-44E3-9099-C40C66FF867C}">
                  <a14:compatExt spid="_x0000_s369677"/>
                </a:ext>
                <a:ext uri="{FF2B5EF4-FFF2-40B4-BE49-F238E27FC236}">
                  <a16:creationId xmlns:a16="http://schemas.microsoft.com/office/drawing/2014/main" id="{00000000-0008-0000-1100-00000DA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68641" name="Check Box 1" hidden="1">
              <a:extLst>
                <a:ext uri="{63B3BB69-23CF-44E3-9099-C40C66FF867C}">
                  <a14:compatExt spid="_x0000_s368641"/>
                </a:ext>
                <a:ext uri="{FF2B5EF4-FFF2-40B4-BE49-F238E27FC236}">
                  <a16:creationId xmlns:a16="http://schemas.microsoft.com/office/drawing/2014/main" id="{00000000-0008-0000-1200-000001A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68642" name="Check Box 2" hidden="1">
              <a:extLst>
                <a:ext uri="{63B3BB69-23CF-44E3-9099-C40C66FF867C}">
                  <a14:compatExt spid="_x0000_s368642"/>
                </a:ext>
                <a:ext uri="{FF2B5EF4-FFF2-40B4-BE49-F238E27FC236}">
                  <a16:creationId xmlns:a16="http://schemas.microsoft.com/office/drawing/2014/main" id="{00000000-0008-0000-1200-000002A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68643" name="Check Box 3" hidden="1">
              <a:extLst>
                <a:ext uri="{63B3BB69-23CF-44E3-9099-C40C66FF867C}">
                  <a14:compatExt spid="_x0000_s368643"/>
                </a:ext>
                <a:ext uri="{FF2B5EF4-FFF2-40B4-BE49-F238E27FC236}">
                  <a16:creationId xmlns:a16="http://schemas.microsoft.com/office/drawing/2014/main" id="{00000000-0008-0000-1200-000003A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68644" name="Check Box 4" hidden="1">
              <a:extLst>
                <a:ext uri="{63B3BB69-23CF-44E3-9099-C40C66FF867C}">
                  <a14:compatExt spid="_x0000_s368644"/>
                </a:ext>
                <a:ext uri="{FF2B5EF4-FFF2-40B4-BE49-F238E27FC236}">
                  <a16:creationId xmlns:a16="http://schemas.microsoft.com/office/drawing/2014/main" id="{00000000-0008-0000-1200-000004A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68645" name="Check Box 5" hidden="1">
              <a:extLst>
                <a:ext uri="{63B3BB69-23CF-44E3-9099-C40C66FF867C}">
                  <a14:compatExt spid="_x0000_s368645"/>
                </a:ext>
                <a:ext uri="{FF2B5EF4-FFF2-40B4-BE49-F238E27FC236}">
                  <a16:creationId xmlns:a16="http://schemas.microsoft.com/office/drawing/2014/main" id="{00000000-0008-0000-1200-000005A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68646" name="Check Box 6" hidden="1">
              <a:extLst>
                <a:ext uri="{63B3BB69-23CF-44E3-9099-C40C66FF867C}">
                  <a14:compatExt spid="_x0000_s368646"/>
                </a:ext>
                <a:ext uri="{FF2B5EF4-FFF2-40B4-BE49-F238E27FC236}">
                  <a16:creationId xmlns:a16="http://schemas.microsoft.com/office/drawing/2014/main" id="{00000000-0008-0000-1200-000006A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68647" name="Check Box 7" hidden="1">
              <a:extLst>
                <a:ext uri="{63B3BB69-23CF-44E3-9099-C40C66FF867C}">
                  <a14:compatExt spid="_x0000_s368647"/>
                </a:ext>
                <a:ext uri="{FF2B5EF4-FFF2-40B4-BE49-F238E27FC236}">
                  <a16:creationId xmlns:a16="http://schemas.microsoft.com/office/drawing/2014/main" id="{00000000-0008-0000-1200-000007A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68648" name="Check Box 8" hidden="1">
              <a:extLst>
                <a:ext uri="{63B3BB69-23CF-44E3-9099-C40C66FF867C}">
                  <a14:compatExt spid="_x0000_s368648"/>
                </a:ext>
                <a:ext uri="{FF2B5EF4-FFF2-40B4-BE49-F238E27FC236}">
                  <a16:creationId xmlns:a16="http://schemas.microsoft.com/office/drawing/2014/main" id="{00000000-0008-0000-1200-000008A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68649" name="Check Box 9" hidden="1">
              <a:extLst>
                <a:ext uri="{63B3BB69-23CF-44E3-9099-C40C66FF867C}">
                  <a14:compatExt spid="_x0000_s368649"/>
                </a:ext>
                <a:ext uri="{FF2B5EF4-FFF2-40B4-BE49-F238E27FC236}">
                  <a16:creationId xmlns:a16="http://schemas.microsoft.com/office/drawing/2014/main" id="{00000000-0008-0000-1200-000009A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68650" name="Check Box 10" hidden="1">
              <a:extLst>
                <a:ext uri="{63B3BB69-23CF-44E3-9099-C40C66FF867C}">
                  <a14:compatExt spid="_x0000_s368650"/>
                </a:ext>
                <a:ext uri="{FF2B5EF4-FFF2-40B4-BE49-F238E27FC236}">
                  <a16:creationId xmlns:a16="http://schemas.microsoft.com/office/drawing/2014/main" id="{00000000-0008-0000-1200-00000AA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68651" name="Check Box 11" hidden="1">
              <a:extLst>
                <a:ext uri="{63B3BB69-23CF-44E3-9099-C40C66FF867C}">
                  <a14:compatExt spid="_x0000_s368651"/>
                </a:ext>
                <a:ext uri="{FF2B5EF4-FFF2-40B4-BE49-F238E27FC236}">
                  <a16:creationId xmlns:a16="http://schemas.microsoft.com/office/drawing/2014/main" id="{00000000-0008-0000-1200-00000BA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68652" name="Check Box 12" hidden="1">
              <a:extLst>
                <a:ext uri="{63B3BB69-23CF-44E3-9099-C40C66FF867C}">
                  <a14:compatExt spid="_x0000_s368652"/>
                </a:ext>
                <a:ext uri="{FF2B5EF4-FFF2-40B4-BE49-F238E27FC236}">
                  <a16:creationId xmlns:a16="http://schemas.microsoft.com/office/drawing/2014/main" id="{00000000-0008-0000-1200-00000CA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68653" name="Check Box 13" hidden="1">
              <a:extLst>
                <a:ext uri="{63B3BB69-23CF-44E3-9099-C40C66FF867C}">
                  <a14:compatExt spid="_x0000_s368653"/>
                </a:ext>
                <a:ext uri="{FF2B5EF4-FFF2-40B4-BE49-F238E27FC236}">
                  <a16:creationId xmlns:a16="http://schemas.microsoft.com/office/drawing/2014/main" id="{00000000-0008-0000-1200-00000DA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67617" name="Check Box 1" hidden="1">
              <a:extLst>
                <a:ext uri="{63B3BB69-23CF-44E3-9099-C40C66FF867C}">
                  <a14:compatExt spid="_x0000_s367617"/>
                </a:ext>
                <a:ext uri="{FF2B5EF4-FFF2-40B4-BE49-F238E27FC236}">
                  <a16:creationId xmlns:a16="http://schemas.microsoft.com/office/drawing/2014/main" id="{00000000-0008-0000-1300-0000019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67618" name="Check Box 2" hidden="1">
              <a:extLst>
                <a:ext uri="{63B3BB69-23CF-44E3-9099-C40C66FF867C}">
                  <a14:compatExt spid="_x0000_s367618"/>
                </a:ext>
                <a:ext uri="{FF2B5EF4-FFF2-40B4-BE49-F238E27FC236}">
                  <a16:creationId xmlns:a16="http://schemas.microsoft.com/office/drawing/2014/main" id="{00000000-0008-0000-1300-0000029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67619" name="Check Box 3" hidden="1">
              <a:extLst>
                <a:ext uri="{63B3BB69-23CF-44E3-9099-C40C66FF867C}">
                  <a14:compatExt spid="_x0000_s367619"/>
                </a:ext>
                <a:ext uri="{FF2B5EF4-FFF2-40B4-BE49-F238E27FC236}">
                  <a16:creationId xmlns:a16="http://schemas.microsoft.com/office/drawing/2014/main" id="{00000000-0008-0000-1300-0000039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67620" name="Check Box 4" hidden="1">
              <a:extLst>
                <a:ext uri="{63B3BB69-23CF-44E3-9099-C40C66FF867C}">
                  <a14:compatExt spid="_x0000_s367620"/>
                </a:ext>
                <a:ext uri="{FF2B5EF4-FFF2-40B4-BE49-F238E27FC236}">
                  <a16:creationId xmlns:a16="http://schemas.microsoft.com/office/drawing/2014/main" id="{00000000-0008-0000-1300-0000049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67621" name="Check Box 5" hidden="1">
              <a:extLst>
                <a:ext uri="{63B3BB69-23CF-44E3-9099-C40C66FF867C}">
                  <a14:compatExt spid="_x0000_s367621"/>
                </a:ext>
                <a:ext uri="{FF2B5EF4-FFF2-40B4-BE49-F238E27FC236}">
                  <a16:creationId xmlns:a16="http://schemas.microsoft.com/office/drawing/2014/main" id="{00000000-0008-0000-1300-0000059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67622" name="Check Box 6" hidden="1">
              <a:extLst>
                <a:ext uri="{63B3BB69-23CF-44E3-9099-C40C66FF867C}">
                  <a14:compatExt spid="_x0000_s367622"/>
                </a:ext>
                <a:ext uri="{FF2B5EF4-FFF2-40B4-BE49-F238E27FC236}">
                  <a16:creationId xmlns:a16="http://schemas.microsoft.com/office/drawing/2014/main" id="{00000000-0008-0000-1300-0000069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67623" name="Check Box 7" hidden="1">
              <a:extLst>
                <a:ext uri="{63B3BB69-23CF-44E3-9099-C40C66FF867C}">
                  <a14:compatExt spid="_x0000_s367623"/>
                </a:ext>
                <a:ext uri="{FF2B5EF4-FFF2-40B4-BE49-F238E27FC236}">
                  <a16:creationId xmlns:a16="http://schemas.microsoft.com/office/drawing/2014/main" id="{00000000-0008-0000-1300-0000079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67624" name="Check Box 8" hidden="1">
              <a:extLst>
                <a:ext uri="{63B3BB69-23CF-44E3-9099-C40C66FF867C}">
                  <a14:compatExt spid="_x0000_s367624"/>
                </a:ext>
                <a:ext uri="{FF2B5EF4-FFF2-40B4-BE49-F238E27FC236}">
                  <a16:creationId xmlns:a16="http://schemas.microsoft.com/office/drawing/2014/main" id="{00000000-0008-0000-1300-0000089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67625" name="Check Box 9" hidden="1">
              <a:extLst>
                <a:ext uri="{63B3BB69-23CF-44E3-9099-C40C66FF867C}">
                  <a14:compatExt spid="_x0000_s367625"/>
                </a:ext>
                <a:ext uri="{FF2B5EF4-FFF2-40B4-BE49-F238E27FC236}">
                  <a16:creationId xmlns:a16="http://schemas.microsoft.com/office/drawing/2014/main" id="{00000000-0008-0000-1300-0000099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67626" name="Check Box 10" hidden="1">
              <a:extLst>
                <a:ext uri="{63B3BB69-23CF-44E3-9099-C40C66FF867C}">
                  <a14:compatExt spid="_x0000_s367626"/>
                </a:ext>
                <a:ext uri="{FF2B5EF4-FFF2-40B4-BE49-F238E27FC236}">
                  <a16:creationId xmlns:a16="http://schemas.microsoft.com/office/drawing/2014/main" id="{00000000-0008-0000-1300-00000A9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67627" name="Check Box 11" hidden="1">
              <a:extLst>
                <a:ext uri="{63B3BB69-23CF-44E3-9099-C40C66FF867C}">
                  <a14:compatExt spid="_x0000_s367627"/>
                </a:ext>
                <a:ext uri="{FF2B5EF4-FFF2-40B4-BE49-F238E27FC236}">
                  <a16:creationId xmlns:a16="http://schemas.microsoft.com/office/drawing/2014/main" id="{00000000-0008-0000-1300-00000B9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67628" name="Check Box 12" hidden="1">
              <a:extLst>
                <a:ext uri="{63B3BB69-23CF-44E3-9099-C40C66FF867C}">
                  <a14:compatExt spid="_x0000_s367628"/>
                </a:ext>
                <a:ext uri="{FF2B5EF4-FFF2-40B4-BE49-F238E27FC236}">
                  <a16:creationId xmlns:a16="http://schemas.microsoft.com/office/drawing/2014/main" id="{00000000-0008-0000-1300-00000C9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67629" name="Check Box 13" hidden="1">
              <a:extLst>
                <a:ext uri="{63B3BB69-23CF-44E3-9099-C40C66FF867C}">
                  <a14:compatExt spid="_x0000_s367629"/>
                </a:ext>
                <a:ext uri="{FF2B5EF4-FFF2-40B4-BE49-F238E27FC236}">
                  <a16:creationId xmlns:a16="http://schemas.microsoft.com/office/drawing/2014/main" id="{00000000-0008-0000-1300-00000D9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85025" name="Check Box 1" hidden="1">
              <a:extLst>
                <a:ext uri="{63B3BB69-23CF-44E3-9099-C40C66FF867C}">
                  <a14:compatExt spid="_x0000_s385025"/>
                </a:ext>
                <a:ext uri="{FF2B5EF4-FFF2-40B4-BE49-F238E27FC236}">
                  <a16:creationId xmlns:a16="http://schemas.microsoft.com/office/drawing/2014/main" id="{00000000-0008-0000-0200-000001E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85026" name="Check Box 2" hidden="1">
              <a:extLst>
                <a:ext uri="{63B3BB69-23CF-44E3-9099-C40C66FF867C}">
                  <a14:compatExt spid="_x0000_s385026"/>
                </a:ext>
                <a:ext uri="{FF2B5EF4-FFF2-40B4-BE49-F238E27FC236}">
                  <a16:creationId xmlns:a16="http://schemas.microsoft.com/office/drawing/2014/main" id="{00000000-0008-0000-0200-000002E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85027" name="Check Box 3" hidden="1">
              <a:extLst>
                <a:ext uri="{63B3BB69-23CF-44E3-9099-C40C66FF867C}">
                  <a14:compatExt spid="_x0000_s385027"/>
                </a:ext>
                <a:ext uri="{FF2B5EF4-FFF2-40B4-BE49-F238E27FC236}">
                  <a16:creationId xmlns:a16="http://schemas.microsoft.com/office/drawing/2014/main" id="{00000000-0008-0000-0200-000003E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85028" name="Check Box 4" hidden="1">
              <a:extLst>
                <a:ext uri="{63B3BB69-23CF-44E3-9099-C40C66FF867C}">
                  <a14:compatExt spid="_x0000_s385028"/>
                </a:ext>
                <a:ext uri="{FF2B5EF4-FFF2-40B4-BE49-F238E27FC236}">
                  <a16:creationId xmlns:a16="http://schemas.microsoft.com/office/drawing/2014/main" id="{00000000-0008-0000-0200-000004E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85029" name="Check Box 5" hidden="1">
              <a:extLst>
                <a:ext uri="{63B3BB69-23CF-44E3-9099-C40C66FF867C}">
                  <a14:compatExt spid="_x0000_s385029"/>
                </a:ext>
                <a:ext uri="{FF2B5EF4-FFF2-40B4-BE49-F238E27FC236}">
                  <a16:creationId xmlns:a16="http://schemas.microsoft.com/office/drawing/2014/main" id="{00000000-0008-0000-0200-000005E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85030" name="Check Box 6" hidden="1">
              <a:extLst>
                <a:ext uri="{63B3BB69-23CF-44E3-9099-C40C66FF867C}">
                  <a14:compatExt spid="_x0000_s385030"/>
                </a:ext>
                <a:ext uri="{FF2B5EF4-FFF2-40B4-BE49-F238E27FC236}">
                  <a16:creationId xmlns:a16="http://schemas.microsoft.com/office/drawing/2014/main" id="{00000000-0008-0000-0200-000006E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85031" name="Check Box 7" hidden="1">
              <a:extLst>
                <a:ext uri="{63B3BB69-23CF-44E3-9099-C40C66FF867C}">
                  <a14:compatExt spid="_x0000_s385031"/>
                </a:ext>
                <a:ext uri="{FF2B5EF4-FFF2-40B4-BE49-F238E27FC236}">
                  <a16:creationId xmlns:a16="http://schemas.microsoft.com/office/drawing/2014/main" id="{00000000-0008-0000-0200-000007E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85032" name="Check Box 8" hidden="1">
              <a:extLst>
                <a:ext uri="{63B3BB69-23CF-44E3-9099-C40C66FF867C}">
                  <a14:compatExt spid="_x0000_s385032"/>
                </a:ext>
                <a:ext uri="{FF2B5EF4-FFF2-40B4-BE49-F238E27FC236}">
                  <a16:creationId xmlns:a16="http://schemas.microsoft.com/office/drawing/2014/main" id="{00000000-0008-0000-0200-000008E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85033" name="Check Box 9" hidden="1">
              <a:extLst>
                <a:ext uri="{63B3BB69-23CF-44E3-9099-C40C66FF867C}">
                  <a14:compatExt spid="_x0000_s385033"/>
                </a:ext>
                <a:ext uri="{FF2B5EF4-FFF2-40B4-BE49-F238E27FC236}">
                  <a16:creationId xmlns:a16="http://schemas.microsoft.com/office/drawing/2014/main" id="{00000000-0008-0000-0200-000009E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85034" name="Check Box 10" hidden="1">
              <a:extLst>
                <a:ext uri="{63B3BB69-23CF-44E3-9099-C40C66FF867C}">
                  <a14:compatExt spid="_x0000_s385034"/>
                </a:ext>
                <a:ext uri="{FF2B5EF4-FFF2-40B4-BE49-F238E27FC236}">
                  <a16:creationId xmlns:a16="http://schemas.microsoft.com/office/drawing/2014/main" id="{00000000-0008-0000-0200-00000AE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85035" name="Check Box 11" hidden="1">
              <a:extLst>
                <a:ext uri="{63B3BB69-23CF-44E3-9099-C40C66FF867C}">
                  <a14:compatExt spid="_x0000_s385035"/>
                </a:ext>
                <a:ext uri="{FF2B5EF4-FFF2-40B4-BE49-F238E27FC236}">
                  <a16:creationId xmlns:a16="http://schemas.microsoft.com/office/drawing/2014/main" id="{00000000-0008-0000-0200-00000BE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85036" name="Check Box 12" hidden="1">
              <a:extLst>
                <a:ext uri="{63B3BB69-23CF-44E3-9099-C40C66FF867C}">
                  <a14:compatExt spid="_x0000_s385036"/>
                </a:ext>
                <a:ext uri="{FF2B5EF4-FFF2-40B4-BE49-F238E27FC236}">
                  <a16:creationId xmlns:a16="http://schemas.microsoft.com/office/drawing/2014/main" id="{00000000-0008-0000-0200-00000CE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85037" name="Check Box 13" hidden="1">
              <a:extLst>
                <a:ext uri="{63B3BB69-23CF-44E3-9099-C40C66FF867C}">
                  <a14:compatExt spid="_x0000_s385037"/>
                </a:ext>
                <a:ext uri="{FF2B5EF4-FFF2-40B4-BE49-F238E27FC236}">
                  <a16:creationId xmlns:a16="http://schemas.microsoft.com/office/drawing/2014/main" id="{00000000-0008-0000-0200-00000DE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66593" name="Check Box 1" hidden="1">
              <a:extLst>
                <a:ext uri="{63B3BB69-23CF-44E3-9099-C40C66FF867C}">
                  <a14:compatExt spid="_x0000_s366593"/>
                </a:ext>
                <a:ext uri="{FF2B5EF4-FFF2-40B4-BE49-F238E27FC236}">
                  <a16:creationId xmlns:a16="http://schemas.microsoft.com/office/drawing/2014/main" id="{00000000-0008-0000-1400-0000019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66594" name="Check Box 2" hidden="1">
              <a:extLst>
                <a:ext uri="{63B3BB69-23CF-44E3-9099-C40C66FF867C}">
                  <a14:compatExt spid="_x0000_s366594"/>
                </a:ext>
                <a:ext uri="{FF2B5EF4-FFF2-40B4-BE49-F238E27FC236}">
                  <a16:creationId xmlns:a16="http://schemas.microsoft.com/office/drawing/2014/main" id="{00000000-0008-0000-1400-0000029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66595" name="Check Box 3" hidden="1">
              <a:extLst>
                <a:ext uri="{63B3BB69-23CF-44E3-9099-C40C66FF867C}">
                  <a14:compatExt spid="_x0000_s366595"/>
                </a:ext>
                <a:ext uri="{FF2B5EF4-FFF2-40B4-BE49-F238E27FC236}">
                  <a16:creationId xmlns:a16="http://schemas.microsoft.com/office/drawing/2014/main" id="{00000000-0008-0000-1400-0000039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66596" name="Check Box 4" hidden="1">
              <a:extLst>
                <a:ext uri="{63B3BB69-23CF-44E3-9099-C40C66FF867C}">
                  <a14:compatExt spid="_x0000_s366596"/>
                </a:ext>
                <a:ext uri="{FF2B5EF4-FFF2-40B4-BE49-F238E27FC236}">
                  <a16:creationId xmlns:a16="http://schemas.microsoft.com/office/drawing/2014/main" id="{00000000-0008-0000-1400-0000049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66597" name="Check Box 5" hidden="1">
              <a:extLst>
                <a:ext uri="{63B3BB69-23CF-44E3-9099-C40C66FF867C}">
                  <a14:compatExt spid="_x0000_s366597"/>
                </a:ext>
                <a:ext uri="{FF2B5EF4-FFF2-40B4-BE49-F238E27FC236}">
                  <a16:creationId xmlns:a16="http://schemas.microsoft.com/office/drawing/2014/main" id="{00000000-0008-0000-1400-0000059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66598" name="Check Box 6" hidden="1">
              <a:extLst>
                <a:ext uri="{63B3BB69-23CF-44E3-9099-C40C66FF867C}">
                  <a14:compatExt spid="_x0000_s366598"/>
                </a:ext>
                <a:ext uri="{FF2B5EF4-FFF2-40B4-BE49-F238E27FC236}">
                  <a16:creationId xmlns:a16="http://schemas.microsoft.com/office/drawing/2014/main" id="{00000000-0008-0000-1400-0000069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66599" name="Check Box 7" hidden="1">
              <a:extLst>
                <a:ext uri="{63B3BB69-23CF-44E3-9099-C40C66FF867C}">
                  <a14:compatExt spid="_x0000_s366599"/>
                </a:ext>
                <a:ext uri="{FF2B5EF4-FFF2-40B4-BE49-F238E27FC236}">
                  <a16:creationId xmlns:a16="http://schemas.microsoft.com/office/drawing/2014/main" id="{00000000-0008-0000-1400-0000079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66600" name="Check Box 8" hidden="1">
              <a:extLst>
                <a:ext uri="{63B3BB69-23CF-44E3-9099-C40C66FF867C}">
                  <a14:compatExt spid="_x0000_s366600"/>
                </a:ext>
                <a:ext uri="{FF2B5EF4-FFF2-40B4-BE49-F238E27FC236}">
                  <a16:creationId xmlns:a16="http://schemas.microsoft.com/office/drawing/2014/main" id="{00000000-0008-0000-1400-0000089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66601" name="Check Box 9" hidden="1">
              <a:extLst>
                <a:ext uri="{63B3BB69-23CF-44E3-9099-C40C66FF867C}">
                  <a14:compatExt spid="_x0000_s366601"/>
                </a:ext>
                <a:ext uri="{FF2B5EF4-FFF2-40B4-BE49-F238E27FC236}">
                  <a16:creationId xmlns:a16="http://schemas.microsoft.com/office/drawing/2014/main" id="{00000000-0008-0000-1400-0000099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66602" name="Check Box 10" hidden="1">
              <a:extLst>
                <a:ext uri="{63B3BB69-23CF-44E3-9099-C40C66FF867C}">
                  <a14:compatExt spid="_x0000_s366602"/>
                </a:ext>
                <a:ext uri="{FF2B5EF4-FFF2-40B4-BE49-F238E27FC236}">
                  <a16:creationId xmlns:a16="http://schemas.microsoft.com/office/drawing/2014/main" id="{00000000-0008-0000-1400-00000A9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66603" name="Check Box 11" hidden="1">
              <a:extLst>
                <a:ext uri="{63B3BB69-23CF-44E3-9099-C40C66FF867C}">
                  <a14:compatExt spid="_x0000_s366603"/>
                </a:ext>
                <a:ext uri="{FF2B5EF4-FFF2-40B4-BE49-F238E27FC236}">
                  <a16:creationId xmlns:a16="http://schemas.microsoft.com/office/drawing/2014/main" id="{00000000-0008-0000-1400-00000B9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66604" name="Check Box 12" hidden="1">
              <a:extLst>
                <a:ext uri="{63B3BB69-23CF-44E3-9099-C40C66FF867C}">
                  <a14:compatExt spid="_x0000_s366604"/>
                </a:ext>
                <a:ext uri="{FF2B5EF4-FFF2-40B4-BE49-F238E27FC236}">
                  <a16:creationId xmlns:a16="http://schemas.microsoft.com/office/drawing/2014/main" id="{00000000-0008-0000-1400-00000C9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66605" name="Check Box 13" hidden="1">
              <a:extLst>
                <a:ext uri="{63B3BB69-23CF-44E3-9099-C40C66FF867C}">
                  <a14:compatExt spid="_x0000_s366605"/>
                </a:ext>
                <a:ext uri="{FF2B5EF4-FFF2-40B4-BE49-F238E27FC236}">
                  <a16:creationId xmlns:a16="http://schemas.microsoft.com/office/drawing/2014/main" id="{00000000-0008-0000-1400-00000D9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65569" name="Check Box 1" hidden="1">
              <a:extLst>
                <a:ext uri="{63B3BB69-23CF-44E3-9099-C40C66FF867C}">
                  <a14:compatExt spid="_x0000_s365569"/>
                </a:ext>
                <a:ext uri="{FF2B5EF4-FFF2-40B4-BE49-F238E27FC236}">
                  <a16:creationId xmlns:a16="http://schemas.microsoft.com/office/drawing/2014/main" id="{00000000-0008-0000-1500-000001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65570" name="Check Box 2" hidden="1">
              <a:extLst>
                <a:ext uri="{63B3BB69-23CF-44E3-9099-C40C66FF867C}">
                  <a14:compatExt spid="_x0000_s365570"/>
                </a:ext>
                <a:ext uri="{FF2B5EF4-FFF2-40B4-BE49-F238E27FC236}">
                  <a16:creationId xmlns:a16="http://schemas.microsoft.com/office/drawing/2014/main" id="{00000000-0008-0000-1500-000002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65571" name="Check Box 3" hidden="1">
              <a:extLst>
                <a:ext uri="{63B3BB69-23CF-44E3-9099-C40C66FF867C}">
                  <a14:compatExt spid="_x0000_s365571"/>
                </a:ext>
                <a:ext uri="{FF2B5EF4-FFF2-40B4-BE49-F238E27FC236}">
                  <a16:creationId xmlns:a16="http://schemas.microsoft.com/office/drawing/2014/main" id="{00000000-0008-0000-1500-000003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65572" name="Check Box 4" hidden="1">
              <a:extLst>
                <a:ext uri="{63B3BB69-23CF-44E3-9099-C40C66FF867C}">
                  <a14:compatExt spid="_x0000_s365572"/>
                </a:ext>
                <a:ext uri="{FF2B5EF4-FFF2-40B4-BE49-F238E27FC236}">
                  <a16:creationId xmlns:a16="http://schemas.microsoft.com/office/drawing/2014/main" id="{00000000-0008-0000-1500-000004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65573" name="Check Box 5" hidden="1">
              <a:extLst>
                <a:ext uri="{63B3BB69-23CF-44E3-9099-C40C66FF867C}">
                  <a14:compatExt spid="_x0000_s365573"/>
                </a:ext>
                <a:ext uri="{FF2B5EF4-FFF2-40B4-BE49-F238E27FC236}">
                  <a16:creationId xmlns:a16="http://schemas.microsoft.com/office/drawing/2014/main" id="{00000000-0008-0000-1500-000005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65574" name="Check Box 6" hidden="1">
              <a:extLst>
                <a:ext uri="{63B3BB69-23CF-44E3-9099-C40C66FF867C}">
                  <a14:compatExt spid="_x0000_s365574"/>
                </a:ext>
                <a:ext uri="{FF2B5EF4-FFF2-40B4-BE49-F238E27FC236}">
                  <a16:creationId xmlns:a16="http://schemas.microsoft.com/office/drawing/2014/main" id="{00000000-0008-0000-1500-000006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65575" name="Check Box 7" hidden="1">
              <a:extLst>
                <a:ext uri="{63B3BB69-23CF-44E3-9099-C40C66FF867C}">
                  <a14:compatExt spid="_x0000_s365575"/>
                </a:ext>
                <a:ext uri="{FF2B5EF4-FFF2-40B4-BE49-F238E27FC236}">
                  <a16:creationId xmlns:a16="http://schemas.microsoft.com/office/drawing/2014/main" id="{00000000-0008-0000-1500-000007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65576" name="Check Box 8" hidden="1">
              <a:extLst>
                <a:ext uri="{63B3BB69-23CF-44E3-9099-C40C66FF867C}">
                  <a14:compatExt spid="_x0000_s365576"/>
                </a:ext>
                <a:ext uri="{FF2B5EF4-FFF2-40B4-BE49-F238E27FC236}">
                  <a16:creationId xmlns:a16="http://schemas.microsoft.com/office/drawing/2014/main" id="{00000000-0008-0000-1500-000008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65577" name="Check Box 9" hidden="1">
              <a:extLst>
                <a:ext uri="{63B3BB69-23CF-44E3-9099-C40C66FF867C}">
                  <a14:compatExt spid="_x0000_s365577"/>
                </a:ext>
                <a:ext uri="{FF2B5EF4-FFF2-40B4-BE49-F238E27FC236}">
                  <a16:creationId xmlns:a16="http://schemas.microsoft.com/office/drawing/2014/main" id="{00000000-0008-0000-1500-000009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65578" name="Check Box 10" hidden="1">
              <a:extLst>
                <a:ext uri="{63B3BB69-23CF-44E3-9099-C40C66FF867C}">
                  <a14:compatExt spid="_x0000_s365578"/>
                </a:ext>
                <a:ext uri="{FF2B5EF4-FFF2-40B4-BE49-F238E27FC236}">
                  <a16:creationId xmlns:a16="http://schemas.microsoft.com/office/drawing/2014/main" id="{00000000-0008-0000-1500-00000A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65579" name="Check Box 11" hidden="1">
              <a:extLst>
                <a:ext uri="{63B3BB69-23CF-44E3-9099-C40C66FF867C}">
                  <a14:compatExt spid="_x0000_s365579"/>
                </a:ext>
                <a:ext uri="{FF2B5EF4-FFF2-40B4-BE49-F238E27FC236}">
                  <a16:creationId xmlns:a16="http://schemas.microsoft.com/office/drawing/2014/main" id="{00000000-0008-0000-1500-00000B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65580" name="Check Box 12" hidden="1">
              <a:extLst>
                <a:ext uri="{63B3BB69-23CF-44E3-9099-C40C66FF867C}">
                  <a14:compatExt spid="_x0000_s365580"/>
                </a:ext>
                <a:ext uri="{FF2B5EF4-FFF2-40B4-BE49-F238E27FC236}">
                  <a16:creationId xmlns:a16="http://schemas.microsoft.com/office/drawing/2014/main" id="{00000000-0008-0000-1500-00000C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65581" name="Check Box 13" hidden="1">
              <a:extLst>
                <a:ext uri="{63B3BB69-23CF-44E3-9099-C40C66FF867C}">
                  <a14:compatExt spid="_x0000_s365581"/>
                </a:ext>
                <a:ext uri="{FF2B5EF4-FFF2-40B4-BE49-F238E27FC236}">
                  <a16:creationId xmlns:a16="http://schemas.microsoft.com/office/drawing/2014/main" id="{00000000-0008-0000-1500-00000D9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64545" name="Check Box 1" hidden="1">
              <a:extLst>
                <a:ext uri="{63B3BB69-23CF-44E3-9099-C40C66FF867C}">
                  <a14:compatExt spid="_x0000_s364545"/>
                </a:ext>
                <a:ext uri="{FF2B5EF4-FFF2-40B4-BE49-F238E27FC236}">
                  <a16:creationId xmlns:a16="http://schemas.microsoft.com/office/drawing/2014/main" id="{00000000-0008-0000-1600-0000019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64546" name="Check Box 2" hidden="1">
              <a:extLst>
                <a:ext uri="{63B3BB69-23CF-44E3-9099-C40C66FF867C}">
                  <a14:compatExt spid="_x0000_s364546"/>
                </a:ext>
                <a:ext uri="{FF2B5EF4-FFF2-40B4-BE49-F238E27FC236}">
                  <a16:creationId xmlns:a16="http://schemas.microsoft.com/office/drawing/2014/main" id="{00000000-0008-0000-1600-0000029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64547" name="Check Box 3" hidden="1">
              <a:extLst>
                <a:ext uri="{63B3BB69-23CF-44E3-9099-C40C66FF867C}">
                  <a14:compatExt spid="_x0000_s364547"/>
                </a:ext>
                <a:ext uri="{FF2B5EF4-FFF2-40B4-BE49-F238E27FC236}">
                  <a16:creationId xmlns:a16="http://schemas.microsoft.com/office/drawing/2014/main" id="{00000000-0008-0000-1600-0000039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64548" name="Check Box 4" hidden="1">
              <a:extLst>
                <a:ext uri="{63B3BB69-23CF-44E3-9099-C40C66FF867C}">
                  <a14:compatExt spid="_x0000_s364548"/>
                </a:ext>
                <a:ext uri="{FF2B5EF4-FFF2-40B4-BE49-F238E27FC236}">
                  <a16:creationId xmlns:a16="http://schemas.microsoft.com/office/drawing/2014/main" id="{00000000-0008-0000-1600-0000049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64549" name="Check Box 5" hidden="1">
              <a:extLst>
                <a:ext uri="{63B3BB69-23CF-44E3-9099-C40C66FF867C}">
                  <a14:compatExt spid="_x0000_s364549"/>
                </a:ext>
                <a:ext uri="{FF2B5EF4-FFF2-40B4-BE49-F238E27FC236}">
                  <a16:creationId xmlns:a16="http://schemas.microsoft.com/office/drawing/2014/main" id="{00000000-0008-0000-1600-0000059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64550" name="Check Box 6" hidden="1">
              <a:extLst>
                <a:ext uri="{63B3BB69-23CF-44E3-9099-C40C66FF867C}">
                  <a14:compatExt spid="_x0000_s364550"/>
                </a:ext>
                <a:ext uri="{FF2B5EF4-FFF2-40B4-BE49-F238E27FC236}">
                  <a16:creationId xmlns:a16="http://schemas.microsoft.com/office/drawing/2014/main" id="{00000000-0008-0000-1600-0000069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64551" name="Check Box 7" hidden="1">
              <a:extLst>
                <a:ext uri="{63B3BB69-23CF-44E3-9099-C40C66FF867C}">
                  <a14:compatExt spid="_x0000_s364551"/>
                </a:ext>
                <a:ext uri="{FF2B5EF4-FFF2-40B4-BE49-F238E27FC236}">
                  <a16:creationId xmlns:a16="http://schemas.microsoft.com/office/drawing/2014/main" id="{00000000-0008-0000-1600-0000079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64552" name="Check Box 8" hidden="1">
              <a:extLst>
                <a:ext uri="{63B3BB69-23CF-44E3-9099-C40C66FF867C}">
                  <a14:compatExt spid="_x0000_s364552"/>
                </a:ext>
                <a:ext uri="{FF2B5EF4-FFF2-40B4-BE49-F238E27FC236}">
                  <a16:creationId xmlns:a16="http://schemas.microsoft.com/office/drawing/2014/main" id="{00000000-0008-0000-1600-0000089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64553" name="Check Box 9" hidden="1">
              <a:extLst>
                <a:ext uri="{63B3BB69-23CF-44E3-9099-C40C66FF867C}">
                  <a14:compatExt spid="_x0000_s364553"/>
                </a:ext>
                <a:ext uri="{FF2B5EF4-FFF2-40B4-BE49-F238E27FC236}">
                  <a16:creationId xmlns:a16="http://schemas.microsoft.com/office/drawing/2014/main" id="{00000000-0008-0000-1600-0000099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64554" name="Check Box 10" hidden="1">
              <a:extLst>
                <a:ext uri="{63B3BB69-23CF-44E3-9099-C40C66FF867C}">
                  <a14:compatExt spid="_x0000_s364554"/>
                </a:ext>
                <a:ext uri="{FF2B5EF4-FFF2-40B4-BE49-F238E27FC236}">
                  <a16:creationId xmlns:a16="http://schemas.microsoft.com/office/drawing/2014/main" id="{00000000-0008-0000-1600-00000A9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64555" name="Check Box 11" hidden="1">
              <a:extLst>
                <a:ext uri="{63B3BB69-23CF-44E3-9099-C40C66FF867C}">
                  <a14:compatExt spid="_x0000_s364555"/>
                </a:ext>
                <a:ext uri="{FF2B5EF4-FFF2-40B4-BE49-F238E27FC236}">
                  <a16:creationId xmlns:a16="http://schemas.microsoft.com/office/drawing/2014/main" id="{00000000-0008-0000-1600-00000B9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64556" name="Check Box 12" hidden="1">
              <a:extLst>
                <a:ext uri="{63B3BB69-23CF-44E3-9099-C40C66FF867C}">
                  <a14:compatExt spid="_x0000_s364556"/>
                </a:ext>
                <a:ext uri="{FF2B5EF4-FFF2-40B4-BE49-F238E27FC236}">
                  <a16:creationId xmlns:a16="http://schemas.microsoft.com/office/drawing/2014/main" id="{00000000-0008-0000-1600-00000C9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64557" name="Check Box 13" hidden="1">
              <a:extLst>
                <a:ext uri="{63B3BB69-23CF-44E3-9099-C40C66FF867C}">
                  <a14:compatExt spid="_x0000_s364557"/>
                </a:ext>
                <a:ext uri="{FF2B5EF4-FFF2-40B4-BE49-F238E27FC236}">
                  <a16:creationId xmlns:a16="http://schemas.microsoft.com/office/drawing/2014/main" id="{00000000-0008-0000-1600-00000D9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63521" name="Check Box 1" hidden="1">
              <a:extLst>
                <a:ext uri="{63B3BB69-23CF-44E3-9099-C40C66FF867C}">
                  <a14:compatExt spid="_x0000_s363521"/>
                </a:ext>
                <a:ext uri="{FF2B5EF4-FFF2-40B4-BE49-F238E27FC236}">
                  <a16:creationId xmlns:a16="http://schemas.microsoft.com/office/drawing/2014/main" id="{00000000-0008-0000-1700-0000018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63522" name="Check Box 2" hidden="1">
              <a:extLst>
                <a:ext uri="{63B3BB69-23CF-44E3-9099-C40C66FF867C}">
                  <a14:compatExt spid="_x0000_s363522"/>
                </a:ext>
                <a:ext uri="{FF2B5EF4-FFF2-40B4-BE49-F238E27FC236}">
                  <a16:creationId xmlns:a16="http://schemas.microsoft.com/office/drawing/2014/main" id="{00000000-0008-0000-1700-0000028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63523" name="Check Box 3" hidden="1">
              <a:extLst>
                <a:ext uri="{63B3BB69-23CF-44E3-9099-C40C66FF867C}">
                  <a14:compatExt spid="_x0000_s363523"/>
                </a:ext>
                <a:ext uri="{FF2B5EF4-FFF2-40B4-BE49-F238E27FC236}">
                  <a16:creationId xmlns:a16="http://schemas.microsoft.com/office/drawing/2014/main" id="{00000000-0008-0000-1700-0000038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63524" name="Check Box 4" hidden="1">
              <a:extLst>
                <a:ext uri="{63B3BB69-23CF-44E3-9099-C40C66FF867C}">
                  <a14:compatExt spid="_x0000_s363524"/>
                </a:ext>
                <a:ext uri="{FF2B5EF4-FFF2-40B4-BE49-F238E27FC236}">
                  <a16:creationId xmlns:a16="http://schemas.microsoft.com/office/drawing/2014/main" id="{00000000-0008-0000-1700-0000048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63525" name="Check Box 5" hidden="1">
              <a:extLst>
                <a:ext uri="{63B3BB69-23CF-44E3-9099-C40C66FF867C}">
                  <a14:compatExt spid="_x0000_s363525"/>
                </a:ext>
                <a:ext uri="{FF2B5EF4-FFF2-40B4-BE49-F238E27FC236}">
                  <a16:creationId xmlns:a16="http://schemas.microsoft.com/office/drawing/2014/main" id="{00000000-0008-0000-1700-0000058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63526" name="Check Box 6" hidden="1">
              <a:extLst>
                <a:ext uri="{63B3BB69-23CF-44E3-9099-C40C66FF867C}">
                  <a14:compatExt spid="_x0000_s363526"/>
                </a:ext>
                <a:ext uri="{FF2B5EF4-FFF2-40B4-BE49-F238E27FC236}">
                  <a16:creationId xmlns:a16="http://schemas.microsoft.com/office/drawing/2014/main" id="{00000000-0008-0000-1700-0000068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63527" name="Check Box 7" hidden="1">
              <a:extLst>
                <a:ext uri="{63B3BB69-23CF-44E3-9099-C40C66FF867C}">
                  <a14:compatExt spid="_x0000_s363527"/>
                </a:ext>
                <a:ext uri="{FF2B5EF4-FFF2-40B4-BE49-F238E27FC236}">
                  <a16:creationId xmlns:a16="http://schemas.microsoft.com/office/drawing/2014/main" id="{00000000-0008-0000-1700-0000078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63528" name="Check Box 8" hidden="1">
              <a:extLst>
                <a:ext uri="{63B3BB69-23CF-44E3-9099-C40C66FF867C}">
                  <a14:compatExt spid="_x0000_s363528"/>
                </a:ext>
                <a:ext uri="{FF2B5EF4-FFF2-40B4-BE49-F238E27FC236}">
                  <a16:creationId xmlns:a16="http://schemas.microsoft.com/office/drawing/2014/main" id="{00000000-0008-0000-1700-0000088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63529" name="Check Box 9" hidden="1">
              <a:extLst>
                <a:ext uri="{63B3BB69-23CF-44E3-9099-C40C66FF867C}">
                  <a14:compatExt spid="_x0000_s363529"/>
                </a:ext>
                <a:ext uri="{FF2B5EF4-FFF2-40B4-BE49-F238E27FC236}">
                  <a16:creationId xmlns:a16="http://schemas.microsoft.com/office/drawing/2014/main" id="{00000000-0008-0000-1700-0000098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63530" name="Check Box 10" hidden="1">
              <a:extLst>
                <a:ext uri="{63B3BB69-23CF-44E3-9099-C40C66FF867C}">
                  <a14:compatExt spid="_x0000_s363530"/>
                </a:ext>
                <a:ext uri="{FF2B5EF4-FFF2-40B4-BE49-F238E27FC236}">
                  <a16:creationId xmlns:a16="http://schemas.microsoft.com/office/drawing/2014/main" id="{00000000-0008-0000-1700-00000A8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63531" name="Check Box 11" hidden="1">
              <a:extLst>
                <a:ext uri="{63B3BB69-23CF-44E3-9099-C40C66FF867C}">
                  <a14:compatExt spid="_x0000_s363531"/>
                </a:ext>
                <a:ext uri="{FF2B5EF4-FFF2-40B4-BE49-F238E27FC236}">
                  <a16:creationId xmlns:a16="http://schemas.microsoft.com/office/drawing/2014/main" id="{00000000-0008-0000-1700-00000B8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63532" name="Check Box 12" hidden="1">
              <a:extLst>
                <a:ext uri="{63B3BB69-23CF-44E3-9099-C40C66FF867C}">
                  <a14:compatExt spid="_x0000_s363532"/>
                </a:ext>
                <a:ext uri="{FF2B5EF4-FFF2-40B4-BE49-F238E27FC236}">
                  <a16:creationId xmlns:a16="http://schemas.microsoft.com/office/drawing/2014/main" id="{00000000-0008-0000-1700-00000C8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63533" name="Check Box 13" hidden="1">
              <a:extLst>
                <a:ext uri="{63B3BB69-23CF-44E3-9099-C40C66FF867C}">
                  <a14:compatExt spid="_x0000_s363533"/>
                </a:ext>
                <a:ext uri="{FF2B5EF4-FFF2-40B4-BE49-F238E27FC236}">
                  <a16:creationId xmlns:a16="http://schemas.microsoft.com/office/drawing/2014/main" id="{00000000-0008-0000-1700-00000D8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62497" name="Check Box 1" hidden="1">
              <a:extLst>
                <a:ext uri="{63B3BB69-23CF-44E3-9099-C40C66FF867C}">
                  <a14:compatExt spid="_x0000_s362497"/>
                </a:ext>
                <a:ext uri="{FF2B5EF4-FFF2-40B4-BE49-F238E27FC236}">
                  <a16:creationId xmlns:a16="http://schemas.microsoft.com/office/drawing/2014/main" id="{00000000-0008-0000-1800-0000018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62498" name="Check Box 2" hidden="1">
              <a:extLst>
                <a:ext uri="{63B3BB69-23CF-44E3-9099-C40C66FF867C}">
                  <a14:compatExt spid="_x0000_s362498"/>
                </a:ext>
                <a:ext uri="{FF2B5EF4-FFF2-40B4-BE49-F238E27FC236}">
                  <a16:creationId xmlns:a16="http://schemas.microsoft.com/office/drawing/2014/main" id="{00000000-0008-0000-1800-0000028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62499" name="Check Box 3" hidden="1">
              <a:extLst>
                <a:ext uri="{63B3BB69-23CF-44E3-9099-C40C66FF867C}">
                  <a14:compatExt spid="_x0000_s362499"/>
                </a:ext>
                <a:ext uri="{FF2B5EF4-FFF2-40B4-BE49-F238E27FC236}">
                  <a16:creationId xmlns:a16="http://schemas.microsoft.com/office/drawing/2014/main" id="{00000000-0008-0000-1800-0000038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62500" name="Check Box 4" hidden="1">
              <a:extLst>
                <a:ext uri="{63B3BB69-23CF-44E3-9099-C40C66FF867C}">
                  <a14:compatExt spid="_x0000_s362500"/>
                </a:ext>
                <a:ext uri="{FF2B5EF4-FFF2-40B4-BE49-F238E27FC236}">
                  <a16:creationId xmlns:a16="http://schemas.microsoft.com/office/drawing/2014/main" id="{00000000-0008-0000-1800-0000048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62501" name="Check Box 5" hidden="1">
              <a:extLst>
                <a:ext uri="{63B3BB69-23CF-44E3-9099-C40C66FF867C}">
                  <a14:compatExt spid="_x0000_s362501"/>
                </a:ext>
                <a:ext uri="{FF2B5EF4-FFF2-40B4-BE49-F238E27FC236}">
                  <a16:creationId xmlns:a16="http://schemas.microsoft.com/office/drawing/2014/main" id="{00000000-0008-0000-1800-0000058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62502" name="Check Box 6" hidden="1">
              <a:extLst>
                <a:ext uri="{63B3BB69-23CF-44E3-9099-C40C66FF867C}">
                  <a14:compatExt spid="_x0000_s362502"/>
                </a:ext>
                <a:ext uri="{FF2B5EF4-FFF2-40B4-BE49-F238E27FC236}">
                  <a16:creationId xmlns:a16="http://schemas.microsoft.com/office/drawing/2014/main" id="{00000000-0008-0000-1800-0000068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62503" name="Check Box 7" hidden="1">
              <a:extLst>
                <a:ext uri="{63B3BB69-23CF-44E3-9099-C40C66FF867C}">
                  <a14:compatExt spid="_x0000_s362503"/>
                </a:ext>
                <a:ext uri="{FF2B5EF4-FFF2-40B4-BE49-F238E27FC236}">
                  <a16:creationId xmlns:a16="http://schemas.microsoft.com/office/drawing/2014/main" id="{00000000-0008-0000-1800-0000078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62504" name="Check Box 8" hidden="1">
              <a:extLst>
                <a:ext uri="{63B3BB69-23CF-44E3-9099-C40C66FF867C}">
                  <a14:compatExt spid="_x0000_s362504"/>
                </a:ext>
                <a:ext uri="{FF2B5EF4-FFF2-40B4-BE49-F238E27FC236}">
                  <a16:creationId xmlns:a16="http://schemas.microsoft.com/office/drawing/2014/main" id="{00000000-0008-0000-1800-0000088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62505" name="Check Box 9" hidden="1">
              <a:extLst>
                <a:ext uri="{63B3BB69-23CF-44E3-9099-C40C66FF867C}">
                  <a14:compatExt spid="_x0000_s362505"/>
                </a:ext>
                <a:ext uri="{FF2B5EF4-FFF2-40B4-BE49-F238E27FC236}">
                  <a16:creationId xmlns:a16="http://schemas.microsoft.com/office/drawing/2014/main" id="{00000000-0008-0000-1800-0000098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62506" name="Check Box 10" hidden="1">
              <a:extLst>
                <a:ext uri="{63B3BB69-23CF-44E3-9099-C40C66FF867C}">
                  <a14:compatExt spid="_x0000_s362506"/>
                </a:ext>
                <a:ext uri="{FF2B5EF4-FFF2-40B4-BE49-F238E27FC236}">
                  <a16:creationId xmlns:a16="http://schemas.microsoft.com/office/drawing/2014/main" id="{00000000-0008-0000-1800-00000A8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62507" name="Check Box 11" hidden="1">
              <a:extLst>
                <a:ext uri="{63B3BB69-23CF-44E3-9099-C40C66FF867C}">
                  <a14:compatExt spid="_x0000_s362507"/>
                </a:ext>
                <a:ext uri="{FF2B5EF4-FFF2-40B4-BE49-F238E27FC236}">
                  <a16:creationId xmlns:a16="http://schemas.microsoft.com/office/drawing/2014/main" id="{00000000-0008-0000-1800-00000B8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62508" name="Check Box 12" hidden="1">
              <a:extLst>
                <a:ext uri="{63B3BB69-23CF-44E3-9099-C40C66FF867C}">
                  <a14:compatExt spid="_x0000_s362508"/>
                </a:ext>
                <a:ext uri="{FF2B5EF4-FFF2-40B4-BE49-F238E27FC236}">
                  <a16:creationId xmlns:a16="http://schemas.microsoft.com/office/drawing/2014/main" id="{00000000-0008-0000-1800-00000C8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62509" name="Check Box 13" hidden="1">
              <a:extLst>
                <a:ext uri="{63B3BB69-23CF-44E3-9099-C40C66FF867C}">
                  <a14:compatExt spid="_x0000_s362509"/>
                </a:ext>
                <a:ext uri="{FF2B5EF4-FFF2-40B4-BE49-F238E27FC236}">
                  <a16:creationId xmlns:a16="http://schemas.microsoft.com/office/drawing/2014/main" id="{00000000-0008-0000-1800-00000D8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61473" name="Check Box 1" hidden="1">
              <a:extLst>
                <a:ext uri="{63B3BB69-23CF-44E3-9099-C40C66FF867C}">
                  <a14:compatExt spid="_x0000_s361473"/>
                </a:ext>
                <a:ext uri="{FF2B5EF4-FFF2-40B4-BE49-F238E27FC236}">
                  <a16:creationId xmlns:a16="http://schemas.microsoft.com/office/drawing/2014/main" id="{00000000-0008-0000-1900-000001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61474" name="Check Box 2" hidden="1">
              <a:extLst>
                <a:ext uri="{63B3BB69-23CF-44E3-9099-C40C66FF867C}">
                  <a14:compatExt spid="_x0000_s361474"/>
                </a:ext>
                <a:ext uri="{FF2B5EF4-FFF2-40B4-BE49-F238E27FC236}">
                  <a16:creationId xmlns:a16="http://schemas.microsoft.com/office/drawing/2014/main" id="{00000000-0008-0000-1900-000002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61475" name="Check Box 3" hidden="1">
              <a:extLst>
                <a:ext uri="{63B3BB69-23CF-44E3-9099-C40C66FF867C}">
                  <a14:compatExt spid="_x0000_s361475"/>
                </a:ext>
                <a:ext uri="{FF2B5EF4-FFF2-40B4-BE49-F238E27FC236}">
                  <a16:creationId xmlns:a16="http://schemas.microsoft.com/office/drawing/2014/main" id="{00000000-0008-0000-1900-000003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61476" name="Check Box 4" hidden="1">
              <a:extLst>
                <a:ext uri="{63B3BB69-23CF-44E3-9099-C40C66FF867C}">
                  <a14:compatExt spid="_x0000_s361476"/>
                </a:ext>
                <a:ext uri="{FF2B5EF4-FFF2-40B4-BE49-F238E27FC236}">
                  <a16:creationId xmlns:a16="http://schemas.microsoft.com/office/drawing/2014/main" id="{00000000-0008-0000-1900-000004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61477" name="Check Box 5" hidden="1">
              <a:extLst>
                <a:ext uri="{63B3BB69-23CF-44E3-9099-C40C66FF867C}">
                  <a14:compatExt spid="_x0000_s361477"/>
                </a:ext>
                <a:ext uri="{FF2B5EF4-FFF2-40B4-BE49-F238E27FC236}">
                  <a16:creationId xmlns:a16="http://schemas.microsoft.com/office/drawing/2014/main" id="{00000000-0008-0000-1900-000005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61478" name="Check Box 6" hidden="1">
              <a:extLst>
                <a:ext uri="{63B3BB69-23CF-44E3-9099-C40C66FF867C}">
                  <a14:compatExt spid="_x0000_s361478"/>
                </a:ext>
                <a:ext uri="{FF2B5EF4-FFF2-40B4-BE49-F238E27FC236}">
                  <a16:creationId xmlns:a16="http://schemas.microsoft.com/office/drawing/2014/main" id="{00000000-0008-0000-1900-000006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61479" name="Check Box 7" hidden="1">
              <a:extLst>
                <a:ext uri="{63B3BB69-23CF-44E3-9099-C40C66FF867C}">
                  <a14:compatExt spid="_x0000_s361479"/>
                </a:ext>
                <a:ext uri="{FF2B5EF4-FFF2-40B4-BE49-F238E27FC236}">
                  <a16:creationId xmlns:a16="http://schemas.microsoft.com/office/drawing/2014/main" id="{00000000-0008-0000-1900-000007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61480" name="Check Box 8" hidden="1">
              <a:extLst>
                <a:ext uri="{63B3BB69-23CF-44E3-9099-C40C66FF867C}">
                  <a14:compatExt spid="_x0000_s361480"/>
                </a:ext>
                <a:ext uri="{FF2B5EF4-FFF2-40B4-BE49-F238E27FC236}">
                  <a16:creationId xmlns:a16="http://schemas.microsoft.com/office/drawing/2014/main" id="{00000000-0008-0000-1900-000008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61481" name="Check Box 9" hidden="1">
              <a:extLst>
                <a:ext uri="{63B3BB69-23CF-44E3-9099-C40C66FF867C}">
                  <a14:compatExt spid="_x0000_s361481"/>
                </a:ext>
                <a:ext uri="{FF2B5EF4-FFF2-40B4-BE49-F238E27FC236}">
                  <a16:creationId xmlns:a16="http://schemas.microsoft.com/office/drawing/2014/main" id="{00000000-0008-0000-1900-000009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61482" name="Check Box 10" hidden="1">
              <a:extLst>
                <a:ext uri="{63B3BB69-23CF-44E3-9099-C40C66FF867C}">
                  <a14:compatExt spid="_x0000_s361482"/>
                </a:ext>
                <a:ext uri="{FF2B5EF4-FFF2-40B4-BE49-F238E27FC236}">
                  <a16:creationId xmlns:a16="http://schemas.microsoft.com/office/drawing/2014/main" id="{00000000-0008-0000-1900-00000A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61483" name="Check Box 11" hidden="1">
              <a:extLst>
                <a:ext uri="{63B3BB69-23CF-44E3-9099-C40C66FF867C}">
                  <a14:compatExt spid="_x0000_s361483"/>
                </a:ext>
                <a:ext uri="{FF2B5EF4-FFF2-40B4-BE49-F238E27FC236}">
                  <a16:creationId xmlns:a16="http://schemas.microsoft.com/office/drawing/2014/main" id="{00000000-0008-0000-1900-00000B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61484" name="Check Box 12" hidden="1">
              <a:extLst>
                <a:ext uri="{63B3BB69-23CF-44E3-9099-C40C66FF867C}">
                  <a14:compatExt spid="_x0000_s361484"/>
                </a:ext>
                <a:ext uri="{FF2B5EF4-FFF2-40B4-BE49-F238E27FC236}">
                  <a16:creationId xmlns:a16="http://schemas.microsoft.com/office/drawing/2014/main" id="{00000000-0008-0000-1900-00000C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61485" name="Check Box 13" hidden="1">
              <a:extLst>
                <a:ext uri="{63B3BB69-23CF-44E3-9099-C40C66FF867C}">
                  <a14:compatExt spid="_x0000_s361485"/>
                </a:ext>
                <a:ext uri="{FF2B5EF4-FFF2-40B4-BE49-F238E27FC236}">
                  <a16:creationId xmlns:a16="http://schemas.microsoft.com/office/drawing/2014/main" id="{00000000-0008-0000-1900-00000D8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60449" name="Check Box 1" hidden="1">
              <a:extLst>
                <a:ext uri="{63B3BB69-23CF-44E3-9099-C40C66FF867C}">
                  <a14:compatExt spid="_x0000_s360449"/>
                </a:ext>
                <a:ext uri="{FF2B5EF4-FFF2-40B4-BE49-F238E27FC236}">
                  <a16:creationId xmlns:a16="http://schemas.microsoft.com/office/drawing/2014/main" id="{00000000-0008-0000-1A00-0000018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60450" name="Check Box 2" hidden="1">
              <a:extLst>
                <a:ext uri="{63B3BB69-23CF-44E3-9099-C40C66FF867C}">
                  <a14:compatExt spid="_x0000_s360450"/>
                </a:ext>
                <a:ext uri="{FF2B5EF4-FFF2-40B4-BE49-F238E27FC236}">
                  <a16:creationId xmlns:a16="http://schemas.microsoft.com/office/drawing/2014/main" id="{00000000-0008-0000-1A00-0000028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60451" name="Check Box 3" hidden="1">
              <a:extLst>
                <a:ext uri="{63B3BB69-23CF-44E3-9099-C40C66FF867C}">
                  <a14:compatExt spid="_x0000_s360451"/>
                </a:ext>
                <a:ext uri="{FF2B5EF4-FFF2-40B4-BE49-F238E27FC236}">
                  <a16:creationId xmlns:a16="http://schemas.microsoft.com/office/drawing/2014/main" id="{00000000-0008-0000-1A00-0000038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60452" name="Check Box 4" hidden="1">
              <a:extLst>
                <a:ext uri="{63B3BB69-23CF-44E3-9099-C40C66FF867C}">
                  <a14:compatExt spid="_x0000_s360452"/>
                </a:ext>
                <a:ext uri="{FF2B5EF4-FFF2-40B4-BE49-F238E27FC236}">
                  <a16:creationId xmlns:a16="http://schemas.microsoft.com/office/drawing/2014/main" id="{00000000-0008-0000-1A00-0000048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60453" name="Check Box 5" hidden="1">
              <a:extLst>
                <a:ext uri="{63B3BB69-23CF-44E3-9099-C40C66FF867C}">
                  <a14:compatExt spid="_x0000_s360453"/>
                </a:ext>
                <a:ext uri="{FF2B5EF4-FFF2-40B4-BE49-F238E27FC236}">
                  <a16:creationId xmlns:a16="http://schemas.microsoft.com/office/drawing/2014/main" id="{00000000-0008-0000-1A00-0000058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60454" name="Check Box 6" hidden="1">
              <a:extLst>
                <a:ext uri="{63B3BB69-23CF-44E3-9099-C40C66FF867C}">
                  <a14:compatExt spid="_x0000_s360454"/>
                </a:ext>
                <a:ext uri="{FF2B5EF4-FFF2-40B4-BE49-F238E27FC236}">
                  <a16:creationId xmlns:a16="http://schemas.microsoft.com/office/drawing/2014/main" id="{00000000-0008-0000-1A00-0000068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60455" name="Check Box 7" hidden="1">
              <a:extLst>
                <a:ext uri="{63B3BB69-23CF-44E3-9099-C40C66FF867C}">
                  <a14:compatExt spid="_x0000_s360455"/>
                </a:ext>
                <a:ext uri="{FF2B5EF4-FFF2-40B4-BE49-F238E27FC236}">
                  <a16:creationId xmlns:a16="http://schemas.microsoft.com/office/drawing/2014/main" id="{00000000-0008-0000-1A00-0000078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60456" name="Check Box 8" hidden="1">
              <a:extLst>
                <a:ext uri="{63B3BB69-23CF-44E3-9099-C40C66FF867C}">
                  <a14:compatExt spid="_x0000_s360456"/>
                </a:ext>
                <a:ext uri="{FF2B5EF4-FFF2-40B4-BE49-F238E27FC236}">
                  <a16:creationId xmlns:a16="http://schemas.microsoft.com/office/drawing/2014/main" id="{00000000-0008-0000-1A00-0000088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60457" name="Check Box 9" hidden="1">
              <a:extLst>
                <a:ext uri="{63B3BB69-23CF-44E3-9099-C40C66FF867C}">
                  <a14:compatExt spid="_x0000_s360457"/>
                </a:ext>
                <a:ext uri="{FF2B5EF4-FFF2-40B4-BE49-F238E27FC236}">
                  <a16:creationId xmlns:a16="http://schemas.microsoft.com/office/drawing/2014/main" id="{00000000-0008-0000-1A00-0000098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60458" name="Check Box 10" hidden="1">
              <a:extLst>
                <a:ext uri="{63B3BB69-23CF-44E3-9099-C40C66FF867C}">
                  <a14:compatExt spid="_x0000_s360458"/>
                </a:ext>
                <a:ext uri="{FF2B5EF4-FFF2-40B4-BE49-F238E27FC236}">
                  <a16:creationId xmlns:a16="http://schemas.microsoft.com/office/drawing/2014/main" id="{00000000-0008-0000-1A00-00000A8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60459" name="Check Box 11" hidden="1">
              <a:extLst>
                <a:ext uri="{63B3BB69-23CF-44E3-9099-C40C66FF867C}">
                  <a14:compatExt spid="_x0000_s360459"/>
                </a:ext>
                <a:ext uri="{FF2B5EF4-FFF2-40B4-BE49-F238E27FC236}">
                  <a16:creationId xmlns:a16="http://schemas.microsoft.com/office/drawing/2014/main" id="{00000000-0008-0000-1A00-00000B8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60460" name="Check Box 12" hidden="1">
              <a:extLst>
                <a:ext uri="{63B3BB69-23CF-44E3-9099-C40C66FF867C}">
                  <a14:compatExt spid="_x0000_s360460"/>
                </a:ext>
                <a:ext uri="{FF2B5EF4-FFF2-40B4-BE49-F238E27FC236}">
                  <a16:creationId xmlns:a16="http://schemas.microsoft.com/office/drawing/2014/main" id="{00000000-0008-0000-1A00-00000C8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60461" name="Check Box 13" hidden="1">
              <a:extLst>
                <a:ext uri="{63B3BB69-23CF-44E3-9099-C40C66FF867C}">
                  <a14:compatExt spid="_x0000_s360461"/>
                </a:ext>
                <a:ext uri="{FF2B5EF4-FFF2-40B4-BE49-F238E27FC236}">
                  <a16:creationId xmlns:a16="http://schemas.microsoft.com/office/drawing/2014/main" id="{00000000-0008-0000-1A00-00000D8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59425" name="Check Box 1" hidden="1">
              <a:extLst>
                <a:ext uri="{63B3BB69-23CF-44E3-9099-C40C66FF867C}">
                  <a14:compatExt spid="_x0000_s359425"/>
                </a:ext>
                <a:ext uri="{FF2B5EF4-FFF2-40B4-BE49-F238E27FC236}">
                  <a16:creationId xmlns:a16="http://schemas.microsoft.com/office/drawing/2014/main" id="{00000000-0008-0000-1B00-0000017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59426" name="Check Box 2" hidden="1">
              <a:extLst>
                <a:ext uri="{63B3BB69-23CF-44E3-9099-C40C66FF867C}">
                  <a14:compatExt spid="_x0000_s359426"/>
                </a:ext>
                <a:ext uri="{FF2B5EF4-FFF2-40B4-BE49-F238E27FC236}">
                  <a16:creationId xmlns:a16="http://schemas.microsoft.com/office/drawing/2014/main" id="{00000000-0008-0000-1B00-0000027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59427" name="Check Box 3" hidden="1">
              <a:extLst>
                <a:ext uri="{63B3BB69-23CF-44E3-9099-C40C66FF867C}">
                  <a14:compatExt spid="_x0000_s359427"/>
                </a:ext>
                <a:ext uri="{FF2B5EF4-FFF2-40B4-BE49-F238E27FC236}">
                  <a16:creationId xmlns:a16="http://schemas.microsoft.com/office/drawing/2014/main" id="{00000000-0008-0000-1B00-0000037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59428" name="Check Box 4" hidden="1">
              <a:extLst>
                <a:ext uri="{63B3BB69-23CF-44E3-9099-C40C66FF867C}">
                  <a14:compatExt spid="_x0000_s359428"/>
                </a:ext>
                <a:ext uri="{FF2B5EF4-FFF2-40B4-BE49-F238E27FC236}">
                  <a16:creationId xmlns:a16="http://schemas.microsoft.com/office/drawing/2014/main" id="{00000000-0008-0000-1B00-0000047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59429" name="Check Box 5" hidden="1">
              <a:extLst>
                <a:ext uri="{63B3BB69-23CF-44E3-9099-C40C66FF867C}">
                  <a14:compatExt spid="_x0000_s359429"/>
                </a:ext>
                <a:ext uri="{FF2B5EF4-FFF2-40B4-BE49-F238E27FC236}">
                  <a16:creationId xmlns:a16="http://schemas.microsoft.com/office/drawing/2014/main" id="{00000000-0008-0000-1B00-0000057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59430" name="Check Box 6" hidden="1">
              <a:extLst>
                <a:ext uri="{63B3BB69-23CF-44E3-9099-C40C66FF867C}">
                  <a14:compatExt spid="_x0000_s359430"/>
                </a:ext>
                <a:ext uri="{FF2B5EF4-FFF2-40B4-BE49-F238E27FC236}">
                  <a16:creationId xmlns:a16="http://schemas.microsoft.com/office/drawing/2014/main" id="{00000000-0008-0000-1B00-0000067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59431" name="Check Box 7" hidden="1">
              <a:extLst>
                <a:ext uri="{63B3BB69-23CF-44E3-9099-C40C66FF867C}">
                  <a14:compatExt spid="_x0000_s359431"/>
                </a:ext>
                <a:ext uri="{FF2B5EF4-FFF2-40B4-BE49-F238E27FC236}">
                  <a16:creationId xmlns:a16="http://schemas.microsoft.com/office/drawing/2014/main" id="{00000000-0008-0000-1B00-0000077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59432" name="Check Box 8" hidden="1">
              <a:extLst>
                <a:ext uri="{63B3BB69-23CF-44E3-9099-C40C66FF867C}">
                  <a14:compatExt spid="_x0000_s359432"/>
                </a:ext>
                <a:ext uri="{FF2B5EF4-FFF2-40B4-BE49-F238E27FC236}">
                  <a16:creationId xmlns:a16="http://schemas.microsoft.com/office/drawing/2014/main" id="{00000000-0008-0000-1B00-0000087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59433" name="Check Box 9" hidden="1">
              <a:extLst>
                <a:ext uri="{63B3BB69-23CF-44E3-9099-C40C66FF867C}">
                  <a14:compatExt spid="_x0000_s359433"/>
                </a:ext>
                <a:ext uri="{FF2B5EF4-FFF2-40B4-BE49-F238E27FC236}">
                  <a16:creationId xmlns:a16="http://schemas.microsoft.com/office/drawing/2014/main" id="{00000000-0008-0000-1B00-0000097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59434" name="Check Box 10" hidden="1">
              <a:extLst>
                <a:ext uri="{63B3BB69-23CF-44E3-9099-C40C66FF867C}">
                  <a14:compatExt spid="_x0000_s359434"/>
                </a:ext>
                <a:ext uri="{FF2B5EF4-FFF2-40B4-BE49-F238E27FC236}">
                  <a16:creationId xmlns:a16="http://schemas.microsoft.com/office/drawing/2014/main" id="{00000000-0008-0000-1B00-00000A7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59435" name="Check Box 11" hidden="1">
              <a:extLst>
                <a:ext uri="{63B3BB69-23CF-44E3-9099-C40C66FF867C}">
                  <a14:compatExt spid="_x0000_s359435"/>
                </a:ext>
                <a:ext uri="{FF2B5EF4-FFF2-40B4-BE49-F238E27FC236}">
                  <a16:creationId xmlns:a16="http://schemas.microsoft.com/office/drawing/2014/main" id="{00000000-0008-0000-1B00-00000B7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59436" name="Check Box 12" hidden="1">
              <a:extLst>
                <a:ext uri="{63B3BB69-23CF-44E3-9099-C40C66FF867C}">
                  <a14:compatExt spid="_x0000_s359436"/>
                </a:ext>
                <a:ext uri="{FF2B5EF4-FFF2-40B4-BE49-F238E27FC236}">
                  <a16:creationId xmlns:a16="http://schemas.microsoft.com/office/drawing/2014/main" id="{00000000-0008-0000-1B00-00000C7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59437" name="Check Box 13" hidden="1">
              <a:extLst>
                <a:ext uri="{63B3BB69-23CF-44E3-9099-C40C66FF867C}">
                  <a14:compatExt spid="_x0000_s359437"/>
                </a:ext>
                <a:ext uri="{FF2B5EF4-FFF2-40B4-BE49-F238E27FC236}">
                  <a16:creationId xmlns:a16="http://schemas.microsoft.com/office/drawing/2014/main" id="{00000000-0008-0000-1B00-00000D7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58401" name="Check Box 1" hidden="1">
              <a:extLst>
                <a:ext uri="{63B3BB69-23CF-44E3-9099-C40C66FF867C}">
                  <a14:compatExt spid="_x0000_s358401"/>
                </a:ext>
                <a:ext uri="{FF2B5EF4-FFF2-40B4-BE49-F238E27FC236}">
                  <a16:creationId xmlns:a16="http://schemas.microsoft.com/office/drawing/2014/main" id="{00000000-0008-0000-1C00-000001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58402" name="Check Box 2" hidden="1">
              <a:extLst>
                <a:ext uri="{63B3BB69-23CF-44E3-9099-C40C66FF867C}">
                  <a14:compatExt spid="_x0000_s358402"/>
                </a:ext>
                <a:ext uri="{FF2B5EF4-FFF2-40B4-BE49-F238E27FC236}">
                  <a16:creationId xmlns:a16="http://schemas.microsoft.com/office/drawing/2014/main" id="{00000000-0008-0000-1C00-000002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58403" name="Check Box 3" hidden="1">
              <a:extLst>
                <a:ext uri="{63B3BB69-23CF-44E3-9099-C40C66FF867C}">
                  <a14:compatExt spid="_x0000_s358403"/>
                </a:ext>
                <a:ext uri="{FF2B5EF4-FFF2-40B4-BE49-F238E27FC236}">
                  <a16:creationId xmlns:a16="http://schemas.microsoft.com/office/drawing/2014/main" id="{00000000-0008-0000-1C00-000003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58404" name="Check Box 4" hidden="1">
              <a:extLst>
                <a:ext uri="{63B3BB69-23CF-44E3-9099-C40C66FF867C}">
                  <a14:compatExt spid="_x0000_s358404"/>
                </a:ext>
                <a:ext uri="{FF2B5EF4-FFF2-40B4-BE49-F238E27FC236}">
                  <a16:creationId xmlns:a16="http://schemas.microsoft.com/office/drawing/2014/main" id="{00000000-0008-0000-1C00-000004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58405" name="Check Box 5" hidden="1">
              <a:extLst>
                <a:ext uri="{63B3BB69-23CF-44E3-9099-C40C66FF867C}">
                  <a14:compatExt spid="_x0000_s358405"/>
                </a:ext>
                <a:ext uri="{FF2B5EF4-FFF2-40B4-BE49-F238E27FC236}">
                  <a16:creationId xmlns:a16="http://schemas.microsoft.com/office/drawing/2014/main" id="{00000000-0008-0000-1C00-000005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58406" name="Check Box 6" hidden="1">
              <a:extLst>
                <a:ext uri="{63B3BB69-23CF-44E3-9099-C40C66FF867C}">
                  <a14:compatExt spid="_x0000_s358406"/>
                </a:ext>
                <a:ext uri="{FF2B5EF4-FFF2-40B4-BE49-F238E27FC236}">
                  <a16:creationId xmlns:a16="http://schemas.microsoft.com/office/drawing/2014/main" id="{00000000-0008-0000-1C00-000006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58407" name="Check Box 7" hidden="1">
              <a:extLst>
                <a:ext uri="{63B3BB69-23CF-44E3-9099-C40C66FF867C}">
                  <a14:compatExt spid="_x0000_s358407"/>
                </a:ext>
                <a:ext uri="{FF2B5EF4-FFF2-40B4-BE49-F238E27FC236}">
                  <a16:creationId xmlns:a16="http://schemas.microsoft.com/office/drawing/2014/main" id="{00000000-0008-0000-1C00-000007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58408" name="Check Box 8" hidden="1">
              <a:extLst>
                <a:ext uri="{63B3BB69-23CF-44E3-9099-C40C66FF867C}">
                  <a14:compatExt spid="_x0000_s358408"/>
                </a:ext>
                <a:ext uri="{FF2B5EF4-FFF2-40B4-BE49-F238E27FC236}">
                  <a16:creationId xmlns:a16="http://schemas.microsoft.com/office/drawing/2014/main" id="{00000000-0008-0000-1C00-000008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58409" name="Check Box 9" hidden="1">
              <a:extLst>
                <a:ext uri="{63B3BB69-23CF-44E3-9099-C40C66FF867C}">
                  <a14:compatExt spid="_x0000_s358409"/>
                </a:ext>
                <a:ext uri="{FF2B5EF4-FFF2-40B4-BE49-F238E27FC236}">
                  <a16:creationId xmlns:a16="http://schemas.microsoft.com/office/drawing/2014/main" id="{00000000-0008-0000-1C00-000009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58410" name="Check Box 10" hidden="1">
              <a:extLst>
                <a:ext uri="{63B3BB69-23CF-44E3-9099-C40C66FF867C}">
                  <a14:compatExt spid="_x0000_s358410"/>
                </a:ext>
                <a:ext uri="{FF2B5EF4-FFF2-40B4-BE49-F238E27FC236}">
                  <a16:creationId xmlns:a16="http://schemas.microsoft.com/office/drawing/2014/main" id="{00000000-0008-0000-1C00-00000A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58411" name="Check Box 11" hidden="1">
              <a:extLst>
                <a:ext uri="{63B3BB69-23CF-44E3-9099-C40C66FF867C}">
                  <a14:compatExt spid="_x0000_s358411"/>
                </a:ext>
                <a:ext uri="{FF2B5EF4-FFF2-40B4-BE49-F238E27FC236}">
                  <a16:creationId xmlns:a16="http://schemas.microsoft.com/office/drawing/2014/main" id="{00000000-0008-0000-1C00-00000B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58412" name="Check Box 12" hidden="1">
              <a:extLst>
                <a:ext uri="{63B3BB69-23CF-44E3-9099-C40C66FF867C}">
                  <a14:compatExt spid="_x0000_s358412"/>
                </a:ext>
                <a:ext uri="{FF2B5EF4-FFF2-40B4-BE49-F238E27FC236}">
                  <a16:creationId xmlns:a16="http://schemas.microsoft.com/office/drawing/2014/main" id="{00000000-0008-0000-1C00-00000C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58413" name="Check Box 13" hidden="1">
              <a:extLst>
                <a:ext uri="{63B3BB69-23CF-44E3-9099-C40C66FF867C}">
                  <a14:compatExt spid="_x0000_s358413"/>
                </a:ext>
                <a:ext uri="{FF2B5EF4-FFF2-40B4-BE49-F238E27FC236}">
                  <a16:creationId xmlns:a16="http://schemas.microsoft.com/office/drawing/2014/main" id="{00000000-0008-0000-1C00-00000D7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57377" name="Check Box 1" hidden="1">
              <a:extLst>
                <a:ext uri="{63B3BB69-23CF-44E3-9099-C40C66FF867C}">
                  <a14:compatExt spid="_x0000_s357377"/>
                </a:ext>
                <a:ext uri="{FF2B5EF4-FFF2-40B4-BE49-F238E27FC236}">
                  <a16:creationId xmlns:a16="http://schemas.microsoft.com/office/drawing/2014/main" id="{00000000-0008-0000-1D00-000001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57378" name="Check Box 2" hidden="1">
              <a:extLst>
                <a:ext uri="{63B3BB69-23CF-44E3-9099-C40C66FF867C}">
                  <a14:compatExt spid="_x0000_s357378"/>
                </a:ext>
                <a:ext uri="{FF2B5EF4-FFF2-40B4-BE49-F238E27FC236}">
                  <a16:creationId xmlns:a16="http://schemas.microsoft.com/office/drawing/2014/main" id="{00000000-0008-0000-1D00-000002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57379" name="Check Box 3" hidden="1">
              <a:extLst>
                <a:ext uri="{63B3BB69-23CF-44E3-9099-C40C66FF867C}">
                  <a14:compatExt spid="_x0000_s357379"/>
                </a:ext>
                <a:ext uri="{FF2B5EF4-FFF2-40B4-BE49-F238E27FC236}">
                  <a16:creationId xmlns:a16="http://schemas.microsoft.com/office/drawing/2014/main" id="{00000000-0008-0000-1D00-000003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57380" name="Check Box 4" hidden="1">
              <a:extLst>
                <a:ext uri="{63B3BB69-23CF-44E3-9099-C40C66FF867C}">
                  <a14:compatExt spid="_x0000_s357380"/>
                </a:ext>
                <a:ext uri="{FF2B5EF4-FFF2-40B4-BE49-F238E27FC236}">
                  <a16:creationId xmlns:a16="http://schemas.microsoft.com/office/drawing/2014/main" id="{00000000-0008-0000-1D00-000004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57381" name="Check Box 5" hidden="1">
              <a:extLst>
                <a:ext uri="{63B3BB69-23CF-44E3-9099-C40C66FF867C}">
                  <a14:compatExt spid="_x0000_s357381"/>
                </a:ext>
                <a:ext uri="{FF2B5EF4-FFF2-40B4-BE49-F238E27FC236}">
                  <a16:creationId xmlns:a16="http://schemas.microsoft.com/office/drawing/2014/main" id="{00000000-0008-0000-1D00-000005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57382" name="Check Box 6" hidden="1">
              <a:extLst>
                <a:ext uri="{63B3BB69-23CF-44E3-9099-C40C66FF867C}">
                  <a14:compatExt spid="_x0000_s357382"/>
                </a:ext>
                <a:ext uri="{FF2B5EF4-FFF2-40B4-BE49-F238E27FC236}">
                  <a16:creationId xmlns:a16="http://schemas.microsoft.com/office/drawing/2014/main" id="{00000000-0008-0000-1D00-000006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57383" name="Check Box 7" hidden="1">
              <a:extLst>
                <a:ext uri="{63B3BB69-23CF-44E3-9099-C40C66FF867C}">
                  <a14:compatExt spid="_x0000_s357383"/>
                </a:ext>
                <a:ext uri="{FF2B5EF4-FFF2-40B4-BE49-F238E27FC236}">
                  <a16:creationId xmlns:a16="http://schemas.microsoft.com/office/drawing/2014/main" id="{00000000-0008-0000-1D00-000007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57384" name="Check Box 8" hidden="1">
              <a:extLst>
                <a:ext uri="{63B3BB69-23CF-44E3-9099-C40C66FF867C}">
                  <a14:compatExt spid="_x0000_s357384"/>
                </a:ext>
                <a:ext uri="{FF2B5EF4-FFF2-40B4-BE49-F238E27FC236}">
                  <a16:creationId xmlns:a16="http://schemas.microsoft.com/office/drawing/2014/main" id="{00000000-0008-0000-1D00-000008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57385" name="Check Box 9" hidden="1">
              <a:extLst>
                <a:ext uri="{63B3BB69-23CF-44E3-9099-C40C66FF867C}">
                  <a14:compatExt spid="_x0000_s357385"/>
                </a:ext>
                <a:ext uri="{FF2B5EF4-FFF2-40B4-BE49-F238E27FC236}">
                  <a16:creationId xmlns:a16="http://schemas.microsoft.com/office/drawing/2014/main" id="{00000000-0008-0000-1D00-000009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57386" name="Check Box 10" hidden="1">
              <a:extLst>
                <a:ext uri="{63B3BB69-23CF-44E3-9099-C40C66FF867C}">
                  <a14:compatExt spid="_x0000_s357386"/>
                </a:ext>
                <a:ext uri="{FF2B5EF4-FFF2-40B4-BE49-F238E27FC236}">
                  <a16:creationId xmlns:a16="http://schemas.microsoft.com/office/drawing/2014/main" id="{00000000-0008-0000-1D00-00000A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57387" name="Check Box 11" hidden="1">
              <a:extLst>
                <a:ext uri="{63B3BB69-23CF-44E3-9099-C40C66FF867C}">
                  <a14:compatExt spid="_x0000_s357387"/>
                </a:ext>
                <a:ext uri="{FF2B5EF4-FFF2-40B4-BE49-F238E27FC236}">
                  <a16:creationId xmlns:a16="http://schemas.microsoft.com/office/drawing/2014/main" id="{00000000-0008-0000-1D00-00000B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57388" name="Check Box 12" hidden="1">
              <a:extLst>
                <a:ext uri="{63B3BB69-23CF-44E3-9099-C40C66FF867C}">
                  <a14:compatExt spid="_x0000_s357388"/>
                </a:ext>
                <a:ext uri="{FF2B5EF4-FFF2-40B4-BE49-F238E27FC236}">
                  <a16:creationId xmlns:a16="http://schemas.microsoft.com/office/drawing/2014/main" id="{00000000-0008-0000-1D00-00000C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57389" name="Check Box 13" hidden="1">
              <a:extLst>
                <a:ext uri="{63B3BB69-23CF-44E3-9099-C40C66FF867C}">
                  <a14:compatExt spid="_x0000_s357389"/>
                </a:ext>
                <a:ext uri="{FF2B5EF4-FFF2-40B4-BE49-F238E27FC236}">
                  <a16:creationId xmlns:a16="http://schemas.microsoft.com/office/drawing/2014/main" id="{00000000-0008-0000-1D00-00000D7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84001" name="Check Box 1" hidden="1">
              <a:extLst>
                <a:ext uri="{63B3BB69-23CF-44E3-9099-C40C66FF867C}">
                  <a14:compatExt spid="_x0000_s384001"/>
                </a:ext>
                <a:ext uri="{FF2B5EF4-FFF2-40B4-BE49-F238E27FC236}">
                  <a16:creationId xmlns:a16="http://schemas.microsoft.com/office/drawing/2014/main" id="{00000000-0008-0000-0300-000001D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84002" name="Check Box 2" hidden="1">
              <a:extLst>
                <a:ext uri="{63B3BB69-23CF-44E3-9099-C40C66FF867C}">
                  <a14:compatExt spid="_x0000_s384002"/>
                </a:ext>
                <a:ext uri="{FF2B5EF4-FFF2-40B4-BE49-F238E27FC236}">
                  <a16:creationId xmlns:a16="http://schemas.microsoft.com/office/drawing/2014/main" id="{00000000-0008-0000-0300-000002D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84003" name="Check Box 3" hidden="1">
              <a:extLst>
                <a:ext uri="{63B3BB69-23CF-44E3-9099-C40C66FF867C}">
                  <a14:compatExt spid="_x0000_s384003"/>
                </a:ext>
                <a:ext uri="{FF2B5EF4-FFF2-40B4-BE49-F238E27FC236}">
                  <a16:creationId xmlns:a16="http://schemas.microsoft.com/office/drawing/2014/main" id="{00000000-0008-0000-0300-000003D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84004" name="Check Box 4" hidden="1">
              <a:extLst>
                <a:ext uri="{63B3BB69-23CF-44E3-9099-C40C66FF867C}">
                  <a14:compatExt spid="_x0000_s384004"/>
                </a:ext>
                <a:ext uri="{FF2B5EF4-FFF2-40B4-BE49-F238E27FC236}">
                  <a16:creationId xmlns:a16="http://schemas.microsoft.com/office/drawing/2014/main" id="{00000000-0008-0000-0300-000004D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84005" name="Check Box 5" hidden="1">
              <a:extLst>
                <a:ext uri="{63B3BB69-23CF-44E3-9099-C40C66FF867C}">
                  <a14:compatExt spid="_x0000_s384005"/>
                </a:ext>
                <a:ext uri="{FF2B5EF4-FFF2-40B4-BE49-F238E27FC236}">
                  <a16:creationId xmlns:a16="http://schemas.microsoft.com/office/drawing/2014/main" id="{00000000-0008-0000-0300-000005D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84006" name="Check Box 6" hidden="1">
              <a:extLst>
                <a:ext uri="{63B3BB69-23CF-44E3-9099-C40C66FF867C}">
                  <a14:compatExt spid="_x0000_s384006"/>
                </a:ext>
                <a:ext uri="{FF2B5EF4-FFF2-40B4-BE49-F238E27FC236}">
                  <a16:creationId xmlns:a16="http://schemas.microsoft.com/office/drawing/2014/main" id="{00000000-0008-0000-0300-000006D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84007" name="Check Box 7" hidden="1">
              <a:extLst>
                <a:ext uri="{63B3BB69-23CF-44E3-9099-C40C66FF867C}">
                  <a14:compatExt spid="_x0000_s384007"/>
                </a:ext>
                <a:ext uri="{FF2B5EF4-FFF2-40B4-BE49-F238E27FC236}">
                  <a16:creationId xmlns:a16="http://schemas.microsoft.com/office/drawing/2014/main" id="{00000000-0008-0000-0300-000007D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84008" name="Check Box 8" hidden="1">
              <a:extLst>
                <a:ext uri="{63B3BB69-23CF-44E3-9099-C40C66FF867C}">
                  <a14:compatExt spid="_x0000_s384008"/>
                </a:ext>
                <a:ext uri="{FF2B5EF4-FFF2-40B4-BE49-F238E27FC236}">
                  <a16:creationId xmlns:a16="http://schemas.microsoft.com/office/drawing/2014/main" id="{00000000-0008-0000-0300-000008D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84009" name="Check Box 9" hidden="1">
              <a:extLst>
                <a:ext uri="{63B3BB69-23CF-44E3-9099-C40C66FF867C}">
                  <a14:compatExt spid="_x0000_s384009"/>
                </a:ext>
                <a:ext uri="{FF2B5EF4-FFF2-40B4-BE49-F238E27FC236}">
                  <a16:creationId xmlns:a16="http://schemas.microsoft.com/office/drawing/2014/main" id="{00000000-0008-0000-0300-000009D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84010" name="Check Box 10" hidden="1">
              <a:extLst>
                <a:ext uri="{63B3BB69-23CF-44E3-9099-C40C66FF867C}">
                  <a14:compatExt spid="_x0000_s384010"/>
                </a:ext>
                <a:ext uri="{FF2B5EF4-FFF2-40B4-BE49-F238E27FC236}">
                  <a16:creationId xmlns:a16="http://schemas.microsoft.com/office/drawing/2014/main" id="{00000000-0008-0000-0300-00000AD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84011" name="Check Box 11" hidden="1">
              <a:extLst>
                <a:ext uri="{63B3BB69-23CF-44E3-9099-C40C66FF867C}">
                  <a14:compatExt spid="_x0000_s384011"/>
                </a:ext>
                <a:ext uri="{FF2B5EF4-FFF2-40B4-BE49-F238E27FC236}">
                  <a16:creationId xmlns:a16="http://schemas.microsoft.com/office/drawing/2014/main" id="{00000000-0008-0000-0300-00000BD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84012" name="Check Box 12" hidden="1">
              <a:extLst>
                <a:ext uri="{63B3BB69-23CF-44E3-9099-C40C66FF867C}">
                  <a14:compatExt spid="_x0000_s384012"/>
                </a:ext>
                <a:ext uri="{FF2B5EF4-FFF2-40B4-BE49-F238E27FC236}">
                  <a16:creationId xmlns:a16="http://schemas.microsoft.com/office/drawing/2014/main" id="{00000000-0008-0000-0300-00000CD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84013" name="Check Box 13" hidden="1">
              <a:extLst>
                <a:ext uri="{63B3BB69-23CF-44E3-9099-C40C66FF867C}">
                  <a14:compatExt spid="_x0000_s384013"/>
                </a:ext>
                <a:ext uri="{FF2B5EF4-FFF2-40B4-BE49-F238E27FC236}">
                  <a16:creationId xmlns:a16="http://schemas.microsoft.com/office/drawing/2014/main" id="{00000000-0008-0000-0300-00000DD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56353" name="Check Box 1" hidden="1">
              <a:extLst>
                <a:ext uri="{63B3BB69-23CF-44E3-9099-C40C66FF867C}">
                  <a14:compatExt spid="_x0000_s356353"/>
                </a:ext>
                <a:ext uri="{FF2B5EF4-FFF2-40B4-BE49-F238E27FC236}">
                  <a16:creationId xmlns:a16="http://schemas.microsoft.com/office/drawing/2014/main" id="{00000000-0008-0000-1E00-000001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56354" name="Check Box 2" hidden="1">
              <a:extLst>
                <a:ext uri="{63B3BB69-23CF-44E3-9099-C40C66FF867C}">
                  <a14:compatExt spid="_x0000_s356354"/>
                </a:ext>
                <a:ext uri="{FF2B5EF4-FFF2-40B4-BE49-F238E27FC236}">
                  <a16:creationId xmlns:a16="http://schemas.microsoft.com/office/drawing/2014/main" id="{00000000-0008-0000-1E00-000002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56355" name="Check Box 3" hidden="1">
              <a:extLst>
                <a:ext uri="{63B3BB69-23CF-44E3-9099-C40C66FF867C}">
                  <a14:compatExt spid="_x0000_s356355"/>
                </a:ext>
                <a:ext uri="{FF2B5EF4-FFF2-40B4-BE49-F238E27FC236}">
                  <a16:creationId xmlns:a16="http://schemas.microsoft.com/office/drawing/2014/main" id="{00000000-0008-0000-1E00-000003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56356" name="Check Box 4" hidden="1">
              <a:extLst>
                <a:ext uri="{63B3BB69-23CF-44E3-9099-C40C66FF867C}">
                  <a14:compatExt spid="_x0000_s356356"/>
                </a:ext>
                <a:ext uri="{FF2B5EF4-FFF2-40B4-BE49-F238E27FC236}">
                  <a16:creationId xmlns:a16="http://schemas.microsoft.com/office/drawing/2014/main" id="{00000000-0008-0000-1E00-000004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56357" name="Check Box 5" hidden="1">
              <a:extLst>
                <a:ext uri="{63B3BB69-23CF-44E3-9099-C40C66FF867C}">
                  <a14:compatExt spid="_x0000_s356357"/>
                </a:ext>
                <a:ext uri="{FF2B5EF4-FFF2-40B4-BE49-F238E27FC236}">
                  <a16:creationId xmlns:a16="http://schemas.microsoft.com/office/drawing/2014/main" id="{00000000-0008-0000-1E00-000005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56358" name="Check Box 6" hidden="1">
              <a:extLst>
                <a:ext uri="{63B3BB69-23CF-44E3-9099-C40C66FF867C}">
                  <a14:compatExt spid="_x0000_s356358"/>
                </a:ext>
                <a:ext uri="{FF2B5EF4-FFF2-40B4-BE49-F238E27FC236}">
                  <a16:creationId xmlns:a16="http://schemas.microsoft.com/office/drawing/2014/main" id="{00000000-0008-0000-1E00-000006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56359" name="Check Box 7" hidden="1">
              <a:extLst>
                <a:ext uri="{63B3BB69-23CF-44E3-9099-C40C66FF867C}">
                  <a14:compatExt spid="_x0000_s356359"/>
                </a:ext>
                <a:ext uri="{FF2B5EF4-FFF2-40B4-BE49-F238E27FC236}">
                  <a16:creationId xmlns:a16="http://schemas.microsoft.com/office/drawing/2014/main" id="{00000000-0008-0000-1E00-000007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56360" name="Check Box 8" hidden="1">
              <a:extLst>
                <a:ext uri="{63B3BB69-23CF-44E3-9099-C40C66FF867C}">
                  <a14:compatExt spid="_x0000_s356360"/>
                </a:ext>
                <a:ext uri="{FF2B5EF4-FFF2-40B4-BE49-F238E27FC236}">
                  <a16:creationId xmlns:a16="http://schemas.microsoft.com/office/drawing/2014/main" id="{00000000-0008-0000-1E00-000008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56361" name="Check Box 9" hidden="1">
              <a:extLst>
                <a:ext uri="{63B3BB69-23CF-44E3-9099-C40C66FF867C}">
                  <a14:compatExt spid="_x0000_s356361"/>
                </a:ext>
                <a:ext uri="{FF2B5EF4-FFF2-40B4-BE49-F238E27FC236}">
                  <a16:creationId xmlns:a16="http://schemas.microsoft.com/office/drawing/2014/main" id="{00000000-0008-0000-1E00-000009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56362" name="Check Box 10" hidden="1">
              <a:extLst>
                <a:ext uri="{63B3BB69-23CF-44E3-9099-C40C66FF867C}">
                  <a14:compatExt spid="_x0000_s356362"/>
                </a:ext>
                <a:ext uri="{FF2B5EF4-FFF2-40B4-BE49-F238E27FC236}">
                  <a16:creationId xmlns:a16="http://schemas.microsoft.com/office/drawing/2014/main" id="{00000000-0008-0000-1E00-00000A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56363" name="Check Box 11" hidden="1">
              <a:extLst>
                <a:ext uri="{63B3BB69-23CF-44E3-9099-C40C66FF867C}">
                  <a14:compatExt spid="_x0000_s356363"/>
                </a:ext>
                <a:ext uri="{FF2B5EF4-FFF2-40B4-BE49-F238E27FC236}">
                  <a16:creationId xmlns:a16="http://schemas.microsoft.com/office/drawing/2014/main" id="{00000000-0008-0000-1E00-00000B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56364" name="Check Box 12" hidden="1">
              <a:extLst>
                <a:ext uri="{63B3BB69-23CF-44E3-9099-C40C66FF867C}">
                  <a14:compatExt spid="_x0000_s356364"/>
                </a:ext>
                <a:ext uri="{FF2B5EF4-FFF2-40B4-BE49-F238E27FC236}">
                  <a16:creationId xmlns:a16="http://schemas.microsoft.com/office/drawing/2014/main" id="{00000000-0008-0000-1E00-00000C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56365" name="Check Box 13" hidden="1">
              <a:extLst>
                <a:ext uri="{63B3BB69-23CF-44E3-9099-C40C66FF867C}">
                  <a14:compatExt spid="_x0000_s356365"/>
                </a:ext>
                <a:ext uri="{FF2B5EF4-FFF2-40B4-BE49-F238E27FC236}">
                  <a16:creationId xmlns:a16="http://schemas.microsoft.com/office/drawing/2014/main" id="{00000000-0008-0000-1E00-00000D7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82977" name="Check Box 1" hidden="1">
              <a:extLst>
                <a:ext uri="{63B3BB69-23CF-44E3-9099-C40C66FF867C}">
                  <a14:compatExt spid="_x0000_s382977"/>
                </a:ext>
                <a:ext uri="{FF2B5EF4-FFF2-40B4-BE49-F238E27FC236}">
                  <a16:creationId xmlns:a16="http://schemas.microsoft.com/office/drawing/2014/main" id="{00000000-0008-0000-0400-000001D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82978" name="Check Box 2" hidden="1">
              <a:extLst>
                <a:ext uri="{63B3BB69-23CF-44E3-9099-C40C66FF867C}">
                  <a14:compatExt spid="_x0000_s382978"/>
                </a:ext>
                <a:ext uri="{FF2B5EF4-FFF2-40B4-BE49-F238E27FC236}">
                  <a16:creationId xmlns:a16="http://schemas.microsoft.com/office/drawing/2014/main" id="{00000000-0008-0000-0400-000002D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82979" name="Check Box 3" hidden="1">
              <a:extLst>
                <a:ext uri="{63B3BB69-23CF-44E3-9099-C40C66FF867C}">
                  <a14:compatExt spid="_x0000_s382979"/>
                </a:ext>
                <a:ext uri="{FF2B5EF4-FFF2-40B4-BE49-F238E27FC236}">
                  <a16:creationId xmlns:a16="http://schemas.microsoft.com/office/drawing/2014/main" id="{00000000-0008-0000-0400-000003D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82980" name="Check Box 4" hidden="1">
              <a:extLst>
                <a:ext uri="{63B3BB69-23CF-44E3-9099-C40C66FF867C}">
                  <a14:compatExt spid="_x0000_s382980"/>
                </a:ext>
                <a:ext uri="{FF2B5EF4-FFF2-40B4-BE49-F238E27FC236}">
                  <a16:creationId xmlns:a16="http://schemas.microsoft.com/office/drawing/2014/main" id="{00000000-0008-0000-0400-000004D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82981" name="Check Box 5" hidden="1">
              <a:extLst>
                <a:ext uri="{63B3BB69-23CF-44E3-9099-C40C66FF867C}">
                  <a14:compatExt spid="_x0000_s382981"/>
                </a:ext>
                <a:ext uri="{FF2B5EF4-FFF2-40B4-BE49-F238E27FC236}">
                  <a16:creationId xmlns:a16="http://schemas.microsoft.com/office/drawing/2014/main" id="{00000000-0008-0000-0400-000005D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82982" name="Check Box 6" hidden="1">
              <a:extLst>
                <a:ext uri="{63B3BB69-23CF-44E3-9099-C40C66FF867C}">
                  <a14:compatExt spid="_x0000_s382982"/>
                </a:ext>
                <a:ext uri="{FF2B5EF4-FFF2-40B4-BE49-F238E27FC236}">
                  <a16:creationId xmlns:a16="http://schemas.microsoft.com/office/drawing/2014/main" id="{00000000-0008-0000-0400-000006D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82983" name="Check Box 7" hidden="1">
              <a:extLst>
                <a:ext uri="{63B3BB69-23CF-44E3-9099-C40C66FF867C}">
                  <a14:compatExt spid="_x0000_s382983"/>
                </a:ext>
                <a:ext uri="{FF2B5EF4-FFF2-40B4-BE49-F238E27FC236}">
                  <a16:creationId xmlns:a16="http://schemas.microsoft.com/office/drawing/2014/main" id="{00000000-0008-0000-0400-000007D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82984" name="Check Box 8" hidden="1">
              <a:extLst>
                <a:ext uri="{63B3BB69-23CF-44E3-9099-C40C66FF867C}">
                  <a14:compatExt spid="_x0000_s382984"/>
                </a:ext>
                <a:ext uri="{FF2B5EF4-FFF2-40B4-BE49-F238E27FC236}">
                  <a16:creationId xmlns:a16="http://schemas.microsoft.com/office/drawing/2014/main" id="{00000000-0008-0000-0400-000008D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82985" name="Check Box 9" hidden="1">
              <a:extLst>
                <a:ext uri="{63B3BB69-23CF-44E3-9099-C40C66FF867C}">
                  <a14:compatExt spid="_x0000_s382985"/>
                </a:ext>
                <a:ext uri="{FF2B5EF4-FFF2-40B4-BE49-F238E27FC236}">
                  <a16:creationId xmlns:a16="http://schemas.microsoft.com/office/drawing/2014/main" id="{00000000-0008-0000-0400-000009D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82986" name="Check Box 10" hidden="1">
              <a:extLst>
                <a:ext uri="{63B3BB69-23CF-44E3-9099-C40C66FF867C}">
                  <a14:compatExt spid="_x0000_s382986"/>
                </a:ext>
                <a:ext uri="{FF2B5EF4-FFF2-40B4-BE49-F238E27FC236}">
                  <a16:creationId xmlns:a16="http://schemas.microsoft.com/office/drawing/2014/main" id="{00000000-0008-0000-0400-00000AD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82987" name="Check Box 11" hidden="1">
              <a:extLst>
                <a:ext uri="{63B3BB69-23CF-44E3-9099-C40C66FF867C}">
                  <a14:compatExt spid="_x0000_s382987"/>
                </a:ext>
                <a:ext uri="{FF2B5EF4-FFF2-40B4-BE49-F238E27FC236}">
                  <a16:creationId xmlns:a16="http://schemas.microsoft.com/office/drawing/2014/main" id="{00000000-0008-0000-0400-00000BD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82988" name="Check Box 12" hidden="1">
              <a:extLst>
                <a:ext uri="{63B3BB69-23CF-44E3-9099-C40C66FF867C}">
                  <a14:compatExt spid="_x0000_s382988"/>
                </a:ext>
                <a:ext uri="{FF2B5EF4-FFF2-40B4-BE49-F238E27FC236}">
                  <a16:creationId xmlns:a16="http://schemas.microsoft.com/office/drawing/2014/main" id="{00000000-0008-0000-0400-00000CD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82989" name="Check Box 13" hidden="1">
              <a:extLst>
                <a:ext uri="{63B3BB69-23CF-44E3-9099-C40C66FF867C}">
                  <a14:compatExt spid="_x0000_s382989"/>
                </a:ext>
                <a:ext uri="{FF2B5EF4-FFF2-40B4-BE49-F238E27FC236}">
                  <a16:creationId xmlns:a16="http://schemas.microsoft.com/office/drawing/2014/main" id="{00000000-0008-0000-0400-00000DD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81953" name="Check Box 1" hidden="1">
              <a:extLst>
                <a:ext uri="{63B3BB69-23CF-44E3-9099-C40C66FF867C}">
                  <a14:compatExt spid="_x0000_s381953"/>
                </a:ext>
                <a:ext uri="{FF2B5EF4-FFF2-40B4-BE49-F238E27FC236}">
                  <a16:creationId xmlns:a16="http://schemas.microsoft.com/office/drawing/2014/main" id="{00000000-0008-0000-0500-000001D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81954" name="Check Box 2" hidden="1">
              <a:extLst>
                <a:ext uri="{63B3BB69-23CF-44E3-9099-C40C66FF867C}">
                  <a14:compatExt spid="_x0000_s381954"/>
                </a:ext>
                <a:ext uri="{FF2B5EF4-FFF2-40B4-BE49-F238E27FC236}">
                  <a16:creationId xmlns:a16="http://schemas.microsoft.com/office/drawing/2014/main" id="{00000000-0008-0000-0500-000002D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81955" name="Check Box 3" hidden="1">
              <a:extLst>
                <a:ext uri="{63B3BB69-23CF-44E3-9099-C40C66FF867C}">
                  <a14:compatExt spid="_x0000_s381955"/>
                </a:ext>
                <a:ext uri="{FF2B5EF4-FFF2-40B4-BE49-F238E27FC236}">
                  <a16:creationId xmlns:a16="http://schemas.microsoft.com/office/drawing/2014/main" id="{00000000-0008-0000-0500-000003D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81956" name="Check Box 4" hidden="1">
              <a:extLst>
                <a:ext uri="{63B3BB69-23CF-44E3-9099-C40C66FF867C}">
                  <a14:compatExt spid="_x0000_s381956"/>
                </a:ext>
                <a:ext uri="{FF2B5EF4-FFF2-40B4-BE49-F238E27FC236}">
                  <a16:creationId xmlns:a16="http://schemas.microsoft.com/office/drawing/2014/main" id="{00000000-0008-0000-0500-000004D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81957" name="Check Box 5" hidden="1">
              <a:extLst>
                <a:ext uri="{63B3BB69-23CF-44E3-9099-C40C66FF867C}">
                  <a14:compatExt spid="_x0000_s381957"/>
                </a:ext>
                <a:ext uri="{FF2B5EF4-FFF2-40B4-BE49-F238E27FC236}">
                  <a16:creationId xmlns:a16="http://schemas.microsoft.com/office/drawing/2014/main" id="{00000000-0008-0000-0500-000005D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81958" name="Check Box 6" hidden="1">
              <a:extLst>
                <a:ext uri="{63B3BB69-23CF-44E3-9099-C40C66FF867C}">
                  <a14:compatExt spid="_x0000_s381958"/>
                </a:ext>
                <a:ext uri="{FF2B5EF4-FFF2-40B4-BE49-F238E27FC236}">
                  <a16:creationId xmlns:a16="http://schemas.microsoft.com/office/drawing/2014/main" id="{00000000-0008-0000-0500-000006D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81959" name="Check Box 7" hidden="1">
              <a:extLst>
                <a:ext uri="{63B3BB69-23CF-44E3-9099-C40C66FF867C}">
                  <a14:compatExt spid="_x0000_s381959"/>
                </a:ext>
                <a:ext uri="{FF2B5EF4-FFF2-40B4-BE49-F238E27FC236}">
                  <a16:creationId xmlns:a16="http://schemas.microsoft.com/office/drawing/2014/main" id="{00000000-0008-0000-0500-000007D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81960" name="Check Box 8" hidden="1">
              <a:extLst>
                <a:ext uri="{63B3BB69-23CF-44E3-9099-C40C66FF867C}">
                  <a14:compatExt spid="_x0000_s381960"/>
                </a:ext>
                <a:ext uri="{FF2B5EF4-FFF2-40B4-BE49-F238E27FC236}">
                  <a16:creationId xmlns:a16="http://schemas.microsoft.com/office/drawing/2014/main" id="{00000000-0008-0000-0500-000008D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81961" name="Check Box 9" hidden="1">
              <a:extLst>
                <a:ext uri="{63B3BB69-23CF-44E3-9099-C40C66FF867C}">
                  <a14:compatExt spid="_x0000_s381961"/>
                </a:ext>
                <a:ext uri="{FF2B5EF4-FFF2-40B4-BE49-F238E27FC236}">
                  <a16:creationId xmlns:a16="http://schemas.microsoft.com/office/drawing/2014/main" id="{00000000-0008-0000-0500-000009D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81962" name="Check Box 10" hidden="1">
              <a:extLst>
                <a:ext uri="{63B3BB69-23CF-44E3-9099-C40C66FF867C}">
                  <a14:compatExt spid="_x0000_s381962"/>
                </a:ext>
                <a:ext uri="{FF2B5EF4-FFF2-40B4-BE49-F238E27FC236}">
                  <a16:creationId xmlns:a16="http://schemas.microsoft.com/office/drawing/2014/main" id="{00000000-0008-0000-0500-00000AD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81963" name="Check Box 11" hidden="1">
              <a:extLst>
                <a:ext uri="{63B3BB69-23CF-44E3-9099-C40C66FF867C}">
                  <a14:compatExt spid="_x0000_s381963"/>
                </a:ext>
                <a:ext uri="{FF2B5EF4-FFF2-40B4-BE49-F238E27FC236}">
                  <a16:creationId xmlns:a16="http://schemas.microsoft.com/office/drawing/2014/main" id="{00000000-0008-0000-0500-00000BD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81964" name="Check Box 12" hidden="1">
              <a:extLst>
                <a:ext uri="{63B3BB69-23CF-44E3-9099-C40C66FF867C}">
                  <a14:compatExt spid="_x0000_s381964"/>
                </a:ext>
                <a:ext uri="{FF2B5EF4-FFF2-40B4-BE49-F238E27FC236}">
                  <a16:creationId xmlns:a16="http://schemas.microsoft.com/office/drawing/2014/main" id="{00000000-0008-0000-0500-00000CD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81965" name="Check Box 13" hidden="1">
              <a:extLst>
                <a:ext uri="{63B3BB69-23CF-44E3-9099-C40C66FF867C}">
                  <a14:compatExt spid="_x0000_s381965"/>
                </a:ext>
                <a:ext uri="{FF2B5EF4-FFF2-40B4-BE49-F238E27FC236}">
                  <a16:creationId xmlns:a16="http://schemas.microsoft.com/office/drawing/2014/main" id="{00000000-0008-0000-0500-00000DD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80929" name="Check Box 1" hidden="1">
              <a:extLst>
                <a:ext uri="{63B3BB69-23CF-44E3-9099-C40C66FF867C}">
                  <a14:compatExt spid="_x0000_s380929"/>
                </a:ext>
                <a:ext uri="{FF2B5EF4-FFF2-40B4-BE49-F238E27FC236}">
                  <a16:creationId xmlns:a16="http://schemas.microsoft.com/office/drawing/2014/main" id="{00000000-0008-0000-0600-000001D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80930" name="Check Box 2" hidden="1">
              <a:extLst>
                <a:ext uri="{63B3BB69-23CF-44E3-9099-C40C66FF867C}">
                  <a14:compatExt spid="_x0000_s380930"/>
                </a:ext>
                <a:ext uri="{FF2B5EF4-FFF2-40B4-BE49-F238E27FC236}">
                  <a16:creationId xmlns:a16="http://schemas.microsoft.com/office/drawing/2014/main" id="{00000000-0008-0000-0600-000002D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80931" name="Check Box 3" hidden="1">
              <a:extLst>
                <a:ext uri="{63B3BB69-23CF-44E3-9099-C40C66FF867C}">
                  <a14:compatExt spid="_x0000_s380931"/>
                </a:ext>
                <a:ext uri="{FF2B5EF4-FFF2-40B4-BE49-F238E27FC236}">
                  <a16:creationId xmlns:a16="http://schemas.microsoft.com/office/drawing/2014/main" id="{00000000-0008-0000-0600-000003D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80932" name="Check Box 4" hidden="1">
              <a:extLst>
                <a:ext uri="{63B3BB69-23CF-44E3-9099-C40C66FF867C}">
                  <a14:compatExt spid="_x0000_s380932"/>
                </a:ext>
                <a:ext uri="{FF2B5EF4-FFF2-40B4-BE49-F238E27FC236}">
                  <a16:creationId xmlns:a16="http://schemas.microsoft.com/office/drawing/2014/main" id="{00000000-0008-0000-0600-000004D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80933" name="Check Box 5" hidden="1">
              <a:extLst>
                <a:ext uri="{63B3BB69-23CF-44E3-9099-C40C66FF867C}">
                  <a14:compatExt spid="_x0000_s380933"/>
                </a:ext>
                <a:ext uri="{FF2B5EF4-FFF2-40B4-BE49-F238E27FC236}">
                  <a16:creationId xmlns:a16="http://schemas.microsoft.com/office/drawing/2014/main" id="{00000000-0008-0000-0600-000005D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80934" name="Check Box 6" hidden="1">
              <a:extLst>
                <a:ext uri="{63B3BB69-23CF-44E3-9099-C40C66FF867C}">
                  <a14:compatExt spid="_x0000_s380934"/>
                </a:ext>
                <a:ext uri="{FF2B5EF4-FFF2-40B4-BE49-F238E27FC236}">
                  <a16:creationId xmlns:a16="http://schemas.microsoft.com/office/drawing/2014/main" id="{00000000-0008-0000-0600-000006D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80935" name="Check Box 7" hidden="1">
              <a:extLst>
                <a:ext uri="{63B3BB69-23CF-44E3-9099-C40C66FF867C}">
                  <a14:compatExt spid="_x0000_s380935"/>
                </a:ext>
                <a:ext uri="{FF2B5EF4-FFF2-40B4-BE49-F238E27FC236}">
                  <a16:creationId xmlns:a16="http://schemas.microsoft.com/office/drawing/2014/main" id="{00000000-0008-0000-0600-000007D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80936" name="Check Box 8" hidden="1">
              <a:extLst>
                <a:ext uri="{63B3BB69-23CF-44E3-9099-C40C66FF867C}">
                  <a14:compatExt spid="_x0000_s380936"/>
                </a:ext>
                <a:ext uri="{FF2B5EF4-FFF2-40B4-BE49-F238E27FC236}">
                  <a16:creationId xmlns:a16="http://schemas.microsoft.com/office/drawing/2014/main" id="{00000000-0008-0000-0600-000008D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80937" name="Check Box 9" hidden="1">
              <a:extLst>
                <a:ext uri="{63B3BB69-23CF-44E3-9099-C40C66FF867C}">
                  <a14:compatExt spid="_x0000_s380937"/>
                </a:ext>
                <a:ext uri="{FF2B5EF4-FFF2-40B4-BE49-F238E27FC236}">
                  <a16:creationId xmlns:a16="http://schemas.microsoft.com/office/drawing/2014/main" id="{00000000-0008-0000-0600-000009D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80938" name="Check Box 10" hidden="1">
              <a:extLst>
                <a:ext uri="{63B3BB69-23CF-44E3-9099-C40C66FF867C}">
                  <a14:compatExt spid="_x0000_s380938"/>
                </a:ext>
                <a:ext uri="{FF2B5EF4-FFF2-40B4-BE49-F238E27FC236}">
                  <a16:creationId xmlns:a16="http://schemas.microsoft.com/office/drawing/2014/main" id="{00000000-0008-0000-0600-00000AD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80939" name="Check Box 11" hidden="1">
              <a:extLst>
                <a:ext uri="{63B3BB69-23CF-44E3-9099-C40C66FF867C}">
                  <a14:compatExt spid="_x0000_s380939"/>
                </a:ext>
                <a:ext uri="{FF2B5EF4-FFF2-40B4-BE49-F238E27FC236}">
                  <a16:creationId xmlns:a16="http://schemas.microsoft.com/office/drawing/2014/main" id="{00000000-0008-0000-0600-00000BD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80940" name="Check Box 12" hidden="1">
              <a:extLst>
                <a:ext uri="{63B3BB69-23CF-44E3-9099-C40C66FF867C}">
                  <a14:compatExt spid="_x0000_s380940"/>
                </a:ext>
                <a:ext uri="{FF2B5EF4-FFF2-40B4-BE49-F238E27FC236}">
                  <a16:creationId xmlns:a16="http://schemas.microsoft.com/office/drawing/2014/main" id="{00000000-0008-0000-0600-00000CD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80941" name="Check Box 13" hidden="1">
              <a:extLst>
                <a:ext uri="{63B3BB69-23CF-44E3-9099-C40C66FF867C}">
                  <a14:compatExt spid="_x0000_s380941"/>
                </a:ext>
                <a:ext uri="{FF2B5EF4-FFF2-40B4-BE49-F238E27FC236}">
                  <a16:creationId xmlns:a16="http://schemas.microsoft.com/office/drawing/2014/main" id="{00000000-0008-0000-0600-00000DD0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79905" name="Check Box 1" hidden="1">
              <a:extLst>
                <a:ext uri="{63B3BB69-23CF-44E3-9099-C40C66FF867C}">
                  <a14:compatExt spid="_x0000_s379905"/>
                </a:ext>
                <a:ext uri="{FF2B5EF4-FFF2-40B4-BE49-F238E27FC236}">
                  <a16:creationId xmlns:a16="http://schemas.microsoft.com/office/drawing/2014/main" id="{00000000-0008-0000-0700-000001C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79906" name="Check Box 2" hidden="1">
              <a:extLst>
                <a:ext uri="{63B3BB69-23CF-44E3-9099-C40C66FF867C}">
                  <a14:compatExt spid="_x0000_s379906"/>
                </a:ext>
                <a:ext uri="{FF2B5EF4-FFF2-40B4-BE49-F238E27FC236}">
                  <a16:creationId xmlns:a16="http://schemas.microsoft.com/office/drawing/2014/main" id="{00000000-0008-0000-0700-000002C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79907" name="Check Box 3" hidden="1">
              <a:extLst>
                <a:ext uri="{63B3BB69-23CF-44E3-9099-C40C66FF867C}">
                  <a14:compatExt spid="_x0000_s379907"/>
                </a:ext>
                <a:ext uri="{FF2B5EF4-FFF2-40B4-BE49-F238E27FC236}">
                  <a16:creationId xmlns:a16="http://schemas.microsoft.com/office/drawing/2014/main" id="{00000000-0008-0000-0700-000003C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79908" name="Check Box 4" hidden="1">
              <a:extLst>
                <a:ext uri="{63B3BB69-23CF-44E3-9099-C40C66FF867C}">
                  <a14:compatExt spid="_x0000_s379908"/>
                </a:ext>
                <a:ext uri="{FF2B5EF4-FFF2-40B4-BE49-F238E27FC236}">
                  <a16:creationId xmlns:a16="http://schemas.microsoft.com/office/drawing/2014/main" id="{00000000-0008-0000-0700-000004C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79909" name="Check Box 5" hidden="1">
              <a:extLst>
                <a:ext uri="{63B3BB69-23CF-44E3-9099-C40C66FF867C}">
                  <a14:compatExt spid="_x0000_s379909"/>
                </a:ext>
                <a:ext uri="{FF2B5EF4-FFF2-40B4-BE49-F238E27FC236}">
                  <a16:creationId xmlns:a16="http://schemas.microsoft.com/office/drawing/2014/main" id="{00000000-0008-0000-0700-000005C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79910" name="Check Box 6" hidden="1">
              <a:extLst>
                <a:ext uri="{63B3BB69-23CF-44E3-9099-C40C66FF867C}">
                  <a14:compatExt spid="_x0000_s379910"/>
                </a:ext>
                <a:ext uri="{FF2B5EF4-FFF2-40B4-BE49-F238E27FC236}">
                  <a16:creationId xmlns:a16="http://schemas.microsoft.com/office/drawing/2014/main" id="{00000000-0008-0000-0700-000006C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79911" name="Check Box 7" hidden="1">
              <a:extLst>
                <a:ext uri="{63B3BB69-23CF-44E3-9099-C40C66FF867C}">
                  <a14:compatExt spid="_x0000_s379911"/>
                </a:ext>
                <a:ext uri="{FF2B5EF4-FFF2-40B4-BE49-F238E27FC236}">
                  <a16:creationId xmlns:a16="http://schemas.microsoft.com/office/drawing/2014/main" id="{00000000-0008-0000-0700-000007C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79912" name="Check Box 8" hidden="1">
              <a:extLst>
                <a:ext uri="{63B3BB69-23CF-44E3-9099-C40C66FF867C}">
                  <a14:compatExt spid="_x0000_s379912"/>
                </a:ext>
                <a:ext uri="{FF2B5EF4-FFF2-40B4-BE49-F238E27FC236}">
                  <a16:creationId xmlns:a16="http://schemas.microsoft.com/office/drawing/2014/main" id="{00000000-0008-0000-0700-000008C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79913" name="Check Box 9" hidden="1">
              <a:extLst>
                <a:ext uri="{63B3BB69-23CF-44E3-9099-C40C66FF867C}">
                  <a14:compatExt spid="_x0000_s379913"/>
                </a:ext>
                <a:ext uri="{FF2B5EF4-FFF2-40B4-BE49-F238E27FC236}">
                  <a16:creationId xmlns:a16="http://schemas.microsoft.com/office/drawing/2014/main" id="{00000000-0008-0000-0700-000009C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79914" name="Check Box 10" hidden="1">
              <a:extLst>
                <a:ext uri="{63B3BB69-23CF-44E3-9099-C40C66FF867C}">
                  <a14:compatExt spid="_x0000_s379914"/>
                </a:ext>
                <a:ext uri="{FF2B5EF4-FFF2-40B4-BE49-F238E27FC236}">
                  <a16:creationId xmlns:a16="http://schemas.microsoft.com/office/drawing/2014/main" id="{00000000-0008-0000-0700-00000AC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79915" name="Check Box 11" hidden="1">
              <a:extLst>
                <a:ext uri="{63B3BB69-23CF-44E3-9099-C40C66FF867C}">
                  <a14:compatExt spid="_x0000_s379915"/>
                </a:ext>
                <a:ext uri="{FF2B5EF4-FFF2-40B4-BE49-F238E27FC236}">
                  <a16:creationId xmlns:a16="http://schemas.microsoft.com/office/drawing/2014/main" id="{00000000-0008-0000-0700-00000BC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79916" name="Check Box 12" hidden="1">
              <a:extLst>
                <a:ext uri="{63B3BB69-23CF-44E3-9099-C40C66FF867C}">
                  <a14:compatExt spid="_x0000_s379916"/>
                </a:ext>
                <a:ext uri="{FF2B5EF4-FFF2-40B4-BE49-F238E27FC236}">
                  <a16:creationId xmlns:a16="http://schemas.microsoft.com/office/drawing/2014/main" id="{00000000-0008-0000-0700-00000CC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79917" name="Check Box 13" hidden="1">
              <a:extLst>
                <a:ext uri="{63B3BB69-23CF-44E3-9099-C40C66FF867C}">
                  <a14:compatExt spid="_x0000_s379917"/>
                </a:ext>
                <a:ext uri="{FF2B5EF4-FFF2-40B4-BE49-F238E27FC236}">
                  <a16:creationId xmlns:a16="http://schemas.microsoft.com/office/drawing/2014/main" id="{00000000-0008-0000-0700-00000DC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78881" name="Check Box 1" hidden="1">
              <a:extLst>
                <a:ext uri="{63B3BB69-23CF-44E3-9099-C40C66FF867C}">
                  <a14:compatExt spid="_x0000_s378881"/>
                </a:ext>
                <a:ext uri="{FF2B5EF4-FFF2-40B4-BE49-F238E27FC236}">
                  <a16:creationId xmlns:a16="http://schemas.microsoft.com/office/drawing/2014/main" id="{00000000-0008-0000-0800-000001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78882" name="Check Box 2" hidden="1">
              <a:extLst>
                <a:ext uri="{63B3BB69-23CF-44E3-9099-C40C66FF867C}">
                  <a14:compatExt spid="_x0000_s378882"/>
                </a:ext>
                <a:ext uri="{FF2B5EF4-FFF2-40B4-BE49-F238E27FC236}">
                  <a16:creationId xmlns:a16="http://schemas.microsoft.com/office/drawing/2014/main" id="{00000000-0008-0000-0800-000002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78883" name="Check Box 3" hidden="1">
              <a:extLst>
                <a:ext uri="{63B3BB69-23CF-44E3-9099-C40C66FF867C}">
                  <a14:compatExt spid="_x0000_s378883"/>
                </a:ext>
                <a:ext uri="{FF2B5EF4-FFF2-40B4-BE49-F238E27FC236}">
                  <a16:creationId xmlns:a16="http://schemas.microsoft.com/office/drawing/2014/main" id="{00000000-0008-0000-0800-000003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78884" name="Check Box 4" hidden="1">
              <a:extLst>
                <a:ext uri="{63B3BB69-23CF-44E3-9099-C40C66FF867C}">
                  <a14:compatExt spid="_x0000_s378884"/>
                </a:ext>
                <a:ext uri="{FF2B5EF4-FFF2-40B4-BE49-F238E27FC236}">
                  <a16:creationId xmlns:a16="http://schemas.microsoft.com/office/drawing/2014/main" id="{00000000-0008-0000-0800-000004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78885" name="Check Box 5" hidden="1">
              <a:extLst>
                <a:ext uri="{63B3BB69-23CF-44E3-9099-C40C66FF867C}">
                  <a14:compatExt spid="_x0000_s378885"/>
                </a:ext>
                <a:ext uri="{FF2B5EF4-FFF2-40B4-BE49-F238E27FC236}">
                  <a16:creationId xmlns:a16="http://schemas.microsoft.com/office/drawing/2014/main" id="{00000000-0008-0000-0800-000005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78886" name="Check Box 6" hidden="1">
              <a:extLst>
                <a:ext uri="{63B3BB69-23CF-44E3-9099-C40C66FF867C}">
                  <a14:compatExt spid="_x0000_s378886"/>
                </a:ext>
                <a:ext uri="{FF2B5EF4-FFF2-40B4-BE49-F238E27FC236}">
                  <a16:creationId xmlns:a16="http://schemas.microsoft.com/office/drawing/2014/main" id="{00000000-0008-0000-0800-000006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78887" name="Check Box 7" hidden="1">
              <a:extLst>
                <a:ext uri="{63B3BB69-23CF-44E3-9099-C40C66FF867C}">
                  <a14:compatExt spid="_x0000_s378887"/>
                </a:ext>
                <a:ext uri="{FF2B5EF4-FFF2-40B4-BE49-F238E27FC236}">
                  <a16:creationId xmlns:a16="http://schemas.microsoft.com/office/drawing/2014/main" id="{00000000-0008-0000-0800-000007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78888" name="Check Box 8" hidden="1">
              <a:extLst>
                <a:ext uri="{63B3BB69-23CF-44E3-9099-C40C66FF867C}">
                  <a14:compatExt spid="_x0000_s378888"/>
                </a:ext>
                <a:ext uri="{FF2B5EF4-FFF2-40B4-BE49-F238E27FC236}">
                  <a16:creationId xmlns:a16="http://schemas.microsoft.com/office/drawing/2014/main" id="{00000000-0008-0000-0800-000008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78889" name="Check Box 9" hidden="1">
              <a:extLst>
                <a:ext uri="{63B3BB69-23CF-44E3-9099-C40C66FF867C}">
                  <a14:compatExt spid="_x0000_s378889"/>
                </a:ext>
                <a:ext uri="{FF2B5EF4-FFF2-40B4-BE49-F238E27FC236}">
                  <a16:creationId xmlns:a16="http://schemas.microsoft.com/office/drawing/2014/main" id="{00000000-0008-0000-0800-000009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78890" name="Check Box 10" hidden="1">
              <a:extLst>
                <a:ext uri="{63B3BB69-23CF-44E3-9099-C40C66FF867C}">
                  <a14:compatExt spid="_x0000_s378890"/>
                </a:ext>
                <a:ext uri="{FF2B5EF4-FFF2-40B4-BE49-F238E27FC236}">
                  <a16:creationId xmlns:a16="http://schemas.microsoft.com/office/drawing/2014/main" id="{00000000-0008-0000-0800-00000A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78891" name="Check Box 11" hidden="1">
              <a:extLst>
                <a:ext uri="{63B3BB69-23CF-44E3-9099-C40C66FF867C}">
                  <a14:compatExt spid="_x0000_s378891"/>
                </a:ext>
                <a:ext uri="{FF2B5EF4-FFF2-40B4-BE49-F238E27FC236}">
                  <a16:creationId xmlns:a16="http://schemas.microsoft.com/office/drawing/2014/main" id="{00000000-0008-0000-0800-00000B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78892" name="Check Box 12" hidden="1">
              <a:extLst>
                <a:ext uri="{63B3BB69-23CF-44E3-9099-C40C66FF867C}">
                  <a14:compatExt spid="_x0000_s378892"/>
                </a:ext>
                <a:ext uri="{FF2B5EF4-FFF2-40B4-BE49-F238E27FC236}">
                  <a16:creationId xmlns:a16="http://schemas.microsoft.com/office/drawing/2014/main" id="{00000000-0008-0000-0800-00000C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78893" name="Check Box 13" hidden="1">
              <a:extLst>
                <a:ext uri="{63B3BB69-23CF-44E3-9099-C40C66FF867C}">
                  <a14:compatExt spid="_x0000_s378893"/>
                </a:ext>
                <a:ext uri="{FF2B5EF4-FFF2-40B4-BE49-F238E27FC236}">
                  <a16:creationId xmlns:a16="http://schemas.microsoft.com/office/drawing/2014/main" id="{00000000-0008-0000-0800-00000DC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215900</xdr:colOff>
          <xdr:row>34</xdr:row>
          <xdr:rowOff>0</xdr:rowOff>
        </xdr:from>
        <xdr:to>
          <xdr:col>3</xdr:col>
          <xdr:colOff>558800</xdr:colOff>
          <xdr:row>34</xdr:row>
          <xdr:rowOff>222250</xdr:rowOff>
        </xdr:to>
        <xdr:sp macro="" textlink="">
          <xdr:nvSpPr>
            <xdr:cNvPr id="377857" name="Check Box 1" hidden="1">
              <a:extLst>
                <a:ext uri="{63B3BB69-23CF-44E3-9099-C40C66FF867C}">
                  <a14:compatExt spid="_x0000_s377857"/>
                </a:ext>
                <a:ext uri="{FF2B5EF4-FFF2-40B4-BE49-F238E27FC236}">
                  <a16:creationId xmlns:a16="http://schemas.microsoft.com/office/drawing/2014/main" id="{00000000-0008-0000-0900-000001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Eating(Feeding)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0</xdr:rowOff>
        </xdr:from>
        <xdr:to>
          <xdr:col>1</xdr:col>
          <xdr:colOff>641350</xdr:colOff>
          <xdr:row>34</xdr:row>
          <xdr:rowOff>222250</xdr:rowOff>
        </xdr:to>
        <xdr:sp macro="" textlink="">
          <xdr:nvSpPr>
            <xdr:cNvPr id="377858" name="Check Box 2" hidden="1">
              <a:extLst>
                <a:ext uri="{63B3BB69-23CF-44E3-9099-C40C66FF867C}">
                  <a14:compatExt spid="_x0000_s377858"/>
                </a:ext>
                <a:ext uri="{FF2B5EF4-FFF2-40B4-BE49-F238E27FC236}">
                  <a16:creationId xmlns:a16="http://schemas.microsoft.com/office/drawing/2014/main" id="{00000000-0008-0000-0900-000002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Transferring/Ambulating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34</xdr:row>
          <xdr:rowOff>0</xdr:rowOff>
        </xdr:from>
        <xdr:to>
          <xdr:col>5</xdr:col>
          <xdr:colOff>31750</xdr:colOff>
          <xdr:row>34</xdr:row>
          <xdr:rowOff>222250</xdr:rowOff>
        </xdr:to>
        <xdr:sp macro="" textlink="">
          <xdr:nvSpPr>
            <xdr:cNvPr id="377859" name="Check Box 3" hidden="1">
              <a:extLst>
                <a:ext uri="{63B3BB69-23CF-44E3-9099-C40C66FF867C}">
                  <a14:compatExt spid="_x0000_s377859"/>
                </a:ext>
                <a:ext uri="{FF2B5EF4-FFF2-40B4-BE49-F238E27FC236}">
                  <a16:creationId xmlns:a16="http://schemas.microsoft.com/office/drawing/2014/main" id="{00000000-0008-0000-0900-000003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Toileting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107950</xdr:colOff>
          <xdr:row>34</xdr:row>
          <xdr:rowOff>0</xdr:rowOff>
        </xdr:from>
        <xdr:to>
          <xdr:col>7</xdr:col>
          <xdr:colOff>215900</xdr:colOff>
          <xdr:row>34</xdr:row>
          <xdr:rowOff>222250</xdr:rowOff>
        </xdr:to>
        <xdr:sp macro="" textlink="">
          <xdr:nvSpPr>
            <xdr:cNvPr id="377860" name="Check Box 4" hidden="1">
              <a:extLst>
                <a:ext uri="{63B3BB69-23CF-44E3-9099-C40C66FF867C}">
                  <a14:compatExt spid="_x0000_s377860"/>
                </a:ext>
                <a:ext uri="{FF2B5EF4-FFF2-40B4-BE49-F238E27FC236}">
                  <a16:creationId xmlns:a16="http://schemas.microsoft.com/office/drawing/2014/main" id="{00000000-0008-0000-0900-000004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Medication Administration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349250</xdr:colOff>
          <xdr:row>34</xdr:row>
          <xdr:rowOff>0</xdr:rowOff>
        </xdr:from>
        <xdr:to>
          <xdr:col>9</xdr:col>
          <xdr:colOff>152400</xdr:colOff>
          <xdr:row>34</xdr:row>
          <xdr:rowOff>222250</xdr:rowOff>
        </xdr:to>
        <xdr:sp macro="" textlink="">
          <xdr:nvSpPr>
            <xdr:cNvPr id="377861" name="Check Box 5" hidden="1">
              <a:extLst>
                <a:ext uri="{63B3BB69-23CF-44E3-9099-C40C66FF867C}">
                  <a14:compatExt spid="_x0000_s377861"/>
                </a:ext>
                <a:ext uri="{FF2B5EF4-FFF2-40B4-BE49-F238E27FC236}">
                  <a16:creationId xmlns:a16="http://schemas.microsoft.com/office/drawing/2014/main" id="{00000000-0008-0000-0900-000005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Hair Care/ Skin Care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368300</xdr:colOff>
          <xdr:row>34</xdr:row>
          <xdr:rowOff>0</xdr:rowOff>
        </xdr:from>
        <xdr:to>
          <xdr:col>10</xdr:col>
          <xdr:colOff>273050</xdr:colOff>
          <xdr:row>34</xdr:row>
          <xdr:rowOff>222250</xdr:rowOff>
        </xdr:to>
        <xdr:sp macro="" textlink="">
          <xdr:nvSpPr>
            <xdr:cNvPr id="377862" name="Check Box 6" hidden="1">
              <a:extLst>
                <a:ext uri="{63B3BB69-23CF-44E3-9099-C40C66FF867C}">
                  <a14:compatExt spid="_x0000_s377862"/>
                </a:ext>
                <a:ext uri="{FF2B5EF4-FFF2-40B4-BE49-F238E27FC236}">
                  <a16:creationId xmlns:a16="http://schemas.microsoft.com/office/drawing/2014/main" id="{00000000-0008-0000-0900-000006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Grooming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25400</xdr:colOff>
          <xdr:row>34</xdr:row>
          <xdr:rowOff>254000</xdr:rowOff>
        </xdr:from>
        <xdr:to>
          <xdr:col>0</xdr:col>
          <xdr:colOff>596900</xdr:colOff>
          <xdr:row>34</xdr:row>
          <xdr:rowOff>463550</xdr:rowOff>
        </xdr:to>
        <xdr:sp macro="" textlink="">
          <xdr:nvSpPr>
            <xdr:cNvPr id="377863" name="Check Box 7" hidden="1">
              <a:extLst>
                <a:ext uri="{63B3BB69-23CF-44E3-9099-C40C66FF867C}">
                  <a14:compatExt spid="_x0000_s377863"/>
                </a:ext>
                <a:ext uri="{FF2B5EF4-FFF2-40B4-BE49-F238E27FC236}">
                  <a16:creationId xmlns:a16="http://schemas.microsoft.com/office/drawing/2014/main" id="{00000000-0008-0000-0900-000007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Bathing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63500</xdr:colOff>
          <xdr:row>34</xdr:row>
          <xdr:rowOff>254000</xdr:rowOff>
        </xdr:from>
        <xdr:to>
          <xdr:col>1</xdr:col>
          <xdr:colOff>679450</xdr:colOff>
          <xdr:row>34</xdr:row>
          <xdr:rowOff>463550</xdr:rowOff>
        </xdr:to>
        <xdr:sp macro="" textlink="">
          <xdr:nvSpPr>
            <xdr:cNvPr id="377864" name="Check Box 8" hidden="1">
              <a:extLst>
                <a:ext uri="{63B3BB69-23CF-44E3-9099-C40C66FF867C}">
                  <a14:compatExt spid="_x0000_s377864"/>
                </a:ext>
                <a:ext uri="{FF2B5EF4-FFF2-40B4-BE49-F238E27FC236}">
                  <a16:creationId xmlns:a16="http://schemas.microsoft.com/office/drawing/2014/main" id="{00000000-0008-0000-0900-000008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34</xdr:row>
          <xdr:rowOff>254000</xdr:rowOff>
        </xdr:from>
        <xdr:to>
          <xdr:col>3</xdr:col>
          <xdr:colOff>222250</xdr:colOff>
          <xdr:row>34</xdr:row>
          <xdr:rowOff>463550</xdr:rowOff>
        </xdr:to>
        <xdr:sp macro="" textlink="">
          <xdr:nvSpPr>
            <xdr:cNvPr id="377865" name="Check Box 9" hidden="1">
              <a:extLst>
                <a:ext uri="{63B3BB69-23CF-44E3-9099-C40C66FF867C}">
                  <a14:compatExt spid="_x0000_s377865"/>
                </a:ext>
                <a:ext uri="{FF2B5EF4-FFF2-40B4-BE49-F238E27FC236}">
                  <a16:creationId xmlns:a16="http://schemas.microsoft.com/office/drawing/2014/main" id="{00000000-0008-0000-0900-000009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Exercising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34</xdr:row>
          <xdr:rowOff>254000</xdr:rowOff>
        </xdr:from>
        <xdr:to>
          <xdr:col>5</xdr:col>
          <xdr:colOff>234950</xdr:colOff>
          <xdr:row>34</xdr:row>
          <xdr:rowOff>463550</xdr:rowOff>
        </xdr:to>
        <xdr:sp macro="" textlink="">
          <xdr:nvSpPr>
            <xdr:cNvPr id="377866" name="Check Box 10" hidden="1">
              <a:extLst>
                <a:ext uri="{63B3BB69-23CF-44E3-9099-C40C66FF867C}">
                  <a14:compatExt spid="_x0000_s377866"/>
                </a:ext>
                <a:ext uri="{FF2B5EF4-FFF2-40B4-BE49-F238E27FC236}">
                  <a16:creationId xmlns:a16="http://schemas.microsoft.com/office/drawing/2014/main" id="{00000000-0008-0000-0900-00000A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24 Hour Supervision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34</xdr:row>
          <xdr:rowOff>254000</xdr:rowOff>
        </xdr:from>
        <xdr:to>
          <xdr:col>7</xdr:col>
          <xdr:colOff>146050</xdr:colOff>
          <xdr:row>34</xdr:row>
          <xdr:rowOff>463550</xdr:rowOff>
        </xdr:to>
        <xdr:sp macro="" textlink="">
          <xdr:nvSpPr>
            <xdr:cNvPr id="377867" name="Check Box 11" hidden="1">
              <a:extLst>
                <a:ext uri="{63B3BB69-23CF-44E3-9099-C40C66FF867C}">
                  <a14:compatExt spid="_x0000_s377867"/>
                </a:ext>
                <a:ext uri="{FF2B5EF4-FFF2-40B4-BE49-F238E27FC236}">
                  <a16:creationId xmlns:a16="http://schemas.microsoft.com/office/drawing/2014/main" id="{00000000-0008-0000-0900-00000B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Home Management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292100</xdr:colOff>
          <xdr:row>34</xdr:row>
          <xdr:rowOff>254000</xdr:rowOff>
        </xdr:from>
        <xdr:to>
          <xdr:col>8</xdr:col>
          <xdr:colOff>311150</xdr:colOff>
          <xdr:row>34</xdr:row>
          <xdr:rowOff>463550</xdr:rowOff>
        </xdr:to>
        <xdr:sp macro="" textlink="">
          <xdr:nvSpPr>
            <xdr:cNvPr id="377868" name="Check Box 12" hidden="1">
              <a:extLst>
                <a:ext uri="{63B3BB69-23CF-44E3-9099-C40C66FF867C}">
                  <a14:compatExt spid="_x0000_s377868"/>
                </a:ext>
                <a:ext uri="{FF2B5EF4-FFF2-40B4-BE49-F238E27FC236}">
                  <a16:creationId xmlns:a16="http://schemas.microsoft.com/office/drawing/2014/main" id="{00000000-0008-0000-0900-00000C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Shopping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406400</xdr:colOff>
          <xdr:row>34</xdr:row>
          <xdr:rowOff>254000</xdr:rowOff>
        </xdr:from>
        <xdr:to>
          <xdr:col>10</xdr:col>
          <xdr:colOff>158750</xdr:colOff>
          <xdr:row>34</xdr:row>
          <xdr:rowOff>463550</xdr:rowOff>
        </xdr:to>
        <xdr:sp macro="" textlink="">
          <xdr:nvSpPr>
            <xdr:cNvPr id="377869" name="Check Box 13" hidden="1">
              <a:extLst>
                <a:ext uri="{63B3BB69-23CF-44E3-9099-C40C66FF867C}">
                  <a14:compatExt spid="_x0000_s377869"/>
                </a:ext>
                <a:ext uri="{FF2B5EF4-FFF2-40B4-BE49-F238E27FC236}">
                  <a16:creationId xmlns:a16="http://schemas.microsoft.com/office/drawing/2014/main" id="{00000000-0008-0000-0900-00000DC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Transportation/Escort</a:t>
              </a:r>
            </a:p>
          </xdr:txBody>
        </xdr:sp>
        <xdr:clientData/>
      </xdr:twoCellAnchor>
    </mc:Choice>
    <mc:Fallback/>
  </mc:AlternateContent>
</xdr:wsDr>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4147ABD5-B6DD-4C1C-8A61-A21DC9638A81}">
  <header guid="{4147ABD5-B6DD-4C1C-8A61-A21DC9638A81}" dateTime="2024-02-07T09:20:42" maxSheetId="45" userName="Nelson,Rose M (HHSC)" r:id="rId1">
    <sheetIdMap count="44">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4147ABD5-B6DD-4C1C-8A61-A21DC9638A81}" name="Nelson,Rose M (HHSC)" id="-2123042633" dateTime="2024-02-07T09:20:42"/>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08.xml"/><Relationship Id="rId13" Type="http://schemas.openxmlformats.org/officeDocument/2006/relationships/ctrlProp" Target="../ctrlProps/ctrlProp113.xml"/><Relationship Id="rId3" Type="http://schemas.openxmlformats.org/officeDocument/2006/relationships/drawing" Target="../drawings/drawing9.xml"/><Relationship Id="rId7" Type="http://schemas.openxmlformats.org/officeDocument/2006/relationships/ctrlProp" Target="../ctrlProps/ctrlProp107.xml"/><Relationship Id="rId12" Type="http://schemas.openxmlformats.org/officeDocument/2006/relationships/ctrlProp" Target="../ctrlProps/ctrlProp112.xml"/><Relationship Id="rId17" Type="http://schemas.openxmlformats.org/officeDocument/2006/relationships/ctrlProp" Target="../ctrlProps/ctrlProp117.xml"/><Relationship Id="rId2" Type="http://schemas.openxmlformats.org/officeDocument/2006/relationships/printerSettings" Target="../printerSettings/printerSettings30.bin"/><Relationship Id="rId16" Type="http://schemas.openxmlformats.org/officeDocument/2006/relationships/ctrlProp" Target="../ctrlProps/ctrlProp116.xml"/><Relationship Id="rId1" Type="http://schemas.openxmlformats.org/officeDocument/2006/relationships/printerSettings" Target="../printerSettings/printerSettings29.bin"/><Relationship Id="rId6" Type="http://schemas.openxmlformats.org/officeDocument/2006/relationships/ctrlProp" Target="../ctrlProps/ctrlProp106.xml"/><Relationship Id="rId11" Type="http://schemas.openxmlformats.org/officeDocument/2006/relationships/ctrlProp" Target="../ctrlProps/ctrlProp111.xml"/><Relationship Id="rId5" Type="http://schemas.openxmlformats.org/officeDocument/2006/relationships/ctrlProp" Target="../ctrlProps/ctrlProp105.xml"/><Relationship Id="rId15" Type="http://schemas.openxmlformats.org/officeDocument/2006/relationships/ctrlProp" Target="../ctrlProps/ctrlProp115.xml"/><Relationship Id="rId10" Type="http://schemas.openxmlformats.org/officeDocument/2006/relationships/ctrlProp" Target="../ctrlProps/ctrlProp110.xml"/><Relationship Id="rId4" Type="http://schemas.openxmlformats.org/officeDocument/2006/relationships/vmlDrawing" Target="../drawings/vmlDrawing9.vml"/><Relationship Id="rId9" Type="http://schemas.openxmlformats.org/officeDocument/2006/relationships/ctrlProp" Target="../ctrlProps/ctrlProp109.xml"/><Relationship Id="rId14" Type="http://schemas.openxmlformats.org/officeDocument/2006/relationships/ctrlProp" Target="../ctrlProps/ctrlProp11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21.xml"/><Relationship Id="rId13" Type="http://schemas.openxmlformats.org/officeDocument/2006/relationships/ctrlProp" Target="../ctrlProps/ctrlProp126.xml"/><Relationship Id="rId3" Type="http://schemas.openxmlformats.org/officeDocument/2006/relationships/drawing" Target="../drawings/drawing10.xml"/><Relationship Id="rId7" Type="http://schemas.openxmlformats.org/officeDocument/2006/relationships/ctrlProp" Target="../ctrlProps/ctrlProp120.xml"/><Relationship Id="rId12" Type="http://schemas.openxmlformats.org/officeDocument/2006/relationships/ctrlProp" Target="../ctrlProps/ctrlProp125.xml"/><Relationship Id="rId17" Type="http://schemas.openxmlformats.org/officeDocument/2006/relationships/ctrlProp" Target="../ctrlProps/ctrlProp130.xml"/><Relationship Id="rId2" Type="http://schemas.openxmlformats.org/officeDocument/2006/relationships/printerSettings" Target="../printerSettings/printerSettings32.bin"/><Relationship Id="rId16" Type="http://schemas.openxmlformats.org/officeDocument/2006/relationships/ctrlProp" Target="../ctrlProps/ctrlProp129.xml"/><Relationship Id="rId1" Type="http://schemas.openxmlformats.org/officeDocument/2006/relationships/printerSettings" Target="../printerSettings/printerSettings31.bin"/><Relationship Id="rId6" Type="http://schemas.openxmlformats.org/officeDocument/2006/relationships/ctrlProp" Target="../ctrlProps/ctrlProp119.xml"/><Relationship Id="rId11" Type="http://schemas.openxmlformats.org/officeDocument/2006/relationships/ctrlProp" Target="../ctrlProps/ctrlProp124.xml"/><Relationship Id="rId5" Type="http://schemas.openxmlformats.org/officeDocument/2006/relationships/ctrlProp" Target="../ctrlProps/ctrlProp118.xml"/><Relationship Id="rId15" Type="http://schemas.openxmlformats.org/officeDocument/2006/relationships/ctrlProp" Target="../ctrlProps/ctrlProp128.xml"/><Relationship Id="rId10" Type="http://schemas.openxmlformats.org/officeDocument/2006/relationships/ctrlProp" Target="../ctrlProps/ctrlProp123.xml"/><Relationship Id="rId4" Type="http://schemas.openxmlformats.org/officeDocument/2006/relationships/vmlDrawing" Target="../drawings/vmlDrawing10.vml"/><Relationship Id="rId9" Type="http://schemas.openxmlformats.org/officeDocument/2006/relationships/ctrlProp" Target="../ctrlProps/ctrlProp122.xml"/><Relationship Id="rId14" Type="http://schemas.openxmlformats.org/officeDocument/2006/relationships/ctrlProp" Target="../ctrlProps/ctrlProp127.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34.xml"/><Relationship Id="rId13" Type="http://schemas.openxmlformats.org/officeDocument/2006/relationships/ctrlProp" Target="../ctrlProps/ctrlProp139.xml"/><Relationship Id="rId3" Type="http://schemas.openxmlformats.org/officeDocument/2006/relationships/drawing" Target="../drawings/drawing11.xml"/><Relationship Id="rId7" Type="http://schemas.openxmlformats.org/officeDocument/2006/relationships/ctrlProp" Target="../ctrlProps/ctrlProp133.xml"/><Relationship Id="rId12" Type="http://schemas.openxmlformats.org/officeDocument/2006/relationships/ctrlProp" Target="../ctrlProps/ctrlProp138.xml"/><Relationship Id="rId17" Type="http://schemas.openxmlformats.org/officeDocument/2006/relationships/ctrlProp" Target="../ctrlProps/ctrlProp143.xml"/><Relationship Id="rId2" Type="http://schemas.openxmlformats.org/officeDocument/2006/relationships/printerSettings" Target="../printerSettings/printerSettings34.bin"/><Relationship Id="rId16" Type="http://schemas.openxmlformats.org/officeDocument/2006/relationships/ctrlProp" Target="../ctrlProps/ctrlProp142.xml"/><Relationship Id="rId1" Type="http://schemas.openxmlformats.org/officeDocument/2006/relationships/printerSettings" Target="../printerSettings/printerSettings33.bin"/><Relationship Id="rId6" Type="http://schemas.openxmlformats.org/officeDocument/2006/relationships/ctrlProp" Target="../ctrlProps/ctrlProp132.xml"/><Relationship Id="rId11" Type="http://schemas.openxmlformats.org/officeDocument/2006/relationships/ctrlProp" Target="../ctrlProps/ctrlProp137.xml"/><Relationship Id="rId5" Type="http://schemas.openxmlformats.org/officeDocument/2006/relationships/ctrlProp" Target="../ctrlProps/ctrlProp131.xml"/><Relationship Id="rId15" Type="http://schemas.openxmlformats.org/officeDocument/2006/relationships/ctrlProp" Target="../ctrlProps/ctrlProp141.xml"/><Relationship Id="rId10" Type="http://schemas.openxmlformats.org/officeDocument/2006/relationships/ctrlProp" Target="../ctrlProps/ctrlProp136.xml"/><Relationship Id="rId4" Type="http://schemas.openxmlformats.org/officeDocument/2006/relationships/vmlDrawing" Target="../drawings/vmlDrawing11.vml"/><Relationship Id="rId9" Type="http://schemas.openxmlformats.org/officeDocument/2006/relationships/ctrlProp" Target="../ctrlProps/ctrlProp135.xml"/><Relationship Id="rId14" Type="http://schemas.openxmlformats.org/officeDocument/2006/relationships/ctrlProp" Target="../ctrlProps/ctrlProp140.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47.xml"/><Relationship Id="rId13" Type="http://schemas.openxmlformats.org/officeDocument/2006/relationships/ctrlProp" Target="../ctrlProps/ctrlProp152.xml"/><Relationship Id="rId3" Type="http://schemas.openxmlformats.org/officeDocument/2006/relationships/drawing" Target="../drawings/drawing12.xml"/><Relationship Id="rId7" Type="http://schemas.openxmlformats.org/officeDocument/2006/relationships/ctrlProp" Target="../ctrlProps/ctrlProp146.xml"/><Relationship Id="rId12" Type="http://schemas.openxmlformats.org/officeDocument/2006/relationships/ctrlProp" Target="../ctrlProps/ctrlProp151.xml"/><Relationship Id="rId17" Type="http://schemas.openxmlformats.org/officeDocument/2006/relationships/ctrlProp" Target="../ctrlProps/ctrlProp156.xml"/><Relationship Id="rId2" Type="http://schemas.openxmlformats.org/officeDocument/2006/relationships/printerSettings" Target="../printerSettings/printerSettings36.bin"/><Relationship Id="rId16" Type="http://schemas.openxmlformats.org/officeDocument/2006/relationships/ctrlProp" Target="../ctrlProps/ctrlProp155.xml"/><Relationship Id="rId1" Type="http://schemas.openxmlformats.org/officeDocument/2006/relationships/printerSettings" Target="../printerSettings/printerSettings35.bin"/><Relationship Id="rId6" Type="http://schemas.openxmlformats.org/officeDocument/2006/relationships/ctrlProp" Target="../ctrlProps/ctrlProp145.xml"/><Relationship Id="rId11" Type="http://schemas.openxmlformats.org/officeDocument/2006/relationships/ctrlProp" Target="../ctrlProps/ctrlProp150.xml"/><Relationship Id="rId5" Type="http://schemas.openxmlformats.org/officeDocument/2006/relationships/ctrlProp" Target="../ctrlProps/ctrlProp144.xml"/><Relationship Id="rId15" Type="http://schemas.openxmlformats.org/officeDocument/2006/relationships/ctrlProp" Target="../ctrlProps/ctrlProp154.xml"/><Relationship Id="rId10" Type="http://schemas.openxmlformats.org/officeDocument/2006/relationships/ctrlProp" Target="../ctrlProps/ctrlProp149.xml"/><Relationship Id="rId4" Type="http://schemas.openxmlformats.org/officeDocument/2006/relationships/vmlDrawing" Target="../drawings/vmlDrawing12.vml"/><Relationship Id="rId9" Type="http://schemas.openxmlformats.org/officeDocument/2006/relationships/ctrlProp" Target="../ctrlProps/ctrlProp148.xml"/><Relationship Id="rId14" Type="http://schemas.openxmlformats.org/officeDocument/2006/relationships/ctrlProp" Target="../ctrlProps/ctrlProp153.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60.xml"/><Relationship Id="rId13" Type="http://schemas.openxmlformats.org/officeDocument/2006/relationships/ctrlProp" Target="../ctrlProps/ctrlProp165.xml"/><Relationship Id="rId3" Type="http://schemas.openxmlformats.org/officeDocument/2006/relationships/drawing" Target="../drawings/drawing13.xml"/><Relationship Id="rId7" Type="http://schemas.openxmlformats.org/officeDocument/2006/relationships/ctrlProp" Target="../ctrlProps/ctrlProp159.xml"/><Relationship Id="rId12" Type="http://schemas.openxmlformats.org/officeDocument/2006/relationships/ctrlProp" Target="../ctrlProps/ctrlProp164.xml"/><Relationship Id="rId17" Type="http://schemas.openxmlformats.org/officeDocument/2006/relationships/ctrlProp" Target="../ctrlProps/ctrlProp169.xml"/><Relationship Id="rId2" Type="http://schemas.openxmlformats.org/officeDocument/2006/relationships/printerSettings" Target="../printerSettings/printerSettings38.bin"/><Relationship Id="rId16" Type="http://schemas.openxmlformats.org/officeDocument/2006/relationships/ctrlProp" Target="../ctrlProps/ctrlProp168.xml"/><Relationship Id="rId1" Type="http://schemas.openxmlformats.org/officeDocument/2006/relationships/printerSettings" Target="../printerSettings/printerSettings37.bin"/><Relationship Id="rId6" Type="http://schemas.openxmlformats.org/officeDocument/2006/relationships/ctrlProp" Target="../ctrlProps/ctrlProp158.xml"/><Relationship Id="rId11" Type="http://schemas.openxmlformats.org/officeDocument/2006/relationships/ctrlProp" Target="../ctrlProps/ctrlProp163.xml"/><Relationship Id="rId5" Type="http://schemas.openxmlformats.org/officeDocument/2006/relationships/ctrlProp" Target="../ctrlProps/ctrlProp157.xml"/><Relationship Id="rId15" Type="http://schemas.openxmlformats.org/officeDocument/2006/relationships/ctrlProp" Target="../ctrlProps/ctrlProp167.xml"/><Relationship Id="rId10" Type="http://schemas.openxmlformats.org/officeDocument/2006/relationships/ctrlProp" Target="../ctrlProps/ctrlProp162.xml"/><Relationship Id="rId4" Type="http://schemas.openxmlformats.org/officeDocument/2006/relationships/vmlDrawing" Target="../drawings/vmlDrawing13.vml"/><Relationship Id="rId9" Type="http://schemas.openxmlformats.org/officeDocument/2006/relationships/ctrlProp" Target="../ctrlProps/ctrlProp161.xml"/><Relationship Id="rId14" Type="http://schemas.openxmlformats.org/officeDocument/2006/relationships/ctrlProp" Target="../ctrlProps/ctrlProp166.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73.xml"/><Relationship Id="rId13" Type="http://schemas.openxmlformats.org/officeDocument/2006/relationships/ctrlProp" Target="../ctrlProps/ctrlProp178.xml"/><Relationship Id="rId3" Type="http://schemas.openxmlformats.org/officeDocument/2006/relationships/drawing" Target="../drawings/drawing14.xml"/><Relationship Id="rId7" Type="http://schemas.openxmlformats.org/officeDocument/2006/relationships/ctrlProp" Target="../ctrlProps/ctrlProp172.xml"/><Relationship Id="rId12" Type="http://schemas.openxmlformats.org/officeDocument/2006/relationships/ctrlProp" Target="../ctrlProps/ctrlProp177.xml"/><Relationship Id="rId17" Type="http://schemas.openxmlformats.org/officeDocument/2006/relationships/ctrlProp" Target="../ctrlProps/ctrlProp182.xml"/><Relationship Id="rId2" Type="http://schemas.openxmlformats.org/officeDocument/2006/relationships/printerSettings" Target="../printerSettings/printerSettings40.bin"/><Relationship Id="rId16" Type="http://schemas.openxmlformats.org/officeDocument/2006/relationships/ctrlProp" Target="../ctrlProps/ctrlProp181.xml"/><Relationship Id="rId1" Type="http://schemas.openxmlformats.org/officeDocument/2006/relationships/printerSettings" Target="../printerSettings/printerSettings39.bin"/><Relationship Id="rId6" Type="http://schemas.openxmlformats.org/officeDocument/2006/relationships/ctrlProp" Target="../ctrlProps/ctrlProp171.xml"/><Relationship Id="rId11" Type="http://schemas.openxmlformats.org/officeDocument/2006/relationships/ctrlProp" Target="../ctrlProps/ctrlProp176.xml"/><Relationship Id="rId5" Type="http://schemas.openxmlformats.org/officeDocument/2006/relationships/ctrlProp" Target="../ctrlProps/ctrlProp170.xml"/><Relationship Id="rId15" Type="http://schemas.openxmlformats.org/officeDocument/2006/relationships/ctrlProp" Target="../ctrlProps/ctrlProp180.xml"/><Relationship Id="rId10" Type="http://schemas.openxmlformats.org/officeDocument/2006/relationships/ctrlProp" Target="../ctrlProps/ctrlProp175.xml"/><Relationship Id="rId4" Type="http://schemas.openxmlformats.org/officeDocument/2006/relationships/vmlDrawing" Target="../drawings/vmlDrawing14.vml"/><Relationship Id="rId9" Type="http://schemas.openxmlformats.org/officeDocument/2006/relationships/ctrlProp" Target="../ctrlProps/ctrlProp174.xml"/><Relationship Id="rId14" Type="http://schemas.openxmlformats.org/officeDocument/2006/relationships/ctrlProp" Target="../ctrlProps/ctrlProp179.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86.xml"/><Relationship Id="rId13" Type="http://schemas.openxmlformats.org/officeDocument/2006/relationships/ctrlProp" Target="../ctrlProps/ctrlProp191.xml"/><Relationship Id="rId3" Type="http://schemas.openxmlformats.org/officeDocument/2006/relationships/drawing" Target="../drawings/drawing15.xml"/><Relationship Id="rId7" Type="http://schemas.openxmlformats.org/officeDocument/2006/relationships/ctrlProp" Target="../ctrlProps/ctrlProp185.xml"/><Relationship Id="rId12" Type="http://schemas.openxmlformats.org/officeDocument/2006/relationships/ctrlProp" Target="../ctrlProps/ctrlProp190.xml"/><Relationship Id="rId17" Type="http://schemas.openxmlformats.org/officeDocument/2006/relationships/ctrlProp" Target="../ctrlProps/ctrlProp195.xml"/><Relationship Id="rId2" Type="http://schemas.openxmlformats.org/officeDocument/2006/relationships/printerSettings" Target="../printerSettings/printerSettings42.bin"/><Relationship Id="rId16" Type="http://schemas.openxmlformats.org/officeDocument/2006/relationships/ctrlProp" Target="../ctrlProps/ctrlProp194.xml"/><Relationship Id="rId1" Type="http://schemas.openxmlformats.org/officeDocument/2006/relationships/printerSettings" Target="../printerSettings/printerSettings41.bin"/><Relationship Id="rId6" Type="http://schemas.openxmlformats.org/officeDocument/2006/relationships/ctrlProp" Target="../ctrlProps/ctrlProp184.xml"/><Relationship Id="rId11" Type="http://schemas.openxmlformats.org/officeDocument/2006/relationships/ctrlProp" Target="../ctrlProps/ctrlProp189.xml"/><Relationship Id="rId5" Type="http://schemas.openxmlformats.org/officeDocument/2006/relationships/ctrlProp" Target="../ctrlProps/ctrlProp183.xml"/><Relationship Id="rId15" Type="http://schemas.openxmlformats.org/officeDocument/2006/relationships/ctrlProp" Target="../ctrlProps/ctrlProp193.xml"/><Relationship Id="rId10" Type="http://schemas.openxmlformats.org/officeDocument/2006/relationships/ctrlProp" Target="../ctrlProps/ctrlProp188.xml"/><Relationship Id="rId4" Type="http://schemas.openxmlformats.org/officeDocument/2006/relationships/vmlDrawing" Target="../drawings/vmlDrawing15.vml"/><Relationship Id="rId9" Type="http://schemas.openxmlformats.org/officeDocument/2006/relationships/ctrlProp" Target="../ctrlProps/ctrlProp187.xml"/><Relationship Id="rId14"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drawing" Target="../drawings/drawing16.xml"/><Relationship Id="rId7" Type="http://schemas.openxmlformats.org/officeDocument/2006/relationships/ctrlProp" Target="../ctrlProps/ctrlProp198.xml"/><Relationship Id="rId12" Type="http://schemas.openxmlformats.org/officeDocument/2006/relationships/ctrlProp" Target="../ctrlProps/ctrlProp203.xml"/><Relationship Id="rId17" Type="http://schemas.openxmlformats.org/officeDocument/2006/relationships/ctrlProp" Target="../ctrlProps/ctrlProp208.xml"/><Relationship Id="rId2" Type="http://schemas.openxmlformats.org/officeDocument/2006/relationships/printerSettings" Target="../printerSettings/printerSettings44.bin"/><Relationship Id="rId16" Type="http://schemas.openxmlformats.org/officeDocument/2006/relationships/ctrlProp" Target="../ctrlProps/ctrlProp207.xml"/><Relationship Id="rId1" Type="http://schemas.openxmlformats.org/officeDocument/2006/relationships/printerSettings" Target="../printerSettings/printerSettings43.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5" Type="http://schemas.openxmlformats.org/officeDocument/2006/relationships/ctrlProp" Target="../ctrlProps/ctrlProp206.xml"/><Relationship Id="rId10" Type="http://schemas.openxmlformats.org/officeDocument/2006/relationships/ctrlProp" Target="../ctrlProps/ctrlProp201.xml"/><Relationship Id="rId4" Type="http://schemas.openxmlformats.org/officeDocument/2006/relationships/vmlDrawing" Target="../drawings/vmlDrawing16.v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12.xml"/><Relationship Id="rId13" Type="http://schemas.openxmlformats.org/officeDocument/2006/relationships/ctrlProp" Target="../ctrlProps/ctrlProp217.xml"/><Relationship Id="rId3" Type="http://schemas.openxmlformats.org/officeDocument/2006/relationships/drawing" Target="../drawings/drawing17.xml"/><Relationship Id="rId7" Type="http://schemas.openxmlformats.org/officeDocument/2006/relationships/ctrlProp" Target="../ctrlProps/ctrlProp211.xml"/><Relationship Id="rId12" Type="http://schemas.openxmlformats.org/officeDocument/2006/relationships/ctrlProp" Target="../ctrlProps/ctrlProp216.xml"/><Relationship Id="rId17" Type="http://schemas.openxmlformats.org/officeDocument/2006/relationships/ctrlProp" Target="../ctrlProps/ctrlProp221.xml"/><Relationship Id="rId2" Type="http://schemas.openxmlformats.org/officeDocument/2006/relationships/printerSettings" Target="../printerSettings/printerSettings46.bin"/><Relationship Id="rId16" Type="http://schemas.openxmlformats.org/officeDocument/2006/relationships/ctrlProp" Target="../ctrlProps/ctrlProp220.xml"/><Relationship Id="rId1" Type="http://schemas.openxmlformats.org/officeDocument/2006/relationships/printerSettings" Target="../printerSettings/printerSettings45.bin"/><Relationship Id="rId6" Type="http://schemas.openxmlformats.org/officeDocument/2006/relationships/ctrlProp" Target="../ctrlProps/ctrlProp210.xml"/><Relationship Id="rId11" Type="http://schemas.openxmlformats.org/officeDocument/2006/relationships/ctrlProp" Target="../ctrlProps/ctrlProp215.xml"/><Relationship Id="rId5" Type="http://schemas.openxmlformats.org/officeDocument/2006/relationships/ctrlProp" Target="../ctrlProps/ctrlProp209.xml"/><Relationship Id="rId15" Type="http://schemas.openxmlformats.org/officeDocument/2006/relationships/ctrlProp" Target="../ctrlProps/ctrlProp219.xml"/><Relationship Id="rId10" Type="http://schemas.openxmlformats.org/officeDocument/2006/relationships/ctrlProp" Target="../ctrlProps/ctrlProp214.xml"/><Relationship Id="rId4" Type="http://schemas.openxmlformats.org/officeDocument/2006/relationships/vmlDrawing" Target="../drawings/vmlDrawing17.vml"/><Relationship Id="rId9" Type="http://schemas.openxmlformats.org/officeDocument/2006/relationships/ctrlProp" Target="../ctrlProps/ctrlProp213.xml"/><Relationship Id="rId14" Type="http://schemas.openxmlformats.org/officeDocument/2006/relationships/ctrlProp" Target="../ctrlProps/ctrlProp218.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25.xml"/><Relationship Id="rId13" Type="http://schemas.openxmlformats.org/officeDocument/2006/relationships/ctrlProp" Target="../ctrlProps/ctrlProp230.xml"/><Relationship Id="rId3" Type="http://schemas.openxmlformats.org/officeDocument/2006/relationships/drawing" Target="../drawings/drawing18.xml"/><Relationship Id="rId7" Type="http://schemas.openxmlformats.org/officeDocument/2006/relationships/ctrlProp" Target="../ctrlProps/ctrlProp224.xml"/><Relationship Id="rId12" Type="http://schemas.openxmlformats.org/officeDocument/2006/relationships/ctrlProp" Target="../ctrlProps/ctrlProp229.xml"/><Relationship Id="rId17" Type="http://schemas.openxmlformats.org/officeDocument/2006/relationships/ctrlProp" Target="../ctrlProps/ctrlProp234.xml"/><Relationship Id="rId2" Type="http://schemas.openxmlformats.org/officeDocument/2006/relationships/printerSettings" Target="../printerSettings/printerSettings48.bin"/><Relationship Id="rId16" Type="http://schemas.openxmlformats.org/officeDocument/2006/relationships/ctrlProp" Target="../ctrlProps/ctrlProp233.xml"/><Relationship Id="rId1" Type="http://schemas.openxmlformats.org/officeDocument/2006/relationships/printerSettings" Target="../printerSettings/printerSettings47.bin"/><Relationship Id="rId6" Type="http://schemas.openxmlformats.org/officeDocument/2006/relationships/ctrlProp" Target="../ctrlProps/ctrlProp223.xml"/><Relationship Id="rId11" Type="http://schemas.openxmlformats.org/officeDocument/2006/relationships/ctrlProp" Target="../ctrlProps/ctrlProp228.xml"/><Relationship Id="rId5" Type="http://schemas.openxmlformats.org/officeDocument/2006/relationships/ctrlProp" Target="../ctrlProps/ctrlProp222.xml"/><Relationship Id="rId15" Type="http://schemas.openxmlformats.org/officeDocument/2006/relationships/ctrlProp" Target="../ctrlProps/ctrlProp232.xml"/><Relationship Id="rId10" Type="http://schemas.openxmlformats.org/officeDocument/2006/relationships/ctrlProp" Target="../ctrlProps/ctrlProp227.xml"/><Relationship Id="rId4" Type="http://schemas.openxmlformats.org/officeDocument/2006/relationships/vmlDrawing" Target="../drawings/vmlDrawing18.vml"/><Relationship Id="rId9" Type="http://schemas.openxmlformats.org/officeDocument/2006/relationships/ctrlProp" Target="../ctrlProps/ctrlProp226.xml"/><Relationship Id="rId14" Type="http://schemas.openxmlformats.org/officeDocument/2006/relationships/ctrlProp" Target="../ctrlProps/ctrlProp231.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13" Type="http://schemas.openxmlformats.org/officeDocument/2006/relationships/ctrlProp" Target="../ctrlProps/ctrlProp4.xml"/><Relationship Id="rId18" Type="http://schemas.openxmlformats.org/officeDocument/2006/relationships/ctrlProp" Target="../ctrlProps/ctrlProp9.xml"/><Relationship Id="rId3" Type="http://schemas.openxmlformats.org/officeDocument/2006/relationships/printerSettings" Target="../printerSettings/printerSettings10.bin"/><Relationship Id="rId21" Type="http://schemas.openxmlformats.org/officeDocument/2006/relationships/ctrlProp" Target="../ctrlProps/ctrlProp12.xml"/><Relationship Id="rId7" Type="http://schemas.openxmlformats.org/officeDocument/2006/relationships/printerSettings" Target="../printerSettings/printerSettings14.bin"/><Relationship Id="rId12" Type="http://schemas.openxmlformats.org/officeDocument/2006/relationships/ctrlProp" Target="../ctrlProps/ctrlProp3.xml"/><Relationship Id="rId17" Type="http://schemas.openxmlformats.org/officeDocument/2006/relationships/ctrlProp" Target="../ctrlProps/ctrlProp8.xml"/><Relationship Id="rId2" Type="http://schemas.openxmlformats.org/officeDocument/2006/relationships/printerSettings" Target="../printerSettings/printerSettings9.bin"/><Relationship Id="rId16" Type="http://schemas.openxmlformats.org/officeDocument/2006/relationships/ctrlProp" Target="../ctrlProps/ctrlProp7.xml"/><Relationship Id="rId20" Type="http://schemas.openxmlformats.org/officeDocument/2006/relationships/ctrlProp" Target="../ctrlProps/ctrlProp11.xml"/><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11" Type="http://schemas.openxmlformats.org/officeDocument/2006/relationships/ctrlProp" Target="../ctrlProps/ctrlProp2.xml"/><Relationship Id="rId5" Type="http://schemas.openxmlformats.org/officeDocument/2006/relationships/printerSettings" Target="../printerSettings/printerSettings12.bin"/><Relationship Id="rId15" Type="http://schemas.openxmlformats.org/officeDocument/2006/relationships/ctrlProp" Target="../ctrlProps/ctrlProp6.xml"/><Relationship Id="rId10" Type="http://schemas.openxmlformats.org/officeDocument/2006/relationships/ctrlProp" Target="../ctrlProps/ctrlProp1.xml"/><Relationship Id="rId19" Type="http://schemas.openxmlformats.org/officeDocument/2006/relationships/ctrlProp" Target="../ctrlProps/ctrlProp10.xml"/><Relationship Id="rId4" Type="http://schemas.openxmlformats.org/officeDocument/2006/relationships/printerSettings" Target="../printerSettings/printerSettings11.bin"/><Relationship Id="rId9" Type="http://schemas.openxmlformats.org/officeDocument/2006/relationships/vmlDrawing" Target="../drawings/vmlDrawing1.vml"/><Relationship Id="rId14" Type="http://schemas.openxmlformats.org/officeDocument/2006/relationships/ctrlProp" Target="../ctrlProps/ctrlProp5.xml"/><Relationship Id="rId22" Type="http://schemas.openxmlformats.org/officeDocument/2006/relationships/ctrlProp" Target="../ctrlProps/ctrlProp13.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238.xml"/><Relationship Id="rId13" Type="http://schemas.openxmlformats.org/officeDocument/2006/relationships/ctrlProp" Target="../ctrlProps/ctrlProp243.xml"/><Relationship Id="rId3" Type="http://schemas.openxmlformats.org/officeDocument/2006/relationships/drawing" Target="../drawings/drawing19.xml"/><Relationship Id="rId7" Type="http://schemas.openxmlformats.org/officeDocument/2006/relationships/ctrlProp" Target="../ctrlProps/ctrlProp237.xml"/><Relationship Id="rId12" Type="http://schemas.openxmlformats.org/officeDocument/2006/relationships/ctrlProp" Target="../ctrlProps/ctrlProp242.xml"/><Relationship Id="rId17" Type="http://schemas.openxmlformats.org/officeDocument/2006/relationships/ctrlProp" Target="../ctrlProps/ctrlProp247.xml"/><Relationship Id="rId2" Type="http://schemas.openxmlformats.org/officeDocument/2006/relationships/printerSettings" Target="../printerSettings/printerSettings50.bin"/><Relationship Id="rId16" Type="http://schemas.openxmlformats.org/officeDocument/2006/relationships/ctrlProp" Target="../ctrlProps/ctrlProp246.xml"/><Relationship Id="rId1" Type="http://schemas.openxmlformats.org/officeDocument/2006/relationships/printerSettings" Target="../printerSettings/printerSettings49.bin"/><Relationship Id="rId6" Type="http://schemas.openxmlformats.org/officeDocument/2006/relationships/ctrlProp" Target="../ctrlProps/ctrlProp236.xml"/><Relationship Id="rId11" Type="http://schemas.openxmlformats.org/officeDocument/2006/relationships/ctrlProp" Target="../ctrlProps/ctrlProp241.xml"/><Relationship Id="rId5" Type="http://schemas.openxmlformats.org/officeDocument/2006/relationships/ctrlProp" Target="../ctrlProps/ctrlProp235.xml"/><Relationship Id="rId15" Type="http://schemas.openxmlformats.org/officeDocument/2006/relationships/ctrlProp" Target="../ctrlProps/ctrlProp245.xml"/><Relationship Id="rId10" Type="http://schemas.openxmlformats.org/officeDocument/2006/relationships/ctrlProp" Target="../ctrlProps/ctrlProp240.xml"/><Relationship Id="rId4" Type="http://schemas.openxmlformats.org/officeDocument/2006/relationships/vmlDrawing" Target="../drawings/vmlDrawing19.vml"/><Relationship Id="rId9" Type="http://schemas.openxmlformats.org/officeDocument/2006/relationships/ctrlProp" Target="../ctrlProps/ctrlProp239.xml"/><Relationship Id="rId14" Type="http://schemas.openxmlformats.org/officeDocument/2006/relationships/ctrlProp" Target="../ctrlProps/ctrlProp244.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251.xml"/><Relationship Id="rId13" Type="http://schemas.openxmlformats.org/officeDocument/2006/relationships/ctrlProp" Target="../ctrlProps/ctrlProp256.xml"/><Relationship Id="rId3" Type="http://schemas.openxmlformats.org/officeDocument/2006/relationships/drawing" Target="../drawings/drawing20.xml"/><Relationship Id="rId7" Type="http://schemas.openxmlformats.org/officeDocument/2006/relationships/ctrlProp" Target="../ctrlProps/ctrlProp250.xml"/><Relationship Id="rId12" Type="http://schemas.openxmlformats.org/officeDocument/2006/relationships/ctrlProp" Target="../ctrlProps/ctrlProp255.xml"/><Relationship Id="rId17" Type="http://schemas.openxmlformats.org/officeDocument/2006/relationships/ctrlProp" Target="../ctrlProps/ctrlProp260.xml"/><Relationship Id="rId2" Type="http://schemas.openxmlformats.org/officeDocument/2006/relationships/printerSettings" Target="../printerSettings/printerSettings52.bin"/><Relationship Id="rId16" Type="http://schemas.openxmlformats.org/officeDocument/2006/relationships/ctrlProp" Target="../ctrlProps/ctrlProp259.xml"/><Relationship Id="rId1" Type="http://schemas.openxmlformats.org/officeDocument/2006/relationships/printerSettings" Target="../printerSettings/printerSettings51.bin"/><Relationship Id="rId6" Type="http://schemas.openxmlformats.org/officeDocument/2006/relationships/ctrlProp" Target="../ctrlProps/ctrlProp249.xml"/><Relationship Id="rId11" Type="http://schemas.openxmlformats.org/officeDocument/2006/relationships/ctrlProp" Target="../ctrlProps/ctrlProp254.xml"/><Relationship Id="rId5" Type="http://schemas.openxmlformats.org/officeDocument/2006/relationships/ctrlProp" Target="../ctrlProps/ctrlProp248.xml"/><Relationship Id="rId15" Type="http://schemas.openxmlformats.org/officeDocument/2006/relationships/ctrlProp" Target="../ctrlProps/ctrlProp258.xml"/><Relationship Id="rId10" Type="http://schemas.openxmlformats.org/officeDocument/2006/relationships/ctrlProp" Target="../ctrlProps/ctrlProp253.xml"/><Relationship Id="rId4" Type="http://schemas.openxmlformats.org/officeDocument/2006/relationships/vmlDrawing" Target="../drawings/vmlDrawing20.vml"/><Relationship Id="rId9" Type="http://schemas.openxmlformats.org/officeDocument/2006/relationships/ctrlProp" Target="../ctrlProps/ctrlProp252.xml"/><Relationship Id="rId14" Type="http://schemas.openxmlformats.org/officeDocument/2006/relationships/ctrlProp" Target="../ctrlProps/ctrlProp257.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264.xml"/><Relationship Id="rId13" Type="http://schemas.openxmlformats.org/officeDocument/2006/relationships/ctrlProp" Target="../ctrlProps/ctrlProp269.xml"/><Relationship Id="rId3" Type="http://schemas.openxmlformats.org/officeDocument/2006/relationships/drawing" Target="../drawings/drawing21.xml"/><Relationship Id="rId7" Type="http://schemas.openxmlformats.org/officeDocument/2006/relationships/ctrlProp" Target="../ctrlProps/ctrlProp263.xml"/><Relationship Id="rId12" Type="http://schemas.openxmlformats.org/officeDocument/2006/relationships/ctrlProp" Target="../ctrlProps/ctrlProp268.xml"/><Relationship Id="rId17" Type="http://schemas.openxmlformats.org/officeDocument/2006/relationships/ctrlProp" Target="../ctrlProps/ctrlProp273.xml"/><Relationship Id="rId2" Type="http://schemas.openxmlformats.org/officeDocument/2006/relationships/printerSettings" Target="../printerSettings/printerSettings54.bin"/><Relationship Id="rId16" Type="http://schemas.openxmlformats.org/officeDocument/2006/relationships/ctrlProp" Target="../ctrlProps/ctrlProp272.xml"/><Relationship Id="rId1" Type="http://schemas.openxmlformats.org/officeDocument/2006/relationships/printerSettings" Target="../printerSettings/printerSettings53.bin"/><Relationship Id="rId6" Type="http://schemas.openxmlformats.org/officeDocument/2006/relationships/ctrlProp" Target="../ctrlProps/ctrlProp262.xml"/><Relationship Id="rId11" Type="http://schemas.openxmlformats.org/officeDocument/2006/relationships/ctrlProp" Target="../ctrlProps/ctrlProp267.xml"/><Relationship Id="rId5" Type="http://schemas.openxmlformats.org/officeDocument/2006/relationships/ctrlProp" Target="../ctrlProps/ctrlProp261.xml"/><Relationship Id="rId15" Type="http://schemas.openxmlformats.org/officeDocument/2006/relationships/ctrlProp" Target="../ctrlProps/ctrlProp271.xml"/><Relationship Id="rId10" Type="http://schemas.openxmlformats.org/officeDocument/2006/relationships/ctrlProp" Target="../ctrlProps/ctrlProp266.xml"/><Relationship Id="rId4" Type="http://schemas.openxmlformats.org/officeDocument/2006/relationships/vmlDrawing" Target="../drawings/vmlDrawing21.vml"/><Relationship Id="rId9" Type="http://schemas.openxmlformats.org/officeDocument/2006/relationships/ctrlProp" Target="../ctrlProps/ctrlProp265.xml"/><Relationship Id="rId14" Type="http://schemas.openxmlformats.org/officeDocument/2006/relationships/ctrlProp" Target="../ctrlProps/ctrlProp270.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277.xml"/><Relationship Id="rId13" Type="http://schemas.openxmlformats.org/officeDocument/2006/relationships/ctrlProp" Target="../ctrlProps/ctrlProp282.xml"/><Relationship Id="rId3" Type="http://schemas.openxmlformats.org/officeDocument/2006/relationships/drawing" Target="../drawings/drawing22.xml"/><Relationship Id="rId7" Type="http://schemas.openxmlformats.org/officeDocument/2006/relationships/ctrlProp" Target="../ctrlProps/ctrlProp276.xml"/><Relationship Id="rId12" Type="http://schemas.openxmlformats.org/officeDocument/2006/relationships/ctrlProp" Target="../ctrlProps/ctrlProp281.xml"/><Relationship Id="rId17" Type="http://schemas.openxmlformats.org/officeDocument/2006/relationships/ctrlProp" Target="../ctrlProps/ctrlProp286.xml"/><Relationship Id="rId2" Type="http://schemas.openxmlformats.org/officeDocument/2006/relationships/printerSettings" Target="../printerSettings/printerSettings56.bin"/><Relationship Id="rId16" Type="http://schemas.openxmlformats.org/officeDocument/2006/relationships/ctrlProp" Target="../ctrlProps/ctrlProp285.xml"/><Relationship Id="rId1" Type="http://schemas.openxmlformats.org/officeDocument/2006/relationships/printerSettings" Target="../printerSettings/printerSettings55.bin"/><Relationship Id="rId6" Type="http://schemas.openxmlformats.org/officeDocument/2006/relationships/ctrlProp" Target="../ctrlProps/ctrlProp275.xml"/><Relationship Id="rId11" Type="http://schemas.openxmlformats.org/officeDocument/2006/relationships/ctrlProp" Target="../ctrlProps/ctrlProp280.xml"/><Relationship Id="rId5" Type="http://schemas.openxmlformats.org/officeDocument/2006/relationships/ctrlProp" Target="../ctrlProps/ctrlProp274.xml"/><Relationship Id="rId15" Type="http://schemas.openxmlformats.org/officeDocument/2006/relationships/ctrlProp" Target="../ctrlProps/ctrlProp284.xml"/><Relationship Id="rId10" Type="http://schemas.openxmlformats.org/officeDocument/2006/relationships/ctrlProp" Target="../ctrlProps/ctrlProp279.xml"/><Relationship Id="rId4" Type="http://schemas.openxmlformats.org/officeDocument/2006/relationships/vmlDrawing" Target="../drawings/vmlDrawing22.vml"/><Relationship Id="rId9" Type="http://schemas.openxmlformats.org/officeDocument/2006/relationships/ctrlProp" Target="../ctrlProps/ctrlProp278.xml"/><Relationship Id="rId14" Type="http://schemas.openxmlformats.org/officeDocument/2006/relationships/ctrlProp" Target="../ctrlProps/ctrlProp283.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290.xml"/><Relationship Id="rId13" Type="http://schemas.openxmlformats.org/officeDocument/2006/relationships/ctrlProp" Target="../ctrlProps/ctrlProp295.xml"/><Relationship Id="rId3" Type="http://schemas.openxmlformats.org/officeDocument/2006/relationships/drawing" Target="../drawings/drawing23.xml"/><Relationship Id="rId7" Type="http://schemas.openxmlformats.org/officeDocument/2006/relationships/ctrlProp" Target="../ctrlProps/ctrlProp289.xml"/><Relationship Id="rId12" Type="http://schemas.openxmlformats.org/officeDocument/2006/relationships/ctrlProp" Target="../ctrlProps/ctrlProp294.xml"/><Relationship Id="rId17" Type="http://schemas.openxmlformats.org/officeDocument/2006/relationships/ctrlProp" Target="../ctrlProps/ctrlProp299.xml"/><Relationship Id="rId2" Type="http://schemas.openxmlformats.org/officeDocument/2006/relationships/printerSettings" Target="../printerSettings/printerSettings58.bin"/><Relationship Id="rId16" Type="http://schemas.openxmlformats.org/officeDocument/2006/relationships/ctrlProp" Target="../ctrlProps/ctrlProp298.xml"/><Relationship Id="rId1" Type="http://schemas.openxmlformats.org/officeDocument/2006/relationships/printerSettings" Target="../printerSettings/printerSettings57.bin"/><Relationship Id="rId6" Type="http://schemas.openxmlformats.org/officeDocument/2006/relationships/ctrlProp" Target="../ctrlProps/ctrlProp288.xml"/><Relationship Id="rId11" Type="http://schemas.openxmlformats.org/officeDocument/2006/relationships/ctrlProp" Target="../ctrlProps/ctrlProp293.xml"/><Relationship Id="rId5" Type="http://schemas.openxmlformats.org/officeDocument/2006/relationships/ctrlProp" Target="../ctrlProps/ctrlProp287.xml"/><Relationship Id="rId15" Type="http://schemas.openxmlformats.org/officeDocument/2006/relationships/ctrlProp" Target="../ctrlProps/ctrlProp297.xml"/><Relationship Id="rId10" Type="http://schemas.openxmlformats.org/officeDocument/2006/relationships/ctrlProp" Target="../ctrlProps/ctrlProp292.xml"/><Relationship Id="rId4" Type="http://schemas.openxmlformats.org/officeDocument/2006/relationships/vmlDrawing" Target="../drawings/vmlDrawing23.vml"/><Relationship Id="rId9" Type="http://schemas.openxmlformats.org/officeDocument/2006/relationships/ctrlProp" Target="../ctrlProps/ctrlProp291.xml"/><Relationship Id="rId14" Type="http://schemas.openxmlformats.org/officeDocument/2006/relationships/ctrlProp" Target="../ctrlProps/ctrlProp296.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03.xml"/><Relationship Id="rId13" Type="http://schemas.openxmlformats.org/officeDocument/2006/relationships/ctrlProp" Target="../ctrlProps/ctrlProp308.xml"/><Relationship Id="rId3" Type="http://schemas.openxmlformats.org/officeDocument/2006/relationships/drawing" Target="../drawings/drawing24.xml"/><Relationship Id="rId7" Type="http://schemas.openxmlformats.org/officeDocument/2006/relationships/ctrlProp" Target="../ctrlProps/ctrlProp302.xml"/><Relationship Id="rId12" Type="http://schemas.openxmlformats.org/officeDocument/2006/relationships/ctrlProp" Target="../ctrlProps/ctrlProp307.xml"/><Relationship Id="rId17" Type="http://schemas.openxmlformats.org/officeDocument/2006/relationships/ctrlProp" Target="../ctrlProps/ctrlProp312.xml"/><Relationship Id="rId2" Type="http://schemas.openxmlformats.org/officeDocument/2006/relationships/printerSettings" Target="../printerSettings/printerSettings60.bin"/><Relationship Id="rId16" Type="http://schemas.openxmlformats.org/officeDocument/2006/relationships/ctrlProp" Target="../ctrlProps/ctrlProp311.xml"/><Relationship Id="rId1" Type="http://schemas.openxmlformats.org/officeDocument/2006/relationships/printerSettings" Target="../printerSettings/printerSettings59.bin"/><Relationship Id="rId6" Type="http://schemas.openxmlformats.org/officeDocument/2006/relationships/ctrlProp" Target="../ctrlProps/ctrlProp301.xml"/><Relationship Id="rId11" Type="http://schemas.openxmlformats.org/officeDocument/2006/relationships/ctrlProp" Target="../ctrlProps/ctrlProp306.xml"/><Relationship Id="rId5" Type="http://schemas.openxmlformats.org/officeDocument/2006/relationships/ctrlProp" Target="../ctrlProps/ctrlProp300.xml"/><Relationship Id="rId15" Type="http://schemas.openxmlformats.org/officeDocument/2006/relationships/ctrlProp" Target="../ctrlProps/ctrlProp310.xml"/><Relationship Id="rId10" Type="http://schemas.openxmlformats.org/officeDocument/2006/relationships/ctrlProp" Target="../ctrlProps/ctrlProp305.xml"/><Relationship Id="rId4" Type="http://schemas.openxmlformats.org/officeDocument/2006/relationships/vmlDrawing" Target="../drawings/vmlDrawing24.vml"/><Relationship Id="rId9" Type="http://schemas.openxmlformats.org/officeDocument/2006/relationships/ctrlProp" Target="../ctrlProps/ctrlProp304.xml"/><Relationship Id="rId14" Type="http://schemas.openxmlformats.org/officeDocument/2006/relationships/ctrlProp" Target="../ctrlProps/ctrlProp309.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16.xml"/><Relationship Id="rId13" Type="http://schemas.openxmlformats.org/officeDocument/2006/relationships/ctrlProp" Target="../ctrlProps/ctrlProp321.xml"/><Relationship Id="rId3" Type="http://schemas.openxmlformats.org/officeDocument/2006/relationships/drawing" Target="../drawings/drawing25.xml"/><Relationship Id="rId7" Type="http://schemas.openxmlformats.org/officeDocument/2006/relationships/ctrlProp" Target="../ctrlProps/ctrlProp315.xml"/><Relationship Id="rId12" Type="http://schemas.openxmlformats.org/officeDocument/2006/relationships/ctrlProp" Target="../ctrlProps/ctrlProp320.xml"/><Relationship Id="rId17" Type="http://schemas.openxmlformats.org/officeDocument/2006/relationships/ctrlProp" Target="../ctrlProps/ctrlProp325.xml"/><Relationship Id="rId2" Type="http://schemas.openxmlformats.org/officeDocument/2006/relationships/printerSettings" Target="../printerSettings/printerSettings62.bin"/><Relationship Id="rId16" Type="http://schemas.openxmlformats.org/officeDocument/2006/relationships/ctrlProp" Target="../ctrlProps/ctrlProp324.xml"/><Relationship Id="rId1" Type="http://schemas.openxmlformats.org/officeDocument/2006/relationships/printerSettings" Target="../printerSettings/printerSettings61.bin"/><Relationship Id="rId6" Type="http://schemas.openxmlformats.org/officeDocument/2006/relationships/ctrlProp" Target="../ctrlProps/ctrlProp314.xml"/><Relationship Id="rId11" Type="http://schemas.openxmlformats.org/officeDocument/2006/relationships/ctrlProp" Target="../ctrlProps/ctrlProp319.xml"/><Relationship Id="rId5" Type="http://schemas.openxmlformats.org/officeDocument/2006/relationships/ctrlProp" Target="../ctrlProps/ctrlProp313.xml"/><Relationship Id="rId15" Type="http://schemas.openxmlformats.org/officeDocument/2006/relationships/ctrlProp" Target="../ctrlProps/ctrlProp323.xml"/><Relationship Id="rId10" Type="http://schemas.openxmlformats.org/officeDocument/2006/relationships/ctrlProp" Target="../ctrlProps/ctrlProp318.xml"/><Relationship Id="rId4" Type="http://schemas.openxmlformats.org/officeDocument/2006/relationships/vmlDrawing" Target="../drawings/vmlDrawing25.vml"/><Relationship Id="rId9" Type="http://schemas.openxmlformats.org/officeDocument/2006/relationships/ctrlProp" Target="../ctrlProps/ctrlProp317.xml"/><Relationship Id="rId14" Type="http://schemas.openxmlformats.org/officeDocument/2006/relationships/ctrlProp" Target="../ctrlProps/ctrlProp322.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329.xml"/><Relationship Id="rId13" Type="http://schemas.openxmlformats.org/officeDocument/2006/relationships/ctrlProp" Target="../ctrlProps/ctrlProp334.xml"/><Relationship Id="rId3" Type="http://schemas.openxmlformats.org/officeDocument/2006/relationships/drawing" Target="../drawings/drawing26.xml"/><Relationship Id="rId7" Type="http://schemas.openxmlformats.org/officeDocument/2006/relationships/ctrlProp" Target="../ctrlProps/ctrlProp328.xml"/><Relationship Id="rId12" Type="http://schemas.openxmlformats.org/officeDocument/2006/relationships/ctrlProp" Target="../ctrlProps/ctrlProp333.xml"/><Relationship Id="rId17" Type="http://schemas.openxmlformats.org/officeDocument/2006/relationships/ctrlProp" Target="../ctrlProps/ctrlProp338.xml"/><Relationship Id="rId2" Type="http://schemas.openxmlformats.org/officeDocument/2006/relationships/printerSettings" Target="../printerSettings/printerSettings64.bin"/><Relationship Id="rId16" Type="http://schemas.openxmlformats.org/officeDocument/2006/relationships/ctrlProp" Target="../ctrlProps/ctrlProp337.xml"/><Relationship Id="rId1" Type="http://schemas.openxmlformats.org/officeDocument/2006/relationships/printerSettings" Target="../printerSettings/printerSettings63.bin"/><Relationship Id="rId6" Type="http://schemas.openxmlformats.org/officeDocument/2006/relationships/ctrlProp" Target="../ctrlProps/ctrlProp327.xml"/><Relationship Id="rId11" Type="http://schemas.openxmlformats.org/officeDocument/2006/relationships/ctrlProp" Target="../ctrlProps/ctrlProp332.xml"/><Relationship Id="rId5" Type="http://schemas.openxmlformats.org/officeDocument/2006/relationships/ctrlProp" Target="../ctrlProps/ctrlProp326.xml"/><Relationship Id="rId15" Type="http://schemas.openxmlformats.org/officeDocument/2006/relationships/ctrlProp" Target="../ctrlProps/ctrlProp336.xml"/><Relationship Id="rId10" Type="http://schemas.openxmlformats.org/officeDocument/2006/relationships/ctrlProp" Target="../ctrlProps/ctrlProp331.xml"/><Relationship Id="rId4" Type="http://schemas.openxmlformats.org/officeDocument/2006/relationships/vmlDrawing" Target="../drawings/vmlDrawing26.vml"/><Relationship Id="rId9" Type="http://schemas.openxmlformats.org/officeDocument/2006/relationships/ctrlProp" Target="../ctrlProps/ctrlProp330.xml"/><Relationship Id="rId14" Type="http://schemas.openxmlformats.org/officeDocument/2006/relationships/ctrlProp" Target="../ctrlProps/ctrlProp335.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342.xml"/><Relationship Id="rId13" Type="http://schemas.openxmlformats.org/officeDocument/2006/relationships/ctrlProp" Target="../ctrlProps/ctrlProp347.xml"/><Relationship Id="rId3" Type="http://schemas.openxmlformats.org/officeDocument/2006/relationships/drawing" Target="../drawings/drawing27.xml"/><Relationship Id="rId7" Type="http://schemas.openxmlformats.org/officeDocument/2006/relationships/ctrlProp" Target="../ctrlProps/ctrlProp341.xml"/><Relationship Id="rId12" Type="http://schemas.openxmlformats.org/officeDocument/2006/relationships/ctrlProp" Target="../ctrlProps/ctrlProp346.xml"/><Relationship Id="rId17" Type="http://schemas.openxmlformats.org/officeDocument/2006/relationships/ctrlProp" Target="../ctrlProps/ctrlProp351.xml"/><Relationship Id="rId2" Type="http://schemas.openxmlformats.org/officeDocument/2006/relationships/printerSettings" Target="../printerSettings/printerSettings66.bin"/><Relationship Id="rId16" Type="http://schemas.openxmlformats.org/officeDocument/2006/relationships/ctrlProp" Target="../ctrlProps/ctrlProp350.xml"/><Relationship Id="rId1" Type="http://schemas.openxmlformats.org/officeDocument/2006/relationships/printerSettings" Target="../printerSettings/printerSettings65.bin"/><Relationship Id="rId6" Type="http://schemas.openxmlformats.org/officeDocument/2006/relationships/ctrlProp" Target="../ctrlProps/ctrlProp340.xml"/><Relationship Id="rId11" Type="http://schemas.openxmlformats.org/officeDocument/2006/relationships/ctrlProp" Target="../ctrlProps/ctrlProp345.xml"/><Relationship Id="rId5" Type="http://schemas.openxmlformats.org/officeDocument/2006/relationships/ctrlProp" Target="../ctrlProps/ctrlProp339.xml"/><Relationship Id="rId15" Type="http://schemas.openxmlformats.org/officeDocument/2006/relationships/ctrlProp" Target="../ctrlProps/ctrlProp349.xml"/><Relationship Id="rId10" Type="http://schemas.openxmlformats.org/officeDocument/2006/relationships/ctrlProp" Target="../ctrlProps/ctrlProp344.xml"/><Relationship Id="rId4" Type="http://schemas.openxmlformats.org/officeDocument/2006/relationships/vmlDrawing" Target="../drawings/vmlDrawing27.vml"/><Relationship Id="rId9" Type="http://schemas.openxmlformats.org/officeDocument/2006/relationships/ctrlProp" Target="../ctrlProps/ctrlProp343.xml"/><Relationship Id="rId14" Type="http://schemas.openxmlformats.org/officeDocument/2006/relationships/ctrlProp" Target="../ctrlProps/ctrlProp348.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355.xml"/><Relationship Id="rId13" Type="http://schemas.openxmlformats.org/officeDocument/2006/relationships/ctrlProp" Target="../ctrlProps/ctrlProp360.xml"/><Relationship Id="rId3" Type="http://schemas.openxmlformats.org/officeDocument/2006/relationships/drawing" Target="../drawings/drawing28.xml"/><Relationship Id="rId7" Type="http://schemas.openxmlformats.org/officeDocument/2006/relationships/ctrlProp" Target="../ctrlProps/ctrlProp354.xml"/><Relationship Id="rId12" Type="http://schemas.openxmlformats.org/officeDocument/2006/relationships/ctrlProp" Target="../ctrlProps/ctrlProp359.xml"/><Relationship Id="rId17" Type="http://schemas.openxmlformats.org/officeDocument/2006/relationships/ctrlProp" Target="../ctrlProps/ctrlProp364.xml"/><Relationship Id="rId2" Type="http://schemas.openxmlformats.org/officeDocument/2006/relationships/printerSettings" Target="../printerSettings/printerSettings68.bin"/><Relationship Id="rId16" Type="http://schemas.openxmlformats.org/officeDocument/2006/relationships/ctrlProp" Target="../ctrlProps/ctrlProp363.xml"/><Relationship Id="rId1" Type="http://schemas.openxmlformats.org/officeDocument/2006/relationships/printerSettings" Target="../printerSettings/printerSettings67.bin"/><Relationship Id="rId6" Type="http://schemas.openxmlformats.org/officeDocument/2006/relationships/ctrlProp" Target="../ctrlProps/ctrlProp353.xml"/><Relationship Id="rId11" Type="http://schemas.openxmlformats.org/officeDocument/2006/relationships/ctrlProp" Target="../ctrlProps/ctrlProp358.xml"/><Relationship Id="rId5" Type="http://schemas.openxmlformats.org/officeDocument/2006/relationships/ctrlProp" Target="../ctrlProps/ctrlProp352.xml"/><Relationship Id="rId15" Type="http://schemas.openxmlformats.org/officeDocument/2006/relationships/ctrlProp" Target="../ctrlProps/ctrlProp362.xml"/><Relationship Id="rId10" Type="http://schemas.openxmlformats.org/officeDocument/2006/relationships/ctrlProp" Target="../ctrlProps/ctrlProp357.xml"/><Relationship Id="rId4" Type="http://schemas.openxmlformats.org/officeDocument/2006/relationships/vmlDrawing" Target="../drawings/vmlDrawing28.vml"/><Relationship Id="rId9" Type="http://schemas.openxmlformats.org/officeDocument/2006/relationships/ctrlProp" Target="../ctrlProps/ctrlProp356.xml"/><Relationship Id="rId14" Type="http://schemas.openxmlformats.org/officeDocument/2006/relationships/ctrlProp" Target="../ctrlProps/ctrlProp36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drawing" Target="../drawings/drawing2.xml"/><Relationship Id="rId7" Type="http://schemas.openxmlformats.org/officeDocument/2006/relationships/ctrlProp" Target="../ctrlProps/ctrlProp16.xml"/><Relationship Id="rId12" Type="http://schemas.openxmlformats.org/officeDocument/2006/relationships/ctrlProp" Target="../ctrlProps/ctrlProp21.xml"/><Relationship Id="rId17" Type="http://schemas.openxmlformats.org/officeDocument/2006/relationships/ctrlProp" Target="../ctrlProps/ctrlProp26.xml"/><Relationship Id="rId2" Type="http://schemas.openxmlformats.org/officeDocument/2006/relationships/printerSettings" Target="../printerSettings/printerSettings16.bin"/><Relationship Id="rId16" Type="http://schemas.openxmlformats.org/officeDocument/2006/relationships/ctrlProp" Target="../ctrlProps/ctrlProp25.xml"/><Relationship Id="rId1" Type="http://schemas.openxmlformats.org/officeDocument/2006/relationships/printerSettings" Target="../printerSettings/printerSettings15.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4" Type="http://schemas.openxmlformats.org/officeDocument/2006/relationships/vmlDrawing" Target="../drawings/vmlDrawing2.v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368.xml"/><Relationship Id="rId13" Type="http://schemas.openxmlformats.org/officeDocument/2006/relationships/ctrlProp" Target="../ctrlProps/ctrlProp373.xml"/><Relationship Id="rId3" Type="http://schemas.openxmlformats.org/officeDocument/2006/relationships/drawing" Target="../drawings/drawing29.xml"/><Relationship Id="rId7" Type="http://schemas.openxmlformats.org/officeDocument/2006/relationships/ctrlProp" Target="../ctrlProps/ctrlProp367.xml"/><Relationship Id="rId12" Type="http://schemas.openxmlformats.org/officeDocument/2006/relationships/ctrlProp" Target="../ctrlProps/ctrlProp372.xml"/><Relationship Id="rId17" Type="http://schemas.openxmlformats.org/officeDocument/2006/relationships/ctrlProp" Target="../ctrlProps/ctrlProp377.xml"/><Relationship Id="rId2" Type="http://schemas.openxmlformats.org/officeDocument/2006/relationships/printerSettings" Target="../printerSettings/printerSettings70.bin"/><Relationship Id="rId16" Type="http://schemas.openxmlformats.org/officeDocument/2006/relationships/ctrlProp" Target="../ctrlProps/ctrlProp376.xml"/><Relationship Id="rId1" Type="http://schemas.openxmlformats.org/officeDocument/2006/relationships/printerSettings" Target="../printerSettings/printerSettings69.bin"/><Relationship Id="rId6" Type="http://schemas.openxmlformats.org/officeDocument/2006/relationships/ctrlProp" Target="../ctrlProps/ctrlProp366.xml"/><Relationship Id="rId11" Type="http://schemas.openxmlformats.org/officeDocument/2006/relationships/ctrlProp" Target="../ctrlProps/ctrlProp371.xml"/><Relationship Id="rId5" Type="http://schemas.openxmlformats.org/officeDocument/2006/relationships/ctrlProp" Target="../ctrlProps/ctrlProp365.xml"/><Relationship Id="rId15" Type="http://schemas.openxmlformats.org/officeDocument/2006/relationships/ctrlProp" Target="../ctrlProps/ctrlProp375.xml"/><Relationship Id="rId10" Type="http://schemas.openxmlformats.org/officeDocument/2006/relationships/ctrlProp" Target="../ctrlProps/ctrlProp370.xml"/><Relationship Id="rId4" Type="http://schemas.openxmlformats.org/officeDocument/2006/relationships/vmlDrawing" Target="../drawings/vmlDrawing29.vml"/><Relationship Id="rId9" Type="http://schemas.openxmlformats.org/officeDocument/2006/relationships/ctrlProp" Target="../ctrlProps/ctrlProp369.xml"/><Relationship Id="rId14" Type="http://schemas.openxmlformats.org/officeDocument/2006/relationships/ctrlProp" Target="../ctrlProps/ctrlProp374.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381.xml"/><Relationship Id="rId13" Type="http://schemas.openxmlformats.org/officeDocument/2006/relationships/ctrlProp" Target="../ctrlProps/ctrlProp386.xml"/><Relationship Id="rId3" Type="http://schemas.openxmlformats.org/officeDocument/2006/relationships/drawing" Target="../drawings/drawing30.xml"/><Relationship Id="rId7" Type="http://schemas.openxmlformats.org/officeDocument/2006/relationships/ctrlProp" Target="../ctrlProps/ctrlProp380.xml"/><Relationship Id="rId12" Type="http://schemas.openxmlformats.org/officeDocument/2006/relationships/ctrlProp" Target="../ctrlProps/ctrlProp385.xml"/><Relationship Id="rId17" Type="http://schemas.openxmlformats.org/officeDocument/2006/relationships/ctrlProp" Target="../ctrlProps/ctrlProp390.xml"/><Relationship Id="rId2" Type="http://schemas.openxmlformats.org/officeDocument/2006/relationships/printerSettings" Target="../printerSettings/printerSettings72.bin"/><Relationship Id="rId16" Type="http://schemas.openxmlformats.org/officeDocument/2006/relationships/ctrlProp" Target="../ctrlProps/ctrlProp389.xml"/><Relationship Id="rId1" Type="http://schemas.openxmlformats.org/officeDocument/2006/relationships/printerSettings" Target="../printerSettings/printerSettings71.bin"/><Relationship Id="rId6" Type="http://schemas.openxmlformats.org/officeDocument/2006/relationships/ctrlProp" Target="../ctrlProps/ctrlProp379.xml"/><Relationship Id="rId11" Type="http://schemas.openxmlformats.org/officeDocument/2006/relationships/ctrlProp" Target="../ctrlProps/ctrlProp384.xml"/><Relationship Id="rId5" Type="http://schemas.openxmlformats.org/officeDocument/2006/relationships/ctrlProp" Target="../ctrlProps/ctrlProp378.xml"/><Relationship Id="rId15" Type="http://schemas.openxmlformats.org/officeDocument/2006/relationships/ctrlProp" Target="../ctrlProps/ctrlProp388.xml"/><Relationship Id="rId10" Type="http://schemas.openxmlformats.org/officeDocument/2006/relationships/ctrlProp" Target="../ctrlProps/ctrlProp383.xml"/><Relationship Id="rId4" Type="http://schemas.openxmlformats.org/officeDocument/2006/relationships/vmlDrawing" Target="../drawings/vmlDrawing30.vml"/><Relationship Id="rId9" Type="http://schemas.openxmlformats.org/officeDocument/2006/relationships/ctrlProp" Target="../ctrlProps/ctrlProp382.xml"/><Relationship Id="rId14" Type="http://schemas.openxmlformats.org/officeDocument/2006/relationships/ctrlProp" Target="../ctrlProps/ctrlProp387.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2.bin"/><Relationship Id="rId7" Type="http://schemas.openxmlformats.org/officeDocument/2006/relationships/printerSettings" Target="../printerSettings/printerSettings86.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printerSettings" Target="../printerSettings/printerSettings85.bin"/><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89.bin"/><Relationship Id="rId7" Type="http://schemas.openxmlformats.org/officeDocument/2006/relationships/printerSettings" Target="../printerSettings/printerSettings93.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6" Type="http://schemas.openxmlformats.org/officeDocument/2006/relationships/printerSettings" Target="../printerSettings/printerSettings92.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6" Type="http://schemas.openxmlformats.org/officeDocument/2006/relationships/printerSettings" Target="../printerSettings/printerSettings97.bin"/><Relationship Id="rId5" Type="http://schemas.openxmlformats.org/officeDocument/2006/relationships/hyperlink" Target="http://www.hhsc.state.tx.us/rad/long-term-svcs/rc/index.shtml" TargetMode="External"/><Relationship Id="rId4" Type="http://schemas.openxmlformats.org/officeDocument/2006/relationships/hyperlink" Target="http://www.hhsc.state.tx.us/medicaid/programs/rad/Rc/2009RcRates.html"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00.bin"/><Relationship Id="rId7" Type="http://schemas.openxmlformats.org/officeDocument/2006/relationships/printerSettings" Target="../printerSettings/printerSettings104.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6" Type="http://schemas.openxmlformats.org/officeDocument/2006/relationships/printerSettings" Target="../printerSettings/printerSettings103.bin"/><Relationship Id="rId5" Type="http://schemas.openxmlformats.org/officeDocument/2006/relationships/printerSettings" Target="../printerSettings/printerSettings102.bin"/><Relationship Id="rId4" Type="http://schemas.openxmlformats.org/officeDocument/2006/relationships/printerSettings" Target="../printerSettings/printerSettings101.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5" Type="http://schemas.openxmlformats.org/officeDocument/2006/relationships/printerSettings" Target="../printerSettings/printerSettings108.bin"/><Relationship Id="rId4" Type="http://schemas.openxmlformats.org/officeDocument/2006/relationships/hyperlink" Target="http://www.dads.state.tx.us/handbooks/cba/4000/4000.htm"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11.bin"/><Relationship Id="rId7" Type="http://schemas.openxmlformats.org/officeDocument/2006/relationships/printerSettings" Target="../printerSettings/printerSettings115.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18.bin"/><Relationship Id="rId7" Type="http://schemas.openxmlformats.org/officeDocument/2006/relationships/printerSettings" Target="../printerSettings/printerSettings122.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5" Type="http://schemas.openxmlformats.org/officeDocument/2006/relationships/printerSettings" Target="../printerSettings/printerSettings120.bin"/><Relationship Id="rId4" Type="http://schemas.openxmlformats.org/officeDocument/2006/relationships/printerSettings" Target="../printerSettings/printerSettings119.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0.xml"/><Relationship Id="rId13" Type="http://schemas.openxmlformats.org/officeDocument/2006/relationships/ctrlProp" Target="../ctrlProps/ctrlProp35.xml"/><Relationship Id="rId3" Type="http://schemas.openxmlformats.org/officeDocument/2006/relationships/drawing" Target="../drawings/drawing3.xml"/><Relationship Id="rId7" Type="http://schemas.openxmlformats.org/officeDocument/2006/relationships/ctrlProp" Target="../ctrlProps/ctrlProp29.xml"/><Relationship Id="rId12" Type="http://schemas.openxmlformats.org/officeDocument/2006/relationships/ctrlProp" Target="../ctrlProps/ctrlProp34.xml"/><Relationship Id="rId17" Type="http://schemas.openxmlformats.org/officeDocument/2006/relationships/ctrlProp" Target="../ctrlProps/ctrlProp39.xml"/><Relationship Id="rId2" Type="http://schemas.openxmlformats.org/officeDocument/2006/relationships/printerSettings" Target="../printerSettings/printerSettings18.bin"/><Relationship Id="rId16" Type="http://schemas.openxmlformats.org/officeDocument/2006/relationships/ctrlProp" Target="../ctrlProps/ctrlProp38.xml"/><Relationship Id="rId1" Type="http://schemas.openxmlformats.org/officeDocument/2006/relationships/printerSettings" Target="../printerSettings/printerSettings17.bin"/><Relationship Id="rId6" Type="http://schemas.openxmlformats.org/officeDocument/2006/relationships/ctrlProp" Target="../ctrlProps/ctrlProp28.xml"/><Relationship Id="rId11" Type="http://schemas.openxmlformats.org/officeDocument/2006/relationships/ctrlProp" Target="../ctrlProps/ctrlProp33.xml"/><Relationship Id="rId5" Type="http://schemas.openxmlformats.org/officeDocument/2006/relationships/ctrlProp" Target="../ctrlProps/ctrlProp27.xml"/><Relationship Id="rId15" Type="http://schemas.openxmlformats.org/officeDocument/2006/relationships/ctrlProp" Target="../ctrlProps/ctrlProp37.xml"/><Relationship Id="rId10" Type="http://schemas.openxmlformats.org/officeDocument/2006/relationships/ctrlProp" Target="../ctrlProps/ctrlProp32.xml"/><Relationship Id="rId4" Type="http://schemas.openxmlformats.org/officeDocument/2006/relationships/vmlDrawing" Target="../drawings/vmlDrawing3.vml"/><Relationship Id="rId9" Type="http://schemas.openxmlformats.org/officeDocument/2006/relationships/ctrlProp" Target="../ctrlProps/ctrlProp31.xml"/><Relationship Id="rId14" Type="http://schemas.openxmlformats.org/officeDocument/2006/relationships/ctrlProp" Target="../ctrlProps/ctrlProp36.xm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25.bin"/><Relationship Id="rId7" Type="http://schemas.openxmlformats.org/officeDocument/2006/relationships/printerSettings" Target="../printerSettings/printerSettings129.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printerSettings" Target="../printerSettings/printerSettings128.bin"/><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32.bin"/><Relationship Id="rId7" Type="http://schemas.openxmlformats.org/officeDocument/2006/relationships/printerSettings" Target="../printerSettings/printerSettings136.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6" Type="http://schemas.openxmlformats.org/officeDocument/2006/relationships/printerSettings" Target="../printerSettings/printerSettings135.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39.bin"/><Relationship Id="rId7" Type="http://schemas.openxmlformats.org/officeDocument/2006/relationships/printerSettings" Target="../printerSettings/printerSettings143.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4" Type="http://schemas.openxmlformats.org/officeDocument/2006/relationships/printerSettings" Target="../printerSettings/printerSettings147.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50.bin"/><Relationship Id="rId7" Type="http://schemas.openxmlformats.org/officeDocument/2006/relationships/printerSettings" Target="../printerSettings/printerSettings154.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5" Type="http://schemas.openxmlformats.org/officeDocument/2006/relationships/printerSettings" Target="../printerSettings/printerSettings152.bin"/><Relationship Id="rId4" Type="http://schemas.openxmlformats.org/officeDocument/2006/relationships/printerSettings" Target="../printerSettings/printerSettings15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43.xml"/><Relationship Id="rId13" Type="http://schemas.openxmlformats.org/officeDocument/2006/relationships/ctrlProp" Target="../ctrlProps/ctrlProp48.xml"/><Relationship Id="rId3" Type="http://schemas.openxmlformats.org/officeDocument/2006/relationships/drawing" Target="../drawings/drawing4.xml"/><Relationship Id="rId7" Type="http://schemas.openxmlformats.org/officeDocument/2006/relationships/ctrlProp" Target="../ctrlProps/ctrlProp42.xml"/><Relationship Id="rId12" Type="http://schemas.openxmlformats.org/officeDocument/2006/relationships/ctrlProp" Target="../ctrlProps/ctrlProp47.xml"/><Relationship Id="rId17" Type="http://schemas.openxmlformats.org/officeDocument/2006/relationships/ctrlProp" Target="../ctrlProps/ctrlProp52.xml"/><Relationship Id="rId2" Type="http://schemas.openxmlformats.org/officeDocument/2006/relationships/printerSettings" Target="../printerSettings/printerSettings20.bin"/><Relationship Id="rId16" Type="http://schemas.openxmlformats.org/officeDocument/2006/relationships/ctrlProp" Target="../ctrlProps/ctrlProp51.xml"/><Relationship Id="rId1" Type="http://schemas.openxmlformats.org/officeDocument/2006/relationships/printerSettings" Target="../printerSettings/printerSettings19.bin"/><Relationship Id="rId6" Type="http://schemas.openxmlformats.org/officeDocument/2006/relationships/ctrlProp" Target="../ctrlProps/ctrlProp41.xml"/><Relationship Id="rId11" Type="http://schemas.openxmlformats.org/officeDocument/2006/relationships/ctrlProp" Target="../ctrlProps/ctrlProp46.xml"/><Relationship Id="rId5" Type="http://schemas.openxmlformats.org/officeDocument/2006/relationships/ctrlProp" Target="../ctrlProps/ctrlProp40.xml"/><Relationship Id="rId15" Type="http://schemas.openxmlformats.org/officeDocument/2006/relationships/ctrlProp" Target="../ctrlProps/ctrlProp50.xml"/><Relationship Id="rId10" Type="http://schemas.openxmlformats.org/officeDocument/2006/relationships/ctrlProp" Target="../ctrlProps/ctrlProp45.xml"/><Relationship Id="rId4" Type="http://schemas.openxmlformats.org/officeDocument/2006/relationships/vmlDrawing" Target="../drawings/vmlDrawing4.vml"/><Relationship Id="rId9" Type="http://schemas.openxmlformats.org/officeDocument/2006/relationships/ctrlProp" Target="../ctrlProps/ctrlProp44.xml"/><Relationship Id="rId14" Type="http://schemas.openxmlformats.org/officeDocument/2006/relationships/ctrlProp" Target="../ctrlProps/ctrlProp49.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6.xml"/><Relationship Id="rId13" Type="http://schemas.openxmlformats.org/officeDocument/2006/relationships/ctrlProp" Target="../ctrlProps/ctrlProp61.xml"/><Relationship Id="rId3" Type="http://schemas.openxmlformats.org/officeDocument/2006/relationships/drawing" Target="../drawings/drawing5.xml"/><Relationship Id="rId7" Type="http://schemas.openxmlformats.org/officeDocument/2006/relationships/ctrlProp" Target="../ctrlProps/ctrlProp55.xml"/><Relationship Id="rId12" Type="http://schemas.openxmlformats.org/officeDocument/2006/relationships/ctrlProp" Target="../ctrlProps/ctrlProp60.xml"/><Relationship Id="rId17" Type="http://schemas.openxmlformats.org/officeDocument/2006/relationships/ctrlProp" Target="../ctrlProps/ctrlProp65.xml"/><Relationship Id="rId2" Type="http://schemas.openxmlformats.org/officeDocument/2006/relationships/printerSettings" Target="../printerSettings/printerSettings22.bin"/><Relationship Id="rId16" Type="http://schemas.openxmlformats.org/officeDocument/2006/relationships/ctrlProp" Target="../ctrlProps/ctrlProp64.xml"/><Relationship Id="rId1" Type="http://schemas.openxmlformats.org/officeDocument/2006/relationships/printerSettings" Target="../printerSettings/printerSettings21.bin"/><Relationship Id="rId6" Type="http://schemas.openxmlformats.org/officeDocument/2006/relationships/ctrlProp" Target="../ctrlProps/ctrlProp54.xml"/><Relationship Id="rId11" Type="http://schemas.openxmlformats.org/officeDocument/2006/relationships/ctrlProp" Target="../ctrlProps/ctrlProp59.xml"/><Relationship Id="rId5" Type="http://schemas.openxmlformats.org/officeDocument/2006/relationships/ctrlProp" Target="../ctrlProps/ctrlProp53.xml"/><Relationship Id="rId15" Type="http://schemas.openxmlformats.org/officeDocument/2006/relationships/ctrlProp" Target="../ctrlProps/ctrlProp63.xml"/><Relationship Id="rId10" Type="http://schemas.openxmlformats.org/officeDocument/2006/relationships/ctrlProp" Target="../ctrlProps/ctrlProp58.xml"/><Relationship Id="rId4" Type="http://schemas.openxmlformats.org/officeDocument/2006/relationships/vmlDrawing" Target="../drawings/vmlDrawing5.vml"/><Relationship Id="rId9" Type="http://schemas.openxmlformats.org/officeDocument/2006/relationships/ctrlProp" Target="../ctrlProps/ctrlProp57.xml"/><Relationship Id="rId14" Type="http://schemas.openxmlformats.org/officeDocument/2006/relationships/ctrlProp" Target="../ctrlProps/ctrlProp62.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9.xml"/><Relationship Id="rId13" Type="http://schemas.openxmlformats.org/officeDocument/2006/relationships/ctrlProp" Target="../ctrlProps/ctrlProp74.xml"/><Relationship Id="rId3" Type="http://schemas.openxmlformats.org/officeDocument/2006/relationships/drawing" Target="../drawings/drawing6.xml"/><Relationship Id="rId7" Type="http://schemas.openxmlformats.org/officeDocument/2006/relationships/ctrlProp" Target="../ctrlProps/ctrlProp68.xml"/><Relationship Id="rId12" Type="http://schemas.openxmlformats.org/officeDocument/2006/relationships/ctrlProp" Target="../ctrlProps/ctrlProp73.xml"/><Relationship Id="rId17" Type="http://schemas.openxmlformats.org/officeDocument/2006/relationships/ctrlProp" Target="../ctrlProps/ctrlProp78.xml"/><Relationship Id="rId2" Type="http://schemas.openxmlformats.org/officeDocument/2006/relationships/printerSettings" Target="../printerSettings/printerSettings24.bin"/><Relationship Id="rId16" Type="http://schemas.openxmlformats.org/officeDocument/2006/relationships/ctrlProp" Target="../ctrlProps/ctrlProp77.xml"/><Relationship Id="rId1" Type="http://schemas.openxmlformats.org/officeDocument/2006/relationships/printerSettings" Target="../printerSettings/printerSettings23.bin"/><Relationship Id="rId6" Type="http://schemas.openxmlformats.org/officeDocument/2006/relationships/ctrlProp" Target="../ctrlProps/ctrlProp67.xml"/><Relationship Id="rId11" Type="http://schemas.openxmlformats.org/officeDocument/2006/relationships/ctrlProp" Target="../ctrlProps/ctrlProp72.xml"/><Relationship Id="rId5" Type="http://schemas.openxmlformats.org/officeDocument/2006/relationships/ctrlProp" Target="../ctrlProps/ctrlProp66.xml"/><Relationship Id="rId15" Type="http://schemas.openxmlformats.org/officeDocument/2006/relationships/ctrlProp" Target="../ctrlProps/ctrlProp76.xml"/><Relationship Id="rId10" Type="http://schemas.openxmlformats.org/officeDocument/2006/relationships/ctrlProp" Target="../ctrlProps/ctrlProp71.xml"/><Relationship Id="rId4" Type="http://schemas.openxmlformats.org/officeDocument/2006/relationships/vmlDrawing" Target="../drawings/vmlDrawing6.vml"/><Relationship Id="rId9" Type="http://schemas.openxmlformats.org/officeDocument/2006/relationships/ctrlProp" Target="../ctrlProps/ctrlProp70.xml"/><Relationship Id="rId14" Type="http://schemas.openxmlformats.org/officeDocument/2006/relationships/ctrlProp" Target="../ctrlProps/ctrlProp75.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82.xml"/><Relationship Id="rId13" Type="http://schemas.openxmlformats.org/officeDocument/2006/relationships/ctrlProp" Target="../ctrlProps/ctrlProp87.xml"/><Relationship Id="rId3" Type="http://schemas.openxmlformats.org/officeDocument/2006/relationships/drawing" Target="../drawings/drawing7.xml"/><Relationship Id="rId7" Type="http://schemas.openxmlformats.org/officeDocument/2006/relationships/ctrlProp" Target="../ctrlProps/ctrlProp81.xml"/><Relationship Id="rId12" Type="http://schemas.openxmlformats.org/officeDocument/2006/relationships/ctrlProp" Target="../ctrlProps/ctrlProp86.xml"/><Relationship Id="rId17" Type="http://schemas.openxmlformats.org/officeDocument/2006/relationships/ctrlProp" Target="../ctrlProps/ctrlProp91.xml"/><Relationship Id="rId2" Type="http://schemas.openxmlformats.org/officeDocument/2006/relationships/printerSettings" Target="../printerSettings/printerSettings26.bin"/><Relationship Id="rId16" Type="http://schemas.openxmlformats.org/officeDocument/2006/relationships/ctrlProp" Target="../ctrlProps/ctrlProp90.xml"/><Relationship Id="rId1" Type="http://schemas.openxmlformats.org/officeDocument/2006/relationships/printerSettings" Target="../printerSettings/printerSettings25.bin"/><Relationship Id="rId6" Type="http://schemas.openxmlformats.org/officeDocument/2006/relationships/ctrlProp" Target="../ctrlProps/ctrlProp80.xml"/><Relationship Id="rId11" Type="http://schemas.openxmlformats.org/officeDocument/2006/relationships/ctrlProp" Target="../ctrlProps/ctrlProp85.xml"/><Relationship Id="rId5" Type="http://schemas.openxmlformats.org/officeDocument/2006/relationships/ctrlProp" Target="../ctrlProps/ctrlProp79.xml"/><Relationship Id="rId15" Type="http://schemas.openxmlformats.org/officeDocument/2006/relationships/ctrlProp" Target="../ctrlProps/ctrlProp89.xml"/><Relationship Id="rId10" Type="http://schemas.openxmlformats.org/officeDocument/2006/relationships/ctrlProp" Target="../ctrlProps/ctrlProp84.xml"/><Relationship Id="rId4" Type="http://schemas.openxmlformats.org/officeDocument/2006/relationships/vmlDrawing" Target="../drawings/vmlDrawing7.vml"/><Relationship Id="rId9" Type="http://schemas.openxmlformats.org/officeDocument/2006/relationships/ctrlProp" Target="../ctrlProps/ctrlProp83.xml"/><Relationship Id="rId14" Type="http://schemas.openxmlformats.org/officeDocument/2006/relationships/ctrlProp" Target="../ctrlProps/ctrlProp88.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95.xml"/><Relationship Id="rId13" Type="http://schemas.openxmlformats.org/officeDocument/2006/relationships/ctrlProp" Target="../ctrlProps/ctrlProp100.xml"/><Relationship Id="rId3" Type="http://schemas.openxmlformats.org/officeDocument/2006/relationships/drawing" Target="../drawings/drawing8.xml"/><Relationship Id="rId7" Type="http://schemas.openxmlformats.org/officeDocument/2006/relationships/ctrlProp" Target="../ctrlProps/ctrlProp94.xml"/><Relationship Id="rId12" Type="http://schemas.openxmlformats.org/officeDocument/2006/relationships/ctrlProp" Target="../ctrlProps/ctrlProp99.xml"/><Relationship Id="rId17" Type="http://schemas.openxmlformats.org/officeDocument/2006/relationships/ctrlProp" Target="../ctrlProps/ctrlProp104.xml"/><Relationship Id="rId2" Type="http://schemas.openxmlformats.org/officeDocument/2006/relationships/printerSettings" Target="../printerSettings/printerSettings28.bin"/><Relationship Id="rId16" Type="http://schemas.openxmlformats.org/officeDocument/2006/relationships/ctrlProp" Target="../ctrlProps/ctrlProp103.xml"/><Relationship Id="rId1" Type="http://schemas.openxmlformats.org/officeDocument/2006/relationships/printerSettings" Target="../printerSettings/printerSettings27.bin"/><Relationship Id="rId6" Type="http://schemas.openxmlformats.org/officeDocument/2006/relationships/ctrlProp" Target="../ctrlProps/ctrlProp93.xml"/><Relationship Id="rId11" Type="http://schemas.openxmlformats.org/officeDocument/2006/relationships/ctrlProp" Target="../ctrlProps/ctrlProp98.xml"/><Relationship Id="rId5" Type="http://schemas.openxmlformats.org/officeDocument/2006/relationships/ctrlProp" Target="../ctrlProps/ctrlProp92.xml"/><Relationship Id="rId15" Type="http://schemas.openxmlformats.org/officeDocument/2006/relationships/ctrlProp" Target="../ctrlProps/ctrlProp102.xml"/><Relationship Id="rId10" Type="http://schemas.openxmlformats.org/officeDocument/2006/relationships/ctrlProp" Target="../ctrlProps/ctrlProp97.xml"/><Relationship Id="rId4" Type="http://schemas.openxmlformats.org/officeDocument/2006/relationships/vmlDrawing" Target="../drawings/vmlDrawing8.vml"/><Relationship Id="rId9" Type="http://schemas.openxmlformats.org/officeDocument/2006/relationships/ctrlProp" Target="../ctrlProps/ctrlProp96.xml"/><Relationship Id="rId14" Type="http://schemas.openxmlformats.org/officeDocument/2006/relationships/ctrlProp" Target="../ctrlProps/ctrlProp10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581"/>
  <sheetViews>
    <sheetView tabSelected="1" zoomScaleNormal="100" workbookViewId="0">
      <selection activeCell="B4" sqref="B4"/>
    </sheetView>
  </sheetViews>
  <sheetFormatPr defaultColWidth="9.08984375" defaultRowHeight="15.5"/>
  <cols>
    <col min="1" max="1" width="10" style="1" bestFit="1" customWidth="1"/>
    <col min="2" max="2" width="15.36328125" style="1" customWidth="1"/>
    <col min="3" max="5" width="9.08984375" style="1"/>
    <col min="6" max="6" width="9.08984375" style="1" customWidth="1"/>
    <col min="7" max="8" width="9.08984375" style="1"/>
    <col min="9" max="9" width="11.36328125" style="1" customWidth="1"/>
    <col min="10" max="10" width="12.54296875" style="1" customWidth="1"/>
    <col min="11" max="11" width="9.08984375" style="1"/>
    <col min="12" max="12" width="13.90625" style="1" bestFit="1" customWidth="1"/>
    <col min="13" max="13" width="9.08984375" style="1" customWidth="1"/>
    <col min="14" max="16384" width="9.08984375" style="1"/>
  </cols>
  <sheetData>
    <row r="1" spans="1:12" ht="27" customHeight="1" thickTop="1">
      <c r="A1" s="838" t="s">
        <v>0</v>
      </c>
      <c r="B1" s="839"/>
      <c r="C1" s="839"/>
      <c r="D1" s="840"/>
      <c r="E1" s="499"/>
      <c r="F1" s="501"/>
      <c r="G1" s="499" t="s">
        <v>1</v>
      </c>
      <c r="H1" s="501"/>
      <c r="I1" s="499" t="s">
        <v>2</v>
      </c>
      <c r="J1" s="501"/>
      <c r="K1" s="447"/>
      <c r="L1" s="447" t="s">
        <v>1542</v>
      </c>
    </row>
    <row r="2" spans="1:12" ht="30" customHeight="1" thickBot="1">
      <c r="A2" s="841"/>
      <c r="B2" s="842"/>
      <c r="C2" s="842"/>
      <c r="D2" s="843"/>
      <c r="E2" s="837"/>
      <c r="F2" s="837"/>
      <c r="G2" s="835"/>
      <c r="H2" s="836"/>
      <c r="I2" s="835"/>
      <c r="J2" s="836"/>
      <c r="K2" s="447" t="str">
        <f>Data!D1</f>
        <v>V 5.0.9</v>
      </c>
      <c r="L2" s="448">
        <v>45330</v>
      </c>
    </row>
    <row r="3" spans="1:12" ht="15.75" customHeight="1" thickTop="1">
      <c r="A3" s="847" t="s">
        <v>3</v>
      </c>
      <c r="B3" s="848"/>
      <c r="C3" s="499" t="s">
        <v>4</v>
      </c>
      <c r="D3" s="501"/>
      <c r="E3" s="499" t="s">
        <v>5</v>
      </c>
      <c r="F3" s="501"/>
      <c r="G3" s="499" t="s">
        <v>5</v>
      </c>
      <c r="H3" s="501"/>
      <c r="I3" s="499" t="s">
        <v>1381</v>
      </c>
      <c r="J3" s="501"/>
    </row>
    <row r="4" spans="1:12" ht="15" customHeight="1">
      <c r="A4" s="11" t="s">
        <v>7</v>
      </c>
      <c r="B4" s="287"/>
      <c r="C4" s="502" t="s">
        <v>8</v>
      </c>
      <c r="D4" s="504"/>
      <c r="E4" s="502" t="s">
        <v>9</v>
      </c>
      <c r="F4" s="504"/>
      <c r="G4" s="502" t="s">
        <v>1430</v>
      </c>
      <c r="H4" s="504"/>
      <c r="I4" s="2" t="s">
        <v>10</v>
      </c>
      <c r="J4" s="288" t="str">
        <f>IF(MonitoringPeriodBeginDate="","",MonitoringPeriodBeginDate)</f>
        <v/>
      </c>
    </row>
    <row r="5" spans="1:12" ht="16" thickBot="1">
      <c r="A5" s="11" t="s">
        <v>11</v>
      </c>
      <c r="B5" s="287"/>
      <c r="C5" s="814"/>
      <c r="D5" s="815"/>
      <c r="E5" s="814"/>
      <c r="F5" s="815"/>
      <c r="G5" s="814"/>
      <c r="H5" s="815"/>
      <c r="I5" s="2" t="s">
        <v>12</v>
      </c>
      <c r="J5" s="288" t="str">
        <f>IF(MonitoringPeriodEndDate="","",MonitoringPeriodEndDate)</f>
        <v/>
      </c>
    </row>
    <row r="6" spans="1:12" ht="15.75" customHeight="1" thickTop="1" thickBot="1">
      <c r="A6" s="844" t="s">
        <v>13</v>
      </c>
      <c r="B6" s="845"/>
      <c r="C6" s="845" t="s">
        <v>53</v>
      </c>
      <c r="D6" s="845"/>
      <c r="E6" s="846"/>
      <c r="F6" s="499"/>
      <c r="G6" s="500"/>
      <c r="H6" s="500"/>
      <c r="I6" s="500"/>
      <c r="J6" s="501"/>
    </row>
    <row r="7" spans="1:12" ht="17.25" customHeight="1" thickTop="1" thickBot="1">
      <c r="A7" s="816" t="s">
        <v>74</v>
      </c>
      <c r="B7" s="817"/>
      <c r="C7" s="539"/>
      <c r="D7" s="540"/>
      <c r="E7" s="541"/>
      <c r="F7" s="502"/>
      <c r="G7" s="503"/>
      <c r="H7" s="503"/>
      <c r="I7" s="503"/>
      <c r="J7" s="504"/>
    </row>
    <row r="8" spans="1:12" ht="25.75" customHeight="1" thickBot="1">
      <c r="A8" s="485"/>
      <c r="B8" s="486"/>
      <c r="C8" s="486"/>
      <c r="D8" s="486"/>
      <c r="E8" s="486"/>
      <c r="F8" s="505"/>
      <c r="G8" s="505"/>
      <c r="H8" s="505"/>
      <c r="I8" s="505"/>
      <c r="J8" s="506"/>
    </row>
    <row r="9" spans="1:12" ht="37.5" customHeight="1" thickTop="1" thickBot="1">
      <c r="A9" s="818" t="s">
        <v>812</v>
      </c>
      <c r="B9" s="819"/>
      <c r="C9" s="819"/>
      <c r="D9" s="819"/>
      <c r="E9" s="819"/>
      <c r="F9" s="819"/>
      <c r="G9" s="819"/>
      <c r="H9" s="819"/>
      <c r="I9" s="819"/>
      <c r="J9" s="820"/>
    </row>
    <row r="10" spans="1:12" ht="17.25" customHeight="1" thickTop="1" thickBot="1">
      <c r="A10" s="821" t="s">
        <v>14</v>
      </c>
      <c r="B10" s="822"/>
      <c r="C10" s="822"/>
      <c r="D10" s="822"/>
      <c r="E10" s="822"/>
      <c r="F10" s="822"/>
      <c r="G10" s="822"/>
      <c r="H10" s="822"/>
      <c r="I10" s="822"/>
      <c r="J10" s="823"/>
    </row>
    <row r="11" spans="1:12" ht="26.25" customHeight="1" thickTop="1" thickBot="1">
      <c r="A11" s="518" t="s">
        <v>1543</v>
      </c>
      <c r="B11" s="824"/>
      <c r="C11" s="824"/>
      <c r="D11" s="824"/>
      <c r="E11" s="824"/>
      <c r="F11" s="824"/>
      <c r="G11" s="824"/>
      <c r="H11" s="824"/>
      <c r="I11" s="825"/>
      <c r="J11" s="103" t="s">
        <v>15</v>
      </c>
    </row>
    <row r="12" spans="1:12" ht="15.75" customHeight="1" thickTop="1">
      <c r="A12" s="530" t="s">
        <v>1544</v>
      </c>
      <c r="B12" s="531"/>
      <c r="C12" s="531"/>
      <c r="D12" s="531"/>
      <c r="E12" s="531"/>
      <c r="F12" s="531"/>
      <c r="G12" s="531"/>
      <c r="H12" s="531"/>
      <c r="I12" s="532"/>
      <c r="J12" s="709"/>
    </row>
    <row r="13" spans="1:12" ht="26.25" customHeight="1">
      <c r="A13" s="527" t="s">
        <v>1597</v>
      </c>
      <c r="B13" s="528"/>
      <c r="C13" s="528"/>
      <c r="D13" s="528"/>
      <c r="E13" s="528"/>
      <c r="F13" s="528"/>
      <c r="G13" s="528"/>
      <c r="H13" s="528"/>
      <c r="I13" s="529"/>
      <c r="J13" s="709"/>
    </row>
    <row r="14" spans="1:12" ht="15.75" customHeight="1">
      <c r="A14" s="527" t="s">
        <v>1545</v>
      </c>
      <c r="B14" s="528"/>
      <c r="C14" s="528"/>
      <c r="D14" s="528"/>
      <c r="E14" s="528"/>
      <c r="F14" s="528"/>
      <c r="G14" s="528"/>
      <c r="H14" s="528"/>
      <c r="I14" s="529"/>
      <c r="J14" s="709"/>
    </row>
    <row r="15" spans="1:12" ht="15.75" customHeight="1">
      <c r="A15" s="527" t="s">
        <v>1546</v>
      </c>
      <c r="B15" s="528"/>
      <c r="C15" s="528"/>
      <c r="D15" s="528"/>
      <c r="E15" s="528"/>
      <c r="F15" s="528"/>
      <c r="G15" s="528"/>
      <c r="H15" s="528"/>
      <c r="I15" s="529"/>
      <c r="J15" s="709"/>
    </row>
    <row r="16" spans="1:12" ht="15.75" customHeight="1" thickBot="1">
      <c r="A16" s="826" t="s">
        <v>1547</v>
      </c>
      <c r="B16" s="827"/>
      <c r="C16" s="827"/>
      <c r="D16" s="827"/>
      <c r="E16" s="827"/>
      <c r="F16" s="827"/>
      <c r="G16" s="827"/>
      <c r="H16" s="827"/>
      <c r="I16" s="828"/>
      <c r="J16" s="795"/>
    </row>
    <row r="17" spans="1:10" ht="28.5" customHeight="1" thickTop="1" thickBot="1">
      <c r="A17" s="518" t="s">
        <v>1548</v>
      </c>
      <c r="B17" s="519"/>
      <c r="C17" s="519"/>
      <c r="D17" s="519"/>
      <c r="E17" s="519"/>
      <c r="F17" s="519"/>
      <c r="G17" s="519"/>
      <c r="H17" s="519"/>
      <c r="I17" s="520"/>
      <c r="J17" s="103" t="s">
        <v>15</v>
      </c>
    </row>
    <row r="18" spans="1:10" ht="27.75" customHeight="1" thickTop="1">
      <c r="A18" s="530" t="s">
        <v>1549</v>
      </c>
      <c r="B18" s="531"/>
      <c r="C18" s="531"/>
      <c r="D18" s="531"/>
      <c r="E18" s="531"/>
      <c r="F18" s="531"/>
      <c r="G18" s="531"/>
      <c r="H18" s="531"/>
      <c r="I18" s="532"/>
      <c r="J18" s="515"/>
    </row>
    <row r="19" spans="1:10" ht="14.25" customHeight="1">
      <c r="A19" s="524" t="s">
        <v>1550</v>
      </c>
      <c r="B19" s="525"/>
      <c r="C19" s="525"/>
      <c r="D19" s="525"/>
      <c r="E19" s="525"/>
      <c r="F19" s="525"/>
      <c r="G19" s="525"/>
      <c r="H19" s="525"/>
      <c r="I19" s="526"/>
      <c r="J19" s="516"/>
    </row>
    <row r="20" spans="1:10" ht="14.25" customHeight="1">
      <c r="A20" s="524" t="s">
        <v>1551</v>
      </c>
      <c r="B20" s="525"/>
      <c r="C20" s="525"/>
      <c r="D20" s="525"/>
      <c r="E20" s="525"/>
      <c r="F20" s="525"/>
      <c r="G20" s="525"/>
      <c r="H20" s="525"/>
      <c r="I20" s="526"/>
      <c r="J20" s="516"/>
    </row>
    <row r="21" spans="1:10" ht="27.75" customHeight="1">
      <c r="A21" s="527" t="s">
        <v>1552</v>
      </c>
      <c r="B21" s="528"/>
      <c r="C21" s="528"/>
      <c r="D21" s="528"/>
      <c r="E21" s="528"/>
      <c r="F21" s="528"/>
      <c r="G21" s="528"/>
      <c r="H21" s="528"/>
      <c r="I21" s="529"/>
      <c r="J21" s="516"/>
    </row>
    <row r="22" spans="1:10" ht="26.25" customHeight="1">
      <c r="A22" s="527" t="s">
        <v>1553</v>
      </c>
      <c r="B22" s="528"/>
      <c r="C22" s="528"/>
      <c r="D22" s="528"/>
      <c r="E22" s="528"/>
      <c r="F22" s="528"/>
      <c r="G22" s="528"/>
      <c r="H22" s="528"/>
      <c r="I22" s="529"/>
      <c r="J22" s="516"/>
    </row>
    <row r="23" spans="1:10" ht="15.75" customHeight="1" thickBot="1">
      <c r="A23" s="521" t="s">
        <v>1641</v>
      </c>
      <c r="B23" s="522"/>
      <c r="C23" s="522"/>
      <c r="D23" s="522"/>
      <c r="E23" s="522"/>
      <c r="F23" s="522"/>
      <c r="G23" s="522"/>
      <c r="H23" s="522"/>
      <c r="I23" s="523"/>
      <c r="J23" s="516"/>
    </row>
    <row r="24" spans="1:10" ht="15.75" customHeight="1" thickTop="1">
      <c r="A24" s="507" t="s">
        <v>16</v>
      </c>
      <c r="B24" s="509"/>
      <c r="C24" s="510"/>
      <c r="D24" s="510"/>
      <c r="E24" s="510"/>
      <c r="F24" s="510"/>
      <c r="G24" s="510"/>
      <c r="H24" s="510"/>
      <c r="I24" s="511"/>
      <c r="J24" s="516"/>
    </row>
    <row r="25" spans="1:10" ht="15.75" customHeight="1" thickBot="1">
      <c r="A25" s="508"/>
      <c r="B25" s="512"/>
      <c r="C25" s="513"/>
      <c r="D25" s="513"/>
      <c r="E25" s="513"/>
      <c r="F25" s="513"/>
      <c r="G25" s="513"/>
      <c r="H25" s="513"/>
      <c r="I25" s="514"/>
      <c r="J25" s="517"/>
    </row>
    <row r="26" spans="1:10" ht="43.5" customHeight="1" thickTop="1" thickBot="1">
      <c r="A26" s="518" t="s">
        <v>1554</v>
      </c>
      <c r="B26" s="519"/>
      <c r="C26" s="519"/>
      <c r="D26" s="519"/>
      <c r="E26" s="519"/>
      <c r="F26" s="519"/>
      <c r="G26" s="519"/>
      <c r="H26" s="519"/>
      <c r="I26" s="520"/>
      <c r="J26" s="103" t="s">
        <v>15</v>
      </c>
    </row>
    <row r="27" spans="1:10" ht="27.75" customHeight="1" thickTop="1">
      <c r="A27" s="533" t="s">
        <v>1642</v>
      </c>
      <c r="B27" s="534"/>
      <c r="C27" s="534"/>
      <c r="D27" s="534"/>
      <c r="E27" s="534"/>
      <c r="F27" s="534"/>
      <c r="G27" s="534"/>
      <c r="H27" s="534"/>
      <c r="I27" s="535"/>
      <c r="J27" s="536"/>
    </row>
    <row r="28" spans="1:10" ht="25.5" customHeight="1">
      <c r="A28" s="533" t="s">
        <v>1643</v>
      </c>
      <c r="B28" s="534"/>
      <c r="C28" s="534"/>
      <c r="D28" s="534"/>
      <c r="E28" s="534"/>
      <c r="F28" s="534"/>
      <c r="G28" s="534"/>
      <c r="H28" s="534"/>
      <c r="I28" s="535"/>
      <c r="J28" s="537"/>
    </row>
    <row r="29" spans="1:10" ht="43.5" customHeight="1">
      <c r="A29" s="533" t="s">
        <v>1644</v>
      </c>
      <c r="B29" s="534"/>
      <c r="C29" s="534"/>
      <c r="D29" s="534"/>
      <c r="E29" s="534"/>
      <c r="F29" s="534"/>
      <c r="G29" s="534"/>
      <c r="H29" s="534"/>
      <c r="I29" s="535"/>
      <c r="J29" s="537"/>
    </row>
    <row r="30" spans="1:10" ht="15.75" customHeight="1" thickBot="1">
      <c r="A30" s="521" t="s">
        <v>1555</v>
      </c>
      <c r="B30" s="522"/>
      <c r="C30" s="522"/>
      <c r="D30" s="522"/>
      <c r="E30" s="522"/>
      <c r="F30" s="522"/>
      <c r="G30" s="522"/>
      <c r="H30" s="522"/>
      <c r="I30" s="523"/>
      <c r="J30" s="537"/>
    </row>
    <row r="31" spans="1:10" ht="15.75" customHeight="1" thickTop="1">
      <c r="A31" s="507" t="s">
        <v>16</v>
      </c>
      <c r="B31" s="509"/>
      <c r="C31" s="510"/>
      <c r="D31" s="510"/>
      <c r="E31" s="510"/>
      <c r="F31" s="510"/>
      <c r="G31" s="510"/>
      <c r="H31" s="510"/>
      <c r="I31" s="511"/>
      <c r="J31" s="537"/>
    </row>
    <row r="32" spans="1:10" ht="15.75" customHeight="1" thickBot="1">
      <c r="A32" s="508"/>
      <c r="B32" s="512"/>
      <c r="C32" s="513"/>
      <c r="D32" s="513"/>
      <c r="E32" s="513"/>
      <c r="F32" s="513"/>
      <c r="G32" s="513"/>
      <c r="H32" s="513"/>
      <c r="I32" s="514"/>
      <c r="J32" s="538"/>
    </row>
    <row r="33" spans="1:10" ht="39" customHeight="1" thickTop="1" thickBot="1">
      <c r="A33" s="546" t="s">
        <v>1428</v>
      </c>
      <c r="B33" s="547"/>
      <c r="C33" s="547"/>
      <c r="D33" s="547"/>
      <c r="E33" s="547"/>
      <c r="F33" s="547"/>
      <c r="G33" s="547"/>
      <c r="H33" s="547"/>
      <c r="I33" s="548"/>
      <c r="J33" s="103" t="s">
        <v>15</v>
      </c>
    </row>
    <row r="34" spans="1:10" ht="16.5" customHeight="1" thickTop="1">
      <c r="A34" s="792" t="s">
        <v>50</v>
      </c>
      <c r="B34" s="793"/>
      <c r="C34" s="793"/>
      <c r="D34" s="793"/>
      <c r="E34" s="793"/>
      <c r="F34" s="793"/>
      <c r="G34" s="793"/>
      <c r="H34" s="793"/>
      <c r="I34" s="794"/>
      <c r="J34" s="708"/>
    </row>
    <row r="35" spans="1:10" ht="39" customHeight="1">
      <c r="A35" s="792" t="s">
        <v>51</v>
      </c>
      <c r="B35" s="793"/>
      <c r="C35" s="793"/>
      <c r="D35" s="793"/>
      <c r="E35" s="793"/>
      <c r="F35" s="793"/>
      <c r="G35" s="793"/>
      <c r="H35" s="793"/>
      <c r="I35" s="794"/>
      <c r="J35" s="709"/>
    </row>
    <row r="36" spans="1:10" ht="26.25" customHeight="1">
      <c r="A36" s="792" t="s">
        <v>52</v>
      </c>
      <c r="B36" s="793"/>
      <c r="C36" s="793"/>
      <c r="D36" s="793"/>
      <c r="E36" s="793"/>
      <c r="F36" s="793"/>
      <c r="G36" s="793"/>
      <c r="H36" s="793"/>
      <c r="I36" s="794"/>
      <c r="J36" s="709"/>
    </row>
    <row r="37" spans="1:10">
      <c r="A37" s="792" t="s">
        <v>1376</v>
      </c>
      <c r="B37" s="793"/>
      <c r="C37" s="793"/>
      <c r="D37" s="793"/>
      <c r="E37" s="793"/>
      <c r="F37" s="793"/>
      <c r="G37" s="793"/>
      <c r="H37" s="793"/>
      <c r="I37" s="794"/>
      <c r="J37" s="709"/>
    </row>
    <row r="38" spans="1:10">
      <c r="A38" s="811" t="s">
        <v>1556</v>
      </c>
      <c r="B38" s="713"/>
      <c r="C38" s="713"/>
      <c r="D38" s="713"/>
      <c r="E38" s="713"/>
      <c r="F38" s="713"/>
      <c r="G38" s="713"/>
      <c r="H38" s="713"/>
      <c r="I38" s="812"/>
      <c r="J38" s="709"/>
    </row>
    <row r="39" spans="1:10" ht="16" thickBot="1">
      <c r="A39" s="813"/>
      <c r="B39" s="758"/>
      <c r="C39" s="758"/>
      <c r="D39" s="758"/>
      <c r="E39" s="758"/>
      <c r="F39" s="758"/>
      <c r="G39" s="758"/>
      <c r="H39" s="758"/>
      <c r="I39" s="759"/>
      <c r="J39" s="795"/>
    </row>
    <row r="40" spans="1:10" s="284" customFormat="1" ht="42" customHeight="1" thickTop="1" thickBot="1">
      <c r="A40" s="518" t="s">
        <v>1645</v>
      </c>
      <c r="B40" s="519"/>
      <c r="C40" s="519"/>
      <c r="D40" s="519"/>
      <c r="E40" s="519"/>
      <c r="F40" s="519"/>
      <c r="G40" s="519"/>
      <c r="H40" s="519"/>
      <c r="I40" s="520"/>
      <c r="J40" s="285" t="s">
        <v>15</v>
      </c>
    </row>
    <row r="41" spans="1:10" ht="29.25" customHeight="1" thickTop="1">
      <c r="A41" s="792" t="s">
        <v>1433</v>
      </c>
      <c r="B41" s="793"/>
      <c r="C41" s="793"/>
      <c r="D41" s="793"/>
      <c r="E41" s="793"/>
      <c r="F41" s="793"/>
      <c r="G41" s="793"/>
      <c r="H41" s="793"/>
      <c r="I41" s="794"/>
      <c r="J41" s="708"/>
    </row>
    <row r="42" spans="1:10">
      <c r="A42" s="829" t="s">
        <v>1444</v>
      </c>
      <c r="B42" s="830"/>
      <c r="C42" s="830"/>
      <c r="D42" s="830"/>
      <c r="E42" s="830"/>
      <c r="F42" s="830"/>
      <c r="G42" s="830"/>
      <c r="H42" s="830"/>
      <c r="I42" s="831"/>
      <c r="J42" s="709"/>
    </row>
    <row r="43" spans="1:10" ht="27.75" customHeight="1">
      <c r="A43" s="829" t="s">
        <v>1445</v>
      </c>
      <c r="B43" s="830"/>
      <c r="C43" s="830"/>
      <c r="D43" s="830"/>
      <c r="E43" s="830"/>
      <c r="F43" s="830"/>
      <c r="G43" s="830"/>
      <c r="H43" s="830"/>
      <c r="I43" s="831"/>
      <c r="J43" s="709"/>
    </row>
    <row r="44" spans="1:10" ht="15.75" customHeight="1">
      <c r="A44" s="829" t="s">
        <v>1446</v>
      </c>
      <c r="B44" s="830"/>
      <c r="C44" s="830"/>
      <c r="D44" s="830"/>
      <c r="E44" s="830"/>
      <c r="F44" s="830"/>
      <c r="G44" s="830"/>
      <c r="H44" s="830"/>
      <c r="I44" s="831"/>
      <c r="J44" s="709"/>
    </row>
    <row r="45" spans="1:10" ht="15.75" customHeight="1">
      <c r="A45" s="829" t="s">
        <v>1655</v>
      </c>
      <c r="B45" s="830"/>
      <c r="C45" s="830"/>
      <c r="D45" s="830"/>
      <c r="E45" s="830"/>
      <c r="F45" s="830"/>
      <c r="G45" s="830"/>
      <c r="H45" s="830"/>
      <c r="I45" s="831"/>
      <c r="J45" s="709"/>
    </row>
    <row r="46" spans="1:10" ht="15.75" customHeight="1">
      <c r="A46" s="829" t="s">
        <v>1447</v>
      </c>
      <c r="B46" s="830"/>
      <c r="C46" s="830"/>
      <c r="D46" s="830"/>
      <c r="E46" s="830"/>
      <c r="F46" s="830"/>
      <c r="G46" s="830"/>
      <c r="H46" s="830"/>
      <c r="I46" s="831"/>
      <c r="J46" s="709"/>
    </row>
    <row r="47" spans="1:10" ht="15.75" customHeight="1">
      <c r="A47" s="829" t="s">
        <v>1448</v>
      </c>
      <c r="B47" s="830"/>
      <c r="C47" s="830"/>
      <c r="D47" s="830"/>
      <c r="E47" s="830"/>
      <c r="F47" s="830"/>
      <c r="G47" s="830"/>
      <c r="H47" s="830"/>
      <c r="I47" s="831"/>
      <c r="J47" s="709"/>
    </row>
    <row r="48" spans="1:10" ht="30" customHeight="1" thickBot="1">
      <c r="A48" s="832" t="s">
        <v>1646</v>
      </c>
      <c r="B48" s="833"/>
      <c r="C48" s="833"/>
      <c r="D48" s="833"/>
      <c r="E48" s="833"/>
      <c r="F48" s="833"/>
      <c r="G48" s="833"/>
      <c r="H48" s="833"/>
      <c r="I48" s="834"/>
      <c r="J48" s="795"/>
    </row>
    <row r="49" spans="1:10" ht="28.5" customHeight="1" thickTop="1" thickBot="1">
      <c r="A49" s="546" t="s">
        <v>77</v>
      </c>
      <c r="B49" s="547"/>
      <c r="C49" s="547"/>
      <c r="D49" s="547"/>
      <c r="E49" s="547"/>
      <c r="F49" s="547"/>
      <c r="G49" s="547"/>
      <c r="H49" s="547"/>
      <c r="I49" s="548"/>
      <c r="J49" s="103" t="s">
        <v>15</v>
      </c>
    </row>
    <row r="50" spans="1:10" ht="26.25" customHeight="1" thickTop="1">
      <c r="A50" s="792" t="s">
        <v>78</v>
      </c>
      <c r="B50" s="793"/>
      <c r="C50" s="793"/>
      <c r="D50" s="793"/>
      <c r="E50" s="793"/>
      <c r="F50" s="793"/>
      <c r="G50" s="793"/>
      <c r="H50" s="793"/>
      <c r="I50" s="794"/>
      <c r="J50" s="708"/>
    </row>
    <row r="51" spans="1:10" ht="16.5" customHeight="1" thickBot="1">
      <c r="A51" s="521" t="s">
        <v>1557</v>
      </c>
      <c r="B51" s="713"/>
      <c r="C51" s="713"/>
      <c r="D51" s="713"/>
      <c r="E51" s="713"/>
      <c r="F51" s="713"/>
      <c r="G51" s="713"/>
      <c r="H51" s="713"/>
      <c r="I51" s="713"/>
      <c r="J51" s="709"/>
    </row>
    <row r="52" spans="1:10" ht="27.75" customHeight="1" thickTop="1" thickBot="1">
      <c r="A52" s="546" t="s">
        <v>79</v>
      </c>
      <c r="B52" s="547"/>
      <c r="C52" s="547"/>
      <c r="D52" s="547"/>
      <c r="E52" s="547"/>
      <c r="F52" s="547"/>
      <c r="G52" s="547"/>
      <c r="H52" s="547"/>
      <c r="I52" s="548"/>
      <c r="J52" s="103" t="s">
        <v>15</v>
      </c>
    </row>
    <row r="53" spans="1:10" ht="26.25" customHeight="1" thickTop="1">
      <c r="A53" s="710" t="s">
        <v>80</v>
      </c>
      <c r="B53" s="711"/>
      <c r="C53" s="711"/>
      <c r="D53" s="711"/>
      <c r="E53" s="711"/>
      <c r="F53" s="711"/>
      <c r="G53" s="711"/>
      <c r="H53" s="711"/>
      <c r="I53" s="712"/>
      <c r="J53" s="708"/>
    </row>
    <row r="54" spans="1:10" ht="26.25" customHeight="1">
      <c r="A54" s="710" t="s">
        <v>81</v>
      </c>
      <c r="B54" s="711"/>
      <c r="C54" s="711"/>
      <c r="D54" s="711"/>
      <c r="E54" s="711"/>
      <c r="F54" s="711"/>
      <c r="G54" s="711"/>
      <c r="H54" s="711"/>
      <c r="I54" s="712"/>
      <c r="J54" s="709"/>
    </row>
    <row r="55" spans="1:10" ht="16.5" customHeight="1">
      <c r="A55" s="524" t="s">
        <v>810</v>
      </c>
      <c r="B55" s="525"/>
      <c r="C55" s="525"/>
      <c r="D55" s="525"/>
      <c r="E55" s="525"/>
      <c r="F55" s="525"/>
      <c r="G55" s="525"/>
      <c r="H55" s="525"/>
      <c r="I55" s="526"/>
      <c r="J55" s="709"/>
    </row>
    <row r="56" spans="1:10" ht="16.5" customHeight="1" thickBot="1">
      <c r="A56" s="521" t="s">
        <v>1356</v>
      </c>
      <c r="B56" s="713"/>
      <c r="C56" s="713"/>
      <c r="D56" s="713"/>
      <c r="E56" s="713"/>
      <c r="F56" s="713"/>
      <c r="G56" s="713"/>
      <c r="H56" s="713"/>
      <c r="I56" s="713"/>
      <c r="J56" s="709"/>
    </row>
    <row r="57" spans="1:10" ht="39" customHeight="1" thickTop="1" thickBot="1">
      <c r="A57" s="546" t="s">
        <v>82</v>
      </c>
      <c r="B57" s="547"/>
      <c r="C57" s="547"/>
      <c r="D57" s="547"/>
      <c r="E57" s="547"/>
      <c r="F57" s="547"/>
      <c r="G57" s="547"/>
      <c r="H57" s="547"/>
      <c r="I57" s="548"/>
      <c r="J57" s="103" t="s">
        <v>15</v>
      </c>
    </row>
    <row r="58" spans="1:10" ht="26.25" customHeight="1" thickTop="1">
      <c r="A58" s="524" t="s">
        <v>83</v>
      </c>
      <c r="B58" s="525"/>
      <c r="C58" s="525"/>
      <c r="D58" s="525"/>
      <c r="E58" s="525"/>
      <c r="F58" s="525"/>
      <c r="G58" s="525"/>
      <c r="H58" s="525"/>
      <c r="I58" s="526"/>
      <c r="J58" s="708"/>
    </row>
    <row r="59" spans="1:10" ht="26.25" customHeight="1">
      <c r="A59" s="524" t="s">
        <v>84</v>
      </c>
      <c r="B59" s="525"/>
      <c r="C59" s="525"/>
      <c r="D59" s="525"/>
      <c r="E59" s="525"/>
      <c r="F59" s="525"/>
      <c r="G59" s="525"/>
      <c r="H59" s="525"/>
      <c r="I59" s="526"/>
      <c r="J59" s="709"/>
    </row>
    <row r="60" spans="1:10" ht="16.5" customHeight="1">
      <c r="A60" s="524" t="s">
        <v>811</v>
      </c>
      <c r="B60" s="525"/>
      <c r="C60" s="525"/>
      <c r="D60" s="525"/>
      <c r="E60" s="525"/>
      <c r="F60" s="525"/>
      <c r="G60" s="525"/>
      <c r="H60" s="525"/>
      <c r="I60" s="526"/>
      <c r="J60" s="709"/>
    </row>
    <row r="61" spans="1:10" ht="38.25" customHeight="1">
      <c r="A61" s="524" t="s">
        <v>808</v>
      </c>
      <c r="B61" s="525"/>
      <c r="C61" s="525"/>
      <c r="D61" s="525"/>
      <c r="E61" s="525"/>
      <c r="F61" s="525"/>
      <c r="G61" s="525"/>
      <c r="H61" s="525"/>
      <c r="I61" s="526"/>
      <c r="J61" s="709"/>
    </row>
    <row r="62" spans="1:10" ht="16.5" customHeight="1" thickBot="1">
      <c r="A62" s="521" t="s">
        <v>1357</v>
      </c>
      <c r="B62" s="713"/>
      <c r="C62" s="713"/>
      <c r="D62" s="713"/>
      <c r="E62" s="713"/>
      <c r="F62" s="713"/>
      <c r="G62" s="713"/>
      <c r="H62" s="713"/>
      <c r="I62" s="713"/>
      <c r="J62" s="709"/>
    </row>
    <row r="63" spans="1:10" ht="27.75" customHeight="1" thickTop="1" thickBot="1">
      <c r="A63" s="546" t="s">
        <v>85</v>
      </c>
      <c r="B63" s="547"/>
      <c r="C63" s="547"/>
      <c r="D63" s="547"/>
      <c r="E63" s="547"/>
      <c r="F63" s="547"/>
      <c r="G63" s="547"/>
      <c r="H63" s="547"/>
      <c r="I63" s="548"/>
      <c r="J63" s="103" t="s">
        <v>15</v>
      </c>
    </row>
    <row r="64" spans="1:10" ht="41.25" customHeight="1" thickTop="1">
      <c r="A64" s="710" t="s">
        <v>86</v>
      </c>
      <c r="B64" s="711"/>
      <c r="C64" s="711"/>
      <c r="D64" s="711"/>
      <c r="E64" s="711"/>
      <c r="F64" s="711"/>
      <c r="G64" s="711"/>
      <c r="H64" s="711"/>
      <c r="I64" s="712"/>
      <c r="J64" s="708"/>
    </row>
    <row r="65" spans="1:10" ht="39" customHeight="1">
      <c r="A65" s="710" t="s">
        <v>809</v>
      </c>
      <c r="B65" s="711"/>
      <c r="C65" s="711"/>
      <c r="D65" s="711"/>
      <c r="E65" s="711"/>
      <c r="F65" s="711"/>
      <c r="G65" s="711"/>
      <c r="H65" s="711"/>
      <c r="I65" s="712"/>
      <c r="J65" s="709"/>
    </row>
    <row r="66" spans="1:10" ht="16.5" customHeight="1" thickBot="1">
      <c r="A66" s="521" t="s">
        <v>87</v>
      </c>
      <c r="B66" s="713"/>
      <c r="C66" s="713"/>
      <c r="D66" s="713"/>
      <c r="E66" s="713"/>
      <c r="F66" s="713"/>
      <c r="G66" s="713"/>
      <c r="H66" s="713"/>
      <c r="I66" s="713"/>
      <c r="J66" s="709"/>
    </row>
    <row r="67" spans="1:10" ht="27.75" customHeight="1" thickTop="1" thickBot="1">
      <c r="A67" s="546" t="s">
        <v>88</v>
      </c>
      <c r="B67" s="547"/>
      <c r="C67" s="547"/>
      <c r="D67" s="547"/>
      <c r="E67" s="547"/>
      <c r="F67" s="547"/>
      <c r="G67" s="547"/>
      <c r="H67" s="547"/>
      <c r="I67" s="548"/>
      <c r="J67" s="103" t="s">
        <v>15</v>
      </c>
    </row>
    <row r="68" spans="1:10" ht="26.25" customHeight="1" thickTop="1">
      <c r="A68" s="710" t="s">
        <v>89</v>
      </c>
      <c r="B68" s="711"/>
      <c r="C68" s="711"/>
      <c r="D68" s="711"/>
      <c r="E68" s="711"/>
      <c r="F68" s="711"/>
      <c r="G68" s="711"/>
      <c r="H68" s="711"/>
      <c r="I68" s="712"/>
      <c r="J68" s="708"/>
    </row>
    <row r="69" spans="1:10" ht="16.5" customHeight="1" thickBot="1">
      <c r="A69" s="521" t="s">
        <v>1358</v>
      </c>
      <c r="B69" s="713"/>
      <c r="C69" s="713"/>
      <c r="D69" s="713"/>
      <c r="E69" s="713"/>
      <c r="F69" s="713"/>
      <c r="G69" s="713"/>
      <c r="H69" s="713"/>
      <c r="I69" s="713"/>
      <c r="J69" s="709"/>
    </row>
    <row r="70" spans="1:10" ht="45" customHeight="1" thickTop="1" thickBot="1">
      <c r="A70" s="714" t="s">
        <v>1647</v>
      </c>
      <c r="B70" s="715"/>
      <c r="C70" s="715"/>
      <c r="D70" s="715"/>
      <c r="E70" s="715"/>
      <c r="F70" s="715"/>
      <c r="G70" s="715"/>
      <c r="H70" s="715"/>
      <c r="I70" s="716"/>
      <c r="J70" s="103" t="s">
        <v>15</v>
      </c>
    </row>
    <row r="71" spans="1:10" ht="26.25" customHeight="1" thickTop="1">
      <c r="A71" s="717" t="s">
        <v>1526</v>
      </c>
      <c r="B71" s="718"/>
      <c r="C71" s="718"/>
      <c r="D71" s="718"/>
      <c r="E71" s="718"/>
      <c r="F71" s="718"/>
      <c r="G71" s="718"/>
      <c r="H71" s="718"/>
      <c r="I71" s="719"/>
      <c r="J71" s="708"/>
    </row>
    <row r="72" spans="1:10" ht="30" customHeight="1" thickBot="1">
      <c r="A72" s="720" t="s">
        <v>1558</v>
      </c>
      <c r="B72" s="721"/>
      <c r="C72" s="721"/>
      <c r="D72" s="721"/>
      <c r="E72" s="721"/>
      <c r="F72" s="721"/>
      <c r="G72" s="721"/>
      <c r="H72" s="721"/>
      <c r="I72" s="722"/>
      <c r="J72" s="709"/>
    </row>
    <row r="73" spans="1:10" ht="17.25" customHeight="1" thickTop="1" thickBot="1">
      <c r="A73" s="109" t="s">
        <v>16</v>
      </c>
      <c r="B73" s="784"/>
      <c r="C73" s="784"/>
      <c r="D73" s="784"/>
      <c r="E73" s="784"/>
      <c r="F73" s="796"/>
      <c r="G73" s="487" t="s">
        <v>17</v>
      </c>
      <c r="H73" s="488"/>
      <c r="I73" s="487" t="s">
        <v>18</v>
      </c>
      <c r="J73" s="488"/>
    </row>
    <row r="74" spans="1:10" ht="17.25" customHeight="1" thickTop="1" thickBot="1">
      <c r="A74" s="797" t="s">
        <v>14</v>
      </c>
      <c r="B74" s="798"/>
      <c r="C74" s="798"/>
      <c r="D74" s="798"/>
      <c r="E74" s="798"/>
      <c r="F74" s="799"/>
      <c r="G74" s="489">
        <f>COUNTIF(J12:J72, "Y")</f>
        <v>0</v>
      </c>
      <c r="H74" s="490"/>
      <c r="I74" s="489">
        <f>COUNTIF(J12:J72, "N")</f>
        <v>0</v>
      </c>
      <c r="J74" s="490"/>
    </row>
    <row r="75" spans="1:10" ht="16.5" thickTop="1" thickBot="1">
      <c r="A75" s="571" t="s">
        <v>90</v>
      </c>
      <c r="B75" s="572"/>
      <c r="C75" s="572"/>
      <c r="D75" s="572"/>
      <c r="E75" s="572"/>
      <c r="F75" s="572"/>
      <c r="G75" s="572"/>
      <c r="H75" s="572"/>
      <c r="I75" s="572"/>
      <c r="J75" s="573"/>
    </row>
    <row r="76" spans="1:10" ht="15" customHeight="1" thickTop="1" thickBot="1">
      <c r="A76" s="809" t="s">
        <v>1443</v>
      </c>
      <c r="B76" s="800"/>
      <c r="C76" s="800"/>
      <c r="D76" s="800"/>
      <c r="E76" s="801"/>
      <c r="F76" s="441" t="s">
        <v>56</v>
      </c>
      <c r="G76" s="441" t="s">
        <v>57</v>
      </c>
      <c r="H76" s="441" t="s">
        <v>58</v>
      </c>
      <c r="I76" s="441" t="s">
        <v>59</v>
      </c>
      <c r="J76" s="441" t="s">
        <v>60</v>
      </c>
    </row>
    <row r="77" spans="1:10" ht="15" customHeight="1" thickTop="1" thickBot="1">
      <c r="A77" s="810"/>
      <c r="B77" s="802"/>
      <c r="C77" s="802"/>
      <c r="D77" s="802"/>
      <c r="E77" s="803"/>
      <c r="F77" s="318" t="str">
        <f>'Unlic. Empl. Reqs. (Print)'!N20</f>
        <v/>
      </c>
      <c r="G77" s="318" t="str">
        <f>'Unlic. Empl. Reqs. (Print)'!N21</f>
        <v/>
      </c>
      <c r="H77" s="318" t="str">
        <f>'Unlic. Empl. Reqs. (Print)'!N22</f>
        <v/>
      </c>
      <c r="I77" s="318" t="str">
        <f>'Unlic. Empl. Reqs. (Print)'!N23</f>
        <v/>
      </c>
      <c r="J77" s="318" t="str">
        <f>'Unlic. Empl. Reqs. (Print)'!N24</f>
        <v/>
      </c>
    </row>
    <row r="78" spans="1:10" ht="15" customHeight="1" thickTop="1" thickBot="1">
      <c r="A78" s="810"/>
      <c r="B78" s="802"/>
      <c r="C78" s="802"/>
      <c r="D78" s="802"/>
      <c r="E78" s="803"/>
      <c r="F78" s="441" t="s">
        <v>61</v>
      </c>
      <c r="G78" s="441" t="s">
        <v>62</v>
      </c>
      <c r="H78" s="441" t="s">
        <v>63</v>
      </c>
      <c r="I78" s="441" t="s">
        <v>64</v>
      </c>
      <c r="J78" s="441" t="s">
        <v>91</v>
      </c>
    </row>
    <row r="79" spans="1:10" ht="15" customHeight="1" thickTop="1" thickBot="1">
      <c r="A79" s="810"/>
      <c r="B79" s="802"/>
      <c r="C79" s="802"/>
      <c r="D79" s="802"/>
      <c r="E79" s="803"/>
      <c r="F79" s="318" t="str">
        <f>'Unlic. Empl. Reqs. (Print)'!N25</f>
        <v/>
      </c>
      <c r="G79" s="318" t="str">
        <f>'Unlic. Empl. Reqs. (Print)'!N26</f>
        <v/>
      </c>
      <c r="H79" s="318" t="str">
        <f>'Unlic. Empl. Reqs. (Print)'!N27</f>
        <v/>
      </c>
      <c r="I79" s="318" t="str">
        <f>'Unlic. Empl. Reqs. (Print)'!N28</f>
        <v/>
      </c>
      <c r="J79" s="318" t="str">
        <f>'Unlic. Empl. Reqs. (Print)'!N29</f>
        <v/>
      </c>
    </row>
    <row r="80" spans="1:10" ht="15" customHeight="1" thickTop="1" thickBot="1">
      <c r="A80" s="810"/>
      <c r="B80" s="802"/>
      <c r="C80" s="802"/>
      <c r="D80" s="802"/>
      <c r="E80" s="803"/>
      <c r="F80" s="441" t="s">
        <v>92</v>
      </c>
      <c r="G80" s="441" t="s">
        <v>93</v>
      </c>
      <c r="H80" s="441" t="s">
        <v>94</v>
      </c>
      <c r="I80" s="441" t="s">
        <v>111</v>
      </c>
      <c r="J80" s="441" t="s">
        <v>95</v>
      </c>
    </row>
    <row r="81" spans="1:10" ht="15" customHeight="1" thickTop="1" thickBot="1">
      <c r="A81" s="805" t="s">
        <v>1559</v>
      </c>
      <c r="B81" s="805"/>
      <c r="C81" s="805"/>
      <c r="D81" s="805"/>
      <c r="E81" s="806"/>
      <c r="F81" s="318" t="str">
        <f>'Unlic. Empl. Reqs. (Print)'!N30</f>
        <v/>
      </c>
      <c r="G81" s="318" t="str">
        <f>'Unlic. Empl. Reqs. (Print)'!N31</f>
        <v/>
      </c>
      <c r="H81" s="318" t="str">
        <f>'Unlic. Empl. Reqs. (Print)'!N32</f>
        <v/>
      </c>
      <c r="I81" s="318" t="str">
        <f>'Unlic. Empl. Reqs. (Print)'!N33</f>
        <v/>
      </c>
      <c r="J81" s="318" t="str">
        <f>'Unlic. Empl. Reqs. (Print)'!N34</f>
        <v/>
      </c>
    </row>
    <row r="82" spans="1:10" ht="15" customHeight="1" thickTop="1" thickBot="1">
      <c r="A82" s="805"/>
      <c r="B82" s="805"/>
      <c r="C82" s="805"/>
      <c r="D82" s="805"/>
      <c r="E82" s="806"/>
      <c r="F82" s="441" t="s">
        <v>96</v>
      </c>
      <c r="G82" s="441" t="s">
        <v>97</v>
      </c>
      <c r="H82" s="441" t="s">
        <v>98</v>
      </c>
      <c r="I82" s="441" t="s">
        <v>99</v>
      </c>
      <c r="J82" s="441" t="s">
        <v>100</v>
      </c>
    </row>
    <row r="83" spans="1:10" ht="15" customHeight="1" thickTop="1" thickBot="1">
      <c r="A83" s="805"/>
      <c r="B83" s="805"/>
      <c r="C83" s="805"/>
      <c r="D83" s="805"/>
      <c r="E83" s="806"/>
      <c r="F83" s="318" t="str">
        <f>'Unlic. Empl. Reqs. (Print)'!N35</f>
        <v/>
      </c>
      <c r="G83" s="318" t="str">
        <f>'Unlic. Empl. Reqs. (Print)'!N36</f>
        <v/>
      </c>
      <c r="H83" s="318" t="str">
        <f>'Unlic. Empl. Reqs. (Print)'!N37</f>
        <v/>
      </c>
      <c r="I83" s="318" t="str">
        <f>'Unlic. Empl. Reqs. (Print)'!N38</f>
        <v/>
      </c>
      <c r="J83" s="318" t="str">
        <f>'Unlic. Empl. Reqs. (Print)'!N39</f>
        <v/>
      </c>
    </row>
    <row r="84" spans="1:10" ht="15" customHeight="1" thickTop="1" thickBot="1">
      <c r="A84" s="805"/>
      <c r="B84" s="805"/>
      <c r="C84" s="805"/>
      <c r="D84" s="805"/>
      <c r="E84" s="806"/>
      <c r="F84" s="441" t="s">
        <v>101</v>
      </c>
      <c r="G84" s="441" t="s">
        <v>102</v>
      </c>
      <c r="H84" s="441" t="s">
        <v>103</v>
      </c>
      <c r="I84" s="441" t="s">
        <v>104</v>
      </c>
      <c r="J84" s="441" t="s">
        <v>110</v>
      </c>
    </row>
    <row r="85" spans="1:10" ht="15" customHeight="1" thickTop="1" thickBot="1">
      <c r="A85" s="805"/>
      <c r="B85" s="805"/>
      <c r="C85" s="805"/>
      <c r="D85" s="805"/>
      <c r="E85" s="806"/>
      <c r="F85" s="318" t="str">
        <f>'Unlic. Empl. Reqs. (Print)'!N40</f>
        <v/>
      </c>
      <c r="G85" s="318" t="str">
        <f>'Unlic. Empl. Reqs. (Print)'!N41</f>
        <v/>
      </c>
      <c r="H85" s="318" t="str">
        <f>'Unlic. Empl. Reqs. (Print)'!N42</f>
        <v/>
      </c>
      <c r="I85" s="318" t="str">
        <f>'Unlic. Empl. Reqs. (Print)'!N43</f>
        <v/>
      </c>
      <c r="J85" s="318" t="str">
        <f>'Unlic. Empl. Reqs. (Print)'!N44</f>
        <v/>
      </c>
    </row>
    <row r="86" spans="1:10" ht="15" customHeight="1" thickTop="1" thickBot="1">
      <c r="A86" s="805"/>
      <c r="B86" s="805"/>
      <c r="C86" s="805"/>
      <c r="D86" s="805"/>
      <c r="E86" s="806"/>
      <c r="F86" s="441" t="s">
        <v>105</v>
      </c>
      <c r="G86" s="441" t="s">
        <v>106</v>
      </c>
      <c r="H86" s="441" t="s">
        <v>107</v>
      </c>
      <c r="I86" s="441" t="s">
        <v>108</v>
      </c>
      <c r="J86" s="441" t="s">
        <v>109</v>
      </c>
    </row>
    <row r="87" spans="1:10" ht="15" customHeight="1" thickTop="1" thickBot="1">
      <c r="A87" s="807"/>
      <c r="B87" s="807"/>
      <c r="C87" s="807"/>
      <c r="D87" s="807"/>
      <c r="E87" s="808"/>
      <c r="F87" s="318" t="str">
        <f>'Unlic. Empl. Reqs. (Print)'!N45</f>
        <v/>
      </c>
      <c r="G87" s="318" t="str">
        <f>'Unlic. Empl. Reqs. (Print)'!N46</f>
        <v/>
      </c>
      <c r="H87" s="318" t="str">
        <f>'Unlic. Empl. Reqs. (Print)'!N47</f>
        <v/>
      </c>
      <c r="I87" s="318" t="str">
        <f>'Unlic. Empl. Reqs. (Print)'!N48</f>
        <v/>
      </c>
      <c r="J87" s="318" t="str">
        <f>'Unlic. Empl. Reqs. (Print)'!N49</f>
        <v/>
      </c>
    </row>
    <row r="88" spans="1:10" ht="15" customHeight="1" thickTop="1" thickBot="1">
      <c r="A88" s="491" t="s">
        <v>21</v>
      </c>
      <c r="B88" s="564"/>
      <c r="C88" s="564"/>
      <c r="D88" s="564"/>
      <c r="E88" s="564"/>
      <c r="F88" s="565"/>
      <c r="G88" s="487" t="s">
        <v>19</v>
      </c>
      <c r="H88" s="488"/>
      <c r="I88" s="487" t="s">
        <v>20</v>
      </c>
      <c r="J88" s="488"/>
    </row>
    <row r="89" spans="1:10" ht="15" customHeight="1" thickTop="1" thickBot="1">
      <c r="A89" s="492"/>
      <c r="B89" s="566"/>
      <c r="C89" s="566"/>
      <c r="D89" s="566"/>
      <c r="E89" s="566"/>
      <c r="F89" s="567"/>
      <c r="G89" s="489">
        <f>COUNTIF(F77:J87, "Y")</f>
        <v>0</v>
      </c>
      <c r="H89" s="490"/>
      <c r="I89" s="489">
        <f>COUNTIF(F77:J87, "N")</f>
        <v>0</v>
      </c>
      <c r="J89" s="490"/>
    </row>
    <row r="90" spans="1:10" ht="15" customHeight="1" thickTop="1" thickBot="1">
      <c r="A90" s="800" t="s">
        <v>1527</v>
      </c>
      <c r="B90" s="800"/>
      <c r="C90" s="800"/>
      <c r="D90" s="800"/>
      <c r="E90" s="801"/>
      <c r="F90" s="103" t="s">
        <v>56</v>
      </c>
      <c r="G90" s="103" t="s">
        <v>57</v>
      </c>
      <c r="H90" s="103" t="s">
        <v>58</v>
      </c>
      <c r="I90" s="103" t="s">
        <v>59</v>
      </c>
      <c r="J90" s="103" t="s">
        <v>60</v>
      </c>
    </row>
    <row r="91" spans="1:10" ht="15" customHeight="1" thickTop="1" thickBot="1">
      <c r="A91" s="802"/>
      <c r="B91" s="802"/>
      <c r="C91" s="802"/>
      <c r="D91" s="802"/>
      <c r="E91" s="803"/>
      <c r="F91" s="399" t="str">
        <f>IF('Unlic. Empl. Reqs. (Print)'!O20=0,"",'Unlic. Empl. Reqs. (Print)'!O20)</f>
        <v/>
      </c>
      <c r="G91" s="399" t="str">
        <f>IF('Unlic. Empl. Reqs. (Print)'!O21=0,"",'Unlic. Empl. Reqs. (Print)'!O21)</f>
        <v/>
      </c>
      <c r="H91" s="399" t="str">
        <f>IF('Unlic. Empl. Reqs. (Print)'!O22=0,"",'Unlic. Empl. Reqs. (Print)'!O22)</f>
        <v/>
      </c>
      <c r="I91" s="399" t="str">
        <f>IF('Unlic. Empl. Reqs. (Print)'!O23=0,"",'Unlic. Empl. Reqs. (Print)'!O23)</f>
        <v/>
      </c>
      <c r="J91" s="399" t="str">
        <f>IF('Unlic. Empl. Reqs. (Print)'!O24=0,"",'Unlic. Empl. Reqs. (Print)'!O24)</f>
        <v/>
      </c>
    </row>
    <row r="92" spans="1:10" ht="15" customHeight="1" thickTop="1" thickBot="1">
      <c r="A92" s="802"/>
      <c r="B92" s="802"/>
      <c r="C92" s="802"/>
      <c r="D92" s="802"/>
      <c r="E92" s="803"/>
      <c r="F92" s="103" t="s">
        <v>61</v>
      </c>
      <c r="G92" s="103" t="s">
        <v>62</v>
      </c>
      <c r="H92" s="103" t="s">
        <v>63</v>
      </c>
      <c r="I92" s="103" t="s">
        <v>64</v>
      </c>
      <c r="J92" s="103" t="s">
        <v>91</v>
      </c>
    </row>
    <row r="93" spans="1:10" ht="15" customHeight="1" thickTop="1" thickBot="1">
      <c r="A93" s="802"/>
      <c r="B93" s="802"/>
      <c r="C93" s="802"/>
      <c r="D93" s="802"/>
      <c r="E93" s="803"/>
      <c r="F93" s="399" t="str">
        <f>IF('Unlic. Empl. Reqs. (Print)'!O25=0,"",'Unlic. Empl. Reqs. (Print)'!O25)</f>
        <v/>
      </c>
      <c r="G93" s="399" t="str">
        <f>IF('Unlic. Empl. Reqs. (Print)'!O26=0,"",'Unlic. Empl. Reqs. (Print)'!O26)</f>
        <v/>
      </c>
      <c r="H93" s="399" t="str">
        <f>IF('Unlic. Empl. Reqs. (Print)'!O27=0,"",'Unlic. Empl. Reqs. (Print)'!O27)</f>
        <v/>
      </c>
      <c r="I93" s="399" t="str">
        <f>IF('Unlic. Empl. Reqs. (Print)'!O28=0,"",'Unlic. Empl. Reqs. (Print)'!O28)</f>
        <v/>
      </c>
      <c r="J93" s="399" t="str">
        <f>IF('Unlic. Empl. Reqs. (Print)'!O29=0,"",'Unlic. Empl. Reqs. (Print)'!O29)</f>
        <v/>
      </c>
    </row>
    <row r="94" spans="1:10" ht="15" customHeight="1" thickTop="1" thickBot="1">
      <c r="A94" s="802"/>
      <c r="B94" s="802"/>
      <c r="C94" s="802"/>
      <c r="D94" s="802"/>
      <c r="E94" s="803"/>
      <c r="F94" s="103" t="s">
        <v>92</v>
      </c>
      <c r="G94" s="103" t="s">
        <v>93</v>
      </c>
      <c r="H94" s="103" t="s">
        <v>94</v>
      </c>
      <c r="I94" s="103" t="s">
        <v>111</v>
      </c>
      <c r="J94" s="103" t="s">
        <v>95</v>
      </c>
    </row>
    <row r="95" spans="1:10" ht="15" customHeight="1" thickTop="1" thickBot="1">
      <c r="A95" s="802"/>
      <c r="B95" s="802"/>
      <c r="C95" s="802"/>
      <c r="D95" s="802"/>
      <c r="E95" s="803"/>
      <c r="F95" s="399" t="str">
        <f>IF('Unlic. Empl. Reqs. (Print)'!O30=0,"",'Unlic. Empl. Reqs. (Print)'!O30)</f>
        <v/>
      </c>
      <c r="G95" s="399" t="str">
        <f>IF('Unlic. Empl. Reqs. (Print)'!O31=0,"",'Unlic. Empl. Reqs. (Print)'!O31)</f>
        <v/>
      </c>
      <c r="H95" s="399" t="str">
        <f>IF('Unlic. Empl. Reqs. (Print)'!O32=0,"",'Unlic. Empl. Reqs. (Print)'!O32)</f>
        <v/>
      </c>
      <c r="I95" s="399" t="str">
        <f>IF('Unlic. Empl. Reqs. (Print)'!O33=0,"",'Unlic. Empl. Reqs. (Print)'!O33)</f>
        <v/>
      </c>
      <c r="J95" s="399" t="str">
        <f>IF('Unlic. Empl. Reqs. (Print)'!O34=0,"",'Unlic. Empl. Reqs. (Print)'!O34)</f>
        <v/>
      </c>
    </row>
    <row r="96" spans="1:10" ht="15" customHeight="1" thickTop="1" thickBot="1">
      <c r="A96" s="802"/>
      <c r="B96" s="802"/>
      <c r="C96" s="802"/>
      <c r="D96" s="802"/>
      <c r="E96" s="803"/>
      <c r="F96" s="103" t="s">
        <v>96</v>
      </c>
      <c r="G96" s="103" t="s">
        <v>97</v>
      </c>
      <c r="H96" s="103" t="s">
        <v>98</v>
      </c>
      <c r="I96" s="103" t="s">
        <v>99</v>
      </c>
      <c r="J96" s="103" t="s">
        <v>100</v>
      </c>
    </row>
    <row r="97" spans="1:10" ht="15" customHeight="1" thickTop="1" thickBot="1">
      <c r="A97" s="802"/>
      <c r="B97" s="802"/>
      <c r="C97" s="802"/>
      <c r="D97" s="802"/>
      <c r="E97" s="803"/>
      <c r="F97" s="399" t="str">
        <f>IF('Unlic. Empl. Reqs. (Print)'!O35=0,"",'Unlic. Empl. Reqs. (Print)'!O35)</f>
        <v/>
      </c>
      <c r="G97" s="399" t="str">
        <f>IF('Unlic. Empl. Reqs. (Print)'!O36=0,"",'Unlic. Empl. Reqs. (Print)'!O36)</f>
        <v/>
      </c>
      <c r="H97" s="399" t="str">
        <f>IF('Unlic. Empl. Reqs. (Print)'!O37=0,"",'Unlic. Empl. Reqs. (Print)'!O37)</f>
        <v/>
      </c>
      <c r="I97" s="399" t="str">
        <f>IF('Unlic. Empl. Reqs. (Print)'!O38=0,"",'Unlic. Empl. Reqs. (Print)'!O38)</f>
        <v/>
      </c>
      <c r="J97" s="399" t="str">
        <f>IF('Unlic. Empl. Reqs. (Print)'!O39=0,"",'Unlic. Empl. Reqs. (Print)'!O39)</f>
        <v/>
      </c>
    </row>
    <row r="98" spans="1:10" ht="15" customHeight="1" thickTop="1" thickBot="1">
      <c r="A98" s="804" t="s">
        <v>1558</v>
      </c>
      <c r="B98" s="805"/>
      <c r="C98" s="805"/>
      <c r="D98" s="805"/>
      <c r="E98" s="806"/>
      <c r="F98" s="103" t="s">
        <v>101</v>
      </c>
      <c r="G98" s="103" t="s">
        <v>102</v>
      </c>
      <c r="H98" s="103" t="s">
        <v>103</v>
      </c>
      <c r="I98" s="103" t="s">
        <v>104</v>
      </c>
      <c r="J98" s="103" t="s">
        <v>110</v>
      </c>
    </row>
    <row r="99" spans="1:10" ht="15" customHeight="1" thickTop="1" thickBot="1">
      <c r="A99" s="805"/>
      <c r="B99" s="805"/>
      <c r="C99" s="805"/>
      <c r="D99" s="805"/>
      <c r="E99" s="806"/>
      <c r="F99" s="399" t="str">
        <f>IF('Unlic. Empl. Reqs. (Print)'!O40=0,"",'Unlic. Empl. Reqs. (Print)'!O40)</f>
        <v/>
      </c>
      <c r="G99" s="399" t="str">
        <f>IF('Unlic. Empl. Reqs. (Print)'!O41=0,"",'Unlic. Empl. Reqs. (Print)'!O41)</f>
        <v/>
      </c>
      <c r="H99" s="399" t="str">
        <f>IF('Unlic. Empl. Reqs. (Print)'!O42=0,"",'Unlic. Empl. Reqs. (Print)'!O42)</f>
        <v/>
      </c>
      <c r="I99" s="399" t="str">
        <f>IF('Unlic. Empl. Reqs. (Print)'!O43=0,"",'Unlic. Empl. Reqs. (Print)'!O43)</f>
        <v/>
      </c>
      <c r="J99" s="399" t="str">
        <f>IF('Unlic. Empl. Reqs. (Print)'!O44=0,"",'Unlic. Empl. Reqs. (Print)'!O44)</f>
        <v/>
      </c>
    </row>
    <row r="100" spans="1:10" ht="15" customHeight="1" thickTop="1" thickBot="1">
      <c r="A100" s="805"/>
      <c r="B100" s="805"/>
      <c r="C100" s="805"/>
      <c r="D100" s="805"/>
      <c r="E100" s="806"/>
      <c r="F100" s="103" t="s">
        <v>105</v>
      </c>
      <c r="G100" s="103" t="s">
        <v>106</v>
      </c>
      <c r="H100" s="103" t="s">
        <v>107</v>
      </c>
      <c r="I100" s="103" t="s">
        <v>108</v>
      </c>
      <c r="J100" s="103" t="s">
        <v>109</v>
      </c>
    </row>
    <row r="101" spans="1:10" ht="15" customHeight="1" thickTop="1" thickBot="1">
      <c r="A101" s="807"/>
      <c r="B101" s="807"/>
      <c r="C101" s="807"/>
      <c r="D101" s="807"/>
      <c r="E101" s="808"/>
      <c r="F101" s="399" t="str">
        <f>IF('Unlic. Empl. Reqs. (Print)'!O45=0,"",'Unlic. Empl. Reqs. (Print)'!O45)</f>
        <v/>
      </c>
      <c r="G101" s="399" t="str">
        <f>IF('Unlic. Empl. Reqs. (Print)'!O46=0,"",'Unlic. Empl. Reqs. (Print)'!O46)</f>
        <v/>
      </c>
      <c r="H101" s="399" t="str">
        <f>IF('Unlic. Empl. Reqs. (Print)'!O47=0,"",'Unlic. Empl. Reqs. (Print)'!O47)</f>
        <v/>
      </c>
      <c r="I101" s="399" t="str">
        <f>IF('Unlic. Empl. Reqs. (Print)'!O48=0,"",'Unlic. Empl. Reqs. (Print)'!O48)</f>
        <v/>
      </c>
      <c r="J101" s="399" t="str">
        <f>IF('Unlic. Empl. Reqs. (Print)'!O49=0,"",'Unlic. Empl. Reqs. (Print)'!O49)</f>
        <v/>
      </c>
    </row>
    <row r="102" spans="1:10" ht="15" customHeight="1" thickTop="1" thickBot="1">
      <c r="A102" s="491" t="s">
        <v>21</v>
      </c>
      <c r="B102" s="564"/>
      <c r="C102" s="564"/>
      <c r="D102" s="564"/>
      <c r="E102" s="564"/>
      <c r="F102" s="565"/>
      <c r="G102" s="487" t="s">
        <v>19</v>
      </c>
      <c r="H102" s="488"/>
      <c r="I102" s="487" t="s">
        <v>20</v>
      </c>
      <c r="J102" s="488"/>
    </row>
    <row r="103" spans="1:10" ht="15" customHeight="1" thickTop="1" thickBot="1">
      <c r="A103" s="492"/>
      <c r="B103" s="566"/>
      <c r="C103" s="566"/>
      <c r="D103" s="566"/>
      <c r="E103" s="566"/>
      <c r="F103" s="567"/>
      <c r="G103" s="489">
        <f>COUNTIF(F91:J101, "Y")</f>
        <v>0</v>
      </c>
      <c r="H103" s="490"/>
      <c r="I103" s="489">
        <f>COUNTIF(F91:J101, "N")</f>
        <v>0</v>
      </c>
      <c r="J103" s="490"/>
    </row>
    <row r="104" spans="1:10" ht="15" customHeight="1" thickTop="1" thickBot="1">
      <c r="A104" s="723" t="s">
        <v>90</v>
      </c>
      <c r="B104" s="724"/>
      <c r="C104" s="724"/>
      <c r="D104" s="724"/>
      <c r="E104" s="724"/>
      <c r="F104" s="725"/>
      <c r="G104" s="489" t="s">
        <v>17</v>
      </c>
      <c r="H104" s="490"/>
      <c r="I104" s="489" t="s">
        <v>18</v>
      </c>
      <c r="J104" s="490"/>
    </row>
    <row r="105" spans="1:10" ht="15" customHeight="1" thickTop="1">
      <c r="A105" s="726"/>
      <c r="B105" s="727"/>
      <c r="C105" s="727"/>
      <c r="D105" s="727"/>
      <c r="E105" s="727"/>
      <c r="F105" s="728"/>
      <c r="G105" s="542">
        <f>COUNTIF(F77:J101, "Y")</f>
        <v>0</v>
      </c>
      <c r="H105" s="543"/>
      <c r="I105" s="542">
        <f>COUNTIF(F77:J101, "N")</f>
        <v>0</v>
      </c>
      <c r="J105" s="543"/>
    </row>
    <row r="106" spans="1:10" ht="15" customHeight="1" thickBot="1">
      <c r="A106" s="729"/>
      <c r="B106" s="730"/>
      <c r="C106" s="730"/>
      <c r="D106" s="730"/>
      <c r="E106" s="730"/>
      <c r="F106" s="731"/>
      <c r="G106" s="544"/>
      <c r="H106" s="545"/>
      <c r="I106" s="544"/>
      <c r="J106" s="545"/>
    </row>
    <row r="107" spans="1:10" ht="16" thickTop="1">
      <c r="A107" s="571" t="s">
        <v>112</v>
      </c>
      <c r="B107" s="572"/>
      <c r="C107" s="572"/>
      <c r="D107" s="572"/>
      <c r="E107" s="572"/>
      <c r="F107" s="572"/>
      <c r="G107" s="572"/>
      <c r="H107" s="572"/>
      <c r="I107" s="572"/>
      <c r="J107" s="573"/>
    </row>
    <row r="108" spans="1:10" ht="16" thickBot="1">
      <c r="A108" s="555" t="s">
        <v>113</v>
      </c>
      <c r="B108" s="556"/>
      <c r="C108" s="556"/>
      <c r="D108" s="556"/>
      <c r="E108" s="556"/>
      <c r="F108" s="556"/>
      <c r="G108" s="556"/>
      <c r="H108" s="556"/>
      <c r="I108" s="556"/>
      <c r="J108" s="557"/>
    </row>
    <row r="109" spans="1:10" ht="16.5" customHeight="1" thickTop="1" thickBot="1">
      <c r="A109" s="493" t="s">
        <v>114</v>
      </c>
      <c r="B109" s="494"/>
      <c r="C109" s="494"/>
      <c r="D109" s="494"/>
      <c r="E109" s="495"/>
      <c r="F109" s="106">
        <v>1</v>
      </c>
      <c r="G109" s="106">
        <v>2</v>
      </c>
      <c r="H109" s="106">
        <v>3</v>
      </c>
      <c r="I109" s="106">
        <v>4</v>
      </c>
      <c r="J109" s="106">
        <v>5</v>
      </c>
    </row>
    <row r="110" spans="1:10" ht="16.5" thickTop="1" thickBot="1">
      <c r="A110" s="496"/>
      <c r="B110" s="497"/>
      <c r="C110" s="497"/>
      <c r="D110" s="497"/>
      <c r="E110" s="498"/>
      <c r="F110" s="3" t="str">
        <f ca="1">IF('IWP01'!ContractNumber = 0, "", IF('IWP01'!Std3dot1 = "", "E", 'IWP01'!Std3dot1))</f>
        <v/>
      </c>
      <c r="G110" s="3" t="str">
        <f ca="1">IF('IWP02'!ContractNumber = 0, "", IF('IWP02'!Std3dot1 = "", "E", 'IWP02'!Std3dot1))</f>
        <v/>
      </c>
      <c r="H110" s="3" t="str">
        <f ca="1">IF('IWP03'!ContractNumber = 0, "", IF('IWP03'!Std3dot1 = "", "E", 'IWP03'!Std3dot1))</f>
        <v/>
      </c>
      <c r="I110" s="3" t="str">
        <f ca="1">IF('IWP04'!ContractNumber = 0, "", IF('IWP04'!Std3dot1 = "", "E", 'IWP04'!Std3dot1))</f>
        <v/>
      </c>
      <c r="J110" s="3" t="str">
        <f ca="1">IF('IWP05'!ContractNumber = 0, "", IF('IWP05'!Std3dot1 = "", "E", 'IWP05'!Std3dot1))</f>
        <v/>
      </c>
    </row>
    <row r="111" spans="1:10" ht="16.5" thickTop="1" thickBot="1">
      <c r="A111" s="496"/>
      <c r="B111" s="497"/>
      <c r="C111" s="497"/>
      <c r="D111" s="497"/>
      <c r="E111" s="498"/>
      <c r="F111" s="106">
        <v>6</v>
      </c>
      <c r="G111" s="106">
        <v>7</v>
      </c>
      <c r="H111" s="106">
        <v>8</v>
      </c>
      <c r="I111" s="106">
        <v>9</v>
      </c>
      <c r="J111" s="106">
        <v>10</v>
      </c>
    </row>
    <row r="112" spans="1:10" ht="16.5" customHeight="1" thickTop="1" thickBot="1">
      <c r="A112" s="496"/>
      <c r="B112" s="497"/>
      <c r="C112" s="497"/>
      <c r="D112" s="497"/>
      <c r="E112" s="498"/>
      <c r="F112" s="3" t="str">
        <f ca="1">IF('IWP06'!ContractNumber = 0, "", IF('IWP06'!Std3dot1 = "", "E", 'IWP06'!Std3dot1))</f>
        <v/>
      </c>
      <c r="G112" s="3" t="str">
        <f ca="1">IF('IWP07'!ContractNumber = 0, "", IF('IWP07'!Std3dot1 = "", "E", 'IWP07'!Std3dot1))</f>
        <v/>
      </c>
      <c r="H112" s="3" t="str">
        <f ca="1">IF('IWP08'!ContractNumber = 0, "", IF('IWP08'!Std3dot1 = "", "E", 'IWP08'!Std3dot1))</f>
        <v/>
      </c>
      <c r="I112" s="3" t="str">
        <f ca="1">IF('IWP09'!ContractNumber = 0, "", IF('IWP09'!Std3dot1 = "", "E", 'IWP09'!Std3dot1))</f>
        <v/>
      </c>
      <c r="J112" s="3" t="str">
        <f ca="1">IF('IWP10'!ContractNumber = 0, "", IF('IWP10'!Std3dot1 = "", "E", 'IWP10'!Std3dot1))</f>
        <v/>
      </c>
    </row>
    <row r="113" spans="1:10" ht="17.25" customHeight="1" thickTop="1" thickBot="1">
      <c r="A113" s="558" t="s">
        <v>1359</v>
      </c>
      <c r="B113" s="559"/>
      <c r="C113" s="559"/>
      <c r="D113" s="559"/>
      <c r="E113" s="560"/>
      <c r="F113" s="106">
        <v>11</v>
      </c>
      <c r="G113" s="106">
        <v>12</v>
      </c>
      <c r="H113" s="106">
        <v>13</v>
      </c>
      <c r="I113" s="106">
        <v>14</v>
      </c>
      <c r="J113" s="106">
        <v>15</v>
      </c>
    </row>
    <row r="114" spans="1:10" ht="17.25" customHeight="1" thickTop="1" thickBot="1">
      <c r="A114" s="558"/>
      <c r="B114" s="559"/>
      <c r="C114" s="559"/>
      <c r="D114" s="559"/>
      <c r="E114" s="560"/>
      <c r="F114" s="3" t="str">
        <f ca="1">IF('IWP11'!ContractNumber = 0, "", IF('IWP11'!Std3dot1 = "", "E", 'IWP11'!Std3dot1))</f>
        <v/>
      </c>
      <c r="G114" s="3" t="str">
        <f ca="1">IF('IWP12'!ContractNumber = 0, "", IF('IWP12'!Std3dot1 = "", "E", 'IWP12'!Std3dot1))</f>
        <v/>
      </c>
      <c r="H114" s="3" t="str">
        <f ca="1">IF('IWP13'!ContractNumber = 0, "", IF('IWP13'!Std3dot1 = "", "E", 'IWP13'!Std3dot1))</f>
        <v/>
      </c>
      <c r="I114" s="3" t="str">
        <f ca="1">IF('IWP14'!ContractNumber = 0, "", IF('IWP14'!Std3dot1 = "", "E", 'IWP14'!Std3dot1))</f>
        <v/>
      </c>
      <c r="J114" s="3" t="str">
        <f ca="1">IF('IWP15'!ContractNumber = 0, "", IF('IWP15'!Std3dot1 = "", "E", 'IWP15'!Std3dot1))</f>
        <v/>
      </c>
    </row>
    <row r="115" spans="1:10" ht="17.25" customHeight="1" thickTop="1" thickBot="1">
      <c r="A115" s="558"/>
      <c r="B115" s="559"/>
      <c r="C115" s="559"/>
      <c r="D115" s="559"/>
      <c r="E115" s="560"/>
      <c r="F115" s="106">
        <v>16</v>
      </c>
      <c r="G115" s="106">
        <v>17</v>
      </c>
      <c r="H115" s="106">
        <v>18</v>
      </c>
      <c r="I115" s="106">
        <v>19</v>
      </c>
      <c r="J115" s="106">
        <v>20</v>
      </c>
    </row>
    <row r="116" spans="1:10" ht="17.25" customHeight="1" thickTop="1" thickBot="1">
      <c r="A116" s="558"/>
      <c r="B116" s="559"/>
      <c r="C116" s="559"/>
      <c r="D116" s="559"/>
      <c r="E116" s="560"/>
      <c r="F116" s="3" t="str">
        <f ca="1">IF('IWP16'!ContractNumber = 0, "", IF('IWP16'!Std3dot1 = "", "E", 'IWP16'!Std3dot1))</f>
        <v/>
      </c>
      <c r="G116" s="3" t="str">
        <f ca="1">IF('IWP17'!ContractNumber = 0, "", IF('IWP17'!Std3dot1 = "", "E", 'IWP17'!Std3dot1))</f>
        <v/>
      </c>
      <c r="H116" s="3" t="str">
        <f ca="1">IF('IWP18'!ContractNumber = 0, "", IF('IWP18'!Std3dot1 = "", "E", 'IWP18'!Std3dot1))</f>
        <v/>
      </c>
      <c r="I116" s="3" t="str">
        <f ca="1">IF('IWP19'!ContractNumber = 0, "", IF('IWP19'!Std3dot1 = "", "E", 'IWP19'!Std3dot1))</f>
        <v/>
      </c>
      <c r="J116" s="3" t="str">
        <f ca="1">IF('IWP20'!ContractNumber = 0, "", IF('IWP20'!Std3dot1 = "", "E", 'IWP20'!Std3dot1))</f>
        <v/>
      </c>
    </row>
    <row r="117" spans="1:10" ht="17.25" customHeight="1" thickTop="1" thickBot="1">
      <c r="A117" s="558"/>
      <c r="B117" s="559"/>
      <c r="C117" s="559"/>
      <c r="D117" s="559"/>
      <c r="E117" s="560"/>
      <c r="F117" s="106">
        <v>21</v>
      </c>
      <c r="G117" s="106">
        <v>22</v>
      </c>
      <c r="H117" s="106">
        <v>23</v>
      </c>
      <c r="I117" s="106">
        <v>24</v>
      </c>
      <c r="J117" s="106">
        <v>25</v>
      </c>
    </row>
    <row r="118" spans="1:10" ht="17.25" customHeight="1" thickTop="1" thickBot="1">
      <c r="A118" s="558"/>
      <c r="B118" s="559"/>
      <c r="C118" s="559"/>
      <c r="D118" s="559"/>
      <c r="E118" s="560"/>
      <c r="F118" s="3" t="str">
        <f ca="1">IF('IWP21'!ContractNumber = 0, "", IF('IWP21'!Std3dot1 = "", "E", 'IWP21'!Std3dot1))</f>
        <v/>
      </c>
      <c r="G118" s="3" t="str">
        <f ca="1">IF('IWP22'!ContractNumber = 0, "", IF('IWP22'!Std3dot1 = "", "E", 'IWP22'!Std3dot1))</f>
        <v/>
      </c>
      <c r="H118" s="3" t="str">
        <f ca="1">IF('IWP23'!ContractNumber = 0, "", IF('IWP23'!Std3dot1 = "", "E", 'IWP23'!Std3dot1))</f>
        <v/>
      </c>
      <c r="I118" s="3" t="str">
        <f ca="1">IF('IWP24'!ContractNumber = 0, "", IF('IWP24'!Std3dot1 = "", "E", 'IWP24'!Std3dot1))</f>
        <v/>
      </c>
      <c r="J118" s="3" t="str">
        <f ca="1">IF('IWP25'!ContractNumber = 0, "", IF('IWP25'!Std3dot1 = "", "E", 'IWP25'!Std3dot1))</f>
        <v/>
      </c>
    </row>
    <row r="119" spans="1:10" ht="17.25" customHeight="1" thickTop="1" thickBot="1">
      <c r="A119" s="558"/>
      <c r="B119" s="559"/>
      <c r="C119" s="559"/>
      <c r="D119" s="559"/>
      <c r="E119" s="560"/>
      <c r="F119" s="106">
        <v>26</v>
      </c>
      <c r="G119" s="106">
        <v>27</v>
      </c>
      <c r="H119" s="106">
        <v>28</v>
      </c>
      <c r="I119" s="106">
        <v>29</v>
      </c>
      <c r="J119" s="106">
        <v>30</v>
      </c>
    </row>
    <row r="120" spans="1:10" ht="17.25" customHeight="1" thickTop="1" thickBot="1">
      <c r="A120" s="561"/>
      <c r="B120" s="562"/>
      <c r="C120" s="562"/>
      <c r="D120" s="562"/>
      <c r="E120" s="563"/>
      <c r="F120" s="3" t="str">
        <f ca="1">IF('IWP26'!ContractNumber = 0, "", IF('IWP26'!Std3dot1 = "", "E", 'IWP26'!Std3dot1))</f>
        <v/>
      </c>
      <c r="G120" s="3" t="str">
        <f ca="1">IF('IWP27'!ContractNumber = 0, "", IF('IWP27'!Std3dot1 = "", "E", 'IWP27'!Std3dot1))</f>
        <v/>
      </c>
      <c r="H120" s="3" t="str">
        <f ca="1">IF('IWP28'!ContractNumber = 0, "", IF('IWP28'!Std3dot1 = "", "E", 'IWP28'!Std3dot1))</f>
        <v/>
      </c>
      <c r="I120" s="3" t="str">
        <f ca="1">IF('IWP29'!ContractNumber = 0, "", IF('IWP29'!Std3dot1 = "", "E", 'IWP29'!Std3dot1))</f>
        <v/>
      </c>
      <c r="J120" s="3" t="str">
        <f ca="1">IF('IWP30'!ContractNumber = 0, "", IF('IWP30'!Std3dot1 = "", "E", 'IWP30'!Std3dot1))</f>
        <v/>
      </c>
    </row>
    <row r="121" spans="1:10" ht="17.25" customHeight="1" thickTop="1" thickBot="1">
      <c r="A121" s="491" t="s">
        <v>21</v>
      </c>
      <c r="B121" s="564"/>
      <c r="C121" s="564"/>
      <c r="D121" s="564"/>
      <c r="E121" s="564"/>
      <c r="F121" s="565"/>
      <c r="G121" s="487" t="s">
        <v>19</v>
      </c>
      <c r="H121" s="488"/>
      <c r="I121" s="487" t="s">
        <v>20</v>
      </c>
      <c r="J121" s="488"/>
    </row>
    <row r="122" spans="1:10" ht="17.25" customHeight="1" thickTop="1" thickBot="1">
      <c r="A122" s="492"/>
      <c r="B122" s="566"/>
      <c r="C122" s="566"/>
      <c r="D122" s="566"/>
      <c r="E122" s="566"/>
      <c r="F122" s="567"/>
      <c r="G122" s="489">
        <f ca="1">COUNTIF(F110:J120, "Y")</f>
        <v>0</v>
      </c>
      <c r="H122" s="490"/>
      <c r="I122" s="489">
        <f ca="1">COUNTIF(F110:J120, "N")</f>
        <v>0</v>
      </c>
      <c r="J122" s="490"/>
    </row>
    <row r="123" spans="1:10" ht="16.5" customHeight="1" thickTop="1" thickBot="1">
      <c r="A123" s="493" t="s">
        <v>115</v>
      </c>
      <c r="B123" s="494"/>
      <c r="C123" s="494"/>
      <c r="D123" s="494"/>
      <c r="E123" s="495"/>
      <c r="F123" s="106">
        <v>1</v>
      </c>
      <c r="G123" s="106">
        <v>2</v>
      </c>
      <c r="H123" s="106">
        <v>3</v>
      </c>
      <c r="I123" s="106">
        <v>4</v>
      </c>
      <c r="J123" s="106">
        <v>5</v>
      </c>
    </row>
    <row r="124" spans="1:10" ht="16.5" thickTop="1" thickBot="1">
      <c r="A124" s="496"/>
      <c r="B124" s="497"/>
      <c r="C124" s="497"/>
      <c r="D124" s="497"/>
      <c r="E124" s="498"/>
      <c r="F124" s="3" t="str">
        <f ca="1">IF('IWP01'!ContractNumber = 0, "", IF('IWP01'!Std3dot2 = "", "E", 'IWP01'!Std3dot2))</f>
        <v/>
      </c>
      <c r="G124" s="3" t="str">
        <f ca="1">IF('IWP02'!ContractNumber = 0, "", IF('IWP02'!Std3dot2 = "", "E", 'IWP02'!Std3dot2))</f>
        <v/>
      </c>
      <c r="H124" s="3" t="str">
        <f ca="1">IF('IWP03'!ContractNumber = 0, "", IF('IWP03'!Std3dot2 = "", "E", 'IWP03'!Std3dot2))</f>
        <v/>
      </c>
      <c r="I124" s="3" t="str">
        <f ca="1">IF('IWP04'!ContractNumber = 0, "", IF('IWP04'!Std3dot2 = "", "E", 'IWP04'!Std3dot2))</f>
        <v/>
      </c>
      <c r="J124" s="3" t="str">
        <f ca="1">IF('IWP05'!ContractNumber = 0, "", IF('IWP05'!Std3dot2 = "", "E", 'IWP05'!Std3dot2))</f>
        <v/>
      </c>
    </row>
    <row r="125" spans="1:10" ht="16.5" thickTop="1" thickBot="1">
      <c r="A125" s="496"/>
      <c r="B125" s="497"/>
      <c r="C125" s="497"/>
      <c r="D125" s="497"/>
      <c r="E125" s="498"/>
      <c r="F125" s="106">
        <v>6</v>
      </c>
      <c r="G125" s="106">
        <v>7</v>
      </c>
      <c r="H125" s="106">
        <v>8</v>
      </c>
      <c r="I125" s="106">
        <v>9</v>
      </c>
      <c r="J125" s="106">
        <v>10</v>
      </c>
    </row>
    <row r="126" spans="1:10" ht="16.5" customHeight="1" thickTop="1" thickBot="1">
      <c r="A126" s="496"/>
      <c r="B126" s="497"/>
      <c r="C126" s="497"/>
      <c r="D126" s="497"/>
      <c r="E126" s="498"/>
      <c r="F126" s="3" t="str">
        <f ca="1">IF('IWP06'!ContractNumber = 0, "", IF('IWP06'!Std3dot2 = "", "E", 'IWP06'!Std3dot2))</f>
        <v/>
      </c>
      <c r="G126" s="3" t="str">
        <f ca="1">IF('IWP07'!ContractNumber = 0, "", IF('IWP07'!Std3dot2 = "", "E", 'IWP07'!Std3dot2))</f>
        <v/>
      </c>
      <c r="H126" s="3" t="str">
        <f ca="1">IF('IWP08'!ContractNumber = 0, "", IF('IWP08'!Std3dot2 = "", "E", 'IWP08'!Std3dot2))</f>
        <v/>
      </c>
      <c r="I126" s="3" t="str">
        <f ca="1">IF('IWP09'!ContractNumber = 0, "", IF('IWP09'!Std3dot2 = "", "E", 'IWP09'!Std3dot2))</f>
        <v/>
      </c>
      <c r="J126" s="3" t="str">
        <f ca="1">IF('IWP10'!ContractNumber = 0, "", IF('IWP10'!Std3dot2 = "", "E", 'IWP10'!Std3dot2))</f>
        <v/>
      </c>
    </row>
    <row r="127" spans="1:10" ht="17.25" customHeight="1" thickTop="1" thickBot="1">
      <c r="A127" s="558" t="s">
        <v>1359</v>
      </c>
      <c r="B127" s="559"/>
      <c r="C127" s="559"/>
      <c r="D127" s="559"/>
      <c r="E127" s="560"/>
      <c r="F127" s="106">
        <v>11</v>
      </c>
      <c r="G127" s="106">
        <v>12</v>
      </c>
      <c r="H127" s="106">
        <v>13</v>
      </c>
      <c r="I127" s="106">
        <v>14</v>
      </c>
      <c r="J127" s="106">
        <v>15</v>
      </c>
    </row>
    <row r="128" spans="1:10" ht="17.25" customHeight="1" thickTop="1" thickBot="1">
      <c r="A128" s="558"/>
      <c r="B128" s="559"/>
      <c r="C128" s="559"/>
      <c r="D128" s="559"/>
      <c r="E128" s="560"/>
      <c r="F128" s="3" t="str">
        <f ca="1">IF('IWP11'!ContractNumber = 0, "", IF('IWP11'!Std3dot2 = "", "E", 'IWP11'!Std3dot2))</f>
        <v/>
      </c>
      <c r="G128" s="3" t="str">
        <f ca="1">IF('IWP12'!ContractNumber = 0, "", IF('IWP12'!Std3dot2 = "", "E", 'IWP12'!Std3dot2))</f>
        <v/>
      </c>
      <c r="H128" s="3" t="str">
        <f ca="1">IF('IWP13'!ContractNumber = 0, "", IF('IWP13'!Std3dot2 = "", "E", 'IWP13'!Std3dot2))</f>
        <v/>
      </c>
      <c r="I128" s="3" t="str">
        <f ca="1">IF('IWP14'!ContractNumber = 0, "", IF('IWP14'!Std3dot2 = "", "E", 'IWP14'!Std3dot2))</f>
        <v/>
      </c>
      <c r="J128" s="3" t="str">
        <f ca="1">IF('IWP15'!ContractNumber = 0, "", IF('IWP15'!Std3dot2 = "", "E", 'IWP15'!Std3dot2))</f>
        <v/>
      </c>
    </row>
    <row r="129" spans="1:10" ht="17.25" customHeight="1" thickTop="1" thickBot="1">
      <c r="A129" s="558"/>
      <c r="B129" s="559"/>
      <c r="C129" s="559"/>
      <c r="D129" s="559"/>
      <c r="E129" s="560"/>
      <c r="F129" s="106">
        <v>16</v>
      </c>
      <c r="G129" s="106">
        <v>17</v>
      </c>
      <c r="H129" s="106">
        <v>18</v>
      </c>
      <c r="I129" s="106">
        <v>19</v>
      </c>
      <c r="J129" s="106">
        <v>20</v>
      </c>
    </row>
    <row r="130" spans="1:10" ht="17.25" customHeight="1" thickTop="1" thickBot="1">
      <c r="A130" s="558"/>
      <c r="B130" s="559"/>
      <c r="C130" s="559"/>
      <c r="D130" s="559"/>
      <c r="E130" s="560"/>
      <c r="F130" s="3" t="str">
        <f ca="1">IF('IWP16'!ContractNumber = 0, "", IF('IWP16'!Std3dot2 = "", "E", 'IWP16'!Std3dot2))</f>
        <v/>
      </c>
      <c r="G130" s="3" t="str">
        <f ca="1">IF('IWP17'!ContractNumber = 0, "", IF('IWP17'!Std3dot2 = "", "E", 'IWP17'!Std3dot2))</f>
        <v/>
      </c>
      <c r="H130" s="3" t="str">
        <f ca="1">IF('IWP18'!ContractNumber = 0, "", IF('IWP18'!Std3dot2 = "", "E", 'IWP18'!Std3dot2))</f>
        <v/>
      </c>
      <c r="I130" s="3" t="str">
        <f ca="1">IF('IWP19'!ContractNumber = 0, "", IF('IWP19'!Std3dot2 = "", "E", 'IWP19'!Std3dot2))</f>
        <v/>
      </c>
      <c r="J130" s="3" t="str">
        <f ca="1">IF('IWP20'!ContractNumber = 0, "", IF('IWP20'!Std3dot2 = "", "E", 'IWP20'!Std3dot2))</f>
        <v/>
      </c>
    </row>
    <row r="131" spans="1:10" ht="17.25" customHeight="1" thickTop="1" thickBot="1">
      <c r="A131" s="558"/>
      <c r="B131" s="559"/>
      <c r="C131" s="559"/>
      <c r="D131" s="559"/>
      <c r="E131" s="560"/>
      <c r="F131" s="106">
        <v>21</v>
      </c>
      <c r="G131" s="106">
        <v>22</v>
      </c>
      <c r="H131" s="106">
        <v>23</v>
      </c>
      <c r="I131" s="106">
        <v>24</v>
      </c>
      <c r="J131" s="106">
        <v>25</v>
      </c>
    </row>
    <row r="132" spans="1:10" ht="17.25" customHeight="1" thickTop="1" thickBot="1">
      <c r="A132" s="558"/>
      <c r="B132" s="559"/>
      <c r="C132" s="559"/>
      <c r="D132" s="559"/>
      <c r="E132" s="560"/>
      <c r="F132" s="3" t="str">
        <f ca="1">IF('IWP21'!ContractNumber = 0, "", IF('IWP21'!Std3dot2 = "", "E", 'IWP21'!Std3dot2))</f>
        <v/>
      </c>
      <c r="G132" s="3" t="str">
        <f ca="1">IF('IWP22'!ContractNumber = 0, "", IF('IWP22'!Std3dot2 = "", "E", 'IWP22'!Std3dot2))</f>
        <v/>
      </c>
      <c r="H132" s="3" t="str">
        <f ca="1">IF('IWP23'!ContractNumber = 0, "", IF('IWP23'!Std3dot2 = "", "E", 'IWP23'!Std3dot2))</f>
        <v/>
      </c>
      <c r="I132" s="3" t="str">
        <f ca="1">IF('IWP24'!ContractNumber = 0, "", IF('IWP24'!Std3dot2 = "", "E", 'IWP24'!Std3dot2))</f>
        <v/>
      </c>
      <c r="J132" s="3" t="str">
        <f ca="1">IF('IWP25'!ContractNumber = 0, "", IF('IWP25'!Std3dot2 = "", "E", 'IWP25'!Std3dot2))</f>
        <v/>
      </c>
    </row>
    <row r="133" spans="1:10" ht="17.25" customHeight="1" thickTop="1" thickBot="1">
      <c r="A133" s="558"/>
      <c r="B133" s="559"/>
      <c r="C133" s="559"/>
      <c r="D133" s="559"/>
      <c r="E133" s="560"/>
      <c r="F133" s="106">
        <v>26</v>
      </c>
      <c r="G133" s="106">
        <v>27</v>
      </c>
      <c r="H133" s="106">
        <v>28</v>
      </c>
      <c r="I133" s="106">
        <v>29</v>
      </c>
      <c r="J133" s="106">
        <v>30</v>
      </c>
    </row>
    <row r="134" spans="1:10" ht="17.25" customHeight="1" thickTop="1" thickBot="1">
      <c r="A134" s="561"/>
      <c r="B134" s="562"/>
      <c r="C134" s="562"/>
      <c r="D134" s="562"/>
      <c r="E134" s="563"/>
      <c r="F134" s="3" t="str">
        <f ca="1">IF('IWP26'!ContractNumber = 0, "", IF('IWP26'!Std3dot2 = "", "E", 'IWP26'!Std3dot2))</f>
        <v/>
      </c>
      <c r="G134" s="3" t="str">
        <f ca="1">IF('IWP27'!ContractNumber = 0, "", IF('IWP27'!Std3dot2 = "", "E", 'IWP27'!Std3dot2))</f>
        <v/>
      </c>
      <c r="H134" s="3" t="str">
        <f ca="1">IF('IWP28'!ContractNumber = 0, "", IF('IWP28'!Std3dot2 = "", "E", 'IWP28'!Std3dot2))</f>
        <v/>
      </c>
      <c r="I134" s="3" t="str">
        <f ca="1">IF('IWP29'!ContractNumber = 0, "", IF('IWP29'!Std3dot2 = "", "E", 'IWP29'!Std3dot2))</f>
        <v/>
      </c>
      <c r="J134" s="3" t="str">
        <f ca="1">IF('IWP30'!ContractNumber = 0, "", IF('IWP30'!Std3dot2 = "", "E", 'IWP30'!Std3dot2))</f>
        <v/>
      </c>
    </row>
    <row r="135" spans="1:10" ht="17.25" customHeight="1" thickTop="1" thickBot="1">
      <c r="A135" s="491" t="s">
        <v>21</v>
      </c>
      <c r="B135" s="564"/>
      <c r="C135" s="564"/>
      <c r="D135" s="564"/>
      <c r="E135" s="564"/>
      <c r="F135" s="565"/>
      <c r="G135" s="487" t="s">
        <v>19</v>
      </c>
      <c r="H135" s="488"/>
      <c r="I135" s="487" t="s">
        <v>20</v>
      </c>
      <c r="J135" s="488"/>
    </row>
    <row r="136" spans="1:10" ht="17.25" customHeight="1" thickTop="1" thickBot="1">
      <c r="A136" s="492"/>
      <c r="B136" s="566"/>
      <c r="C136" s="566"/>
      <c r="D136" s="566"/>
      <c r="E136" s="566"/>
      <c r="F136" s="567"/>
      <c r="G136" s="489">
        <f ca="1">COUNTIF(F124:J134, "Y")</f>
        <v>0</v>
      </c>
      <c r="H136" s="490"/>
      <c r="I136" s="489">
        <f ca="1">COUNTIF(F124:J134, "N")</f>
        <v>0</v>
      </c>
      <c r="J136" s="490"/>
    </row>
    <row r="137" spans="1:10" ht="17.25" customHeight="1" thickTop="1" thickBot="1">
      <c r="A137" s="668" t="s">
        <v>112</v>
      </c>
      <c r="B137" s="669"/>
      <c r="C137" s="669"/>
      <c r="D137" s="669"/>
      <c r="E137" s="669"/>
      <c r="F137" s="670"/>
      <c r="G137" s="487" t="s">
        <v>17</v>
      </c>
      <c r="H137" s="488"/>
      <c r="I137" s="487" t="s">
        <v>18</v>
      </c>
      <c r="J137" s="488"/>
    </row>
    <row r="138" spans="1:10" ht="17.25" customHeight="1" thickTop="1" thickBot="1">
      <c r="A138" s="671"/>
      <c r="B138" s="672"/>
      <c r="C138" s="672"/>
      <c r="D138" s="672"/>
      <c r="E138" s="672"/>
      <c r="F138" s="673"/>
      <c r="G138" s="489">
        <f ca="1">SUM(G136,G122)</f>
        <v>0</v>
      </c>
      <c r="H138" s="490"/>
      <c r="I138" s="489">
        <f ca="1">SUM(I136,I122)</f>
        <v>0</v>
      </c>
      <c r="J138" s="490"/>
    </row>
    <row r="139" spans="1:10" ht="16" thickTop="1">
      <c r="A139" s="571" t="s">
        <v>116</v>
      </c>
      <c r="B139" s="572"/>
      <c r="C139" s="572"/>
      <c r="D139" s="572"/>
      <c r="E139" s="572"/>
      <c r="F139" s="572"/>
      <c r="G139" s="572"/>
      <c r="H139" s="572"/>
      <c r="I139" s="572"/>
      <c r="J139" s="573"/>
    </row>
    <row r="140" spans="1:10" ht="16" thickBot="1">
      <c r="A140" s="555" t="s">
        <v>117</v>
      </c>
      <c r="B140" s="556"/>
      <c r="C140" s="556"/>
      <c r="D140" s="556"/>
      <c r="E140" s="556"/>
      <c r="F140" s="556"/>
      <c r="G140" s="556"/>
      <c r="H140" s="556"/>
      <c r="I140" s="556"/>
      <c r="J140" s="557"/>
    </row>
    <row r="141" spans="1:10" ht="16.5" customHeight="1" thickTop="1" thickBot="1">
      <c r="A141" s="493" t="s">
        <v>118</v>
      </c>
      <c r="B141" s="494"/>
      <c r="C141" s="494"/>
      <c r="D141" s="494"/>
      <c r="E141" s="495"/>
      <c r="F141" s="106">
        <v>1</v>
      </c>
      <c r="G141" s="106">
        <v>2</v>
      </c>
      <c r="H141" s="106">
        <v>3</v>
      </c>
      <c r="I141" s="106">
        <v>4</v>
      </c>
      <c r="J141" s="106">
        <v>5</v>
      </c>
    </row>
    <row r="142" spans="1:10" ht="16.5" customHeight="1" thickTop="1" thickBot="1">
      <c r="A142" s="496"/>
      <c r="B142" s="497"/>
      <c r="C142" s="497"/>
      <c r="D142" s="497"/>
      <c r="E142" s="498"/>
      <c r="F142" s="3" t="str">
        <f ca="1">IF('IWP01'!ContractNumber = 0, "", IF('IWP01'!Std4dot1 = "", "E", 'IWP01'!Std4dot1))</f>
        <v/>
      </c>
      <c r="G142" s="3" t="str">
        <f ca="1">IF('IWP02'!ContractNumber = 0, "", IF('IWP02'!Std4dot1 = "", "E", 'IWP02'!Std4dot1))</f>
        <v/>
      </c>
      <c r="H142" s="3" t="str">
        <f ca="1">IF('IWP03'!ContractNumber = 0, "", IF('IWP03'!Std4dot1 = "", "E", 'IWP03'!Std4dot1))</f>
        <v/>
      </c>
      <c r="I142" s="3" t="str">
        <f ca="1">IF('IWP04'!ContractNumber = 0, "", IF('IWP04'!Std4dot1 = "", "E", 'IWP04'!Std4dot1))</f>
        <v/>
      </c>
      <c r="J142" s="3" t="str">
        <f ca="1">IF('IWP05'!ContractNumber = 0, "", IF('IWP05'!Std4dot1 = "", "E", 'IWP05'!Std4dot1))</f>
        <v/>
      </c>
    </row>
    <row r="143" spans="1:10" ht="16.5" thickTop="1" thickBot="1">
      <c r="A143" s="496"/>
      <c r="B143" s="497"/>
      <c r="C143" s="497"/>
      <c r="D143" s="497"/>
      <c r="E143" s="498"/>
      <c r="F143" s="106">
        <v>6</v>
      </c>
      <c r="G143" s="106">
        <v>7</v>
      </c>
      <c r="H143" s="106">
        <v>8</v>
      </c>
      <c r="I143" s="106">
        <v>9</v>
      </c>
      <c r="J143" s="106">
        <v>10</v>
      </c>
    </row>
    <row r="144" spans="1:10" ht="16.5" thickTop="1" thickBot="1">
      <c r="A144" s="496"/>
      <c r="B144" s="497"/>
      <c r="C144" s="497"/>
      <c r="D144" s="497"/>
      <c r="E144" s="498"/>
      <c r="F144" s="3" t="str">
        <f ca="1">IF('IWP06'!ContractNumber = 0, "", IF('IWP06'!Std4dot1 = "", "E", 'IWP06'!Std4dot1))</f>
        <v/>
      </c>
      <c r="G144" s="3" t="str">
        <f ca="1">IF('IWP07'!ContractNumber = 0, "", IF('IWP07'!Std4dot1 = "", "E", 'IWP07'!Std4dot1))</f>
        <v/>
      </c>
      <c r="H144" s="3" t="str">
        <f ca="1">IF('IWP08'!ContractNumber = 0, "", IF('IWP08'!Std4dot1 = "", "E", 'IWP08'!Std4dot1))</f>
        <v/>
      </c>
      <c r="I144" s="3" t="str">
        <f ca="1">IF('IWP09'!ContractNumber = 0, "", IF('IWP09'!Std4dot1 = "", "E", 'IWP09'!Std4dot1))</f>
        <v/>
      </c>
      <c r="J144" s="3" t="str">
        <f ca="1">IF('IWP10'!ContractNumber = 0, "", IF('IWP10'!Std4dot1 = "", "E", 'IWP10'!Std4dot1))</f>
        <v/>
      </c>
    </row>
    <row r="145" spans="1:10" ht="16.5" customHeight="1" thickTop="1" thickBot="1">
      <c r="A145" s="558" t="s">
        <v>1360</v>
      </c>
      <c r="B145" s="559"/>
      <c r="C145" s="559"/>
      <c r="D145" s="559"/>
      <c r="E145" s="560"/>
      <c r="F145" s="106">
        <v>11</v>
      </c>
      <c r="G145" s="106">
        <v>12</v>
      </c>
      <c r="H145" s="106">
        <v>13</v>
      </c>
      <c r="I145" s="106">
        <v>14</v>
      </c>
      <c r="J145" s="106">
        <v>15</v>
      </c>
    </row>
    <row r="146" spans="1:10" ht="17.25" customHeight="1" thickTop="1" thickBot="1">
      <c r="A146" s="558"/>
      <c r="B146" s="559"/>
      <c r="C146" s="559"/>
      <c r="D146" s="559"/>
      <c r="E146" s="560"/>
      <c r="F146" s="3" t="str">
        <f ca="1">IF('IWP11'!ContractNumber = 0, "", IF('IWP11'!Std4dot1 = "", "E", 'IWP11'!Std4dot1))</f>
        <v/>
      </c>
      <c r="G146" s="3" t="str">
        <f ca="1">IF('IWP12'!ContractNumber = 0, "", IF('IWP12'!Std4dot1 = "", "E", 'IWP12'!Std4dot1))</f>
        <v/>
      </c>
      <c r="H146" s="3" t="str">
        <f ca="1">IF('IWP13'!ContractNumber = 0, "", IF('IWP13'!Std4dot1 = "", "E", 'IWP13'!Std4dot1))</f>
        <v/>
      </c>
      <c r="I146" s="3" t="str">
        <f ca="1">IF('IWP14'!ContractNumber = 0, "", IF('IWP14'!Std4dot1 = "", "E", 'IWP14'!Std4dot1))</f>
        <v/>
      </c>
      <c r="J146" s="3" t="str">
        <f ca="1">IF('IWP15'!ContractNumber = 0, "", IF('IWP15'!Std4dot1 = "", "E", 'IWP15'!Std4dot1))</f>
        <v/>
      </c>
    </row>
    <row r="147" spans="1:10" ht="17.25" customHeight="1" thickTop="1" thickBot="1">
      <c r="A147" s="558"/>
      <c r="B147" s="559"/>
      <c r="C147" s="559"/>
      <c r="D147" s="559"/>
      <c r="E147" s="560"/>
      <c r="F147" s="106">
        <v>16</v>
      </c>
      <c r="G147" s="106">
        <v>17</v>
      </c>
      <c r="H147" s="106">
        <v>18</v>
      </c>
      <c r="I147" s="106">
        <v>19</v>
      </c>
      <c r="J147" s="106">
        <v>20</v>
      </c>
    </row>
    <row r="148" spans="1:10" ht="17.25" customHeight="1" thickTop="1" thickBot="1">
      <c r="A148" s="558"/>
      <c r="B148" s="559"/>
      <c r="C148" s="559"/>
      <c r="D148" s="559"/>
      <c r="E148" s="560"/>
      <c r="F148" s="3" t="str">
        <f ca="1">IF('IWP16'!ContractNumber = 0, "", IF('IWP16'!Std4dot1 = "", "E", 'IWP16'!Std4dot1))</f>
        <v/>
      </c>
      <c r="G148" s="3" t="str">
        <f ca="1">IF('IWP17'!ContractNumber = 0, "", IF('IWP17'!Std4dot1 = "", "E", 'IWP17'!Std4dot1))</f>
        <v/>
      </c>
      <c r="H148" s="3" t="str">
        <f ca="1">IF('IWP18'!ContractNumber = 0, "", IF('IWP18'!Std4dot1 = "", "E", 'IWP18'!Std4dot1))</f>
        <v/>
      </c>
      <c r="I148" s="3" t="str">
        <f ca="1">IF('IWP19'!ContractNumber = 0, "", IF('IWP19'!Std4dot1 = "", "E", 'IWP19'!Std4dot1))</f>
        <v/>
      </c>
      <c r="J148" s="3" t="str">
        <f ca="1">IF('IWP20'!ContractNumber = 0, "", IF('IWP20'!Std4dot1 = "", "E", 'IWP20'!Std4dot1))</f>
        <v/>
      </c>
    </row>
    <row r="149" spans="1:10" ht="17.25" customHeight="1" thickTop="1" thickBot="1">
      <c r="A149" s="558"/>
      <c r="B149" s="559"/>
      <c r="C149" s="559"/>
      <c r="D149" s="559"/>
      <c r="E149" s="560"/>
      <c r="F149" s="106">
        <v>21</v>
      </c>
      <c r="G149" s="106">
        <v>22</v>
      </c>
      <c r="H149" s="106">
        <v>23</v>
      </c>
      <c r="I149" s="106">
        <v>24</v>
      </c>
      <c r="J149" s="106">
        <v>25</v>
      </c>
    </row>
    <row r="150" spans="1:10" ht="17.25" customHeight="1" thickTop="1" thickBot="1">
      <c r="A150" s="558"/>
      <c r="B150" s="559"/>
      <c r="C150" s="559"/>
      <c r="D150" s="559"/>
      <c r="E150" s="560"/>
      <c r="F150" s="3" t="str">
        <f ca="1">IF('IWP21'!ContractNumber = 0, "", IF('IWP21'!Std4dot1 = "", "E", 'IWP21'!Std4dot1))</f>
        <v/>
      </c>
      <c r="G150" s="3" t="str">
        <f ca="1">IF('IWP22'!ContractNumber = 0, "", IF('IWP22'!Std4dot1 = "", "E", 'IWP22'!Std4dot1))</f>
        <v/>
      </c>
      <c r="H150" s="3" t="str">
        <f ca="1">IF('IWP23'!ContractNumber = 0, "", IF('IWP23'!Std4dot1 = "", "E", 'IWP23'!Std4dot1))</f>
        <v/>
      </c>
      <c r="I150" s="3" t="str">
        <f ca="1">IF('IWP24'!ContractNumber = 0, "", IF('IWP24'!Std4dot1 = "", "E", 'IWP24'!Std4dot1))</f>
        <v/>
      </c>
      <c r="J150" s="3" t="str">
        <f ca="1">IF('IWP25'!ContractNumber = 0, "", IF('IWP25'!Std4dot1 = "", "E", 'IWP25'!Std4dot1))</f>
        <v/>
      </c>
    </row>
    <row r="151" spans="1:10" ht="17.25" customHeight="1" thickTop="1" thickBot="1">
      <c r="A151" s="558"/>
      <c r="B151" s="559"/>
      <c r="C151" s="559"/>
      <c r="D151" s="559"/>
      <c r="E151" s="560"/>
      <c r="F151" s="106">
        <v>26</v>
      </c>
      <c r="G151" s="106">
        <v>27</v>
      </c>
      <c r="H151" s="106">
        <v>28</v>
      </c>
      <c r="I151" s="106">
        <v>29</v>
      </c>
      <c r="J151" s="106">
        <v>30</v>
      </c>
    </row>
    <row r="152" spans="1:10" ht="17.25" customHeight="1" thickTop="1" thickBot="1">
      <c r="A152" s="561"/>
      <c r="B152" s="562"/>
      <c r="C152" s="562"/>
      <c r="D152" s="562"/>
      <c r="E152" s="563"/>
      <c r="F152" s="3" t="str">
        <f ca="1">IF('IWP26'!ContractNumber = 0, "", IF('IWP26'!Std4dot1 = "", "E", 'IWP26'!Std4dot1))</f>
        <v/>
      </c>
      <c r="G152" s="3" t="str">
        <f ca="1">IF('IWP27'!ContractNumber = 0, "", IF('IWP27'!Std4dot1 = "", "E", 'IWP27'!Std4dot1))</f>
        <v/>
      </c>
      <c r="H152" s="3" t="str">
        <f ca="1">IF('IWP28'!ContractNumber = 0, "", IF('IWP28'!Std4dot1 = "", "E", 'IWP28'!Std4dot1))</f>
        <v/>
      </c>
      <c r="I152" s="3" t="str">
        <f ca="1">IF('IWP29'!ContractNumber = 0, "", IF('IWP29'!Std4dot1 = "", "E", 'IWP29'!Std4dot1))</f>
        <v/>
      </c>
      <c r="J152" s="3" t="str">
        <f ca="1">IF('IWP30'!ContractNumber = 0, "", IF('IWP30'!Std4dot1 = "", "E", 'IWP30'!Std4dot1))</f>
        <v/>
      </c>
    </row>
    <row r="153" spans="1:10" ht="16.5" thickTop="1" thickBot="1">
      <c r="A153" s="491" t="s">
        <v>16</v>
      </c>
      <c r="B153" s="564"/>
      <c r="C153" s="564"/>
      <c r="D153" s="564"/>
      <c r="E153" s="564"/>
      <c r="F153" s="565"/>
      <c r="G153" s="487" t="s">
        <v>19</v>
      </c>
      <c r="H153" s="488"/>
      <c r="I153" s="487" t="s">
        <v>20</v>
      </c>
      <c r="J153" s="488"/>
    </row>
    <row r="154" spans="1:10" ht="16.5" thickTop="1" thickBot="1">
      <c r="A154" s="492"/>
      <c r="B154" s="566"/>
      <c r="C154" s="566"/>
      <c r="D154" s="566"/>
      <c r="E154" s="566"/>
      <c r="F154" s="567"/>
      <c r="G154" s="489">
        <f ca="1">COUNTIF(F142:J152, "Y")</f>
        <v>0</v>
      </c>
      <c r="H154" s="490"/>
      <c r="I154" s="489">
        <f ca="1">COUNTIF(F142:J152, "N")</f>
        <v>0</v>
      </c>
      <c r="J154" s="490"/>
    </row>
    <row r="155" spans="1:10" ht="16.5" customHeight="1" thickTop="1" thickBot="1">
      <c r="A155" s="493" t="s">
        <v>119</v>
      </c>
      <c r="B155" s="494"/>
      <c r="C155" s="494"/>
      <c r="D155" s="494"/>
      <c r="E155" s="495"/>
      <c r="F155" s="106">
        <v>1</v>
      </c>
      <c r="G155" s="106">
        <v>2</v>
      </c>
      <c r="H155" s="106">
        <v>3</v>
      </c>
      <c r="I155" s="106">
        <v>4</v>
      </c>
      <c r="J155" s="106">
        <v>5</v>
      </c>
    </row>
    <row r="156" spans="1:10" ht="16.5" thickTop="1" thickBot="1">
      <c r="A156" s="496"/>
      <c r="B156" s="497"/>
      <c r="C156" s="497"/>
      <c r="D156" s="497"/>
      <c r="E156" s="498"/>
      <c r="F156" s="3" t="str">
        <f ca="1">IF('IWP01'!ContractNumber = 0, "", IF('IWP01'!Std4dot2 = "", "E", 'IWP01'!Std4dot2))</f>
        <v/>
      </c>
      <c r="G156" s="3" t="str">
        <f ca="1">IF('IWP02'!ContractNumber = 0, "", IF('IWP02'!Std4dot2 = "", "E", 'IWP02'!Std4dot2))</f>
        <v/>
      </c>
      <c r="H156" s="3" t="str">
        <f ca="1">IF('IWP03'!ContractNumber = 0, "", IF('IWP03'!Std4dot2 = "", "E", 'IWP03'!Std4dot2))</f>
        <v/>
      </c>
      <c r="I156" s="3" t="str">
        <f ca="1">IF('IWP04'!ContractNumber = 0, "", IF('IWP04'!Std4dot2 = "", "E", 'IWP04'!Std4dot2))</f>
        <v/>
      </c>
      <c r="J156" s="3" t="str">
        <f ca="1">IF('IWP05'!ContractNumber = 0, "", IF('IWP05'!Std4dot2 = "", "E", 'IWP05'!Std4dot2))</f>
        <v/>
      </c>
    </row>
    <row r="157" spans="1:10" ht="16.5" thickTop="1" thickBot="1">
      <c r="A157" s="496"/>
      <c r="B157" s="497"/>
      <c r="C157" s="497"/>
      <c r="D157" s="497"/>
      <c r="E157" s="498"/>
      <c r="F157" s="106">
        <v>6</v>
      </c>
      <c r="G157" s="106">
        <v>7</v>
      </c>
      <c r="H157" s="106">
        <v>8</v>
      </c>
      <c r="I157" s="106">
        <v>9</v>
      </c>
      <c r="J157" s="106">
        <v>10</v>
      </c>
    </row>
    <row r="158" spans="1:10" ht="16.5" thickTop="1" thickBot="1">
      <c r="A158" s="496"/>
      <c r="B158" s="497"/>
      <c r="C158" s="497"/>
      <c r="D158" s="497"/>
      <c r="E158" s="498"/>
      <c r="F158" s="3" t="str">
        <f ca="1">IF('IWP06'!ContractNumber = 0, "", IF('IWP06'!Std4dot2 = "", "E", 'IWP06'!Std4dot2))</f>
        <v/>
      </c>
      <c r="G158" s="3" t="str">
        <f ca="1">IF('IWP07'!ContractNumber = 0, "", IF('IWP07'!Std4dot2 = "", "E", 'IWP07'!Std4dot2))</f>
        <v/>
      </c>
      <c r="H158" s="3" t="str">
        <f ca="1">IF('IWP08'!ContractNumber = 0, "", IF('IWP08'!Std4dot2 = "", "E", 'IWP08'!Std4dot2))</f>
        <v/>
      </c>
      <c r="I158" s="3" t="str">
        <f ca="1">IF('IWP09'!ContractNumber = 0, "", IF('IWP09'!Std4dot2 = "", "E", 'IWP09'!Std4dot2))</f>
        <v/>
      </c>
      <c r="J158" s="3" t="str">
        <f ca="1">IF('IWP10'!ContractNumber = 0, "", IF('IWP10'!Std4dot2 = "", "E", 'IWP10'!Std4dot2))</f>
        <v/>
      </c>
    </row>
    <row r="159" spans="1:10" ht="17.25" customHeight="1" thickTop="1" thickBot="1">
      <c r="A159" s="558" t="s">
        <v>1361</v>
      </c>
      <c r="B159" s="559"/>
      <c r="C159" s="559"/>
      <c r="D159" s="559"/>
      <c r="E159" s="560"/>
      <c r="F159" s="106">
        <v>11</v>
      </c>
      <c r="G159" s="106">
        <v>12</v>
      </c>
      <c r="H159" s="106">
        <v>13</v>
      </c>
      <c r="I159" s="106">
        <v>14</v>
      </c>
      <c r="J159" s="106">
        <v>15</v>
      </c>
    </row>
    <row r="160" spans="1:10" ht="16.5" customHeight="1" thickTop="1" thickBot="1">
      <c r="A160" s="558"/>
      <c r="B160" s="559"/>
      <c r="C160" s="559"/>
      <c r="D160" s="559"/>
      <c r="E160" s="560"/>
      <c r="F160" s="3" t="str">
        <f ca="1">IF('IWP11'!ContractNumber = 0, "", IF('IWP11'!Std4dot2 = "", "E", 'IWP11'!Std4dot2))</f>
        <v/>
      </c>
      <c r="G160" s="3" t="str">
        <f ca="1">IF('IWP12'!ContractNumber = 0, "", IF('IWP12'!Std4dot2 = "", "E", 'IWP12'!Std4dot2))</f>
        <v/>
      </c>
      <c r="H160" s="3" t="str">
        <f ca="1">IF('IWP13'!ContractNumber = 0, "", IF('IWP13'!Std4dot2 = "", "E", 'IWP13'!Std4dot2))</f>
        <v/>
      </c>
      <c r="I160" s="3" t="str">
        <f ca="1">IF('IWP14'!ContractNumber = 0, "", IF('IWP14'!Std4dot2 = "", "E", 'IWP14'!Std4dot2))</f>
        <v/>
      </c>
      <c r="J160" s="3" t="str">
        <f ca="1">IF('IWP15'!ContractNumber = 0, "", IF('IWP15'!Std4dot2 = "", "E", 'IWP15'!Std4dot2))</f>
        <v/>
      </c>
    </row>
    <row r="161" spans="1:10" ht="17.25" customHeight="1" thickTop="1" thickBot="1">
      <c r="A161" s="558"/>
      <c r="B161" s="559"/>
      <c r="C161" s="559"/>
      <c r="D161" s="559"/>
      <c r="E161" s="560"/>
      <c r="F161" s="106">
        <v>16</v>
      </c>
      <c r="G161" s="106">
        <v>17</v>
      </c>
      <c r="H161" s="106">
        <v>18</v>
      </c>
      <c r="I161" s="106">
        <v>19</v>
      </c>
      <c r="J161" s="106">
        <v>20</v>
      </c>
    </row>
    <row r="162" spans="1:10" ht="17.25" customHeight="1" thickTop="1" thickBot="1">
      <c r="A162" s="558"/>
      <c r="B162" s="559"/>
      <c r="C162" s="559"/>
      <c r="D162" s="559"/>
      <c r="E162" s="560"/>
      <c r="F162" s="3" t="str">
        <f ca="1">IF('IWP16'!ContractNumber = 0, "", IF('IWP16'!Std4dot2 = "", "E", 'IWP16'!Std4dot2))</f>
        <v/>
      </c>
      <c r="G162" s="3" t="str">
        <f ca="1">IF('IWP17'!ContractNumber = 0, "", IF('IWP17'!Std4dot2 = "", "E", 'IWP17'!Std4dot2))</f>
        <v/>
      </c>
      <c r="H162" s="3" t="str">
        <f ca="1">IF('IWP18'!ContractNumber = 0, "", IF('IWP18'!Std4dot2 = "", "E", 'IWP18'!Std4dot2))</f>
        <v/>
      </c>
      <c r="I162" s="3" t="str">
        <f ca="1">IF('IWP19'!ContractNumber = 0, "", IF('IWP19'!Std4dot2 = "", "E", 'IWP19'!Std4dot2))</f>
        <v/>
      </c>
      <c r="J162" s="3" t="str">
        <f ca="1">IF('IWP20'!ContractNumber = 0, "", IF('IWP20'!Std4dot2 = "", "E", 'IWP20'!Std4dot2))</f>
        <v/>
      </c>
    </row>
    <row r="163" spans="1:10" ht="17.25" customHeight="1" thickTop="1" thickBot="1">
      <c r="A163" s="558"/>
      <c r="B163" s="559"/>
      <c r="C163" s="559"/>
      <c r="D163" s="559"/>
      <c r="E163" s="560"/>
      <c r="F163" s="106">
        <v>21</v>
      </c>
      <c r="G163" s="106">
        <v>22</v>
      </c>
      <c r="H163" s="106">
        <v>23</v>
      </c>
      <c r="I163" s="106">
        <v>24</v>
      </c>
      <c r="J163" s="106">
        <v>25</v>
      </c>
    </row>
    <row r="164" spans="1:10" ht="17.25" customHeight="1" thickTop="1" thickBot="1">
      <c r="A164" s="558"/>
      <c r="B164" s="559"/>
      <c r="C164" s="559"/>
      <c r="D164" s="559"/>
      <c r="E164" s="560"/>
      <c r="F164" s="3" t="str">
        <f ca="1">IF('IWP21'!ContractNumber = 0, "", IF('IWP21'!Std4dot2 = "", "E", 'IWP21'!Std4dot2))</f>
        <v/>
      </c>
      <c r="G164" s="3" t="str">
        <f ca="1">IF('IWP22'!ContractNumber = 0, "", IF('IWP22'!Std4dot2 = "", "E", 'IWP22'!Std4dot2))</f>
        <v/>
      </c>
      <c r="H164" s="3" t="str">
        <f ca="1">IF('IWP23'!ContractNumber = 0, "", IF('IWP23'!Std4dot2 = "", "E", 'IWP23'!Std4dot2))</f>
        <v/>
      </c>
      <c r="I164" s="3" t="str">
        <f ca="1">IF('IWP24'!ContractNumber = 0, "", IF('IWP24'!Std4dot2 = "", "E", 'IWP24'!Std4dot2))</f>
        <v/>
      </c>
      <c r="J164" s="3" t="str">
        <f ca="1">IF('IWP25'!ContractNumber = 0, "", IF('IWP25'!Std4dot2 = "", "E", 'IWP25'!Std4dot2))</f>
        <v/>
      </c>
    </row>
    <row r="165" spans="1:10" ht="17.25" customHeight="1" thickTop="1" thickBot="1">
      <c r="A165" s="558"/>
      <c r="B165" s="559"/>
      <c r="C165" s="559"/>
      <c r="D165" s="559"/>
      <c r="E165" s="560"/>
      <c r="F165" s="106">
        <v>26</v>
      </c>
      <c r="G165" s="106">
        <v>27</v>
      </c>
      <c r="H165" s="106">
        <v>28</v>
      </c>
      <c r="I165" s="106">
        <v>29</v>
      </c>
      <c r="J165" s="106">
        <v>30</v>
      </c>
    </row>
    <row r="166" spans="1:10" ht="17.25" customHeight="1" thickTop="1" thickBot="1">
      <c r="A166" s="561"/>
      <c r="B166" s="562"/>
      <c r="C166" s="562"/>
      <c r="D166" s="562"/>
      <c r="E166" s="563"/>
      <c r="F166" s="3" t="str">
        <f ca="1">IF('IWP26'!ContractNumber = 0, "", IF('IWP26'!Std4dot2 = "", "E", 'IWP26'!Std4dot2))</f>
        <v/>
      </c>
      <c r="G166" s="3" t="str">
        <f ca="1">IF('IWP27'!ContractNumber = 0, "", IF('IWP27'!Std4dot2 = "", "E", 'IWP27'!Std4dot2))</f>
        <v/>
      </c>
      <c r="H166" s="3" t="str">
        <f ca="1">IF('IWP28'!ContractNumber = 0, "", IF('IWP28'!Std4dot2 = "", "E", 'IWP28'!Std4dot2))</f>
        <v/>
      </c>
      <c r="I166" s="3" t="str">
        <f ca="1">IF('IWP29'!ContractNumber = 0, "", IF('IWP29'!Std4dot2 = "", "E", 'IWP29'!Std4dot2))</f>
        <v/>
      </c>
      <c r="J166" s="3" t="str">
        <f ca="1">IF('IWP30'!ContractNumber = 0, "", IF('IWP30'!Std4dot2 = "", "E", 'IWP30'!Std4dot2))</f>
        <v/>
      </c>
    </row>
    <row r="167" spans="1:10" ht="16.5" thickTop="1" thickBot="1">
      <c r="A167" s="491" t="s">
        <v>16</v>
      </c>
      <c r="B167" s="564"/>
      <c r="C167" s="564"/>
      <c r="D167" s="564"/>
      <c r="E167" s="564"/>
      <c r="F167" s="565"/>
      <c r="G167" s="487" t="s">
        <v>19</v>
      </c>
      <c r="H167" s="488"/>
      <c r="I167" s="487" t="s">
        <v>20</v>
      </c>
      <c r="J167" s="488"/>
    </row>
    <row r="168" spans="1:10" ht="16.5" thickTop="1" thickBot="1">
      <c r="A168" s="492"/>
      <c r="B168" s="566"/>
      <c r="C168" s="566"/>
      <c r="D168" s="566"/>
      <c r="E168" s="566"/>
      <c r="F168" s="567"/>
      <c r="G168" s="489">
        <f ca="1">COUNTIF(F156:J166, "Y")</f>
        <v>0</v>
      </c>
      <c r="H168" s="490"/>
      <c r="I168" s="489">
        <f ca="1">COUNTIF(F156:J166, "N")</f>
        <v>0</v>
      </c>
      <c r="J168" s="490"/>
    </row>
    <row r="169" spans="1:10" ht="16.5" thickTop="1" thickBot="1">
      <c r="A169" s="493" t="s">
        <v>1560</v>
      </c>
      <c r="B169" s="494"/>
      <c r="C169" s="494"/>
      <c r="D169" s="494"/>
      <c r="E169" s="495"/>
      <c r="F169" s="106">
        <v>1</v>
      </c>
      <c r="G169" s="106">
        <v>2</v>
      </c>
      <c r="H169" s="106">
        <v>3</v>
      </c>
      <c r="I169" s="106">
        <v>4</v>
      </c>
      <c r="J169" s="106">
        <v>5</v>
      </c>
    </row>
    <row r="170" spans="1:10" ht="16.5" thickTop="1" thickBot="1">
      <c r="A170" s="496"/>
      <c r="B170" s="497"/>
      <c r="C170" s="497"/>
      <c r="D170" s="497"/>
      <c r="E170" s="498"/>
      <c r="F170" s="3" t="str">
        <f ca="1">IF('IWP01'!ContractNumber = 0, "", IF('IWP01'!Std4dot3 = "", "E", 'IWP01'!Std4dot3))</f>
        <v/>
      </c>
      <c r="G170" s="3" t="str">
        <f ca="1">IF('IWP02'!ContractNumber = 0, "", IF('IWP02'!Std4dot3 = "", "E", 'IWP02'!Std4dot3))</f>
        <v/>
      </c>
      <c r="H170" s="3" t="str">
        <f ca="1">IF('IWP03'!ContractNumber = 0, "", IF('IWP03'!Std4dot3 = "", "E", 'IWP03'!Std4dot3))</f>
        <v/>
      </c>
      <c r="I170" s="3" t="str">
        <f ca="1">IF('IWP04'!ContractNumber = 0, "", IF('IWP04'!Std4dot3 = "", "E", 'IWP04'!Std4dot3))</f>
        <v/>
      </c>
      <c r="J170" s="3" t="str">
        <f ca="1">IF('IWP05'!ContractNumber = 0, "", IF('IWP05'!Std4dot3 = "", "E", 'IWP05'!Std4dot3))</f>
        <v/>
      </c>
    </row>
    <row r="171" spans="1:10" ht="16.5" thickTop="1" thickBot="1">
      <c r="A171" s="496"/>
      <c r="B171" s="497"/>
      <c r="C171" s="497"/>
      <c r="D171" s="497"/>
      <c r="E171" s="498"/>
      <c r="F171" s="106">
        <v>6</v>
      </c>
      <c r="G171" s="106">
        <v>7</v>
      </c>
      <c r="H171" s="106">
        <v>8</v>
      </c>
      <c r="I171" s="106">
        <v>9</v>
      </c>
      <c r="J171" s="106">
        <v>10</v>
      </c>
    </row>
    <row r="172" spans="1:10" ht="16.5" thickTop="1" thickBot="1">
      <c r="A172" s="496"/>
      <c r="B172" s="497"/>
      <c r="C172" s="497"/>
      <c r="D172" s="497"/>
      <c r="E172" s="498"/>
      <c r="F172" s="3" t="str">
        <f ca="1">IF('IWP06'!ContractNumber = 0, "", IF('IWP06'!Std4dot3 = "", "E", 'IWP06'!Std4dot3))</f>
        <v/>
      </c>
      <c r="G172" s="3" t="str">
        <f ca="1">IF('IWP07'!ContractNumber = 0, "", IF('IWP07'!Std4dot3 = "", "E", 'IWP07'!Std4dot3))</f>
        <v/>
      </c>
      <c r="H172" s="3" t="str">
        <f ca="1">IF('IWP08'!ContractNumber = 0, "", IF('IWP08'!Std4dot3 = "", "E", 'IWP08'!Std4dot3))</f>
        <v/>
      </c>
      <c r="I172" s="3" t="str">
        <f ca="1">IF('IWP09'!ContractNumber = 0, "", IF('IWP09'!Std4dot3 = "", "E", 'IWP09'!Std4dot3))</f>
        <v/>
      </c>
      <c r="J172" s="3" t="str">
        <f ca="1">IF('IWP10'!ContractNumber = 0, "", IF('IWP10'!Std4dot3 = "", "E", 'IWP10'!Std4dot3))</f>
        <v/>
      </c>
    </row>
    <row r="173" spans="1:10" ht="16.5" thickTop="1" thickBot="1">
      <c r="A173" s="558" t="s">
        <v>1648</v>
      </c>
      <c r="B173" s="559"/>
      <c r="C173" s="559"/>
      <c r="D173" s="559"/>
      <c r="E173" s="560"/>
      <c r="F173" s="106">
        <v>11</v>
      </c>
      <c r="G173" s="106">
        <v>12</v>
      </c>
      <c r="H173" s="106">
        <v>13</v>
      </c>
      <c r="I173" s="106">
        <v>14</v>
      </c>
      <c r="J173" s="106">
        <v>15</v>
      </c>
    </row>
    <row r="174" spans="1:10" ht="16.5" thickTop="1" thickBot="1">
      <c r="A174" s="558"/>
      <c r="B174" s="559"/>
      <c r="C174" s="559"/>
      <c r="D174" s="559"/>
      <c r="E174" s="560"/>
      <c r="F174" s="3" t="str">
        <f ca="1">IF('IWP11'!ContractNumber = 0, "", IF('IWP11'!Std4dot3 = "", "E", 'IWP11'!Std4dot3))</f>
        <v/>
      </c>
      <c r="G174" s="3" t="str">
        <f ca="1">IF('IWP12'!ContractNumber = 0, "", IF('IWP12'!Std4dot3 = "", "E", 'IWP12'!Std4dot3))</f>
        <v/>
      </c>
      <c r="H174" s="3" t="str">
        <f ca="1">IF('IWP13'!ContractNumber = 0, "", IF('IWP13'!Std4dot3 = "", "E", 'IWP13'!Std4dot3))</f>
        <v/>
      </c>
      <c r="I174" s="3" t="str">
        <f ca="1">IF('IWP14'!ContractNumber = 0, "", IF('IWP14'!Std4dot3 = "", "E", 'IWP14'!Std4dot3))</f>
        <v/>
      </c>
      <c r="J174" s="3" t="str">
        <f ca="1">IF('IWP15'!ContractNumber = 0, "", IF('IWP15'!Std4dot3 = "", "E", 'IWP15'!Std4dot3))</f>
        <v/>
      </c>
    </row>
    <row r="175" spans="1:10" ht="16.5" thickTop="1" thickBot="1">
      <c r="A175" s="558"/>
      <c r="B175" s="559"/>
      <c r="C175" s="559"/>
      <c r="D175" s="559"/>
      <c r="E175" s="560"/>
      <c r="F175" s="106">
        <v>16</v>
      </c>
      <c r="G175" s="106">
        <v>17</v>
      </c>
      <c r="H175" s="106">
        <v>18</v>
      </c>
      <c r="I175" s="106">
        <v>19</v>
      </c>
      <c r="J175" s="106">
        <v>20</v>
      </c>
    </row>
    <row r="176" spans="1:10" ht="16.5" thickTop="1" thickBot="1">
      <c r="A176" s="558"/>
      <c r="B176" s="559"/>
      <c r="C176" s="559"/>
      <c r="D176" s="559"/>
      <c r="E176" s="560"/>
      <c r="F176" s="3" t="str">
        <f ca="1">IF('IWP16'!ContractNumber = 0, "", IF('IWP16'!Std4dot3 = "", "E", 'IWP16'!Std4dot3))</f>
        <v/>
      </c>
      <c r="G176" s="3" t="str">
        <f ca="1">IF('IWP17'!ContractNumber = 0, "", IF('IWP17'!Std4dot3 = "", "E", 'IWP17'!Std4dot3))</f>
        <v/>
      </c>
      <c r="H176" s="3" t="str">
        <f ca="1">IF('IWP18'!ContractNumber = 0, "", IF('IWP18'!Std4dot3 = "", "E", 'IWP18'!Std4dot3))</f>
        <v/>
      </c>
      <c r="I176" s="3" t="str">
        <f ca="1">IF('IWP19'!ContractNumber = 0, "", IF('IWP19'!Std4dot3 = "", "E", 'IWP19'!Std4dot3))</f>
        <v/>
      </c>
      <c r="J176" s="3" t="str">
        <f ca="1">IF('IWP20'!ContractNumber = 0, "", IF('IWP20'!Std4dot3 = "", "E", 'IWP20'!Std4dot3))</f>
        <v/>
      </c>
    </row>
    <row r="177" spans="1:10" ht="16.5" thickTop="1" thickBot="1">
      <c r="A177" s="558"/>
      <c r="B177" s="559"/>
      <c r="C177" s="559"/>
      <c r="D177" s="559"/>
      <c r="E177" s="560"/>
      <c r="F177" s="106">
        <v>21</v>
      </c>
      <c r="G177" s="106">
        <v>22</v>
      </c>
      <c r="H177" s="106">
        <v>23</v>
      </c>
      <c r="I177" s="106">
        <v>24</v>
      </c>
      <c r="J177" s="106">
        <v>25</v>
      </c>
    </row>
    <row r="178" spans="1:10" ht="16.5" thickTop="1" thickBot="1">
      <c r="A178" s="558"/>
      <c r="B178" s="559"/>
      <c r="C178" s="559"/>
      <c r="D178" s="559"/>
      <c r="E178" s="560"/>
      <c r="F178" s="3" t="str">
        <f ca="1">IF('IWP21'!ContractNumber = 0, "", IF('IWP21'!Std4dot3 = "", "E", 'IWP21'!Std4dot3))</f>
        <v/>
      </c>
      <c r="G178" s="3" t="str">
        <f ca="1">IF('IWP22'!ContractNumber = 0, "", IF('IWP22'!Std4dot3 = "", "E", 'IWP22'!Std4dot3))</f>
        <v/>
      </c>
      <c r="H178" s="3" t="str">
        <f ca="1">IF('IWP23'!ContractNumber = 0, "", IF('IWP23'!Std4dot3 = "", "E", 'IWP23'!Std4dot3))</f>
        <v/>
      </c>
      <c r="I178" s="3" t="str">
        <f ca="1">IF('IWP24'!ContractNumber = 0, "", IF('IWP24'!Std4dot3 = "", "E", 'IWP24'!Std4dot3))</f>
        <v/>
      </c>
      <c r="J178" s="3" t="str">
        <f ca="1">IF('IWP25'!ContractNumber = 0, "", IF('IWP25'!Std4dot3 = "", "E", 'IWP25'!Std4dot3))</f>
        <v/>
      </c>
    </row>
    <row r="179" spans="1:10" ht="16.5" thickTop="1" thickBot="1">
      <c r="A179" s="558"/>
      <c r="B179" s="559"/>
      <c r="C179" s="559"/>
      <c r="D179" s="559"/>
      <c r="E179" s="560"/>
      <c r="F179" s="106">
        <v>26</v>
      </c>
      <c r="G179" s="106">
        <v>27</v>
      </c>
      <c r="H179" s="106">
        <v>28</v>
      </c>
      <c r="I179" s="106">
        <v>29</v>
      </c>
      <c r="J179" s="106">
        <v>30</v>
      </c>
    </row>
    <row r="180" spans="1:10" ht="16.5" thickTop="1" thickBot="1">
      <c r="A180" s="561"/>
      <c r="B180" s="562"/>
      <c r="C180" s="562"/>
      <c r="D180" s="562"/>
      <c r="E180" s="563"/>
      <c r="F180" s="3" t="str">
        <f ca="1">IF('IWP26'!ContractNumber = 0, "", IF('IWP26'!Std4dot3 = "", "E", 'IWP26'!Std4dot3))</f>
        <v/>
      </c>
      <c r="G180" s="3" t="str">
        <f ca="1">IF('IWP27'!ContractNumber = 0, "", IF('IWP27'!Std4dot3 = "", "E", 'IWP27'!Std4dot3))</f>
        <v/>
      </c>
      <c r="H180" s="3" t="str">
        <f ca="1">IF('IWP28'!ContractNumber = 0, "", IF('IWP28'!Std4dot3 = "", "E", 'IWP28'!Std4dot3))</f>
        <v/>
      </c>
      <c r="I180" s="3" t="str">
        <f ca="1">IF('IWP29'!ContractNumber = 0, "", IF('IWP29'!Std4dot3 = "", "E", 'IWP29'!Std4dot3))</f>
        <v/>
      </c>
      <c r="J180" s="3" t="str">
        <f ca="1">IF('IWP30'!ContractNumber = 0, "", IF('IWP30'!Std4dot3 = "", "E", 'IWP30'!Std4dot3))</f>
        <v/>
      </c>
    </row>
    <row r="181" spans="1:10" ht="16.5" thickTop="1" thickBot="1">
      <c r="A181" s="491" t="s">
        <v>16</v>
      </c>
      <c r="B181" s="564"/>
      <c r="C181" s="564"/>
      <c r="D181" s="564"/>
      <c r="E181" s="564"/>
      <c r="F181" s="565"/>
      <c r="G181" s="487" t="s">
        <v>19</v>
      </c>
      <c r="H181" s="488"/>
      <c r="I181" s="487" t="s">
        <v>20</v>
      </c>
      <c r="J181" s="488"/>
    </row>
    <row r="182" spans="1:10" ht="16.5" thickTop="1" thickBot="1">
      <c r="A182" s="492"/>
      <c r="B182" s="566"/>
      <c r="C182" s="566"/>
      <c r="D182" s="566"/>
      <c r="E182" s="566"/>
      <c r="F182" s="567"/>
      <c r="G182" s="489">
        <f ca="1">COUNTIF(F170:J180, "Y")</f>
        <v>0</v>
      </c>
      <c r="H182" s="490"/>
      <c r="I182" s="489">
        <f ca="1">COUNTIF(F170:J180, "N")</f>
        <v>0</v>
      </c>
      <c r="J182" s="490"/>
    </row>
    <row r="183" spans="1:10" ht="16.5" thickTop="1" thickBot="1">
      <c r="A183" s="493" t="s">
        <v>1561</v>
      </c>
      <c r="B183" s="494"/>
      <c r="C183" s="494"/>
      <c r="D183" s="494"/>
      <c r="E183" s="495"/>
      <c r="F183" s="106">
        <v>1</v>
      </c>
      <c r="G183" s="106">
        <v>2</v>
      </c>
      <c r="H183" s="106">
        <v>3</v>
      </c>
      <c r="I183" s="106">
        <v>4</v>
      </c>
      <c r="J183" s="106">
        <v>5</v>
      </c>
    </row>
    <row r="184" spans="1:10" ht="16.5" thickTop="1" thickBot="1">
      <c r="A184" s="496"/>
      <c r="B184" s="497"/>
      <c r="C184" s="497"/>
      <c r="D184" s="497"/>
      <c r="E184" s="498"/>
      <c r="F184" s="3" t="str">
        <f ca="1">IF('IWP01'!ContractNumber = 0, "", IF('IWP01'!Std4dot4 = "", "E", 'IWP01'!Std4dot4))</f>
        <v/>
      </c>
      <c r="G184" s="3" t="str">
        <f ca="1">IF('IWP02'!ContractNumber = 0, "", IF('IWP02'!Std4dot4 = "", "E", 'IWP02'!Std4dot4))</f>
        <v/>
      </c>
      <c r="H184" s="3" t="str">
        <f ca="1">IF('IWP03'!ContractNumber = 0, "", IF('IWP03'!Std4dot4 = "", "E", 'IWP03'!Std4dot4))</f>
        <v/>
      </c>
      <c r="I184" s="3" t="str">
        <f ca="1">IF('IWP04'!ContractNumber = 0, "", IF('IWP04'!Std4dot4 = "", "E", 'IWP04'!Std4dot4))</f>
        <v/>
      </c>
      <c r="J184" s="3" t="str">
        <f ca="1">IF('IWP05'!ContractNumber = 0, "", IF('IWP05'!Std4dot4 = "", "E", 'IWP05'!Std4dot4))</f>
        <v/>
      </c>
    </row>
    <row r="185" spans="1:10" ht="16.5" thickTop="1" thickBot="1">
      <c r="A185" s="496"/>
      <c r="B185" s="497"/>
      <c r="C185" s="497"/>
      <c r="D185" s="497"/>
      <c r="E185" s="498"/>
      <c r="F185" s="106">
        <v>6</v>
      </c>
      <c r="G185" s="106">
        <v>7</v>
      </c>
      <c r="H185" s="106">
        <v>8</v>
      </c>
      <c r="I185" s="106">
        <v>9</v>
      </c>
      <c r="J185" s="106">
        <v>10</v>
      </c>
    </row>
    <row r="186" spans="1:10" ht="16.5" thickTop="1" thickBot="1">
      <c r="A186" s="496"/>
      <c r="B186" s="497"/>
      <c r="C186" s="497"/>
      <c r="D186" s="497"/>
      <c r="E186" s="498"/>
      <c r="F186" s="3" t="str">
        <f ca="1">IF('IWP06'!ContractNumber = 0, "", IF('IWP06'!Std4dot4 = "", "E", 'IWP06'!Std4dot4))</f>
        <v/>
      </c>
      <c r="G186" s="3" t="str">
        <f ca="1">IF('IWP07'!ContractNumber = 0, "", IF('IWP07'!Std4dot4 = "", "E", 'IWP07'!Std4dot4))</f>
        <v/>
      </c>
      <c r="H186" s="3" t="str">
        <f ca="1">IF('IWP08'!ContractNumber = 0, "", IF('IWP08'!Std4dot4 = "", "E", 'IWP08'!Std4dot4))</f>
        <v/>
      </c>
      <c r="I186" s="3" t="str">
        <f ca="1">IF('IWP09'!ContractNumber = 0, "", IF('IWP09'!Std4dot4 = "", "E", 'IWP09'!Std4dot4))</f>
        <v/>
      </c>
      <c r="J186" s="3" t="str">
        <f ca="1">IF('IWP10'!ContractNumber = 0, "", IF('IWP10'!Std4dot4 = "", "E", 'IWP10'!Std4dot4))</f>
        <v/>
      </c>
    </row>
    <row r="187" spans="1:10" ht="16.5" thickTop="1" thickBot="1">
      <c r="A187" s="558" t="s">
        <v>1648</v>
      </c>
      <c r="B187" s="559"/>
      <c r="C187" s="559"/>
      <c r="D187" s="559"/>
      <c r="E187" s="560"/>
      <c r="F187" s="106">
        <v>11</v>
      </c>
      <c r="G187" s="106">
        <v>12</v>
      </c>
      <c r="H187" s="106">
        <v>13</v>
      </c>
      <c r="I187" s="106">
        <v>14</v>
      </c>
      <c r="J187" s="106">
        <v>15</v>
      </c>
    </row>
    <row r="188" spans="1:10" ht="16.5" thickTop="1" thickBot="1">
      <c r="A188" s="558"/>
      <c r="B188" s="559"/>
      <c r="C188" s="559"/>
      <c r="D188" s="559"/>
      <c r="E188" s="560"/>
      <c r="F188" s="3" t="str">
        <f ca="1">IF('IWP11'!ContractNumber = 0, "", IF('IWP11'!Std4dot4 = "", "E", 'IWP11'!Std4dot4))</f>
        <v/>
      </c>
      <c r="G188" s="3" t="str">
        <f ca="1">IF('IWP12'!ContractNumber = 0, "", IF('IWP12'!Std4dot4 = "", "E", 'IWP12'!Std4dot4))</f>
        <v/>
      </c>
      <c r="H188" s="3" t="str">
        <f ca="1">IF('IWP13'!ContractNumber = 0, "", IF('IWP13'!Std4dot4 = "", "E", 'IWP13'!Std4dot4))</f>
        <v/>
      </c>
      <c r="I188" s="3" t="str">
        <f ca="1">IF('IWP14'!ContractNumber = 0, "", IF('IWP14'!Std4dot4 = "", "E", 'IWP14'!Std4dot4))</f>
        <v/>
      </c>
      <c r="J188" s="3" t="str">
        <f ca="1">IF('IWP15'!ContractNumber = 0, "", IF('IWP15'!Std4dot4 = "", "E", 'IWP15'!Std4dot4))</f>
        <v/>
      </c>
    </row>
    <row r="189" spans="1:10" ht="16.5" thickTop="1" thickBot="1">
      <c r="A189" s="558"/>
      <c r="B189" s="559"/>
      <c r="C189" s="559"/>
      <c r="D189" s="559"/>
      <c r="E189" s="560"/>
      <c r="F189" s="106">
        <v>16</v>
      </c>
      <c r="G189" s="106">
        <v>17</v>
      </c>
      <c r="H189" s="106">
        <v>18</v>
      </c>
      <c r="I189" s="106">
        <v>19</v>
      </c>
      <c r="J189" s="106">
        <v>20</v>
      </c>
    </row>
    <row r="190" spans="1:10" ht="16.5" thickTop="1" thickBot="1">
      <c r="A190" s="558"/>
      <c r="B190" s="559"/>
      <c r="C190" s="559"/>
      <c r="D190" s="559"/>
      <c r="E190" s="560"/>
      <c r="F190" s="3" t="str">
        <f ca="1">IF('IWP16'!ContractNumber = 0, "", IF('IWP16'!Std4dot4 = "", "E", 'IWP16'!Std4dot4))</f>
        <v/>
      </c>
      <c r="G190" s="3" t="str">
        <f ca="1">IF('IWP17'!ContractNumber = 0, "", IF('IWP17'!Std4dot4 = "", "E", 'IWP17'!Std4dot4))</f>
        <v/>
      </c>
      <c r="H190" s="3" t="str">
        <f ca="1">IF('IWP18'!ContractNumber = 0, "", IF('IWP18'!Std4dot4 = "", "E", 'IWP18'!Std4dot4))</f>
        <v/>
      </c>
      <c r="I190" s="3" t="str">
        <f ca="1">IF('IWP19'!ContractNumber = 0, "", IF('IWP19'!Std4dot4 = "", "E", 'IWP19'!Std4dot4))</f>
        <v/>
      </c>
      <c r="J190" s="3" t="str">
        <f ca="1">IF('IWP20'!ContractNumber = 0, "", IF('IWP20'!Std4dot4 = "", "E", 'IWP20'!Std4dot4))</f>
        <v/>
      </c>
    </row>
    <row r="191" spans="1:10" ht="16.5" thickTop="1" thickBot="1">
      <c r="A191" s="558"/>
      <c r="B191" s="559"/>
      <c r="C191" s="559"/>
      <c r="D191" s="559"/>
      <c r="E191" s="560"/>
      <c r="F191" s="106">
        <v>21</v>
      </c>
      <c r="G191" s="106">
        <v>22</v>
      </c>
      <c r="H191" s="106">
        <v>23</v>
      </c>
      <c r="I191" s="106">
        <v>24</v>
      </c>
      <c r="J191" s="106">
        <v>25</v>
      </c>
    </row>
    <row r="192" spans="1:10" ht="16.5" thickTop="1" thickBot="1">
      <c r="A192" s="558"/>
      <c r="B192" s="559"/>
      <c r="C192" s="559"/>
      <c r="D192" s="559"/>
      <c r="E192" s="560"/>
      <c r="F192" s="3" t="str">
        <f ca="1">IF('IWP21'!ContractNumber = 0, "", IF('IWP21'!Std4dot4 = "", "E", 'IWP21'!Std4dot4))</f>
        <v/>
      </c>
      <c r="G192" s="3" t="str">
        <f ca="1">IF('IWP22'!ContractNumber = 0, "", IF('IWP22'!Std4dot4 = "", "E", 'IWP22'!Std4dot4))</f>
        <v/>
      </c>
      <c r="H192" s="3" t="str">
        <f ca="1">IF('IWP23'!ContractNumber = 0, "", IF('IWP23'!Std4dot4 = "", "E", 'IWP23'!Std4dot4))</f>
        <v/>
      </c>
      <c r="I192" s="3" t="str">
        <f ca="1">IF('IWP24'!ContractNumber = 0, "", IF('IWP24'!Std4dot4 = "", "E", 'IWP24'!Std4dot4))</f>
        <v/>
      </c>
      <c r="J192" s="3" t="str">
        <f ca="1">IF('IWP25'!ContractNumber = 0, "", IF('IWP25'!Std4dot4 = "", "E", 'IWP25'!Std4dot4))</f>
        <v/>
      </c>
    </row>
    <row r="193" spans="1:10" ht="16.5" thickTop="1" thickBot="1">
      <c r="A193" s="558"/>
      <c r="B193" s="559"/>
      <c r="C193" s="559"/>
      <c r="D193" s="559"/>
      <c r="E193" s="560"/>
      <c r="F193" s="106">
        <v>26</v>
      </c>
      <c r="G193" s="106">
        <v>27</v>
      </c>
      <c r="H193" s="106">
        <v>28</v>
      </c>
      <c r="I193" s="106">
        <v>29</v>
      </c>
      <c r="J193" s="106">
        <v>30</v>
      </c>
    </row>
    <row r="194" spans="1:10" ht="16.5" thickTop="1" thickBot="1">
      <c r="A194" s="561"/>
      <c r="B194" s="562"/>
      <c r="C194" s="562"/>
      <c r="D194" s="562"/>
      <c r="E194" s="563"/>
      <c r="F194" s="3" t="str">
        <f ca="1">IF('IWP26'!ContractNumber = 0, "", IF('IWP26'!Std4dot4 = "", "E", 'IWP26'!Std4dot4))</f>
        <v/>
      </c>
      <c r="G194" s="3" t="str">
        <f ca="1">IF('IWP27'!ContractNumber = 0, "", IF('IWP27'!Std4dot4 = "", "E", 'IWP27'!Std4dot4))</f>
        <v/>
      </c>
      <c r="H194" s="3" t="str">
        <f ca="1">IF('IWP28'!ContractNumber = 0, "", IF('IWP28'!Std4dot4 = "", "E", 'IWP28'!Std4dot4))</f>
        <v/>
      </c>
      <c r="I194" s="3" t="str">
        <f ca="1">IF('IWP29'!ContractNumber = 0, "", IF('IWP29'!Std4dot4 = "", "E", 'IWP29'!Std4dot4))</f>
        <v/>
      </c>
      <c r="J194" s="3" t="str">
        <f ca="1">IF('IWP30'!ContractNumber = 0, "", IF('IWP30'!Std4dot4 = "", "E", 'IWP30'!Std4dot4))</f>
        <v/>
      </c>
    </row>
    <row r="195" spans="1:10" ht="16.5" thickTop="1" thickBot="1">
      <c r="A195" s="491" t="s">
        <v>16</v>
      </c>
      <c r="B195" s="564"/>
      <c r="C195" s="564"/>
      <c r="D195" s="564"/>
      <c r="E195" s="564"/>
      <c r="F195" s="565"/>
      <c r="G195" s="487" t="s">
        <v>19</v>
      </c>
      <c r="H195" s="488"/>
      <c r="I195" s="487" t="s">
        <v>20</v>
      </c>
      <c r="J195" s="488"/>
    </row>
    <row r="196" spans="1:10" ht="16.5" thickTop="1" thickBot="1">
      <c r="A196" s="492"/>
      <c r="B196" s="566"/>
      <c r="C196" s="566"/>
      <c r="D196" s="566"/>
      <c r="E196" s="566"/>
      <c r="F196" s="567"/>
      <c r="G196" s="489">
        <f ca="1">COUNTIF(F184:J194, "Y")</f>
        <v>0</v>
      </c>
      <c r="H196" s="490"/>
      <c r="I196" s="489">
        <f ca="1">COUNTIF(F184:J194, "N")</f>
        <v>0</v>
      </c>
      <c r="J196" s="490"/>
    </row>
    <row r="197" spans="1:10" ht="16.5" customHeight="1" thickTop="1" thickBot="1">
      <c r="A197" s="549" t="s">
        <v>116</v>
      </c>
      <c r="B197" s="550"/>
      <c r="C197" s="550"/>
      <c r="D197" s="550"/>
      <c r="E197" s="550"/>
      <c r="F197" s="551"/>
      <c r="G197" s="487" t="s">
        <v>17</v>
      </c>
      <c r="H197" s="488"/>
      <c r="I197" s="487" t="s">
        <v>18</v>
      </c>
      <c r="J197" s="488"/>
    </row>
    <row r="198" spans="1:10" ht="17.25" customHeight="1" thickTop="1" thickBot="1">
      <c r="A198" s="552"/>
      <c r="B198" s="553"/>
      <c r="C198" s="553"/>
      <c r="D198" s="553"/>
      <c r="E198" s="553"/>
      <c r="F198" s="554"/>
      <c r="G198" s="489">
        <f ca="1">SUM(G182,G196,G168,G154)</f>
        <v>0</v>
      </c>
      <c r="H198" s="490"/>
      <c r="I198" s="489">
        <f ca="1">SUM(I182,I196,I168,I154)</f>
        <v>0</v>
      </c>
      <c r="J198" s="490"/>
    </row>
    <row r="199" spans="1:10" ht="16" thickTop="1">
      <c r="A199" s="571" t="s">
        <v>120</v>
      </c>
      <c r="B199" s="572"/>
      <c r="C199" s="572"/>
      <c r="D199" s="572"/>
      <c r="E199" s="572"/>
      <c r="F199" s="572"/>
      <c r="G199" s="572"/>
      <c r="H199" s="572"/>
      <c r="I199" s="572"/>
      <c r="J199" s="573"/>
    </row>
    <row r="200" spans="1:10" ht="16" thickBot="1">
      <c r="A200" s="555" t="s">
        <v>49</v>
      </c>
      <c r="B200" s="556"/>
      <c r="C200" s="556"/>
      <c r="D200" s="556"/>
      <c r="E200" s="556"/>
      <c r="F200" s="556"/>
      <c r="G200" s="556"/>
      <c r="H200" s="556"/>
      <c r="I200" s="556"/>
      <c r="J200" s="557"/>
    </row>
    <row r="201" spans="1:10" ht="16.5" customHeight="1" thickTop="1" thickBot="1">
      <c r="A201" s="493" t="s">
        <v>121</v>
      </c>
      <c r="B201" s="494"/>
      <c r="C201" s="494"/>
      <c r="D201" s="494"/>
      <c r="E201" s="495"/>
      <c r="F201" s="106">
        <v>1</v>
      </c>
      <c r="G201" s="106">
        <v>2</v>
      </c>
      <c r="H201" s="106">
        <v>3</v>
      </c>
      <c r="I201" s="106">
        <v>4</v>
      </c>
      <c r="J201" s="106">
        <v>5</v>
      </c>
    </row>
    <row r="202" spans="1:10" ht="16.5" customHeight="1" thickTop="1" thickBot="1">
      <c r="A202" s="496"/>
      <c r="B202" s="497"/>
      <c r="C202" s="497"/>
      <c r="D202" s="497"/>
      <c r="E202" s="498"/>
      <c r="F202" s="3" t="str">
        <f ca="1">IF('IWP01'!ContractNumber = 0, "", IF('IWP01'!Std5dot1 = "", "E", 'IWP01'!Std5dot1))</f>
        <v/>
      </c>
      <c r="G202" s="3" t="str">
        <f ca="1">IF('IWP02'!ContractNumber = 0, "", IF('IWP02'!Std5dot1 = "", "E", 'IWP02'!Std5dot1))</f>
        <v/>
      </c>
      <c r="H202" s="3" t="str">
        <f ca="1">IF('IWP03'!ContractNumber = 0, "", IF('IWP03'!Std5dot1 = "", "E", 'IWP03'!Std5dot1))</f>
        <v/>
      </c>
      <c r="I202" s="3" t="str">
        <f ca="1">IF('IWP04'!ContractNumber = 0, "", IF('IWP04'!Std5dot1 = "", "E", 'IWP04'!Std5dot1))</f>
        <v/>
      </c>
      <c r="J202" s="3" t="str">
        <f ca="1">IF('IWP05'!ContractNumber = 0, "", IF('IWP05'!Std5dot1 = "", "E", 'IWP05'!Std5dot1))</f>
        <v/>
      </c>
    </row>
    <row r="203" spans="1:10" ht="16.5" thickTop="1" thickBot="1">
      <c r="A203" s="496"/>
      <c r="B203" s="497"/>
      <c r="C203" s="497"/>
      <c r="D203" s="497"/>
      <c r="E203" s="498"/>
      <c r="F203" s="106">
        <v>6</v>
      </c>
      <c r="G203" s="106">
        <v>7</v>
      </c>
      <c r="H203" s="106">
        <v>8</v>
      </c>
      <c r="I203" s="106">
        <v>9</v>
      </c>
      <c r="J203" s="106">
        <v>10</v>
      </c>
    </row>
    <row r="204" spans="1:10" ht="16.5" customHeight="1" thickTop="1" thickBot="1">
      <c r="A204" s="530" t="s">
        <v>1562</v>
      </c>
      <c r="B204" s="531"/>
      <c r="C204" s="531"/>
      <c r="D204" s="531"/>
      <c r="E204" s="532"/>
      <c r="F204" s="3" t="str">
        <f ca="1">IF('IWP06'!ContractNumber = 0, "", IF('IWP06'!Std5dot1 = "", "E", 'IWP06'!Std5dot1))</f>
        <v/>
      </c>
      <c r="G204" s="3" t="str">
        <f ca="1">IF('IWP07'!ContractNumber = 0, "", IF('IWP07'!Std5dot1 = "", "E", 'IWP07'!Std5dot1))</f>
        <v/>
      </c>
      <c r="H204" s="3" t="str">
        <f ca="1">IF('IWP08'!ContractNumber = 0, "", IF('IWP08'!Std5dot1 = "", "E", 'IWP08'!Std5dot1))</f>
        <v/>
      </c>
      <c r="I204" s="3" t="str">
        <f ca="1">IF('IWP09'!ContractNumber = 0, "", IF('IWP09'!Std5dot1 = "", "E", 'IWP09'!Std5dot1))</f>
        <v/>
      </c>
      <c r="J204" s="3" t="str">
        <f ca="1">IF('IWP10'!ContractNumber = 0, "", IF('IWP10'!Std5dot1 = "", "E", 'IWP10'!Std5dot1))</f>
        <v/>
      </c>
    </row>
    <row r="205" spans="1:10" ht="17.25" customHeight="1" thickTop="1" thickBot="1">
      <c r="A205" s="530"/>
      <c r="B205" s="531"/>
      <c r="C205" s="531"/>
      <c r="D205" s="531"/>
      <c r="E205" s="532"/>
      <c r="F205" s="106">
        <v>11</v>
      </c>
      <c r="G205" s="106">
        <v>12</v>
      </c>
      <c r="H205" s="106">
        <v>13</v>
      </c>
      <c r="I205" s="106">
        <v>14</v>
      </c>
      <c r="J205" s="106">
        <v>15</v>
      </c>
    </row>
    <row r="206" spans="1:10" ht="17.25" customHeight="1" thickTop="1" thickBot="1">
      <c r="A206" s="558" t="s">
        <v>1362</v>
      </c>
      <c r="B206" s="559"/>
      <c r="C206" s="559"/>
      <c r="D206" s="559"/>
      <c r="E206" s="560"/>
      <c r="F206" s="3" t="str">
        <f ca="1">IF('IWP11'!ContractNumber = 0, "", IF('IWP11'!Std5dot1 = "", "E", 'IWP11'!Std5dot1))</f>
        <v/>
      </c>
      <c r="G206" s="3" t="str">
        <f ca="1">IF('IWP12'!ContractNumber = 0, "", IF('IWP12'!Std5dot1 = "", "E", 'IWP12'!Std5dot1))</f>
        <v/>
      </c>
      <c r="H206" s="3" t="str">
        <f ca="1">IF('IWP13'!ContractNumber = 0, "", IF('IWP13'!Std5dot1 = "", "E", 'IWP13'!Std5dot1))</f>
        <v/>
      </c>
      <c r="I206" s="3" t="str">
        <f ca="1">IF('IWP14'!ContractNumber = 0, "", IF('IWP14'!Std5dot1 = "", "E", 'IWP14'!Std5dot1))</f>
        <v/>
      </c>
      <c r="J206" s="3" t="str">
        <f ca="1">IF('IWP15'!ContractNumber = 0, "", IF('IWP15'!Std5dot1 = "", "E", 'IWP15'!Std5dot1))</f>
        <v/>
      </c>
    </row>
    <row r="207" spans="1:10" ht="17.25" customHeight="1" thickTop="1" thickBot="1">
      <c r="A207" s="558"/>
      <c r="B207" s="559"/>
      <c r="C207" s="559"/>
      <c r="D207" s="559"/>
      <c r="E207" s="560"/>
      <c r="F207" s="106">
        <v>16</v>
      </c>
      <c r="G207" s="106">
        <v>17</v>
      </c>
      <c r="H207" s="106">
        <v>18</v>
      </c>
      <c r="I207" s="106">
        <v>19</v>
      </c>
      <c r="J207" s="106">
        <v>20</v>
      </c>
    </row>
    <row r="208" spans="1:10" ht="17.25" customHeight="1" thickTop="1" thickBot="1">
      <c r="A208" s="558"/>
      <c r="B208" s="559"/>
      <c r="C208" s="559"/>
      <c r="D208" s="559"/>
      <c r="E208" s="560"/>
      <c r="F208" s="3" t="str">
        <f ca="1">IF('IWP16'!ContractNumber = 0, "", IF('IWP16'!Std5dot1 = "", "E", 'IWP16'!Std5dot1))</f>
        <v/>
      </c>
      <c r="G208" s="3" t="str">
        <f ca="1">IF('IWP17'!ContractNumber = 0, "", IF('IWP17'!Std5dot1 = "", "E", 'IWP17'!Std5dot1))</f>
        <v/>
      </c>
      <c r="H208" s="3" t="str">
        <f ca="1">IF('IWP18'!ContractNumber = 0, "", IF('IWP18'!Std5dot1 = "", "E", 'IWP18'!Std5dot1))</f>
        <v/>
      </c>
      <c r="I208" s="3" t="str">
        <f ca="1">IF('IWP19'!ContractNumber = 0, "", IF('IWP19'!Std5dot1 = "", "E", 'IWP19'!Std5dot1))</f>
        <v/>
      </c>
      <c r="J208" s="3" t="str">
        <f ca="1">IF('IWP20'!ContractNumber = 0, "", IF('IWP20'!Std5dot1 = "", "E", 'IWP20'!Std5dot1))</f>
        <v/>
      </c>
    </row>
    <row r="209" spans="1:12" ht="17.25" customHeight="1" thickTop="1" thickBot="1">
      <c r="A209" s="558"/>
      <c r="B209" s="559"/>
      <c r="C209" s="559"/>
      <c r="D209" s="559"/>
      <c r="E209" s="560"/>
      <c r="F209" s="106">
        <v>21</v>
      </c>
      <c r="G209" s="106">
        <v>22</v>
      </c>
      <c r="H209" s="106">
        <v>23</v>
      </c>
      <c r="I209" s="106">
        <v>24</v>
      </c>
      <c r="J209" s="106">
        <v>25</v>
      </c>
    </row>
    <row r="210" spans="1:12" ht="17.25" customHeight="1" thickTop="1" thickBot="1">
      <c r="A210" s="558"/>
      <c r="B210" s="559"/>
      <c r="C210" s="559"/>
      <c r="D210" s="559"/>
      <c r="E210" s="560"/>
      <c r="F210" s="3" t="str">
        <f ca="1">IF('IWP21'!ContractNumber = 0, "", IF('IWP21'!Std5dot1 = "", "E", 'IWP21'!Std5dot1))</f>
        <v/>
      </c>
      <c r="G210" s="3" t="str">
        <f ca="1">IF('IWP22'!ContractNumber = 0, "", IF('IWP22'!Std5dot1 = "", "E", 'IWP22'!Std5dot1))</f>
        <v/>
      </c>
      <c r="H210" s="3" t="str">
        <f ca="1">IF('IWP23'!ContractNumber = 0, "", IF('IWP23'!Std5dot1 = "", "E", 'IWP23'!Std5dot1))</f>
        <v/>
      </c>
      <c r="I210" s="3" t="str">
        <f ca="1">IF('IWP24'!ContractNumber = 0, "", IF('IWP24'!Std5dot1 = "", "E", 'IWP24'!Std5dot1))</f>
        <v/>
      </c>
      <c r="J210" s="3" t="str">
        <f ca="1">IF('IWP25'!ContractNumber = 0, "", IF('IWP25'!Std5dot1 = "", "E", 'IWP25'!Std5dot1))</f>
        <v/>
      </c>
    </row>
    <row r="211" spans="1:12" ht="17.25" customHeight="1" thickTop="1" thickBot="1">
      <c r="A211" s="558"/>
      <c r="B211" s="559"/>
      <c r="C211" s="559"/>
      <c r="D211" s="559"/>
      <c r="E211" s="560"/>
      <c r="F211" s="106">
        <v>26</v>
      </c>
      <c r="G211" s="106">
        <v>27</v>
      </c>
      <c r="H211" s="106">
        <v>28</v>
      </c>
      <c r="I211" s="106">
        <v>29</v>
      </c>
      <c r="J211" s="106">
        <v>30</v>
      </c>
    </row>
    <row r="212" spans="1:12" ht="17.25" customHeight="1" thickTop="1" thickBot="1">
      <c r="A212" s="561"/>
      <c r="B212" s="562"/>
      <c r="C212" s="562"/>
      <c r="D212" s="562"/>
      <c r="E212" s="563"/>
      <c r="F212" s="3" t="str">
        <f ca="1">IF('IWP26'!ContractNumber = 0, "", IF('IWP26'!Std5dot1 = "", "E", 'IWP26'!Std5dot1))</f>
        <v/>
      </c>
      <c r="G212" s="3" t="str">
        <f ca="1">IF('IWP27'!ContractNumber = 0, "", IF('IWP27'!Std5dot1 = "", "E", 'IWP27'!Std5dot1))</f>
        <v/>
      </c>
      <c r="H212" s="3" t="str">
        <f ca="1">IF('IWP28'!ContractNumber = 0, "", IF('IWP28'!Std5dot1 = "", "E", 'IWP28'!Std5dot1))</f>
        <v/>
      </c>
      <c r="I212" s="3" t="str">
        <f ca="1">IF('IWP29'!ContractNumber = 0, "", IF('IWP29'!Std5dot1 = "", "E", 'IWP29'!Std5dot1))</f>
        <v/>
      </c>
      <c r="J212" s="3" t="str">
        <f ca="1">IF('IWP30'!ContractNumber = 0, "", IF('IWP30'!Std5dot1 = "", "E", 'IWP30'!Std5dot1))</f>
        <v/>
      </c>
    </row>
    <row r="213" spans="1:12" ht="17.25" customHeight="1" thickTop="1" thickBot="1">
      <c r="A213" s="108" t="s">
        <v>16</v>
      </c>
      <c r="B213" s="760"/>
      <c r="C213" s="760"/>
      <c r="D213" s="760"/>
      <c r="E213" s="760"/>
      <c r="F213" s="761"/>
      <c r="G213" s="487" t="s">
        <v>17</v>
      </c>
      <c r="H213" s="488"/>
      <c r="I213" s="487" t="s">
        <v>18</v>
      </c>
      <c r="J213" s="488"/>
    </row>
    <row r="214" spans="1:12" ht="33.75" customHeight="1" thickTop="1" thickBot="1">
      <c r="A214" s="766" t="s">
        <v>120</v>
      </c>
      <c r="B214" s="767"/>
      <c r="C214" s="767"/>
      <c r="D214" s="767"/>
      <c r="E214" s="767"/>
      <c r="F214" s="768"/>
      <c r="G214" s="489">
        <f ca="1">COUNTIF(F202:J212, "Y")</f>
        <v>0</v>
      </c>
      <c r="H214" s="490"/>
      <c r="I214" s="489">
        <f ca="1">COUNTIF(F202:J212, "N")</f>
        <v>0</v>
      </c>
      <c r="J214" s="490"/>
      <c r="K214" s="23"/>
    </row>
    <row r="215" spans="1:12" ht="16.5" thickTop="1" thickBot="1">
      <c r="A215" s="571" t="s">
        <v>122</v>
      </c>
      <c r="B215" s="572"/>
      <c r="C215" s="572"/>
      <c r="D215" s="572"/>
      <c r="E215" s="572"/>
      <c r="F215" s="572"/>
      <c r="G215" s="572"/>
      <c r="H215" s="572"/>
      <c r="I215" s="572"/>
      <c r="J215" s="573"/>
      <c r="K215" s="23"/>
    </row>
    <row r="216" spans="1:12" ht="30" customHeight="1" thickTop="1" thickBot="1">
      <c r="A216" s="762" t="s">
        <v>787</v>
      </c>
      <c r="B216" s="755" t="s">
        <v>1563</v>
      </c>
      <c r="C216" s="756"/>
      <c r="D216" s="756"/>
      <c r="E216" s="756"/>
      <c r="F216" s="756"/>
      <c r="G216" s="756"/>
      <c r="H216" s="757"/>
      <c r="I216" s="593" t="s">
        <v>1212</v>
      </c>
      <c r="J216" s="594"/>
      <c r="K216"/>
      <c r="L216"/>
    </row>
    <row r="217" spans="1:12" ht="30" customHeight="1" thickTop="1" thickBot="1">
      <c r="A217" s="763"/>
      <c r="B217" s="758"/>
      <c r="C217" s="758"/>
      <c r="D217" s="758"/>
      <c r="E217" s="758"/>
      <c r="F217" s="758"/>
      <c r="G217" s="758"/>
      <c r="H217" s="759"/>
      <c r="I217" s="574"/>
      <c r="J217" s="575"/>
      <c r="K217"/>
      <c r="L217"/>
    </row>
    <row r="218" spans="1:12" ht="15.75" customHeight="1" thickTop="1">
      <c r="A218" s="764"/>
      <c r="B218" s="749" t="s">
        <v>1219</v>
      </c>
      <c r="C218" s="750"/>
      <c r="D218" s="750"/>
      <c r="E218" s="750"/>
      <c r="F218" s="750"/>
      <c r="G218" s="750"/>
      <c r="H218" s="750"/>
      <c r="I218" s="750"/>
      <c r="J218" s="751"/>
      <c r="K218"/>
      <c r="L218"/>
    </row>
    <row r="219" spans="1:12" ht="15.75" customHeight="1" thickBot="1">
      <c r="A219" s="765"/>
      <c r="B219" s="752"/>
      <c r="C219" s="753"/>
      <c r="D219" s="753"/>
      <c r="E219" s="753"/>
      <c r="F219" s="753"/>
      <c r="G219" s="753"/>
      <c r="H219" s="753"/>
      <c r="I219" s="753"/>
      <c r="J219" s="754"/>
      <c r="K219" s="23"/>
    </row>
    <row r="220" spans="1:12" ht="17.25" customHeight="1" thickTop="1">
      <c r="A220" s="530" t="s">
        <v>124</v>
      </c>
      <c r="B220" s="531"/>
      <c r="C220" s="531"/>
      <c r="D220" s="531"/>
      <c r="E220" s="531"/>
      <c r="F220" s="531"/>
      <c r="G220" s="531"/>
      <c r="H220" s="531"/>
      <c r="I220" s="531"/>
      <c r="J220" s="532"/>
    </row>
    <row r="221" spans="1:12" ht="39" customHeight="1">
      <c r="A221" s="857" t="s">
        <v>125</v>
      </c>
      <c r="B221" s="858"/>
      <c r="C221" s="858"/>
      <c r="D221" s="858"/>
      <c r="E221" s="858"/>
      <c r="F221" s="858"/>
      <c r="G221" s="858"/>
      <c r="H221" s="858"/>
      <c r="I221" s="858"/>
      <c r="J221" s="859"/>
    </row>
    <row r="222" spans="1:12" ht="15" customHeight="1">
      <c r="A222" s="530" t="s">
        <v>126</v>
      </c>
      <c r="B222" s="531"/>
      <c r="C222" s="531"/>
      <c r="D222" s="531"/>
      <c r="E222" s="531"/>
      <c r="F222" s="531"/>
      <c r="G222" s="531"/>
      <c r="H222" s="531"/>
      <c r="I222" s="531"/>
      <c r="J222" s="532"/>
    </row>
    <row r="223" spans="1:12" ht="15" customHeight="1">
      <c r="A223" s="530" t="s">
        <v>127</v>
      </c>
      <c r="B223" s="531"/>
      <c r="C223" s="531"/>
      <c r="D223" s="531"/>
      <c r="E223" s="531"/>
      <c r="F223" s="531"/>
      <c r="G223" s="531"/>
      <c r="H223" s="531"/>
      <c r="I223" s="531"/>
      <c r="J223" s="532"/>
    </row>
    <row r="224" spans="1:12" ht="15" customHeight="1">
      <c r="A224" s="530" t="s">
        <v>128</v>
      </c>
      <c r="B224" s="531"/>
      <c r="C224" s="531"/>
      <c r="D224" s="531"/>
      <c r="E224" s="531"/>
      <c r="F224" s="531"/>
      <c r="G224" s="531"/>
      <c r="H224" s="531"/>
      <c r="I224" s="531"/>
      <c r="J224" s="532"/>
    </row>
    <row r="225" spans="1:11" ht="15" customHeight="1">
      <c r="A225" s="530" t="s">
        <v>129</v>
      </c>
      <c r="B225" s="531"/>
      <c r="C225" s="531"/>
      <c r="D225" s="531"/>
      <c r="E225" s="531"/>
      <c r="F225" s="531"/>
      <c r="G225" s="531"/>
      <c r="H225" s="531"/>
      <c r="I225" s="531"/>
      <c r="J225" s="532"/>
    </row>
    <row r="226" spans="1:11" ht="30" customHeight="1">
      <c r="A226" s="530" t="s">
        <v>130</v>
      </c>
      <c r="B226" s="531"/>
      <c r="C226" s="531"/>
      <c r="D226" s="531"/>
      <c r="E226" s="531"/>
      <c r="F226" s="531"/>
      <c r="G226" s="531"/>
      <c r="H226" s="531"/>
      <c r="I226" s="531"/>
      <c r="J226" s="532"/>
    </row>
    <row r="227" spans="1:11" ht="15.75" customHeight="1" thickBot="1">
      <c r="A227" s="849" t="s">
        <v>131</v>
      </c>
      <c r="B227" s="850"/>
      <c r="C227" s="850"/>
      <c r="D227" s="850"/>
      <c r="E227" s="771"/>
      <c r="F227" s="771"/>
      <c r="G227" s="771"/>
      <c r="H227" s="771"/>
      <c r="I227" s="771"/>
      <c r="J227" s="772"/>
    </row>
    <row r="228" spans="1:11" ht="15.75" customHeight="1" thickTop="1" thickBot="1">
      <c r="A228" s="769" t="s">
        <v>132</v>
      </c>
      <c r="B228" s="770"/>
      <c r="C228" s="18" t="s">
        <v>134</v>
      </c>
      <c r="D228" s="769" t="s">
        <v>141</v>
      </c>
      <c r="E228" s="770"/>
      <c r="F228" s="18" t="s">
        <v>134</v>
      </c>
      <c r="G228" s="769" t="s">
        <v>148</v>
      </c>
      <c r="H228" s="770"/>
      <c r="I228" s="770"/>
      <c r="J228" s="860"/>
    </row>
    <row r="229" spans="1:11" ht="15.75" customHeight="1" thickBot="1">
      <c r="A229" s="739" t="s">
        <v>133</v>
      </c>
      <c r="B229" s="740"/>
      <c r="C229" s="216"/>
      <c r="D229" s="739" t="s">
        <v>142</v>
      </c>
      <c r="E229" s="740"/>
      <c r="F229" s="216"/>
      <c r="G229" s="739" t="s">
        <v>1241</v>
      </c>
      <c r="H229" s="737"/>
      <c r="I229" s="737"/>
      <c r="J229" s="217"/>
    </row>
    <row r="230" spans="1:11" ht="15.75" customHeight="1" thickBot="1">
      <c r="A230" s="739" t="s">
        <v>135</v>
      </c>
      <c r="B230" s="740"/>
      <c r="C230" s="216"/>
      <c r="D230" s="739" t="s">
        <v>143</v>
      </c>
      <c r="E230" s="740"/>
      <c r="F230" s="216"/>
      <c r="G230" s="739" t="s">
        <v>149</v>
      </c>
      <c r="H230" s="737"/>
      <c r="I230" s="737"/>
      <c r="J230" s="217"/>
    </row>
    <row r="231" spans="1:11" ht="15.75" customHeight="1" thickBot="1">
      <c r="A231" s="739" t="s">
        <v>136</v>
      </c>
      <c r="B231" s="740"/>
      <c r="C231" s="216"/>
      <c r="D231" s="739" t="s">
        <v>144</v>
      </c>
      <c r="E231" s="740"/>
      <c r="F231" s="216"/>
      <c r="G231" s="736" t="s">
        <v>1242</v>
      </c>
      <c r="H231" s="737"/>
      <c r="I231" s="737"/>
      <c r="J231" s="854" t="str">
        <f>IF(Std_VI_1_BalPettyCashLog = "", "", J229 - ABS(J230))</f>
        <v/>
      </c>
    </row>
    <row r="232" spans="1:11" ht="15.75" customHeight="1" thickBot="1">
      <c r="A232" s="739" t="s">
        <v>137</v>
      </c>
      <c r="B232" s="740"/>
      <c r="C232" s="216"/>
      <c r="D232" s="739" t="s">
        <v>145</v>
      </c>
      <c r="E232" s="740"/>
      <c r="F232" s="216"/>
      <c r="G232" s="738"/>
      <c r="H232" s="737"/>
      <c r="I232" s="737"/>
      <c r="J232" s="854"/>
    </row>
    <row r="233" spans="1:11" ht="15.75" customHeight="1" thickBot="1">
      <c r="A233" s="739" t="s">
        <v>138</v>
      </c>
      <c r="B233" s="740"/>
      <c r="C233" s="216"/>
      <c r="D233" s="739" t="s">
        <v>146</v>
      </c>
      <c r="E233" s="740"/>
      <c r="F233" s="216"/>
      <c r="G233" s="734" t="s">
        <v>1243</v>
      </c>
      <c r="H233" s="735"/>
      <c r="I233" s="735"/>
      <c r="J233" s="110">
        <f>IF(E236="",0,E236)</f>
        <v>0</v>
      </c>
    </row>
    <row r="234" spans="1:11" ht="38.25" customHeight="1" thickTop="1" thickBot="1">
      <c r="A234" s="739" t="s">
        <v>139</v>
      </c>
      <c r="B234" s="740"/>
      <c r="C234" s="216"/>
      <c r="D234" s="739" t="s">
        <v>147</v>
      </c>
      <c r="E234" s="740"/>
      <c r="F234" s="216"/>
      <c r="G234" s="741" t="s">
        <v>1244</v>
      </c>
      <c r="H234" s="742"/>
      <c r="I234" s="742"/>
      <c r="J234" s="111" t="str">
        <f>IF(Std_VI_1_BalPettyCashLog = "", "", J233 - J231)</f>
        <v/>
      </c>
    </row>
    <row r="235" spans="1:11" ht="30" customHeight="1" thickBot="1">
      <c r="A235" s="734" t="s">
        <v>140</v>
      </c>
      <c r="B235" s="861"/>
      <c r="C235" s="61" t="str">
        <f>IF(COUNTIF(C229:C234, "") = 6, "", SUM(C229:C234))</f>
        <v/>
      </c>
      <c r="D235" s="734" t="s">
        <v>140</v>
      </c>
      <c r="E235" s="861"/>
      <c r="F235" s="61" t="str">
        <f>IF(COUNTIF(F229:F234, "") = 6, "", SUM(F229:F234))</f>
        <v/>
      </c>
      <c r="G235" s="743" t="s">
        <v>1245</v>
      </c>
      <c r="H235" s="744"/>
      <c r="I235" s="745"/>
      <c r="J235" s="883"/>
      <c r="K235"/>
    </row>
    <row r="236" spans="1:11" ht="30" customHeight="1" thickBot="1">
      <c r="A236" s="732" t="s">
        <v>523</v>
      </c>
      <c r="B236" s="733"/>
      <c r="C236" s="733"/>
      <c r="D236" s="733"/>
      <c r="E236" s="855" t="str">
        <f>IF(Std_VI_1_CoinsTotal = "", IF(Std_VI_1_CurrencyTotal = "", "", Std_VI_1_CurrencyTotal), IF(Std_VI_1_CurrencyTotal = "", Std_VI_1_CoinsTotal, Std_VI_1_CoinsTotal + Std_VI_1_CurrencyTotal))</f>
        <v/>
      </c>
      <c r="F236" s="856"/>
      <c r="G236" s="746"/>
      <c r="H236" s="747"/>
      <c r="I236" s="748"/>
      <c r="J236" s="884"/>
    </row>
    <row r="237" spans="1:11" ht="15" customHeight="1" thickTop="1" thickBot="1">
      <c r="A237" s="851" t="s">
        <v>1363</v>
      </c>
      <c r="B237" s="852"/>
      <c r="C237" s="852"/>
      <c r="D237" s="852"/>
      <c r="E237" s="852"/>
      <c r="F237" s="852"/>
      <c r="G237" s="852"/>
      <c r="H237" s="852"/>
      <c r="I237" s="852"/>
      <c r="J237" s="853"/>
    </row>
    <row r="238" spans="1:11" ht="30" customHeight="1" thickTop="1" thickBot="1">
      <c r="A238" s="593" t="s">
        <v>123</v>
      </c>
      <c r="B238" s="782"/>
      <c r="C238" s="782"/>
      <c r="D238" s="782"/>
      <c r="E238" s="782"/>
      <c r="F238" s="782"/>
      <c r="G238" s="782"/>
      <c r="H238" s="783"/>
      <c r="I238" s="487" t="s">
        <v>15</v>
      </c>
      <c r="J238" s="781"/>
      <c r="K238" s="146"/>
    </row>
    <row r="239" spans="1:11" ht="15" customHeight="1" thickTop="1">
      <c r="A239" s="888" t="s">
        <v>1564</v>
      </c>
      <c r="B239" s="889"/>
      <c r="C239" s="889"/>
      <c r="D239" s="889"/>
      <c r="E239" s="889"/>
      <c r="F239" s="889"/>
      <c r="G239" s="889"/>
      <c r="H239" s="889"/>
      <c r="I239" s="773" t="str">
        <f>IF(Std6dot1NotCalc = "","", IF(Std6dot1NotCalc="N","NA",IF(Std_VI_1_BalPettyCashLog="","",IF(Std_VI_1_PettyCashOverShort=0,"Y",IF(J235&lt;&gt;"NA",J235,"")))))</f>
        <v/>
      </c>
      <c r="J239" s="774"/>
      <c r="K239" s="146"/>
    </row>
    <row r="240" spans="1:11" ht="15" customHeight="1" thickBot="1">
      <c r="A240" s="888"/>
      <c r="B240" s="889"/>
      <c r="C240" s="889"/>
      <c r="D240" s="889"/>
      <c r="E240" s="889"/>
      <c r="F240" s="889"/>
      <c r="G240" s="889"/>
      <c r="H240" s="889"/>
      <c r="I240" s="775"/>
      <c r="J240" s="695"/>
    </row>
    <row r="241" spans="1:10" ht="15" customHeight="1" thickTop="1" thickBot="1">
      <c r="A241" s="890"/>
      <c r="B241" s="891"/>
      <c r="C241" s="891"/>
      <c r="D241" s="891"/>
      <c r="E241" s="891"/>
      <c r="F241" s="891"/>
      <c r="G241" s="891"/>
      <c r="H241" s="891"/>
      <c r="I241" s="892"/>
      <c r="J241" s="893"/>
    </row>
    <row r="242" spans="1:10" ht="15.75" customHeight="1" thickTop="1" thickBot="1">
      <c r="A242" s="109" t="s">
        <v>16</v>
      </c>
      <c r="B242" s="784"/>
      <c r="C242" s="784"/>
      <c r="D242" s="784"/>
      <c r="E242" s="784"/>
      <c r="F242" s="784"/>
      <c r="G242" s="784"/>
      <c r="H242" s="784"/>
      <c r="I242" s="785"/>
      <c r="J242" s="786"/>
    </row>
    <row r="243" spans="1:10" ht="17.25" customHeight="1" thickTop="1">
      <c r="A243" s="571" t="s">
        <v>151</v>
      </c>
      <c r="B243" s="572"/>
      <c r="C243" s="572"/>
      <c r="D243" s="572"/>
      <c r="E243" s="572"/>
      <c r="F243" s="572"/>
      <c r="G243" s="572"/>
      <c r="H243" s="572"/>
      <c r="I243" s="572"/>
      <c r="J243" s="573"/>
    </row>
    <row r="244" spans="1:10" ht="17.25" customHeight="1" thickBot="1">
      <c r="A244" s="555" t="s">
        <v>1565</v>
      </c>
      <c r="B244" s="556"/>
      <c r="C244" s="556"/>
      <c r="D244" s="556"/>
      <c r="E244" s="556"/>
      <c r="F244" s="556"/>
      <c r="G244" s="556"/>
      <c r="H244" s="556"/>
      <c r="I244" s="556"/>
      <c r="J244" s="557"/>
    </row>
    <row r="245" spans="1:10" ht="17.25" customHeight="1" thickTop="1" thickBot="1">
      <c r="A245" s="493" t="s">
        <v>152</v>
      </c>
      <c r="B245" s="494"/>
      <c r="C245" s="494"/>
      <c r="D245" s="494"/>
      <c r="E245" s="495"/>
      <c r="F245" s="106">
        <v>1</v>
      </c>
      <c r="G245" s="106">
        <v>2</v>
      </c>
      <c r="H245" s="106">
        <v>3</v>
      </c>
      <c r="I245" s="106">
        <v>4</v>
      </c>
      <c r="J245" s="106">
        <v>5</v>
      </c>
    </row>
    <row r="246" spans="1:10" ht="17.25" customHeight="1" thickTop="1" thickBot="1">
      <c r="A246" s="496"/>
      <c r="B246" s="497"/>
      <c r="C246" s="497"/>
      <c r="D246" s="497"/>
      <c r="E246" s="498"/>
      <c r="F246" s="3" t="str">
        <f ca="1">IF('IWP01'!ContractNumber = 0, "", IF('IWP01'!Std7dot1 = "", "E", 'IWP01'!Std7dot1))</f>
        <v/>
      </c>
      <c r="G246" s="3" t="str">
        <f ca="1">IF('IWP02'!ContractNumber = 0, "", IF('IWP02'!Std7dot1 = "", "E", 'IWP02'!Std7dot1))</f>
        <v/>
      </c>
      <c r="H246" s="3" t="str">
        <f ca="1">IF('IWP03'!ContractNumber = 0, "", IF('IWP03'!Std7dot1 = "", "E", 'IWP03'!Std7dot1))</f>
        <v/>
      </c>
      <c r="I246" s="3" t="str">
        <f ca="1">IF('IWP04'!ContractNumber = 0, "", IF('IWP04'!Std7dot1 = "", "E", 'IWP04'!Std7dot1))</f>
        <v/>
      </c>
      <c r="J246" s="3" t="str">
        <f ca="1">IF('IWP05'!ContractNumber = 0, "", IF('IWP05'!Std7dot1 = "", "E", 'IWP05'!Std7dot1))</f>
        <v/>
      </c>
    </row>
    <row r="247" spans="1:10" ht="17.25" customHeight="1" thickTop="1" thickBot="1">
      <c r="A247" s="530" t="s">
        <v>1566</v>
      </c>
      <c r="B247" s="531"/>
      <c r="C247" s="531"/>
      <c r="D247" s="531"/>
      <c r="E247" s="532"/>
      <c r="F247" s="106">
        <v>6</v>
      </c>
      <c r="G247" s="106">
        <v>7</v>
      </c>
      <c r="H247" s="106">
        <v>8</v>
      </c>
      <c r="I247" s="106">
        <v>9</v>
      </c>
      <c r="J247" s="106">
        <v>10</v>
      </c>
    </row>
    <row r="248" spans="1:10" ht="17.25" customHeight="1" thickTop="1" thickBot="1">
      <c r="A248" s="530"/>
      <c r="B248" s="531"/>
      <c r="C248" s="531"/>
      <c r="D248" s="531"/>
      <c r="E248" s="532"/>
      <c r="F248" s="3" t="str">
        <f ca="1">IF('IWP06'!ContractNumber = 0, "", IF('IWP06'!Std7dot1 = "", "E", 'IWP06'!Std7dot1))</f>
        <v/>
      </c>
      <c r="G248" s="3" t="str">
        <f ca="1">IF('IWP07'!ContractNumber = 0, "", IF('IWP07'!Std7dot1 = "", "E", 'IWP07'!Std7dot1))</f>
        <v/>
      </c>
      <c r="H248" s="3" t="str">
        <f ca="1">IF('IWP08'!ContractNumber = 0, "", IF('IWP08'!Std7dot1 = "", "E", 'IWP08'!Std7dot1))</f>
        <v/>
      </c>
      <c r="I248" s="3" t="str">
        <f ca="1">IF('IWP09'!ContractNumber = 0, "", IF('IWP09'!Std7dot1 = "", "E", 'IWP09'!Std7dot1))</f>
        <v/>
      </c>
      <c r="J248" s="3" t="str">
        <f ca="1">IF('IWP10'!ContractNumber = 0, "", IF('IWP10'!Std7dot1 = "", "E", 'IWP10'!Std7dot1))</f>
        <v/>
      </c>
    </row>
    <row r="249" spans="1:10" ht="17.25" customHeight="1" thickTop="1" thickBot="1">
      <c r="A249" s="530"/>
      <c r="B249" s="531"/>
      <c r="C249" s="531"/>
      <c r="D249" s="531"/>
      <c r="E249" s="532"/>
      <c r="F249" s="106">
        <v>11</v>
      </c>
      <c r="G249" s="106">
        <v>12</v>
      </c>
      <c r="H249" s="106">
        <v>13</v>
      </c>
      <c r="I249" s="106">
        <v>14</v>
      </c>
      <c r="J249" s="106">
        <v>15</v>
      </c>
    </row>
    <row r="250" spans="1:10" ht="17.25" customHeight="1" thickTop="1" thickBot="1">
      <c r="A250" s="558" t="s">
        <v>1364</v>
      </c>
      <c r="B250" s="559"/>
      <c r="C250" s="559"/>
      <c r="D250" s="559"/>
      <c r="E250" s="560"/>
      <c r="F250" s="3" t="str">
        <f ca="1">IF('IWP11'!ContractNumber = 0, "", IF('IWP11'!Std7dot1 = "", "E", 'IWP11'!Std7dot1))</f>
        <v/>
      </c>
      <c r="G250" s="3" t="str">
        <f ca="1">IF('IWP12'!ContractNumber = 0, "", IF('IWP12'!Std7dot1 = "", "E", 'IWP12'!Std7dot1))</f>
        <v/>
      </c>
      <c r="H250" s="3" t="str">
        <f ca="1">IF('IWP13'!ContractNumber = 0, "", IF('IWP13'!Std7dot1 = "", "E", 'IWP13'!Std7dot1))</f>
        <v/>
      </c>
      <c r="I250" s="3" t="str">
        <f ca="1">IF('IWP14'!ContractNumber = 0, "", IF('IWP14'!Std7dot1 = "", "E", 'IWP14'!Std7dot1))</f>
        <v/>
      </c>
      <c r="J250" s="3" t="str">
        <f ca="1">IF('IWP15'!ContractNumber = 0, "", IF('IWP15'!Std7dot1 = "", "E", 'IWP15'!Std7dot1))</f>
        <v/>
      </c>
    </row>
    <row r="251" spans="1:10" ht="16.5" customHeight="1" thickTop="1" thickBot="1">
      <c r="A251" s="558"/>
      <c r="B251" s="559"/>
      <c r="C251" s="559"/>
      <c r="D251" s="559"/>
      <c r="E251" s="560"/>
      <c r="F251" s="106">
        <v>16</v>
      </c>
      <c r="G251" s="106">
        <v>17</v>
      </c>
      <c r="H251" s="106">
        <v>18</v>
      </c>
      <c r="I251" s="106">
        <v>19</v>
      </c>
      <c r="J251" s="106">
        <v>20</v>
      </c>
    </row>
    <row r="252" spans="1:10" ht="17.25" customHeight="1" thickTop="1" thickBot="1">
      <c r="A252" s="558"/>
      <c r="B252" s="559"/>
      <c r="C252" s="559"/>
      <c r="D252" s="559"/>
      <c r="E252" s="560"/>
      <c r="F252" s="3" t="str">
        <f ca="1">IF('IWP16'!ContractNumber = 0, "", IF('IWP16'!Std7dot1 = "", "E", 'IWP16'!Std7dot1))</f>
        <v/>
      </c>
      <c r="G252" s="3" t="str">
        <f ca="1">IF('IWP17'!ContractNumber = 0, "", IF('IWP17'!Std7dot1 = "", "E", 'IWP17'!Std7dot1))</f>
        <v/>
      </c>
      <c r="H252" s="3" t="str">
        <f ca="1">IF('IWP18'!ContractNumber = 0, "", IF('IWP18'!Std7dot1 = "", "E", 'IWP18'!Std7dot1))</f>
        <v/>
      </c>
      <c r="I252" s="3" t="str">
        <f ca="1">IF('IWP19'!ContractNumber = 0, "", IF('IWP19'!Std7dot1 = "", "E", 'IWP19'!Std7dot1))</f>
        <v/>
      </c>
      <c r="J252" s="3" t="str">
        <f ca="1">IF('IWP20'!ContractNumber = 0, "", IF('IWP20'!Std7dot1 = "", "E", 'IWP20'!Std7dot1))</f>
        <v/>
      </c>
    </row>
    <row r="253" spans="1:10" ht="17.25" customHeight="1" thickTop="1" thickBot="1">
      <c r="A253" s="558"/>
      <c r="B253" s="559"/>
      <c r="C253" s="559"/>
      <c r="D253" s="559"/>
      <c r="E253" s="560"/>
      <c r="F253" s="106">
        <v>21</v>
      </c>
      <c r="G253" s="106">
        <v>22</v>
      </c>
      <c r="H253" s="106">
        <v>23</v>
      </c>
      <c r="I253" s="106">
        <v>24</v>
      </c>
      <c r="J253" s="106">
        <v>25</v>
      </c>
    </row>
    <row r="254" spans="1:10" ht="16.5" customHeight="1" thickTop="1" thickBot="1">
      <c r="A254" s="558"/>
      <c r="B254" s="559"/>
      <c r="C254" s="559"/>
      <c r="D254" s="559"/>
      <c r="E254" s="560"/>
      <c r="F254" s="3" t="str">
        <f ca="1">IF('IWP21'!ContractNumber = 0, "", IF('IWP21'!Std7dot1 = "", "E", 'IWP21'!Std7dot1))</f>
        <v/>
      </c>
      <c r="G254" s="3" t="str">
        <f ca="1">IF('IWP22'!ContractNumber = 0, "", IF('IWP22'!Std7dot1 = "", "E", 'IWP22'!Std7dot1))</f>
        <v/>
      </c>
      <c r="H254" s="3" t="str">
        <f ca="1">IF('IWP23'!ContractNumber = 0, "", IF('IWP23'!Std7dot1 = "", "E", 'IWP23'!Std7dot1))</f>
        <v/>
      </c>
      <c r="I254" s="3" t="str">
        <f ca="1">IF('IWP24'!ContractNumber = 0, "", IF('IWP24'!Std7dot1 = "", "E", 'IWP24'!Std7dot1))</f>
        <v/>
      </c>
      <c r="J254" s="3" t="str">
        <f ca="1">IF('IWP25'!ContractNumber = 0, "", IF('IWP25'!Std7dot1 = "", "E", 'IWP25'!Std7dot1))</f>
        <v/>
      </c>
    </row>
    <row r="255" spans="1:10" ht="16.5" customHeight="1" thickTop="1" thickBot="1">
      <c r="A255" s="558"/>
      <c r="B255" s="559"/>
      <c r="C255" s="559"/>
      <c r="D255" s="559"/>
      <c r="E255" s="560"/>
      <c r="F255" s="106">
        <v>26</v>
      </c>
      <c r="G255" s="106">
        <v>27</v>
      </c>
      <c r="H255" s="106">
        <v>28</v>
      </c>
      <c r="I255" s="106">
        <v>29</v>
      </c>
      <c r="J255" s="106">
        <v>30</v>
      </c>
    </row>
    <row r="256" spans="1:10" ht="17.25" customHeight="1" thickTop="1" thickBot="1">
      <c r="A256" s="561"/>
      <c r="B256" s="562"/>
      <c r="C256" s="562"/>
      <c r="D256" s="562"/>
      <c r="E256" s="563"/>
      <c r="F256" s="3" t="str">
        <f ca="1">IF('IWP26'!ContractNumber = 0, "", IF('IWP26'!Std7dot1 = "", "E", 'IWP26'!Std7dot1))</f>
        <v/>
      </c>
      <c r="G256" s="3" t="str">
        <f ca="1">IF('IWP27'!ContractNumber = 0, "", IF('IWP27'!Std7dot1 = "", "E", 'IWP27'!Std7dot1))</f>
        <v/>
      </c>
      <c r="H256" s="3" t="str">
        <f ca="1">IF('IWP28'!ContractNumber = 0, "", IF('IWP28'!Std7dot1 = "", "E", 'IWP28'!Std7dot1))</f>
        <v/>
      </c>
      <c r="I256" s="3" t="str">
        <f ca="1">IF('IWP29'!ContractNumber = 0, "", IF('IWP29'!Std7dot1 = "", "E", 'IWP29'!Std7dot1))</f>
        <v/>
      </c>
      <c r="J256" s="3" t="str">
        <f ca="1">IF('IWP30'!ContractNumber = 0, "", IF('IWP30'!Std7dot1 = "", "E", 'IWP30'!Std7dot1))</f>
        <v/>
      </c>
    </row>
    <row r="257" spans="1:15" ht="17.25" customHeight="1" thickTop="1" thickBot="1">
      <c r="A257" s="109" t="s">
        <v>16</v>
      </c>
      <c r="B257" s="569"/>
      <c r="C257" s="569"/>
      <c r="D257" s="569"/>
      <c r="E257" s="569"/>
      <c r="F257" s="570"/>
      <c r="G257" s="637" t="s">
        <v>17</v>
      </c>
      <c r="H257" s="638"/>
      <c r="I257" s="637" t="s">
        <v>18</v>
      </c>
      <c r="J257" s="638"/>
    </row>
    <row r="258" spans="1:15" ht="16.5" customHeight="1" thickTop="1">
      <c r="A258" s="576" t="s">
        <v>153</v>
      </c>
      <c r="B258" s="577"/>
      <c r="C258" s="577"/>
      <c r="D258" s="577"/>
      <c r="E258" s="577"/>
      <c r="F258" s="578"/>
      <c r="G258" s="637">
        <f ca="1">COUNTIF(F246:J256, "Y")</f>
        <v>0</v>
      </c>
      <c r="H258" s="776"/>
      <c r="I258" s="637">
        <f ca="1">COUNTIF(F246:J256, "N")</f>
        <v>0</v>
      </c>
      <c r="J258" s="638"/>
    </row>
    <row r="259" spans="1:15" s="20" customFormat="1" ht="15.75" customHeight="1" thickBot="1">
      <c r="A259" s="552"/>
      <c r="B259" s="553"/>
      <c r="C259" s="553"/>
      <c r="D259" s="553"/>
      <c r="E259" s="553"/>
      <c r="F259" s="554"/>
      <c r="G259" s="777"/>
      <c r="H259" s="778"/>
      <c r="I259" s="779"/>
      <c r="J259" s="780"/>
      <c r="K259" s="1"/>
      <c r="L259" s="1"/>
      <c r="M259" s="1"/>
      <c r="N259" s="1"/>
      <c r="O259" s="1"/>
    </row>
    <row r="260" spans="1:15" ht="16.5" thickTop="1" thickBot="1">
      <c r="A260" s="571" t="s">
        <v>154</v>
      </c>
      <c r="B260" s="572"/>
      <c r="C260" s="572"/>
      <c r="D260" s="572"/>
      <c r="E260" s="572"/>
      <c r="F260" s="572"/>
      <c r="G260" s="572"/>
      <c r="H260" s="572"/>
      <c r="I260" s="572"/>
      <c r="J260" s="573"/>
    </row>
    <row r="261" spans="1:15" ht="30" customHeight="1" thickTop="1" thickBot="1">
      <c r="A261" s="621" t="s">
        <v>788</v>
      </c>
      <c r="B261" s="595" t="s">
        <v>1220</v>
      </c>
      <c r="C261" s="596"/>
      <c r="D261" s="596"/>
      <c r="E261" s="596"/>
      <c r="F261" s="596"/>
      <c r="G261" s="596"/>
      <c r="H261" s="597"/>
      <c r="I261" s="593" t="s">
        <v>1212</v>
      </c>
      <c r="J261" s="594"/>
    </row>
    <row r="262" spans="1:15" ht="30" customHeight="1" thickTop="1" thickBot="1">
      <c r="A262" s="622"/>
      <c r="B262" s="598"/>
      <c r="C262" s="599"/>
      <c r="D262" s="599"/>
      <c r="E262" s="599"/>
      <c r="F262" s="599"/>
      <c r="G262" s="599"/>
      <c r="H262" s="600"/>
      <c r="I262" s="574"/>
      <c r="J262" s="575"/>
    </row>
    <row r="263" spans="1:15" ht="27.75" customHeight="1" thickTop="1" thickBot="1">
      <c r="A263" s="622"/>
      <c r="B263" s="787" t="s">
        <v>804</v>
      </c>
      <c r="C263" s="788"/>
      <c r="D263" s="788"/>
      <c r="E263" s="789"/>
      <c r="F263" s="789"/>
      <c r="G263" s="789"/>
      <c r="H263" s="789"/>
      <c r="I263" s="789"/>
      <c r="J263" s="790"/>
    </row>
    <row r="264" spans="1:15" ht="30" customHeight="1" thickTop="1" thickBot="1">
      <c r="A264" s="621" t="s">
        <v>789</v>
      </c>
      <c r="B264" s="595" t="s">
        <v>1221</v>
      </c>
      <c r="C264" s="596"/>
      <c r="D264" s="596"/>
      <c r="E264" s="596"/>
      <c r="F264" s="596"/>
      <c r="G264" s="596"/>
      <c r="H264" s="597"/>
      <c r="I264" s="593" t="s">
        <v>1212</v>
      </c>
      <c r="J264" s="594"/>
    </row>
    <row r="265" spans="1:15" ht="30" customHeight="1" thickTop="1" thickBot="1">
      <c r="A265" s="622"/>
      <c r="B265" s="598"/>
      <c r="C265" s="599"/>
      <c r="D265" s="599"/>
      <c r="E265" s="599"/>
      <c r="F265" s="599"/>
      <c r="G265" s="599"/>
      <c r="H265" s="600"/>
      <c r="I265" s="574"/>
      <c r="J265" s="575"/>
    </row>
    <row r="266" spans="1:15" ht="30" customHeight="1" thickTop="1">
      <c r="A266" s="622"/>
      <c r="B266" s="602" t="s">
        <v>790</v>
      </c>
      <c r="C266" s="603"/>
      <c r="D266" s="603"/>
      <c r="E266" s="603"/>
      <c r="F266" s="603"/>
      <c r="G266" s="603"/>
      <c r="H266" s="603"/>
      <c r="I266" s="603"/>
      <c r="J266" s="604"/>
    </row>
    <row r="267" spans="1:15" ht="15" customHeight="1">
      <c r="A267" s="622"/>
      <c r="B267" s="894" t="s">
        <v>791</v>
      </c>
      <c r="C267" s="895"/>
      <c r="D267" s="895"/>
      <c r="E267" s="895"/>
      <c r="F267" s="895"/>
      <c r="G267" s="895"/>
      <c r="H267" s="895"/>
      <c r="I267" s="895"/>
      <c r="J267" s="896"/>
    </row>
    <row r="268" spans="1:15" ht="15.75" customHeight="1" thickBot="1">
      <c r="A268" s="623"/>
      <c r="B268" s="897"/>
      <c r="C268" s="898"/>
      <c r="D268" s="898"/>
      <c r="E268" s="898"/>
      <c r="F268" s="898"/>
      <c r="G268" s="898"/>
      <c r="H268" s="898"/>
      <c r="I268" s="898"/>
      <c r="J268" s="899"/>
      <c r="K268" s="4"/>
      <c r="L268" s="4"/>
      <c r="M268" s="4"/>
      <c r="N268" s="4"/>
      <c r="O268" s="4"/>
    </row>
    <row r="269" spans="1:15" ht="45" customHeight="1" thickTop="1">
      <c r="A269" s="610" t="s">
        <v>1222</v>
      </c>
      <c r="B269" s="611"/>
      <c r="C269" s="611"/>
      <c r="D269" s="611"/>
      <c r="E269" s="611"/>
      <c r="F269" s="611"/>
      <c r="G269" s="611"/>
      <c r="H269" s="611"/>
      <c r="I269" s="611"/>
      <c r="J269" s="612"/>
      <c r="K269" s="4"/>
      <c r="L269" s="4"/>
      <c r="M269" s="4"/>
      <c r="N269" s="4"/>
      <c r="O269" s="4"/>
    </row>
    <row r="270" spans="1:15" ht="30" customHeight="1">
      <c r="A270" s="613" t="s">
        <v>1223</v>
      </c>
      <c r="B270" s="614"/>
      <c r="C270" s="614"/>
      <c r="D270" s="614"/>
      <c r="E270" s="614"/>
      <c r="F270" s="614"/>
      <c r="G270" s="614"/>
      <c r="H270" s="614"/>
      <c r="I270" s="614"/>
      <c r="J270" s="615"/>
      <c r="K270" s="4"/>
      <c r="L270" s="4"/>
      <c r="M270" s="4"/>
      <c r="N270" s="4"/>
      <c r="O270" s="4"/>
    </row>
    <row r="271" spans="1:15" ht="45" customHeight="1">
      <c r="A271" s="613" t="s">
        <v>1224</v>
      </c>
      <c r="B271" s="616"/>
      <c r="C271" s="616"/>
      <c r="D271" s="616"/>
      <c r="E271" s="616"/>
      <c r="F271" s="616"/>
      <c r="G271" s="616"/>
      <c r="H271" s="616"/>
      <c r="I271" s="616"/>
      <c r="J271" s="617"/>
      <c r="K271" s="4"/>
      <c r="L271" s="4"/>
      <c r="M271" s="4"/>
      <c r="N271" s="4"/>
      <c r="O271" s="4"/>
    </row>
    <row r="272" spans="1:15" ht="30" customHeight="1">
      <c r="A272" s="613" t="s">
        <v>1225</v>
      </c>
      <c r="B272" s="614"/>
      <c r="C272" s="614"/>
      <c r="D272" s="614"/>
      <c r="E272" s="614"/>
      <c r="F272" s="614"/>
      <c r="G272" s="614"/>
      <c r="H272" s="614"/>
      <c r="I272" s="614"/>
      <c r="J272" s="615"/>
      <c r="K272" s="4"/>
      <c r="L272" s="4"/>
      <c r="M272" s="4"/>
      <c r="N272" s="4"/>
      <c r="O272" s="4"/>
    </row>
    <row r="273" spans="1:15" ht="30" customHeight="1" thickBot="1">
      <c r="A273" s="618" t="s">
        <v>1226</v>
      </c>
      <c r="B273" s="619"/>
      <c r="C273" s="619"/>
      <c r="D273" s="619"/>
      <c r="E273" s="619"/>
      <c r="F273" s="619"/>
      <c r="G273" s="619"/>
      <c r="H273" s="619"/>
      <c r="I273" s="619"/>
      <c r="J273" s="620"/>
      <c r="K273" s="4"/>
      <c r="L273" s="4"/>
      <c r="M273" s="4"/>
      <c r="N273" s="4"/>
      <c r="O273" s="4"/>
    </row>
    <row r="274" spans="1:15" ht="17.25" customHeight="1" thickTop="1" thickBot="1">
      <c r="A274" s="624" t="s">
        <v>185</v>
      </c>
      <c r="B274" s="625"/>
      <c r="C274" s="625"/>
      <c r="D274" s="625"/>
      <c r="E274" s="625"/>
      <c r="F274" s="625"/>
      <c r="G274" s="625"/>
      <c r="H274" s="625"/>
      <c r="I274" s="625"/>
      <c r="J274" s="625"/>
      <c r="K274" s="625"/>
      <c r="L274" s="625"/>
      <c r="M274" s="625"/>
      <c r="N274" s="625"/>
      <c r="O274" s="626"/>
    </row>
    <row r="275" spans="1:15" ht="15.75" customHeight="1" thickTop="1" thickBot="1">
      <c r="A275" s="791" t="s">
        <v>188</v>
      </c>
      <c r="B275" s="666"/>
      <c r="C275" s="666"/>
      <c r="D275" s="666"/>
      <c r="E275" s="666"/>
      <c r="F275" s="666"/>
      <c r="G275" s="666"/>
      <c r="H275" s="666"/>
      <c r="I275" s="666"/>
      <c r="J275" s="666"/>
      <c r="K275" s="666"/>
      <c r="L275" s="666"/>
      <c r="M275" s="666"/>
      <c r="N275" s="666"/>
      <c r="O275" s="667"/>
    </row>
    <row r="276" spans="1:15" ht="15.75" customHeight="1" thickBot="1">
      <c r="A276" s="25" t="s">
        <v>186</v>
      </c>
      <c r="B276" s="605" t="s">
        <v>54</v>
      </c>
      <c r="C276" s="606"/>
      <c r="D276" s="607" t="s">
        <v>187</v>
      </c>
      <c r="E276" s="608"/>
      <c r="F276" s="25" t="s">
        <v>186</v>
      </c>
      <c r="G276" s="605" t="s">
        <v>54</v>
      </c>
      <c r="H276" s="606"/>
      <c r="I276" s="607" t="s">
        <v>187</v>
      </c>
      <c r="J276" s="608"/>
      <c r="K276" s="25" t="s">
        <v>186</v>
      </c>
      <c r="L276" s="605" t="s">
        <v>54</v>
      </c>
      <c r="M276" s="606"/>
      <c r="N276" s="607" t="s">
        <v>187</v>
      </c>
      <c r="O276" s="608"/>
    </row>
    <row r="277" spans="1:15" ht="15.75" customHeight="1" thickBot="1">
      <c r="A277" s="218"/>
      <c r="B277" s="580"/>
      <c r="C277" s="609"/>
      <c r="D277" s="581"/>
      <c r="E277" s="601"/>
      <c r="F277" s="218"/>
      <c r="G277" s="580"/>
      <c r="H277" s="609"/>
      <c r="I277" s="581"/>
      <c r="J277" s="601"/>
      <c r="K277" s="218"/>
      <c r="L277" s="580"/>
      <c r="M277" s="609"/>
      <c r="N277" s="581"/>
      <c r="O277" s="601"/>
    </row>
    <row r="278" spans="1:15" ht="16" thickBot="1">
      <c r="A278" s="218"/>
      <c r="B278" s="580"/>
      <c r="C278" s="580"/>
      <c r="D278" s="581"/>
      <c r="E278" s="581"/>
      <c r="F278" s="218"/>
      <c r="G278" s="580"/>
      <c r="H278" s="580"/>
      <c r="I278" s="581"/>
      <c r="J278" s="581"/>
      <c r="K278" s="218"/>
      <c r="L278" s="580"/>
      <c r="M278" s="580"/>
      <c r="N278" s="581"/>
      <c r="O278" s="581"/>
    </row>
    <row r="279" spans="1:15" ht="15.75" customHeight="1" thickBot="1">
      <c r="A279" s="218"/>
      <c r="B279" s="580"/>
      <c r="C279" s="580"/>
      <c r="D279" s="581"/>
      <c r="E279" s="581"/>
      <c r="F279" s="218"/>
      <c r="G279" s="580"/>
      <c r="H279" s="580"/>
      <c r="I279" s="581"/>
      <c r="J279" s="581"/>
      <c r="K279" s="218"/>
      <c r="L279" s="580"/>
      <c r="M279" s="580"/>
      <c r="N279" s="581"/>
      <c r="O279" s="581"/>
    </row>
    <row r="280" spans="1:15" ht="16" thickBot="1">
      <c r="A280" s="218"/>
      <c r="B280" s="580"/>
      <c r="C280" s="580"/>
      <c r="D280" s="581"/>
      <c r="E280" s="581"/>
      <c r="F280" s="218"/>
      <c r="G280" s="580"/>
      <c r="H280" s="580"/>
      <c r="I280" s="581"/>
      <c r="J280" s="581"/>
      <c r="K280" s="218"/>
      <c r="L280" s="580"/>
      <c r="M280" s="580"/>
      <c r="N280" s="581"/>
      <c r="O280" s="581"/>
    </row>
    <row r="281" spans="1:15" ht="15.75" customHeight="1" thickBot="1">
      <c r="A281" s="218"/>
      <c r="B281" s="580"/>
      <c r="C281" s="580"/>
      <c r="D281" s="581"/>
      <c r="E281" s="581"/>
      <c r="F281" s="218"/>
      <c r="G281" s="580"/>
      <c r="H281" s="580"/>
      <c r="I281" s="581"/>
      <c r="J281" s="581"/>
      <c r="K281" s="218"/>
      <c r="L281" s="580"/>
      <c r="M281" s="580"/>
      <c r="N281" s="581"/>
      <c r="O281" s="581"/>
    </row>
    <row r="282" spans="1:15" ht="15.75" customHeight="1" thickBot="1">
      <c r="A282" s="218"/>
      <c r="B282" s="580"/>
      <c r="C282" s="580"/>
      <c r="D282" s="581"/>
      <c r="E282" s="581"/>
      <c r="F282" s="218"/>
      <c r="G282" s="580"/>
      <c r="H282" s="580"/>
      <c r="I282" s="581"/>
      <c r="J282" s="581"/>
      <c r="K282" s="218"/>
      <c r="L282" s="580"/>
      <c r="M282" s="580"/>
      <c r="N282" s="581"/>
      <c r="O282" s="581"/>
    </row>
    <row r="283" spans="1:15" ht="16" thickBot="1">
      <c r="A283" s="218"/>
      <c r="B283" s="580"/>
      <c r="C283" s="580"/>
      <c r="D283" s="581"/>
      <c r="E283" s="581"/>
      <c r="F283" s="218"/>
      <c r="G283" s="580"/>
      <c r="H283" s="580"/>
      <c r="I283" s="581"/>
      <c r="J283" s="581"/>
      <c r="K283" s="218"/>
      <c r="L283" s="580"/>
      <c r="M283" s="580"/>
      <c r="N283" s="581"/>
      <c r="O283" s="581"/>
    </row>
    <row r="284" spans="1:15" ht="15.75" customHeight="1" thickBot="1">
      <c r="A284" s="218"/>
      <c r="B284" s="580"/>
      <c r="C284" s="580"/>
      <c r="D284" s="581"/>
      <c r="E284" s="581"/>
      <c r="F284" s="218"/>
      <c r="G284" s="580"/>
      <c r="H284" s="580"/>
      <c r="I284" s="581"/>
      <c r="J284" s="581"/>
      <c r="K284" s="218"/>
      <c r="L284" s="580"/>
      <c r="M284" s="580"/>
      <c r="N284" s="581"/>
      <c r="O284" s="581"/>
    </row>
    <row r="285" spans="1:15" ht="15.75" customHeight="1" thickBot="1">
      <c r="A285" s="218"/>
      <c r="B285" s="580"/>
      <c r="C285" s="580"/>
      <c r="D285" s="581"/>
      <c r="E285" s="581"/>
      <c r="F285" s="218"/>
      <c r="G285" s="580"/>
      <c r="H285" s="580"/>
      <c r="I285" s="581"/>
      <c r="J285" s="581"/>
      <c r="K285" s="218"/>
      <c r="L285" s="580"/>
      <c r="M285" s="580"/>
      <c r="N285" s="581"/>
      <c r="O285" s="581"/>
    </row>
    <row r="286" spans="1:15" ht="16" thickBot="1">
      <c r="A286" s="218"/>
      <c r="B286" s="580"/>
      <c r="C286" s="580"/>
      <c r="D286" s="581"/>
      <c r="E286" s="581"/>
      <c r="F286" s="218"/>
      <c r="G286" s="580"/>
      <c r="H286" s="580"/>
      <c r="I286" s="581"/>
      <c r="J286" s="581"/>
      <c r="K286" s="218"/>
      <c r="L286" s="580"/>
      <c r="M286" s="580"/>
      <c r="N286" s="581"/>
      <c r="O286" s="581"/>
    </row>
    <row r="287" spans="1:15" ht="15.75" customHeight="1" thickBot="1">
      <c r="A287" s="218"/>
      <c r="B287" s="580"/>
      <c r="C287" s="580"/>
      <c r="D287" s="581"/>
      <c r="E287" s="581"/>
      <c r="F287" s="218"/>
      <c r="G287" s="580"/>
      <c r="H287" s="580"/>
      <c r="I287" s="581"/>
      <c r="J287" s="581"/>
      <c r="K287" s="218"/>
      <c r="L287" s="580"/>
      <c r="M287" s="580"/>
      <c r="N287" s="581"/>
      <c r="O287" s="581"/>
    </row>
    <row r="288" spans="1:15" ht="15.75" customHeight="1" thickBot="1">
      <c r="A288" s="218"/>
      <c r="B288" s="580"/>
      <c r="C288" s="580"/>
      <c r="D288" s="581"/>
      <c r="E288" s="581"/>
      <c r="F288" s="218"/>
      <c r="G288" s="580"/>
      <c r="H288" s="580"/>
      <c r="I288" s="581"/>
      <c r="J288" s="581"/>
      <c r="K288" s="218"/>
      <c r="L288" s="580"/>
      <c r="M288" s="580"/>
      <c r="N288" s="581"/>
      <c r="O288" s="581"/>
    </row>
    <row r="289" spans="1:15" ht="16" thickBot="1">
      <c r="A289" s="218"/>
      <c r="B289" s="580"/>
      <c r="C289" s="580"/>
      <c r="D289" s="581"/>
      <c r="E289" s="581"/>
      <c r="F289" s="218"/>
      <c r="G289" s="580"/>
      <c r="H289" s="580"/>
      <c r="I289" s="581"/>
      <c r="J289" s="581"/>
      <c r="K289" s="218"/>
      <c r="L289" s="580"/>
      <c r="M289" s="580"/>
      <c r="N289" s="581"/>
      <c r="O289" s="581"/>
    </row>
    <row r="290" spans="1:15" ht="15.75" customHeight="1" thickBot="1">
      <c r="A290" s="218"/>
      <c r="B290" s="580"/>
      <c r="C290" s="580"/>
      <c r="D290" s="581"/>
      <c r="E290" s="581"/>
      <c r="F290" s="218"/>
      <c r="G290" s="580"/>
      <c r="H290" s="580"/>
      <c r="I290" s="581"/>
      <c r="J290" s="581"/>
      <c r="K290" s="218"/>
      <c r="L290" s="580"/>
      <c r="M290" s="580"/>
      <c r="N290" s="581"/>
      <c r="O290" s="581"/>
    </row>
    <row r="291" spans="1:15" ht="15.75" customHeight="1" thickBot="1">
      <c r="A291" s="218"/>
      <c r="B291" s="580"/>
      <c r="C291" s="580"/>
      <c r="D291" s="581"/>
      <c r="E291" s="581"/>
      <c r="F291" s="218"/>
      <c r="G291" s="580"/>
      <c r="H291" s="580"/>
      <c r="I291" s="581"/>
      <c r="J291" s="581"/>
      <c r="K291" s="218"/>
      <c r="L291" s="580"/>
      <c r="M291" s="580"/>
      <c r="N291" s="581"/>
      <c r="O291" s="581"/>
    </row>
    <row r="292" spans="1:15" ht="16" thickBot="1">
      <c r="A292" s="218"/>
      <c r="B292" s="580"/>
      <c r="C292" s="580"/>
      <c r="D292" s="581"/>
      <c r="E292" s="581"/>
      <c r="F292" s="218"/>
      <c r="G292" s="580"/>
      <c r="H292" s="580"/>
      <c r="I292" s="581"/>
      <c r="J292" s="581"/>
      <c r="K292" s="218"/>
      <c r="L292" s="580"/>
      <c r="M292" s="580"/>
      <c r="N292" s="581"/>
      <c r="O292" s="581"/>
    </row>
    <row r="293" spans="1:15" ht="15.75" customHeight="1" thickBot="1">
      <c r="A293" s="218"/>
      <c r="B293" s="580"/>
      <c r="C293" s="580"/>
      <c r="D293" s="581"/>
      <c r="E293" s="581"/>
      <c r="F293" s="218"/>
      <c r="G293" s="580"/>
      <c r="H293" s="580"/>
      <c r="I293" s="581"/>
      <c r="J293" s="581"/>
      <c r="K293" s="218"/>
      <c r="L293" s="580"/>
      <c r="M293" s="580"/>
      <c r="N293" s="581"/>
      <c r="O293" s="581"/>
    </row>
    <row r="294" spans="1:15" ht="15.75" customHeight="1" thickBot="1">
      <c r="A294" s="218"/>
      <c r="B294" s="580"/>
      <c r="C294" s="580"/>
      <c r="D294" s="581"/>
      <c r="E294" s="581"/>
      <c r="F294" s="218"/>
      <c r="G294" s="580"/>
      <c r="H294" s="580"/>
      <c r="I294" s="581"/>
      <c r="J294" s="581"/>
      <c r="K294" s="218"/>
      <c r="L294" s="580"/>
      <c r="M294" s="580"/>
      <c r="N294" s="581"/>
      <c r="O294" s="581"/>
    </row>
    <row r="295" spans="1:15" ht="16" thickBot="1">
      <c r="A295" s="218"/>
      <c r="B295" s="580"/>
      <c r="C295" s="580"/>
      <c r="D295" s="581"/>
      <c r="E295" s="581"/>
      <c r="F295" s="218"/>
      <c r="G295" s="580"/>
      <c r="H295" s="580"/>
      <c r="I295" s="581"/>
      <c r="J295" s="581"/>
      <c r="K295" s="218"/>
      <c r="L295" s="580"/>
      <c r="M295" s="580"/>
      <c r="N295" s="581"/>
      <c r="O295" s="581"/>
    </row>
    <row r="296" spans="1:15" ht="15.75" customHeight="1" thickBot="1">
      <c r="A296" s="218"/>
      <c r="B296" s="580"/>
      <c r="C296" s="580"/>
      <c r="D296" s="581"/>
      <c r="E296" s="581"/>
      <c r="F296" s="218"/>
      <c r="G296" s="580"/>
      <c r="H296" s="580"/>
      <c r="I296" s="581"/>
      <c r="J296" s="581"/>
      <c r="K296" s="218"/>
      <c r="L296" s="580"/>
      <c r="M296" s="580"/>
      <c r="N296" s="581"/>
      <c r="O296" s="581"/>
    </row>
    <row r="297" spans="1:15" ht="15.75" customHeight="1" thickBot="1">
      <c r="A297" s="218"/>
      <c r="B297" s="580"/>
      <c r="C297" s="580"/>
      <c r="D297" s="581"/>
      <c r="E297" s="581"/>
      <c r="F297" s="218"/>
      <c r="G297" s="580"/>
      <c r="H297" s="580"/>
      <c r="I297" s="581"/>
      <c r="J297" s="581"/>
      <c r="K297" s="218"/>
      <c r="L297" s="580"/>
      <c r="M297" s="580"/>
      <c r="N297" s="581"/>
      <c r="O297" s="581"/>
    </row>
    <row r="298" spans="1:15" ht="15.75" customHeight="1" thickBot="1">
      <c r="A298" s="218"/>
      <c r="B298" s="580"/>
      <c r="C298" s="580"/>
      <c r="D298" s="581"/>
      <c r="E298" s="581"/>
      <c r="F298" s="218"/>
      <c r="G298" s="580"/>
      <c r="H298" s="580"/>
      <c r="I298" s="581"/>
      <c r="J298" s="581"/>
      <c r="K298" s="218"/>
      <c r="L298" s="580"/>
      <c r="M298" s="580"/>
      <c r="N298" s="581"/>
      <c r="O298" s="581"/>
    </row>
    <row r="299" spans="1:15" ht="16" thickBot="1">
      <c r="A299" s="218"/>
      <c r="B299" s="580"/>
      <c r="C299" s="580"/>
      <c r="D299" s="581"/>
      <c r="E299" s="581"/>
      <c r="F299" s="218"/>
      <c r="G299" s="580"/>
      <c r="H299" s="580"/>
      <c r="I299" s="581"/>
      <c r="J299" s="581"/>
      <c r="K299" s="218"/>
      <c r="L299" s="580"/>
      <c r="M299" s="580"/>
      <c r="N299" s="581"/>
      <c r="O299" s="581"/>
    </row>
    <row r="300" spans="1:15" ht="15.75" customHeight="1" thickBot="1">
      <c r="A300" s="218"/>
      <c r="B300" s="580"/>
      <c r="C300" s="580"/>
      <c r="D300" s="581"/>
      <c r="E300" s="581"/>
      <c r="F300" s="218"/>
      <c r="G300" s="580"/>
      <c r="H300" s="580"/>
      <c r="I300" s="581"/>
      <c r="J300" s="581"/>
      <c r="K300" s="218"/>
      <c r="L300" s="580"/>
      <c r="M300" s="580"/>
      <c r="N300" s="581"/>
      <c r="O300" s="581"/>
    </row>
    <row r="301" spans="1:15" ht="15.75" customHeight="1" thickBot="1">
      <c r="A301" s="218"/>
      <c r="B301" s="580"/>
      <c r="C301" s="580"/>
      <c r="D301" s="581"/>
      <c r="E301" s="581"/>
      <c r="F301" s="218"/>
      <c r="G301" s="580"/>
      <c r="H301" s="580"/>
      <c r="I301" s="581"/>
      <c r="J301" s="581"/>
      <c r="K301" s="218"/>
      <c r="L301" s="580"/>
      <c r="M301" s="580"/>
      <c r="N301" s="581"/>
      <c r="O301" s="581"/>
    </row>
    <row r="302" spans="1:15" ht="16" thickBot="1">
      <c r="A302" s="218"/>
      <c r="B302" s="580"/>
      <c r="C302" s="580"/>
      <c r="D302" s="581"/>
      <c r="E302" s="581"/>
      <c r="F302" s="218"/>
      <c r="G302" s="580"/>
      <c r="H302" s="580"/>
      <c r="I302" s="581"/>
      <c r="J302" s="581"/>
      <c r="K302" s="218"/>
      <c r="L302" s="580"/>
      <c r="M302" s="580"/>
      <c r="N302" s="581"/>
      <c r="O302" s="581"/>
    </row>
    <row r="303" spans="1:15" ht="15.75" customHeight="1" thickBot="1">
      <c r="A303" s="218"/>
      <c r="B303" s="580"/>
      <c r="C303" s="580"/>
      <c r="D303" s="581"/>
      <c r="E303" s="581"/>
      <c r="F303" s="218"/>
      <c r="G303" s="580"/>
      <c r="H303" s="580"/>
      <c r="I303" s="581"/>
      <c r="J303" s="581"/>
      <c r="K303" s="218"/>
      <c r="L303" s="580"/>
      <c r="M303" s="580"/>
      <c r="N303" s="581"/>
      <c r="O303" s="581"/>
    </row>
    <row r="304" spans="1:15" ht="15.75" customHeight="1" thickBot="1">
      <c r="A304" s="218"/>
      <c r="B304" s="580"/>
      <c r="C304" s="580"/>
      <c r="D304" s="581"/>
      <c r="E304" s="581"/>
      <c r="F304" s="218"/>
      <c r="G304" s="580"/>
      <c r="H304" s="580"/>
      <c r="I304" s="581"/>
      <c r="J304" s="581"/>
      <c r="K304" s="218"/>
      <c r="L304" s="580"/>
      <c r="M304" s="580"/>
      <c r="N304" s="581"/>
      <c r="O304" s="581"/>
    </row>
    <row r="305" spans="1:15" ht="15.75" customHeight="1" thickBot="1">
      <c r="A305" s="218"/>
      <c r="B305" s="580"/>
      <c r="C305" s="580"/>
      <c r="D305" s="581"/>
      <c r="E305" s="581"/>
      <c r="F305" s="218"/>
      <c r="G305" s="580"/>
      <c r="H305" s="580"/>
      <c r="I305" s="581"/>
      <c r="J305" s="581"/>
      <c r="K305" s="218"/>
      <c r="L305" s="580"/>
      <c r="M305" s="580"/>
      <c r="N305" s="581"/>
      <c r="O305" s="581"/>
    </row>
    <row r="306" spans="1:15" ht="15.75" customHeight="1" thickBot="1">
      <c r="A306" s="218"/>
      <c r="B306" s="580"/>
      <c r="C306" s="580"/>
      <c r="D306" s="581"/>
      <c r="E306" s="581"/>
      <c r="F306" s="218"/>
      <c r="G306" s="580"/>
      <c r="H306" s="580"/>
      <c r="I306" s="581"/>
      <c r="J306" s="581"/>
      <c r="K306" s="218"/>
      <c r="L306" s="580"/>
      <c r="M306" s="580"/>
      <c r="N306" s="581"/>
      <c r="O306" s="581"/>
    </row>
    <row r="307" spans="1:15" ht="16" thickBot="1">
      <c r="A307" s="585" t="s">
        <v>785</v>
      </c>
      <c r="B307" s="586"/>
      <c r="C307" s="586"/>
      <c r="D307" s="586"/>
      <c r="E307" s="586"/>
      <c r="F307" s="586"/>
      <c r="G307" s="586"/>
      <c r="H307" s="586"/>
      <c r="I307" s="586"/>
      <c r="J307" s="586"/>
      <c r="K307" s="586"/>
      <c r="L307" s="586"/>
      <c r="M307" s="587"/>
      <c r="N307" s="583">
        <f>SUM(D277:D306,I277:I306,N277:N306)</f>
        <v>0</v>
      </c>
      <c r="O307" s="584"/>
    </row>
    <row r="308" spans="1:15" ht="15.75" customHeight="1" thickTop="1" thickBot="1">
      <c r="A308" s="100" t="s">
        <v>189</v>
      </c>
      <c r="B308" s="98"/>
      <c r="C308" s="98"/>
      <c r="D308" s="98"/>
      <c r="E308" s="98"/>
      <c r="F308" s="98"/>
      <c r="G308" s="98"/>
      <c r="H308" s="98"/>
      <c r="I308" s="98"/>
      <c r="J308" s="98"/>
      <c r="K308" s="98"/>
      <c r="L308" s="99"/>
    </row>
    <row r="309" spans="1:15" ht="15.75" customHeight="1" thickBot="1">
      <c r="A309" s="590" t="s">
        <v>54</v>
      </c>
      <c r="B309" s="591"/>
      <c r="C309" s="588" t="s">
        <v>187</v>
      </c>
      <c r="D309" s="589"/>
      <c r="E309" s="590" t="s">
        <v>54</v>
      </c>
      <c r="F309" s="591"/>
      <c r="G309" s="588" t="s">
        <v>187</v>
      </c>
      <c r="H309" s="589"/>
      <c r="I309" s="590" t="s">
        <v>54</v>
      </c>
      <c r="J309" s="591"/>
      <c r="K309" s="588" t="s">
        <v>187</v>
      </c>
      <c r="L309" s="589"/>
    </row>
    <row r="310" spans="1:15" ht="15.75" customHeight="1" thickBot="1">
      <c r="A310" s="579"/>
      <c r="B310" s="592"/>
      <c r="C310" s="568"/>
      <c r="D310" s="582"/>
      <c r="E310" s="579"/>
      <c r="F310" s="592"/>
      <c r="G310" s="568"/>
      <c r="H310" s="582"/>
      <c r="I310" s="579"/>
      <c r="J310" s="592"/>
      <c r="K310" s="568"/>
      <c r="L310" s="582"/>
    </row>
    <row r="311" spans="1:15" ht="15.75" customHeight="1" thickBot="1">
      <c r="A311" s="579"/>
      <c r="B311" s="579"/>
      <c r="C311" s="568"/>
      <c r="D311" s="568"/>
      <c r="E311" s="579"/>
      <c r="F311" s="579"/>
      <c r="G311" s="568"/>
      <c r="H311" s="568"/>
      <c r="I311" s="579"/>
      <c r="J311" s="579"/>
      <c r="K311" s="568"/>
      <c r="L311" s="568"/>
    </row>
    <row r="312" spans="1:15" ht="15.75" customHeight="1" thickBot="1">
      <c r="A312" s="579"/>
      <c r="B312" s="579"/>
      <c r="C312" s="568"/>
      <c r="D312" s="568"/>
      <c r="E312" s="579"/>
      <c r="F312" s="579"/>
      <c r="G312" s="568"/>
      <c r="H312" s="568"/>
      <c r="I312" s="579"/>
      <c r="J312" s="579"/>
      <c r="K312" s="568"/>
      <c r="L312" s="568"/>
    </row>
    <row r="313" spans="1:15" ht="15.75" customHeight="1" thickBot="1">
      <c r="A313" s="579"/>
      <c r="B313" s="579"/>
      <c r="C313" s="568"/>
      <c r="D313" s="568"/>
      <c r="E313" s="579"/>
      <c r="F313" s="579"/>
      <c r="G313" s="568"/>
      <c r="H313" s="568"/>
      <c r="I313" s="579"/>
      <c r="J313" s="579"/>
      <c r="K313" s="568"/>
      <c r="L313" s="568"/>
    </row>
    <row r="314" spans="1:15" ht="15.75" customHeight="1" thickBot="1">
      <c r="A314" s="579"/>
      <c r="B314" s="579"/>
      <c r="C314" s="568"/>
      <c r="D314" s="568"/>
      <c r="E314" s="579"/>
      <c r="F314" s="579"/>
      <c r="G314" s="568"/>
      <c r="H314" s="568"/>
      <c r="I314" s="579"/>
      <c r="J314" s="579"/>
      <c r="K314" s="568"/>
      <c r="L314" s="568"/>
    </row>
    <row r="315" spans="1:15" ht="15.75" customHeight="1" thickBot="1">
      <c r="A315" s="579"/>
      <c r="B315" s="579"/>
      <c r="C315" s="568"/>
      <c r="D315" s="568"/>
      <c r="E315" s="579"/>
      <c r="F315" s="579"/>
      <c r="G315" s="568"/>
      <c r="H315" s="568"/>
      <c r="I315" s="579"/>
      <c r="J315" s="579"/>
      <c r="K315" s="568"/>
      <c r="L315" s="568"/>
    </row>
    <row r="316" spans="1:15" ht="15.75" customHeight="1" thickBot="1">
      <c r="A316" s="579"/>
      <c r="B316" s="579"/>
      <c r="C316" s="568"/>
      <c r="D316" s="568"/>
      <c r="E316" s="579"/>
      <c r="F316" s="579"/>
      <c r="G316" s="568"/>
      <c r="H316" s="568"/>
      <c r="I316" s="579"/>
      <c r="J316" s="579"/>
      <c r="K316" s="568"/>
      <c r="L316" s="568"/>
    </row>
    <row r="317" spans="1:15" ht="15.75" customHeight="1" thickBot="1">
      <c r="A317" s="579"/>
      <c r="B317" s="579"/>
      <c r="C317" s="568"/>
      <c r="D317" s="568"/>
      <c r="E317" s="579"/>
      <c r="F317" s="579"/>
      <c r="G317" s="568"/>
      <c r="H317" s="568"/>
      <c r="I317" s="579"/>
      <c r="J317" s="579"/>
      <c r="K317" s="568"/>
      <c r="L317" s="568"/>
    </row>
    <row r="318" spans="1:15" ht="15.75" customHeight="1" thickBot="1">
      <c r="A318" s="579"/>
      <c r="B318" s="579"/>
      <c r="C318" s="568"/>
      <c r="D318" s="568"/>
      <c r="E318" s="579"/>
      <c r="F318" s="579"/>
      <c r="G318" s="568"/>
      <c r="H318" s="568"/>
      <c r="I318" s="579"/>
      <c r="J318" s="579"/>
      <c r="K318" s="568"/>
      <c r="L318" s="568"/>
    </row>
    <row r="319" spans="1:15" ht="15.75" customHeight="1" thickBot="1">
      <c r="A319" s="579"/>
      <c r="B319" s="579"/>
      <c r="C319" s="568"/>
      <c r="D319" s="568"/>
      <c r="E319" s="579"/>
      <c r="F319" s="579"/>
      <c r="G319" s="568"/>
      <c r="H319" s="568"/>
      <c r="I319" s="579"/>
      <c r="J319" s="579"/>
      <c r="K319" s="568"/>
      <c r="L319" s="568"/>
    </row>
    <row r="320" spans="1:15" ht="15.75" customHeight="1" thickBot="1">
      <c r="A320" s="579"/>
      <c r="B320" s="579"/>
      <c r="C320" s="568"/>
      <c r="D320" s="568"/>
      <c r="E320" s="579"/>
      <c r="F320" s="579"/>
      <c r="G320" s="568"/>
      <c r="H320" s="568"/>
      <c r="I320" s="579"/>
      <c r="J320" s="579"/>
      <c r="K320" s="568"/>
      <c r="L320" s="568"/>
    </row>
    <row r="321" spans="1:12" ht="15.75" customHeight="1" thickBot="1">
      <c r="A321" s="579"/>
      <c r="B321" s="579"/>
      <c r="C321" s="568"/>
      <c r="D321" s="568"/>
      <c r="E321" s="579"/>
      <c r="F321" s="579"/>
      <c r="G321" s="568"/>
      <c r="H321" s="568"/>
      <c r="I321" s="579"/>
      <c r="J321" s="579"/>
      <c r="K321" s="568"/>
      <c r="L321" s="568"/>
    </row>
    <row r="322" spans="1:12" ht="15.75" customHeight="1" thickBot="1">
      <c r="A322" s="579"/>
      <c r="B322" s="579"/>
      <c r="C322" s="568"/>
      <c r="D322" s="568"/>
      <c r="E322" s="579"/>
      <c r="F322" s="579"/>
      <c r="G322" s="568"/>
      <c r="H322" s="568"/>
      <c r="I322" s="579"/>
      <c r="J322" s="579"/>
      <c r="K322" s="568"/>
      <c r="L322" s="568"/>
    </row>
    <row r="323" spans="1:12" ht="15.75" customHeight="1" thickBot="1">
      <c r="A323" s="579"/>
      <c r="B323" s="579"/>
      <c r="C323" s="568"/>
      <c r="D323" s="568"/>
      <c r="E323" s="579"/>
      <c r="F323" s="579"/>
      <c r="G323" s="568"/>
      <c r="H323" s="568"/>
      <c r="I323" s="579"/>
      <c r="J323" s="579"/>
      <c r="K323" s="568"/>
      <c r="L323" s="568"/>
    </row>
    <row r="324" spans="1:12" ht="15.75" customHeight="1" thickBot="1">
      <c r="A324" s="579"/>
      <c r="B324" s="579"/>
      <c r="C324" s="568"/>
      <c r="D324" s="568"/>
      <c r="E324" s="579"/>
      <c r="F324" s="579"/>
      <c r="G324" s="568"/>
      <c r="H324" s="568"/>
      <c r="I324" s="579"/>
      <c r="J324" s="579"/>
      <c r="K324" s="568"/>
      <c r="L324" s="568"/>
    </row>
    <row r="325" spans="1:12" ht="15.75" customHeight="1" thickBot="1">
      <c r="A325" s="579"/>
      <c r="B325" s="579"/>
      <c r="C325" s="568"/>
      <c r="D325" s="568"/>
      <c r="E325" s="579"/>
      <c r="F325" s="579"/>
      <c r="G325" s="568"/>
      <c r="H325" s="568"/>
      <c r="I325" s="579"/>
      <c r="J325" s="579"/>
      <c r="K325" s="568"/>
      <c r="L325" s="568"/>
    </row>
    <row r="326" spans="1:12" ht="15.75" customHeight="1" thickBot="1">
      <c r="A326" s="579"/>
      <c r="B326" s="579"/>
      <c r="C326" s="568"/>
      <c r="D326" s="568"/>
      <c r="E326" s="579"/>
      <c r="F326" s="579"/>
      <c r="G326" s="568"/>
      <c r="H326" s="568"/>
      <c r="I326" s="579"/>
      <c r="J326" s="579"/>
      <c r="K326" s="568"/>
      <c r="L326" s="568"/>
    </row>
    <row r="327" spans="1:12" ht="15.75" customHeight="1" thickBot="1">
      <c r="A327" s="579"/>
      <c r="B327" s="579"/>
      <c r="C327" s="568"/>
      <c r="D327" s="568"/>
      <c r="E327" s="579"/>
      <c r="F327" s="579"/>
      <c r="G327" s="568"/>
      <c r="H327" s="568"/>
      <c r="I327" s="579"/>
      <c r="J327" s="579"/>
      <c r="K327" s="568"/>
      <c r="L327" s="568"/>
    </row>
    <row r="328" spans="1:12" ht="15.75" customHeight="1" thickBot="1">
      <c r="A328" s="579"/>
      <c r="B328" s="579"/>
      <c r="C328" s="568"/>
      <c r="D328" s="568"/>
      <c r="E328" s="579"/>
      <c r="F328" s="579"/>
      <c r="G328" s="568"/>
      <c r="H328" s="568"/>
      <c r="I328" s="579"/>
      <c r="J328" s="579"/>
      <c r="K328" s="568"/>
      <c r="L328" s="568"/>
    </row>
    <row r="329" spans="1:12" ht="15.75" customHeight="1" thickBot="1">
      <c r="A329" s="579"/>
      <c r="B329" s="579"/>
      <c r="C329" s="568"/>
      <c r="D329" s="568"/>
      <c r="E329" s="579"/>
      <c r="F329" s="579"/>
      <c r="G329" s="568"/>
      <c r="H329" s="568"/>
      <c r="I329" s="579"/>
      <c r="J329" s="579"/>
      <c r="K329" s="568"/>
      <c r="L329" s="568"/>
    </row>
    <row r="330" spans="1:12" ht="15.75" customHeight="1" thickBot="1">
      <c r="A330" s="579"/>
      <c r="B330" s="579"/>
      <c r="C330" s="568"/>
      <c r="D330" s="568"/>
      <c r="E330" s="579"/>
      <c r="F330" s="579"/>
      <c r="G330" s="568"/>
      <c r="H330" s="568"/>
      <c r="I330" s="579"/>
      <c r="J330" s="579"/>
      <c r="K330" s="568"/>
      <c r="L330" s="568"/>
    </row>
    <row r="331" spans="1:12" ht="15.75" customHeight="1" thickBot="1">
      <c r="A331" s="579"/>
      <c r="B331" s="579"/>
      <c r="C331" s="568"/>
      <c r="D331" s="568"/>
      <c r="E331" s="579"/>
      <c r="F331" s="579"/>
      <c r="G331" s="568"/>
      <c r="H331" s="568"/>
      <c r="I331" s="579"/>
      <c r="J331" s="579"/>
      <c r="K331" s="568"/>
      <c r="L331" s="568"/>
    </row>
    <row r="332" spans="1:12" ht="15.75" customHeight="1" thickBot="1">
      <c r="A332" s="579"/>
      <c r="B332" s="579"/>
      <c r="C332" s="568"/>
      <c r="D332" s="568"/>
      <c r="E332" s="579"/>
      <c r="F332" s="579"/>
      <c r="G332" s="568"/>
      <c r="H332" s="568"/>
      <c r="I332" s="579"/>
      <c r="J332" s="579"/>
      <c r="K332" s="568"/>
      <c r="L332" s="568"/>
    </row>
    <row r="333" spans="1:12" ht="15.75" customHeight="1" thickBot="1">
      <c r="A333" s="579"/>
      <c r="B333" s="579"/>
      <c r="C333" s="568"/>
      <c r="D333" s="568"/>
      <c r="E333" s="579"/>
      <c r="F333" s="579"/>
      <c r="G333" s="568"/>
      <c r="H333" s="568"/>
      <c r="I333" s="579"/>
      <c r="J333" s="579"/>
      <c r="K333" s="568"/>
      <c r="L333" s="568"/>
    </row>
    <row r="334" spans="1:12" ht="15.75" customHeight="1" thickBot="1">
      <c r="A334" s="579"/>
      <c r="B334" s="579"/>
      <c r="C334" s="568"/>
      <c r="D334" s="568"/>
      <c r="E334" s="579"/>
      <c r="F334" s="579"/>
      <c r="G334" s="568"/>
      <c r="H334" s="568"/>
      <c r="I334" s="579"/>
      <c r="J334" s="579"/>
      <c r="K334" s="568"/>
      <c r="L334" s="568"/>
    </row>
    <row r="335" spans="1:12" ht="15.75" customHeight="1" thickBot="1">
      <c r="A335" s="579"/>
      <c r="B335" s="579"/>
      <c r="C335" s="568"/>
      <c r="D335" s="568"/>
      <c r="E335" s="579"/>
      <c r="F335" s="579"/>
      <c r="G335" s="568"/>
      <c r="H335" s="568"/>
      <c r="I335" s="579"/>
      <c r="J335" s="579"/>
      <c r="K335" s="568"/>
      <c r="L335" s="568"/>
    </row>
    <row r="336" spans="1:12" ht="15.75" customHeight="1" thickBot="1">
      <c r="A336" s="579"/>
      <c r="B336" s="579"/>
      <c r="C336" s="568"/>
      <c r="D336" s="568"/>
      <c r="E336" s="579"/>
      <c r="F336" s="579"/>
      <c r="G336" s="568"/>
      <c r="H336" s="568"/>
      <c r="I336" s="579"/>
      <c r="J336" s="579"/>
      <c r="K336" s="568"/>
      <c r="L336" s="568"/>
    </row>
    <row r="337" spans="1:12" ht="15.75" customHeight="1" thickBot="1">
      <c r="A337" s="579"/>
      <c r="B337" s="579"/>
      <c r="C337" s="568"/>
      <c r="D337" s="568"/>
      <c r="E337" s="579"/>
      <c r="F337" s="579"/>
      <c r="G337" s="568"/>
      <c r="H337" s="568"/>
      <c r="I337" s="579"/>
      <c r="J337" s="579"/>
      <c r="K337" s="568"/>
      <c r="L337" s="568"/>
    </row>
    <row r="338" spans="1:12" ht="16.5" customHeight="1" thickBot="1">
      <c r="A338" s="579"/>
      <c r="B338" s="579"/>
      <c r="C338" s="568"/>
      <c r="D338" s="568"/>
      <c r="E338" s="579"/>
      <c r="F338" s="579"/>
      <c r="G338" s="568"/>
      <c r="H338" s="568"/>
      <c r="I338" s="579"/>
      <c r="J338" s="579"/>
      <c r="K338" s="568"/>
      <c r="L338" s="568"/>
    </row>
    <row r="339" spans="1:12" ht="15.75" customHeight="1" thickBot="1">
      <c r="A339" s="579"/>
      <c r="B339" s="579"/>
      <c r="C339" s="568"/>
      <c r="D339" s="568"/>
      <c r="E339" s="579"/>
      <c r="F339" s="579"/>
      <c r="G339" s="568"/>
      <c r="H339" s="568"/>
      <c r="I339" s="579"/>
      <c r="J339" s="579"/>
      <c r="K339" s="568"/>
      <c r="L339" s="568"/>
    </row>
    <row r="340" spans="1:12" ht="17.25" customHeight="1" thickBot="1">
      <c r="A340" s="903" t="s">
        <v>786</v>
      </c>
      <c r="B340" s="904"/>
      <c r="C340" s="904"/>
      <c r="D340" s="904"/>
      <c r="E340" s="904"/>
      <c r="F340" s="904"/>
      <c r="G340" s="904"/>
      <c r="H340" s="904"/>
      <c r="I340" s="904"/>
      <c r="J340" s="904"/>
      <c r="K340" s="862">
        <f>SUM(C310:C339,G310:G339,K310:K339)</f>
        <v>0</v>
      </c>
      <c r="L340" s="584"/>
    </row>
    <row r="341" spans="1:12" ht="16" thickTop="1">
      <c r="A341" s="700" t="s">
        <v>190</v>
      </c>
      <c r="B341" s="701"/>
      <c r="C341" s="701"/>
      <c r="D341" s="701"/>
      <c r="E341" s="701"/>
      <c r="F341" s="701"/>
      <c r="G341" s="701"/>
      <c r="H341" s="701"/>
      <c r="I341" s="701"/>
      <c r="J341" s="702"/>
    </row>
    <row r="342" spans="1:12" ht="16" thickBot="1">
      <c r="A342" s="676" t="s">
        <v>191</v>
      </c>
      <c r="B342" s="677"/>
      <c r="C342" s="677"/>
      <c r="D342" s="677"/>
      <c r="E342" s="677"/>
      <c r="F342" s="677"/>
      <c r="G342" s="677"/>
      <c r="H342" s="677"/>
      <c r="I342" s="677"/>
      <c r="J342" s="678"/>
    </row>
    <row r="343" spans="1:12" ht="16.5" thickTop="1" thickBot="1">
      <c r="A343" s="24" t="s">
        <v>192</v>
      </c>
      <c r="B343" s="675" t="s">
        <v>187</v>
      </c>
      <c r="C343" s="665"/>
      <c r="D343" s="24" t="s">
        <v>192</v>
      </c>
      <c r="E343" s="665" t="s">
        <v>187</v>
      </c>
      <c r="F343" s="667"/>
      <c r="G343" s="24" t="s">
        <v>192</v>
      </c>
      <c r="H343" s="665" t="s">
        <v>187</v>
      </c>
      <c r="I343" s="666"/>
      <c r="J343" s="667"/>
    </row>
    <row r="344" spans="1:12" ht="16" thickBot="1">
      <c r="A344" s="220"/>
      <c r="B344" s="663"/>
      <c r="C344" s="664"/>
      <c r="D344" s="220"/>
      <c r="E344" s="663"/>
      <c r="F344" s="664"/>
      <c r="G344" s="220"/>
      <c r="H344" s="663"/>
      <c r="I344" s="674"/>
      <c r="J344" s="664"/>
    </row>
    <row r="345" spans="1:12" ht="16" thickBot="1">
      <c r="A345" s="220"/>
      <c r="B345" s="663"/>
      <c r="C345" s="664"/>
      <c r="D345" s="220"/>
      <c r="E345" s="663"/>
      <c r="F345" s="664"/>
      <c r="G345" s="220"/>
      <c r="H345" s="663"/>
      <c r="I345" s="674"/>
      <c r="J345" s="664"/>
    </row>
    <row r="346" spans="1:12" ht="16" thickBot="1">
      <c r="A346" s="220"/>
      <c r="B346" s="663"/>
      <c r="C346" s="664"/>
      <c r="D346" s="220"/>
      <c r="E346" s="663"/>
      <c r="F346" s="664"/>
      <c r="G346" s="220"/>
      <c r="H346" s="663"/>
      <c r="I346" s="674"/>
      <c r="J346" s="664"/>
    </row>
    <row r="347" spans="1:12" ht="16" thickBot="1">
      <c r="A347" s="220"/>
      <c r="B347" s="663"/>
      <c r="C347" s="664"/>
      <c r="D347" s="220"/>
      <c r="E347" s="663"/>
      <c r="F347" s="664"/>
      <c r="G347" s="220"/>
      <c r="H347" s="663"/>
      <c r="I347" s="674"/>
      <c r="J347" s="664"/>
    </row>
    <row r="348" spans="1:12" ht="16" thickBot="1">
      <c r="A348" s="220"/>
      <c r="B348" s="663"/>
      <c r="C348" s="664"/>
      <c r="D348" s="220"/>
      <c r="E348" s="663"/>
      <c r="F348" s="664"/>
      <c r="G348" s="220"/>
      <c r="H348" s="663"/>
      <c r="I348" s="674"/>
      <c r="J348" s="664"/>
    </row>
    <row r="349" spans="1:12" ht="16" thickBot="1">
      <c r="A349" s="220"/>
      <c r="B349" s="663"/>
      <c r="C349" s="664"/>
      <c r="D349" s="220"/>
      <c r="E349" s="663"/>
      <c r="F349" s="664"/>
      <c r="G349" s="220"/>
      <c r="H349" s="663"/>
      <c r="I349" s="674"/>
      <c r="J349" s="664"/>
    </row>
    <row r="350" spans="1:12" ht="16" thickBot="1">
      <c r="A350" s="220"/>
      <c r="B350" s="663"/>
      <c r="C350" s="664"/>
      <c r="D350" s="220"/>
      <c r="E350" s="663"/>
      <c r="F350" s="664"/>
      <c r="G350" s="220"/>
      <c r="H350" s="663"/>
      <c r="I350" s="674"/>
      <c r="J350" s="664"/>
    </row>
    <row r="351" spans="1:12" ht="16" thickBot="1">
      <c r="A351" s="220"/>
      <c r="B351" s="663"/>
      <c r="C351" s="664"/>
      <c r="D351" s="220"/>
      <c r="E351" s="663"/>
      <c r="F351" s="664"/>
      <c r="G351" s="220"/>
      <c r="H351" s="663"/>
      <c r="I351" s="674"/>
      <c r="J351" s="664"/>
    </row>
    <row r="352" spans="1:12" ht="16" thickBot="1">
      <c r="A352" s="220"/>
      <c r="B352" s="663"/>
      <c r="C352" s="664"/>
      <c r="D352" s="220"/>
      <c r="E352" s="663"/>
      <c r="F352" s="664"/>
      <c r="G352" s="220"/>
      <c r="H352" s="663"/>
      <c r="I352" s="674"/>
      <c r="J352" s="664"/>
    </row>
    <row r="353" spans="1:10" ht="16" thickBot="1">
      <c r="A353" s="220"/>
      <c r="B353" s="663"/>
      <c r="C353" s="664"/>
      <c r="D353" s="220"/>
      <c r="E353" s="663"/>
      <c r="F353" s="664"/>
      <c r="G353" s="220"/>
      <c r="H353" s="663"/>
      <c r="I353" s="674"/>
      <c r="J353" s="664"/>
    </row>
    <row r="354" spans="1:10" ht="16" thickBot="1">
      <c r="A354" s="220"/>
      <c r="B354" s="663"/>
      <c r="C354" s="664"/>
      <c r="D354" s="220"/>
      <c r="E354" s="663"/>
      <c r="F354" s="664"/>
      <c r="G354" s="220"/>
      <c r="H354" s="663"/>
      <c r="I354" s="674"/>
      <c r="J354" s="664"/>
    </row>
    <row r="355" spans="1:10" ht="16" thickBot="1">
      <c r="A355" s="220"/>
      <c r="B355" s="663"/>
      <c r="C355" s="664"/>
      <c r="D355" s="220"/>
      <c r="E355" s="663"/>
      <c r="F355" s="664"/>
      <c r="G355" s="220"/>
      <c r="H355" s="663"/>
      <c r="I355" s="674"/>
      <c r="J355" s="664"/>
    </row>
    <row r="356" spans="1:10" ht="16" thickBot="1">
      <c r="A356" s="220"/>
      <c r="B356" s="663"/>
      <c r="C356" s="664"/>
      <c r="D356" s="220"/>
      <c r="E356" s="663"/>
      <c r="F356" s="664"/>
      <c r="G356" s="220"/>
      <c r="H356" s="663"/>
      <c r="I356" s="674"/>
      <c r="J356" s="664"/>
    </row>
    <row r="357" spans="1:10" ht="16" thickBot="1">
      <c r="A357" s="220"/>
      <c r="B357" s="663"/>
      <c r="C357" s="664"/>
      <c r="D357" s="220"/>
      <c r="E357" s="663"/>
      <c r="F357" s="664"/>
      <c r="G357" s="220"/>
      <c r="H357" s="663"/>
      <c r="I357" s="674"/>
      <c r="J357" s="664"/>
    </row>
    <row r="358" spans="1:10" ht="16" thickBot="1">
      <c r="A358" s="220"/>
      <c r="B358" s="663"/>
      <c r="C358" s="664"/>
      <c r="D358" s="220"/>
      <c r="E358" s="663"/>
      <c r="F358" s="664"/>
      <c r="G358" s="220"/>
      <c r="H358" s="663"/>
      <c r="I358" s="674"/>
      <c r="J358" s="664"/>
    </row>
    <row r="359" spans="1:10" ht="16" thickBot="1">
      <c r="A359" s="220"/>
      <c r="B359" s="663"/>
      <c r="C359" s="664"/>
      <c r="D359" s="220"/>
      <c r="E359" s="663"/>
      <c r="F359" s="664"/>
      <c r="G359" s="220"/>
      <c r="H359" s="663"/>
      <c r="I359" s="674"/>
      <c r="J359" s="664"/>
    </row>
    <row r="360" spans="1:10" ht="16" thickBot="1">
      <c r="A360" s="220"/>
      <c r="B360" s="663"/>
      <c r="C360" s="664"/>
      <c r="D360" s="220"/>
      <c r="E360" s="663"/>
      <c r="F360" s="664"/>
      <c r="G360" s="220"/>
      <c r="H360" s="663"/>
      <c r="I360" s="674"/>
      <c r="J360" s="664"/>
    </row>
    <row r="361" spans="1:10" ht="16" thickBot="1">
      <c r="A361" s="220"/>
      <c r="B361" s="663"/>
      <c r="C361" s="664"/>
      <c r="D361" s="220"/>
      <c r="E361" s="663"/>
      <c r="F361" s="664"/>
      <c r="G361" s="220"/>
      <c r="H361" s="663"/>
      <c r="I361" s="674"/>
      <c r="J361" s="664"/>
    </row>
    <row r="362" spans="1:10" ht="16" thickBot="1">
      <c r="A362" s="220"/>
      <c r="B362" s="663"/>
      <c r="C362" s="664"/>
      <c r="D362" s="220"/>
      <c r="E362" s="663"/>
      <c r="F362" s="664"/>
      <c r="G362" s="220"/>
      <c r="H362" s="663"/>
      <c r="I362" s="674"/>
      <c r="J362" s="664"/>
    </row>
    <row r="363" spans="1:10" ht="16" thickBot="1">
      <c r="A363" s="220"/>
      <c r="B363" s="663"/>
      <c r="C363" s="664"/>
      <c r="D363" s="220"/>
      <c r="E363" s="663"/>
      <c r="F363" s="664"/>
      <c r="G363" s="220"/>
      <c r="H363" s="663"/>
      <c r="I363" s="674"/>
      <c r="J363" s="664"/>
    </row>
    <row r="364" spans="1:10" ht="16" thickBot="1">
      <c r="A364" s="220"/>
      <c r="B364" s="663"/>
      <c r="C364" s="664"/>
      <c r="D364" s="220"/>
      <c r="E364" s="663"/>
      <c r="F364" s="664"/>
      <c r="G364" s="220"/>
      <c r="H364" s="663"/>
      <c r="I364" s="674"/>
      <c r="J364" s="664"/>
    </row>
    <row r="365" spans="1:10" ht="16" thickBot="1">
      <c r="A365" s="220"/>
      <c r="B365" s="663"/>
      <c r="C365" s="664"/>
      <c r="D365" s="220"/>
      <c r="E365" s="663"/>
      <c r="F365" s="664"/>
      <c r="G365" s="220"/>
      <c r="H365" s="663"/>
      <c r="I365" s="674"/>
      <c r="J365" s="664"/>
    </row>
    <row r="366" spans="1:10" ht="16.5" customHeight="1" thickBot="1">
      <c r="A366" s="220"/>
      <c r="B366" s="663"/>
      <c r="C366" s="664"/>
      <c r="D366" s="220"/>
      <c r="E366" s="663"/>
      <c r="F366" s="664"/>
      <c r="G366" s="220"/>
      <c r="H366" s="663"/>
      <c r="I366" s="674"/>
      <c r="J366" s="664"/>
    </row>
    <row r="367" spans="1:10" ht="16" thickBot="1">
      <c r="A367" s="220"/>
      <c r="B367" s="663"/>
      <c r="C367" s="664"/>
      <c r="D367" s="220"/>
      <c r="E367" s="663"/>
      <c r="F367" s="664"/>
      <c r="G367" s="220"/>
      <c r="H367" s="663"/>
      <c r="I367" s="674"/>
      <c r="J367" s="664"/>
    </row>
    <row r="368" spans="1:10" ht="16" thickBot="1">
      <c r="A368" s="220"/>
      <c r="B368" s="663"/>
      <c r="C368" s="664"/>
      <c r="D368" s="220"/>
      <c r="E368" s="663"/>
      <c r="F368" s="664"/>
      <c r="G368" s="220"/>
      <c r="H368" s="663"/>
      <c r="I368" s="674"/>
      <c r="J368" s="664"/>
    </row>
    <row r="369" spans="1:10" ht="16" thickBot="1">
      <c r="A369" s="220"/>
      <c r="B369" s="663"/>
      <c r="C369" s="664"/>
      <c r="D369" s="220"/>
      <c r="E369" s="663"/>
      <c r="F369" s="664"/>
      <c r="G369" s="220"/>
      <c r="H369" s="663"/>
      <c r="I369" s="674"/>
      <c r="J369" s="664"/>
    </row>
    <row r="370" spans="1:10" ht="16" thickBot="1">
      <c r="A370" s="220"/>
      <c r="B370" s="663"/>
      <c r="C370" s="664"/>
      <c r="D370" s="220"/>
      <c r="E370" s="663"/>
      <c r="F370" s="664"/>
      <c r="G370" s="220"/>
      <c r="H370" s="663"/>
      <c r="I370" s="674"/>
      <c r="J370" s="664"/>
    </row>
    <row r="371" spans="1:10" ht="16.5" customHeight="1" thickBot="1">
      <c r="A371" s="220"/>
      <c r="B371" s="663"/>
      <c r="C371" s="664"/>
      <c r="D371" s="220"/>
      <c r="E371" s="663"/>
      <c r="F371" s="664"/>
      <c r="G371" s="220"/>
      <c r="H371" s="663"/>
      <c r="I371" s="674"/>
      <c r="J371" s="664"/>
    </row>
    <row r="372" spans="1:10" ht="16.5" customHeight="1" thickBot="1">
      <c r="A372" s="220"/>
      <c r="B372" s="663"/>
      <c r="C372" s="664"/>
      <c r="D372" s="220"/>
      <c r="E372" s="663"/>
      <c r="F372" s="664"/>
      <c r="G372" s="220"/>
      <c r="H372" s="663"/>
      <c r="I372" s="674"/>
      <c r="J372" s="664"/>
    </row>
    <row r="373" spans="1:10" ht="15.75" customHeight="1" thickBot="1">
      <c r="A373" s="221"/>
      <c r="B373" s="706"/>
      <c r="C373" s="707"/>
      <c r="D373" s="221"/>
      <c r="E373" s="663"/>
      <c r="F373" s="664"/>
      <c r="G373" s="221"/>
      <c r="H373" s="663"/>
      <c r="I373" s="674"/>
      <c r="J373" s="664"/>
    </row>
    <row r="374" spans="1:10" ht="16" thickBot="1">
      <c r="A374" s="872" t="s">
        <v>140</v>
      </c>
      <c r="B374" s="873"/>
      <c r="C374" s="873"/>
      <c r="D374" s="873"/>
      <c r="E374" s="873"/>
      <c r="F374" s="873"/>
      <c r="G374" s="874"/>
      <c r="H374" s="900">
        <f>SUM(B344:B373,E344:E373,H344:H373)</f>
        <v>0</v>
      </c>
      <c r="I374" s="901"/>
      <c r="J374" s="902"/>
    </row>
    <row r="375" spans="1:10" ht="16" thickTop="1">
      <c r="A375" s="885" t="s">
        <v>1286</v>
      </c>
      <c r="B375" s="886"/>
      <c r="C375" s="886"/>
      <c r="D375" s="886"/>
      <c r="E375" s="886"/>
      <c r="F375" s="886"/>
      <c r="G375" s="886"/>
      <c r="H375" s="886"/>
      <c r="I375" s="886"/>
      <c r="J375" s="887"/>
    </row>
    <row r="376" spans="1:10" ht="16" thickBot="1">
      <c r="A376" s="881" t="s">
        <v>156</v>
      </c>
      <c r="B376" s="882"/>
      <c r="C376" s="882"/>
      <c r="D376" s="882"/>
      <c r="E376" s="882"/>
      <c r="F376" s="863"/>
      <c r="G376" s="864"/>
      <c r="H376" s="107" t="s">
        <v>167</v>
      </c>
      <c r="I376" s="879"/>
      <c r="J376" s="880"/>
    </row>
    <row r="377" spans="1:10" ht="16" thickBot="1">
      <c r="A377" s="629" t="s">
        <v>157</v>
      </c>
      <c r="B377" s="630"/>
      <c r="C377" s="630"/>
      <c r="D377" s="630"/>
      <c r="E377" s="630"/>
      <c r="F377" s="630"/>
      <c r="G377" s="630"/>
      <c r="H377" s="16" t="s">
        <v>168</v>
      </c>
      <c r="I377" s="633">
        <f>Std_VIII_TotalDepositsInTransit</f>
        <v>0</v>
      </c>
      <c r="J377" s="634"/>
    </row>
    <row r="378" spans="1:10" ht="16" thickBot="1">
      <c r="A378" s="629" t="s">
        <v>158</v>
      </c>
      <c r="B378" s="630"/>
      <c r="C378" s="630"/>
      <c r="D378" s="630"/>
      <c r="E378" s="630"/>
      <c r="F378" s="630"/>
      <c r="G378" s="630"/>
      <c r="H378" s="16" t="s">
        <v>169</v>
      </c>
      <c r="I378" s="633">
        <f>Std_VIII_TotalOutstandingChecks</f>
        <v>0</v>
      </c>
      <c r="J378" s="634"/>
    </row>
    <row r="379" spans="1:10" ht="16" thickBot="1">
      <c r="A379" s="687" t="s">
        <v>160</v>
      </c>
      <c r="B379" s="688"/>
      <c r="C379" s="688"/>
      <c r="D379" s="688"/>
      <c r="E379" s="688"/>
      <c r="F379" s="688"/>
      <c r="G379" s="19" t="s">
        <v>159</v>
      </c>
      <c r="H379" s="16" t="s">
        <v>170</v>
      </c>
      <c r="I379" s="633" t="str">
        <f>IF(Std_VIII_BankStmtBalance = "", "", Std_VIII_BankStmtBalance + I377 - ABS(I378))</f>
        <v/>
      </c>
      <c r="J379" s="634"/>
    </row>
    <row r="380" spans="1:10" ht="16" thickBot="1">
      <c r="A380" s="870" t="s">
        <v>161</v>
      </c>
      <c r="B380" s="871"/>
      <c r="C380" s="871"/>
      <c r="D380" s="871"/>
      <c r="E380" s="871"/>
      <c r="F380" s="685"/>
      <c r="G380" s="686"/>
      <c r="H380" s="865" t="s">
        <v>171</v>
      </c>
      <c r="I380" s="875"/>
      <c r="J380" s="876"/>
    </row>
    <row r="381" spans="1:10" ht="16" thickBot="1">
      <c r="A381" s="867" t="s">
        <v>162</v>
      </c>
      <c r="B381" s="868"/>
      <c r="C381" s="868"/>
      <c r="D381" s="868"/>
      <c r="E381" s="868"/>
      <c r="F381" s="868"/>
      <c r="G381" s="869"/>
      <c r="H381" s="866"/>
      <c r="I381" s="877"/>
      <c r="J381" s="878"/>
    </row>
    <row r="382" spans="1:10" ht="16.5" customHeight="1" thickBot="1">
      <c r="A382" s="631" t="s">
        <v>163</v>
      </c>
      <c r="B382" s="632"/>
      <c r="C382" s="632"/>
      <c r="D382" s="632"/>
      <c r="E382" s="632"/>
      <c r="F382" s="632"/>
      <c r="G382" s="19" t="s">
        <v>164</v>
      </c>
      <c r="H382" s="16" t="s">
        <v>172</v>
      </c>
      <c r="I382" s="633" t="str">
        <f>IF(OR(Std_VIII_AdjBalPerBank = "", Std_VIII_TotPtyCashOnHand = ""), "", Std_VIII_AdjBalPerBank + Std_VIII_TotPtyCashOnHand)</f>
        <v/>
      </c>
      <c r="J382" s="634"/>
    </row>
    <row r="383" spans="1:10" ht="15.75" customHeight="1" thickBot="1">
      <c r="A383" s="631" t="s">
        <v>165</v>
      </c>
      <c r="B383" s="632"/>
      <c r="C383" s="632"/>
      <c r="D383" s="632"/>
      <c r="E383" s="632"/>
      <c r="F383" s="632"/>
      <c r="G383" s="222"/>
      <c r="H383" s="16" t="s">
        <v>173</v>
      </c>
      <c r="I383" s="627"/>
      <c r="J383" s="628"/>
    </row>
    <row r="384" spans="1:10" ht="16.5" customHeight="1" thickBot="1">
      <c r="A384" s="629" t="s">
        <v>166</v>
      </c>
      <c r="B384" s="630"/>
      <c r="C384" s="630"/>
      <c r="D384" s="630"/>
      <c r="E384" s="630"/>
      <c r="F384" s="630"/>
      <c r="G384" s="630"/>
      <c r="H384" s="16" t="s">
        <v>174</v>
      </c>
      <c r="I384" s="627"/>
      <c r="J384" s="628"/>
    </row>
    <row r="385" spans="1:10" ht="16" thickBot="1">
      <c r="A385" s="629" t="s">
        <v>175</v>
      </c>
      <c r="B385" s="630"/>
      <c r="C385" s="630"/>
      <c r="D385" s="630"/>
      <c r="E385" s="630"/>
      <c r="F385" s="630"/>
      <c r="G385" s="630"/>
      <c r="H385" s="16" t="s">
        <v>176</v>
      </c>
      <c r="I385" s="627"/>
      <c r="J385" s="628"/>
    </row>
    <row r="386" spans="1:10" ht="27" customHeight="1" thickBot="1">
      <c r="A386" s="703" t="s">
        <v>177</v>
      </c>
      <c r="B386" s="704"/>
      <c r="C386" s="704"/>
      <c r="D386" s="704"/>
      <c r="E386" s="704"/>
      <c r="F386" s="704"/>
      <c r="G386" s="705"/>
      <c r="H386" s="21" t="s">
        <v>178</v>
      </c>
      <c r="I386" s="627"/>
      <c r="J386" s="628"/>
    </row>
    <row r="387" spans="1:10" ht="16.5" customHeight="1" thickBot="1">
      <c r="A387" s="631" t="s">
        <v>179</v>
      </c>
      <c r="B387" s="632"/>
      <c r="C387" s="632"/>
      <c r="D387" s="632"/>
      <c r="E387" s="632"/>
      <c r="F387" s="632"/>
      <c r="G387" s="19" t="s">
        <v>180</v>
      </c>
      <c r="H387" s="16" t="s">
        <v>181</v>
      </c>
      <c r="I387" s="633">
        <f>I383 + I384 - ABS(I385) -ABS(I386)</f>
        <v>0</v>
      </c>
      <c r="J387" s="634"/>
    </row>
    <row r="388" spans="1:10" ht="28.5" customHeight="1" thickBot="1">
      <c r="A388" s="635" t="s">
        <v>182</v>
      </c>
      <c r="B388" s="636"/>
      <c r="C388" s="636"/>
      <c r="D388" s="636"/>
      <c r="E388" s="636"/>
      <c r="F388" s="636"/>
      <c r="G388" s="22" t="s">
        <v>183</v>
      </c>
      <c r="H388" s="21" t="s">
        <v>184</v>
      </c>
      <c r="I388" s="696" t="str">
        <f>IF(I382 = "", "", I382 - I387)</f>
        <v/>
      </c>
      <c r="J388" s="697"/>
    </row>
    <row r="389" spans="1:10" ht="28.5" customHeight="1" thickBot="1">
      <c r="A389" s="635" t="s">
        <v>1246</v>
      </c>
      <c r="B389" s="636"/>
      <c r="C389" s="636"/>
      <c r="D389" s="636"/>
      <c r="E389" s="636"/>
      <c r="F389" s="636"/>
      <c r="G389" s="682"/>
      <c r="H389" s="112" t="s">
        <v>358</v>
      </c>
      <c r="I389" s="683"/>
      <c r="J389" s="684"/>
    </row>
    <row r="390" spans="1:10" ht="45" customHeight="1" thickBot="1">
      <c r="A390" s="635" t="s">
        <v>1247</v>
      </c>
      <c r="B390" s="636"/>
      <c r="C390" s="636"/>
      <c r="D390" s="636"/>
      <c r="E390" s="636"/>
      <c r="F390" s="636"/>
      <c r="G390" s="682"/>
      <c r="H390" s="21" t="s">
        <v>359</v>
      </c>
      <c r="I390" s="683"/>
      <c r="J390" s="684"/>
    </row>
    <row r="391" spans="1:10" ht="17.25" customHeight="1" thickBot="1">
      <c r="A391" s="693" t="s">
        <v>1365</v>
      </c>
      <c r="B391" s="694"/>
      <c r="C391" s="694"/>
      <c r="D391" s="694"/>
      <c r="E391" s="694"/>
      <c r="F391" s="694"/>
      <c r="G391" s="694"/>
      <c r="H391" s="694"/>
      <c r="I391" s="694"/>
      <c r="J391" s="695"/>
    </row>
    <row r="392" spans="1:10" ht="27" customHeight="1" thickTop="1">
      <c r="A392" s="493" t="s">
        <v>155</v>
      </c>
      <c r="B392" s="494"/>
      <c r="C392" s="494"/>
      <c r="D392" s="494"/>
      <c r="E392" s="494"/>
      <c r="F392" s="494"/>
      <c r="G392" s="494"/>
      <c r="H392" s="494"/>
      <c r="I392" s="494"/>
      <c r="J392" s="495"/>
    </row>
    <row r="393" spans="1:10" ht="15" customHeight="1">
      <c r="A393" s="530" t="s">
        <v>1567</v>
      </c>
      <c r="B393" s="531"/>
      <c r="C393" s="531"/>
      <c r="D393" s="531"/>
      <c r="E393" s="531"/>
      <c r="F393" s="531"/>
      <c r="G393" s="531"/>
      <c r="H393" s="531"/>
      <c r="I393" s="531"/>
      <c r="J393" s="532"/>
    </row>
    <row r="394" spans="1:10" ht="15" customHeight="1">
      <c r="A394" s="530"/>
      <c r="B394" s="531"/>
      <c r="C394" s="531"/>
      <c r="D394" s="531"/>
      <c r="E394" s="531"/>
      <c r="F394" s="531"/>
      <c r="G394" s="531"/>
      <c r="H394" s="531"/>
      <c r="I394" s="531"/>
      <c r="J394" s="532"/>
    </row>
    <row r="395" spans="1:10" ht="15" customHeight="1">
      <c r="A395" s="530"/>
      <c r="B395" s="531"/>
      <c r="C395" s="531"/>
      <c r="D395" s="531"/>
      <c r="E395" s="531"/>
      <c r="F395" s="531"/>
      <c r="G395" s="531"/>
      <c r="H395" s="531"/>
      <c r="I395" s="531"/>
      <c r="J395" s="532"/>
    </row>
    <row r="396" spans="1:10" ht="15" customHeight="1">
      <c r="A396" s="530"/>
      <c r="B396" s="531"/>
      <c r="C396" s="531"/>
      <c r="D396" s="531"/>
      <c r="E396" s="531"/>
      <c r="F396" s="531"/>
      <c r="G396" s="531"/>
      <c r="H396" s="531"/>
      <c r="I396" s="531"/>
      <c r="J396" s="532"/>
    </row>
    <row r="397" spans="1:10" ht="15" customHeight="1" thickBot="1">
      <c r="A397" s="679"/>
      <c r="B397" s="680"/>
      <c r="C397" s="680"/>
      <c r="D397" s="680"/>
      <c r="E397" s="680"/>
      <c r="F397" s="680"/>
      <c r="G397" s="680"/>
      <c r="H397" s="680"/>
      <c r="I397" s="680"/>
      <c r="J397" s="681"/>
    </row>
    <row r="398" spans="1:10" ht="17.25" customHeight="1" thickTop="1" thickBot="1">
      <c r="A398" s="109" t="s">
        <v>16</v>
      </c>
      <c r="B398" s="569"/>
      <c r="C398" s="569"/>
      <c r="D398" s="569"/>
      <c r="E398" s="569"/>
      <c r="F398" s="569"/>
      <c r="G398" s="569"/>
      <c r="H398" s="570"/>
      <c r="I398" s="689" t="str">
        <f>IF(Standard_VIII_1a_NotCalc = "", "", IF(Standard_VIII_1a_NotCalc = "N", "NA", IF(Standard_VIII_1b_NotCalc = "", "", IF(Standard_VIII_1b_NotCalc = "N", "N", IF(Std_VIII_AcctOverShort = 0, "Y", IF(Std_VIII_1m = "", "", IF(Std_VIII_AcctOverShort &lt; 0, IF(COUNTBLANK(I389:I390) = 2, "", IF(COUNTIF(I389:I390, "N") = 2, "N", IF(COUNTIF(I389:I390, "Y") &gt; 0, "Y", ""))), IF(Std_VIII_1n &lt;&gt; "NA", "", Std_VIII_1m))))))))</f>
        <v/>
      </c>
      <c r="J398" s="690"/>
    </row>
    <row r="399" spans="1:10" ht="17.25" customHeight="1" thickTop="1" thickBot="1">
      <c r="A399" s="671" t="s">
        <v>154</v>
      </c>
      <c r="B399" s="698"/>
      <c r="C399" s="698"/>
      <c r="D399" s="698"/>
      <c r="E399" s="698"/>
      <c r="F399" s="698"/>
      <c r="G399" s="698"/>
      <c r="H399" s="699"/>
      <c r="I399" s="691"/>
      <c r="J399" s="692"/>
    </row>
    <row r="400" spans="1:10" ht="16.5" customHeight="1" thickTop="1">
      <c r="A400" s="571" t="s">
        <v>193</v>
      </c>
      <c r="B400" s="572"/>
      <c r="C400" s="572"/>
      <c r="D400" s="572"/>
      <c r="E400" s="572"/>
      <c r="F400" s="572"/>
      <c r="G400" s="572"/>
      <c r="H400" s="572"/>
      <c r="I400" s="572"/>
      <c r="J400" s="573"/>
    </row>
    <row r="401" spans="1:15" customFormat="1" ht="17.25" customHeight="1" thickBot="1">
      <c r="A401" s="555" t="s">
        <v>1568</v>
      </c>
      <c r="B401" s="556"/>
      <c r="C401" s="556"/>
      <c r="D401" s="556"/>
      <c r="E401" s="556"/>
      <c r="F401" s="556"/>
      <c r="G401" s="556"/>
      <c r="H401" s="556"/>
      <c r="I401" s="556"/>
      <c r="J401" s="557"/>
      <c r="K401" s="1"/>
      <c r="L401" s="1"/>
      <c r="M401" s="1"/>
      <c r="N401" s="1"/>
      <c r="O401" s="1"/>
    </row>
    <row r="402" spans="1:15" ht="15.75" customHeight="1" thickTop="1" thickBot="1">
      <c r="A402" s="493" t="s">
        <v>194</v>
      </c>
      <c r="B402" s="494"/>
      <c r="C402" s="494"/>
      <c r="D402" s="494"/>
      <c r="E402" s="495"/>
      <c r="F402" s="106">
        <v>1</v>
      </c>
      <c r="G402" s="106">
        <v>2</v>
      </c>
      <c r="H402" s="106">
        <v>3</v>
      </c>
      <c r="I402" s="106">
        <v>4</v>
      </c>
      <c r="J402" s="106">
        <v>5</v>
      </c>
    </row>
    <row r="403" spans="1:15" ht="15.75" customHeight="1" thickTop="1" thickBot="1">
      <c r="A403" s="496"/>
      <c r="B403" s="497"/>
      <c r="C403" s="497"/>
      <c r="D403" s="497"/>
      <c r="E403" s="498"/>
      <c r="F403" s="3" t="str">
        <f ca="1">IF('IWP01'!ContractNumber = 0, "", IF('IWP01'!Std9dot1 = "", "E", 'IWP01'!Std9dot1))</f>
        <v/>
      </c>
      <c r="G403" s="3" t="str">
        <f ca="1">IF('IWP02'!ContractNumber = 0, "", IF('IWP02'!Std9dot1 = "", "E", 'IWP02'!Std9dot1))</f>
        <v/>
      </c>
      <c r="H403" s="3" t="str">
        <f ca="1">IF('IWP03'!ContractNumber = 0, "", IF('IWP03'!Std9dot1 = "", "E", 'IWP03'!Std9dot1))</f>
        <v/>
      </c>
      <c r="I403" s="3" t="str">
        <f ca="1">IF('IWP04'!ContractNumber = 0, "", IF('IWP04'!Std9dot1 = "", "E", 'IWP04'!Std9dot1))</f>
        <v/>
      </c>
      <c r="J403" s="3" t="str">
        <f ca="1">IF('IWP05'!ContractNumber = 0, "", IF('IWP05'!Std9dot1 = "", "E", 'IWP05'!Std9dot1))</f>
        <v/>
      </c>
      <c r="K403" s="23"/>
    </row>
    <row r="404" spans="1:15" ht="16.5" customHeight="1" thickTop="1" thickBot="1">
      <c r="A404" s="496"/>
      <c r="B404" s="497"/>
      <c r="C404" s="497"/>
      <c r="D404" s="497"/>
      <c r="E404" s="498"/>
      <c r="F404" s="106">
        <v>6</v>
      </c>
      <c r="G404" s="106">
        <v>7</v>
      </c>
      <c r="H404" s="106">
        <v>8</v>
      </c>
      <c r="I404" s="106">
        <v>9</v>
      </c>
      <c r="J404" s="106">
        <v>10</v>
      </c>
      <c r="K404" s="23"/>
      <c r="O404"/>
    </row>
    <row r="405" spans="1:15" s="12" customFormat="1" ht="16.5" customHeight="1" thickTop="1" thickBot="1">
      <c r="A405" s="530" t="s">
        <v>1569</v>
      </c>
      <c r="B405" s="531"/>
      <c r="C405" s="531"/>
      <c r="D405" s="531"/>
      <c r="E405" s="532"/>
      <c r="F405" s="3" t="str">
        <f ca="1">IF('IWP06'!ContractNumber = 0, "", IF('IWP06'!Std9dot1 = "", "E", 'IWP06'!Std9dot1))</f>
        <v/>
      </c>
      <c r="G405" s="3" t="str">
        <f ca="1">IF('IWP07'!ContractNumber = 0, "", IF('IWP07'!Std9dot1 = "", "E", 'IWP07'!Std9dot1))</f>
        <v/>
      </c>
      <c r="H405" s="3" t="str">
        <f ca="1">IF('IWP08'!ContractNumber = 0, "", IF('IWP08'!Std9dot1 = "", "E", 'IWP08'!Std9dot1))</f>
        <v/>
      </c>
      <c r="I405" s="3" t="str">
        <f ca="1">IF('IWP09'!ContractNumber = 0, "", IF('IWP09'!Std9dot1 = "", "E", 'IWP09'!Std9dot1))</f>
        <v/>
      </c>
      <c r="J405" s="3" t="str">
        <f ca="1">IF('IWP10'!ContractNumber = 0, "", IF('IWP10'!Std9dot1 = "", "E", 'IWP10'!Std9dot1))</f>
        <v/>
      </c>
      <c r="K405" s="1"/>
      <c r="L405" s="1"/>
      <c r="M405" s="1"/>
      <c r="N405" s="1"/>
      <c r="O405" s="1"/>
    </row>
    <row r="406" spans="1:15" s="12" customFormat="1" ht="16.5" customHeight="1" thickTop="1" thickBot="1">
      <c r="A406" s="530"/>
      <c r="B406" s="531"/>
      <c r="C406" s="531"/>
      <c r="D406" s="531"/>
      <c r="E406" s="532"/>
      <c r="F406" s="106">
        <v>11</v>
      </c>
      <c r="G406" s="106">
        <v>12</v>
      </c>
      <c r="H406" s="106">
        <v>13</v>
      </c>
      <c r="I406" s="106">
        <v>14</v>
      </c>
      <c r="J406" s="106">
        <v>15</v>
      </c>
      <c r="K406" s="1"/>
      <c r="L406" s="1"/>
      <c r="M406" s="1"/>
      <c r="N406" s="1"/>
      <c r="O406" s="1"/>
    </row>
    <row r="407" spans="1:15" s="12" customFormat="1" ht="16.5" customHeight="1" thickTop="1" thickBot="1">
      <c r="A407" s="530"/>
      <c r="B407" s="531"/>
      <c r="C407" s="531"/>
      <c r="D407" s="531"/>
      <c r="E407" s="532"/>
      <c r="F407" s="3" t="str">
        <f ca="1">IF('IWP11'!ContractNumber = 0, "", IF('IWP11'!Std9dot1 = "", "E", 'IWP11'!Std9dot1))</f>
        <v/>
      </c>
      <c r="G407" s="3" t="str">
        <f ca="1">IF('IWP12'!ContractNumber = 0, "", IF('IWP12'!Std9dot1 = "", "E", 'IWP12'!Std9dot1))</f>
        <v/>
      </c>
      <c r="H407" s="3" t="str">
        <f ca="1">IF('IWP13'!ContractNumber = 0, "", IF('IWP13'!Std9dot1 = "", "E", 'IWP13'!Std9dot1))</f>
        <v/>
      </c>
      <c r="I407" s="3" t="str">
        <f ca="1">IF('IWP14'!ContractNumber = 0, "", IF('IWP14'!Std9dot1 = "", "E", 'IWP14'!Std9dot1))</f>
        <v/>
      </c>
      <c r="J407" s="3" t="str">
        <f ca="1">IF('IWP15'!ContractNumber = 0, "", IF('IWP15'!Std9dot1 = "", "E", 'IWP15'!Std9dot1))</f>
        <v/>
      </c>
      <c r="K407" s="1"/>
      <c r="L407" s="1"/>
      <c r="M407" s="1"/>
      <c r="N407" s="1"/>
      <c r="O407" s="1"/>
    </row>
    <row r="408" spans="1:15" s="12" customFormat="1" ht="16.5" customHeight="1" thickTop="1" thickBot="1">
      <c r="A408" s="558" t="s">
        <v>87</v>
      </c>
      <c r="B408" s="559"/>
      <c r="C408" s="559"/>
      <c r="D408" s="559"/>
      <c r="E408" s="560"/>
      <c r="F408" s="106">
        <v>16</v>
      </c>
      <c r="G408" s="106">
        <v>17</v>
      </c>
      <c r="H408" s="106">
        <v>18</v>
      </c>
      <c r="I408" s="106">
        <v>19</v>
      </c>
      <c r="J408" s="106">
        <v>20</v>
      </c>
    </row>
    <row r="409" spans="1:15" customFormat="1" ht="16.5" customHeight="1" thickTop="1" thickBot="1">
      <c r="A409" s="558"/>
      <c r="B409" s="559"/>
      <c r="C409" s="559"/>
      <c r="D409" s="559"/>
      <c r="E409" s="560"/>
      <c r="F409" s="3" t="str">
        <f ca="1">IF('IWP16'!ContractNumber = 0, "", IF('IWP16'!Std9dot1 = "", "E", 'IWP16'!Std9dot1))</f>
        <v/>
      </c>
      <c r="G409" s="3" t="str">
        <f ca="1">IF('IWP17'!ContractNumber = 0, "", IF('IWP17'!Std9dot1 = "", "E", 'IWP17'!Std9dot1))</f>
        <v/>
      </c>
      <c r="H409" s="3" t="str">
        <f ca="1">IF('IWP18'!ContractNumber = 0, "", IF('IWP18'!Std9dot1 = "", "E", 'IWP18'!Std9dot1))</f>
        <v/>
      </c>
      <c r="I409" s="3" t="str">
        <f ca="1">IF('IWP19'!ContractNumber = 0, "", IF('IWP19'!Std9dot1 = "", "E", 'IWP19'!Std9dot1))</f>
        <v/>
      </c>
      <c r="J409" s="3" t="str">
        <f ca="1">IF('IWP20'!ContractNumber = 0, "", IF('IWP20'!Std9dot1 = "", "E", 'IWP20'!Std9dot1))</f>
        <v/>
      </c>
      <c r="K409" s="12"/>
      <c r="L409" s="12"/>
      <c r="M409" s="12"/>
      <c r="N409" s="12"/>
      <c r="O409" s="12"/>
    </row>
    <row r="410" spans="1:15" customFormat="1" ht="16.5" customHeight="1" thickTop="1" thickBot="1">
      <c r="A410" s="558"/>
      <c r="B410" s="559"/>
      <c r="C410" s="559"/>
      <c r="D410" s="559"/>
      <c r="E410" s="560"/>
      <c r="F410" s="106">
        <v>21</v>
      </c>
      <c r="G410" s="106">
        <v>22</v>
      </c>
      <c r="H410" s="106">
        <v>23</v>
      </c>
      <c r="I410" s="106">
        <v>24</v>
      </c>
      <c r="J410" s="106">
        <v>25</v>
      </c>
      <c r="K410" s="12"/>
      <c r="L410" s="12"/>
      <c r="M410" s="12"/>
      <c r="N410" s="12"/>
      <c r="O410" s="12"/>
    </row>
    <row r="411" spans="1:15" customFormat="1" thickTop="1" thickBot="1">
      <c r="A411" s="558"/>
      <c r="B411" s="559"/>
      <c r="C411" s="559"/>
      <c r="D411" s="559"/>
      <c r="E411" s="560"/>
      <c r="F411" s="3" t="str">
        <f ca="1">IF('IWP21'!ContractNumber = 0, "", IF('IWP21'!Std9dot1 = "", "E", 'IWP21'!Std9dot1))</f>
        <v/>
      </c>
      <c r="G411" s="3" t="str">
        <f ca="1">IF('IWP22'!ContractNumber = 0, "", IF('IWP22'!Std9dot1 = "", "E", 'IWP22'!Std9dot1))</f>
        <v/>
      </c>
      <c r="H411" s="3" t="str">
        <f ca="1">IF('IWP23'!ContractNumber = 0, "", IF('IWP23'!Std9dot1 = "", "E", 'IWP23'!Std9dot1))</f>
        <v/>
      </c>
      <c r="I411" s="3" t="str">
        <f ca="1">IF('IWP24'!ContractNumber = 0, "", IF('IWP24'!Std9dot1 = "", "E", 'IWP24'!Std9dot1))</f>
        <v/>
      </c>
      <c r="J411" s="3" t="str">
        <f ca="1">IF('IWP25'!ContractNumber = 0, "", IF('IWP25'!Std9dot1 = "", "E", 'IWP25'!Std9dot1))</f>
        <v/>
      </c>
      <c r="K411" s="12"/>
      <c r="L411" s="12"/>
      <c r="M411" s="12"/>
      <c r="N411" s="12"/>
      <c r="O411" s="12"/>
    </row>
    <row r="412" spans="1:15" customFormat="1" ht="15.75" customHeight="1" thickTop="1" thickBot="1">
      <c r="A412" s="558"/>
      <c r="B412" s="559"/>
      <c r="C412" s="559"/>
      <c r="D412" s="559"/>
      <c r="E412" s="560"/>
      <c r="F412" s="106">
        <v>26</v>
      </c>
      <c r="G412" s="106">
        <v>27</v>
      </c>
      <c r="H412" s="106">
        <v>28</v>
      </c>
      <c r="I412" s="106">
        <v>29</v>
      </c>
      <c r="J412" s="106">
        <v>30</v>
      </c>
    </row>
    <row r="413" spans="1:15" customFormat="1" ht="16.5" customHeight="1" thickTop="1" thickBot="1">
      <c r="A413" s="561"/>
      <c r="B413" s="562"/>
      <c r="C413" s="562"/>
      <c r="D413" s="562"/>
      <c r="E413" s="563"/>
      <c r="F413" s="3" t="str">
        <f ca="1">IF('IWP26'!ContractNumber = 0, "", IF('IWP26'!Std9dot1 = "", "E", 'IWP26'!Std9dot1))</f>
        <v/>
      </c>
      <c r="G413" s="3" t="str">
        <f ca="1">IF('IWP27'!ContractNumber = 0, "", IF('IWP27'!Std9dot1 = "", "E", 'IWP27'!Std9dot1))</f>
        <v/>
      </c>
      <c r="H413" s="3" t="str">
        <f ca="1">IF('IWP28'!ContractNumber = 0, "", IF('IWP28'!Std9dot1 = "", "E", 'IWP28'!Std9dot1))</f>
        <v/>
      </c>
      <c r="I413" s="3" t="str">
        <f ca="1">IF('IWP29'!ContractNumber = 0, "", IF('IWP29'!Std9dot1 = "", "E", 'IWP29'!Std9dot1))</f>
        <v/>
      </c>
      <c r="J413" s="3" t="str">
        <f ca="1">IF('IWP30'!ContractNumber = 0, "", IF('IWP30'!Std9dot1 = "", "E", 'IWP30'!Std9dot1))</f>
        <v/>
      </c>
    </row>
    <row r="414" spans="1:15" s="14" customFormat="1" ht="16.5" customHeight="1" thickTop="1" thickBot="1">
      <c r="A414" s="109" t="s">
        <v>16</v>
      </c>
      <c r="B414" s="569"/>
      <c r="C414" s="569"/>
      <c r="D414" s="569"/>
      <c r="E414" s="569"/>
      <c r="F414" s="570"/>
      <c r="G414" s="637" t="s">
        <v>17</v>
      </c>
      <c r="H414" s="638"/>
      <c r="I414" s="487" t="s">
        <v>18</v>
      </c>
      <c r="J414" s="488"/>
      <c r="K414"/>
      <c r="L414"/>
      <c r="M414"/>
      <c r="N414"/>
      <c r="O414"/>
    </row>
    <row r="415" spans="1:15" customFormat="1" ht="16.5" customHeight="1" thickTop="1">
      <c r="A415" s="549" t="s">
        <v>193</v>
      </c>
      <c r="B415" s="550"/>
      <c r="C415" s="550"/>
      <c r="D415" s="550"/>
      <c r="E415" s="550"/>
      <c r="F415" s="551"/>
      <c r="G415" s="637">
        <f ca="1">COUNTIF(F403:J413, "Y")</f>
        <v>0</v>
      </c>
      <c r="H415" s="638"/>
      <c r="I415" s="637">
        <f ca="1">COUNTIF(F403:J413, "N")</f>
        <v>0</v>
      </c>
      <c r="J415" s="638"/>
    </row>
    <row r="416" spans="1:15" customFormat="1" ht="16.5" customHeight="1" thickBot="1">
      <c r="A416" s="552"/>
      <c r="B416" s="553"/>
      <c r="C416" s="553"/>
      <c r="D416" s="553"/>
      <c r="E416" s="553"/>
      <c r="F416" s="554"/>
      <c r="G416" s="654"/>
      <c r="H416" s="655"/>
      <c r="I416" s="654"/>
      <c r="J416" s="655"/>
    </row>
    <row r="417" spans="1:15" customFormat="1" ht="16.5" customHeight="1" thickTop="1">
      <c r="A417" s="571" t="s">
        <v>195</v>
      </c>
      <c r="B417" s="572"/>
      <c r="C417" s="572"/>
      <c r="D417" s="572"/>
      <c r="E417" s="572"/>
      <c r="F417" s="572"/>
      <c r="G417" s="572"/>
      <c r="H417" s="572"/>
      <c r="I417" s="572"/>
      <c r="J417" s="573"/>
      <c r="K417" s="14"/>
      <c r="L417" s="14"/>
      <c r="M417" s="14"/>
      <c r="N417" s="14"/>
      <c r="O417" s="14"/>
    </row>
    <row r="418" spans="1:15" customFormat="1" ht="16.5" customHeight="1" thickBot="1">
      <c r="A418" s="555" t="s">
        <v>1570</v>
      </c>
      <c r="B418" s="556"/>
      <c r="C418" s="556"/>
      <c r="D418" s="556"/>
      <c r="E418" s="556"/>
      <c r="F418" s="556"/>
      <c r="G418" s="556"/>
      <c r="H418" s="556"/>
      <c r="I418" s="556"/>
      <c r="J418" s="557"/>
    </row>
    <row r="419" spans="1:15" customFormat="1" ht="16.5" customHeight="1" thickTop="1" thickBot="1">
      <c r="A419" s="493" t="s">
        <v>196</v>
      </c>
      <c r="B419" s="494"/>
      <c r="C419" s="494"/>
      <c r="D419" s="494"/>
      <c r="E419" s="495"/>
      <c r="F419" s="106">
        <v>1</v>
      </c>
      <c r="G419" s="106">
        <v>2</v>
      </c>
      <c r="H419" s="106">
        <v>3</v>
      </c>
      <c r="I419" s="106">
        <v>4</v>
      </c>
      <c r="J419" s="106">
        <v>5</v>
      </c>
    </row>
    <row r="420" spans="1:15" customFormat="1" ht="16.5" customHeight="1" thickTop="1" thickBot="1">
      <c r="A420" s="496"/>
      <c r="B420" s="497"/>
      <c r="C420" s="497"/>
      <c r="D420" s="497"/>
      <c r="E420" s="498"/>
      <c r="F420" s="3" t="str">
        <f ca="1">IF('IWP01'!ContractNumber = 0, "", IF('IWP01'!Std10dot1 = "", "E", 'IWP01'!Std10dot1))</f>
        <v/>
      </c>
      <c r="G420" s="3" t="str">
        <f ca="1">IF('IWP02'!ContractNumber = 0, "", IF('IWP02'!Std10dot1 = "", "E", 'IWP02'!Std10dot1))</f>
        <v/>
      </c>
      <c r="H420" s="3" t="str">
        <f ca="1">IF('IWP03'!ContractNumber = 0, "", IF('IWP03'!Std10dot1 = "", "E", 'IWP03'!Std10dot1))</f>
        <v/>
      </c>
      <c r="I420" s="3" t="str">
        <f ca="1">IF('IWP04'!ContractNumber = 0, "", IF('IWP04'!Std10dot1 = "", "E", 'IWP04'!Std10dot1))</f>
        <v/>
      </c>
      <c r="J420" s="3" t="str">
        <f ca="1">IF('IWP05'!ContractNumber = 0, "", IF('IWP05'!Std10dot1 = "", "E", 'IWP05'!Std10dot1))</f>
        <v/>
      </c>
    </row>
    <row r="421" spans="1:15" customFormat="1" ht="16.5" customHeight="1" thickTop="1" thickBot="1">
      <c r="A421" s="496"/>
      <c r="B421" s="497"/>
      <c r="C421" s="497"/>
      <c r="D421" s="497"/>
      <c r="E421" s="498"/>
      <c r="F421" s="106">
        <v>6</v>
      </c>
      <c r="G421" s="106">
        <v>7</v>
      </c>
      <c r="H421" s="106">
        <v>8</v>
      </c>
      <c r="I421" s="106">
        <v>9</v>
      </c>
      <c r="J421" s="106">
        <v>10</v>
      </c>
    </row>
    <row r="422" spans="1:15" customFormat="1" ht="16.5" customHeight="1" thickTop="1" thickBot="1">
      <c r="A422" s="496"/>
      <c r="B422" s="497"/>
      <c r="C422" s="497"/>
      <c r="D422" s="497"/>
      <c r="E422" s="498"/>
      <c r="F422" s="3" t="str">
        <f ca="1">IF('IWP06'!ContractNumber = 0, "", IF('IWP06'!Std10dot1 = "", "E", 'IWP06'!Std10dot1))</f>
        <v/>
      </c>
      <c r="G422" s="3" t="str">
        <f ca="1">IF('IWP07'!ContractNumber = 0, "", IF('IWP07'!Std10dot1 = "", "E", 'IWP07'!Std10dot1))</f>
        <v/>
      </c>
      <c r="H422" s="3" t="str">
        <f ca="1">IF('IWP08'!ContractNumber = 0, "", IF('IWP08'!Std10dot1 = "", "E", 'IWP08'!Std10dot1))</f>
        <v/>
      </c>
      <c r="I422" s="3" t="str">
        <f ca="1">IF('IWP09'!ContractNumber = 0, "", IF('IWP09'!Std10dot1 = "", "E", 'IWP09'!Std10dot1))</f>
        <v/>
      </c>
      <c r="J422" s="3" t="str">
        <f ca="1">IF('IWP10'!ContractNumber = 0, "", IF('IWP10'!Std10dot1 = "", "E", 'IWP10'!Std10dot1))</f>
        <v/>
      </c>
    </row>
    <row r="423" spans="1:15" customFormat="1" ht="16.5" customHeight="1" thickTop="1" thickBot="1">
      <c r="A423" s="530" t="s">
        <v>1571</v>
      </c>
      <c r="B423" s="531"/>
      <c r="C423" s="531"/>
      <c r="D423" s="531"/>
      <c r="E423" s="532"/>
      <c r="F423" s="106">
        <v>11</v>
      </c>
      <c r="G423" s="106">
        <v>12</v>
      </c>
      <c r="H423" s="106">
        <v>13</v>
      </c>
      <c r="I423" s="106">
        <v>14</v>
      </c>
      <c r="J423" s="106">
        <v>15</v>
      </c>
    </row>
    <row r="424" spans="1:15" customFormat="1" ht="16.5" customHeight="1" thickTop="1" thickBot="1">
      <c r="A424" s="530"/>
      <c r="B424" s="531"/>
      <c r="C424" s="531"/>
      <c r="D424" s="531"/>
      <c r="E424" s="532"/>
      <c r="F424" s="3" t="str">
        <f ca="1">IF('IWP11'!ContractNumber = 0, "", IF('IWP11'!Std10dot1 = "", "E", 'IWP11'!Std10dot1))</f>
        <v/>
      </c>
      <c r="G424" s="3" t="str">
        <f ca="1">IF('IWP12'!ContractNumber = 0, "", IF('IWP12'!Std10dot1 = "", "E", 'IWP12'!Std10dot1))</f>
        <v/>
      </c>
      <c r="H424" s="3" t="str">
        <f ca="1">IF('IWP13'!ContractNumber = 0, "", IF('IWP13'!Std10dot1 = "", "E", 'IWP13'!Std10dot1))</f>
        <v/>
      </c>
      <c r="I424" s="3" t="str">
        <f ca="1">IF('IWP14'!ContractNumber = 0, "", IF('IWP14'!Std10dot1 = "", "E", 'IWP14'!Std10dot1))</f>
        <v/>
      </c>
      <c r="J424" s="3" t="str">
        <f ca="1">IF('IWP15'!ContractNumber = 0, "", IF('IWP15'!Std10dot1 = "", "E", 'IWP15'!Std10dot1))</f>
        <v/>
      </c>
    </row>
    <row r="425" spans="1:15" customFormat="1" ht="16.5" customHeight="1" thickTop="1" thickBot="1">
      <c r="A425" s="530"/>
      <c r="B425" s="531"/>
      <c r="C425" s="531"/>
      <c r="D425" s="531"/>
      <c r="E425" s="532"/>
      <c r="F425" s="106">
        <v>16</v>
      </c>
      <c r="G425" s="106">
        <v>17</v>
      </c>
      <c r="H425" s="106">
        <v>18</v>
      </c>
      <c r="I425" s="106">
        <v>19</v>
      </c>
      <c r="J425" s="106">
        <v>20</v>
      </c>
    </row>
    <row r="426" spans="1:15" customFormat="1" ht="16.5" customHeight="1" thickTop="1" thickBot="1">
      <c r="A426" s="558" t="s">
        <v>1366</v>
      </c>
      <c r="B426" s="559"/>
      <c r="C426" s="559"/>
      <c r="D426" s="559"/>
      <c r="E426" s="560"/>
      <c r="F426" s="3" t="str">
        <f ca="1">IF('IWP16'!ContractNumber = 0, "", IF('IWP16'!Std10dot1 = "", "E", 'IWP16'!Std10dot1))</f>
        <v/>
      </c>
      <c r="G426" s="3" t="str">
        <f ca="1">IF('IWP17'!ContractNumber = 0, "", IF('IWP17'!Std10dot1 = "", "E", 'IWP17'!Std10dot1))</f>
        <v/>
      </c>
      <c r="H426" s="3" t="str">
        <f ca="1">IF('IWP18'!ContractNumber = 0, "", IF('IWP18'!Std10dot1 = "", "E", 'IWP18'!Std10dot1))</f>
        <v/>
      </c>
      <c r="I426" s="3" t="str">
        <f ca="1">IF('IWP19'!ContractNumber = 0, "", IF('IWP19'!Std10dot1 = "", "E", 'IWP19'!Std10dot1))</f>
        <v/>
      </c>
      <c r="J426" s="3" t="str">
        <f ca="1">IF('IWP20'!ContractNumber = 0, "", IF('IWP20'!Std10dot1 = "", "E", 'IWP20'!Std10dot1))</f>
        <v/>
      </c>
    </row>
    <row r="427" spans="1:15" customFormat="1" ht="16.5" customHeight="1" thickTop="1" thickBot="1">
      <c r="A427" s="558"/>
      <c r="B427" s="559"/>
      <c r="C427" s="559"/>
      <c r="D427" s="559"/>
      <c r="E427" s="560"/>
      <c r="F427" s="106">
        <v>21</v>
      </c>
      <c r="G427" s="106">
        <v>22</v>
      </c>
      <c r="H427" s="106">
        <v>23</v>
      </c>
      <c r="I427" s="106">
        <v>24</v>
      </c>
      <c r="J427" s="106">
        <v>25</v>
      </c>
    </row>
    <row r="428" spans="1:15" customFormat="1" ht="16.5" customHeight="1" thickTop="1" thickBot="1">
      <c r="A428" s="558"/>
      <c r="B428" s="559"/>
      <c r="C428" s="559"/>
      <c r="D428" s="559"/>
      <c r="E428" s="560"/>
      <c r="F428" s="3" t="str">
        <f ca="1">IF('IWP21'!ContractNumber = 0, "", IF('IWP21'!Std10dot1 = "", "E", 'IWP21'!Std10dot1))</f>
        <v/>
      </c>
      <c r="G428" s="3" t="str">
        <f ca="1">IF('IWP22'!ContractNumber = 0, "", IF('IWP22'!Std10dot1 = "", "E", 'IWP22'!Std10dot1))</f>
        <v/>
      </c>
      <c r="H428" s="3" t="str">
        <f ca="1">IF('IWP23'!ContractNumber = 0, "", IF('IWP23'!Std10dot1 = "", "E", 'IWP23'!Std10dot1))</f>
        <v/>
      </c>
      <c r="I428" s="3" t="str">
        <f ca="1">IF('IWP24'!ContractNumber = 0, "", IF('IWP24'!Std10dot1 = "", "E", 'IWP24'!Std10dot1))</f>
        <v/>
      </c>
      <c r="J428" s="3" t="str">
        <f ca="1">IF('IWP25'!ContractNumber = 0, "", IF('IWP25'!Std10dot1 = "", "E", 'IWP25'!Std10dot1))</f>
        <v/>
      </c>
    </row>
    <row r="429" spans="1:15" customFormat="1" ht="16.5" customHeight="1" thickTop="1" thickBot="1">
      <c r="A429" s="558"/>
      <c r="B429" s="559"/>
      <c r="C429" s="559"/>
      <c r="D429" s="559"/>
      <c r="E429" s="560"/>
      <c r="F429" s="106">
        <v>26</v>
      </c>
      <c r="G429" s="106">
        <v>27</v>
      </c>
      <c r="H429" s="106">
        <v>28</v>
      </c>
      <c r="I429" s="106">
        <v>29</v>
      </c>
      <c r="J429" s="106">
        <v>30</v>
      </c>
    </row>
    <row r="430" spans="1:15" customFormat="1" ht="16.5" customHeight="1" thickTop="1" thickBot="1">
      <c r="A430" s="561"/>
      <c r="B430" s="562"/>
      <c r="C430" s="562"/>
      <c r="D430" s="562"/>
      <c r="E430" s="563"/>
      <c r="F430" s="3" t="str">
        <f ca="1">IF('IWP26'!ContractNumber = 0, "", IF('IWP26'!Std10dot1 = "", "E", 'IWP26'!Std10dot1))</f>
        <v/>
      </c>
      <c r="G430" s="3" t="str">
        <f ca="1">IF('IWP27'!ContractNumber = 0, "", IF('IWP27'!Std10dot1 = "", "E", 'IWP27'!Std10dot1))</f>
        <v/>
      </c>
      <c r="H430" s="3" t="str">
        <f ca="1">IF('IWP28'!ContractNumber = 0, "", IF('IWP28'!Std10dot1 = "", "E", 'IWP28'!Std10dot1))</f>
        <v/>
      </c>
      <c r="I430" s="3" t="str">
        <f ca="1">IF('IWP29'!ContractNumber = 0, "", IF('IWP29'!Std10dot1 = "", "E", 'IWP29'!Std10dot1))</f>
        <v/>
      </c>
      <c r="J430" s="3" t="str">
        <f ca="1">IF('IWP30'!ContractNumber = 0, "", IF('IWP30'!Std10dot1 = "", "E", 'IWP30'!Std10dot1))</f>
        <v/>
      </c>
    </row>
    <row r="431" spans="1:15" customFormat="1" thickTop="1" thickBot="1">
      <c r="A431" s="491" t="s">
        <v>16</v>
      </c>
      <c r="B431" s="564"/>
      <c r="C431" s="564"/>
      <c r="D431" s="564"/>
      <c r="E431" s="564"/>
      <c r="F431" s="565"/>
      <c r="G431" s="487" t="s">
        <v>19</v>
      </c>
      <c r="H431" s="488"/>
      <c r="I431" s="487" t="s">
        <v>20</v>
      </c>
      <c r="J431" s="488"/>
    </row>
    <row r="432" spans="1:15" ht="16.5" customHeight="1" thickTop="1" thickBot="1">
      <c r="A432" s="492"/>
      <c r="B432" s="566"/>
      <c r="C432" s="566"/>
      <c r="D432" s="566"/>
      <c r="E432" s="566"/>
      <c r="F432" s="567"/>
      <c r="G432" s="487">
        <f ca="1">COUNTIF(F420:J430, "Y")</f>
        <v>0</v>
      </c>
      <c r="H432" s="488"/>
      <c r="I432" s="487">
        <f ca="1">COUNTIF(F420:J430, "N")</f>
        <v>0</v>
      </c>
      <c r="J432" s="488"/>
      <c r="K432"/>
      <c r="L432"/>
      <c r="M432"/>
      <c r="N432"/>
      <c r="O432"/>
    </row>
    <row r="433" spans="1:15" ht="16.5" thickTop="1" thickBot="1">
      <c r="A433" s="493" t="s">
        <v>197</v>
      </c>
      <c r="B433" s="494"/>
      <c r="C433" s="494"/>
      <c r="D433" s="494"/>
      <c r="E433" s="495"/>
      <c r="F433" s="106">
        <v>1</v>
      </c>
      <c r="G433" s="106">
        <v>2</v>
      </c>
      <c r="H433" s="106">
        <v>3</v>
      </c>
      <c r="I433" s="106">
        <v>4</v>
      </c>
      <c r="J433" s="106">
        <v>5</v>
      </c>
      <c r="K433" s="10"/>
      <c r="L433"/>
      <c r="M433"/>
      <c r="N433"/>
      <c r="O433"/>
    </row>
    <row r="434" spans="1:15" ht="16.5" customHeight="1" thickTop="1" thickBot="1">
      <c r="A434" s="496"/>
      <c r="B434" s="497"/>
      <c r="C434" s="497"/>
      <c r="D434" s="497"/>
      <c r="E434" s="498"/>
      <c r="F434" s="3" t="str">
        <f ca="1">IF('IWP01'!ContractNumber = 0, "", IF('IWP01'!Std10dot2 = "", "E", 'IWP01'!Std10dot2))</f>
        <v/>
      </c>
      <c r="G434" s="3" t="str">
        <f ca="1">IF('IWP02'!ContractNumber = 0, "", IF('IWP02'!Std10dot2 = "", "E", 'IWP02'!Std10dot2))</f>
        <v/>
      </c>
      <c r="H434" s="3" t="str">
        <f ca="1">IF('IWP03'!ContractNumber = 0, "", IF('IWP03'!Std10dot2 = "", "E", 'IWP03'!Std10dot2))</f>
        <v/>
      </c>
      <c r="I434" s="3" t="str">
        <f ca="1">IF('IWP04'!ContractNumber = 0, "", IF('IWP04'!Std10dot2 = "", "E", 'IWP04'!Std10dot2))</f>
        <v/>
      </c>
      <c r="J434" s="3" t="str">
        <f ca="1">IF('IWP05'!ContractNumber = 0, "", IF('IWP05'!Std10dot2 = "", "E", 'IWP05'!Std10dot2))</f>
        <v/>
      </c>
      <c r="K434"/>
      <c r="L434"/>
      <c r="M434"/>
      <c r="N434"/>
      <c r="O434"/>
    </row>
    <row r="435" spans="1:15" ht="17.25" customHeight="1" thickTop="1" thickBot="1">
      <c r="A435" s="530" t="s">
        <v>1572</v>
      </c>
      <c r="B435" s="531"/>
      <c r="C435" s="531"/>
      <c r="D435" s="531"/>
      <c r="E435" s="532"/>
      <c r="F435" s="106">
        <v>6</v>
      </c>
      <c r="G435" s="106">
        <v>7</v>
      </c>
      <c r="H435" s="106">
        <v>8</v>
      </c>
      <c r="I435" s="106">
        <v>9</v>
      </c>
      <c r="J435" s="106">
        <v>10</v>
      </c>
    </row>
    <row r="436" spans="1:15" ht="16.5" customHeight="1" thickTop="1" thickBot="1">
      <c r="A436" s="530"/>
      <c r="B436" s="531"/>
      <c r="C436" s="531"/>
      <c r="D436" s="531"/>
      <c r="E436" s="532"/>
      <c r="F436" s="3" t="str">
        <f ca="1">IF('IWP06'!ContractNumber = 0, "", IF('IWP06'!Std10dot2 = "", "E", 'IWP06'!Std10dot2))</f>
        <v/>
      </c>
      <c r="G436" s="3" t="str">
        <f ca="1">IF('IWP07'!ContractNumber = 0, "", IF('IWP07'!Std10dot2 = "", "E", 'IWP07'!Std10dot2))</f>
        <v/>
      </c>
      <c r="H436" s="3" t="str">
        <f ca="1">IF('IWP08'!ContractNumber = 0, "", IF('IWP08'!Std10dot2 = "", "E", 'IWP08'!Std10dot2))</f>
        <v/>
      </c>
      <c r="I436" s="3" t="str">
        <f ca="1">IF('IWP09'!ContractNumber = 0, "", IF('IWP09'!Std10dot2 = "", "E", 'IWP09'!Std10dot2))</f>
        <v/>
      </c>
      <c r="J436" s="3" t="str">
        <f ca="1">IF('IWP10'!ContractNumber = 0, "", IF('IWP10'!Std10dot2 = "", "E", 'IWP10'!Std10dot2))</f>
        <v/>
      </c>
    </row>
    <row r="437" spans="1:15" ht="17.25" customHeight="1" thickTop="1" thickBot="1">
      <c r="A437" s="530"/>
      <c r="B437" s="531"/>
      <c r="C437" s="531"/>
      <c r="D437" s="531"/>
      <c r="E437" s="532"/>
      <c r="F437" s="106">
        <v>11</v>
      </c>
      <c r="G437" s="106">
        <v>12</v>
      </c>
      <c r="H437" s="106">
        <v>13</v>
      </c>
      <c r="I437" s="106">
        <v>14</v>
      </c>
      <c r="J437" s="106">
        <v>15</v>
      </c>
    </row>
    <row r="438" spans="1:15" ht="16.5" thickTop="1" thickBot="1">
      <c r="A438" s="530"/>
      <c r="B438" s="531"/>
      <c r="C438" s="531"/>
      <c r="D438" s="531"/>
      <c r="E438" s="532"/>
      <c r="F438" s="3" t="str">
        <f ca="1">IF('IWP11'!ContractNumber = 0, "", IF('IWP11'!Std10dot2 = "", "E", 'IWP11'!Std10dot2))</f>
        <v/>
      </c>
      <c r="G438" s="3" t="str">
        <f ca="1">IF('IWP12'!ContractNumber = 0, "", IF('IWP12'!Std10dot2 = "", "E", 'IWP12'!Std10dot2))</f>
        <v/>
      </c>
      <c r="H438" s="3" t="str">
        <f ca="1">IF('IWP13'!ContractNumber = 0, "", IF('IWP13'!Std10dot2 = "", "E", 'IWP13'!Std10dot2))</f>
        <v/>
      </c>
      <c r="I438" s="3" t="str">
        <f ca="1">IF('IWP14'!ContractNumber = 0, "", IF('IWP14'!Std10dot2 = "", "E", 'IWP14'!Std10dot2))</f>
        <v/>
      </c>
      <c r="J438" s="3" t="str">
        <f ca="1">IF('IWP15'!ContractNumber = 0, "", IF('IWP15'!Std10dot2 = "", "E", 'IWP15'!Std10dot2))</f>
        <v/>
      </c>
    </row>
    <row r="439" spans="1:15" ht="16.5" thickTop="1" thickBot="1">
      <c r="A439" s="530"/>
      <c r="B439" s="531"/>
      <c r="C439" s="531"/>
      <c r="D439" s="531"/>
      <c r="E439" s="532"/>
      <c r="F439" s="106">
        <v>16</v>
      </c>
      <c r="G439" s="106">
        <v>17</v>
      </c>
      <c r="H439" s="106">
        <v>18</v>
      </c>
      <c r="I439" s="106">
        <v>19</v>
      </c>
      <c r="J439" s="106">
        <v>20</v>
      </c>
    </row>
    <row r="440" spans="1:15" ht="16.5" thickTop="1" thickBot="1">
      <c r="A440" s="558" t="s">
        <v>1367</v>
      </c>
      <c r="B440" s="559"/>
      <c r="C440" s="559"/>
      <c r="D440" s="559"/>
      <c r="E440" s="560"/>
      <c r="F440" s="3" t="str">
        <f ca="1">IF('IWP16'!ContractNumber = 0, "", IF('IWP16'!Std10dot2 = "", "E", 'IWP16'!Std10dot2))</f>
        <v/>
      </c>
      <c r="G440" s="3" t="str">
        <f ca="1">IF('IWP17'!ContractNumber = 0, "", IF('IWP17'!Std10dot2 = "", "E", 'IWP17'!Std10dot2))</f>
        <v/>
      </c>
      <c r="H440" s="3" t="str">
        <f ca="1">IF('IWP18'!ContractNumber = 0, "", IF('IWP18'!Std10dot2 = "", "E", 'IWP18'!Std10dot2))</f>
        <v/>
      </c>
      <c r="I440" s="3" t="str">
        <f ca="1">IF('IWP19'!ContractNumber = 0, "", IF('IWP19'!Std10dot2 = "", "E", 'IWP19'!Std10dot2))</f>
        <v/>
      </c>
      <c r="J440" s="3" t="str">
        <f ca="1">IF('IWP20'!ContractNumber = 0, "", IF('IWP20'!Std10dot2 = "", "E", 'IWP20'!Std10dot2))</f>
        <v/>
      </c>
    </row>
    <row r="441" spans="1:15" ht="16.5" customHeight="1" thickTop="1" thickBot="1">
      <c r="A441" s="558"/>
      <c r="B441" s="559"/>
      <c r="C441" s="559"/>
      <c r="D441" s="559"/>
      <c r="E441" s="560"/>
      <c r="F441" s="106">
        <v>21</v>
      </c>
      <c r="G441" s="106">
        <v>22</v>
      </c>
      <c r="H441" s="106">
        <v>23</v>
      </c>
      <c r="I441" s="106">
        <v>24</v>
      </c>
      <c r="J441" s="106">
        <v>25</v>
      </c>
    </row>
    <row r="442" spans="1:15" ht="16.5" thickTop="1" thickBot="1">
      <c r="A442" s="558"/>
      <c r="B442" s="559"/>
      <c r="C442" s="559"/>
      <c r="D442" s="559"/>
      <c r="E442" s="560"/>
      <c r="F442" s="3" t="str">
        <f ca="1">IF('IWP21'!ContractNumber = 0, "", IF('IWP21'!Std10dot2 = "", "E", 'IWP21'!Std10dot2))</f>
        <v/>
      </c>
      <c r="G442" s="3" t="str">
        <f ca="1">IF('IWP22'!ContractNumber = 0, "", IF('IWP22'!Std10dot2 = "", "E", 'IWP22'!Std10dot2))</f>
        <v/>
      </c>
      <c r="H442" s="3" t="str">
        <f ca="1">IF('IWP23'!ContractNumber = 0, "", IF('IWP23'!Std10dot2 = "", "E", 'IWP23'!Std10dot2))</f>
        <v/>
      </c>
      <c r="I442" s="3" t="str">
        <f ca="1">IF('IWP24'!ContractNumber = 0, "", IF('IWP24'!Std10dot2 = "", "E", 'IWP24'!Std10dot2))</f>
        <v/>
      </c>
      <c r="J442" s="3" t="str">
        <f ca="1">IF('IWP25'!ContractNumber = 0, "", IF('IWP25'!Std10dot2 = "", "E", 'IWP25'!Std10dot2))</f>
        <v/>
      </c>
    </row>
    <row r="443" spans="1:15" ht="16.5" thickTop="1" thickBot="1">
      <c r="A443" s="558"/>
      <c r="B443" s="559"/>
      <c r="C443" s="559"/>
      <c r="D443" s="559"/>
      <c r="E443" s="560"/>
      <c r="F443" s="106">
        <v>26</v>
      </c>
      <c r="G443" s="106">
        <v>27</v>
      </c>
      <c r="H443" s="106">
        <v>28</v>
      </c>
      <c r="I443" s="106">
        <v>29</v>
      </c>
      <c r="J443" s="106">
        <v>30</v>
      </c>
    </row>
    <row r="444" spans="1:15" ht="16.5" thickTop="1" thickBot="1">
      <c r="A444" s="561"/>
      <c r="B444" s="562"/>
      <c r="C444" s="562"/>
      <c r="D444" s="562"/>
      <c r="E444" s="563"/>
      <c r="F444" s="3" t="str">
        <f ca="1">IF('IWP26'!ContractNumber = 0, "", IF('IWP26'!Std10dot2 = "", "E", 'IWP26'!Std10dot2))</f>
        <v/>
      </c>
      <c r="G444" s="3" t="str">
        <f ca="1">IF('IWP27'!ContractNumber = 0, "", IF('IWP27'!Std10dot2 = "", "E", 'IWP27'!Std10dot2))</f>
        <v/>
      </c>
      <c r="H444" s="3" t="str">
        <f ca="1">IF('IWP28'!ContractNumber = 0, "", IF('IWP28'!Std10dot2 = "", "E", 'IWP28'!Std10dot2))</f>
        <v/>
      </c>
      <c r="I444" s="3" t="str">
        <f ca="1">IF('IWP29'!ContractNumber = 0, "", IF('IWP29'!Std10dot2 = "", "E", 'IWP29'!Std10dot2))</f>
        <v/>
      </c>
      <c r="J444" s="3" t="str">
        <f ca="1">IF('IWP30'!ContractNumber = 0, "", IF('IWP30'!Std10dot2 = "", "E", 'IWP30'!Std10dot2))</f>
        <v/>
      </c>
    </row>
    <row r="445" spans="1:15" ht="16.5" thickTop="1" thickBot="1">
      <c r="A445" s="491" t="s">
        <v>16</v>
      </c>
      <c r="B445" s="564"/>
      <c r="C445" s="564"/>
      <c r="D445" s="564"/>
      <c r="E445" s="564"/>
      <c r="F445" s="565"/>
      <c r="G445" s="487" t="s">
        <v>19</v>
      </c>
      <c r="H445" s="488"/>
      <c r="I445" s="487" t="s">
        <v>20</v>
      </c>
      <c r="J445" s="488"/>
    </row>
    <row r="446" spans="1:15" ht="16.5" customHeight="1" thickTop="1" thickBot="1">
      <c r="A446" s="492"/>
      <c r="B446" s="566"/>
      <c r="C446" s="566"/>
      <c r="D446" s="566"/>
      <c r="E446" s="566"/>
      <c r="F446" s="567"/>
      <c r="G446" s="487">
        <f ca="1">COUNTIF(F434:J444, "Y")</f>
        <v>0</v>
      </c>
      <c r="H446" s="488"/>
      <c r="I446" s="487">
        <f ca="1">COUNTIF(F434:J444, "N")</f>
        <v>0</v>
      </c>
      <c r="J446" s="488"/>
    </row>
    <row r="447" spans="1:15" ht="16.5" thickTop="1" thickBot="1">
      <c r="A447" s="493" t="s">
        <v>198</v>
      </c>
      <c r="B447" s="494"/>
      <c r="C447" s="494"/>
      <c r="D447" s="494"/>
      <c r="E447" s="495"/>
      <c r="F447" s="106">
        <v>1</v>
      </c>
      <c r="G447" s="106">
        <v>2</v>
      </c>
      <c r="H447" s="106">
        <v>3</v>
      </c>
      <c r="I447" s="106">
        <v>4</v>
      </c>
      <c r="J447" s="106">
        <v>5</v>
      </c>
    </row>
    <row r="448" spans="1:15" ht="16.5" customHeight="1" thickTop="1" thickBot="1">
      <c r="A448" s="496"/>
      <c r="B448" s="497"/>
      <c r="C448" s="497"/>
      <c r="D448" s="497"/>
      <c r="E448" s="498"/>
      <c r="F448" s="3" t="str">
        <f ca="1">IF('IWP01'!ContractNumber = 0, "", IF('IWP01'!Std10dot3 = "", "E", 'IWP01'!Std10dot3))</f>
        <v/>
      </c>
      <c r="G448" s="3" t="str">
        <f ca="1">IF('IWP02'!ContractNumber = 0, "", IF('IWP02'!Std10dot3 = "", "E", 'IWP02'!Std10dot3))</f>
        <v/>
      </c>
      <c r="H448" s="3" t="str">
        <f ca="1">IF('IWP03'!ContractNumber = 0, "", IF('IWP03'!Std10dot3 = "", "E", 'IWP03'!Std10dot3))</f>
        <v/>
      </c>
      <c r="I448" s="3" t="str">
        <f ca="1">IF('IWP04'!ContractNumber = 0, "", IF('IWP04'!Std10dot3 = "", "E", 'IWP04'!Std10dot3))</f>
        <v/>
      </c>
      <c r="J448" s="3" t="str">
        <f ca="1">IF('IWP05'!ContractNumber = 0, "", IF('IWP05'!Std10dot3 = "", "E", 'IWP05'!Std10dot3))</f>
        <v/>
      </c>
    </row>
    <row r="449" spans="1:10" ht="16.5" thickTop="1" thickBot="1">
      <c r="A449" s="530" t="s">
        <v>1573</v>
      </c>
      <c r="B449" s="531"/>
      <c r="C449" s="531"/>
      <c r="D449" s="531"/>
      <c r="E449" s="532"/>
      <c r="F449" s="106">
        <v>6</v>
      </c>
      <c r="G449" s="106">
        <v>7</v>
      </c>
      <c r="H449" s="106">
        <v>8</v>
      </c>
      <c r="I449" s="106">
        <v>9</v>
      </c>
      <c r="J449" s="106">
        <v>10</v>
      </c>
    </row>
    <row r="450" spans="1:10" ht="16.5" customHeight="1" thickTop="1" thickBot="1">
      <c r="A450" s="530"/>
      <c r="B450" s="531"/>
      <c r="C450" s="531"/>
      <c r="D450" s="531"/>
      <c r="E450" s="532"/>
      <c r="F450" s="3" t="str">
        <f ca="1">IF('IWP06'!ContractNumber = 0, "", IF('IWP06'!Std10dot3 = "", "E", 'IWP06'!Std10dot3))</f>
        <v/>
      </c>
      <c r="G450" s="3" t="str">
        <f ca="1">IF('IWP07'!ContractNumber = 0, "", IF('IWP07'!Std10dot3 = "", "E", 'IWP07'!Std10dot3))</f>
        <v/>
      </c>
      <c r="H450" s="3" t="str">
        <f ca="1">IF('IWP08'!ContractNumber = 0, "", IF('IWP08'!Std10dot3 = "", "E", 'IWP08'!Std10dot3))</f>
        <v/>
      </c>
      <c r="I450" s="3" t="str">
        <f ca="1">IF('IWP09'!ContractNumber = 0, "", IF('IWP09'!Std10dot3 = "", "E", 'IWP09'!Std10dot3))</f>
        <v/>
      </c>
      <c r="J450" s="3" t="str">
        <f ca="1">IF('IWP10'!ContractNumber = 0, "", IF('IWP10'!Std10dot3 = "", "E", 'IWP10'!Std10dot3))</f>
        <v/>
      </c>
    </row>
    <row r="451" spans="1:10" ht="16.5" thickTop="1" thickBot="1">
      <c r="A451" s="530"/>
      <c r="B451" s="531"/>
      <c r="C451" s="531"/>
      <c r="D451" s="531"/>
      <c r="E451" s="532"/>
      <c r="F451" s="106">
        <v>11</v>
      </c>
      <c r="G451" s="106">
        <v>12</v>
      </c>
      <c r="H451" s="106">
        <v>13</v>
      </c>
      <c r="I451" s="106">
        <v>14</v>
      </c>
      <c r="J451" s="106">
        <v>15</v>
      </c>
    </row>
    <row r="452" spans="1:10" ht="16.5" thickTop="1" thickBot="1">
      <c r="A452" s="530"/>
      <c r="B452" s="531"/>
      <c r="C452" s="531"/>
      <c r="D452" s="531"/>
      <c r="E452" s="532"/>
      <c r="F452" s="3" t="str">
        <f ca="1">IF('IWP11'!ContractNumber = 0, "", IF('IWP11'!Std10dot3 = "", "E", 'IWP11'!Std10dot3))</f>
        <v/>
      </c>
      <c r="G452" s="3" t="str">
        <f ca="1">IF('IWP12'!ContractNumber = 0, "", IF('IWP12'!Std10dot3 = "", "E", 'IWP12'!Std10dot3))</f>
        <v/>
      </c>
      <c r="H452" s="3" t="str">
        <f ca="1">IF('IWP13'!ContractNumber = 0, "", IF('IWP13'!Std10dot3 = "", "E", 'IWP13'!Std10dot3))</f>
        <v/>
      </c>
      <c r="I452" s="3" t="str">
        <f ca="1">IF('IWP14'!ContractNumber = 0, "", IF('IWP14'!Std10dot3 = "", "E", 'IWP14'!Std10dot3))</f>
        <v/>
      </c>
      <c r="J452" s="3" t="str">
        <f ca="1">IF('IWP15'!ContractNumber = 0, "", IF('IWP15'!Std10dot3 = "", "E", 'IWP15'!Std10dot3))</f>
        <v/>
      </c>
    </row>
    <row r="453" spans="1:10" ht="17.25" customHeight="1" thickTop="1" thickBot="1">
      <c r="A453" s="530"/>
      <c r="B453" s="531"/>
      <c r="C453" s="531"/>
      <c r="D453" s="531"/>
      <c r="E453" s="532"/>
      <c r="F453" s="106">
        <v>16</v>
      </c>
      <c r="G453" s="106">
        <v>17</v>
      </c>
      <c r="H453" s="106">
        <v>18</v>
      </c>
      <c r="I453" s="106">
        <v>19</v>
      </c>
      <c r="J453" s="106">
        <v>20</v>
      </c>
    </row>
    <row r="454" spans="1:10" ht="15.75" customHeight="1" thickTop="1" thickBot="1">
      <c r="A454" s="558" t="s">
        <v>1468</v>
      </c>
      <c r="B454" s="559"/>
      <c r="C454" s="559"/>
      <c r="D454" s="559"/>
      <c r="E454" s="560"/>
      <c r="F454" s="3" t="str">
        <f ca="1">IF('IWP16'!ContractNumber = 0, "", IF('IWP16'!Std10dot3 = "", "E", 'IWP16'!Std10dot3))</f>
        <v/>
      </c>
      <c r="G454" s="3" t="str">
        <f ca="1">IF('IWP17'!ContractNumber = 0, "", IF('IWP17'!Std10dot3 = "", "E", 'IWP17'!Std10dot3))</f>
        <v/>
      </c>
      <c r="H454" s="3" t="str">
        <f ca="1">IF('IWP18'!ContractNumber = 0, "", IF('IWP18'!Std10dot3 = "", "E", 'IWP18'!Std10dot3))</f>
        <v/>
      </c>
      <c r="I454" s="3" t="str">
        <f ca="1">IF('IWP19'!ContractNumber = 0, "", IF('IWP19'!Std10dot3 = "", "E", 'IWP19'!Std10dot3))</f>
        <v/>
      </c>
      <c r="J454" s="3" t="str">
        <f ca="1">IF('IWP20'!ContractNumber = 0, "", IF('IWP20'!Std10dot3 = "", "E", 'IWP20'!Std10dot3))</f>
        <v/>
      </c>
    </row>
    <row r="455" spans="1:10" ht="16.5" customHeight="1" thickTop="1" thickBot="1">
      <c r="A455" s="558"/>
      <c r="B455" s="559"/>
      <c r="C455" s="559"/>
      <c r="D455" s="559"/>
      <c r="E455" s="560"/>
      <c r="F455" s="106">
        <v>21</v>
      </c>
      <c r="G455" s="106">
        <v>22</v>
      </c>
      <c r="H455" s="106">
        <v>23</v>
      </c>
      <c r="I455" s="106">
        <v>24</v>
      </c>
      <c r="J455" s="106">
        <v>25</v>
      </c>
    </row>
    <row r="456" spans="1:10" ht="16.5" thickTop="1" thickBot="1">
      <c r="A456" s="558"/>
      <c r="B456" s="559"/>
      <c r="C456" s="559"/>
      <c r="D456" s="559"/>
      <c r="E456" s="560"/>
      <c r="F456" s="3" t="str">
        <f ca="1">IF('IWP21'!ContractNumber = 0, "", IF('IWP21'!Std10dot3 = "", "E", 'IWP21'!Std10dot3))</f>
        <v/>
      </c>
      <c r="G456" s="3" t="str">
        <f ca="1">IF('IWP22'!ContractNumber = 0, "", IF('IWP22'!Std10dot3 = "", "E", 'IWP22'!Std10dot3))</f>
        <v/>
      </c>
      <c r="H456" s="3" t="str">
        <f ca="1">IF('IWP23'!ContractNumber = 0, "", IF('IWP23'!Std10dot3 = "", "E", 'IWP23'!Std10dot3))</f>
        <v/>
      </c>
      <c r="I456" s="3" t="str">
        <f ca="1">IF('IWP24'!ContractNumber = 0, "", IF('IWP24'!Std10dot3 = "", "E", 'IWP24'!Std10dot3))</f>
        <v/>
      </c>
      <c r="J456" s="3" t="str">
        <f ca="1">IF('IWP25'!ContractNumber = 0, "", IF('IWP25'!Std10dot3 = "", "E", 'IWP25'!Std10dot3))</f>
        <v/>
      </c>
    </row>
    <row r="457" spans="1:10" ht="16.5" thickTop="1" thickBot="1">
      <c r="A457" s="558"/>
      <c r="B457" s="559"/>
      <c r="C457" s="559"/>
      <c r="D457" s="559"/>
      <c r="E457" s="560"/>
      <c r="F457" s="106">
        <v>26</v>
      </c>
      <c r="G457" s="106">
        <v>27</v>
      </c>
      <c r="H457" s="106">
        <v>28</v>
      </c>
      <c r="I457" s="106">
        <v>29</v>
      </c>
      <c r="J457" s="106">
        <v>30</v>
      </c>
    </row>
    <row r="458" spans="1:10" ht="16.5" thickTop="1" thickBot="1">
      <c r="A458" s="561"/>
      <c r="B458" s="562"/>
      <c r="C458" s="562"/>
      <c r="D458" s="562"/>
      <c r="E458" s="563"/>
      <c r="F458" s="3" t="str">
        <f ca="1">IF('IWP26'!ContractNumber = 0, "", IF('IWP26'!Std10dot3 = "", "E", 'IWP26'!Std10dot3))</f>
        <v/>
      </c>
      <c r="G458" s="3" t="str">
        <f ca="1">IF('IWP27'!ContractNumber = 0, "", IF('IWP27'!Std10dot3 = "", "E", 'IWP27'!Std10dot3))</f>
        <v/>
      </c>
      <c r="H458" s="3" t="str">
        <f ca="1">IF('IWP28'!ContractNumber = 0, "", IF('IWP28'!Std10dot3 = "", "E", 'IWP28'!Std10dot3))</f>
        <v/>
      </c>
      <c r="I458" s="3" t="str">
        <f ca="1">IF('IWP29'!ContractNumber = 0, "", IF('IWP29'!Std10dot3 = "", "E", 'IWP29'!Std10dot3))</f>
        <v/>
      </c>
      <c r="J458" s="3" t="str">
        <f ca="1">IF('IWP30'!ContractNumber = 0, "", IF('IWP30'!Std10dot3 = "", "E", 'IWP30'!Std10dot3))</f>
        <v/>
      </c>
    </row>
    <row r="459" spans="1:10" ht="16.5" thickTop="1" thickBot="1">
      <c r="A459" s="491" t="s">
        <v>16</v>
      </c>
      <c r="B459" s="564"/>
      <c r="C459" s="564"/>
      <c r="D459" s="564"/>
      <c r="E459" s="564"/>
      <c r="F459" s="565"/>
      <c r="G459" s="487" t="s">
        <v>19</v>
      </c>
      <c r="H459" s="488"/>
      <c r="I459" s="487" t="s">
        <v>20</v>
      </c>
      <c r="J459" s="488"/>
    </row>
    <row r="460" spans="1:10" ht="16.5" customHeight="1" thickTop="1" thickBot="1">
      <c r="A460" s="492"/>
      <c r="B460" s="566"/>
      <c r="C460" s="566"/>
      <c r="D460" s="566"/>
      <c r="E460" s="566"/>
      <c r="F460" s="567"/>
      <c r="G460" s="487">
        <f ca="1">COUNTIF(F448:J458, "Y")</f>
        <v>0</v>
      </c>
      <c r="H460" s="488"/>
      <c r="I460" s="487">
        <f ca="1">COUNTIF(F448:J458, "N")</f>
        <v>0</v>
      </c>
      <c r="J460" s="488"/>
    </row>
    <row r="461" spans="1:10" ht="16.5" thickTop="1" thickBot="1">
      <c r="A461" s="493" t="s">
        <v>199</v>
      </c>
      <c r="B461" s="494"/>
      <c r="C461" s="494"/>
      <c r="D461" s="494"/>
      <c r="E461" s="495"/>
      <c r="F461" s="106">
        <v>1</v>
      </c>
      <c r="G461" s="106">
        <v>2</v>
      </c>
      <c r="H461" s="106">
        <v>3</v>
      </c>
      <c r="I461" s="106">
        <v>4</v>
      </c>
      <c r="J461" s="106">
        <v>5</v>
      </c>
    </row>
    <row r="462" spans="1:10" ht="16.5" customHeight="1" thickTop="1" thickBot="1">
      <c r="A462" s="496"/>
      <c r="B462" s="497"/>
      <c r="C462" s="497"/>
      <c r="D462" s="497"/>
      <c r="E462" s="498"/>
      <c r="F462" s="3" t="str">
        <f ca="1">IF('IWP01'!ContractNumber = 0, "", IF('IWP01'!Std10dot4 = "", "E", 'IWP01'!Std10dot4))</f>
        <v/>
      </c>
      <c r="G462" s="3" t="str">
        <f ca="1">IF('IWP02'!ContractNumber = 0, "", IF('IWP02'!Std10dot4 = "", "E", 'IWP02'!Std10dot4))</f>
        <v/>
      </c>
      <c r="H462" s="3" t="str">
        <f ca="1">IF('IWP03'!ContractNumber = 0, "", IF('IWP03'!Std10dot4 = "", "E", 'IWP03'!Std10dot4))</f>
        <v/>
      </c>
      <c r="I462" s="3" t="str">
        <f ca="1">IF('IWP04'!ContractNumber = 0, "", IF('IWP04'!Std10dot4 = "", "E", 'IWP04'!Std10dot4))</f>
        <v/>
      </c>
      <c r="J462" s="3" t="str">
        <f ca="1">IF('IWP05'!ContractNumber = 0, "", IF('IWP05'!Std10dot4 = "", "E", 'IWP05'!Std10dot4))</f>
        <v/>
      </c>
    </row>
    <row r="463" spans="1:10" ht="16.5" thickTop="1" thickBot="1">
      <c r="A463" s="530" t="s">
        <v>1574</v>
      </c>
      <c r="B463" s="531"/>
      <c r="C463" s="531"/>
      <c r="D463" s="531"/>
      <c r="E463" s="532"/>
      <c r="F463" s="106">
        <v>6</v>
      </c>
      <c r="G463" s="106">
        <v>7</v>
      </c>
      <c r="H463" s="106">
        <v>8</v>
      </c>
      <c r="I463" s="106">
        <v>9</v>
      </c>
      <c r="J463" s="106">
        <v>10</v>
      </c>
    </row>
    <row r="464" spans="1:10" ht="16.5" customHeight="1" thickTop="1" thickBot="1">
      <c r="A464" s="530"/>
      <c r="B464" s="531"/>
      <c r="C464" s="531"/>
      <c r="D464" s="531"/>
      <c r="E464" s="532"/>
      <c r="F464" s="3" t="str">
        <f ca="1">IF('IWP06'!ContractNumber = 0, "", IF('IWP06'!Std10dot4 = "", "E", 'IWP06'!Std10dot4))</f>
        <v/>
      </c>
      <c r="G464" s="3" t="str">
        <f ca="1">IF('IWP07'!ContractNumber = 0, "", IF('IWP07'!Std10dot4 = "", "E", 'IWP07'!Std10dot4))</f>
        <v/>
      </c>
      <c r="H464" s="3" t="str">
        <f ca="1">IF('IWP08'!ContractNumber = 0, "", IF('IWP08'!Std10dot4 = "", "E", 'IWP08'!Std10dot4))</f>
        <v/>
      </c>
      <c r="I464" s="3" t="str">
        <f ca="1">IF('IWP09'!ContractNumber = 0, "", IF('IWP09'!Std10dot4 = "", "E", 'IWP09'!Std10dot4))</f>
        <v/>
      </c>
      <c r="J464" s="3" t="str">
        <f ca="1">IF('IWP10'!ContractNumber = 0, "", IF('IWP10'!Std10dot4 = "", "E", 'IWP10'!Std10dot4))</f>
        <v/>
      </c>
    </row>
    <row r="465" spans="1:10" ht="16.5" thickTop="1" thickBot="1">
      <c r="A465" s="530"/>
      <c r="B465" s="531"/>
      <c r="C465" s="531"/>
      <c r="D465" s="531"/>
      <c r="E465" s="532"/>
      <c r="F465" s="106">
        <v>11</v>
      </c>
      <c r="G465" s="106">
        <v>12</v>
      </c>
      <c r="H465" s="106">
        <v>13</v>
      </c>
      <c r="I465" s="106">
        <v>14</v>
      </c>
      <c r="J465" s="106">
        <v>15</v>
      </c>
    </row>
    <row r="466" spans="1:10" ht="16.5" thickTop="1" thickBot="1">
      <c r="A466" s="530"/>
      <c r="B466" s="531"/>
      <c r="C466" s="531"/>
      <c r="D466" s="531"/>
      <c r="E466" s="532"/>
      <c r="F466" s="3" t="str">
        <f ca="1">IF('IWP11'!ContractNumber = 0, "", IF('IWP11'!Std10dot4 = "", "E", 'IWP11'!Std10dot4))</f>
        <v/>
      </c>
      <c r="G466" s="3" t="str">
        <f ca="1">IF('IWP12'!ContractNumber = 0, "", IF('IWP12'!Std10dot4 = "", "E", 'IWP12'!Std10dot4))</f>
        <v/>
      </c>
      <c r="H466" s="3" t="str">
        <f ca="1">IF('IWP13'!ContractNumber = 0, "", IF('IWP13'!Std10dot4 = "", "E", 'IWP13'!Std10dot4))</f>
        <v/>
      </c>
      <c r="I466" s="3" t="str">
        <f ca="1">IF('IWP14'!ContractNumber = 0, "", IF('IWP14'!Std10dot4 = "", "E", 'IWP14'!Std10dot4))</f>
        <v/>
      </c>
      <c r="J466" s="3" t="str">
        <f ca="1">IF('IWP15'!ContractNumber = 0, "", IF('IWP15'!Std10dot4 = "", "E", 'IWP15'!Std10dot4))</f>
        <v/>
      </c>
    </row>
    <row r="467" spans="1:10" ht="16.5" thickTop="1" thickBot="1">
      <c r="A467" s="530"/>
      <c r="B467" s="531"/>
      <c r="C467" s="531"/>
      <c r="D467" s="531"/>
      <c r="E467" s="532"/>
      <c r="F467" s="106">
        <v>16</v>
      </c>
      <c r="G467" s="106">
        <v>17</v>
      </c>
      <c r="H467" s="106">
        <v>18</v>
      </c>
      <c r="I467" s="106">
        <v>19</v>
      </c>
      <c r="J467" s="106">
        <v>20</v>
      </c>
    </row>
    <row r="468" spans="1:10" ht="16.5" thickTop="1" thickBot="1">
      <c r="A468" s="558" t="s">
        <v>1368</v>
      </c>
      <c r="B468" s="559"/>
      <c r="C468" s="559"/>
      <c r="D468" s="559"/>
      <c r="E468" s="560"/>
      <c r="F468" s="3" t="str">
        <f ca="1">IF('IWP16'!ContractNumber = 0, "", IF('IWP16'!Std10dot4 = "", "E", 'IWP16'!Std10dot4))</f>
        <v/>
      </c>
      <c r="G468" s="3" t="str">
        <f ca="1">IF('IWP17'!ContractNumber = 0, "", IF('IWP17'!Std10dot4 = "", "E", 'IWP17'!Std10dot4))</f>
        <v/>
      </c>
      <c r="H468" s="3" t="str">
        <f ca="1">IF('IWP18'!ContractNumber = 0, "", IF('IWP18'!Std10dot4 = "", "E", 'IWP18'!Std10dot4))</f>
        <v/>
      </c>
      <c r="I468" s="3" t="str">
        <f ca="1">IF('IWP19'!ContractNumber = 0, "", IF('IWP19'!Std10dot4 = "", "E", 'IWP19'!Std10dot4))</f>
        <v/>
      </c>
      <c r="J468" s="3" t="str">
        <f ca="1">IF('IWP20'!ContractNumber = 0, "", IF('IWP20'!Std10dot4 = "", "E", 'IWP20'!Std10dot4))</f>
        <v/>
      </c>
    </row>
    <row r="469" spans="1:10" ht="16.5" customHeight="1" thickTop="1" thickBot="1">
      <c r="A469" s="558"/>
      <c r="B469" s="559"/>
      <c r="C469" s="559"/>
      <c r="D469" s="559"/>
      <c r="E469" s="560"/>
      <c r="F469" s="106">
        <v>21</v>
      </c>
      <c r="G469" s="106">
        <v>22</v>
      </c>
      <c r="H469" s="106">
        <v>23</v>
      </c>
      <c r="I469" s="106">
        <v>24</v>
      </c>
      <c r="J469" s="106">
        <v>25</v>
      </c>
    </row>
    <row r="470" spans="1:10" ht="16.5" thickTop="1" thickBot="1">
      <c r="A470" s="558"/>
      <c r="B470" s="559"/>
      <c r="C470" s="559"/>
      <c r="D470" s="559"/>
      <c r="E470" s="560"/>
      <c r="F470" s="3" t="str">
        <f ca="1">IF('IWP21'!ContractNumber = 0, "", IF('IWP21'!Std10dot4 = "", "E", 'IWP21'!Std10dot4))</f>
        <v/>
      </c>
      <c r="G470" s="3" t="str">
        <f ca="1">IF('IWP22'!ContractNumber = 0, "", IF('IWP22'!Std10dot4 = "", "E", 'IWP22'!Std10dot4))</f>
        <v/>
      </c>
      <c r="H470" s="3" t="str">
        <f ca="1">IF('IWP23'!ContractNumber = 0, "", IF('IWP23'!Std10dot4 = "", "E", 'IWP23'!Std10dot4))</f>
        <v/>
      </c>
      <c r="I470" s="3" t="str">
        <f ca="1">IF('IWP24'!ContractNumber = 0, "", IF('IWP24'!Std10dot4 = "", "E", 'IWP24'!Std10dot4))</f>
        <v/>
      </c>
      <c r="J470" s="3" t="str">
        <f ca="1">IF('IWP25'!ContractNumber = 0, "", IF('IWP25'!Std10dot4 = "", "E", 'IWP25'!Std10dot4))</f>
        <v/>
      </c>
    </row>
    <row r="471" spans="1:10" ht="16.5" thickTop="1" thickBot="1">
      <c r="A471" s="558"/>
      <c r="B471" s="559"/>
      <c r="C471" s="559"/>
      <c r="D471" s="559"/>
      <c r="E471" s="560"/>
      <c r="F471" s="106">
        <v>26</v>
      </c>
      <c r="G471" s="106">
        <v>27</v>
      </c>
      <c r="H471" s="106">
        <v>28</v>
      </c>
      <c r="I471" s="106">
        <v>29</v>
      </c>
      <c r="J471" s="106">
        <v>30</v>
      </c>
    </row>
    <row r="472" spans="1:10" ht="16.5" thickTop="1" thickBot="1">
      <c r="A472" s="561"/>
      <c r="B472" s="562"/>
      <c r="C472" s="562"/>
      <c r="D472" s="562"/>
      <c r="E472" s="563"/>
      <c r="F472" s="3" t="str">
        <f ca="1">IF('IWP26'!ContractNumber = 0, "", IF('IWP26'!Std10dot4 = "", "E", 'IWP26'!Std10dot4))</f>
        <v/>
      </c>
      <c r="G472" s="3" t="str">
        <f ca="1">IF('IWP27'!ContractNumber = 0, "", IF('IWP27'!Std10dot4 = "", "E", 'IWP27'!Std10dot4))</f>
        <v/>
      </c>
      <c r="H472" s="3" t="str">
        <f ca="1">IF('IWP28'!ContractNumber = 0, "", IF('IWP28'!Std10dot4 = "", "E", 'IWP28'!Std10dot4))</f>
        <v/>
      </c>
      <c r="I472" s="3" t="str">
        <f ca="1">IF('IWP29'!ContractNumber = 0, "", IF('IWP29'!Std10dot4 = "", "E", 'IWP29'!Std10dot4))</f>
        <v/>
      </c>
      <c r="J472" s="3" t="str">
        <f ca="1">IF('IWP30'!ContractNumber = 0, "", IF('IWP30'!Std10dot4 = "", "E", 'IWP30'!Std10dot4))</f>
        <v/>
      </c>
    </row>
    <row r="473" spans="1:10" ht="16.5" thickTop="1" thickBot="1">
      <c r="A473" s="491" t="s">
        <v>16</v>
      </c>
      <c r="B473" s="564"/>
      <c r="C473" s="564"/>
      <c r="D473" s="564"/>
      <c r="E473" s="564"/>
      <c r="F473" s="565"/>
      <c r="G473" s="487" t="s">
        <v>19</v>
      </c>
      <c r="H473" s="488"/>
      <c r="I473" s="487" t="s">
        <v>20</v>
      </c>
      <c r="J473" s="488"/>
    </row>
    <row r="474" spans="1:10" ht="16.5" customHeight="1" thickTop="1" thickBot="1">
      <c r="A474" s="492"/>
      <c r="B474" s="566"/>
      <c r="C474" s="566"/>
      <c r="D474" s="566"/>
      <c r="E474" s="566"/>
      <c r="F474" s="567"/>
      <c r="G474" s="487">
        <f ca="1">COUNTIF(F462:J472, "Y")</f>
        <v>0</v>
      </c>
      <c r="H474" s="488"/>
      <c r="I474" s="487">
        <f ca="1">COUNTIF(F462:J472, "N")</f>
        <v>0</v>
      </c>
      <c r="J474" s="488"/>
    </row>
    <row r="475" spans="1:10" ht="16.5" thickTop="1" thickBot="1">
      <c r="A475" s="493" t="s">
        <v>200</v>
      </c>
      <c r="B475" s="494"/>
      <c r="C475" s="494"/>
      <c r="D475" s="494"/>
      <c r="E475" s="495"/>
      <c r="F475" s="106">
        <v>1</v>
      </c>
      <c r="G475" s="106">
        <v>2</v>
      </c>
      <c r="H475" s="106">
        <v>3</v>
      </c>
      <c r="I475" s="106">
        <v>4</v>
      </c>
      <c r="J475" s="106">
        <v>5</v>
      </c>
    </row>
    <row r="476" spans="1:10" ht="16.5" customHeight="1" thickTop="1" thickBot="1">
      <c r="A476" s="496"/>
      <c r="B476" s="497"/>
      <c r="C476" s="497"/>
      <c r="D476" s="497"/>
      <c r="E476" s="498"/>
      <c r="F476" s="3" t="str">
        <f ca="1">IF('IWP01'!ContractNumber = 0, "", IF('IWP01'!Std10dot5 = "", "E", 'IWP01'!Std10dot5))</f>
        <v/>
      </c>
      <c r="G476" s="3" t="str">
        <f ca="1">IF('IWP02'!ContractNumber = 0, "", IF('IWP02'!Std10dot5 = "", "E", 'IWP02'!Std10dot5))</f>
        <v/>
      </c>
      <c r="H476" s="3" t="str">
        <f ca="1">IF('IWP03'!ContractNumber = 0, "", IF('IWP03'!Std10dot5 = "", "E", 'IWP03'!Std10dot5))</f>
        <v/>
      </c>
      <c r="I476" s="3" t="str">
        <f ca="1">IF('IWP04'!ContractNumber = 0, "", IF('IWP04'!Std10dot5 = "", "E", 'IWP04'!Std10dot5))</f>
        <v/>
      </c>
      <c r="J476" s="3" t="str">
        <f ca="1">IF('IWP05'!ContractNumber = 0, "", IF('IWP05'!Std10dot5 = "", "E", 'IWP05'!Std10dot5))</f>
        <v/>
      </c>
    </row>
    <row r="477" spans="1:10" ht="16.5" thickTop="1" thickBot="1">
      <c r="A477" s="530" t="s">
        <v>1575</v>
      </c>
      <c r="B477" s="531"/>
      <c r="C477" s="531"/>
      <c r="D477" s="531"/>
      <c r="E477" s="532"/>
      <c r="F477" s="106">
        <v>6</v>
      </c>
      <c r="G477" s="106">
        <v>7</v>
      </c>
      <c r="H477" s="106">
        <v>8</v>
      </c>
      <c r="I477" s="106">
        <v>9</v>
      </c>
      <c r="J477" s="106">
        <v>10</v>
      </c>
    </row>
    <row r="478" spans="1:10" ht="16.5" thickTop="1" thickBot="1">
      <c r="A478" s="530"/>
      <c r="B478" s="531"/>
      <c r="C478" s="531"/>
      <c r="D478" s="531"/>
      <c r="E478" s="532"/>
      <c r="F478" s="3" t="str">
        <f ca="1">IF('IWP06'!ContractNumber = 0, "", IF('IWP06'!Std10dot5 = "", "E", 'IWP06'!Std10dot5))</f>
        <v/>
      </c>
      <c r="G478" s="3" t="str">
        <f ca="1">IF('IWP07'!ContractNumber = 0, "", IF('IWP07'!Std10dot5 = "", "E", 'IWP07'!Std10dot5))</f>
        <v/>
      </c>
      <c r="H478" s="3" t="str">
        <f ca="1">IF('IWP08'!ContractNumber = 0, "", IF('IWP08'!Std10dot5 = "", "E", 'IWP08'!Std10dot5))</f>
        <v/>
      </c>
      <c r="I478" s="3" t="str">
        <f ca="1">IF('IWP09'!ContractNumber = 0, "", IF('IWP09'!Std10dot5 = "", "E", 'IWP09'!Std10dot5))</f>
        <v/>
      </c>
      <c r="J478" s="3" t="str">
        <f ca="1">IF('IWP10'!ContractNumber = 0, "", IF('IWP10'!Std10dot5 = "", "E", 'IWP10'!Std10dot5))</f>
        <v/>
      </c>
    </row>
    <row r="479" spans="1:10" ht="16.5" thickTop="1" thickBot="1">
      <c r="A479" s="530"/>
      <c r="B479" s="531"/>
      <c r="C479" s="531"/>
      <c r="D479" s="531"/>
      <c r="E479" s="532"/>
      <c r="F479" s="106">
        <v>11</v>
      </c>
      <c r="G479" s="106">
        <v>12</v>
      </c>
      <c r="H479" s="106">
        <v>13</v>
      </c>
      <c r="I479" s="106">
        <v>14</v>
      </c>
      <c r="J479" s="106">
        <v>15</v>
      </c>
    </row>
    <row r="480" spans="1:10" ht="16.5" customHeight="1" thickTop="1" thickBot="1">
      <c r="A480" s="530"/>
      <c r="B480" s="531"/>
      <c r="C480" s="531"/>
      <c r="D480" s="531"/>
      <c r="E480" s="532"/>
      <c r="F480" s="3" t="str">
        <f ca="1">IF('IWP11'!ContractNumber = 0, "", IF('IWP11'!Std10dot5 = "", "E", 'IWP11'!Std10dot5))</f>
        <v/>
      </c>
      <c r="G480" s="3" t="str">
        <f ca="1">IF('IWP12'!ContractNumber = 0, "", IF('IWP12'!Std10dot5 = "", "E", 'IWP12'!Std10dot5))</f>
        <v/>
      </c>
      <c r="H480" s="3" t="str">
        <f ca="1">IF('IWP13'!ContractNumber = 0, "", IF('IWP13'!Std10dot5 = "", "E", 'IWP13'!Std10dot5))</f>
        <v/>
      </c>
      <c r="I480" s="3" t="str">
        <f ca="1">IF('IWP14'!ContractNumber = 0, "", IF('IWP14'!Std10dot5 = "", "E", 'IWP14'!Std10dot5))</f>
        <v/>
      </c>
      <c r="J480" s="3" t="str">
        <f ca="1">IF('IWP15'!ContractNumber = 0, "", IF('IWP15'!Std10dot5 = "", "E", 'IWP15'!Std10dot5))</f>
        <v/>
      </c>
    </row>
    <row r="481" spans="1:10" ht="16.5" thickTop="1" thickBot="1">
      <c r="A481" s="530"/>
      <c r="B481" s="531"/>
      <c r="C481" s="531"/>
      <c r="D481" s="531"/>
      <c r="E481" s="532"/>
      <c r="F481" s="106">
        <v>16</v>
      </c>
      <c r="G481" s="106">
        <v>17</v>
      </c>
      <c r="H481" s="106">
        <v>18</v>
      </c>
      <c r="I481" s="106">
        <v>19</v>
      </c>
      <c r="J481" s="106">
        <v>20</v>
      </c>
    </row>
    <row r="482" spans="1:10" ht="16.5" thickTop="1" thickBot="1">
      <c r="A482" s="558" t="s">
        <v>1369</v>
      </c>
      <c r="B482" s="559"/>
      <c r="C482" s="559"/>
      <c r="D482" s="559"/>
      <c r="E482" s="560"/>
      <c r="F482" s="3" t="str">
        <f ca="1">IF('IWP16'!ContractNumber = 0, "", IF('IWP16'!Std10dot5 = "", "E", 'IWP16'!Std10dot5))</f>
        <v/>
      </c>
      <c r="G482" s="3" t="str">
        <f ca="1">IF('IWP17'!ContractNumber = 0, "", IF('IWP17'!Std10dot5 = "", "E", 'IWP17'!Std10dot5))</f>
        <v/>
      </c>
      <c r="H482" s="3" t="str">
        <f ca="1">IF('IWP18'!ContractNumber = 0, "", IF('IWP18'!Std10dot5 = "", "E", 'IWP18'!Std10dot5))</f>
        <v/>
      </c>
      <c r="I482" s="3" t="str">
        <f ca="1">IF('IWP19'!ContractNumber = 0, "", IF('IWP19'!Std10dot5 = "", "E", 'IWP19'!Std10dot5))</f>
        <v/>
      </c>
      <c r="J482" s="3" t="str">
        <f ca="1">IF('IWP20'!ContractNumber = 0, "", IF('IWP20'!Std10dot5 = "", "E", 'IWP20'!Std10dot5))</f>
        <v/>
      </c>
    </row>
    <row r="483" spans="1:10" ht="17.25" customHeight="1" thickTop="1" thickBot="1">
      <c r="A483" s="558"/>
      <c r="B483" s="559"/>
      <c r="C483" s="559"/>
      <c r="D483" s="559"/>
      <c r="E483" s="560"/>
      <c r="F483" s="106">
        <v>21</v>
      </c>
      <c r="G483" s="106">
        <v>22</v>
      </c>
      <c r="H483" s="106">
        <v>23</v>
      </c>
      <c r="I483" s="106">
        <v>24</v>
      </c>
      <c r="J483" s="106">
        <v>25</v>
      </c>
    </row>
    <row r="484" spans="1:10" ht="17.25" customHeight="1" thickTop="1" thickBot="1">
      <c r="A484" s="558"/>
      <c r="B484" s="559"/>
      <c r="C484" s="559"/>
      <c r="D484" s="559"/>
      <c r="E484" s="560"/>
      <c r="F484" s="3" t="str">
        <f ca="1">IF('IWP21'!ContractNumber = 0, "", IF('IWP21'!Std10dot5 = "", "E", 'IWP21'!Std10dot5))</f>
        <v/>
      </c>
      <c r="G484" s="3" t="str">
        <f ca="1">IF('IWP22'!ContractNumber = 0, "", IF('IWP22'!Std10dot5 = "", "E", 'IWP22'!Std10dot5))</f>
        <v/>
      </c>
      <c r="H484" s="3" t="str">
        <f ca="1">IF('IWP23'!ContractNumber = 0, "", IF('IWP23'!Std10dot5 = "", "E", 'IWP23'!Std10dot5))</f>
        <v/>
      </c>
      <c r="I484" s="3" t="str">
        <f ca="1">IF('IWP24'!ContractNumber = 0, "", IF('IWP24'!Std10dot5 = "", "E", 'IWP24'!Std10dot5))</f>
        <v/>
      </c>
      <c r="J484" s="3" t="str">
        <f ca="1">IF('IWP25'!ContractNumber = 0, "", IF('IWP25'!Std10dot5 = "", "E", 'IWP25'!Std10dot5))</f>
        <v/>
      </c>
    </row>
    <row r="485" spans="1:10" ht="17.25" customHeight="1" thickTop="1" thickBot="1">
      <c r="A485" s="558"/>
      <c r="B485" s="559"/>
      <c r="C485" s="559"/>
      <c r="D485" s="559"/>
      <c r="E485" s="560"/>
      <c r="F485" s="106">
        <v>26</v>
      </c>
      <c r="G485" s="106">
        <v>27</v>
      </c>
      <c r="H485" s="106">
        <v>28</v>
      </c>
      <c r="I485" s="106">
        <v>29</v>
      </c>
      <c r="J485" s="106">
        <v>30</v>
      </c>
    </row>
    <row r="486" spans="1:10" ht="17.25" customHeight="1" thickTop="1" thickBot="1">
      <c r="A486" s="561"/>
      <c r="B486" s="562"/>
      <c r="C486" s="562"/>
      <c r="D486" s="562"/>
      <c r="E486" s="563"/>
      <c r="F486" s="3" t="str">
        <f ca="1">IF('IWP26'!ContractNumber = 0, "", IF('IWP26'!Std10dot5 = "", "E", 'IWP26'!Std10dot5))</f>
        <v/>
      </c>
      <c r="G486" s="3" t="str">
        <f ca="1">IF('IWP27'!ContractNumber = 0, "", IF('IWP27'!Std10dot5 = "", "E", 'IWP27'!Std10dot5))</f>
        <v/>
      </c>
      <c r="H486" s="3" t="str">
        <f ca="1">IF('IWP28'!ContractNumber = 0, "", IF('IWP28'!Std10dot5 = "", "E", 'IWP28'!Std10dot5))</f>
        <v/>
      </c>
      <c r="I486" s="3" t="str">
        <f ca="1">IF('IWP29'!ContractNumber = 0, "", IF('IWP29'!Std10dot5 = "", "E", 'IWP29'!Std10dot5))</f>
        <v/>
      </c>
      <c r="J486" s="3" t="str">
        <f ca="1">IF('IWP30'!ContractNumber = 0, "", IF('IWP30'!Std10dot5 = "", "E", 'IWP30'!Std10dot5))</f>
        <v/>
      </c>
    </row>
    <row r="487" spans="1:10" ht="17.25" customHeight="1" thickTop="1" thickBot="1">
      <c r="A487" s="491" t="s">
        <v>16</v>
      </c>
      <c r="B487" s="564"/>
      <c r="C487" s="564"/>
      <c r="D487" s="564"/>
      <c r="E487" s="564"/>
      <c r="F487" s="565"/>
      <c r="G487" s="487" t="s">
        <v>19</v>
      </c>
      <c r="H487" s="488"/>
      <c r="I487" s="487" t="s">
        <v>20</v>
      </c>
      <c r="J487" s="488"/>
    </row>
    <row r="488" spans="1:10" ht="16.5" customHeight="1" thickTop="1" thickBot="1">
      <c r="A488" s="492"/>
      <c r="B488" s="566"/>
      <c r="C488" s="566"/>
      <c r="D488" s="566"/>
      <c r="E488" s="566"/>
      <c r="F488" s="567"/>
      <c r="G488" s="487">
        <f ca="1">COUNTIF(F476:J486, "Y")</f>
        <v>0</v>
      </c>
      <c r="H488" s="488"/>
      <c r="I488" s="487">
        <f ca="1">COUNTIF(F476:J486, "N")</f>
        <v>0</v>
      </c>
      <c r="J488" s="488"/>
    </row>
    <row r="489" spans="1:10" ht="16.5" thickTop="1" thickBot="1">
      <c r="A489" s="493" t="s">
        <v>1658</v>
      </c>
      <c r="B489" s="494"/>
      <c r="C489" s="494"/>
      <c r="D489" s="494"/>
      <c r="E489" s="495"/>
      <c r="F489" s="106">
        <v>1</v>
      </c>
      <c r="G489" s="106">
        <v>2</v>
      </c>
      <c r="H489" s="106">
        <v>3</v>
      </c>
      <c r="I489" s="106">
        <v>4</v>
      </c>
      <c r="J489" s="106">
        <v>5</v>
      </c>
    </row>
    <row r="490" spans="1:10" ht="16.5" customHeight="1" thickTop="1" thickBot="1">
      <c r="A490" s="496"/>
      <c r="B490" s="497"/>
      <c r="C490" s="497"/>
      <c r="D490" s="497"/>
      <c r="E490" s="498"/>
      <c r="F490" s="3" t="str">
        <f ca="1">IF('IWP01'!ContractNumber = 0, "", IF('IWP01'!Std10dot6 = "", "E", 'IWP01'!Std10dot6))</f>
        <v/>
      </c>
      <c r="G490" s="3" t="str">
        <f ca="1">IF('IWP02'!ContractNumber = 0, "", IF('IWP02'!Std10dot6 = "", "E", 'IWP02'!Std10dot6))</f>
        <v/>
      </c>
      <c r="H490" s="3" t="str">
        <f ca="1">IF('IWP03'!ContractNumber = 0, "", IF('IWP03'!Std10dot6 = "", "E", 'IWP03'!Std10dot6))</f>
        <v/>
      </c>
      <c r="I490" s="3" t="str">
        <f ca="1">IF('IWP04'!ContractNumber = 0, "", IF('IWP04'!Std10dot6 = "", "E", 'IWP04'!Std10dot6))</f>
        <v/>
      </c>
      <c r="J490" s="3" t="str">
        <f ca="1">IF('IWP05'!ContractNumber = 0, "", IF('IWP05'!Std10dot6 = "", "E", 'IWP05'!Std10dot6))</f>
        <v/>
      </c>
    </row>
    <row r="491" spans="1:10" ht="16.5" customHeight="1" thickTop="1" thickBot="1">
      <c r="A491" s="496"/>
      <c r="B491" s="497"/>
      <c r="C491" s="497"/>
      <c r="D491" s="497"/>
      <c r="E491" s="498"/>
      <c r="F491" s="106">
        <v>6</v>
      </c>
      <c r="G491" s="106">
        <v>7</v>
      </c>
      <c r="H491" s="106">
        <v>8</v>
      </c>
      <c r="I491" s="106">
        <v>9</v>
      </c>
      <c r="J491" s="106">
        <v>10</v>
      </c>
    </row>
    <row r="492" spans="1:10" ht="16.5" customHeight="1" thickTop="1" thickBot="1">
      <c r="A492" s="496"/>
      <c r="B492" s="497"/>
      <c r="C492" s="497"/>
      <c r="D492" s="497"/>
      <c r="E492" s="498"/>
      <c r="F492" s="3" t="str">
        <f ca="1">IF('IWP06'!ContractNumber = 0, "", IF('IWP06'!Std10dot6 = "", "E", 'IWP06'!Std10dot6))</f>
        <v/>
      </c>
      <c r="G492" s="3" t="str">
        <f ca="1">IF('IWP07'!ContractNumber = 0, "", IF('IWP07'!Std10dot6 = "", "E", 'IWP07'!Std10dot6))</f>
        <v/>
      </c>
      <c r="H492" s="3" t="str">
        <f ca="1">IF('IWP08'!ContractNumber = 0, "", IF('IWP08'!Std10dot6 = "", "E", 'IWP08'!Std10dot6))</f>
        <v/>
      </c>
      <c r="I492" s="3" t="str">
        <f ca="1">IF('IWP09'!ContractNumber = 0, "", IF('IWP09'!Std10dot6 = "", "E", 'IWP09'!Std10dot6))</f>
        <v/>
      </c>
      <c r="J492" s="3" t="str">
        <f ca="1">IF('IWP10'!ContractNumber = 0, "", IF('IWP10'!Std10dot6 = "", "E", 'IWP10'!Std10dot6))</f>
        <v/>
      </c>
    </row>
    <row r="493" spans="1:10" ht="15.75" customHeight="1" thickTop="1" thickBot="1">
      <c r="A493" s="656" t="s">
        <v>1576</v>
      </c>
      <c r="B493" s="657"/>
      <c r="C493" s="657"/>
      <c r="D493" s="657"/>
      <c r="E493" s="658"/>
      <c r="F493" s="106">
        <v>11</v>
      </c>
      <c r="G493" s="106">
        <v>12</v>
      </c>
      <c r="H493" s="106">
        <v>13</v>
      </c>
      <c r="I493" s="106">
        <v>14</v>
      </c>
      <c r="J493" s="106">
        <v>15</v>
      </c>
    </row>
    <row r="494" spans="1:10" ht="16.5" customHeight="1" thickTop="1" thickBot="1">
      <c r="A494" s="656"/>
      <c r="B494" s="657"/>
      <c r="C494" s="657"/>
      <c r="D494" s="657"/>
      <c r="E494" s="658"/>
      <c r="F494" s="3" t="str">
        <f ca="1">IF('IWP11'!ContractNumber = 0, "", IF('IWP11'!Std10dot6 = "", "E", 'IWP11'!Std10dot6))</f>
        <v/>
      </c>
      <c r="G494" s="3" t="str">
        <f ca="1">IF('IWP12'!ContractNumber = 0, "", IF('IWP12'!Std10dot6 = "", "E", 'IWP12'!Std10dot6))</f>
        <v/>
      </c>
      <c r="H494" s="3" t="str">
        <f ca="1">IF('IWP13'!ContractNumber = 0, "", IF('IWP13'!Std10dot6 = "", "E", 'IWP13'!Std10dot6))</f>
        <v/>
      </c>
      <c r="I494" s="3" t="str">
        <f ca="1">IF('IWP14'!ContractNumber = 0, "", IF('IWP14'!Std10dot6 = "", "E", 'IWP14'!Std10dot6))</f>
        <v/>
      </c>
      <c r="J494" s="3" t="str">
        <f ca="1">IF('IWP15'!ContractNumber = 0, "", IF('IWP15'!Std10dot6 = "", "E", 'IWP15'!Std10dot6))</f>
        <v/>
      </c>
    </row>
    <row r="495" spans="1:10" ht="16.5" thickTop="1" thickBot="1">
      <c r="A495" s="656"/>
      <c r="B495" s="657"/>
      <c r="C495" s="657"/>
      <c r="D495" s="657"/>
      <c r="E495" s="658"/>
      <c r="F495" s="106">
        <v>16</v>
      </c>
      <c r="G495" s="106">
        <v>17</v>
      </c>
      <c r="H495" s="106">
        <v>18</v>
      </c>
      <c r="I495" s="106">
        <v>19</v>
      </c>
      <c r="J495" s="106">
        <v>20</v>
      </c>
    </row>
    <row r="496" spans="1:10" ht="17.25" customHeight="1" thickTop="1" thickBot="1">
      <c r="A496" s="558" t="s">
        <v>1370</v>
      </c>
      <c r="B496" s="559"/>
      <c r="C496" s="559"/>
      <c r="D496" s="559"/>
      <c r="E496" s="560"/>
      <c r="F496" s="3" t="str">
        <f ca="1">IF('IWP16'!ContractNumber = 0, "", IF('IWP16'!Std10dot6 = "", "E", 'IWP16'!Std10dot6))</f>
        <v/>
      </c>
      <c r="G496" s="3" t="str">
        <f ca="1">IF('IWP17'!ContractNumber = 0, "", IF('IWP17'!Std10dot6 = "", "E", 'IWP17'!Std10dot6))</f>
        <v/>
      </c>
      <c r="H496" s="3" t="str">
        <f ca="1">IF('IWP18'!ContractNumber = 0, "", IF('IWP18'!Std10dot6 = "", "E", 'IWP18'!Std10dot6))</f>
        <v/>
      </c>
      <c r="I496" s="3" t="str">
        <f ca="1">IF('IWP19'!ContractNumber = 0, "", IF('IWP19'!Std10dot6 = "", "E", 'IWP19'!Std10dot6))</f>
        <v/>
      </c>
      <c r="J496" s="3" t="str">
        <f ca="1">IF('IWP20'!ContractNumber = 0, "", IF('IWP20'!Std10dot6 = "", "E", 'IWP20'!Std10dot6))</f>
        <v/>
      </c>
    </row>
    <row r="497" spans="1:10" ht="17.25" customHeight="1" thickTop="1" thickBot="1">
      <c r="A497" s="558"/>
      <c r="B497" s="559"/>
      <c r="C497" s="559"/>
      <c r="D497" s="559"/>
      <c r="E497" s="560"/>
      <c r="F497" s="106">
        <v>21</v>
      </c>
      <c r="G497" s="106">
        <v>22</v>
      </c>
      <c r="H497" s="106">
        <v>23</v>
      </c>
      <c r="I497" s="106">
        <v>24</v>
      </c>
      <c r="J497" s="106">
        <v>25</v>
      </c>
    </row>
    <row r="498" spans="1:10" ht="17.25" customHeight="1" thickTop="1" thickBot="1">
      <c r="A498" s="558"/>
      <c r="B498" s="559"/>
      <c r="C498" s="559"/>
      <c r="D498" s="559"/>
      <c r="E498" s="560"/>
      <c r="F498" s="3" t="str">
        <f ca="1">IF('IWP21'!ContractNumber = 0, "", IF('IWP21'!Std10dot6 = "", "E", 'IWP21'!Std10dot6))</f>
        <v/>
      </c>
      <c r="G498" s="3" t="str">
        <f ca="1">IF('IWP22'!ContractNumber = 0, "", IF('IWP22'!Std10dot6 = "", "E", 'IWP22'!Std10dot6))</f>
        <v/>
      </c>
      <c r="H498" s="3" t="str">
        <f ca="1">IF('IWP23'!ContractNumber = 0, "", IF('IWP23'!Std10dot6 = "", "E", 'IWP23'!Std10dot6))</f>
        <v/>
      </c>
      <c r="I498" s="3" t="str">
        <f ca="1">IF('IWP24'!ContractNumber = 0, "", IF('IWP24'!Std10dot6 = "", "E", 'IWP24'!Std10dot6))</f>
        <v/>
      </c>
      <c r="J498" s="3" t="str">
        <f ca="1">IF('IWP25'!ContractNumber = 0, "", IF('IWP25'!Std10dot6 = "", "E", 'IWP25'!Std10dot6))</f>
        <v/>
      </c>
    </row>
    <row r="499" spans="1:10" ht="17.25" customHeight="1" thickTop="1" thickBot="1">
      <c r="A499" s="558"/>
      <c r="B499" s="559"/>
      <c r="C499" s="559"/>
      <c r="D499" s="559"/>
      <c r="E499" s="560"/>
      <c r="F499" s="106">
        <v>26</v>
      </c>
      <c r="G499" s="106">
        <v>27</v>
      </c>
      <c r="H499" s="106">
        <v>28</v>
      </c>
      <c r="I499" s="106">
        <v>29</v>
      </c>
      <c r="J499" s="106">
        <v>30</v>
      </c>
    </row>
    <row r="500" spans="1:10" ht="17.25" customHeight="1" thickTop="1" thickBot="1">
      <c r="A500" s="561"/>
      <c r="B500" s="562"/>
      <c r="C500" s="562"/>
      <c r="D500" s="562"/>
      <c r="E500" s="563"/>
      <c r="F500" s="3" t="str">
        <f ca="1">IF('IWP26'!ContractNumber = 0, "", IF('IWP26'!Std10dot6 = "", "E", 'IWP26'!Std10dot6))</f>
        <v/>
      </c>
      <c r="G500" s="3" t="str">
        <f ca="1">IF('IWP27'!ContractNumber = 0, "", IF('IWP27'!Std10dot6 = "", "E", 'IWP27'!Std10dot6))</f>
        <v/>
      </c>
      <c r="H500" s="3" t="str">
        <f ca="1">IF('IWP28'!ContractNumber = 0, "", IF('IWP28'!Std10dot6 = "", "E", 'IWP28'!Std10dot6))</f>
        <v/>
      </c>
      <c r="I500" s="3" t="str">
        <f ca="1">IF('IWP29'!ContractNumber = 0, "", IF('IWP29'!Std10dot6 = "", "E", 'IWP29'!Std10dot6))</f>
        <v/>
      </c>
      <c r="J500" s="3" t="str">
        <f ca="1">IF('IWP30'!ContractNumber = 0, "", IF('IWP30'!Std10dot6 = "", "E", 'IWP30'!Std10dot6))</f>
        <v/>
      </c>
    </row>
    <row r="501" spans="1:10" ht="17.25" customHeight="1" thickTop="1" thickBot="1">
      <c r="A501" s="491" t="s">
        <v>16</v>
      </c>
      <c r="B501" s="564"/>
      <c r="C501" s="564"/>
      <c r="D501" s="564"/>
      <c r="E501" s="564"/>
      <c r="F501" s="565"/>
      <c r="G501" s="487" t="s">
        <v>19</v>
      </c>
      <c r="H501" s="488"/>
      <c r="I501" s="487" t="s">
        <v>20</v>
      </c>
      <c r="J501" s="488"/>
    </row>
    <row r="502" spans="1:10" ht="17.25" customHeight="1" thickTop="1" thickBot="1">
      <c r="A502" s="492"/>
      <c r="B502" s="566"/>
      <c r="C502" s="566"/>
      <c r="D502" s="566"/>
      <c r="E502" s="566"/>
      <c r="F502" s="567"/>
      <c r="G502" s="487">
        <f ca="1">COUNTIF(F490:J500, "Y")</f>
        <v>0</v>
      </c>
      <c r="H502" s="488"/>
      <c r="I502" s="487">
        <f ca="1">COUNTIF(F490:J500, "N")</f>
        <v>0</v>
      </c>
      <c r="J502" s="488"/>
    </row>
    <row r="503" spans="1:10" ht="17.25" customHeight="1" thickTop="1" thickBot="1">
      <c r="A503" s="549" t="s">
        <v>201</v>
      </c>
      <c r="B503" s="550"/>
      <c r="C503" s="550"/>
      <c r="D503" s="550"/>
      <c r="E503" s="550"/>
      <c r="F503" s="551"/>
      <c r="G503" s="487" t="s">
        <v>17</v>
      </c>
      <c r="H503" s="488"/>
      <c r="I503" s="487" t="s">
        <v>18</v>
      </c>
      <c r="J503" s="488"/>
    </row>
    <row r="504" spans="1:10" ht="17.25" customHeight="1" thickTop="1" thickBot="1">
      <c r="A504" s="552"/>
      <c r="B504" s="553"/>
      <c r="C504" s="553"/>
      <c r="D504" s="553"/>
      <c r="E504" s="553"/>
      <c r="F504" s="554"/>
      <c r="G504" s="654">
        <f ca="1">SUM(G502,G488,G474,G460,G446,G432)</f>
        <v>0</v>
      </c>
      <c r="H504" s="655"/>
      <c r="I504" s="487">
        <f ca="1">SUM(I502,I488,I474,I460,I446,I432)</f>
        <v>0</v>
      </c>
      <c r="J504" s="488"/>
    </row>
    <row r="505" spans="1:10" ht="17.25" customHeight="1" thickTop="1">
      <c r="A505" s="571" t="s">
        <v>202</v>
      </c>
      <c r="B505" s="572"/>
      <c r="C505" s="572"/>
      <c r="D505" s="572"/>
      <c r="E505" s="572"/>
      <c r="F505" s="572"/>
      <c r="G505" s="572"/>
      <c r="H505" s="572"/>
      <c r="I505" s="572"/>
      <c r="J505" s="573"/>
    </row>
    <row r="506" spans="1:10" ht="16.5" customHeight="1" thickBot="1">
      <c r="A506" s="555" t="s">
        <v>1577</v>
      </c>
      <c r="B506" s="556"/>
      <c r="C506" s="556"/>
      <c r="D506" s="556"/>
      <c r="E506" s="556"/>
      <c r="F506" s="556"/>
      <c r="G506" s="556"/>
      <c r="H506" s="556"/>
      <c r="I506" s="556"/>
      <c r="J506" s="557"/>
    </row>
    <row r="507" spans="1:10" ht="16.5" thickTop="1" thickBot="1">
      <c r="A507" s="493" t="s">
        <v>203</v>
      </c>
      <c r="B507" s="494"/>
      <c r="C507" s="494"/>
      <c r="D507" s="494"/>
      <c r="E507" s="495"/>
      <c r="F507" s="106">
        <v>1</v>
      </c>
      <c r="G507" s="106">
        <v>2</v>
      </c>
      <c r="H507" s="106">
        <v>3</v>
      </c>
      <c r="I507" s="106">
        <v>4</v>
      </c>
      <c r="J507" s="106">
        <v>5</v>
      </c>
    </row>
    <row r="508" spans="1:10" ht="17.25" customHeight="1" thickTop="1" thickBot="1">
      <c r="A508" s="496"/>
      <c r="B508" s="497"/>
      <c r="C508" s="497"/>
      <c r="D508" s="497"/>
      <c r="E508" s="498"/>
      <c r="F508" s="3" t="str">
        <f ca="1">IF('IWP01'!ContractNumber=0,"",IF('IWP01'!Std11dot1cNotCalc="Y",'Personal Care 3 Facility Chklst'!Std11dot1CalcValue,IF('IWP01'!Std11dot1cNotCalc="N",IF('IWP01'!Std11dot1="","E",'IWP01'!Std11dot1), "E")))</f>
        <v/>
      </c>
      <c r="G508" s="3" t="str">
        <f ca="1">IF('IWP02'!ContractNumber=0,"",IF('IWP02'!Std11dot1cNotCalc="Y",'Personal Care 3 Facility Chklst'!Std11dot1CalcValue,IF('IWP02'!Std11dot1cNotCalc="N",IF('IWP02'!Std11dot1="","E",'IWP02'!Std11dot1), "E")))</f>
        <v/>
      </c>
      <c r="H508" s="3" t="str">
        <f ca="1">IF('IWP03'!ContractNumber=0,"",IF('IWP03'!Std11dot1cNotCalc="Y",'Personal Care 3 Facility Chklst'!Std11dot1CalcValue,IF('IWP03'!Std11dot1cNotCalc="N",IF('IWP03'!Std11dot1="","E",'IWP03'!Std11dot1), "E")))</f>
        <v/>
      </c>
      <c r="I508" s="3" t="str">
        <f ca="1">IF('IWP04'!ContractNumber=0,"",IF('IWP04'!Std11dot1cNotCalc="Y",'Personal Care 3 Facility Chklst'!Std11dot1CalcValue,IF('IWP04'!Std11dot1cNotCalc="N",IF('IWP04'!Std11dot1="","E",'IWP04'!Std11dot1), "E")))</f>
        <v/>
      </c>
      <c r="J508" s="3" t="str">
        <f ca="1">IF('IWP05'!ContractNumber=0,"",IF('IWP05'!Std11dot1cNotCalc="Y",'Personal Care 3 Facility Chklst'!Std11dot1CalcValue,IF('IWP05'!Std11dot1cNotCalc="N",IF('IWP05'!Std11dot1="","E",'IWP05'!Std11dot1), "E")))</f>
        <v/>
      </c>
    </row>
    <row r="509" spans="1:10" ht="16.5" customHeight="1" thickTop="1" thickBot="1">
      <c r="A509" s="558" t="s">
        <v>204</v>
      </c>
      <c r="B509" s="559"/>
      <c r="C509" s="559"/>
      <c r="D509" s="559"/>
      <c r="E509" s="560"/>
      <c r="F509" s="106">
        <v>6</v>
      </c>
      <c r="G509" s="106">
        <v>7</v>
      </c>
      <c r="H509" s="106">
        <v>8</v>
      </c>
      <c r="I509" s="106">
        <v>9</v>
      </c>
      <c r="J509" s="106">
        <v>10</v>
      </c>
    </row>
    <row r="510" spans="1:10" ht="16.5" thickTop="1" thickBot="1">
      <c r="A510" s="558"/>
      <c r="B510" s="559"/>
      <c r="C510" s="559"/>
      <c r="D510" s="559"/>
      <c r="E510" s="560"/>
      <c r="F510" s="3" t="str">
        <f ca="1">IF('IWP06'!ContractNumber=0,"",IF('IWP06'!Std11dot1cNotCalc="Y",'Personal Care 3 Facility Chklst'!Std11dot1CalcValue,IF('IWP06'!Std11dot1cNotCalc="N",IF('IWP06'!Std11dot1="","E",'IWP06'!Std11dot1), "E")))</f>
        <v/>
      </c>
      <c r="G510" s="3" t="str">
        <f ca="1">IF('IWP07'!ContractNumber=0,"",IF('IWP07'!Std11dot1cNotCalc="Y",'Personal Care 3 Facility Chklst'!Std11dot1CalcValue,IF('IWP07'!Std11dot1cNotCalc="N",IF('IWP07'!Std11dot1="","E",'IWP07'!Std11dot1), "E")))</f>
        <v/>
      </c>
      <c r="H510" s="3" t="str">
        <f ca="1">IF('IWP08'!ContractNumber=0,"",IF('IWP08'!Std11dot1cNotCalc="Y",'Personal Care 3 Facility Chklst'!Std11dot1CalcValue,IF('IWP08'!Std11dot1cNotCalc="N",IF('IWP08'!Std11dot1="","E",'IWP08'!Std11dot1), "E")))</f>
        <v/>
      </c>
      <c r="I510" s="3" t="str">
        <f ca="1">IF('IWP09'!ContractNumber=0,"",IF('IWP09'!Std11dot1cNotCalc="Y",'Personal Care 3 Facility Chklst'!Std11dot1CalcValue,IF('IWP09'!Std11dot1cNotCalc="N",IF('IWP09'!Std11dot1="","E",'IWP09'!Std11dot1), "E")))</f>
        <v/>
      </c>
      <c r="J510" s="3" t="str">
        <f ca="1">IF('IWP10'!ContractNumber=0,"",IF('IWP10'!Std11dot1cNotCalc="Y",'Personal Care 3 Facility Chklst'!Std11dot1CalcValue,IF('IWP10'!Std11dot1cNotCalc="N",IF('IWP10'!Std11dot1="","E",'IWP10'!Std11dot1), "E")))</f>
        <v/>
      </c>
    </row>
    <row r="511" spans="1:10" ht="16.5" customHeight="1" thickTop="1" thickBot="1">
      <c r="A511" s="558"/>
      <c r="B511" s="559"/>
      <c r="C511" s="559"/>
      <c r="D511" s="559"/>
      <c r="E511" s="560"/>
      <c r="F511" s="106">
        <v>11</v>
      </c>
      <c r="G511" s="106">
        <v>12</v>
      </c>
      <c r="H511" s="106">
        <v>13</v>
      </c>
      <c r="I511" s="106">
        <v>14</v>
      </c>
      <c r="J511" s="106">
        <v>15</v>
      </c>
    </row>
    <row r="512" spans="1:10" ht="16.5" thickTop="1" thickBot="1">
      <c r="A512" s="558"/>
      <c r="B512" s="559"/>
      <c r="C512" s="559"/>
      <c r="D512" s="559"/>
      <c r="E512" s="560"/>
      <c r="F512" s="3" t="str">
        <f ca="1">IF('IWP11'!ContractNumber=0,"",IF('IWP11'!Std11dot1cNotCalc="Y",'Personal Care 3 Facility Chklst'!Std11dot1CalcValue,IF('IWP11'!Std11dot1cNotCalc="N",IF('IWP11'!Std11dot1="","E",'IWP11'!Std11dot1), "E")))</f>
        <v/>
      </c>
      <c r="G512" s="3" t="str">
        <f ca="1">IF('IWP12'!ContractNumber=0,"",IF('IWP12'!Std11dot1cNotCalc="Y",'Personal Care 3 Facility Chklst'!Std11dot1CalcValue,IF('IWP12'!Std11dot1cNotCalc="N",IF('IWP12'!Std11dot1="","E",'IWP12'!Std11dot1), "E")))</f>
        <v/>
      </c>
      <c r="H512" s="3" t="str">
        <f ca="1">IF('IWP13'!ContractNumber=0,"",IF('IWP13'!Std11dot1cNotCalc="Y",'Personal Care 3 Facility Chklst'!Std11dot1CalcValue,IF('IWP13'!Std11dot1cNotCalc="N",IF('IWP13'!Std11dot1="","E",'IWP13'!Std11dot1), "E")))</f>
        <v/>
      </c>
      <c r="I512" s="3" t="str">
        <f ca="1">IF('IWP14'!ContractNumber=0,"",IF('IWP14'!Std11dot1cNotCalc="Y",'Personal Care 3 Facility Chklst'!Std11dot1CalcValue,IF('IWP14'!Std11dot1cNotCalc="N",IF('IWP14'!Std11dot1="","E",'IWP14'!Std11dot1), "E")))</f>
        <v/>
      </c>
      <c r="J512" s="3" t="str">
        <f ca="1">IF('IWP15'!ContractNumber=0,"",IF('IWP15'!Std11dot1cNotCalc="Y",'Personal Care 3 Facility Chklst'!Std11dot1CalcValue,IF('IWP15'!Std11dot1cNotCalc="N",IF('IWP15'!Std11dot1="","E",'IWP15'!Std11dot1), "E")))</f>
        <v/>
      </c>
    </row>
    <row r="513" spans="1:10" ht="16.5" customHeight="1" thickTop="1" thickBot="1">
      <c r="A513" s="558"/>
      <c r="B513" s="559"/>
      <c r="C513" s="559"/>
      <c r="D513" s="559"/>
      <c r="E513" s="560"/>
      <c r="F513" s="106">
        <v>16</v>
      </c>
      <c r="G513" s="106">
        <v>17</v>
      </c>
      <c r="H513" s="106">
        <v>18</v>
      </c>
      <c r="I513" s="106">
        <v>19</v>
      </c>
      <c r="J513" s="106">
        <v>20</v>
      </c>
    </row>
    <row r="514" spans="1:10" ht="16.5" thickTop="1" thickBot="1">
      <c r="A514" s="558"/>
      <c r="B514" s="559"/>
      <c r="C514" s="559"/>
      <c r="D514" s="559"/>
      <c r="E514" s="560"/>
      <c r="F514" s="3" t="str">
        <f ca="1">IF('IWP16'!ContractNumber=0,"",IF('IWP16'!Std11dot1cNotCalc="Y",'Personal Care 3 Facility Chklst'!Std11dot1CalcValue,IF('IWP16'!Std11dot1cNotCalc="N",IF('IWP16'!Std11dot1="","E",'IWP16'!Std11dot1), "E")))</f>
        <v/>
      </c>
      <c r="G514" s="3" t="str">
        <f ca="1">IF('IWP17'!ContractNumber=0,"",IF('IWP17'!Std11dot1cNotCalc="Y",'Personal Care 3 Facility Chklst'!Std11dot1CalcValue,IF('IWP17'!Std11dot1cNotCalc="N",IF('IWP17'!Std11dot1="","E",'IWP17'!Std11dot1), "E")))</f>
        <v/>
      </c>
      <c r="H514" s="3" t="str">
        <f ca="1">IF('IWP18'!ContractNumber=0,"",IF('IWP18'!Std11dot1cNotCalc="Y",'Personal Care 3 Facility Chklst'!Std11dot1CalcValue,IF('IWP18'!Std11dot1cNotCalc="N",IF('IWP18'!Std11dot1="","E",'IWP18'!Std11dot1), "E")))</f>
        <v/>
      </c>
      <c r="I514" s="3" t="str">
        <f ca="1">IF('IWP19'!ContractNumber=0,"",IF('IWP19'!Std11dot1cNotCalc="Y",'Personal Care 3 Facility Chklst'!Std11dot1CalcValue,IF('IWP19'!Std11dot1cNotCalc="N",IF('IWP19'!Std11dot1="","E",'IWP19'!Std11dot1), "E")))</f>
        <v/>
      </c>
      <c r="J514" s="3" t="str">
        <f ca="1">IF('IWP20'!ContractNumber=0,"",IF('IWP20'!Std11dot1cNotCalc="Y",'Personal Care 3 Facility Chklst'!Std11dot1CalcValue,IF('IWP20'!Std11dot1cNotCalc="N",IF('IWP20'!Std11dot1="","E",'IWP20'!Std11dot1), "E")))</f>
        <v/>
      </c>
    </row>
    <row r="515" spans="1:10" ht="16.5" thickTop="1" thickBot="1">
      <c r="A515" s="558"/>
      <c r="B515" s="559"/>
      <c r="C515" s="559"/>
      <c r="D515" s="559"/>
      <c r="E515" s="560"/>
      <c r="F515" s="106">
        <v>21</v>
      </c>
      <c r="G515" s="106">
        <v>22</v>
      </c>
      <c r="H515" s="106">
        <v>23</v>
      </c>
      <c r="I515" s="106">
        <v>24</v>
      </c>
      <c r="J515" s="106">
        <v>25</v>
      </c>
    </row>
    <row r="516" spans="1:10" ht="16.5" thickTop="1" thickBot="1">
      <c r="A516" s="558"/>
      <c r="B516" s="559"/>
      <c r="C516" s="559"/>
      <c r="D516" s="559"/>
      <c r="E516" s="560"/>
      <c r="F516" s="3" t="str">
        <f ca="1">IF('IWP21'!ContractNumber=0,"",IF('IWP21'!Std11dot1cNotCalc="Y",'Personal Care 3 Facility Chklst'!Std11dot1CalcValue,IF('IWP21'!Std11dot1cNotCalc="N",IF('IWP21'!Std11dot1="","E",'IWP21'!Std11dot1), "E")))</f>
        <v/>
      </c>
      <c r="G516" s="3" t="str">
        <f ca="1">IF('IWP22'!ContractNumber=0,"",IF('IWP22'!Std11dot1cNotCalc="Y",'Personal Care 3 Facility Chklst'!Std11dot1CalcValue,IF('IWP22'!Std11dot1cNotCalc="N",IF('IWP22'!Std11dot1="","E",'IWP22'!Std11dot1), "E")))</f>
        <v/>
      </c>
      <c r="H516" s="3" t="str">
        <f ca="1">IF('IWP23'!ContractNumber=0,"",IF('IWP23'!Std11dot1cNotCalc="Y",'Personal Care 3 Facility Chklst'!Std11dot1CalcValue,IF('IWP23'!Std11dot1cNotCalc="N",IF('IWP23'!Std11dot1="","E",'IWP23'!Std11dot1), "E")))</f>
        <v/>
      </c>
      <c r="I516" s="3" t="str">
        <f ca="1">IF('IWP24'!ContractNumber=0,"",IF('IWP24'!Std11dot1cNotCalc="Y",'Personal Care 3 Facility Chklst'!Std11dot1CalcValue,IF('IWP24'!Std11dot1cNotCalc="N",IF('IWP24'!Std11dot1="","E",'IWP24'!Std11dot1), "E")))</f>
        <v/>
      </c>
      <c r="J516" s="3" t="str">
        <f ca="1">IF('IWP25'!ContractNumber=0,"",IF('IWP25'!Std11dot1cNotCalc="Y",'Personal Care 3 Facility Chklst'!Std11dot1CalcValue,IF('IWP25'!Std11dot1cNotCalc="N",IF('IWP25'!Std11dot1="","E",'IWP25'!Std11dot1), "E")))</f>
        <v/>
      </c>
    </row>
    <row r="517" spans="1:10" ht="17.25" customHeight="1" thickTop="1" thickBot="1">
      <c r="A517" s="558"/>
      <c r="B517" s="559"/>
      <c r="C517" s="559"/>
      <c r="D517" s="559"/>
      <c r="E517" s="560"/>
      <c r="F517" s="106">
        <v>26</v>
      </c>
      <c r="G517" s="106">
        <v>27</v>
      </c>
      <c r="H517" s="106">
        <v>28</v>
      </c>
      <c r="I517" s="106">
        <v>29</v>
      </c>
      <c r="J517" s="106">
        <v>30</v>
      </c>
    </row>
    <row r="518" spans="1:10" ht="17.25" customHeight="1" thickTop="1" thickBot="1">
      <c r="A518" s="561"/>
      <c r="B518" s="562"/>
      <c r="C518" s="562"/>
      <c r="D518" s="562"/>
      <c r="E518" s="563"/>
      <c r="F518" s="3" t="str">
        <f ca="1">IF('IWP26'!ContractNumber=0,"",IF('IWP26'!Std11dot1cNotCalc="Y",'Personal Care 3 Facility Chklst'!Std11dot1CalcValue,IF('IWP26'!Std11dot1cNotCalc="N",IF('IWP26'!Std11dot1="","E",'IWP26'!Std11dot1), "E")))</f>
        <v/>
      </c>
      <c r="G518" s="3" t="str">
        <f ca="1">IF('IWP27'!ContractNumber=0,"",IF('IWP27'!Std11dot1cNotCalc="Y",'Personal Care 3 Facility Chklst'!Std11dot1CalcValue,IF('IWP27'!Std11dot1cNotCalc="N",IF('IWP27'!Std11dot1="","E",'IWP27'!Std11dot1), "E")))</f>
        <v/>
      </c>
      <c r="H518" s="3" t="str">
        <f ca="1">IF('IWP28'!ContractNumber=0,"",IF('IWP28'!Std11dot1cNotCalc="Y",'Personal Care 3 Facility Chklst'!Std11dot1CalcValue,IF('IWP28'!Std11dot1cNotCalc="N",IF('IWP28'!Std11dot1="","E",'IWP28'!Std11dot1), "E")))</f>
        <v/>
      </c>
      <c r="I518" s="3" t="str">
        <f ca="1">IF('IWP29'!ContractNumber=0,"",IF('IWP29'!Std11dot1cNotCalc="Y",'Personal Care 3 Facility Chklst'!Std11dot1CalcValue,IF('IWP29'!Std11dot1cNotCalc="N",IF('IWP29'!Std11dot1="","E",'IWP29'!Std11dot1), "E")))</f>
        <v/>
      </c>
      <c r="J518" s="3" t="str">
        <f ca="1">IF('IWP30'!ContractNumber=0,"",IF('IWP30'!Std11dot1cNotCalc="Y",'Personal Care 3 Facility Chklst'!Std11dot1CalcValue,IF('IWP30'!Std11dot1cNotCalc="N",IF('IWP30'!Std11dot1="","E",'IWP30'!Std11dot1), "E")))</f>
        <v/>
      </c>
    </row>
    <row r="519" spans="1:10" ht="17.25" customHeight="1" thickTop="1" thickBot="1">
      <c r="A519" s="491" t="s">
        <v>16</v>
      </c>
      <c r="B519" s="564"/>
      <c r="C519" s="564"/>
      <c r="D519" s="564"/>
      <c r="E519" s="564"/>
      <c r="F519" s="565"/>
      <c r="G519" s="487" t="s">
        <v>19</v>
      </c>
      <c r="H519" s="488"/>
      <c r="I519" s="487" t="s">
        <v>20</v>
      </c>
      <c r="J519" s="488"/>
    </row>
    <row r="520" spans="1:10" ht="17.25" customHeight="1" thickTop="1" thickBot="1">
      <c r="A520" s="492"/>
      <c r="B520" s="566"/>
      <c r="C520" s="566"/>
      <c r="D520" s="566"/>
      <c r="E520" s="566"/>
      <c r="F520" s="567"/>
      <c r="G520" s="487">
        <f ca="1">COUNTIF(F508:J518, "Y")</f>
        <v>0</v>
      </c>
      <c r="H520" s="488"/>
      <c r="I520" s="487">
        <f ca="1">COUNTIF(F508:J518, "N")</f>
        <v>0</v>
      </c>
      <c r="J520" s="488"/>
    </row>
    <row r="521" spans="1:10" ht="19.5" customHeight="1" thickTop="1" thickBot="1">
      <c r="A521" s="651" t="s">
        <v>1377</v>
      </c>
      <c r="B521" s="652"/>
      <c r="C521" s="652"/>
      <c r="D521" s="652"/>
      <c r="E521" s="653"/>
      <c r="F521" s="106">
        <v>1</v>
      </c>
      <c r="G521" s="106">
        <v>2</v>
      </c>
      <c r="H521" s="106">
        <v>3</v>
      </c>
      <c r="I521" s="106">
        <v>4</v>
      </c>
      <c r="J521" s="106">
        <v>5</v>
      </c>
    </row>
    <row r="522" spans="1:10" ht="16.5" customHeight="1" thickTop="1" thickBot="1">
      <c r="A522" s="530"/>
      <c r="B522" s="531"/>
      <c r="C522" s="531"/>
      <c r="D522" s="531"/>
      <c r="E522" s="532"/>
      <c r="F522" s="3" t="str">
        <f ca="1">IF('IWP01'!ContractNumber = 0, "", IF('IWP01'!Std11dot2 = "", "E", 'IWP01'!Std11dot2))</f>
        <v/>
      </c>
      <c r="G522" s="3" t="str">
        <f ca="1">IF('IWP02'!ContractNumber = 0, "", IF('IWP02'!Std11dot2 = "", "E", 'IWP02'!Std11dot2))</f>
        <v/>
      </c>
      <c r="H522" s="3" t="str">
        <f ca="1">IF('IWP03'!ContractNumber = 0, "", IF('IWP03'!Std11dot2 = "", "E", 'IWP03'!Std11dot2))</f>
        <v/>
      </c>
      <c r="I522" s="3" t="str">
        <f ca="1">IF('IWP04'!ContractNumber = 0, "", IF('IWP04'!Std11dot2 = "", "E", 'IWP04'!Std11dot2))</f>
        <v/>
      </c>
      <c r="J522" s="3" t="str">
        <f ca="1">IF('IWP05'!ContractNumber = 0, "", IF('IWP05'!Std11dot2 = "", "E", 'IWP05'!Std11dot2))</f>
        <v/>
      </c>
    </row>
    <row r="523" spans="1:10" ht="16.5" thickTop="1" thickBot="1">
      <c r="A523" s="530"/>
      <c r="B523" s="531"/>
      <c r="C523" s="531"/>
      <c r="D523" s="531"/>
      <c r="E523" s="532"/>
      <c r="F523" s="106">
        <v>6</v>
      </c>
      <c r="G523" s="106">
        <v>7</v>
      </c>
      <c r="H523" s="106">
        <v>8</v>
      </c>
      <c r="I523" s="106">
        <v>9</v>
      </c>
      <c r="J523" s="106">
        <v>10</v>
      </c>
    </row>
    <row r="524" spans="1:10" ht="16.5" customHeight="1" thickTop="1" thickBot="1">
      <c r="A524" s="530"/>
      <c r="B524" s="531"/>
      <c r="C524" s="531"/>
      <c r="D524" s="531"/>
      <c r="E524" s="532"/>
      <c r="F524" s="3" t="str">
        <f ca="1">IF('IWP06'!ContractNumber = 0, "", IF('IWP06'!Std11dot2 = "", "E", 'IWP06'!Std11dot2))</f>
        <v/>
      </c>
      <c r="G524" s="3" t="str">
        <f ca="1">IF('IWP07'!ContractNumber = 0, "", IF('IWP07'!Std11dot2 = "", "E", 'IWP07'!Std11dot2))</f>
        <v/>
      </c>
      <c r="H524" s="3" t="str">
        <f ca="1">IF('IWP08'!ContractNumber = 0, "", IF('IWP08'!Std11dot2 = "", "E", 'IWP08'!Std11dot2))</f>
        <v/>
      </c>
      <c r="I524" s="3" t="str">
        <f ca="1">IF('IWP09'!ContractNumber = 0, "", IF('IWP09'!Std11dot2 = "", "E", 'IWP09'!Std11dot2))</f>
        <v/>
      </c>
      <c r="J524" s="3" t="str">
        <f ca="1">IF('IWP10'!ContractNumber = 0, "", IF('IWP10'!Std11dot2 = "", "E", 'IWP10'!Std11dot2))</f>
        <v/>
      </c>
    </row>
    <row r="525" spans="1:10" ht="16.5" thickTop="1" thickBot="1">
      <c r="A525" s="530"/>
      <c r="B525" s="531"/>
      <c r="C525" s="531"/>
      <c r="D525" s="531"/>
      <c r="E525" s="532"/>
      <c r="F525" s="106">
        <v>11</v>
      </c>
      <c r="G525" s="106">
        <v>12</v>
      </c>
      <c r="H525" s="106">
        <v>13</v>
      </c>
      <c r="I525" s="106">
        <v>14</v>
      </c>
      <c r="J525" s="106">
        <v>15</v>
      </c>
    </row>
    <row r="526" spans="1:10" ht="16.5" customHeight="1" thickTop="1" thickBot="1">
      <c r="A526" s="530"/>
      <c r="B526" s="531"/>
      <c r="C526" s="531"/>
      <c r="D526" s="531"/>
      <c r="E526" s="532"/>
      <c r="F526" s="3" t="str">
        <f ca="1">IF('IWP11'!ContractNumber = 0, "", IF('IWP11'!Std11dot2 = "", "E", 'IWP11'!Std11dot2))</f>
        <v/>
      </c>
      <c r="G526" s="3" t="str">
        <f ca="1">IF('IWP12'!ContractNumber = 0, "", IF('IWP12'!Std11dot2 = "", "E", 'IWP12'!Std11dot2))</f>
        <v/>
      </c>
      <c r="H526" s="3" t="str">
        <f ca="1">IF('IWP13'!ContractNumber = 0, "", IF('IWP13'!Std11dot2 = "", "E", 'IWP13'!Std11dot2))</f>
        <v/>
      </c>
      <c r="I526" s="3" t="str">
        <f ca="1">IF('IWP14'!ContractNumber = 0, "", IF('IWP14'!Std11dot2 = "", "E", 'IWP14'!Std11dot2))</f>
        <v/>
      </c>
      <c r="J526" s="3" t="str">
        <f ca="1">IF('IWP15'!ContractNumber = 0, "", IF('IWP15'!Std11dot2 = "", "E", 'IWP15'!Std11dot2))</f>
        <v/>
      </c>
    </row>
    <row r="527" spans="1:10" ht="16.5" thickTop="1" thickBot="1">
      <c r="A527" s="530"/>
      <c r="B527" s="531"/>
      <c r="C527" s="531"/>
      <c r="D527" s="531"/>
      <c r="E527" s="532"/>
      <c r="F527" s="106">
        <v>16</v>
      </c>
      <c r="G527" s="106">
        <v>17</v>
      </c>
      <c r="H527" s="106">
        <v>18</v>
      </c>
      <c r="I527" s="106">
        <v>19</v>
      </c>
      <c r="J527" s="106">
        <v>20</v>
      </c>
    </row>
    <row r="528" spans="1:10" ht="16.5" customHeight="1" thickTop="1" thickBot="1">
      <c r="A528" s="530"/>
      <c r="B528" s="531"/>
      <c r="C528" s="531"/>
      <c r="D528" s="531"/>
      <c r="E528" s="532"/>
      <c r="F528" s="3" t="str">
        <f ca="1">IF('IWP16'!ContractNumber = 0, "", IF('IWP16'!Std11dot2 = "", "E", 'IWP16'!Std11dot2))</f>
        <v/>
      </c>
      <c r="G528" s="3" t="str">
        <f ca="1">IF('IWP17'!ContractNumber = 0, "", IF('IWP17'!Std11dot2 = "", "E", 'IWP17'!Std11dot2))</f>
        <v/>
      </c>
      <c r="H528" s="3" t="str">
        <f ca="1">IF('IWP18'!ContractNumber = 0, "", IF('IWP18'!Std11dot2 = "", "E", 'IWP18'!Std11dot2))</f>
        <v/>
      </c>
      <c r="I528" s="3" t="str">
        <f ca="1">IF('IWP19'!ContractNumber = 0, "", IF('IWP19'!Std11dot2 = "", "E", 'IWP19'!Std11dot2))</f>
        <v/>
      </c>
      <c r="J528" s="3" t="str">
        <f ca="1">IF('IWP20'!ContractNumber = 0, "", IF('IWP20'!Std11dot2 = "", "E", 'IWP20'!Std11dot2))</f>
        <v/>
      </c>
    </row>
    <row r="529" spans="1:10" ht="16.5" thickTop="1" thickBot="1">
      <c r="A529" s="530"/>
      <c r="B529" s="531"/>
      <c r="C529" s="531"/>
      <c r="D529" s="531"/>
      <c r="E529" s="532"/>
      <c r="F529" s="106">
        <v>21</v>
      </c>
      <c r="G529" s="106">
        <v>22</v>
      </c>
      <c r="H529" s="106">
        <v>23</v>
      </c>
      <c r="I529" s="106">
        <v>24</v>
      </c>
      <c r="J529" s="106">
        <v>25</v>
      </c>
    </row>
    <row r="530" spans="1:10" ht="16.5" thickTop="1" thickBot="1">
      <c r="A530" s="558" t="s">
        <v>1649</v>
      </c>
      <c r="B530" s="559"/>
      <c r="C530" s="559"/>
      <c r="D530" s="559"/>
      <c r="E530" s="560"/>
      <c r="F530" s="3" t="str">
        <f ca="1">IF('IWP21'!ContractNumber = 0, "", IF('IWP21'!Std11dot2 = "", "E", 'IWP21'!Std11dot2))</f>
        <v/>
      </c>
      <c r="G530" s="3" t="str">
        <f ca="1">IF('IWP22'!ContractNumber = 0, "", IF('IWP22'!Std11dot2 = "", "E", 'IWP22'!Std11dot2))</f>
        <v/>
      </c>
      <c r="H530" s="3" t="str">
        <f ca="1">IF('IWP23'!ContractNumber = 0, "", IF('IWP23'!Std11dot2 = "", "E", 'IWP23'!Std11dot2))</f>
        <v/>
      </c>
      <c r="I530" s="3" t="str">
        <f ca="1">IF('IWP24'!ContractNumber = 0, "", IF('IWP24'!Std11dot2 = "", "E", 'IWP24'!Std11dot2))</f>
        <v/>
      </c>
      <c r="J530" s="3" t="str">
        <f ca="1">IF('IWP25'!ContractNumber = 0, "", IF('IWP25'!Std11dot2 = "", "E", 'IWP25'!Std11dot2))</f>
        <v/>
      </c>
    </row>
    <row r="531" spans="1:10" ht="16.5" customHeight="1" thickTop="1" thickBot="1">
      <c r="A531" s="558"/>
      <c r="B531" s="559"/>
      <c r="C531" s="559"/>
      <c r="D531" s="559"/>
      <c r="E531" s="560"/>
      <c r="F531" s="106">
        <v>26</v>
      </c>
      <c r="G531" s="106">
        <v>27</v>
      </c>
      <c r="H531" s="106">
        <v>28</v>
      </c>
      <c r="I531" s="106">
        <v>29</v>
      </c>
      <c r="J531" s="106">
        <v>30</v>
      </c>
    </row>
    <row r="532" spans="1:10" ht="16.5" thickTop="1" thickBot="1">
      <c r="A532" s="561"/>
      <c r="B532" s="562"/>
      <c r="C532" s="562"/>
      <c r="D532" s="562"/>
      <c r="E532" s="563"/>
      <c r="F532" s="3" t="str">
        <f ca="1">IF('IWP26'!ContractNumber = 0, "", IF('IWP26'!Std11dot2 = "", "E", 'IWP26'!Std11dot2))</f>
        <v/>
      </c>
      <c r="G532" s="3" t="str">
        <f ca="1">IF('IWP27'!ContractNumber = 0, "", IF('IWP27'!Std11dot2 = "", "E", 'IWP27'!Std11dot2))</f>
        <v/>
      </c>
      <c r="H532" s="3" t="str">
        <f ca="1">IF('IWP28'!ContractNumber = 0, "", IF('IWP28'!Std11dot2 = "", "E", 'IWP28'!Std11dot2))</f>
        <v/>
      </c>
      <c r="I532" s="3" t="str">
        <f ca="1">IF('IWP29'!ContractNumber = 0, "", IF('IWP29'!Std11dot2 = "", "E", 'IWP29'!Std11dot2))</f>
        <v/>
      </c>
      <c r="J532" s="3" t="str">
        <f ca="1">IF('IWP30'!ContractNumber = 0, "", IF('IWP30'!Std11dot2 = "", "E", 'IWP30'!Std11dot2))</f>
        <v/>
      </c>
    </row>
    <row r="533" spans="1:10" ht="16" thickTop="1">
      <c r="A533" s="645" t="s">
        <v>1578</v>
      </c>
      <c r="B533" s="646"/>
      <c r="C533" s="646"/>
      <c r="D533" s="646"/>
      <c r="E533" s="646"/>
      <c r="F533" s="647"/>
      <c r="G533" s="637" t="s">
        <v>19</v>
      </c>
      <c r="H533" s="638"/>
      <c r="I533" s="637" t="s">
        <v>20</v>
      </c>
      <c r="J533" s="638"/>
    </row>
    <row r="534" spans="1:10" ht="15.75" customHeight="1" thickBot="1">
      <c r="A534" s="648"/>
      <c r="B534" s="649"/>
      <c r="C534" s="649"/>
      <c r="D534" s="649"/>
      <c r="E534" s="649"/>
      <c r="F534" s="650"/>
      <c r="G534" s="654"/>
      <c r="H534" s="655"/>
      <c r="I534" s="654"/>
      <c r="J534" s="655"/>
    </row>
    <row r="535" spans="1:10" ht="16" thickTop="1">
      <c r="A535" s="639"/>
      <c r="B535" s="640"/>
      <c r="C535" s="640"/>
      <c r="D535" s="640"/>
      <c r="E535" s="640"/>
      <c r="F535" s="641"/>
      <c r="G535" s="659">
        <f ca="1">COUNTIF(F522:J532, "Y")</f>
        <v>0</v>
      </c>
      <c r="H535" s="660"/>
      <c r="I535" s="659">
        <f ca="1">COUNTIF(F522:J532, "N")</f>
        <v>0</v>
      </c>
      <c r="J535" s="660"/>
    </row>
    <row r="536" spans="1:10" ht="16.5" customHeight="1" thickBot="1">
      <c r="A536" s="642"/>
      <c r="B536" s="643"/>
      <c r="C536" s="643"/>
      <c r="D536" s="643"/>
      <c r="E536" s="643"/>
      <c r="F536" s="644"/>
      <c r="G536" s="661"/>
      <c r="H536" s="662"/>
      <c r="I536" s="661"/>
      <c r="J536" s="662"/>
    </row>
    <row r="537" spans="1:10" ht="16.5" thickTop="1" thickBot="1">
      <c r="A537" s="493" t="s">
        <v>1423</v>
      </c>
      <c r="B537" s="494"/>
      <c r="C537" s="494"/>
      <c r="D537" s="494"/>
      <c r="E537" s="495"/>
      <c r="F537" s="106">
        <v>1</v>
      </c>
      <c r="G537" s="106">
        <v>2</v>
      </c>
      <c r="H537" s="106">
        <v>3</v>
      </c>
      <c r="I537" s="106">
        <v>4</v>
      </c>
      <c r="J537" s="106">
        <v>5</v>
      </c>
    </row>
    <row r="538" spans="1:10" ht="16.5" customHeight="1" thickTop="1" thickBot="1">
      <c r="A538" s="496"/>
      <c r="B538" s="497"/>
      <c r="C538" s="497"/>
      <c r="D538" s="497"/>
      <c r="E538" s="498"/>
      <c r="F538" s="3" t="str">
        <f ca="1">IF('IWP01'!ContractNumber = 0, "", IF('IWP01'!Std11dot3 = "", "E", 'IWP01'!Std11dot3))</f>
        <v/>
      </c>
      <c r="G538" s="3" t="str">
        <f ca="1">IF('IWP02'!ContractNumber = 0, "", IF('IWP02'!Std11dot3 = "", "E", 'IWP02'!Std11dot3))</f>
        <v/>
      </c>
      <c r="H538" s="3" t="str">
        <f ca="1">IF('IWP03'!ContractNumber = 0, "", IF('IWP03'!Std11dot3 = "", "E", 'IWP03'!Std11dot3))</f>
        <v/>
      </c>
      <c r="I538" s="3" t="str">
        <f ca="1">IF('IWP04'!ContractNumber = 0, "", IF('IWP04'!Std11dot3 = "", "E", 'IWP04'!Std11dot3))</f>
        <v/>
      </c>
      <c r="J538" s="3" t="str">
        <f ca="1">IF('IWP05'!ContractNumber = 0, "", IF('IWP05'!Std11dot3 = "", "E", 'IWP05'!Std11dot3))</f>
        <v/>
      </c>
    </row>
    <row r="539" spans="1:10" ht="16.5" thickTop="1" thickBot="1">
      <c r="A539" s="496"/>
      <c r="B539" s="497"/>
      <c r="C539" s="497"/>
      <c r="D539" s="497"/>
      <c r="E539" s="498"/>
      <c r="F539" s="106">
        <v>6</v>
      </c>
      <c r="G539" s="106">
        <v>7</v>
      </c>
      <c r="H539" s="106">
        <v>8</v>
      </c>
      <c r="I539" s="106">
        <v>9</v>
      </c>
      <c r="J539" s="106">
        <v>10</v>
      </c>
    </row>
    <row r="540" spans="1:10" ht="16.5" thickTop="1" thickBot="1">
      <c r="A540" s="496"/>
      <c r="B540" s="497"/>
      <c r="C540" s="497"/>
      <c r="D540" s="497"/>
      <c r="E540" s="498"/>
      <c r="F540" s="3" t="str">
        <f ca="1">IF('IWP06'!ContractNumber = 0, "", IF('IWP06'!Std11dot3 = "", "E", 'IWP06'!Std11dot3))</f>
        <v/>
      </c>
      <c r="G540" s="3" t="str">
        <f ca="1">IF('IWP07'!ContractNumber = 0, "", IF('IWP07'!Std11dot3 = "", "E", 'IWP07'!Std11dot3))</f>
        <v/>
      </c>
      <c r="H540" s="3" t="str">
        <f ca="1">IF('IWP08'!ContractNumber = 0, "", IF('IWP08'!Std11dot3 = "", "E", 'IWP08'!Std11dot3))</f>
        <v/>
      </c>
      <c r="I540" s="3" t="str">
        <f ca="1">IF('IWP09'!ContractNumber = 0, "", IF('IWP09'!Std11dot3 = "", "E", 'IWP09'!Std11dot3))</f>
        <v/>
      </c>
      <c r="J540" s="3" t="str">
        <f ca="1">IF('IWP10'!ContractNumber = 0, "", IF('IWP10'!Std11dot3 = "", "E", 'IWP10'!Std11dot3))</f>
        <v/>
      </c>
    </row>
    <row r="541" spans="1:10" ht="16.5" thickTop="1" thickBot="1">
      <c r="A541" s="530" t="s">
        <v>1576</v>
      </c>
      <c r="B541" s="531"/>
      <c r="C541" s="531"/>
      <c r="D541" s="531"/>
      <c r="E541" s="532"/>
      <c r="F541" s="106">
        <v>11</v>
      </c>
      <c r="G541" s="106">
        <v>12</v>
      </c>
      <c r="H541" s="106">
        <v>13</v>
      </c>
      <c r="I541" s="106">
        <v>14</v>
      </c>
      <c r="J541" s="106">
        <v>15</v>
      </c>
    </row>
    <row r="542" spans="1:10" ht="16.5" thickTop="1" thickBot="1">
      <c r="A542" s="530"/>
      <c r="B542" s="531"/>
      <c r="C542" s="531"/>
      <c r="D542" s="531"/>
      <c r="E542" s="532"/>
      <c r="F542" s="3" t="str">
        <f ca="1">IF('IWP11'!ContractNumber = 0, "", IF('IWP11'!Std11dot3 = "", "E", 'IWP11'!Std11dot3))</f>
        <v/>
      </c>
      <c r="G542" s="3" t="str">
        <f ca="1">IF('IWP12'!ContractNumber = 0, "", IF('IWP12'!Std11dot3 = "", "E", 'IWP12'!Std11dot3))</f>
        <v/>
      </c>
      <c r="H542" s="3" t="str">
        <f ca="1">IF('IWP13'!ContractNumber = 0, "", IF('IWP13'!Std11dot3 = "", "E", 'IWP13'!Std11dot3))</f>
        <v/>
      </c>
      <c r="I542" s="3" t="str">
        <f ca="1">IF('IWP14'!ContractNumber = 0, "", IF('IWP14'!Std11dot3 = "", "E", 'IWP14'!Std11dot3))</f>
        <v/>
      </c>
      <c r="J542" s="3" t="str">
        <f ca="1">IF('IWP15'!ContractNumber = 0, "", IF('IWP15'!Std11dot3 = "", "E", 'IWP15'!Std11dot3))</f>
        <v/>
      </c>
    </row>
    <row r="543" spans="1:10" ht="16.5" customHeight="1" thickTop="1" thickBot="1">
      <c r="A543" s="530"/>
      <c r="B543" s="531"/>
      <c r="C543" s="531"/>
      <c r="D543" s="531"/>
      <c r="E543" s="532"/>
      <c r="F543" s="106">
        <v>16</v>
      </c>
      <c r="G543" s="106">
        <v>17</v>
      </c>
      <c r="H543" s="106">
        <v>18</v>
      </c>
      <c r="I543" s="106">
        <v>19</v>
      </c>
      <c r="J543" s="106">
        <v>20</v>
      </c>
    </row>
    <row r="544" spans="1:10" ht="16.5" thickTop="1" thickBot="1">
      <c r="A544" s="558" t="s">
        <v>205</v>
      </c>
      <c r="B544" s="559"/>
      <c r="C544" s="559"/>
      <c r="D544" s="559"/>
      <c r="E544" s="560"/>
      <c r="F544" s="3" t="str">
        <f ca="1">IF('IWP16'!ContractNumber = 0, "", IF('IWP16'!Std11dot3 = "", "E", 'IWP16'!Std11dot3))</f>
        <v/>
      </c>
      <c r="G544" s="3" t="str">
        <f ca="1">IF('IWP17'!ContractNumber = 0, "", IF('IWP17'!Std11dot3 = "", "E", 'IWP17'!Std11dot3))</f>
        <v/>
      </c>
      <c r="H544" s="3" t="str">
        <f ca="1">IF('IWP18'!ContractNumber = 0, "", IF('IWP18'!Std11dot3 = "", "E", 'IWP18'!Std11dot3))</f>
        <v/>
      </c>
      <c r="I544" s="3" t="str">
        <f ca="1">IF('IWP19'!ContractNumber = 0, "", IF('IWP19'!Std11dot3 = "", "E", 'IWP19'!Std11dot3))</f>
        <v/>
      </c>
      <c r="J544" s="3" t="str">
        <f ca="1">IF('IWP20'!ContractNumber = 0, "", IF('IWP20'!Std11dot3 = "", "E", 'IWP20'!Std11dot3))</f>
        <v/>
      </c>
    </row>
    <row r="545" spans="1:10" ht="16.5" thickTop="1" thickBot="1">
      <c r="A545" s="558"/>
      <c r="B545" s="559"/>
      <c r="C545" s="559"/>
      <c r="D545" s="559"/>
      <c r="E545" s="560"/>
      <c r="F545" s="106">
        <v>21</v>
      </c>
      <c r="G545" s="106">
        <v>22</v>
      </c>
      <c r="H545" s="106">
        <v>23</v>
      </c>
      <c r="I545" s="106">
        <v>24</v>
      </c>
      <c r="J545" s="106">
        <v>25</v>
      </c>
    </row>
    <row r="546" spans="1:10" ht="17.25" customHeight="1" thickTop="1" thickBot="1">
      <c r="A546" s="558"/>
      <c r="B546" s="559"/>
      <c r="C546" s="559"/>
      <c r="D546" s="559"/>
      <c r="E546" s="560"/>
      <c r="F546" s="3" t="str">
        <f ca="1">IF('IWP21'!ContractNumber = 0, "", IF('IWP21'!Std11dot3 = "", "E", 'IWP21'!Std11dot3))</f>
        <v/>
      </c>
      <c r="G546" s="3" t="str">
        <f ca="1">IF('IWP22'!ContractNumber = 0, "", IF('IWP22'!Std11dot3 = "", "E", 'IWP22'!Std11dot3))</f>
        <v/>
      </c>
      <c r="H546" s="3" t="str">
        <f ca="1">IF('IWP23'!ContractNumber = 0, "", IF('IWP23'!Std11dot3 = "", "E", 'IWP23'!Std11dot3))</f>
        <v/>
      </c>
      <c r="I546" s="3" t="str">
        <f ca="1">IF('IWP24'!ContractNumber = 0, "", IF('IWP24'!Std11dot3 = "", "E", 'IWP24'!Std11dot3))</f>
        <v/>
      </c>
      <c r="J546" s="3" t="str">
        <f ca="1">IF('IWP25'!ContractNumber = 0, "", IF('IWP25'!Std11dot3 = "", "E", 'IWP25'!Std11dot3))</f>
        <v/>
      </c>
    </row>
    <row r="547" spans="1:10" ht="17.25" customHeight="1" thickTop="1" thickBot="1">
      <c r="A547" s="558"/>
      <c r="B547" s="559"/>
      <c r="C547" s="559"/>
      <c r="D547" s="559"/>
      <c r="E547" s="560"/>
      <c r="F547" s="106">
        <v>26</v>
      </c>
      <c r="G547" s="106">
        <v>27</v>
      </c>
      <c r="H547" s="106">
        <v>28</v>
      </c>
      <c r="I547" s="106">
        <v>29</v>
      </c>
      <c r="J547" s="106">
        <v>30</v>
      </c>
    </row>
    <row r="548" spans="1:10" ht="17.25" customHeight="1" thickTop="1" thickBot="1">
      <c r="A548" s="561"/>
      <c r="B548" s="562"/>
      <c r="C548" s="562"/>
      <c r="D548" s="562"/>
      <c r="E548" s="563"/>
      <c r="F548" s="3" t="str">
        <f ca="1">IF('IWP26'!ContractNumber = 0, "", IF('IWP26'!Std11dot3 = "", "E", 'IWP26'!Std11dot3))</f>
        <v/>
      </c>
      <c r="G548" s="3" t="str">
        <f ca="1">IF('IWP27'!ContractNumber = 0, "", IF('IWP27'!Std11dot3 = "", "E", 'IWP27'!Std11dot3))</f>
        <v/>
      </c>
      <c r="H548" s="3" t="str">
        <f ca="1">IF('IWP28'!ContractNumber = 0, "", IF('IWP28'!Std11dot3 = "", "E", 'IWP28'!Std11dot3))</f>
        <v/>
      </c>
      <c r="I548" s="3" t="str">
        <f ca="1">IF('IWP29'!ContractNumber = 0, "", IF('IWP29'!Std11dot3 = "", "E", 'IWP29'!Std11dot3))</f>
        <v/>
      </c>
      <c r="J548" s="3" t="str">
        <f ca="1">IF('IWP30'!ContractNumber = 0, "", IF('IWP30'!Std11dot3 = "", "E", 'IWP30'!Std11dot3))</f>
        <v/>
      </c>
    </row>
    <row r="549" spans="1:10" ht="17.25" customHeight="1" thickTop="1" thickBot="1">
      <c r="A549" s="491" t="s">
        <v>16</v>
      </c>
      <c r="B549" s="564"/>
      <c r="C549" s="564"/>
      <c r="D549" s="564"/>
      <c r="E549" s="564"/>
      <c r="F549" s="565"/>
      <c r="G549" s="487" t="s">
        <v>19</v>
      </c>
      <c r="H549" s="488"/>
      <c r="I549" s="487" t="s">
        <v>20</v>
      </c>
      <c r="J549" s="488"/>
    </row>
    <row r="550" spans="1:10" ht="16.5" customHeight="1" thickTop="1" thickBot="1">
      <c r="A550" s="492"/>
      <c r="B550" s="566"/>
      <c r="C550" s="566"/>
      <c r="D550" s="566"/>
      <c r="E550" s="566"/>
      <c r="F550" s="567"/>
      <c r="G550" s="487">
        <f ca="1">COUNTIF(F538:J548, "Y")</f>
        <v>0</v>
      </c>
      <c r="H550" s="488"/>
      <c r="I550" s="487">
        <f ca="1">COUNTIF(F538:J548, "N")</f>
        <v>0</v>
      </c>
      <c r="J550" s="488"/>
    </row>
    <row r="551" spans="1:10" ht="16.5" thickTop="1" thickBot="1">
      <c r="A551" s="493" t="s">
        <v>1382</v>
      </c>
      <c r="B551" s="494"/>
      <c r="C551" s="494"/>
      <c r="D551" s="494"/>
      <c r="E551" s="495"/>
      <c r="F551" s="106">
        <v>1</v>
      </c>
      <c r="G551" s="106">
        <v>2</v>
      </c>
      <c r="H551" s="106">
        <v>3</v>
      </c>
      <c r="I551" s="106">
        <v>4</v>
      </c>
      <c r="J551" s="106">
        <v>5</v>
      </c>
    </row>
    <row r="552" spans="1:10" ht="16.5" customHeight="1" thickTop="1" thickBot="1">
      <c r="A552" s="496"/>
      <c r="B552" s="497"/>
      <c r="C552" s="497"/>
      <c r="D552" s="497"/>
      <c r="E552" s="498"/>
      <c r="F552" s="3" t="str">
        <f ca="1">IF('IWP01'!ContractNumber = 0, "", IF('IWP01'!Std11dot4 = "", "E", 'IWP01'!Std11dot4))</f>
        <v/>
      </c>
      <c r="G552" s="3" t="str">
        <f ca="1">IF('IWP02'!ContractNumber = 0, "", IF('IWP02'!Std11dot4 = "", "E", 'IWP02'!Std11dot4))</f>
        <v/>
      </c>
      <c r="H552" s="3" t="str">
        <f ca="1">IF('IWP03'!ContractNumber = 0, "", IF('IWP03'!Std11dot4 = "", "E", 'IWP03'!Std11dot4))</f>
        <v/>
      </c>
      <c r="I552" s="3" t="str">
        <f ca="1">IF('IWP04'!ContractNumber = 0, "", IF('IWP04'!Std11dot4 = "", "E", 'IWP04'!Std11dot4))</f>
        <v/>
      </c>
      <c r="J552" s="3" t="str">
        <f ca="1">IF('IWP05'!ContractNumber = 0, "", IF('IWP05'!Std11dot4 = "", "E", 'IWP05'!Std11dot4))</f>
        <v/>
      </c>
    </row>
    <row r="553" spans="1:10" ht="16.5" thickTop="1" thickBot="1">
      <c r="A553" s="496"/>
      <c r="B553" s="497"/>
      <c r="C553" s="497"/>
      <c r="D553" s="497"/>
      <c r="E553" s="498"/>
      <c r="F553" s="106">
        <v>6</v>
      </c>
      <c r="G553" s="106">
        <v>7</v>
      </c>
      <c r="H553" s="106">
        <v>8</v>
      </c>
      <c r="I553" s="106">
        <v>9</v>
      </c>
      <c r="J553" s="106">
        <v>10</v>
      </c>
    </row>
    <row r="554" spans="1:10" ht="16.5" thickTop="1" thickBot="1">
      <c r="A554" s="496"/>
      <c r="B554" s="497"/>
      <c r="C554" s="497"/>
      <c r="D554" s="497"/>
      <c r="E554" s="498"/>
      <c r="F554" s="3" t="str">
        <f ca="1">IF('IWP06'!ContractNumber = 0, "", IF('IWP06'!Std11dot4 = "", "E", 'IWP06'!Std11dot4))</f>
        <v/>
      </c>
      <c r="G554" s="3" t="str">
        <f ca="1">IF('IWP07'!ContractNumber = 0, "", IF('IWP07'!Std11dot4 = "", "E", 'IWP07'!Std11dot4))</f>
        <v/>
      </c>
      <c r="H554" s="3" t="str">
        <f ca="1">IF('IWP08'!ContractNumber = 0, "", IF('IWP08'!Std11dot4 = "", "E", 'IWP08'!Std11dot4))</f>
        <v/>
      </c>
      <c r="I554" s="3" t="str">
        <f ca="1">IF('IWP09'!ContractNumber = 0, "", IF('IWP09'!Std11dot4 = "", "E", 'IWP09'!Std11dot4))</f>
        <v/>
      </c>
      <c r="J554" s="3" t="str">
        <f ca="1">IF('IWP10'!ContractNumber = 0, "", IF('IWP10'!Std11dot4 = "", "E", 'IWP10'!Std11dot4))</f>
        <v/>
      </c>
    </row>
    <row r="555" spans="1:10" ht="16.5" thickTop="1" thickBot="1">
      <c r="A555" s="496"/>
      <c r="B555" s="497"/>
      <c r="C555" s="497"/>
      <c r="D555" s="497"/>
      <c r="E555" s="498"/>
      <c r="F555" s="106">
        <v>11</v>
      </c>
      <c r="G555" s="106">
        <v>12</v>
      </c>
      <c r="H555" s="106">
        <v>13</v>
      </c>
      <c r="I555" s="106">
        <v>14</v>
      </c>
      <c r="J555" s="106">
        <v>15</v>
      </c>
    </row>
    <row r="556" spans="1:10" ht="16.5" customHeight="1" thickTop="1" thickBot="1">
      <c r="A556" s="530" t="s">
        <v>1579</v>
      </c>
      <c r="B556" s="531"/>
      <c r="C556" s="531"/>
      <c r="D556" s="531"/>
      <c r="E556" s="532"/>
      <c r="F556" s="3" t="str">
        <f ca="1">IF('IWP11'!ContractNumber = 0, "", IF('IWP11'!Std11dot4 = "", "E", 'IWP11'!Std11dot4))</f>
        <v/>
      </c>
      <c r="G556" s="3" t="str">
        <f ca="1">IF('IWP12'!ContractNumber = 0, "", IF('IWP12'!Std11dot4 = "", "E", 'IWP12'!Std11dot4))</f>
        <v/>
      </c>
      <c r="H556" s="3" t="str">
        <f ca="1">IF('IWP13'!ContractNumber = 0, "", IF('IWP13'!Std11dot4 = "", "E", 'IWP13'!Std11dot4))</f>
        <v/>
      </c>
      <c r="I556" s="3" t="str">
        <f ca="1">IF('IWP14'!ContractNumber = 0, "", IF('IWP14'!Std11dot4 = "", "E", 'IWP14'!Std11dot4))</f>
        <v/>
      </c>
      <c r="J556" s="3" t="str">
        <f ca="1">IF('IWP15'!ContractNumber = 0, "", IF('IWP15'!Std11dot4 = "", "E", 'IWP15'!Std11dot4))</f>
        <v/>
      </c>
    </row>
    <row r="557" spans="1:10" ht="16.5" thickTop="1" thickBot="1">
      <c r="A557" s="530"/>
      <c r="B557" s="531"/>
      <c r="C557" s="531"/>
      <c r="D557" s="531"/>
      <c r="E557" s="532"/>
      <c r="F557" s="106">
        <v>16</v>
      </c>
      <c r="G557" s="106">
        <v>17</v>
      </c>
      <c r="H557" s="106">
        <v>18</v>
      </c>
      <c r="I557" s="106">
        <v>19</v>
      </c>
      <c r="J557" s="106">
        <v>20</v>
      </c>
    </row>
    <row r="558" spans="1:10" ht="16.5" thickTop="1" thickBot="1">
      <c r="A558" s="530"/>
      <c r="B558" s="531"/>
      <c r="C558" s="531"/>
      <c r="D558" s="531"/>
      <c r="E558" s="532"/>
      <c r="F558" s="3" t="str">
        <f ca="1">IF('IWP16'!ContractNumber = 0, "", IF('IWP16'!Std11dot4 = "", "E", 'IWP16'!Std11dot4))</f>
        <v/>
      </c>
      <c r="G558" s="3" t="str">
        <f ca="1">IF('IWP17'!ContractNumber = 0, "", IF('IWP17'!Std11dot4 = "", "E", 'IWP17'!Std11dot4))</f>
        <v/>
      </c>
      <c r="H558" s="3" t="str">
        <f ca="1">IF('IWP18'!ContractNumber = 0, "", IF('IWP18'!Std11dot4 = "", "E", 'IWP18'!Std11dot4))</f>
        <v/>
      </c>
      <c r="I558" s="3" t="str">
        <f ca="1">IF('IWP19'!ContractNumber = 0, "", IF('IWP19'!Std11dot4 = "", "E", 'IWP19'!Std11dot4))</f>
        <v/>
      </c>
      <c r="J558" s="3" t="str">
        <f ca="1">IF('IWP20'!ContractNumber = 0, "", IF('IWP20'!Std11dot4 = "", "E", 'IWP20'!Std11dot4))</f>
        <v/>
      </c>
    </row>
    <row r="559" spans="1:10" ht="16.5" customHeight="1" thickTop="1" thickBot="1">
      <c r="A559" s="558" t="s">
        <v>206</v>
      </c>
      <c r="B559" s="559"/>
      <c r="C559" s="559"/>
      <c r="D559" s="559"/>
      <c r="E559" s="560"/>
      <c r="F559" s="106">
        <v>21</v>
      </c>
      <c r="G559" s="106">
        <v>22</v>
      </c>
      <c r="H559" s="106">
        <v>23</v>
      </c>
      <c r="I559" s="106">
        <v>24</v>
      </c>
      <c r="J559" s="106">
        <v>25</v>
      </c>
    </row>
    <row r="560" spans="1:10" ht="16.5" thickTop="1" thickBot="1">
      <c r="A560" s="558"/>
      <c r="B560" s="559"/>
      <c r="C560" s="559"/>
      <c r="D560" s="559"/>
      <c r="E560" s="560"/>
      <c r="F560" s="3" t="str">
        <f ca="1">IF('IWP21'!ContractNumber = 0, "", IF('IWP21'!Std11dot4 = "", "E", 'IWP21'!Std11dot4))</f>
        <v/>
      </c>
      <c r="G560" s="3" t="str">
        <f ca="1">IF('IWP22'!ContractNumber = 0, "", IF('IWP22'!Std11dot4 = "", "E", 'IWP22'!Std11dot4))</f>
        <v/>
      </c>
      <c r="H560" s="3" t="str">
        <f ca="1">IF('IWP23'!ContractNumber = 0, "", IF('IWP23'!Std11dot4 = "", "E", 'IWP23'!Std11dot4))</f>
        <v/>
      </c>
      <c r="I560" s="3" t="str">
        <f ca="1">IF('IWP24'!ContractNumber = 0, "", IF('IWP24'!Std11dot4 = "", "E", 'IWP24'!Std11dot4))</f>
        <v/>
      </c>
      <c r="J560" s="3" t="str">
        <f ca="1">IF('IWP25'!ContractNumber = 0, "", IF('IWP25'!Std11dot4 = "", "E", 'IWP25'!Std11dot4))</f>
        <v/>
      </c>
    </row>
    <row r="561" spans="1:10" ht="16.5" thickTop="1" thickBot="1">
      <c r="A561" s="558"/>
      <c r="B561" s="559"/>
      <c r="C561" s="559"/>
      <c r="D561" s="559"/>
      <c r="E561" s="560"/>
      <c r="F561" s="106">
        <v>26</v>
      </c>
      <c r="G561" s="106">
        <v>27</v>
      </c>
      <c r="H561" s="106">
        <v>28</v>
      </c>
      <c r="I561" s="106">
        <v>29</v>
      </c>
      <c r="J561" s="106">
        <v>30</v>
      </c>
    </row>
    <row r="562" spans="1:10" ht="16.5" thickTop="1" thickBot="1">
      <c r="A562" s="561"/>
      <c r="B562" s="562"/>
      <c r="C562" s="562"/>
      <c r="D562" s="562"/>
      <c r="E562" s="563"/>
      <c r="F562" s="3" t="str">
        <f ca="1">IF('IWP26'!ContractNumber = 0, "", IF('IWP26'!Std11dot4 = "", "E", 'IWP26'!Std11dot4))</f>
        <v/>
      </c>
      <c r="G562" s="3" t="str">
        <f ca="1">IF('IWP27'!ContractNumber = 0, "", IF('IWP27'!Std11dot4 = "", "E", 'IWP27'!Std11dot4))</f>
        <v/>
      </c>
      <c r="H562" s="3" t="str">
        <f ca="1">IF('IWP28'!ContractNumber = 0, "", IF('IWP28'!Std11dot4 = "", "E", 'IWP28'!Std11dot4))</f>
        <v/>
      </c>
      <c r="I562" s="3" t="str">
        <f ca="1">IF('IWP29'!ContractNumber = 0, "", IF('IWP29'!Std11dot4 = "", "E", 'IWP29'!Std11dot4))</f>
        <v/>
      </c>
      <c r="J562" s="3" t="str">
        <f ca="1">IF('IWP30'!ContractNumber = 0, "", IF('IWP30'!Std11dot4 = "", "E", 'IWP30'!Std11dot4))</f>
        <v/>
      </c>
    </row>
    <row r="563" spans="1:10" ht="16.5" thickTop="1" thickBot="1">
      <c r="A563" s="491" t="s">
        <v>16</v>
      </c>
      <c r="B563" s="564"/>
      <c r="C563" s="564"/>
      <c r="D563" s="564"/>
      <c r="E563" s="564"/>
      <c r="F563" s="565"/>
      <c r="G563" s="487" t="s">
        <v>19</v>
      </c>
      <c r="H563" s="488"/>
      <c r="I563" s="487" t="s">
        <v>20</v>
      </c>
      <c r="J563" s="488"/>
    </row>
    <row r="564" spans="1:10" ht="16.5" customHeight="1" thickTop="1" thickBot="1">
      <c r="A564" s="492"/>
      <c r="B564" s="566"/>
      <c r="C564" s="566"/>
      <c r="D564" s="566"/>
      <c r="E564" s="566"/>
      <c r="F564" s="567"/>
      <c r="G564" s="487">
        <f ca="1">COUNTIF(F552:J562, "Y")</f>
        <v>0</v>
      </c>
      <c r="H564" s="488"/>
      <c r="I564" s="487">
        <f ca="1">COUNTIF(F552:J562, "N")</f>
        <v>0</v>
      </c>
      <c r="J564" s="488"/>
    </row>
    <row r="565" spans="1:10" ht="16.5" thickTop="1" thickBot="1">
      <c r="A565" s="493" t="s">
        <v>1383</v>
      </c>
      <c r="B565" s="494"/>
      <c r="C565" s="494"/>
      <c r="D565" s="494"/>
      <c r="E565" s="495"/>
      <c r="F565" s="106">
        <v>1</v>
      </c>
      <c r="G565" s="106">
        <v>2</v>
      </c>
      <c r="H565" s="106">
        <v>3</v>
      </c>
      <c r="I565" s="106">
        <v>4</v>
      </c>
      <c r="J565" s="106">
        <v>5</v>
      </c>
    </row>
    <row r="566" spans="1:10" ht="16.5" customHeight="1" thickTop="1" thickBot="1">
      <c r="A566" s="496"/>
      <c r="B566" s="497"/>
      <c r="C566" s="497"/>
      <c r="D566" s="497"/>
      <c r="E566" s="498"/>
      <c r="F566" s="3" t="str">
        <f ca="1">IF('IWP01'!ContractNumber = 0, "", IF('IWP01'!Std11dot5 = "", "E", 'IWP01'!Std11dot5))</f>
        <v/>
      </c>
      <c r="G566" s="3" t="str">
        <f ca="1">IF('IWP02'!ContractNumber = 0, "", IF('IWP02'!Std11dot5 = "", "E", 'IWP02'!Std11dot5))</f>
        <v/>
      </c>
      <c r="H566" s="3" t="str">
        <f ca="1">IF('IWP03'!ContractNumber = 0, "", IF('IWP03'!Std11dot5 = "", "E", 'IWP03'!Std11dot5))</f>
        <v/>
      </c>
      <c r="I566" s="3" t="str">
        <f ca="1">IF('IWP04'!ContractNumber = 0, "", IF('IWP04'!Std11dot5 = "", "E", 'IWP04'!Std11dot5))</f>
        <v/>
      </c>
      <c r="J566" s="3" t="str">
        <f ca="1">IF('IWP05'!ContractNumber = 0, "", IF('IWP05'!Std11dot5 = "", "E", 'IWP05'!Std11dot5))</f>
        <v/>
      </c>
    </row>
    <row r="567" spans="1:10" ht="16.5" customHeight="1" thickTop="1" thickBot="1">
      <c r="A567" s="496"/>
      <c r="B567" s="497"/>
      <c r="C567" s="497"/>
      <c r="D567" s="497"/>
      <c r="E567" s="498"/>
      <c r="F567" s="106">
        <v>6</v>
      </c>
      <c r="G567" s="106">
        <v>7</v>
      </c>
      <c r="H567" s="106">
        <v>8</v>
      </c>
      <c r="I567" s="106">
        <v>9</v>
      </c>
      <c r="J567" s="106">
        <v>10</v>
      </c>
    </row>
    <row r="568" spans="1:10" ht="16.5" thickTop="1" thickBot="1">
      <c r="A568" s="496"/>
      <c r="B568" s="497"/>
      <c r="C568" s="497"/>
      <c r="D568" s="497"/>
      <c r="E568" s="498"/>
      <c r="F568" s="3" t="str">
        <f ca="1">IF('IWP06'!ContractNumber = 0, "", IF('IWP06'!Std11dot5 = "", "E", 'IWP06'!Std11dot5))</f>
        <v/>
      </c>
      <c r="G568" s="3" t="str">
        <f ca="1">IF('IWP07'!ContractNumber = 0, "", IF('IWP07'!Std11dot5 = "", "E", 'IWP07'!Std11dot5))</f>
        <v/>
      </c>
      <c r="H568" s="3" t="str">
        <f ca="1">IF('IWP08'!ContractNumber = 0, "", IF('IWP08'!Std11dot5 = "", "E", 'IWP08'!Std11dot5))</f>
        <v/>
      </c>
      <c r="I568" s="3" t="str">
        <f ca="1">IF('IWP09'!ContractNumber = 0, "", IF('IWP09'!Std11dot5 = "", "E", 'IWP09'!Std11dot5))</f>
        <v/>
      </c>
      <c r="J568" s="3" t="str">
        <f ca="1">IF('IWP10'!ContractNumber = 0, "", IF('IWP10'!Std11dot5 = "", "E", 'IWP10'!Std11dot5))</f>
        <v/>
      </c>
    </row>
    <row r="569" spans="1:10" ht="16.5" thickTop="1" thickBot="1">
      <c r="A569" s="530" t="s">
        <v>1576</v>
      </c>
      <c r="B569" s="531"/>
      <c r="C569" s="531"/>
      <c r="D569" s="531"/>
      <c r="E569" s="532"/>
      <c r="F569" s="106">
        <v>11</v>
      </c>
      <c r="G569" s="106">
        <v>12</v>
      </c>
      <c r="H569" s="106">
        <v>13</v>
      </c>
      <c r="I569" s="106">
        <v>14</v>
      </c>
      <c r="J569" s="106">
        <v>15</v>
      </c>
    </row>
    <row r="570" spans="1:10" ht="16.5" thickTop="1" thickBot="1">
      <c r="A570" s="530"/>
      <c r="B570" s="531"/>
      <c r="C570" s="531"/>
      <c r="D570" s="531"/>
      <c r="E570" s="532"/>
      <c r="F570" s="3" t="str">
        <f ca="1">IF('IWP11'!ContractNumber = 0, "", IF('IWP11'!Std11dot5 = "", "E", 'IWP11'!Std11dot5))</f>
        <v/>
      </c>
      <c r="G570" s="3" t="str">
        <f ca="1">IF('IWP12'!ContractNumber = 0, "", IF('IWP12'!Std11dot5 = "", "E", 'IWP12'!Std11dot5))</f>
        <v/>
      </c>
      <c r="H570" s="3" t="str">
        <f ca="1">IF('IWP13'!ContractNumber = 0, "", IF('IWP13'!Std11dot5 = "", "E", 'IWP13'!Std11dot5))</f>
        <v/>
      </c>
      <c r="I570" s="3" t="str">
        <f ca="1">IF('IWP14'!ContractNumber = 0, "", IF('IWP14'!Std11dot5 = "", "E", 'IWP14'!Std11dot5))</f>
        <v/>
      </c>
      <c r="J570" s="3" t="str">
        <f ca="1">IF('IWP15'!ContractNumber = 0, "", IF('IWP15'!Std11dot5 = "", "E", 'IWP15'!Std11dot5))</f>
        <v/>
      </c>
    </row>
    <row r="571" spans="1:10" ht="16.5" thickTop="1" thickBot="1">
      <c r="A571" s="530"/>
      <c r="B571" s="531"/>
      <c r="C571" s="531"/>
      <c r="D571" s="531"/>
      <c r="E571" s="532"/>
      <c r="F571" s="106">
        <v>16</v>
      </c>
      <c r="G571" s="106">
        <v>17</v>
      </c>
      <c r="H571" s="106">
        <v>18</v>
      </c>
      <c r="I571" s="106">
        <v>19</v>
      </c>
      <c r="J571" s="106">
        <v>20</v>
      </c>
    </row>
    <row r="572" spans="1:10" ht="16.5" thickTop="1" thickBot="1">
      <c r="A572" s="558" t="s">
        <v>1373</v>
      </c>
      <c r="B572" s="559"/>
      <c r="C572" s="559"/>
      <c r="D572" s="559"/>
      <c r="E572" s="560"/>
      <c r="F572" s="3" t="str">
        <f ca="1">IF('IWP16'!ContractNumber = 0, "", IF('IWP16'!Std11dot5 = "", "E", 'IWP16'!Std11dot5))</f>
        <v/>
      </c>
      <c r="G572" s="3" t="str">
        <f ca="1">IF('IWP17'!ContractNumber = 0, "", IF('IWP17'!Std11dot5 = "", "E", 'IWP17'!Std11dot5))</f>
        <v/>
      </c>
      <c r="H572" s="3" t="str">
        <f ca="1">IF('IWP18'!ContractNumber = 0, "", IF('IWP18'!Std11dot5 = "", "E", 'IWP18'!Std11dot5))</f>
        <v/>
      </c>
      <c r="I572" s="3" t="str">
        <f ca="1">IF('IWP19'!ContractNumber = 0, "", IF('IWP19'!Std11dot5 = "", "E", 'IWP19'!Std11dot5))</f>
        <v/>
      </c>
      <c r="J572" s="3" t="str">
        <f ca="1">IF('IWP20'!ContractNumber = 0, "", IF('IWP20'!Std11dot5 = "", "E", 'IWP20'!Std11dot5))</f>
        <v/>
      </c>
    </row>
    <row r="573" spans="1:10" ht="16.5" thickTop="1" thickBot="1">
      <c r="A573" s="558"/>
      <c r="B573" s="559"/>
      <c r="C573" s="559"/>
      <c r="D573" s="559"/>
      <c r="E573" s="560"/>
      <c r="F573" s="106">
        <v>21</v>
      </c>
      <c r="G573" s="106">
        <v>22</v>
      </c>
      <c r="H573" s="106">
        <v>23</v>
      </c>
      <c r="I573" s="106">
        <v>24</v>
      </c>
      <c r="J573" s="106">
        <v>25</v>
      </c>
    </row>
    <row r="574" spans="1:10" ht="16.5" thickTop="1" thickBot="1">
      <c r="A574" s="558"/>
      <c r="B574" s="559"/>
      <c r="C574" s="559"/>
      <c r="D574" s="559"/>
      <c r="E574" s="560"/>
      <c r="F574" s="3" t="str">
        <f ca="1">IF('IWP21'!ContractNumber = 0, "", IF('IWP21'!Std11dot5 = "", "E", 'IWP21'!Std11dot5))</f>
        <v/>
      </c>
      <c r="G574" s="3" t="str">
        <f ca="1">IF('IWP22'!ContractNumber = 0, "", IF('IWP22'!Std11dot5 = "", "E", 'IWP22'!Std11dot5))</f>
        <v/>
      </c>
      <c r="H574" s="3" t="str">
        <f ca="1">IF('IWP23'!ContractNumber = 0, "", IF('IWP23'!Std11dot5 = "", "E", 'IWP23'!Std11dot5))</f>
        <v/>
      </c>
      <c r="I574" s="3" t="str">
        <f ca="1">IF('IWP24'!ContractNumber = 0, "", IF('IWP24'!Std11dot5 = "", "E", 'IWP24'!Std11dot5))</f>
        <v/>
      </c>
      <c r="J574" s="3" t="str">
        <f ca="1">IF('IWP25'!ContractNumber = 0, "", IF('IWP25'!Std11dot5 = "", "E", 'IWP25'!Std11dot5))</f>
        <v/>
      </c>
    </row>
    <row r="575" spans="1:10" ht="16.5" thickTop="1" thickBot="1">
      <c r="A575" s="558"/>
      <c r="B575" s="559"/>
      <c r="C575" s="559"/>
      <c r="D575" s="559"/>
      <c r="E575" s="560"/>
      <c r="F575" s="106">
        <v>26</v>
      </c>
      <c r="G575" s="106">
        <v>27</v>
      </c>
      <c r="H575" s="106">
        <v>28</v>
      </c>
      <c r="I575" s="106">
        <v>29</v>
      </c>
      <c r="J575" s="106">
        <v>30</v>
      </c>
    </row>
    <row r="576" spans="1:10" ht="16.5" thickTop="1" thickBot="1">
      <c r="A576" s="561"/>
      <c r="B576" s="562"/>
      <c r="C576" s="562"/>
      <c r="D576" s="562"/>
      <c r="E576" s="563"/>
      <c r="F576" s="3" t="str">
        <f ca="1">IF('IWP26'!ContractNumber = 0, "", IF('IWP26'!Std11dot5 = "", "E", 'IWP26'!Std11dot5))</f>
        <v/>
      </c>
      <c r="G576" s="3" t="str">
        <f ca="1">IF('IWP27'!ContractNumber = 0, "", IF('IWP27'!Std11dot5 = "", "E", 'IWP27'!Std11dot5))</f>
        <v/>
      </c>
      <c r="H576" s="3" t="str">
        <f ca="1">IF('IWP28'!ContractNumber = 0, "", IF('IWP28'!Std11dot5 = "", "E", 'IWP28'!Std11dot5))</f>
        <v/>
      </c>
      <c r="I576" s="3" t="str">
        <f ca="1">IF('IWP29'!ContractNumber = 0, "", IF('IWP29'!Std11dot5 = "", "E", 'IWP29'!Std11dot5))</f>
        <v/>
      </c>
      <c r="J576" s="3" t="str">
        <f ca="1">IF('IWP30'!ContractNumber = 0, "", IF('IWP30'!Std11dot5 = "", "E", 'IWP30'!Std11dot5))</f>
        <v/>
      </c>
    </row>
    <row r="577" spans="1:10" ht="16.5" thickTop="1" thickBot="1">
      <c r="A577" s="645" t="s">
        <v>1580</v>
      </c>
      <c r="B577" s="646"/>
      <c r="C577" s="646"/>
      <c r="D577" s="646"/>
      <c r="E577" s="646"/>
      <c r="F577" s="647"/>
      <c r="G577" s="487" t="s">
        <v>19</v>
      </c>
      <c r="H577" s="488"/>
      <c r="I577" s="487" t="s">
        <v>20</v>
      </c>
      <c r="J577" s="488"/>
    </row>
    <row r="578" spans="1:10" ht="16.5" customHeight="1" thickTop="1" thickBot="1">
      <c r="A578" s="648"/>
      <c r="B578" s="649"/>
      <c r="C578" s="649"/>
      <c r="D578" s="649"/>
      <c r="E578" s="649"/>
      <c r="F578" s="650"/>
      <c r="G578" s="654">
        <f ca="1">COUNTIF(F566:J576,"Y")</f>
        <v>0</v>
      </c>
      <c r="H578" s="655"/>
      <c r="I578" s="487">
        <f ca="1">COUNTIF(F566:J576,"N")</f>
        <v>0</v>
      </c>
      <c r="J578" s="488"/>
    </row>
    <row r="579" spans="1:10" ht="16.5" thickTop="1" thickBot="1">
      <c r="A579" s="639"/>
      <c r="B579" s="640"/>
      <c r="C579" s="640"/>
      <c r="D579" s="640"/>
      <c r="E579" s="640"/>
      <c r="F579" s="641"/>
      <c r="G579" s="487" t="s">
        <v>17</v>
      </c>
      <c r="H579" s="488"/>
      <c r="I579" s="487" t="s">
        <v>18</v>
      </c>
      <c r="J579" s="488"/>
    </row>
    <row r="580" spans="1:10" ht="16.5" thickTop="1" thickBot="1">
      <c r="A580" s="642"/>
      <c r="B580" s="643"/>
      <c r="C580" s="643"/>
      <c r="D580" s="643"/>
      <c r="E580" s="643"/>
      <c r="F580" s="644"/>
      <c r="G580" s="654">
        <f ca="1">SUM(G578,G564,G550,G535,G520)</f>
        <v>0</v>
      </c>
      <c r="H580" s="655"/>
      <c r="I580" s="487">
        <f ca="1">SUM(I578,I564,I550,I535,I520)</f>
        <v>0</v>
      </c>
      <c r="J580" s="488"/>
    </row>
    <row r="581" spans="1:10" ht="16" thickTop="1"/>
  </sheetData>
  <sheetProtection algorithmName="SHA-512" hashValue="oXj22VISSyaBET1PkUOQglOkgYMi1C3WI7VJ7ZtH+SGx56x3U3gsxA9f784rFwCABS6LiwN7VSjpoQ8ZyhVkdg==" saltValue="te46kO1M8wfFYsU/U5/f3Q==" spinCount="100000" sheet="1" selectLockedCells="1"/>
  <customSheetViews>
    <customSheetView guid="{A81B7E59-6D30-48F0-895B-EADA4D6F68AC}" fitToPage="1">
      <selection activeCell="B4" sqref="B4"/>
      <pageMargins left="0.5" right="0.5" top="1" bottom="0.75" header="0.25" footer="0.25"/>
      <printOptions horizontalCentered="1"/>
      <pageSetup scale="61" fitToHeight="0" orientation="portrait" r:id="rId1"/>
      <headerFooter>
        <oddHeader>&amp;L&amp;"Arial,Regular"&amp;8Texas Department of Aging 
and Disability Services&amp;C&amp;"Arial,Bold"&amp;12RESIDENTIAL CARE (RC)
 MONITORING WORKBOOK&amp;R&amp;"Arial,Regular"&amp;8Form TBD
Page &amp;P</oddHeader>
      </headerFooter>
    </customSheetView>
    <customSheetView guid="{B2091B36-14EA-49EC-93AF-D5AA205EF0C1}" showPageBreaks="1" fitToPage="1">
      <selection activeCell="A2" sqref="A2:D2"/>
      <rowBreaks count="10" manualBreakCount="10">
        <brk id="38" max="16383" man="1"/>
        <brk id="70" max="16383" man="1"/>
        <brk id="157" max="16383" man="1"/>
        <brk id="194" max="16383" man="1"/>
        <brk id="279" max="16383" man="1"/>
        <brk id="321" max="16383" man="1"/>
        <brk id="363" max="16383" man="1"/>
        <brk id="411" max="16383" man="1"/>
        <brk id="459" max="16383" man="1"/>
        <brk id="505" max="16383" man="1"/>
      </rowBreaks>
      <pageMargins left="0.5" right="0.5" top="1" bottom="0.75" header="0.25" footer="0.25"/>
      <printOptions horizontalCentered="1"/>
      <pageSetup scale="63" fitToHeight="0" orientation="portrait" r:id="rId2"/>
      <headerFooter>
        <oddHeader>&amp;L&amp;"Arial,Regular"&amp;8Texas Department of Aging
and Disability Services&amp;C&amp;"Arial,Bold"&amp;12ASSISTED LIVING/RESIDENTIAL CARE (AL/RC) /
OUT OF HOME RESPITE (OHR)
 MONITORING WORKBOOK&amp;R&amp;"Arial,Regular"&amp;8Form TBD
Page &amp;P</oddHeader>
        <oddFooter>&amp;RVersion 2.1.0; November 2012</oddFooter>
      </headerFooter>
    </customSheetView>
    <customSheetView guid="{965C3FE4-50BF-43C0-B1D0-366B904E9BAB}">
      <selection activeCell="A2" sqref="A2:D2"/>
      <pageMargins left="0.5" right="0.5" top="1" bottom="0.75" header="0.25" footer="0.25"/>
      <printOptions horizontalCentered="1"/>
      <pageSetup orientation="portrait" r:id="rId3"/>
      <headerFooter>
        <oddHeader>&amp;L&amp;"Arial,Regular"&amp;8Texas Department of Aging
and Disability Services&amp;C&amp;"Arial,Bold"&amp;12ASSISTED LIVING/RESIDENTIAL CARE (AL/RC) /
OUT OF HOME RESPITE (OHR)
 MONITORING WORKBOOK&amp;R&amp;"Arial,Regular"&amp;8Form TBD
Page &amp;P</oddHeader>
      </headerFooter>
    </customSheetView>
    <customSheetView guid="{5C7A2EDE-CAF2-41B7-8EBC-2EB35225299B}">
      <selection activeCell="A2" sqref="A2:D2"/>
      <pageMargins left="0.5" right="0.5" top="1" bottom="0.75" header="0.25" footer="0.25"/>
      <printOptions horizontalCentered="1"/>
      <pageSetup orientation="portrait" r:id="rId4"/>
      <headerFooter>
        <oddHeader>&amp;L&amp;"Arial,Regular"&amp;8Texas Department of Aging
and Disability Services&amp;C&amp;"Arial,Bold"&amp;12ASSISTED LIVING/RESIDENTIAL CARE (AL/RC) /
OUT OF HOME RESPITE (OHR)
 MONITORING WORKBOOK&amp;R&amp;"Arial,Regular"&amp;8Form TBD
Page &amp;P</oddHeader>
      </headerFooter>
    </customSheetView>
    <customSheetView guid="{15DD4F60-D491-4D73-A014-FE6349F17583}">
      <selection activeCell="A2" sqref="A2:D2"/>
      <pageMargins left="0.5" right="0.5" top="1" bottom="0.75" header="0.25" footer="0.25"/>
      <printOptions horizontalCentered="1"/>
      <pageSetup orientation="portrait" r:id="rId5"/>
      <headerFooter>
        <oddHeader>&amp;L&amp;"Arial,Regular"&amp;8Texas Department of Aging
and Disability Services&amp;C&amp;"Arial,Bold"&amp;12ASSISTED LIVING/RESIDENTIAL CARE (AL/RC) /
OUT OF HOME RESPITE (OHR)
 MONITORING WORKBOOK&amp;R&amp;"Arial,Regular"&amp;8Form TBD
Page &amp;P</oddHeader>
      </headerFooter>
    </customSheetView>
    <customSheetView guid="{A9399441-FD69-4FCC-BF3B-6E447DD9FB6A}" fitToPage="1">
      <selection activeCell="A2" sqref="A2:D2"/>
      <rowBreaks count="9" manualBreakCount="9">
        <brk id="45" max="16383" man="1"/>
        <brk id="164" max="16383" man="1"/>
        <brk id="201" max="16383" man="1"/>
        <brk id="286" max="16383" man="1"/>
        <brk id="328" max="16383" man="1"/>
        <brk id="370" max="16383" man="1"/>
        <brk id="418" max="16383" man="1"/>
        <brk id="466" max="16383" man="1"/>
        <brk id="512" max="16383" man="1"/>
      </rowBreaks>
      <pageMargins left="0.5" right="0.5" top="1" bottom="0.75" header="0.25" footer="0.25"/>
      <printOptions horizontalCentered="1"/>
      <pageSetup scale="63" fitToHeight="0" orientation="portrait" r:id="rId6"/>
      <headerFooter>
        <oddHeader>&amp;L&amp;"Arial,Regular"&amp;8Texas Department of Aging
and Disability Services&amp;C&amp;"Arial,Bold"&amp;12ASSISTED LIVING/RESIDENTIAL CARE (AL/RC) /
OUT OF HOME RESPITE (OHR)
 MONITORING WORKBOOK&amp;R&amp;"Arial,Regular"&amp;8Form TBD
Page &amp;P</oddHeader>
      </headerFooter>
    </customSheetView>
  </customSheetViews>
  <mergeCells count="914">
    <mergeCell ref="J235:J236"/>
    <mergeCell ref="A311:B311"/>
    <mergeCell ref="E352:F352"/>
    <mergeCell ref="H351:J351"/>
    <mergeCell ref="H350:J350"/>
    <mergeCell ref="A375:J375"/>
    <mergeCell ref="A239:H241"/>
    <mergeCell ref="I241:J241"/>
    <mergeCell ref="B267:J268"/>
    <mergeCell ref="H367:J367"/>
    <mergeCell ref="B352:C352"/>
    <mergeCell ref="E354:F354"/>
    <mergeCell ref="H374:J374"/>
    <mergeCell ref="E355:F355"/>
    <mergeCell ref="A340:J340"/>
    <mergeCell ref="B348:C348"/>
    <mergeCell ref="B349:C349"/>
    <mergeCell ref="H353:J353"/>
    <mergeCell ref="E325:F325"/>
    <mergeCell ref="C326:D326"/>
    <mergeCell ref="C327:D327"/>
    <mergeCell ref="H354:J354"/>
    <mergeCell ref="E338:F338"/>
    <mergeCell ref="C332:D332"/>
    <mergeCell ref="A579:F580"/>
    <mergeCell ref="A577:F578"/>
    <mergeCell ref="E372:F372"/>
    <mergeCell ref="E373:F373"/>
    <mergeCell ref="I378:J378"/>
    <mergeCell ref="H361:J361"/>
    <mergeCell ref="H360:J360"/>
    <mergeCell ref="E371:F371"/>
    <mergeCell ref="H368:J368"/>
    <mergeCell ref="H369:J369"/>
    <mergeCell ref="H370:J370"/>
    <mergeCell ref="H371:J371"/>
    <mergeCell ref="H366:J366"/>
    <mergeCell ref="H365:J365"/>
    <mergeCell ref="H364:J364"/>
    <mergeCell ref="B362:C362"/>
    <mergeCell ref="I380:J381"/>
    <mergeCell ref="A382:F382"/>
    <mergeCell ref="H373:J373"/>
    <mergeCell ref="I376:J376"/>
    <mergeCell ref="E366:F366"/>
    <mergeCell ref="G415:H416"/>
    <mergeCell ref="A376:E376"/>
    <mergeCell ref="A377:G377"/>
    <mergeCell ref="A331:B331"/>
    <mergeCell ref="A332:B332"/>
    <mergeCell ref="C333:D333"/>
    <mergeCell ref="A333:B333"/>
    <mergeCell ref="C331:D331"/>
    <mergeCell ref="C330:D330"/>
    <mergeCell ref="I382:J382"/>
    <mergeCell ref="H356:J356"/>
    <mergeCell ref="H380:H381"/>
    <mergeCell ref="A381:G381"/>
    <mergeCell ref="I335:J335"/>
    <mergeCell ref="A380:E380"/>
    <mergeCell ref="B369:C369"/>
    <mergeCell ref="E359:F359"/>
    <mergeCell ref="B366:C366"/>
    <mergeCell ref="G336:H336"/>
    <mergeCell ref="H358:J358"/>
    <mergeCell ref="B355:C355"/>
    <mergeCell ref="B354:C354"/>
    <mergeCell ref="H357:J357"/>
    <mergeCell ref="E347:F347"/>
    <mergeCell ref="A374:G374"/>
    <mergeCell ref="A335:B335"/>
    <mergeCell ref="E367:F367"/>
    <mergeCell ref="B367:C367"/>
    <mergeCell ref="B368:C368"/>
    <mergeCell ref="E363:F363"/>
    <mergeCell ref="H363:J363"/>
    <mergeCell ref="H355:J355"/>
    <mergeCell ref="E356:F356"/>
    <mergeCell ref="E357:F357"/>
    <mergeCell ref="E358:F358"/>
    <mergeCell ref="B356:C356"/>
    <mergeCell ref="B357:C357"/>
    <mergeCell ref="B358:C358"/>
    <mergeCell ref="B365:C365"/>
    <mergeCell ref="E361:F361"/>
    <mergeCell ref="I377:J377"/>
    <mergeCell ref="E369:F369"/>
    <mergeCell ref="L285:M285"/>
    <mergeCell ref="L286:M286"/>
    <mergeCell ref="L287:M287"/>
    <mergeCell ref="K340:L340"/>
    <mergeCell ref="L288:M288"/>
    <mergeCell ref="L289:M289"/>
    <mergeCell ref="L290:M290"/>
    <mergeCell ref="L291:M291"/>
    <mergeCell ref="L292:M292"/>
    <mergeCell ref="L293:M293"/>
    <mergeCell ref="K316:L316"/>
    <mergeCell ref="K309:L309"/>
    <mergeCell ref="K327:L327"/>
    <mergeCell ref="K328:L328"/>
    <mergeCell ref="K332:L332"/>
    <mergeCell ref="K329:L329"/>
    <mergeCell ref="K325:L325"/>
    <mergeCell ref="K335:L335"/>
    <mergeCell ref="K336:L336"/>
    <mergeCell ref="F376:G376"/>
    <mergeCell ref="E353:F353"/>
    <mergeCell ref="E360:F360"/>
    <mergeCell ref="K339:L339"/>
    <mergeCell ref="K334:L334"/>
    <mergeCell ref="K322:L322"/>
    <mergeCell ref="E331:F331"/>
    <mergeCell ref="G331:H331"/>
    <mergeCell ref="E332:F332"/>
    <mergeCell ref="G332:H332"/>
    <mergeCell ref="G327:H327"/>
    <mergeCell ref="G324:H324"/>
    <mergeCell ref="G328:H328"/>
    <mergeCell ref="G326:H326"/>
    <mergeCell ref="G339:H339"/>
    <mergeCell ref="I334:J334"/>
    <mergeCell ref="I328:J328"/>
    <mergeCell ref="I327:J327"/>
    <mergeCell ref="I332:J332"/>
    <mergeCell ref="I329:J329"/>
    <mergeCell ref="I325:J325"/>
    <mergeCell ref="I326:J326"/>
    <mergeCell ref="E333:F333"/>
    <mergeCell ref="E329:F329"/>
    <mergeCell ref="E336:F336"/>
    <mergeCell ref="E327:F327"/>
    <mergeCell ref="G335:H335"/>
    <mergeCell ref="A315:B315"/>
    <mergeCell ref="E324:F324"/>
    <mergeCell ref="A310:B310"/>
    <mergeCell ref="E318:F318"/>
    <mergeCell ref="C314:D314"/>
    <mergeCell ref="C315:D315"/>
    <mergeCell ref="C316:D316"/>
    <mergeCell ref="K320:L320"/>
    <mergeCell ref="K321:L321"/>
    <mergeCell ref="G320:H320"/>
    <mergeCell ref="G321:H321"/>
    <mergeCell ref="I321:J321"/>
    <mergeCell ref="C322:D322"/>
    <mergeCell ref="A324:B324"/>
    <mergeCell ref="C317:D317"/>
    <mergeCell ref="C318:D318"/>
    <mergeCell ref="E319:F319"/>
    <mergeCell ref="G319:H319"/>
    <mergeCell ref="E317:F317"/>
    <mergeCell ref="A318:B318"/>
    <mergeCell ref="G318:H318"/>
    <mergeCell ref="A317:B317"/>
    <mergeCell ref="I322:J322"/>
    <mergeCell ref="I323:J323"/>
    <mergeCell ref="A326:B326"/>
    <mergeCell ref="E321:F321"/>
    <mergeCell ref="E322:F322"/>
    <mergeCell ref="E320:F320"/>
    <mergeCell ref="C325:D325"/>
    <mergeCell ref="C323:D323"/>
    <mergeCell ref="A327:B327"/>
    <mergeCell ref="A325:B325"/>
    <mergeCell ref="A320:B320"/>
    <mergeCell ref="E334:F334"/>
    <mergeCell ref="G334:H334"/>
    <mergeCell ref="B283:C283"/>
    <mergeCell ref="D283:E283"/>
    <mergeCell ref="B280:C280"/>
    <mergeCell ref="D281:E281"/>
    <mergeCell ref="B282:C282"/>
    <mergeCell ref="D282:E282"/>
    <mergeCell ref="B290:C290"/>
    <mergeCell ref="B288:C288"/>
    <mergeCell ref="D290:E290"/>
    <mergeCell ref="B281:C281"/>
    <mergeCell ref="B286:C286"/>
    <mergeCell ref="D286:E286"/>
    <mergeCell ref="B287:C287"/>
    <mergeCell ref="D287:E287"/>
    <mergeCell ref="D288:E288"/>
    <mergeCell ref="A309:B309"/>
    <mergeCell ref="C320:D320"/>
    <mergeCell ref="A316:B316"/>
    <mergeCell ref="E328:F328"/>
    <mergeCell ref="C328:D328"/>
    <mergeCell ref="C329:D329"/>
    <mergeCell ref="E326:F326"/>
    <mergeCell ref="A64:I64"/>
    <mergeCell ref="A226:J226"/>
    <mergeCell ref="A227:D227"/>
    <mergeCell ref="A237:J237"/>
    <mergeCell ref="J231:J232"/>
    <mergeCell ref="D234:E234"/>
    <mergeCell ref="E236:F236"/>
    <mergeCell ref="A220:J220"/>
    <mergeCell ref="A221:J221"/>
    <mergeCell ref="A222:J222"/>
    <mergeCell ref="A223:J223"/>
    <mergeCell ref="A224:J224"/>
    <mergeCell ref="D229:E229"/>
    <mergeCell ref="D230:E230"/>
    <mergeCell ref="G228:J228"/>
    <mergeCell ref="G229:I229"/>
    <mergeCell ref="G230:I230"/>
    <mergeCell ref="A228:B228"/>
    <mergeCell ref="A229:B229"/>
    <mergeCell ref="A230:B230"/>
    <mergeCell ref="A232:B232"/>
    <mergeCell ref="A235:B235"/>
    <mergeCell ref="D235:E235"/>
    <mergeCell ref="A200:J200"/>
    <mergeCell ref="I1:J1"/>
    <mergeCell ref="I2:J2"/>
    <mergeCell ref="G1:H1"/>
    <mergeCell ref="G2:H2"/>
    <mergeCell ref="E1:F1"/>
    <mergeCell ref="E2:F2"/>
    <mergeCell ref="A1:D1"/>
    <mergeCell ref="A2:D2"/>
    <mergeCell ref="A6:B6"/>
    <mergeCell ref="C6:E6"/>
    <mergeCell ref="G3:H3"/>
    <mergeCell ref="G4:H4"/>
    <mergeCell ref="G5:H5"/>
    <mergeCell ref="I3:J3"/>
    <mergeCell ref="A3:B3"/>
    <mergeCell ref="C3:D3"/>
    <mergeCell ref="C4:D4"/>
    <mergeCell ref="E4:F4"/>
    <mergeCell ref="C5:D5"/>
    <mergeCell ref="E3:F3"/>
    <mergeCell ref="A38:I39"/>
    <mergeCell ref="J50:J51"/>
    <mergeCell ref="A52:I52"/>
    <mergeCell ref="A55:I55"/>
    <mergeCell ref="E5:F5"/>
    <mergeCell ref="A7:B7"/>
    <mergeCell ref="A9:J9"/>
    <mergeCell ref="A10:J10"/>
    <mergeCell ref="A11:I11"/>
    <mergeCell ref="J12:J16"/>
    <mergeCell ref="A16:I16"/>
    <mergeCell ref="A18:I18"/>
    <mergeCell ref="A20:I20"/>
    <mergeCell ref="A14:I14"/>
    <mergeCell ref="A15:I15"/>
    <mergeCell ref="A22:I22"/>
    <mergeCell ref="A43:I43"/>
    <mergeCell ref="A44:I44"/>
    <mergeCell ref="A45:I45"/>
    <mergeCell ref="A46:I46"/>
    <mergeCell ref="A47:I47"/>
    <mergeCell ref="A42:I42"/>
    <mergeCell ref="A48:I48"/>
    <mergeCell ref="J41:J48"/>
    <mergeCell ref="B73:F73"/>
    <mergeCell ref="A74:F74"/>
    <mergeCell ref="G74:H74"/>
    <mergeCell ref="I105:J106"/>
    <mergeCell ref="A68:I68"/>
    <mergeCell ref="J68:J69"/>
    <mergeCell ref="A69:I69"/>
    <mergeCell ref="G104:H104"/>
    <mergeCell ref="I104:J104"/>
    <mergeCell ref="G73:H73"/>
    <mergeCell ref="I73:J73"/>
    <mergeCell ref="I74:J74"/>
    <mergeCell ref="G88:H88"/>
    <mergeCell ref="I88:J88"/>
    <mergeCell ref="G89:H89"/>
    <mergeCell ref="I89:J89"/>
    <mergeCell ref="A102:A103"/>
    <mergeCell ref="B102:F103"/>
    <mergeCell ref="G103:H103"/>
    <mergeCell ref="I103:J103"/>
    <mergeCell ref="A90:E97"/>
    <mergeCell ref="A98:E101"/>
    <mergeCell ref="A76:E80"/>
    <mergeCell ref="A81:E87"/>
    <mergeCell ref="A58:I58"/>
    <mergeCell ref="J58:J62"/>
    <mergeCell ref="A21:I21"/>
    <mergeCell ref="A33:I33"/>
    <mergeCell ref="A34:I34"/>
    <mergeCell ref="J34:J39"/>
    <mergeCell ref="A35:I35"/>
    <mergeCell ref="A62:I62"/>
    <mergeCell ref="A57:I57"/>
    <mergeCell ref="A56:I56"/>
    <mergeCell ref="A23:I23"/>
    <mergeCell ref="A51:I51"/>
    <mergeCell ref="A36:I36"/>
    <mergeCell ref="A37:I37"/>
    <mergeCell ref="A50:I50"/>
    <mergeCell ref="A60:I60"/>
    <mergeCell ref="A61:I61"/>
    <mergeCell ref="A49:I49"/>
    <mergeCell ref="A59:I59"/>
    <mergeCell ref="A53:I53"/>
    <mergeCell ref="J53:J56"/>
    <mergeCell ref="A54:I54"/>
    <mergeCell ref="A40:I40"/>
    <mergeCell ref="A41:I41"/>
    <mergeCell ref="B301:C301"/>
    <mergeCell ref="B302:C302"/>
    <mergeCell ref="B300:C300"/>
    <mergeCell ref="B297:C297"/>
    <mergeCell ref="A261:A263"/>
    <mergeCell ref="I261:J261"/>
    <mergeCell ref="B261:H262"/>
    <mergeCell ref="B263:J263"/>
    <mergeCell ref="B278:C278"/>
    <mergeCell ref="A275:O275"/>
    <mergeCell ref="N276:O276"/>
    <mergeCell ref="N277:O277"/>
    <mergeCell ref="L279:M279"/>
    <mergeCell ref="L280:M280"/>
    <mergeCell ref="D278:E278"/>
    <mergeCell ref="G278:H278"/>
    <mergeCell ref="I278:J278"/>
    <mergeCell ref="L282:M282"/>
    <mergeCell ref="D277:E277"/>
    <mergeCell ref="N278:O278"/>
    <mergeCell ref="N279:O279"/>
    <mergeCell ref="N280:O280"/>
    <mergeCell ref="N281:O281"/>
    <mergeCell ref="N282:O282"/>
    <mergeCell ref="I239:J240"/>
    <mergeCell ref="G257:H257"/>
    <mergeCell ref="I257:J257"/>
    <mergeCell ref="G258:H259"/>
    <mergeCell ref="I258:J259"/>
    <mergeCell ref="I238:J238"/>
    <mergeCell ref="A238:H238"/>
    <mergeCell ref="B242:J242"/>
    <mergeCell ref="A243:J243"/>
    <mergeCell ref="A244:J244"/>
    <mergeCell ref="A225:J225"/>
    <mergeCell ref="B218:J219"/>
    <mergeCell ref="D233:E233"/>
    <mergeCell ref="G197:H197"/>
    <mergeCell ref="I217:J217"/>
    <mergeCell ref="B216:H217"/>
    <mergeCell ref="A215:J215"/>
    <mergeCell ref="I216:J216"/>
    <mergeCell ref="I213:J213"/>
    <mergeCell ref="G214:H214"/>
    <mergeCell ref="G213:H213"/>
    <mergeCell ref="I197:J197"/>
    <mergeCell ref="B213:F213"/>
    <mergeCell ref="A201:E203"/>
    <mergeCell ref="A204:E205"/>
    <mergeCell ref="I214:J214"/>
    <mergeCell ref="A206:E212"/>
    <mergeCell ref="A216:A219"/>
    <mergeCell ref="A214:F214"/>
    <mergeCell ref="A199:J199"/>
    <mergeCell ref="D228:E228"/>
    <mergeCell ref="A231:B231"/>
    <mergeCell ref="E227:J227"/>
    <mergeCell ref="G198:H198"/>
    <mergeCell ref="A236:D236"/>
    <mergeCell ref="G233:I233"/>
    <mergeCell ref="G231:I232"/>
    <mergeCell ref="D231:E231"/>
    <mergeCell ref="D232:E232"/>
    <mergeCell ref="A233:B233"/>
    <mergeCell ref="A234:B234"/>
    <mergeCell ref="G234:I234"/>
    <mergeCell ref="G235:I236"/>
    <mergeCell ref="G122:H122"/>
    <mergeCell ref="A107:J107"/>
    <mergeCell ref="B121:F122"/>
    <mergeCell ref="I122:J122"/>
    <mergeCell ref="A108:J108"/>
    <mergeCell ref="J64:J66"/>
    <mergeCell ref="A65:I65"/>
    <mergeCell ref="A66:I66"/>
    <mergeCell ref="A109:E112"/>
    <mergeCell ref="A113:E120"/>
    <mergeCell ref="G121:H121"/>
    <mergeCell ref="I121:J121"/>
    <mergeCell ref="A75:J75"/>
    <mergeCell ref="A70:I70"/>
    <mergeCell ref="A71:I71"/>
    <mergeCell ref="J71:J72"/>
    <mergeCell ref="A72:I72"/>
    <mergeCell ref="A121:A122"/>
    <mergeCell ref="G102:H102"/>
    <mergeCell ref="I102:J102"/>
    <mergeCell ref="A88:A89"/>
    <mergeCell ref="B88:F89"/>
    <mergeCell ref="A104:F106"/>
    <mergeCell ref="A67:I67"/>
    <mergeCell ref="I315:J315"/>
    <mergeCell ref="B359:C359"/>
    <mergeCell ref="B414:F414"/>
    <mergeCell ref="A401:J401"/>
    <mergeCell ref="B371:C371"/>
    <mergeCell ref="E370:F370"/>
    <mergeCell ref="E368:F368"/>
    <mergeCell ref="I379:J379"/>
    <mergeCell ref="E362:F362"/>
    <mergeCell ref="E365:F365"/>
    <mergeCell ref="B364:C364"/>
    <mergeCell ref="E364:F364"/>
    <mergeCell ref="H359:J359"/>
    <mergeCell ref="I383:J383"/>
    <mergeCell ref="A386:G386"/>
    <mergeCell ref="I414:J414"/>
    <mergeCell ref="A378:G378"/>
    <mergeCell ref="H372:J372"/>
    <mergeCell ref="B373:C373"/>
    <mergeCell ref="E335:F335"/>
    <mergeCell ref="C334:D334"/>
    <mergeCell ref="A322:B322"/>
    <mergeCell ref="A323:B323"/>
    <mergeCell ref="C324:D324"/>
    <mergeCell ref="C336:D336"/>
    <mergeCell ref="I339:J339"/>
    <mergeCell ref="B351:C351"/>
    <mergeCell ref="I337:J337"/>
    <mergeCell ref="G338:H338"/>
    <mergeCell ref="I338:J338"/>
    <mergeCell ref="B347:C347"/>
    <mergeCell ref="H347:J347"/>
    <mergeCell ref="A341:J341"/>
    <mergeCell ref="H345:J345"/>
    <mergeCell ref="H346:J346"/>
    <mergeCell ref="E344:F344"/>
    <mergeCell ref="E345:F345"/>
    <mergeCell ref="E346:F346"/>
    <mergeCell ref="H344:J344"/>
    <mergeCell ref="A336:B336"/>
    <mergeCell ref="C339:D339"/>
    <mergeCell ref="A337:B337"/>
    <mergeCell ref="A338:B338"/>
    <mergeCell ref="I445:J445"/>
    <mergeCell ref="B360:C360"/>
    <mergeCell ref="B361:C361"/>
    <mergeCell ref="I415:J416"/>
    <mergeCell ref="F380:G380"/>
    <mergeCell ref="A379:F379"/>
    <mergeCell ref="B372:C372"/>
    <mergeCell ref="H362:J362"/>
    <mergeCell ref="B363:C363"/>
    <mergeCell ref="A400:J400"/>
    <mergeCell ref="A392:J392"/>
    <mergeCell ref="I398:J399"/>
    <mergeCell ref="B398:H398"/>
    <mergeCell ref="A391:J391"/>
    <mergeCell ref="I386:J386"/>
    <mergeCell ref="I432:J432"/>
    <mergeCell ref="I388:J388"/>
    <mergeCell ref="A419:E422"/>
    <mergeCell ref="A423:E425"/>
    <mergeCell ref="A415:F416"/>
    <mergeCell ref="B370:C370"/>
    <mergeCell ref="A405:E407"/>
    <mergeCell ref="A408:E413"/>
    <mergeCell ref="A399:H399"/>
    <mergeCell ref="A417:J417"/>
    <mergeCell ref="A418:J418"/>
    <mergeCell ref="A383:F383"/>
    <mergeCell ref="I431:J431"/>
    <mergeCell ref="B431:F432"/>
    <mergeCell ref="G431:H431"/>
    <mergeCell ref="G432:H432"/>
    <mergeCell ref="A393:J397"/>
    <mergeCell ref="A426:E430"/>
    <mergeCell ref="A389:G389"/>
    <mergeCell ref="A390:G390"/>
    <mergeCell ref="I389:J389"/>
    <mergeCell ref="I390:J390"/>
    <mergeCell ref="H352:J352"/>
    <mergeCell ref="B350:C350"/>
    <mergeCell ref="E348:F348"/>
    <mergeCell ref="E349:F349"/>
    <mergeCell ref="H348:J348"/>
    <mergeCell ref="H349:J349"/>
    <mergeCell ref="E337:F337"/>
    <mergeCell ref="A339:B339"/>
    <mergeCell ref="E350:F350"/>
    <mergeCell ref="E343:F343"/>
    <mergeCell ref="E339:F339"/>
    <mergeCell ref="B343:C343"/>
    <mergeCell ref="A342:J342"/>
    <mergeCell ref="G330:H330"/>
    <mergeCell ref="C338:D338"/>
    <mergeCell ref="I279:J279"/>
    <mergeCell ref="I284:J284"/>
    <mergeCell ref="I288:J288"/>
    <mergeCell ref="B285:C285"/>
    <mergeCell ref="D285:E285"/>
    <mergeCell ref="D279:E279"/>
    <mergeCell ref="B279:C279"/>
    <mergeCell ref="G283:H283"/>
    <mergeCell ref="I283:J283"/>
    <mergeCell ref="B284:C284"/>
    <mergeCell ref="D280:E280"/>
    <mergeCell ref="G280:H280"/>
    <mergeCell ref="G281:H281"/>
    <mergeCell ref="G282:H282"/>
    <mergeCell ref="C312:D312"/>
    <mergeCell ref="C313:D313"/>
    <mergeCell ref="C309:D309"/>
    <mergeCell ref="B294:C294"/>
    <mergeCell ref="E315:F315"/>
    <mergeCell ref="B298:C298"/>
    <mergeCell ref="E312:F312"/>
    <mergeCell ref="E313:F313"/>
    <mergeCell ref="L278:M278"/>
    <mergeCell ref="I280:J280"/>
    <mergeCell ref="I281:J281"/>
    <mergeCell ref="I282:J282"/>
    <mergeCell ref="G279:H279"/>
    <mergeCell ref="D284:E284"/>
    <mergeCell ref="D302:E302"/>
    <mergeCell ref="G289:H289"/>
    <mergeCell ref="G301:H301"/>
    <mergeCell ref="D298:E298"/>
    <mergeCell ref="I297:J297"/>
    <mergeCell ref="I295:J295"/>
    <mergeCell ref="I292:J292"/>
    <mergeCell ref="I293:J293"/>
    <mergeCell ref="I294:J294"/>
    <mergeCell ref="I302:J302"/>
    <mergeCell ref="L283:M283"/>
    <mergeCell ref="L284:M284"/>
    <mergeCell ref="L281:M281"/>
    <mergeCell ref="I296:J296"/>
    <mergeCell ref="G296:H296"/>
    <mergeCell ref="G284:H284"/>
    <mergeCell ref="N283:O283"/>
    <mergeCell ref="N284:O284"/>
    <mergeCell ref="G313:H313"/>
    <mergeCell ref="E314:F314"/>
    <mergeCell ref="G314:H314"/>
    <mergeCell ref="G315:H315"/>
    <mergeCell ref="B293:C293"/>
    <mergeCell ref="B291:C291"/>
    <mergeCell ref="D305:E305"/>
    <mergeCell ref="B295:C295"/>
    <mergeCell ref="B303:C303"/>
    <mergeCell ref="D294:E294"/>
    <mergeCell ref="D291:E291"/>
    <mergeCell ref="D293:E293"/>
    <mergeCell ref="E309:F309"/>
    <mergeCell ref="G297:H297"/>
    <mergeCell ref="D301:E301"/>
    <mergeCell ref="G304:H304"/>
    <mergeCell ref="D297:E297"/>
    <mergeCell ref="G302:H302"/>
    <mergeCell ref="G293:H293"/>
    <mergeCell ref="G294:H294"/>
    <mergeCell ref="D306:E306"/>
    <mergeCell ref="D299:E299"/>
    <mergeCell ref="E311:F311"/>
    <mergeCell ref="B289:C289"/>
    <mergeCell ref="D289:E289"/>
    <mergeCell ref="B167:F168"/>
    <mergeCell ref="G167:H167"/>
    <mergeCell ref="A127:E134"/>
    <mergeCell ref="I154:J154"/>
    <mergeCell ref="A145:E152"/>
    <mergeCell ref="A155:E158"/>
    <mergeCell ref="A159:E166"/>
    <mergeCell ref="A135:A136"/>
    <mergeCell ref="G137:H137"/>
    <mergeCell ref="I137:J137"/>
    <mergeCell ref="I167:J167"/>
    <mergeCell ref="G168:H168"/>
    <mergeCell ref="I168:J168"/>
    <mergeCell ref="A139:J139"/>
    <mergeCell ref="B153:F154"/>
    <mergeCell ref="G153:H153"/>
    <mergeCell ref="I153:J153"/>
    <mergeCell ref="I138:J138"/>
    <mergeCell ref="A137:F138"/>
    <mergeCell ref="B135:F136"/>
    <mergeCell ref="I289:J289"/>
    <mergeCell ref="G577:H577"/>
    <mergeCell ref="I446:J446"/>
    <mergeCell ref="G520:H520"/>
    <mergeCell ref="A507:E508"/>
    <mergeCell ref="A509:E518"/>
    <mergeCell ref="G563:H563"/>
    <mergeCell ref="G564:H564"/>
    <mergeCell ref="A544:E548"/>
    <mergeCell ref="A549:A550"/>
    <mergeCell ref="B549:F550"/>
    <mergeCell ref="G549:H549"/>
    <mergeCell ref="I549:J549"/>
    <mergeCell ref="G550:H550"/>
    <mergeCell ref="I550:J550"/>
    <mergeCell ref="A537:E540"/>
    <mergeCell ref="A541:E543"/>
    <mergeCell ref="I459:J459"/>
    <mergeCell ref="A461:E462"/>
    <mergeCell ref="A563:A564"/>
    <mergeCell ref="B563:F564"/>
    <mergeCell ref="I474:J474"/>
    <mergeCell ref="G474:H474"/>
    <mergeCell ref="A473:A474"/>
    <mergeCell ref="B473:F474"/>
    <mergeCell ref="I473:J473"/>
    <mergeCell ref="B445:F446"/>
    <mergeCell ref="G445:H445"/>
    <mergeCell ref="I460:J460"/>
    <mergeCell ref="A463:E467"/>
    <mergeCell ref="G333:H333"/>
    <mergeCell ref="A328:B328"/>
    <mergeCell ref="G337:H337"/>
    <mergeCell ref="E351:F351"/>
    <mergeCell ref="B353:C353"/>
    <mergeCell ref="H343:J343"/>
    <mergeCell ref="B344:C344"/>
    <mergeCell ref="B345:C345"/>
    <mergeCell ref="B346:C346"/>
    <mergeCell ref="E330:F330"/>
    <mergeCell ref="C335:D335"/>
    <mergeCell ref="C337:D337"/>
    <mergeCell ref="G473:H473"/>
    <mergeCell ref="G460:H460"/>
    <mergeCell ref="A433:E434"/>
    <mergeCell ref="A435:E439"/>
    <mergeCell ref="A329:B329"/>
    <mergeCell ref="A330:B330"/>
    <mergeCell ref="A334:B334"/>
    <mergeCell ref="A447:E448"/>
    <mergeCell ref="A449:E453"/>
    <mergeCell ref="A454:E458"/>
    <mergeCell ref="A459:A460"/>
    <mergeCell ref="B459:F460"/>
    <mergeCell ref="G459:H459"/>
    <mergeCell ref="G446:H446"/>
    <mergeCell ref="A440:E444"/>
    <mergeCell ref="A468:E472"/>
    <mergeCell ref="A445:A446"/>
    <mergeCell ref="I580:J580"/>
    <mergeCell ref="I579:J579"/>
    <mergeCell ref="I578:J578"/>
    <mergeCell ref="I564:J564"/>
    <mergeCell ref="I563:J563"/>
    <mergeCell ref="A530:E532"/>
    <mergeCell ref="I503:J503"/>
    <mergeCell ref="I504:J504"/>
    <mergeCell ref="I577:J577"/>
    <mergeCell ref="G578:H578"/>
    <mergeCell ref="I520:J520"/>
    <mergeCell ref="I519:J519"/>
    <mergeCell ref="G535:H536"/>
    <mergeCell ref="I535:J536"/>
    <mergeCell ref="G533:H534"/>
    <mergeCell ref="G579:H579"/>
    <mergeCell ref="G580:H580"/>
    <mergeCell ref="A569:E571"/>
    <mergeCell ref="A565:E568"/>
    <mergeCell ref="A572:E576"/>
    <mergeCell ref="A559:E562"/>
    <mergeCell ref="I533:J534"/>
    <mergeCell ref="A556:E558"/>
    <mergeCell ref="A551:E555"/>
    <mergeCell ref="A535:F536"/>
    <mergeCell ref="A533:F534"/>
    <mergeCell ref="A521:E521"/>
    <mergeCell ref="A522:E523"/>
    <mergeCell ref="A524:E525"/>
    <mergeCell ref="A526:E529"/>
    <mergeCell ref="B501:F502"/>
    <mergeCell ref="A477:E481"/>
    <mergeCell ref="A475:E476"/>
    <mergeCell ref="A519:A520"/>
    <mergeCell ref="B519:F520"/>
    <mergeCell ref="A482:E486"/>
    <mergeCell ref="A506:J506"/>
    <mergeCell ref="G519:H519"/>
    <mergeCell ref="G503:H503"/>
    <mergeCell ref="G504:H504"/>
    <mergeCell ref="A501:A502"/>
    <mergeCell ref="A496:E500"/>
    <mergeCell ref="A493:E495"/>
    <mergeCell ref="A489:E492"/>
    <mergeCell ref="A487:A488"/>
    <mergeCell ref="B487:F488"/>
    <mergeCell ref="G487:H487"/>
    <mergeCell ref="G501:H501"/>
    <mergeCell ref="A505:J505"/>
    <mergeCell ref="I501:J501"/>
    <mergeCell ref="I502:J502"/>
    <mergeCell ref="A503:F504"/>
    <mergeCell ref="I487:J487"/>
    <mergeCell ref="G488:H488"/>
    <mergeCell ref="I488:J488"/>
    <mergeCell ref="G502:H502"/>
    <mergeCell ref="C321:D321"/>
    <mergeCell ref="A321:B321"/>
    <mergeCell ref="G322:H322"/>
    <mergeCell ref="E323:F323"/>
    <mergeCell ref="G323:H323"/>
    <mergeCell ref="G329:H329"/>
    <mergeCell ref="A431:A432"/>
    <mergeCell ref="I384:J384"/>
    <mergeCell ref="A384:G384"/>
    <mergeCell ref="A387:F387"/>
    <mergeCell ref="I387:J387"/>
    <mergeCell ref="A388:F388"/>
    <mergeCell ref="G414:H414"/>
    <mergeCell ref="A402:E404"/>
    <mergeCell ref="A385:G385"/>
    <mergeCell ref="I385:J385"/>
    <mergeCell ref="I264:J264"/>
    <mergeCell ref="B264:H265"/>
    <mergeCell ref="I277:J277"/>
    <mergeCell ref="B266:J266"/>
    <mergeCell ref="I265:J265"/>
    <mergeCell ref="G276:H276"/>
    <mergeCell ref="I276:J276"/>
    <mergeCell ref="G277:H277"/>
    <mergeCell ref="B276:C276"/>
    <mergeCell ref="B277:C277"/>
    <mergeCell ref="A269:J269"/>
    <mergeCell ref="A270:J270"/>
    <mergeCell ref="A271:J271"/>
    <mergeCell ref="A272:J272"/>
    <mergeCell ref="A273:J273"/>
    <mergeCell ref="A264:A268"/>
    <mergeCell ref="A274:O274"/>
    <mergeCell ref="L276:M276"/>
    <mergeCell ref="L277:M277"/>
    <mergeCell ref="D276:E276"/>
    <mergeCell ref="G311:H311"/>
    <mergeCell ref="I311:J311"/>
    <mergeCell ref="I291:J291"/>
    <mergeCell ref="G292:H292"/>
    <mergeCell ref="D300:E300"/>
    <mergeCell ref="E310:F310"/>
    <mergeCell ref="C310:D310"/>
    <mergeCell ref="L298:M298"/>
    <mergeCell ref="G298:H298"/>
    <mergeCell ref="I298:J298"/>
    <mergeCell ref="B292:C292"/>
    <mergeCell ref="D292:E292"/>
    <mergeCell ref="G295:H295"/>
    <mergeCell ref="I310:J310"/>
    <mergeCell ref="C311:D311"/>
    <mergeCell ref="G303:H303"/>
    <mergeCell ref="G306:H306"/>
    <mergeCell ref="L300:M300"/>
    <mergeCell ref="L299:M299"/>
    <mergeCell ref="B296:C296"/>
    <mergeCell ref="D304:E304"/>
    <mergeCell ref="B305:C305"/>
    <mergeCell ref="B299:C299"/>
    <mergeCell ref="D296:E296"/>
    <mergeCell ref="N295:O295"/>
    <mergeCell ref="N296:O296"/>
    <mergeCell ref="N285:O285"/>
    <mergeCell ref="N286:O286"/>
    <mergeCell ref="N287:O287"/>
    <mergeCell ref="N288:O288"/>
    <mergeCell ref="N289:O289"/>
    <mergeCell ref="N290:O290"/>
    <mergeCell ref="N291:O291"/>
    <mergeCell ref="N292:O292"/>
    <mergeCell ref="N293:O293"/>
    <mergeCell ref="N294:O294"/>
    <mergeCell ref="K319:L319"/>
    <mergeCell ref="K313:L313"/>
    <mergeCell ref="L301:M301"/>
    <mergeCell ref="L302:M302"/>
    <mergeCell ref="L303:M303"/>
    <mergeCell ref="L304:M304"/>
    <mergeCell ref="A307:M307"/>
    <mergeCell ref="I301:J301"/>
    <mergeCell ref="B304:C304"/>
    <mergeCell ref="G310:H310"/>
    <mergeCell ref="D303:E303"/>
    <mergeCell ref="I306:J306"/>
    <mergeCell ref="I304:J304"/>
    <mergeCell ref="I303:J303"/>
    <mergeCell ref="G309:H309"/>
    <mergeCell ref="I309:J309"/>
    <mergeCell ref="G317:H317"/>
    <mergeCell ref="E316:F316"/>
    <mergeCell ref="A319:B319"/>
    <mergeCell ref="B306:C306"/>
    <mergeCell ref="C319:D319"/>
    <mergeCell ref="A312:B312"/>
    <mergeCell ref="A313:B313"/>
    <mergeCell ref="A314:B314"/>
    <mergeCell ref="N297:O297"/>
    <mergeCell ref="N298:O298"/>
    <mergeCell ref="N299:O299"/>
    <mergeCell ref="G325:H325"/>
    <mergeCell ref="K310:L310"/>
    <mergeCell ref="N305:O305"/>
    <mergeCell ref="N306:O306"/>
    <mergeCell ref="N300:O300"/>
    <mergeCell ref="N301:O301"/>
    <mergeCell ref="N302:O302"/>
    <mergeCell ref="N303:O303"/>
    <mergeCell ref="N304:O304"/>
    <mergeCell ref="N307:O307"/>
    <mergeCell ref="I313:J313"/>
    <mergeCell ref="G299:H299"/>
    <mergeCell ref="I299:J299"/>
    <mergeCell ref="K311:L311"/>
    <mergeCell ref="K314:L314"/>
    <mergeCell ref="I300:J300"/>
    <mergeCell ref="G300:H300"/>
    <mergeCell ref="I317:J317"/>
    <mergeCell ref="K317:L317"/>
    <mergeCell ref="I318:J318"/>
    <mergeCell ref="I320:J320"/>
    <mergeCell ref="K338:L338"/>
    <mergeCell ref="D295:E295"/>
    <mergeCell ref="G285:H285"/>
    <mergeCell ref="I285:J285"/>
    <mergeCell ref="G286:H286"/>
    <mergeCell ref="I286:J286"/>
    <mergeCell ref="G287:H287"/>
    <mergeCell ref="I287:J287"/>
    <mergeCell ref="L305:M305"/>
    <mergeCell ref="L306:M306"/>
    <mergeCell ref="G305:H305"/>
    <mergeCell ref="I305:J305"/>
    <mergeCell ref="L294:M294"/>
    <mergeCell ref="L295:M295"/>
    <mergeCell ref="L296:M296"/>
    <mergeCell ref="L297:M297"/>
    <mergeCell ref="K323:L323"/>
    <mergeCell ref="I324:J324"/>
    <mergeCell ref="K324:L324"/>
    <mergeCell ref="I330:J330"/>
    <mergeCell ref="K330:L330"/>
    <mergeCell ref="G290:H290"/>
    <mergeCell ref="I290:J290"/>
    <mergeCell ref="G291:H291"/>
    <mergeCell ref="K331:L331"/>
    <mergeCell ref="K326:L326"/>
    <mergeCell ref="K337:L337"/>
    <mergeCell ref="A250:E256"/>
    <mergeCell ref="A245:E246"/>
    <mergeCell ref="A247:E249"/>
    <mergeCell ref="B257:F257"/>
    <mergeCell ref="A260:J260"/>
    <mergeCell ref="I262:J262"/>
    <mergeCell ref="A258:F259"/>
    <mergeCell ref="I312:J312"/>
    <mergeCell ref="G312:H312"/>
    <mergeCell ref="I316:J316"/>
    <mergeCell ref="G288:H288"/>
    <mergeCell ref="I331:J331"/>
    <mergeCell ref="K333:L333"/>
    <mergeCell ref="I333:J333"/>
    <mergeCell ref="I336:J336"/>
    <mergeCell ref="I314:J314"/>
    <mergeCell ref="K315:L315"/>
    <mergeCell ref="K312:L312"/>
    <mergeCell ref="G316:H316"/>
    <mergeCell ref="K318:L318"/>
    <mergeCell ref="I319:J319"/>
    <mergeCell ref="I198:J198"/>
    <mergeCell ref="A197:F198"/>
    <mergeCell ref="A140:J140"/>
    <mergeCell ref="I136:J136"/>
    <mergeCell ref="A141:E144"/>
    <mergeCell ref="A187:E194"/>
    <mergeCell ref="A195:A196"/>
    <mergeCell ref="B195:F196"/>
    <mergeCell ref="G195:H195"/>
    <mergeCell ref="I195:J195"/>
    <mergeCell ref="G196:H196"/>
    <mergeCell ref="I196:J196"/>
    <mergeCell ref="A169:E172"/>
    <mergeCell ref="A173:E180"/>
    <mergeCell ref="A181:A182"/>
    <mergeCell ref="B181:F182"/>
    <mergeCell ref="G181:H181"/>
    <mergeCell ref="I181:J181"/>
    <mergeCell ref="G182:H182"/>
    <mergeCell ref="I182:J182"/>
    <mergeCell ref="G138:H138"/>
    <mergeCell ref="A153:A154"/>
    <mergeCell ref="G154:H154"/>
    <mergeCell ref="A183:E186"/>
    <mergeCell ref="G135:H135"/>
    <mergeCell ref="I135:J135"/>
    <mergeCell ref="G136:H136"/>
    <mergeCell ref="A167:A168"/>
    <mergeCell ref="A123:E126"/>
    <mergeCell ref="F6:J8"/>
    <mergeCell ref="A24:A25"/>
    <mergeCell ref="B24:I25"/>
    <mergeCell ref="J18:J25"/>
    <mergeCell ref="A26:I26"/>
    <mergeCell ref="A30:I30"/>
    <mergeCell ref="A31:A32"/>
    <mergeCell ref="B31:I32"/>
    <mergeCell ref="A17:I17"/>
    <mergeCell ref="A19:I19"/>
    <mergeCell ref="A13:I13"/>
    <mergeCell ref="A12:I12"/>
    <mergeCell ref="A27:I27"/>
    <mergeCell ref="A28:I28"/>
    <mergeCell ref="A29:I29"/>
    <mergeCell ref="J27:J32"/>
    <mergeCell ref="C7:E7"/>
    <mergeCell ref="G105:H106"/>
    <mergeCell ref="A63:I63"/>
  </mergeCells>
  <conditionalFormatting sqref="F76">
    <cfRule type="colorScale" priority="14">
      <colorScale>
        <cfvo type="min"/>
        <cfvo type="max"/>
        <color rgb="FFFF7128"/>
        <color rgb="FFFFEF9C"/>
      </colorScale>
    </cfRule>
  </conditionalFormatting>
  <conditionalFormatting sqref="F90">
    <cfRule type="colorScale" priority="10">
      <colorScale>
        <cfvo type="min"/>
        <cfvo type="max"/>
        <color rgb="FFFF7128"/>
        <color rgb="FFFFEF9C"/>
      </colorScale>
    </cfRule>
  </conditionalFormatting>
  <conditionalFormatting sqref="F77:J77 F79:J79 F81:J81 F83:J83 F85:J85 F87:J87 F110:J110 F112:J112 F114:J114 F116:J116 F118:J118 F120:J120 F508:J508 F510:J510 F512:J512 F514:J514 F516:J516 F518:J518">
    <cfRule type="cellIs" dxfId="85" priority="333" operator="equal">
      <formula>"E"</formula>
    </cfRule>
  </conditionalFormatting>
  <conditionalFormatting sqref="F77:J77 F79:J79 F81:J81 F83:J83 F85:J85 F87:J87">
    <cfRule type="cellIs" dxfId="84" priority="12" operator="equal">
      <formula>"E"</formula>
    </cfRule>
  </conditionalFormatting>
  <conditionalFormatting sqref="F91:J91 F93:J93 F95:J95 F97:J97 F99:J99 F101:J101">
    <cfRule type="cellIs" dxfId="83" priority="3" operator="equal">
      <formula>"E"</formula>
    </cfRule>
    <cfRule type="cellIs" dxfId="82" priority="4" operator="equal">
      <formula>"E"</formula>
    </cfRule>
  </conditionalFormatting>
  <conditionalFormatting sqref="F124:J124 F126:J126 F128:J128 F130:J130 F132:J132 F134:J134">
    <cfRule type="cellIs" dxfId="81" priority="30" operator="equal">
      <formula>"E"</formula>
    </cfRule>
  </conditionalFormatting>
  <conditionalFormatting sqref="F142:J142 F144:J144 F146:J146 F148:J148 F150:J150 F152:J152">
    <cfRule type="cellIs" dxfId="80" priority="29" operator="equal">
      <formula>"E"</formula>
    </cfRule>
  </conditionalFormatting>
  <conditionalFormatting sqref="F156:J156 F158:J158 F160:J160 F162:J162 F164:J164 F166:J166">
    <cfRule type="cellIs" dxfId="79" priority="28" operator="equal">
      <formula>"E"</formula>
    </cfRule>
  </conditionalFormatting>
  <conditionalFormatting sqref="F170:J170 F172:J172 F174:J174 F176:J176 F178:J178 F180:J180">
    <cfRule type="cellIs" dxfId="78" priority="2" operator="equal">
      <formula>"E"</formula>
    </cfRule>
  </conditionalFormatting>
  <conditionalFormatting sqref="F184:J184 F186:J186 F188:J188 F190:J190 F192:J192 F194:J194">
    <cfRule type="cellIs" dxfId="77" priority="1" operator="equal">
      <formula>"E"</formula>
    </cfRule>
  </conditionalFormatting>
  <conditionalFormatting sqref="F202:J202 F204:J204 F206:J206 F208:J208 F210:J210 F212:J212">
    <cfRule type="cellIs" dxfId="76" priority="27" operator="equal">
      <formula>"E"</formula>
    </cfRule>
  </conditionalFormatting>
  <conditionalFormatting sqref="F246:J246 F248:J248 F250:J250 F252:J252 F254:J254 F256:J256">
    <cfRule type="cellIs" dxfId="75" priority="26" operator="equal">
      <formula>"E"</formula>
    </cfRule>
  </conditionalFormatting>
  <conditionalFormatting sqref="F403:J403 F405:J405 F407:J407 F409:J409 F411:J411 F413:J413">
    <cfRule type="cellIs" dxfId="74" priority="25" operator="equal">
      <formula>"E"</formula>
    </cfRule>
  </conditionalFormatting>
  <conditionalFormatting sqref="F420:J420 F422:J422 F424:J424 F426:J426 F428:J428 F430:J430">
    <cfRule type="cellIs" dxfId="73" priority="24" operator="equal">
      <formula>"E"</formula>
    </cfRule>
  </conditionalFormatting>
  <conditionalFormatting sqref="F434:J434 F436:J436 F438:J438 F440:J440 F442:J442 F444:J444">
    <cfRule type="cellIs" dxfId="72" priority="23" operator="equal">
      <formula>"E"</formula>
    </cfRule>
  </conditionalFormatting>
  <conditionalFormatting sqref="F448:J448 F450:J450 F452:J452 F454:J454 F456:J456 F458:J458">
    <cfRule type="cellIs" dxfId="71" priority="22" operator="equal">
      <formula>"E"</formula>
    </cfRule>
  </conditionalFormatting>
  <conditionalFormatting sqref="F462:J462 F464:J464 F466:J466 F468:J468 F470:J470 F472:J472">
    <cfRule type="cellIs" dxfId="70" priority="21" operator="equal">
      <formula>"E"</formula>
    </cfRule>
  </conditionalFormatting>
  <conditionalFormatting sqref="F476:J476 F478:J478 F480:J480 F482:J482 F484:J484 F486:J486">
    <cfRule type="cellIs" dxfId="69" priority="20" operator="equal">
      <formula>"E"</formula>
    </cfRule>
  </conditionalFormatting>
  <conditionalFormatting sqref="F490:J490 F492:J492 F494:J494 F496:J496 F498:J498 F500:J500">
    <cfRule type="cellIs" dxfId="68" priority="19" operator="equal">
      <formula>"E"</formula>
    </cfRule>
  </conditionalFormatting>
  <conditionalFormatting sqref="F522:J522 F524:J524 F526:J526 F528:J528 F530:J530 F532:J532">
    <cfRule type="cellIs" dxfId="67" priority="18" operator="equal">
      <formula>"E"</formula>
    </cfRule>
  </conditionalFormatting>
  <conditionalFormatting sqref="F538:J538 F540:J540 F542:J542 F544:J544 F546:J546 F548:J548">
    <cfRule type="cellIs" dxfId="66" priority="17" operator="equal">
      <formula>"E"</formula>
    </cfRule>
  </conditionalFormatting>
  <conditionalFormatting sqref="F552:J552 F554:J554 F556:J556 F558:J558 F560:J560 F562:J562">
    <cfRule type="cellIs" dxfId="65" priority="16" operator="equal">
      <formula>"E"</formula>
    </cfRule>
  </conditionalFormatting>
  <conditionalFormatting sqref="F566:J566 F568:J568 F570:J570 F572:J572 F574:J574 F576:J576">
    <cfRule type="cellIs" dxfId="64" priority="15" operator="equal">
      <formula>"E"</formula>
    </cfRule>
  </conditionalFormatting>
  <conditionalFormatting sqref="I388:J390">
    <cfRule type="cellIs" dxfId="63" priority="51" operator="lessThan">
      <formula>0</formula>
    </cfRule>
  </conditionalFormatting>
  <dataValidations count="16">
    <dataValidation type="list" allowBlank="1" showInputMessage="1" showErrorMessage="1" sqref="I390:J390 J27:J32" xr:uid="{00000000-0002-0000-0000-000000000000}">
      <formula1>"Y,N,NA"</formula1>
    </dataValidation>
    <dataValidation type="textLength" operator="lessThanOrEqual" allowBlank="1" showInputMessage="1" showErrorMessage="1" sqref="B501 B563 B549 B519 B445 A415 B414 B431 B459 B473 B487 A258 B257 B153 B213 B121 B135 B167 B73:F73 B242:J242 A535:F536 A579:F580 B88 B102 B181 B195" xr:uid="{00000000-0002-0000-0000-000001000000}">
      <formula1>1024</formula1>
    </dataValidation>
    <dataValidation type="decimal" operator="greaterThanOrEqual" allowBlank="1" showInputMessage="1" showErrorMessage="1" sqref="I383:J386 I380:J381 J230 K310:L339 G310:I339 D277:E306 I277:J306 N277:O306 C310:E339 A310:A339" xr:uid="{00000000-0002-0000-0000-000002000000}">
      <formula1>0</formula1>
    </dataValidation>
    <dataValidation type="list" allowBlank="1" showInputMessage="1" showErrorMessage="1" sqref="I389:J389 I265:J265 I262:J262 J235:J236 I217:J217" xr:uid="{00000000-0002-0000-0000-000003000000}">
      <formula1>"Y,N"</formula1>
    </dataValidation>
    <dataValidation type="whole" operator="greaterThan" allowBlank="1" showInputMessage="1" showErrorMessage="1" sqref="A277:A306 K277:K306 F277:F306" xr:uid="{00000000-0002-0000-0000-000004000000}">
      <formula1>0</formula1>
    </dataValidation>
    <dataValidation type="date" operator="greaterThanOrEqual" allowBlank="1" showInputMessage="1" showErrorMessage="1" sqref="B277:C306 L277:M306 G277:H306 C5" xr:uid="{00000000-0002-0000-0000-000005000000}">
      <formula1>1</formula1>
    </dataValidation>
    <dataValidation type="list" showInputMessage="1" showErrorMessage="1" sqref="J58 J53 J64 J71:J72 J12:J16" xr:uid="{00000000-0002-0000-0000-000006000000}">
      <formula1>"Y,N,NA"</formula1>
    </dataValidation>
    <dataValidation type="list" allowBlank="1" showInputMessage="1" showErrorMessage="1" sqref="G2" xr:uid="{00000000-0002-0000-0000-000007000000}">
      <formula1>"FULL,TARGETED"</formula1>
    </dataValidation>
    <dataValidation type="list" showInputMessage="1" showErrorMessage="1" sqref="H2" xr:uid="{00000000-0002-0000-0000-000008000000}">
      <formula1>"FORMAL,FOLLOW UP,ADMINISTRATIVE,COMPLAINT"</formula1>
    </dataValidation>
    <dataValidation type="list" showInputMessage="1" showErrorMessage="1" sqref="J41:J48 J50:J51 J34:J39 J68:J69 J18" xr:uid="{00000000-0002-0000-0000-000009000000}">
      <formula1>"Y,N"</formula1>
    </dataValidation>
    <dataValidation type="textLength" operator="equal" allowBlank="1" showInputMessage="1" showErrorMessage="1" errorTitle="Contract Number Length" error="Contract Number must be 9 digits including leading zeros." sqref="C7:E7" xr:uid="{00000000-0002-0000-0000-00000A000000}">
      <formula1>9</formula1>
    </dataValidation>
    <dataValidation type="textLength" operator="lessThanOrEqual" showInputMessage="1" showErrorMessage="1" sqref="A2:D2 B4:B5" xr:uid="{00000000-0002-0000-0000-00000B000000}">
      <formula1>255</formula1>
    </dataValidation>
    <dataValidation type="list" showInputMessage="1" showErrorMessage="1" sqref="I2:J2" xr:uid="{00000000-0002-0000-0000-00000C000000}">
      <formula1>"PROVISIONAL-FORMAL,PROVISIONAL-INTERMITTENT,STANDARD-FORMAL,STANDARD-INTERMITTENT,ENHANCED-FORMAL,ENHANCED-INTERMITTENT,ADMINISTRATIVE,COMPLAINT,CLOSE OUT"</formula1>
    </dataValidation>
    <dataValidation type="date" operator="greaterThanOrEqual" allowBlank="1" showInputMessage="1" showErrorMessage="1" errorTitle="Date Error" error="Date of Exit cannot be earlier than Date of Entrance." sqref="E5" xr:uid="{00000000-0002-0000-0000-00000D000000}">
      <formula1>C5</formula1>
    </dataValidation>
    <dataValidation type="date" operator="greaterThan" allowBlank="1" showInputMessage="1" showErrorMessage="1" errorTitle="Date Error" error="Date of Exit (Revised) cannot be earlier than Date of Exit." sqref="G5:H5" xr:uid="{00000000-0002-0000-0000-00000E000000}">
      <formula1>E5</formula1>
    </dataValidation>
    <dataValidation allowBlank="1" showDropDown="1" showInputMessage="1" showErrorMessage="1" sqref="F85:J85 F77:J77 F79:J79 F81:J81 F83:J83 F87:J87 F97:J97 F99:J99 F91:J91 F93:J93 F95:J95 F101:J101" xr:uid="{00000000-0002-0000-0000-00000F000000}"/>
  </dataValidations>
  <printOptions horizontalCentered="1"/>
  <pageMargins left="0.5" right="0.5" top="1" bottom="0.75" header="0.25" footer="0.25"/>
  <pageSetup scale="61" fitToHeight="0" orientation="portrait" r:id="rId7"/>
  <headerFooter>
    <oddHeader>&amp;L&amp;"Arial,Regular"&amp;8Texas Department of Aging 
and Disability Services&amp;C&amp;"Arial,Bold"&amp;12RESIDENTIAL CARE (RC)
 MONITORING WORKBOOK&amp;R&amp;"Arial,Regular"&amp;8Form TBD
Page &amp;P</odd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4"/>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9</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kCN+gjcKwGQtQu2XGYQ8eL0/Vq92HA/QlppB1gR5HlhfHRLrDTYg4jl5FnPcirvRWiNflZtDaTZPIH77Lkz0HQ==" saltValue="hYz+l9Vd9y9QBcRRdLnWqA=="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46" priority="2" operator="lessThan">
      <formula>0</formula>
    </cfRule>
  </conditionalFormatting>
  <conditionalFormatting sqref="I274:I277">
    <cfRule type="cellIs" dxfId="45" priority="1" operator="equal">
      <formula>0</formula>
    </cfRule>
  </conditionalFormatting>
  <dataValidations count="21">
    <dataValidation operator="greaterThanOrEqual" allowBlank="1" showInputMessage="1" showErrorMessage="1" sqref="K2 D144:E144 I144:K144 I156:K156 D156:E156" xr:uid="{00000000-0002-0000-0900-000000000000}"/>
    <dataValidation type="date" allowBlank="1" showInputMessage="1" showErrorMessage="1" errorTitle="Date Error" error="Date must be within Dates of Review Period." sqref="D37:E37 I37:K37" xr:uid="{00000000-0002-0000-0900-000001000000}">
      <formula1>$G$2</formula1>
      <formula2>$I$2</formula2>
    </dataValidation>
    <dataValidation type="decimal" operator="greaterThanOrEqual" allowBlank="1" showInputMessage="1" showErrorMessage="1" sqref="D242:E242" xr:uid="{00000000-0002-0000-0900-000002000000}">
      <formula1>MINVALDBL</formula1>
    </dataValidation>
    <dataValidation type="list" allowBlank="1" showInputMessage="1" showErrorMessage="1" promptTitle="X.6.a Entry Guidance" prompt="X.6.a cannot be &quot;NA&quot; if Column D above (Total Refund Due) is greater than $0.00." sqref="J243:K243" xr:uid="{00000000-0002-0000-09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0900-000004000000}">
      <formula1>A47</formula1>
    </dataValidation>
    <dataValidation type="whole" allowBlank="1" showInputMessage="1" showErrorMessage="1" sqref="H349:H354" xr:uid="{00000000-0002-0000-0900-000005000000}">
      <formula1>1</formula1>
      <formula2>31</formula2>
    </dataValidation>
    <dataValidation type="textLength" operator="greaterThan" allowBlank="1" showInputMessage="1" showErrorMessage="1" sqref="D3:D4" xr:uid="{00000000-0002-0000-0900-000006000000}">
      <formula1>1</formula1>
    </dataValidation>
    <dataValidation type="whole" allowBlank="1" showInputMessage="1" showErrorMessage="1" sqref="A2" xr:uid="{00000000-0002-0000-0900-000007000000}">
      <formula1>1</formula1>
      <formula2>99</formula2>
    </dataValidation>
    <dataValidation type="whole" operator="greaterThan" allowBlank="1" showInputMessage="1" showErrorMessage="1" sqref="E121:E130 A121:A130" xr:uid="{00000000-0002-0000-0900-000008000000}">
      <formula1>0</formula1>
    </dataValidation>
    <dataValidation type="textLength" operator="lessThanOrEqual" allowBlank="1" showInputMessage="1" showErrorMessage="1" sqref="N242:Q242 E196:K215 E172:K181 A295:E299 E225:K234" xr:uid="{00000000-0002-0000-0900-000009000000}">
      <formula1>255</formula1>
    </dataValidation>
    <dataValidation type="date" operator="greaterThan" allowBlank="1" showInputMessage="1" showErrorMessage="1" sqref="R242:S242" xr:uid="{00000000-0002-0000-0900-00000A000000}">
      <formula1>1</formula1>
    </dataValidation>
    <dataValidation type="whole" allowBlank="1" showInputMessage="1" showErrorMessage="1" sqref="C349:C354" xr:uid="{00000000-0002-0000-0900-00000B000000}">
      <formula1>1</formula1>
      <formula2>999</formula2>
    </dataValidation>
    <dataValidation type="decimal" operator="greaterThan" allowBlank="1" showInputMessage="1" showErrorMessage="1" sqref="J301:K301" xr:uid="{00000000-0002-0000-0900-00000C000000}">
      <formula1>0</formula1>
    </dataValidation>
    <dataValidation type="decimal" operator="greaterThanOrEqual" allowBlank="1" showInputMessage="1" showErrorMessage="1" sqref="F295:I299" xr:uid="{00000000-0002-0000-09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0900-00000E000000}">
      <formula1>0</formula1>
    </dataValidation>
    <dataValidation type="list" allowBlank="1" showInputMessage="1" showErrorMessage="1" sqref="B242" xr:uid="{00000000-0002-0000-0900-00000F000000}">
      <formula1>"DEATH,DISCHARGE"</formula1>
    </dataValidation>
    <dataValidation type="list" allowBlank="1" showInputMessage="1" showErrorMessage="1" sqref="J337:K341 K63:L65 K15:L16 G37 B37 J364:K365 J304:K305 J329:K334 J324 J53:K54 J56" xr:uid="{00000000-0002-0000-09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09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0900-000012000000}">
      <formula1>1</formula1>
    </dataValidation>
    <dataValidation type="date" operator="greaterThan" allowBlank="1" showInputMessage="1" showErrorMessage="1" errorTitle="Date Error" error="&quot;From&quot; date must be later than previous &quot;To&quot; date." sqref="A350:A354" xr:uid="{00000000-0002-0000-0900-000013000000}">
      <formula1>B349</formula1>
    </dataValidation>
    <dataValidation type="date" operator="greaterThanOrEqual" allowBlank="1" showInputMessage="1" showErrorMessage="1" errorTitle="Date Error" error="&quot;To&quot; date cannot be earlier than &quot;From&quot; date." sqref="B349:B354" xr:uid="{00000000-0002-0000-09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77857"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77858"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77859"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77860"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77861"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77862"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77863"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77864"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77865"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77866"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77867"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77868"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77869"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09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09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09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0900-000018000000}">
          <x14:formula1>
            <xm:f>'Samples (Print)'!B2</xm:f>
          </x14:formula1>
          <x14:formula2>
            <xm:f>'Samples (Print)'!D2</xm:f>
          </x14:formula2>
          <xm:sqref>A47:E47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3"/>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10</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eNHEqEu00eY55Tw1/d2mGhCXKYaq2ZaJUrvVh4Bd9X5CCIwzhG/wVOFH8mcZnY7HzfT/FR40fGfYxbanXqBUgw==" saltValue="2HeCpkRVbLuOOd63Qp9kJQ=="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44" priority="2" operator="lessThan">
      <formula>0</formula>
    </cfRule>
  </conditionalFormatting>
  <conditionalFormatting sqref="I274:I277">
    <cfRule type="cellIs" dxfId="43" priority="1" operator="equal">
      <formula>0</formula>
    </cfRule>
  </conditionalFormatting>
  <dataValidations count="21">
    <dataValidation operator="greaterThanOrEqual" allowBlank="1" showInputMessage="1" showErrorMessage="1" sqref="K2 D144:E144 I144:K144 I156:K156 D156:E156" xr:uid="{00000000-0002-0000-0A00-000000000000}"/>
    <dataValidation type="date" allowBlank="1" showInputMessage="1" showErrorMessage="1" errorTitle="Date Error" error="Date must be within Dates of Review Period." sqref="D37:E37 I37:K37" xr:uid="{00000000-0002-0000-0A00-000001000000}">
      <formula1>$G$2</formula1>
      <formula2>$I$2</formula2>
    </dataValidation>
    <dataValidation type="decimal" operator="greaterThanOrEqual" allowBlank="1" showInputMessage="1" showErrorMessage="1" sqref="D242:E242" xr:uid="{00000000-0002-0000-0A00-000002000000}">
      <formula1>MINVALDBL</formula1>
    </dataValidation>
    <dataValidation type="list" allowBlank="1" showInputMessage="1" showErrorMessage="1" promptTitle="X.6.a Entry Guidance" prompt="X.6.a cannot be &quot;NA&quot; if Column D above (Total Refund Due) is greater than $0.00." sqref="J243:K243" xr:uid="{00000000-0002-0000-0A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0A00-000004000000}">
      <formula1>A47</formula1>
    </dataValidation>
    <dataValidation type="whole" allowBlank="1" showInputMessage="1" showErrorMessage="1" sqref="H349:H354" xr:uid="{00000000-0002-0000-0A00-000005000000}">
      <formula1>1</formula1>
      <formula2>31</formula2>
    </dataValidation>
    <dataValidation type="textLength" operator="greaterThan" allowBlank="1" showInputMessage="1" showErrorMessage="1" sqref="D3:D4" xr:uid="{00000000-0002-0000-0A00-000006000000}">
      <formula1>1</formula1>
    </dataValidation>
    <dataValidation type="whole" allowBlank="1" showInputMessage="1" showErrorMessage="1" sqref="A2" xr:uid="{00000000-0002-0000-0A00-000007000000}">
      <formula1>1</formula1>
      <formula2>99</formula2>
    </dataValidation>
    <dataValidation type="whole" operator="greaterThan" allowBlank="1" showInputMessage="1" showErrorMessage="1" sqref="E121:E130 A121:A130" xr:uid="{00000000-0002-0000-0A00-000008000000}">
      <formula1>0</formula1>
    </dataValidation>
    <dataValidation type="textLength" operator="lessThanOrEqual" allowBlank="1" showInputMessage="1" showErrorMessage="1" sqref="N242:Q242 E196:K215 E172:K181 A295:E299 E225:K234" xr:uid="{00000000-0002-0000-0A00-000009000000}">
      <formula1>255</formula1>
    </dataValidation>
    <dataValidation type="date" operator="greaterThan" allowBlank="1" showInputMessage="1" showErrorMessage="1" sqref="R242:S242" xr:uid="{00000000-0002-0000-0A00-00000A000000}">
      <formula1>1</formula1>
    </dataValidation>
    <dataValidation type="whole" allowBlank="1" showInputMessage="1" showErrorMessage="1" sqref="C349:C354" xr:uid="{00000000-0002-0000-0A00-00000B000000}">
      <formula1>1</formula1>
      <formula2>999</formula2>
    </dataValidation>
    <dataValidation type="decimal" operator="greaterThan" allowBlank="1" showInputMessage="1" showErrorMessage="1" sqref="J301:K301" xr:uid="{00000000-0002-0000-0A00-00000C000000}">
      <formula1>0</formula1>
    </dataValidation>
    <dataValidation type="decimal" operator="greaterThanOrEqual" allowBlank="1" showInputMessage="1" showErrorMessage="1" sqref="F295:I299" xr:uid="{00000000-0002-0000-0A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0A00-00000E000000}">
      <formula1>0</formula1>
    </dataValidation>
    <dataValidation type="list" allowBlank="1" showInputMessage="1" showErrorMessage="1" sqref="B242" xr:uid="{00000000-0002-0000-0A00-00000F000000}">
      <formula1>"DEATH,DISCHARGE"</formula1>
    </dataValidation>
    <dataValidation type="list" allowBlank="1" showInputMessage="1" showErrorMessage="1" sqref="J337:K341 K63:L65 K15:L16 G37 B37 J364:K365 J304:K305 J329:K334 J324 J53:K54 J56" xr:uid="{00000000-0002-0000-0A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0A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0A00-000012000000}">
      <formula1>1</formula1>
    </dataValidation>
    <dataValidation type="date" operator="greaterThan" allowBlank="1" showInputMessage="1" showErrorMessage="1" errorTitle="Date Error" error="&quot;From&quot; date must be later than previous &quot;To&quot; date." sqref="A350:A354" xr:uid="{00000000-0002-0000-0A00-000013000000}">
      <formula1>B349</formula1>
    </dataValidation>
    <dataValidation type="date" operator="greaterThanOrEqual" allowBlank="1" showInputMessage="1" showErrorMessage="1" errorTitle="Date Error" error="&quot;To&quot; date cannot be earlier than &quot;From&quot; date." sqref="B349:B354" xr:uid="{00000000-0002-0000-0A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76833"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76834"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76835"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76836"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76837"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76838"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76839"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76840"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76841"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76842"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76843"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76844"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76845"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0A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0A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0A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0A00-000018000000}">
          <x14:formula1>
            <xm:f>'Samples (Print)'!B2</xm:f>
          </x14:formula1>
          <x14:formula2>
            <xm:f>'Samples (Print)'!D2</xm:f>
          </x14:formula2>
          <xm:sqref>A47:E47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2"/>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11</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nwEmjwd2yeC55TpgN6T5kJEbsY6W5ufWnI72+05Yf5Mvn5mKtqLzz7/Q0r1FuYeHSugHZABFXRDhANVVEMtdGw==" saltValue="PO1K8AfRxqkx8BmfgpHd+A=="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42" priority="2" operator="lessThan">
      <formula>0</formula>
    </cfRule>
  </conditionalFormatting>
  <conditionalFormatting sqref="I274:I277">
    <cfRule type="cellIs" dxfId="41" priority="1" operator="equal">
      <formula>0</formula>
    </cfRule>
  </conditionalFormatting>
  <dataValidations count="21">
    <dataValidation operator="greaterThanOrEqual" allowBlank="1" showInputMessage="1" showErrorMessage="1" sqref="K2 D144:E144 I144:K144 I156:K156 D156:E156" xr:uid="{00000000-0002-0000-0B00-000000000000}"/>
    <dataValidation type="date" allowBlank="1" showInputMessage="1" showErrorMessage="1" errorTitle="Date Error" error="Date must be within Dates of Review Period." sqref="D37:E37 I37:K37" xr:uid="{00000000-0002-0000-0B00-000001000000}">
      <formula1>$G$2</formula1>
      <formula2>$I$2</formula2>
    </dataValidation>
    <dataValidation type="decimal" operator="greaterThanOrEqual" allowBlank="1" showInputMessage="1" showErrorMessage="1" sqref="D242:E242" xr:uid="{00000000-0002-0000-0B00-000002000000}">
      <formula1>MINVALDBL</formula1>
    </dataValidation>
    <dataValidation type="list" allowBlank="1" showInputMessage="1" showErrorMessage="1" promptTitle="X.6.a Entry Guidance" prompt="X.6.a cannot be &quot;NA&quot; if Column D above (Total Refund Due) is greater than $0.00." sqref="J243:K243" xr:uid="{00000000-0002-0000-0B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0B00-000004000000}">
      <formula1>A47</formula1>
    </dataValidation>
    <dataValidation type="whole" allowBlank="1" showInputMessage="1" showErrorMessage="1" sqref="H349:H354" xr:uid="{00000000-0002-0000-0B00-000005000000}">
      <formula1>1</formula1>
      <formula2>31</formula2>
    </dataValidation>
    <dataValidation type="textLength" operator="greaterThan" allowBlank="1" showInputMessage="1" showErrorMessage="1" sqref="D3:D4" xr:uid="{00000000-0002-0000-0B00-000006000000}">
      <formula1>1</formula1>
    </dataValidation>
    <dataValidation type="whole" allowBlank="1" showInputMessage="1" showErrorMessage="1" sqref="A2" xr:uid="{00000000-0002-0000-0B00-000007000000}">
      <formula1>1</formula1>
      <formula2>99</formula2>
    </dataValidation>
    <dataValidation type="whole" operator="greaterThan" allowBlank="1" showInputMessage="1" showErrorMessage="1" sqref="E121:E130 A121:A130" xr:uid="{00000000-0002-0000-0B00-000008000000}">
      <formula1>0</formula1>
    </dataValidation>
    <dataValidation type="textLength" operator="lessThanOrEqual" allowBlank="1" showInputMessage="1" showErrorMessage="1" sqref="N242:Q242 E196:K215 E172:K181 A295:E299 E225:K234" xr:uid="{00000000-0002-0000-0B00-000009000000}">
      <formula1>255</formula1>
    </dataValidation>
    <dataValidation type="date" operator="greaterThan" allowBlank="1" showInputMessage="1" showErrorMessage="1" sqref="R242:S242" xr:uid="{00000000-0002-0000-0B00-00000A000000}">
      <formula1>1</formula1>
    </dataValidation>
    <dataValidation type="whole" allowBlank="1" showInputMessage="1" showErrorMessage="1" sqref="C349:C354" xr:uid="{00000000-0002-0000-0B00-00000B000000}">
      <formula1>1</formula1>
      <formula2>999</formula2>
    </dataValidation>
    <dataValidation type="decimal" operator="greaterThan" allowBlank="1" showInputMessage="1" showErrorMessage="1" sqref="J301:K301" xr:uid="{00000000-0002-0000-0B00-00000C000000}">
      <formula1>0</formula1>
    </dataValidation>
    <dataValidation type="decimal" operator="greaterThanOrEqual" allowBlank="1" showInputMessage="1" showErrorMessage="1" sqref="F295:I299" xr:uid="{00000000-0002-0000-0B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0B00-00000E000000}">
      <formula1>0</formula1>
    </dataValidation>
    <dataValidation type="list" allowBlank="1" showInputMessage="1" showErrorMessage="1" sqref="B242" xr:uid="{00000000-0002-0000-0B00-00000F000000}">
      <formula1>"DEATH,DISCHARGE"</formula1>
    </dataValidation>
    <dataValidation type="list" allowBlank="1" showInputMessage="1" showErrorMessage="1" sqref="J337:K341 K63:L65 K15:L16 G37 B37 J364:K365 J304:K305 J329:K334 J324 J53:K54 J56" xr:uid="{00000000-0002-0000-0B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0B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0B00-000012000000}">
      <formula1>1</formula1>
    </dataValidation>
    <dataValidation type="date" operator="greaterThan" allowBlank="1" showInputMessage="1" showErrorMessage="1" errorTitle="Date Error" error="&quot;From&quot; date must be later than previous &quot;To&quot; date." sqref="A350:A354" xr:uid="{00000000-0002-0000-0B00-000013000000}">
      <formula1>B349</formula1>
    </dataValidation>
    <dataValidation type="date" operator="greaterThanOrEqual" allowBlank="1" showInputMessage="1" showErrorMessage="1" errorTitle="Date Error" error="&quot;To&quot; date cannot be earlier than &quot;From&quot; date." sqref="B349:B354" xr:uid="{00000000-0002-0000-0B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75809"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75810"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75811"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75812"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75813"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75814"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75815"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75816"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75817"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75818"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75819"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75820"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75821"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0B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0B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0B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0B00-000018000000}">
          <x14:formula1>
            <xm:f>'Samples (Print)'!B2</xm:f>
          </x14:formula1>
          <x14:formula2>
            <xm:f>'Samples (Print)'!D2</xm:f>
          </x14:formula2>
          <xm:sqref>A47:E47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12</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y4aUBsjKcea15TOBrSE8ejC/Qdkg4bLeQXUzLjmjljy35OKgOQoxf2gTjco3xL8OUFmVw48RPUwr4FFrCTchyQ==" saltValue="V9REtQ1ut36At7Hcxi9FmA=="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40" priority="2" operator="lessThan">
      <formula>0</formula>
    </cfRule>
  </conditionalFormatting>
  <conditionalFormatting sqref="I274:I277">
    <cfRule type="cellIs" dxfId="39" priority="1" operator="equal">
      <formula>0</formula>
    </cfRule>
  </conditionalFormatting>
  <dataValidations count="21">
    <dataValidation operator="greaterThanOrEqual" allowBlank="1" showInputMessage="1" showErrorMessage="1" sqref="K2 D144:E144 I144:K144 I156:K156 D156:E156" xr:uid="{00000000-0002-0000-0C00-000000000000}"/>
    <dataValidation type="date" allowBlank="1" showInputMessage="1" showErrorMessage="1" errorTitle="Date Error" error="Date must be within Dates of Review Period." sqref="D37:E37 I37:K37" xr:uid="{00000000-0002-0000-0C00-000001000000}">
      <formula1>$G$2</formula1>
      <formula2>$I$2</formula2>
    </dataValidation>
    <dataValidation type="decimal" operator="greaterThanOrEqual" allowBlank="1" showInputMessage="1" showErrorMessage="1" sqref="D242:E242" xr:uid="{00000000-0002-0000-0C00-000002000000}">
      <formula1>MINVALDBL</formula1>
    </dataValidation>
    <dataValidation type="list" allowBlank="1" showInputMessage="1" showErrorMessage="1" promptTitle="X.6.a Entry Guidance" prompt="X.6.a cannot be &quot;NA&quot; if Column D above (Total Refund Due) is greater than $0.00." sqref="J243:K243" xr:uid="{00000000-0002-0000-0C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0C00-000004000000}">
      <formula1>A47</formula1>
    </dataValidation>
    <dataValidation type="whole" allowBlank="1" showInputMessage="1" showErrorMessage="1" sqref="H349:H354" xr:uid="{00000000-0002-0000-0C00-000005000000}">
      <formula1>1</formula1>
      <formula2>31</formula2>
    </dataValidation>
    <dataValidation type="textLength" operator="greaterThan" allowBlank="1" showInputMessage="1" showErrorMessage="1" sqref="D3:D4" xr:uid="{00000000-0002-0000-0C00-000006000000}">
      <formula1>1</formula1>
    </dataValidation>
    <dataValidation type="whole" allowBlank="1" showInputMessage="1" showErrorMessage="1" sqref="A2" xr:uid="{00000000-0002-0000-0C00-000007000000}">
      <formula1>1</formula1>
      <formula2>99</formula2>
    </dataValidation>
    <dataValidation type="whole" operator="greaterThan" allowBlank="1" showInputMessage="1" showErrorMessage="1" sqref="E121:E130 A121:A130" xr:uid="{00000000-0002-0000-0C00-000008000000}">
      <formula1>0</formula1>
    </dataValidation>
    <dataValidation type="textLength" operator="lessThanOrEqual" allowBlank="1" showInputMessage="1" showErrorMessage="1" sqref="N242:Q242 E196:K215 E172:K181 A295:E299 E225:K234" xr:uid="{00000000-0002-0000-0C00-000009000000}">
      <formula1>255</formula1>
    </dataValidation>
    <dataValidation type="date" operator="greaterThan" allowBlank="1" showInputMessage="1" showErrorMessage="1" sqref="R242:S242" xr:uid="{00000000-0002-0000-0C00-00000A000000}">
      <formula1>1</formula1>
    </dataValidation>
    <dataValidation type="whole" allowBlank="1" showInputMessage="1" showErrorMessage="1" sqref="C349:C354" xr:uid="{00000000-0002-0000-0C00-00000B000000}">
      <formula1>1</formula1>
      <formula2>999</formula2>
    </dataValidation>
    <dataValidation type="decimal" operator="greaterThan" allowBlank="1" showInputMessage="1" showErrorMessage="1" sqref="J301:K301" xr:uid="{00000000-0002-0000-0C00-00000C000000}">
      <formula1>0</formula1>
    </dataValidation>
    <dataValidation type="decimal" operator="greaterThanOrEqual" allowBlank="1" showInputMessage="1" showErrorMessage="1" sqref="F295:I299" xr:uid="{00000000-0002-0000-0C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0C00-00000E000000}">
      <formula1>0</formula1>
    </dataValidation>
    <dataValidation type="list" allowBlank="1" showInputMessage="1" showErrorMessage="1" sqref="B242" xr:uid="{00000000-0002-0000-0C00-00000F000000}">
      <formula1>"DEATH,DISCHARGE"</formula1>
    </dataValidation>
    <dataValidation type="list" allowBlank="1" showInputMessage="1" showErrorMessage="1" sqref="J337:K341 K63:L65 K15:L16 G37 B37 J364:K365 J304:K305 J329:K334 J324 J53:K54 J56" xr:uid="{00000000-0002-0000-0C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0C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0C00-000012000000}">
      <formula1>1</formula1>
    </dataValidation>
    <dataValidation type="date" operator="greaterThan" allowBlank="1" showInputMessage="1" showErrorMessage="1" errorTitle="Date Error" error="&quot;From&quot; date must be later than previous &quot;To&quot; date." sqref="A350:A354" xr:uid="{00000000-0002-0000-0C00-000013000000}">
      <formula1>B349</formula1>
    </dataValidation>
    <dataValidation type="date" operator="greaterThanOrEqual" allowBlank="1" showInputMessage="1" showErrorMessage="1" errorTitle="Date Error" error="&quot;To&quot; date cannot be earlier than &quot;From&quot; date." sqref="B349:B354" xr:uid="{00000000-0002-0000-0C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74785"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74786"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74787"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74788"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74789"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74790"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74791"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74792"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74793"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74794"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74795"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74796"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74797"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0C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0C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0C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0C00-000018000000}">
          <x14:formula1>
            <xm:f>'Samples (Print)'!B2</xm:f>
          </x14:formula1>
          <x14:formula2>
            <xm:f>'Samples (Print)'!D2</xm:f>
          </x14:formula2>
          <xm:sqref>A47:E47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13</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FIN6Jw0KQr3G3RzUa472iXkFs0T4uR+2inTqeEvHerhASiq+W7I9jNiU3yayjjb/FQBYslGtgv9kEzI+4odXPA==" saltValue="/n2Pt0dFS+XU8EnOuZyNRQ=="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38" priority="2" operator="lessThan">
      <formula>0</formula>
    </cfRule>
  </conditionalFormatting>
  <conditionalFormatting sqref="I274:I277">
    <cfRule type="cellIs" dxfId="37" priority="1" operator="equal">
      <formula>0</formula>
    </cfRule>
  </conditionalFormatting>
  <dataValidations count="21">
    <dataValidation operator="greaterThanOrEqual" allowBlank="1" showInputMessage="1" showErrorMessage="1" sqref="K2 D144:E144 I144:K144 I156:K156 D156:E156" xr:uid="{00000000-0002-0000-0D00-000000000000}"/>
    <dataValidation type="date" allowBlank="1" showInputMessage="1" showErrorMessage="1" errorTitle="Date Error" error="Date must be within Dates of Review Period." sqref="D37:E37 I37:K37" xr:uid="{00000000-0002-0000-0D00-000001000000}">
      <formula1>$G$2</formula1>
      <formula2>$I$2</formula2>
    </dataValidation>
    <dataValidation type="decimal" operator="greaterThanOrEqual" allowBlank="1" showInputMessage="1" showErrorMessage="1" sqref="D242:E242" xr:uid="{00000000-0002-0000-0D00-000002000000}">
      <formula1>MINVALDBL</formula1>
    </dataValidation>
    <dataValidation type="list" allowBlank="1" showInputMessage="1" showErrorMessage="1" promptTitle="X.6.a Entry Guidance" prompt="X.6.a cannot be &quot;NA&quot; if Column D above (Total Refund Due) is greater than $0.00." sqref="J243:K243" xr:uid="{00000000-0002-0000-0D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0D00-000004000000}">
      <formula1>A47</formula1>
    </dataValidation>
    <dataValidation type="whole" allowBlank="1" showInputMessage="1" showErrorMessage="1" sqref="H349:H354" xr:uid="{00000000-0002-0000-0D00-000005000000}">
      <formula1>1</formula1>
      <formula2>31</formula2>
    </dataValidation>
    <dataValidation type="textLength" operator="greaterThan" allowBlank="1" showInputMessage="1" showErrorMessage="1" sqref="D3:D4" xr:uid="{00000000-0002-0000-0D00-000006000000}">
      <formula1>1</formula1>
    </dataValidation>
    <dataValidation type="whole" allowBlank="1" showInputMessage="1" showErrorMessage="1" sqref="A2" xr:uid="{00000000-0002-0000-0D00-000007000000}">
      <formula1>1</formula1>
      <formula2>99</formula2>
    </dataValidation>
    <dataValidation type="whole" operator="greaterThan" allowBlank="1" showInputMessage="1" showErrorMessage="1" sqref="E121:E130 A121:A130" xr:uid="{00000000-0002-0000-0D00-000008000000}">
      <formula1>0</formula1>
    </dataValidation>
    <dataValidation type="textLength" operator="lessThanOrEqual" allowBlank="1" showInputMessage="1" showErrorMessage="1" sqref="N242:Q242 E196:K215 E172:K181 A295:E299 E225:K234" xr:uid="{00000000-0002-0000-0D00-000009000000}">
      <formula1>255</formula1>
    </dataValidation>
    <dataValidation type="date" operator="greaterThan" allowBlank="1" showInputMessage="1" showErrorMessage="1" sqref="R242:S242" xr:uid="{00000000-0002-0000-0D00-00000A000000}">
      <formula1>1</formula1>
    </dataValidation>
    <dataValidation type="whole" allowBlank="1" showInputMessage="1" showErrorMessage="1" sqref="C349:C354" xr:uid="{00000000-0002-0000-0D00-00000B000000}">
      <formula1>1</formula1>
      <formula2>999</formula2>
    </dataValidation>
    <dataValidation type="decimal" operator="greaterThan" allowBlank="1" showInputMessage="1" showErrorMessage="1" sqref="J301:K301" xr:uid="{00000000-0002-0000-0D00-00000C000000}">
      <formula1>0</formula1>
    </dataValidation>
    <dataValidation type="decimal" operator="greaterThanOrEqual" allowBlank="1" showInputMessage="1" showErrorMessage="1" sqref="F295:I299" xr:uid="{00000000-0002-0000-0D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0D00-00000E000000}">
      <formula1>0</formula1>
    </dataValidation>
    <dataValidation type="list" allowBlank="1" showInputMessage="1" showErrorMessage="1" sqref="B242" xr:uid="{00000000-0002-0000-0D00-00000F000000}">
      <formula1>"DEATH,DISCHARGE"</formula1>
    </dataValidation>
    <dataValidation type="list" allowBlank="1" showInputMessage="1" showErrorMessage="1" sqref="J337:K341 K63:L65 K15:L16 G37 B37 J364:K365 J304:K305 J329:K334 J324 J53:K54 J56" xr:uid="{00000000-0002-0000-0D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0D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0D00-000012000000}">
      <formula1>1</formula1>
    </dataValidation>
    <dataValidation type="date" operator="greaterThan" allowBlank="1" showInputMessage="1" showErrorMessage="1" errorTitle="Date Error" error="&quot;From&quot; date must be later than previous &quot;To&quot; date." sqref="A350:A354" xr:uid="{00000000-0002-0000-0D00-000013000000}">
      <formula1>B349</formula1>
    </dataValidation>
    <dataValidation type="date" operator="greaterThanOrEqual" allowBlank="1" showInputMessage="1" showErrorMessage="1" errorTitle="Date Error" error="&quot;To&quot; date cannot be earlier than &quot;From&quot; date." sqref="B349:B354" xr:uid="{00000000-0002-0000-0D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73761"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73762"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73763"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73764"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73765"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73766"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73767"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73768"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73769"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73770"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73771"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73772"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73773"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0D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0D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0D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0D00-000018000000}">
          <x14:formula1>
            <xm:f>'Samples (Print)'!B2</xm:f>
          </x14:formula1>
          <x14:formula2>
            <xm:f>'Samples (Print)'!D2</xm:f>
          </x14:formula2>
          <xm:sqref>A47:E47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14</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2FE0dGm6ku9hpF9E3Kk4WrihaYA+314VraM06GFC6eIOxs/rKIaPdya55Dx9HPL89ms+hAVU6CFSfx3B5lcxHA==" saltValue="0+hrt5r/HkSoPIJejtrBEA=="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36" priority="2" operator="lessThan">
      <formula>0</formula>
    </cfRule>
  </conditionalFormatting>
  <conditionalFormatting sqref="I274:I277">
    <cfRule type="cellIs" dxfId="35" priority="1" operator="equal">
      <formula>0</formula>
    </cfRule>
  </conditionalFormatting>
  <dataValidations count="21">
    <dataValidation operator="greaterThanOrEqual" allowBlank="1" showInputMessage="1" showErrorMessage="1" sqref="K2 D144:E144 I144:K144 I156:K156 D156:E156" xr:uid="{00000000-0002-0000-0E00-000000000000}"/>
    <dataValidation type="date" allowBlank="1" showInputMessage="1" showErrorMessage="1" errorTitle="Date Error" error="Date must be within Dates of Review Period." sqref="D37:E37 I37:K37" xr:uid="{00000000-0002-0000-0E00-000001000000}">
      <formula1>$G$2</formula1>
      <formula2>$I$2</formula2>
    </dataValidation>
    <dataValidation type="decimal" operator="greaterThanOrEqual" allowBlank="1" showInputMessage="1" showErrorMessage="1" sqref="D242:E242" xr:uid="{00000000-0002-0000-0E00-000002000000}">
      <formula1>MINVALDBL</formula1>
    </dataValidation>
    <dataValidation type="list" allowBlank="1" showInputMessage="1" showErrorMessage="1" promptTitle="X.6.a Entry Guidance" prompt="X.6.a cannot be &quot;NA&quot; if Column D above (Total Refund Due) is greater than $0.00." sqref="J243:K243" xr:uid="{00000000-0002-0000-0E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0E00-000004000000}">
      <formula1>A47</formula1>
    </dataValidation>
    <dataValidation type="whole" allowBlank="1" showInputMessage="1" showErrorMessage="1" sqref="H349:H354" xr:uid="{00000000-0002-0000-0E00-000005000000}">
      <formula1>1</formula1>
      <formula2>31</formula2>
    </dataValidation>
    <dataValidation type="textLength" operator="greaterThan" allowBlank="1" showInputMessage="1" showErrorMessage="1" sqref="D3:D4" xr:uid="{00000000-0002-0000-0E00-000006000000}">
      <formula1>1</formula1>
    </dataValidation>
    <dataValidation type="whole" allowBlank="1" showInputMessage="1" showErrorMessage="1" sqref="A2" xr:uid="{00000000-0002-0000-0E00-000007000000}">
      <formula1>1</formula1>
      <formula2>99</formula2>
    </dataValidation>
    <dataValidation type="whole" operator="greaterThan" allowBlank="1" showInputMessage="1" showErrorMessage="1" sqref="E121:E130 A121:A130" xr:uid="{00000000-0002-0000-0E00-000008000000}">
      <formula1>0</formula1>
    </dataValidation>
    <dataValidation type="textLength" operator="lessThanOrEqual" allowBlank="1" showInputMessage="1" showErrorMessage="1" sqref="N242:Q242 E196:K215 E172:K181 A295:E299 E225:K234" xr:uid="{00000000-0002-0000-0E00-000009000000}">
      <formula1>255</formula1>
    </dataValidation>
    <dataValidation type="date" operator="greaterThan" allowBlank="1" showInputMessage="1" showErrorMessage="1" sqref="R242:S242" xr:uid="{00000000-0002-0000-0E00-00000A000000}">
      <formula1>1</formula1>
    </dataValidation>
    <dataValidation type="whole" allowBlank="1" showInputMessage="1" showErrorMessage="1" sqref="C349:C354" xr:uid="{00000000-0002-0000-0E00-00000B000000}">
      <formula1>1</formula1>
      <formula2>999</formula2>
    </dataValidation>
    <dataValidation type="decimal" operator="greaterThan" allowBlank="1" showInputMessage="1" showErrorMessage="1" sqref="J301:K301" xr:uid="{00000000-0002-0000-0E00-00000C000000}">
      <formula1>0</formula1>
    </dataValidation>
    <dataValidation type="decimal" operator="greaterThanOrEqual" allowBlank="1" showInputMessage="1" showErrorMessage="1" sqref="F295:I299" xr:uid="{00000000-0002-0000-0E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0E00-00000E000000}">
      <formula1>0</formula1>
    </dataValidation>
    <dataValidation type="list" allowBlank="1" showInputMessage="1" showErrorMessage="1" sqref="B242" xr:uid="{00000000-0002-0000-0E00-00000F000000}">
      <formula1>"DEATH,DISCHARGE"</formula1>
    </dataValidation>
    <dataValidation type="list" allowBlank="1" showInputMessage="1" showErrorMessage="1" sqref="J337:K341 K63:L65 K15:L16 G37 B37 J364:K365 J304:K305 J329:K334 J324 J53:K54 J56" xr:uid="{00000000-0002-0000-0E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0E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0E00-000012000000}">
      <formula1>1</formula1>
    </dataValidation>
    <dataValidation type="date" operator="greaterThan" allowBlank="1" showInputMessage="1" showErrorMessage="1" errorTitle="Date Error" error="&quot;From&quot; date must be later than previous &quot;To&quot; date." sqref="A350:A354" xr:uid="{00000000-0002-0000-0E00-000013000000}">
      <formula1>B349</formula1>
    </dataValidation>
    <dataValidation type="date" operator="greaterThanOrEqual" allowBlank="1" showInputMessage="1" showErrorMessage="1" errorTitle="Date Error" error="&quot;To&quot; date cannot be earlier than &quot;From&quot; date." sqref="B349:B354" xr:uid="{00000000-0002-0000-0E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72737"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72738"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72739"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72740"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72741"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72742"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72743"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72744"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72745"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72746"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72747"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72748"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72749"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0E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0E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0E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0E00-000018000000}">
          <x14:formula1>
            <xm:f>'Samples (Print)'!B2</xm:f>
          </x14:formula1>
          <x14:formula2>
            <xm:f>'Samples (Print)'!D2</xm:f>
          </x14:formula2>
          <xm:sqref>A47:E47</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15</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kcj9UD1RBTbv7XjriXqvsBW7jEdJXipt5otkh+lwfR+ZCSFQReRjhSRxnmsBWLU+FzWtzMQj0VXnRpBOSZVOoA==" saltValue="7Tu5WJ0fmtYyceGGen/8uA=="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34" priority="2" operator="lessThan">
      <formula>0</formula>
    </cfRule>
  </conditionalFormatting>
  <conditionalFormatting sqref="I274:I277">
    <cfRule type="cellIs" dxfId="33" priority="1" operator="equal">
      <formula>0</formula>
    </cfRule>
  </conditionalFormatting>
  <dataValidations count="21">
    <dataValidation operator="greaterThanOrEqual" allowBlank="1" showInputMessage="1" showErrorMessage="1" sqref="K2 D144:E144 I144:K144 I156:K156 D156:E156" xr:uid="{00000000-0002-0000-0F00-000000000000}"/>
    <dataValidation type="date" allowBlank="1" showInputMessage="1" showErrorMessage="1" errorTitle="Date Error" error="Date must be within Dates of Review Period." sqref="D37:E37 I37:K37" xr:uid="{00000000-0002-0000-0F00-000001000000}">
      <formula1>$G$2</formula1>
      <formula2>$I$2</formula2>
    </dataValidation>
    <dataValidation type="decimal" operator="greaterThanOrEqual" allowBlank="1" showInputMessage="1" showErrorMessage="1" sqref="D242:E242" xr:uid="{00000000-0002-0000-0F00-000002000000}">
      <formula1>MINVALDBL</formula1>
    </dataValidation>
    <dataValidation type="list" allowBlank="1" showInputMessage="1" showErrorMessage="1" promptTitle="X.6.a Entry Guidance" prompt="X.6.a cannot be &quot;NA&quot; if Column D above (Total Refund Due) is greater than $0.00." sqref="J243:K243" xr:uid="{00000000-0002-0000-0F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0F00-000004000000}">
      <formula1>A47</formula1>
    </dataValidation>
    <dataValidation type="whole" allowBlank="1" showInputMessage="1" showErrorMessage="1" sqref="H349:H354" xr:uid="{00000000-0002-0000-0F00-000005000000}">
      <formula1>1</formula1>
      <formula2>31</formula2>
    </dataValidation>
    <dataValidation type="textLength" operator="greaterThan" allowBlank="1" showInputMessage="1" showErrorMessage="1" sqref="D3:D4" xr:uid="{00000000-0002-0000-0F00-000006000000}">
      <formula1>1</formula1>
    </dataValidation>
    <dataValidation type="whole" allowBlank="1" showInputMessage="1" showErrorMessage="1" sqref="A2" xr:uid="{00000000-0002-0000-0F00-000007000000}">
      <formula1>1</formula1>
      <formula2>99</formula2>
    </dataValidation>
    <dataValidation type="whole" operator="greaterThan" allowBlank="1" showInputMessage="1" showErrorMessage="1" sqref="E121:E130 A121:A130" xr:uid="{00000000-0002-0000-0F00-000008000000}">
      <formula1>0</formula1>
    </dataValidation>
    <dataValidation type="textLength" operator="lessThanOrEqual" allowBlank="1" showInputMessage="1" showErrorMessage="1" sqref="N242:Q242 E196:K215 E172:K181 A295:E299 E225:K234" xr:uid="{00000000-0002-0000-0F00-000009000000}">
      <formula1>255</formula1>
    </dataValidation>
    <dataValidation type="date" operator="greaterThan" allowBlank="1" showInputMessage="1" showErrorMessage="1" sqref="R242:S242" xr:uid="{00000000-0002-0000-0F00-00000A000000}">
      <formula1>1</formula1>
    </dataValidation>
    <dataValidation type="whole" allowBlank="1" showInputMessage="1" showErrorMessage="1" sqref="C349:C354" xr:uid="{00000000-0002-0000-0F00-00000B000000}">
      <formula1>1</formula1>
      <formula2>999</formula2>
    </dataValidation>
    <dataValidation type="decimal" operator="greaterThan" allowBlank="1" showInputMessage="1" showErrorMessage="1" sqref="J301:K301" xr:uid="{00000000-0002-0000-0F00-00000C000000}">
      <formula1>0</formula1>
    </dataValidation>
    <dataValidation type="decimal" operator="greaterThanOrEqual" allowBlank="1" showInputMessage="1" showErrorMessage="1" sqref="F295:I299" xr:uid="{00000000-0002-0000-0F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0F00-00000E000000}">
      <formula1>0</formula1>
    </dataValidation>
    <dataValidation type="list" allowBlank="1" showInputMessage="1" showErrorMessage="1" sqref="B242" xr:uid="{00000000-0002-0000-0F00-00000F000000}">
      <formula1>"DEATH,DISCHARGE"</formula1>
    </dataValidation>
    <dataValidation type="list" allowBlank="1" showInputMessage="1" showErrorMessage="1" sqref="J337:K341 K63:L65 K15:L16 G37 B37 J364:K365 J304:K305 J329:K334 J324 J53:K54 J56" xr:uid="{00000000-0002-0000-0F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0F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0F00-000012000000}">
      <formula1>1</formula1>
    </dataValidation>
    <dataValidation type="date" operator="greaterThan" allowBlank="1" showInputMessage="1" showErrorMessage="1" errorTitle="Date Error" error="&quot;From&quot; date must be later than previous &quot;To&quot; date." sqref="A350:A354" xr:uid="{00000000-0002-0000-0F00-000013000000}">
      <formula1>B349</formula1>
    </dataValidation>
    <dataValidation type="date" operator="greaterThanOrEqual" allowBlank="1" showInputMessage="1" showErrorMessage="1" errorTitle="Date Error" error="&quot;To&quot; date cannot be earlier than &quot;From&quot; date." sqref="B349:B354" xr:uid="{00000000-0002-0000-0F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71713"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71714"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71715"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71716"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71717"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71718"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71719"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71720"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71721"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71722"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71723"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71724"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71725"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0F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0F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0F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0F00-000018000000}">
          <x14:formula1>
            <xm:f>'Samples (Print)'!B2</xm:f>
          </x14:formula1>
          <x14:formula2>
            <xm:f>'Samples (Print)'!D2</xm:f>
          </x14:formula2>
          <xm:sqref>A47:E47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16</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OMB5a0VJCpZt8jvHbPOAs6YyhVlOsOHiuFp1VD6nxucB4Kj7NjPRwLHeXVT1bdWcnAH06OxZeBGQFYupx5sE5w==" saltValue="FFpOjttD5am5GX6AXLfobw=="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32" priority="2" operator="lessThan">
      <formula>0</formula>
    </cfRule>
  </conditionalFormatting>
  <conditionalFormatting sqref="I274:I277">
    <cfRule type="cellIs" dxfId="31" priority="1" operator="equal">
      <formula>0</formula>
    </cfRule>
  </conditionalFormatting>
  <dataValidations count="21">
    <dataValidation operator="greaterThanOrEqual" allowBlank="1" showInputMessage="1" showErrorMessage="1" sqref="K2 D144:E144 I144:K144 I156:K156 D156:E156" xr:uid="{00000000-0002-0000-1000-000000000000}"/>
    <dataValidation type="date" allowBlank="1" showInputMessage="1" showErrorMessage="1" errorTitle="Date Error" error="Date must be within Dates of Review Period." sqref="D37:E37 I37:K37" xr:uid="{00000000-0002-0000-1000-000001000000}">
      <formula1>$G$2</formula1>
      <formula2>$I$2</formula2>
    </dataValidation>
    <dataValidation type="decimal" operator="greaterThanOrEqual" allowBlank="1" showInputMessage="1" showErrorMessage="1" sqref="D242:E242" xr:uid="{00000000-0002-0000-1000-000002000000}">
      <formula1>MINVALDBL</formula1>
    </dataValidation>
    <dataValidation type="list" allowBlank="1" showInputMessage="1" showErrorMessage="1" promptTitle="X.6.a Entry Guidance" prompt="X.6.a cannot be &quot;NA&quot; if Column D above (Total Refund Due) is greater than $0.00." sqref="J243:K243" xr:uid="{00000000-0002-0000-10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1000-000004000000}">
      <formula1>A47</formula1>
    </dataValidation>
    <dataValidation type="whole" allowBlank="1" showInputMessage="1" showErrorMessage="1" sqref="H349:H354" xr:uid="{00000000-0002-0000-1000-000005000000}">
      <formula1>1</formula1>
      <formula2>31</formula2>
    </dataValidation>
    <dataValidation type="textLength" operator="greaterThan" allowBlank="1" showInputMessage="1" showErrorMessage="1" sqref="D3:D4" xr:uid="{00000000-0002-0000-1000-000006000000}">
      <formula1>1</formula1>
    </dataValidation>
    <dataValidation type="whole" allowBlank="1" showInputMessage="1" showErrorMessage="1" sqref="A2" xr:uid="{00000000-0002-0000-1000-000007000000}">
      <formula1>1</formula1>
      <formula2>99</formula2>
    </dataValidation>
    <dataValidation type="whole" operator="greaterThan" allowBlank="1" showInputMessage="1" showErrorMessage="1" sqref="E121:E130 A121:A130" xr:uid="{00000000-0002-0000-1000-000008000000}">
      <formula1>0</formula1>
    </dataValidation>
    <dataValidation type="textLength" operator="lessThanOrEqual" allowBlank="1" showInputMessage="1" showErrorMessage="1" sqref="N242:Q242 E196:K215 E172:K181 A295:E299 E225:K234" xr:uid="{00000000-0002-0000-1000-000009000000}">
      <formula1>255</formula1>
    </dataValidation>
    <dataValidation type="date" operator="greaterThan" allowBlank="1" showInputMessage="1" showErrorMessage="1" sqref="R242:S242" xr:uid="{00000000-0002-0000-1000-00000A000000}">
      <formula1>1</formula1>
    </dataValidation>
    <dataValidation type="whole" allowBlank="1" showInputMessage="1" showErrorMessage="1" sqref="C349:C354" xr:uid="{00000000-0002-0000-1000-00000B000000}">
      <formula1>1</formula1>
      <formula2>999</formula2>
    </dataValidation>
    <dataValidation type="decimal" operator="greaterThan" allowBlank="1" showInputMessage="1" showErrorMessage="1" sqref="J301:K301" xr:uid="{00000000-0002-0000-1000-00000C000000}">
      <formula1>0</formula1>
    </dataValidation>
    <dataValidation type="decimal" operator="greaterThanOrEqual" allowBlank="1" showInputMessage="1" showErrorMessage="1" sqref="F295:I299" xr:uid="{00000000-0002-0000-10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1000-00000E000000}">
      <formula1>0</formula1>
    </dataValidation>
    <dataValidation type="list" allowBlank="1" showInputMessage="1" showErrorMessage="1" sqref="B242" xr:uid="{00000000-0002-0000-1000-00000F000000}">
      <formula1>"DEATH,DISCHARGE"</formula1>
    </dataValidation>
    <dataValidation type="list" allowBlank="1" showInputMessage="1" showErrorMessage="1" sqref="J337:K341 K63:L65 K15:L16 G37 B37 J364:K365 J304:K305 J329:K334 J324 J53:K54 J56" xr:uid="{00000000-0002-0000-10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10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1000-000012000000}">
      <formula1>1</formula1>
    </dataValidation>
    <dataValidation type="date" operator="greaterThan" allowBlank="1" showInputMessage="1" showErrorMessage="1" errorTitle="Date Error" error="&quot;From&quot; date must be later than previous &quot;To&quot; date." sqref="A350:A354" xr:uid="{00000000-0002-0000-1000-000013000000}">
      <formula1>B349</formula1>
    </dataValidation>
    <dataValidation type="date" operator="greaterThanOrEqual" allowBlank="1" showInputMessage="1" showErrorMessage="1" errorTitle="Date Error" error="&quot;To&quot; date cannot be earlier than &quot;From&quot; date." sqref="B349:B354" xr:uid="{00000000-0002-0000-10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70689"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70690"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70691"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70692"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70693"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70694"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70695"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70696"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70697"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70698"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70699"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70700"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70701"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10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10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10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1000-000018000000}">
          <x14:formula1>
            <xm:f>'Samples (Print)'!B2</xm:f>
          </x14:formula1>
          <x14:formula2>
            <xm:f>'Samples (Print)'!D2</xm:f>
          </x14:formula2>
          <xm:sqref>A47:E47</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17</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1YtN/waWUEZlT1AsZg9A8kAIJ/hLqZ+8PmYHMLCnb/0ntkRY1cyhka9a/IfaxYN0+xSxjA81N+R11OPVNoQ6NQ==" saltValue="6+g2jxTXH/emhhai2hMR1g=="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30" priority="2" operator="lessThan">
      <formula>0</formula>
    </cfRule>
  </conditionalFormatting>
  <conditionalFormatting sqref="I274:I277">
    <cfRule type="cellIs" dxfId="29" priority="1" operator="equal">
      <formula>0</formula>
    </cfRule>
  </conditionalFormatting>
  <dataValidations count="21">
    <dataValidation operator="greaterThanOrEqual" allowBlank="1" showInputMessage="1" showErrorMessage="1" sqref="K2 D144:E144 I144:K144 I156:K156 D156:E156" xr:uid="{00000000-0002-0000-1100-000000000000}"/>
    <dataValidation type="date" allowBlank="1" showInputMessage="1" showErrorMessage="1" errorTitle="Date Error" error="Date must be within Dates of Review Period." sqref="D37:E37 I37:K37" xr:uid="{00000000-0002-0000-1100-000001000000}">
      <formula1>$G$2</formula1>
      <formula2>$I$2</formula2>
    </dataValidation>
    <dataValidation type="decimal" operator="greaterThanOrEqual" allowBlank="1" showInputMessage="1" showErrorMessage="1" sqref="D242:E242" xr:uid="{00000000-0002-0000-1100-000002000000}">
      <formula1>MINVALDBL</formula1>
    </dataValidation>
    <dataValidation type="list" allowBlank="1" showInputMessage="1" showErrorMessage="1" promptTitle="X.6.a Entry Guidance" prompt="X.6.a cannot be &quot;NA&quot; if Column D above (Total Refund Due) is greater than $0.00." sqref="J243:K243" xr:uid="{00000000-0002-0000-11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1100-000004000000}">
      <formula1>A47</formula1>
    </dataValidation>
    <dataValidation type="whole" allowBlank="1" showInputMessage="1" showErrorMessage="1" sqref="H349:H354" xr:uid="{00000000-0002-0000-1100-000005000000}">
      <formula1>1</formula1>
      <formula2>31</formula2>
    </dataValidation>
    <dataValidation type="textLength" operator="greaterThan" allowBlank="1" showInputMessage="1" showErrorMessage="1" sqref="D3:D4" xr:uid="{00000000-0002-0000-1100-000006000000}">
      <formula1>1</formula1>
    </dataValidation>
    <dataValidation type="whole" allowBlank="1" showInputMessage="1" showErrorMessage="1" sqref="A2" xr:uid="{00000000-0002-0000-1100-000007000000}">
      <formula1>1</formula1>
      <formula2>99</formula2>
    </dataValidation>
    <dataValidation type="whole" operator="greaterThan" allowBlank="1" showInputMessage="1" showErrorMessage="1" sqref="E121:E130 A121:A130" xr:uid="{00000000-0002-0000-1100-000008000000}">
      <formula1>0</formula1>
    </dataValidation>
    <dataValidation type="textLength" operator="lessThanOrEqual" allowBlank="1" showInputMessage="1" showErrorMessage="1" sqref="N242:Q242 E196:K215 E172:K181 A295:E299 E225:K234" xr:uid="{00000000-0002-0000-1100-000009000000}">
      <formula1>255</formula1>
    </dataValidation>
    <dataValidation type="date" operator="greaterThan" allowBlank="1" showInputMessage="1" showErrorMessage="1" sqref="R242:S242" xr:uid="{00000000-0002-0000-1100-00000A000000}">
      <formula1>1</formula1>
    </dataValidation>
    <dataValidation type="whole" allowBlank="1" showInputMessage="1" showErrorMessage="1" sqref="C349:C354" xr:uid="{00000000-0002-0000-1100-00000B000000}">
      <formula1>1</formula1>
      <formula2>999</formula2>
    </dataValidation>
    <dataValidation type="decimal" operator="greaterThan" allowBlank="1" showInputMessage="1" showErrorMessage="1" sqref="J301:K301" xr:uid="{00000000-0002-0000-1100-00000C000000}">
      <formula1>0</formula1>
    </dataValidation>
    <dataValidation type="decimal" operator="greaterThanOrEqual" allowBlank="1" showInputMessage="1" showErrorMessage="1" sqref="F295:I299" xr:uid="{00000000-0002-0000-11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1100-00000E000000}">
      <formula1>0</formula1>
    </dataValidation>
    <dataValidation type="list" allowBlank="1" showInputMessage="1" showErrorMessage="1" sqref="B242" xr:uid="{00000000-0002-0000-1100-00000F000000}">
      <formula1>"DEATH,DISCHARGE"</formula1>
    </dataValidation>
    <dataValidation type="list" allowBlank="1" showInputMessage="1" showErrorMessage="1" sqref="J337:K341 K63:L65 K15:L16 G37 B37 J364:K365 J304:K305 J329:K334 J324 J53:K54 J56" xr:uid="{00000000-0002-0000-11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11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1100-000012000000}">
      <formula1>1</formula1>
    </dataValidation>
    <dataValidation type="date" operator="greaterThan" allowBlank="1" showInputMessage="1" showErrorMessage="1" errorTitle="Date Error" error="&quot;From&quot; date must be later than previous &quot;To&quot; date." sqref="A350:A354" xr:uid="{00000000-0002-0000-1100-000013000000}">
      <formula1>B349</formula1>
    </dataValidation>
    <dataValidation type="date" operator="greaterThanOrEqual" allowBlank="1" showInputMessage="1" showErrorMessage="1" errorTitle="Date Error" error="&quot;To&quot; date cannot be earlier than &quot;From&quot; date." sqref="B349:B354" xr:uid="{00000000-0002-0000-11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69665"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69666"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69667"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69668"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69669"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69670"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69671"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69672"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69673"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69674"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69675"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69676"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69677"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11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11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11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1100-000018000000}">
          <x14:formula1>
            <xm:f>'Samples (Print)'!B2</xm:f>
          </x14:formula1>
          <x14:formula2>
            <xm:f>'Samples (Print)'!D2</xm:f>
          </x14:formula2>
          <xm:sqref>A47:E47</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18</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Ezvkh8zqbZnCGSngdMAPOPwC412moBIrFyHxge1Z91NmyJ2wxTsuxOCajxACWb3Zt3RBLQXrAFyWpQahR4K5XQ==" saltValue="tEaIjsguGanOSQ5TnOYfbw=="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28" priority="2" operator="lessThan">
      <formula>0</formula>
    </cfRule>
  </conditionalFormatting>
  <conditionalFormatting sqref="I274:I277">
    <cfRule type="cellIs" dxfId="27" priority="1" operator="equal">
      <formula>0</formula>
    </cfRule>
  </conditionalFormatting>
  <dataValidations count="21">
    <dataValidation operator="greaterThanOrEqual" allowBlank="1" showInputMessage="1" showErrorMessage="1" sqref="K2 D144:E144 I144:K144 I156:K156 D156:E156" xr:uid="{00000000-0002-0000-1200-000000000000}"/>
    <dataValidation type="date" allowBlank="1" showInputMessage="1" showErrorMessage="1" errorTitle="Date Error" error="Date must be within Dates of Review Period." sqref="D37:E37 I37:K37" xr:uid="{00000000-0002-0000-1200-000001000000}">
      <formula1>$G$2</formula1>
      <formula2>$I$2</formula2>
    </dataValidation>
    <dataValidation type="decimal" operator="greaterThanOrEqual" allowBlank="1" showInputMessage="1" showErrorMessage="1" sqref="D242:E242" xr:uid="{00000000-0002-0000-1200-000002000000}">
      <formula1>MINVALDBL</formula1>
    </dataValidation>
    <dataValidation type="list" allowBlank="1" showInputMessage="1" showErrorMessage="1" promptTitle="X.6.a Entry Guidance" prompt="X.6.a cannot be &quot;NA&quot; if Column D above (Total Refund Due) is greater than $0.00." sqref="J243:K243" xr:uid="{00000000-0002-0000-12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1200-000004000000}">
      <formula1>A47</formula1>
    </dataValidation>
    <dataValidation type="whole" allowBlank="1" showInputMessage="1" showErrorMessage="1" sqref="H349:H354" xr:uid="{00000000-0002-0000-1200-000005000000}">
      <formula1>1</formula1>
      <formula2>31</formula2>
    </dataValidation>
    <dataValidation type="textLength" operator="greaterThan" allowBlank="1" showInputMessage="1" showErrorMessage="1" sqref="D3:D4" xr:uid="{00000000-0002-0000-1200-000006000000}">
      <formula1>1</formula1>
    </dataValidation>
    <dataValidation type="whole" allowBlank="1" showInputMessage="1" showErrorMessage="1" sqref="A2" xr:uid="{00000000-0002-0000-1200-000007000000}">
      <formula1>1</formula1>
      <formula2>99</formula2>
    </dataValidation>
    <dataValidation type="whole" operator="greaterThan" allowBlank="1" showInputMessage="1" showErrorMessage="1" sqref="E121:E130 A121:A130" xr:uid="{00000000-0002-0000-1200-000008000000}">
      <formula1>0</formula1>
    </dataValidation>
    <dataValidation type="textLength" operator="lessThanOrEqual" allowBlank="1" showInputMessage="1" showErrorMessage="1" sqref="N242:Q242 E196:K215 E172:K181 A295:E299 E225:K234" xr:uid="{00000000-0002-0000-1200-000009000000}">
      <formula1>255</formula1>
    </dataValidation>
    <dataValidation type="date" operator="greaterThan" allowBlank="1" showInputMessage="1" showErrorMessage="1" sqref="R242:S242" xr:uid="{00000000-0002-0000-1200-00000A000000}">
      <formula1>1</formula1>
    </dataValidation>
    <dataValidation type="whole" allowBlank="1" showInputMessage="1" showErrorMessage="1" sqref="C349:C354" xr:uid="{00000000-0002-0000-1200-00000B000000}">
      <formula1>1</formula1>
      <formula2>999</formula2>
    </dataValidation>
    <dataValidation type="decimal" operator="greaterThan" allowBlank="1" showInputMessage="1" showErrorMessage="1" sqref="J301:K301" xr:uid="{00000000-0002-0000-1200-00000C000000}">
      <formula1>0</formula1>
    </dataValidation>
    <dataValidation type="decimal" operator="greaterThanOrEqual" allowBlank="1" showInputMessage="1" showErrorMessage="1" sqref="F295:I299" xr:uid="{00000000-0002-0000-12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1200-00000E000000}">
      <formula1>0</formula1>
    </dataValidation>
    <dataValidation type="list" allowBlank="1" showInputMessage="1" showErrorMessage="1" sqref="B242" xr:uid="{00000000-0002-0000-1200-00000F000000}">
      <formula1>"DEATH,DISCHARGE"</formula1>
    </dataValidation>
    <dataValidation type="list" allowBlank="1" showInputMessage="1" showErrorMessage="1" sqref="J337:K341 K63:L65 K15:L16 G37 B37 J364:K365 J304:K305 J329:K334 J324 J53:K54 J56" xr:uid="{00000000-0002-0000-12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12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1200-000012000000}">
      <formula1>1</formula1>
    </dataValidation>
    <dataValidation type="date" operator="greaterThan" allowBlank="1" showInputMessage="1" showErrorMessage="1" errorTitle="Date Error" error="&quot;From&quot; date must be later than previous &quot;To&quot; date." sqref="A350:A354" xr:uid="{00000000-0002-0000-1200-000013000000}">
      <formula1>B349</formula1>
    </dataValidation>
    <dataValidation type="date" operator="greaterThanOrEqual" allowBlank="1" showInputMessage="1" showErrorMessage="1" errorTitle="Date Error" error="&quot;To&quot; date cannot be earlier than &quot;From&quot; date." sqref="B349:B354" xr:uid="{00000000-0002-0000-12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68641"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68642"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68643"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68644"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68645"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68646"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68647"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68648"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68649"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68650"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68651"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68652"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68653"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12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12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12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1200-000018000000}">
          <x14:formula1>
            <xm:f>'Samples (Print)'!B2</xm:f>
          </x14:formula1>
          <x14:formula2>
            <xm:f>'Samples (Print)'!D2</xm:f>
          </x14:formula2>
          <xm:sqref>A47:E47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372"/>
  <sheetViews>
    <sheetView zoomScaleNormal="100" workbookViewId="0">
      <selection activeCell="K2" sqref="K2"/>
    </sheetView>
  </sheetViews>
  <sheetFormatPr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f>'Samples (Print)'!A5</f>
        <v>1</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5LNgCvREHoGrOSLN8mxjezu5SsgEeVFOhp8lCrw1fLDaVLw4zzW8jUdhKqEiuiFjkZ7bkzxvIPhZewXhe7Ypow==" saltValue="vjT36F9NsSfZm268zzOcRA=="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 guid="{B2091B36-14EA-49EC-93AF-D5AA205EF0C1}" hiddenColumns="1">
      <selection activeCell="D2" sqref="D2:E2"/>
      <rowBreaks count="12" manualBreakCount="12">
        <brk id="31" max="18" man="1"/>
        <brk id="51" max="18" man="1"/>
        <brk id="76" max="18" man="1"/>
        <brk id="130" max="18" man="1"/>
        <brk id="150" max="18" man="1"/>
        <brk id="175" max="18" man="1"/>
        <brk id="244" max="18" man="1"/>
        <brk id="293" max="18" man="1"/>
        <brk id="318" max="18" man="1"/>
        <brk id="342" max="18" man="1"/>
        <brk id="360" max="18" man="1"/>
        <brk id="381" max="18" man="1"/>
      </rowBreaks>
      <pageMargins left="0.5" right="0.5" top="1" bottom="0.75" header="0.25" footer="0.25"/>
      <pageSetup scale="74" fitToHeight="37" orientation="landscape" r:id="rId2"/>
      <headerFooter>
        <oddHeader>&amp;L&amp;"Arial,Regular"&amp;8Texas Department
of Aging and
Disability Services&amp;C&amp;"Arial,Bold"&amp;12ASSISTED LIVING/RESIDENTIAL CARE
(AL/RC)/OUT OF HOME RESPITE (OHR)
INDIVIDUAL WORK PAPER&amp;R&amp;"Arial,Regular"&amp;8Form TBD
Page &amp;P</oddHeader>
      </headerFooter>
    </customSheetView>
    <customSheetView guid="{965C3FE4-50BF-43C0-B1D0-366B904E9BAB}" fitToPage="1" hiddenColumns="1">
      <selection activeCell="K97" sqref="K97:L97"/>
      <pageMargins left="0.5" right="0.5" top="1" bottom="0.75" header="0.25" footer="0.25"/>
      <pageSetup scale="72" fitToHeight="37" orientation="landscape" r:id="rId3"/>
      <headerFooter>
        <oddHeader>&amp;L&amp;"Arial,Regular"&amp;8Texas Department
of Aging and
Disability Services&amp;C&amp;"Arial,Bold"&amp;12ASSISTED LIVING/RESIDENTIAL CARE
(AL/RC)/OUT OF HOME RESPITE (OHR)
INDIVIDUAL WORK PAPER&amp;R&amp;"Arial,Regular"&amp;8Form TBD
Page &amp;P</oddHeader>
      </headerFooter>
    </customSheetView>
    <customSheetView guid="{5C7A2EDE-CAF2-41B7-8EBC-2EB35225299B}" fitToPage="1" hiddenColumns="1">
      <selection activeCell="K97" sqref="K97:L97"/>
      <pageMargins left="0.5" right="0.5" top="1" bottom="0.75" header="0.25" footer="0.25"/>
      <pageSetup scale="72" fitToHeight="37" orientation="landscape" r:id="rId4"/>
      <headerFooter>
        <oddHeader>&amp;L&amp;"Arial,Regular"&amp;8Texas Department
of Aging and
Disability Services&amp;C&amp;"Arial,Bold"&amp;12ASSISTED LIVING/RESIDENTIAL CARE
(AL/RC)/OUT OF HOME RESPITE (OHR)
INDIVIDUAL WORK PAPER&amp;R&amp;"Arial,Regular"&amp;8Form TBD
Page &amp;P</oddHeader>
      </headerFooter>
    </customSheetView>
    <customSheetView guid="{15DD4F60-D491-4D73-A014-FE6349F17583}" fitToPage="1" hiddenColumns="1">
      <selection activeCell="K97" sqref="K97:L97"/>
      <pageMargins left="0.5" right="0.5" top="1" bottom="0.75" header="0.25" footer="0.25"/>
      <pageSetup scale="72" fitToHeight="37" orientation="landscape" r:id="rId5"/>
      <headerFooter>
        <oddHeader>&amp;L&amp;"Arial,Regular"&amp;8Texas Department
of Aging and
Disability Services&amp;C&amp;"Arial,Bold"&amp;12ASSISTED LIVING/RESIDENTIAL CARE
(AL/RC)/OUT OF HOME RESPITE (OHR)
INDIVIDUAL WORK PAPER&amp;R&amp;"Arial,Regular"&amp;8Form TBD
Page &amp;P</oddHeader>
      </headerFooter>
    </customSheetView>
    <customSheetView guid="{A9399441-FD69-4FCC-BF3B-6E447DD9FB6A}" hiddenColumns="1">
      <selection activeCell="D2" sqref="D2:E2"/>
      <rowBreaks count="12" manualBreakCount="12">
        <brk id="31" max="18" man="1"/>
        <brk id="51" max="18" man="1"/>
        <brk id="76" max="18" man="1"/>
        <brk id="130" max="18" man="1"/>
        <brk id="150" max="18" man="1"/>
        <brk id="175" max="18" man="1"/>
        <brk id="244" max="18" man="1"/>
        <brk id="293" max="18" man="1"/>
        <brk id="318" max="18" man="1"/>
        <brk id="342" max="18" man="1"/>
        <brk id="360" max="18" man="1"/>
        <brk id="381" max="18" man="1"/>
      </rowBreaks>
      <pageMargins left="0.5" right="0.5" top="1" bottom="0.75" header="0.25" footer="0.25"/>
      <pageSetup scale="74" fitToHeight="37" orientation="landscape" r:id="rId6"/>
      <headerFooter>
        <oddHeader>&amp;L&amp;"Arial,Regular"&amp;8Texas Department
of Aging and
Disability Services&amp;C&amp;"Arial,Bold"&amp;12ASSISTED LIVING/RESIDENTIAL CARE
(AL/RC)/OUT OF HOME RESPITE (OHR)
INDIVIDUAL WORK PAPER&amp;R&amp;"Arial,Regular"&amp;8Form TBD
Page &amp;P</oddHeader>
      </headerFooter>
    </customSheetView>
  </customSheetViews>
  <mergeCells count="735">
    <mergeCell ref="A17:J19"/>
    <mergeCell ref="A30:J31"/>
    <mergeCell ref="A38:I39"/>
    <mergeCell ref="B42:K43"/>
    <mergeCell ref="B69:L73"/>
    <mergeCell ref="K345:L348"/>
    <mergeCell ref="E200:G200"/>
    <mergeCell ref="H200:K200"/>
    <mergeCell ref="C210:D210"/>
    <mergeCell ref="E208:G208"/>
    <mergeCell ref="H205:K205"/>
    <mergeCell ref="E206:G206"/>
    <mergeCell ref="H206:K206"/>
    <mergeCell ref="E207:G207"/>
    <mergeCell ref="A247:I247"/>
    <mergeCell ref="L247:O247"/>
    <mergeCell ref="M345:N348"/>
    <mergeCell ref="A243:I243"/>
    <mergeCell ref="A244:I244"/>
    <mergeCell ref="A245:I245"/>
    <mergeCell ref="E232:K232"/>
    <mergeCell ref="E233:K233"/>
    <mergeCell ref="E234:K234"/>
    <mergeCell ref="A237:A239"/>
    <mergeCell ref="B242:C242"/>
    <mergeCell ref="D240:E240"/>
    <mergeCell ref="D241:E241"/>
    <mergeCell ref="D242:E242"/>
    <mergeCell ref="K350:L350"/>
    <mergeCell ref="K351:L351"/>
    <mergeCell ref="M349:N349"/>
    <mergeCell ref="M350:N350"/>
    <mergeCell ref="M351:N351"/>
    <mergeCell ref="H240:I241"/>
    <mergeCell ref="H242:I242"/>
    <mergeCell ref="J240:K240"/>
    <mergeCell ref="J241:K241"/>
    <mergeCell ref="J242:K242"/>
    <mergeCell ref="A240:C240"/>
    <mergeCell ref="B241:C241"/>
    <mergeCell ref="N240:Q240"/>
    <mergeCell ref="L248:O248"/>
    <mergeCell ref="A249:K249"/>
    <mergeCell ref="J251:K251"/>
    <mergeCell ref="J254:K254"/>
    <mergeCell ref="J257:K257"/>
    <mergeCell ref="J246:K248"/>
    <mergeCell ref="B258:K258"/>
    <mergeCell ref="A259:A261"/>
    <mergeCell ref="A285:I285"/>
    <mergeCell ref="J285:K285"/>
    <mergeCell ref="A287:K287"/>
    <mergeCell ref="I277:K277"/>
    <mergeCell ref="A273:E273"/>
    <mergeCell ref="A274:E274"/>
    <mergeCell ref="F294:G294"/>
    <mergeCell ref="A294:E294"/>
    <mergeCell ref="J260:K260"/>
    <mergeCell ref="J263:K263"/>
    <mergeCell ref="J266:K266"/>
    <mergeCell ref="J265:K265"/>
    <mergeCell ref="A262:A264"/>
    <mergeCell ref="A265:A267"/>
    <mergeCell ref="B265:I266"/>
    <mergeCell ref="J259:K259"/>
    <mergeCell ref="B259:I260"/>
    <mergeCell ref="J262:K262"/>
    <mergeCell ref="B262:I263"/>
    <mergeCell ref="A277:E277"/>
    <mergeCell ref="A268:K268"/>
    <mergeCell ref="A269:K269"/>
    <mergeCell ref="A270:K270"/>
    <mergeCell ref="F299:G299"/>
    <mergeCell ref="H299:I299"/>
    <mergeCell ref="J299:K299"/>
    <mergeCell ref="A304:I304"/>
    <mergeCell ref="J304:K304"/>
    <mergeCell ref="A305:I305"/>
    <mergeCell ref="J305:K305"/>
    <mergeCell ref="A315:I315"/>
    <mergeCell ref="J315:K315"/>
    <mergeCell ref="E229:K229"/>
    <mergeCell ref="E230:K230"/>
    <mergeCell ref="E231:K231"/>
    <mergeCell ref="H208:K208"/>
    <mergeCell ref="E209:G209"/>
    <mergeCell ref="H209:K209"/>
    <mergeCell ref="A214:B214"/>
    <mergeCell ref="C213:D213"/>
    <mergeCell ref="E211:G211"/>
    <mergeCell ref="H211:K211"/>
    <mergeCell ref="E212:G212"/>
    <mergeCell ref="H212:K212"/>
    <mergeCell ref="E213:G213"/>
    <mergeCell ref="H213:K213"/>
    <mergeCell ref="A208:B208"/>
    <mergeCell ref="A213:B213"/>
    <mergeCell ref="A218:A221"/>
    <mergeCell ref="B220:K220"/>
    <mergeCell ref="B221:K221"/>
    <mergeCell ref="A223:B223"/>
    <mergeCell ref="C223:D223"/>
    <mergeCell ref="E223:K223"/>
    <mergeCell ref="A222:K222"/>
    <mergeCell ref="B218:K219"/>
    <mergeCell ref="C234:D234"/>
    <mergeCell ref="A230:B230"/>
    <mergeCell ref="C230:D230"/>
    <mergeCell ref="A231:B231"/>
    <mergeCell ref="C231:D231"/>
    <mergeCell ref="A232:B232"/>
    <mergeCell ref="C232:D232"/>
    <mergeCell ref="A233:B233"/>
    <mergeCell ref="C233:D233"/>
    <mergeCell ref="A234:B234"/>
    <mergeCell ref="J238:K238"/>
    <mergeCell ref="A217:I217"/>
    <mergeCell ref="E214:G214"/>
    <mergeCell ref="H214:K214"/>
    <mergeCell ref="E215:G215"/>
    <mergeCell ref="H215:K215"/>
    <mergeCell ref="C214:D214"/>
    <mergeCell ref="A210:B210"/>
    <mergeCell ref="A212:B212"/>
    <mergeCell ref="A215:B215"/>
    <mergeCell ref="C215:D215"/>
    <mergeCell ref="A229:B229"/>
    <mergeCell ref="A226:B226"/>
    <mergeCell ref="C224:D224"/>
    <mergeCell ref="E224:K224"/>
    <mergeCell ref="A224:B224"/>
    <mergeCell ref="A235:I235"/>
    <mergeCell ref="J235:K236"/>
    <mergeCell ref="A236:I236"/>
    <mergeCell ref="A216:I216"/>
    <mergeCell ref="J216:K217"/>
    <mergeCell ref="E210:G210"/>
    <mergeCell ref="H210:K210"/>
    <mergeCell ref="C212:D212"/>
    <mergeCell ref="J186:K186"/>
    <mergeCell ref="E197:G197"/>
    <mergeCell ref="H197:K197"/>
    <mergeCell ref="E198:G198"/>
    <mergeCell ref="E201:G201"/>
    <mergeCell ref="H201:K201"/>
    <mergeCell ref="A211:B211"/>
    <mergeCell ref="C211:D211"/>
    <mergeCell ref="A205:B205"/>
    <mergeCell ref="C205:D205"/>
    <mergeCell ref="A206:B206"/>
    <mergeCell ref="C206:D206"/>
    <mergeCell ref="A207:B207"/>
    <mergeCell ref="C207:D207"/>
    <mergeCell ref="C202:D202"/>
    <mergeCell ref="C204:D204"/>
    <mergeCell ref="A197:B197"/>
    <mergeCell ref="C197:D197"/>
    <mergeCell ref="A198:B198"/>
    <mergeCell ref="C198:D198"/>
    <mergeCell ref="H198:K198"/>
    <mergeCell ref="E199:G199"/>
    <mergeCell ref="H199:K199"/>
    <mergeCell ref="C209:D209"/>
    <mergeCell ref="A157:C157"/>
    <mergeCell ref="C196:D196"/>
    <mergeCell ref="H196:K196"/>
    <mergeCell ref="C171:D171"/>
    <mergeCell ref="A179:B179"/>
    <mergeCell ref="C179:D179"/>
    <mergeCell ref="A180:B180"/>
    <mergeCell ref="C180:D180"/>
    <mergeCell ref="E178:G178"/>
    <mergeCell ref="H178:K178"/>
    <mergeCell ref="A172:B172"/>
    <mergeCell ref="C172:D172"/>
    <mergeCell ref="E181:G181"/>
    <mergeCell ref="E179:G179"/>
    <mergeCell ref="H179:K179"/>
    <mergeCell ref="E180:G180"/>
    <mergeCell ref="C174:D174"/>
    <mergeCell ref="B187:K187"/>
    <mergeCell ref="H171:K171"/>
    <mergeCell ref="H181:K181"/>
    <mergeCell ref="A196:B196"/>
    <mergeCell ref="A195:B195"/>
    <mergeCell ref="C195:D195"/>
    <mergeCell ref="H195:K195"/>
    <mergeCell ref="G123:H123"/>
    <mergeCell ref="J123:K123"/>
    <mergeCell ref="C124:D124"/>
    <mergeCell ref="G124:H124"/>
    <mergeCell ref="G121:H121"/>
    <mergeCell ref="D157:E157"/>
    <mergeCell ref="F157:H157"/>
    <mergeCell ref="I157:K157"/>
    <mergeCell ref="D144:E144"/>
    <mergeCell ref="D145:E145"/>
    <mergeCell ref="A146:I146"/>
    <mergeCell ref="B148:I149"/>
    <mergeCell ref="J148:K148"/>
    <mergeCell ref="A147:I147"/>
    <mergeCell ref="J146:K147"/>
    <mergeCell ref="B150:K152"/>
    <mergeCell ref="F156:H156"/>
    <mergeCell ref="I156:K156"/>
    <mergeCell ref="B153:K153"/>
    <mergeCell ref="F144:H144"/>
    <mergeCell ref="I144:K144"/>
    <mergeCell ref="F145:H145"/>
    <mergeCell ref="I145:K145"/>
    <mergeCell ref="A145:C145"/>
    <mergeCell ref="J139:K139"/>
    <mergeCell ref="B139:I140"/>
    <mergeCell ref="A133:I137"/>
    <mergeCell ref="B141:K143"/>
    <mergeCell ref="G131:H131"/>
    <mergeCell ref="J131:K131"/>
    <mergeCell ref="A131:F131"/>
    <mergeCell ref="A132:I132"/>
    <mergeCell ref="J132:K137"/>
    <mergeCell ref="A138:K138"/>
    <mergeCell ref="J140:K140"/>
    <mergeCell ref="K17:L19"/>
    <mergeCell ref="A20:B20"/>
    <mergeCell ref="C20:L20"/>
    <mergeCell ref="C130:D130"/>
    <mergeCell ref="G130:H130"/>
    <mergeCell ref="J130:K130"/>
    <mergeCell ref="A111:F111"/>
    <mergeCell ref="G111:H111"/>
    <mergeCell ref="K111:L111"/>
    <mergeCell ref="A112:H112"/>
    <mergeCell ref="J117:L117"/>
    <mergeCell ref="A117:H117"/>
    <mergeCell ref="A118:H118"/>
    <mergeCell ref="J118:L118"/>
    <mergeCell ref="A115:G115"/>
    <mergeCell ref="K115:L115"/>
    <mergeCell ref="C122:D122"/>
    <mergeCell ref="G122:H122"/>
    <mergeCell ref="J122:K122"/>
    <mergeCell ref="C123:D123"/>
    <mergeCell ref="J127:K127"/>
    <mergeCell ref="K21:L22"/>
    <mergeCell ref="K23:L28"/>
    <mergeCell ref="K29:L29"/>
    <mergeCell ref="K14:L14"/>
    <mergeCell ref="A13:J13"/>
    <mergeCell ref="A14:J14"/>
    <mergeCell ref="K12:L13"/>
    <mergeCell ref="A12:J12"/>
    <mergeCell ref="A15:J15"/>
    <mergeCell ref="K15:L16"/>
    <mergeCell ref="A16:J16"/>
    <mergeCell ref="B8:L9"/>
    <mergeCell ref="A8:A9"/>
    <mergeCell ref="B11:J11"/>
    <mergeCell ref="B10:J10"/>
    <mergeCell ref="K10:L10"/>
    <mergeCell ref="K11:L11"/>
    <mergeCell ref="D1:E1"/>
    <mergeCell ref="B1:C1"/>
    <mergeCell ref="B2:C2"/>
    <mergeCell ref="K7:L7"/>
    <mergeCell ref="H3:K3"/>
    <mergeCell ref="H4:K4"/>
    <mergeCell ref="D3:G3"/>
    <mergeCell ref="D4:G4"/>
    <mergeCell ref="A3:B4"/>
    <mergeCell ref="D2:E2"/>
    <mergeCell ref="K6:L6"/>
    <mergeCell ref="B6:J7"/>
    <mergeCell ref="A5:L5"/>
    <mergeCell ref="F1:I1"/>
    <mergeCell ref="J1:M1"/>
    <mergeCell ref="L3:M4"/>
    <mergeCell ref="A6:A7"/>
    <mergeCell ref="A21:J21"/>
    <mergeCell ref="A22:J22"/>
    <mergeCell ref="A23:J23"/>
    <mergeCell ref="A24:J24"/>
    <mergeCell ref="A25:J25"/>
    <mergeCell ref="A26:J26"/>
    <mergeCell ref="A27:J27"/>
    <mergeCell ref="A28:J28"/>
    <mergeCell ref="A29:J29"/>
    <mergeCell ref="A34:K34"/>
    <mergeCell ref="A35:K35"/>
    <mergeCell ref="A36:K36"/>
    <mergeCell ref="J40:K40"/>
    <mergeCell ref="B40:I41"/>
    <mergeCell ref="K30:L31"/>
    <mergeCell ref="A32:K32"/>
    <mergeCell ref="D37:E37"/>
    <mergeCell ref="I37:K37"/>
    <mergeCell ref="B33:K33"/>
    <mergeCell ref="J38:K39"/>
    <mergeCell ref="J41:K41"/>
    <mergeCell ref="A40:A43"/>
    <mergeCell ref="A44:K44"/>
    <mergeCell ref="K60:L60"/>
    <mergeCell ref="B60:J61"/>
    <mergeCell ref="B67:J68"/>
    <mergeCell ref="K67:L67"/>
    <mergeCell ref="A50:E50"/>
    <mergeCell ref="F50:K50"/>
    <mergeCell ref="A45:E45"/>
    <mergeCell ref="F45:K45"/>
    <mergeCell ref="A46:E46"/>
    <mergeCell ref="A51:I51"/>
    <mergeCell ref="J51:K51"/>
    <mergeCell ref="K61:L61"/>
    <mergeCell ref="K63:L65"/>
    <mergeCell ref="A63:J63"/>
    <mergeCell ref="A64:J64"/>
    <mergeCell ref="A65:J65"/>
    <mergeCell ref="A59:L59"/>
    <mergeCell ref="A60:A62"/>
    <mergeCell ref="B62:L62"/>
    <mergeCell ref="F46:K46"/>
    <mergeCell ref="A47:E47"/>
    <mergeCell ref="F47:K47"/>
    <mergeCell ref="A48:E48"/>
    <mergeCell ref="F48:K48"/>
    <mergeCell ref="A49:E49"/>
    <mergeCell ref="F49:K49"/>
    <mergeCell ref="K112:L112"/>
    <mergeCell ref="A113:H113"/>
    <mergeCell ref="K113:L113"/>
    <mergeCell ref="K90:L90"/>
    <mergeCell ref="K93:L93"/>
    <mergeCell ref="B93:J94"/>
    <mergeCell ref="A90:A92"/>
    <mergeCell ref="B95:L95"/>
    <mergeCell ref="A93:A95"/>
    <mergeCell ref="K68:L68"/>
    <mergeCell ref="A74:L74"/>
    <mergeCell ref="B92:L92"/>
    <mergeCell ref="A96:L96"/>
    <mergeCell ref="A89:L89"/>
    <mergeCell ref="K94:L94"/>
    <mergeCell ref="B97:L97"/>
    <mergeCell ref="B98:L98"/>
    <mergeCell ref="A183:I184"/>
    <mergeCell ref="C181:D181"/>
    <mergeCell ref="J182:K184"/>
    <mergeCell ref="H180:K180"/>
    <mergeCell ref="H177:K177"/>
    <mergeCell ref="A173:B173"/>
    <mergeCell ref="A178:B178"/>
    <mergeCell ref="C178:D178"/>
    <mergeCell ref="J124:K124"/>
    <mergeCell ref="C125:D125"/>
    <mergeCell ref="G125:H125"/>
    <mergeCell ref="J125:K125"/>
    <mergeCell ref="C126:D126"/>
    <mergeCell ref="G126:H126"/>
    <mergeCell ref="J126:K126"/>
    <mergeCell ref="C127:D127"/>
    <mergeCell ref="G127:H127"/>
    <mergeCell ref="A144:C144"/>
    <mergeCell ref="C128:D128"/>
    <mergeCell ref="G128:H128"/>
    <mergeCell ref="J128:K128"/>
    <mergeCell ref="C129:D129"/>
    <mergeCell ref="G129:H129"/>
    <mergeCell ref="J129:K129"/>
    <mergeCell ref="A202:B202"/>
    <mergeCell ref="C208:D208"/>
    <mergeCell ref="A209:B209"/>
    <mergeCell ref="A203:B203"/>
    <mergeCell ref="C203:D203"/>
    <mergeCell ref="A204:B204"/>
    <mergeCell ref="E202:G202"/>
    <mergeCell ref="H202:K202"/>
    <mergeCell ref="E205:G205"/>
    <mergeCell ref="H207:K207"/>
    <mergeCell ref="C200:D200"/>
    <mergeCell ref="A201:B201"/>
    <mergeCell ref="R240:S241"/>
    <mergeCell ref="N242:O242"/>
    <mergeCell ref="P242:Q242"/>
    <mergeCell ref="F242:G242"/>
    <mergeCell ref="R242:S242"/>
    <mergeCell ref="C225:D225"/>
    <mergeCell ref="C226:D226"/>
    <mergeCell ref="C227:D227"/>
    <mergeCell ref="C228:D228"/>
    <mergeCell ref="C229:D229"/>
    <mergeCell ref="E225:K225"/>
    <mergeCell ref="E226:K226"/>
    <mergeCell ref="E227:K227"/>
    <mergeCell ref="E228:K228"/>
    <mergeCell ref="B239:K239"/>
    <mergeCell ref="A227:B227"/>
    <mergeCell ref="A228:B228"/>
    <mergeCell ref="A225:B225"/>
    <mergeCell ref="F240:G240"/>
    <mergeCell ref="F241:G241"/>
    <mergeCell ref="L240:M241"/>
    <mergeCell ref="L242:M242"/>
    <mergeCell ref="N241:O241"/>
    <mergeCell ref="P241:Q241"/>
    <mergeCell ref="A248:I248"/>
    <mergeCell ref="B267:K267"/>
    <mergeCell ref="A337:I337"/>
    <mergeCell ref="A338:I338"/>
    <mergeCell ref="C201:D201"/>
    <mergeCell ref="C194:D194"/>
    <mergeCell ref="C177:D177"/>
    <mergeCell ref="E177:G177"/>
    <mergeCell ref="A194:B194"/>
    <mergeCell ref="H194:K194"/>
    <mergeCell ref="E194:G194"/>
    <mergeCell ref="E195:G195"/>
    <mergeCell ref="E196:G196"/>
    <mergeCell ref="E203:G203"/>
    <mergeCell ref="H203:K203"/>
    <mergeCell ref="E204:G204"/>
    <mergeCell ref="H204:K204"/>
    <mergeCell ref="A200:B200"/>
    <mergeCell ref="B191:K191"/>
    <mergeCell ref="B192:K192"/>
    <mergeCell ref="B193:K193"/>
    <mergeCell ref="A199:B199"/>
    <mergeCell ref="C199:D199"/>
    <mergeCell ref="A181:B181"/>
    <mergeCell ref="A81:D81"/>
    <mergeCell ref="A82:D82"/>
    <mergeCell ref="A83:D83"/>
    <mergeCell ref="A84:D84"/>
    <mergeCell ref="A85:D85"/>
    <mergeCell ref="A87:J88"/>
    <mergeCell ref="H80:L85"/>
    <mergeCell ref="E85:G85"/>
    <mergeCell ref="F81:G81"/>
    <mergeCell ref="F82:G82"/>
    <mergeCell ref="F83:G83"/>
    <mergeCell ref="F84:G84"/>
    <mergeCell ref="A80:D80"/>
    <mergeCell ref="F80:G80"/>
    <mergeCell ref="K86:L88"/>
    <mergeCell ref="A86:J86"/>
    <mergeCell ref="J120:K120"/>
    <mergeCell ref="C121:D121"/>
    <mergeCell ref="B102:L102"/>
    <mergeCell ref="A97:A102"/>
    <mergeCell ref="K91:L91"/>
    <mergeCell ref="B90:J91"/>
    <mergeCell ref="C170:D170"/>
    <mergeCell ref="E170:G170"/>
    <mergeCell ref="A175:B175"/>
    <mergeCell ref="C175:D175"/>
    <mergeCell ref="A176:B176"/>
    <mergeCell ref="C176:D176"/>
    <mergeCell ref="C173:D173"/>
    <mergeCell ref="A174:B174"/>
    <mergeCell ref="A103:L103"/>
    <mergeCell ref="A104:E104"/>
    <mergeCell ref="A116:G116"/>
    <mergeCell ref="K116:L116"/>
    <mergeCell ref="K105:L105"/>
    <mergeCell ref="A105:H105"/>
    <mergeCell ref="K106:L106"/>
    <mergeCell ref="A106:H106"/>
    <mergeCell ref="K107:L107"/>
    <mergeCell ref="K108:L108"/>
    <mergeCell ref="K110:L110"/>
    <mergeCell ref="A108:F108"/>
    <mergeCell ref="A107:G107"/>
    <mergeCell ref="A110:G110"/>
    <mergeCell ref="A109:L109"/>
    <mergeCell ref="G108:H108"/>
    <mergeCell ref="A271:K271"/>
    <mergeCell ref="A272:K272"/>
    <mergeCell ref="I273:K273"/>
    <mergeCell ref="I274:K274"/>
    <mergeCell ref="I275:K275"/>
    <mergeCell ref="I276:K276"/>
    <mergeCell ref="A275:E275"/>
    <mergeCell ref="A276:E276"/>
    <mergeCell ref="H294:I294"/>
    <mergeCell ref="J294:K294"/>
    <mergeCell ref="G278:K284"/>
    <mergeCell ref="A278:E278"/>
    <mergeCell ref="A279:E279"/>
    <mergeCell ref="A280:E280"/>
    <mergeCell ref="A281:E281"/>
    <mergeCell ref="A282:E282"/>
    <mergeCell ref="A283:E283"/>
    <mergeCell ref="A284:E284"/>
    <mergeCell ref="J288:K290"/>
    <mergeCell ref="A288:I288"/>
    <mergeCell ref="A289:I289"/>
    <mergeCell ref="A290:I290"/>
    <mergeCell ref="A291:I291"/>
    <mergeCell ref="J291:K291"/>
    <mergeCell ref="J286:K286"/>
    <mergeCell ref="A286:I286"/>
    <mergeCell ref="A292:I292"/>
    <mergeCell ref="J292:K292"/>
    <mergeCell ref="A293:K293"/>
    <mergeCell ref="A295:E295"/>
    <mergeCell ref="F295:G295"/>
    <mergeCell ref="H295:I295"/>
    <mergeCell ref="J295:K295"/>
    <mergeCell ref="A296:E296"/>
    <mergeCell ref="F296:G296"/>
    <mergeCell ref="H296:I296"/>
    <mergeCell ref="J296:K296"/>
    <mergeCell ref="A300:I300"/>
    <mergeCell ref="J300:K300"/>
    <mergeCell ref="J307:K307"/>
    <mergeCell ref="A301:I301"/>
    <mergeCell ref="J301:K301"/>
    <mergeCell ref="A302:I302"/>
    <mergeCell ref="J302:K302"/>
    <mergeCell ref="A303:K303"/>
    <mergeCell ref="A306:I306"/>
    <mergeCell ref="J306:K306"/>
    <mergeCell ref="A307:I307"/>
    <mergeCell ref="A297:E297"/>
    <mergeCell ref="F297:G297"/>
    <mergeCell ref="H297:I297"/>
    <mergeCell ref="J297:K297"/>
    <mergeCell ref="A298:E298"/>
    <mergeCell ref="F298:G298"/>
    <mergeCell ref="H298:I298"/>
    <mergeCell ref="J298:K298"/>
    <mergeCell ref="A299:E299"/>
    <mergeCell ref="A324:I324"/>
    <mergeCell ref="A327:I327"/>
    <mergeCell ref="A317:I317"/>
    <mergeCell ref="J317:K317"/>
    <mergeCell ref="A325:I325"/>
    <mergeCell ref="J324:K325"/>
    <mergeCell ref="A326:I326"/>
    <mergeCell ref="J326:K327"/>
    <mergeCell ref="A308:I308"/>
    <mergeCell ref="J308:K308"/>
    <mergeCell ref="A309:I309"/>
    <mergeCell ref="A310:I310"/>
    <mergeCell ref="A311:I311"/>
    <mergeCell ref="A312:I312"/>
    <mergeCell ref="J309:K313"/>
    <mergeCell ref="A314:K314"/>
    <mergeCell ref="A313:I313"/>
    <mergeCell ref="A316:I316"/>
    <mergeCell ref="J316:K316"/>
    <mergeCell ref="A367:I367"/>
    <mergeCell ref="A368:I368"/>
    <mergeCell ref="A369:I369"/>
    <mergeCell ref="A370:I370"/>
    <mergeCell ref="J369:K370"/>
    <mergeCell ref="J366:K367"/>
    <mergeCell ref="J368:K368"/>
    <mergeCell ref="A356:I356"/>
    <mergeCell ref="J355:K356"/>
    <mergeCell ref="E363:F363"/>
    <mergeCell ref="E361:F362"/>
    <mergeCell ref="G363:H363"/>
    <mergeCell ref="G361:H362"/>
    <mergeCell ref="C360:H360"/>
    <mergeCell ref="A360:B362"/>
    <mergeCell ref="C363:D363"/>
    <mergeCell ref="I360:N360"/>
    <mergeCell ref="I361:J361"/>
    <mergeCell ref="K361:L362"/>
    <mergeCell ref="A355:I355"/>
    <mergeCell ref="A364:I364"/>
    <mergeCell ref="J364:K364"/>
    <mergeCell ref="A365:I365"/>
    <mergeCell ref="J365:K365"/>
    <mergeCell ref="A366:I366"/>
    <mergeCell ref="M361:N362"/>
    <mergeCell ref="I362:J362"/>
    <mergeCell ref="I363:J363"/>
    <mergeCell ref="K363:L363"/>
    <mergeCell ref="M363:N363"/>
    <mergeCell ref="A363:B363"/>
    <mergeCell ref="C361:D361"/>
    <mergeCell ref="C362:D362"/>
    <mergeCell ref="O362:P362"/>
    <mergeCell ref="Q362:R362"/>
    <mergeCell ref="O363:P363"/>
    <mergeCell ref="Q363:R363"/>
    <mergeCell ref="O360:R361"/>
    <mergeCell ref="K352:L352"/>
    <mergeCell ref="K353:L353"/>
    <mergeCell ref="K354:L354"/>
    <mergeCell ref="M352:N352"/>
    <mergeCell ref="M353:N353"/>
    <mergeCell ref="M354:N354"/>
    <mergeCell ref="J329:K334"/>
    <mergeCell ref="B335:K335"/>
    <mergeCell ref="B336:K336"/>
    <mergeCell ref="J337:K341"/>
    <mergeCell ref="A345:B347"/>
    <mergeCell ref="C345:C348"/>
    <mergeCell ref="D348:E348"/>
    <mergeCell ref="D349:E349"/>
    <mergeCell ref="F349:G349"/>
    <mergeCell ref="A335:A336"/>
    <mergeCell ref="A329:I329"/>
    <mergeCell ref="A330:I330"/>
    <mergeCell ref="A331:I331"/>
    <mergeCell ref="A332:I332"/>
    <mergeCell ref="A333:I333"/>
    <mergeCell ref="A334:I334"/>
    <mergeCell ref="F345:G348"/>
    <mergeCell ref="K349:L349"/>
    <mergeCell ref="D345:E347"/>
    <mergeCell ref="A339:I339"/>
    <mergeCell ref="A340:I340"/>
    <mergeCell ref="A341:I341"/>
    <mergeCell ref="B342:K342"/>
    <mergeCell ref="B328:K328"/>
    <mergeCell ref="B256:I257"/>
    <mergeCell ref="J256:K256"/>
    <mergeCell ref="A253:A255"/>
    <mergeCell ref="A256:A258"/>
    <mergeCell ref="B237:I238"/>
    <mergeCell ref="J237:K237"/>
    <mergeCell ref="J250:K250"/>
    <mergeCell ref="B252:K252"/>
    <mergeCell ref="A250:A252"/>
    <mergeCell ref="B250:I251"/>
    <mergeCell ref="J243:K243"/>
    <mergeCell ref="J244:K244"/>
    <mergeCell ref="J245:K245"/>
    <mergeCell ref="A246:I246"/>
    <mergeCell ref="A318:I318"/>
    <mergeCell ref="J318:K322"/>
    <mergeCell ref="B261:K261"/>
    <mergeCell ref="B264:K264"/>
    <mergeCell ref="A319:I319"/>
    <mergeCell ref="A320:I320"/>
    <mergeCell ref="A321:I321"/>
    <mergeCell ref="A322:I322"/>
    <mergeCell ref="A323:K323"/>
    <mergeCell ref="D353:E353"/>
    <mergeCell ref="D354:E354"/>
    <mergeCell ref="F353:G353"/>
    <mergeCell ref="F354:G354"/>
    <mergeCell ref="D352:E352"/>
    <mergeCell ref="A358:K358"/>
    <mergeCell ref="A359:K359"/>
    <mergeCell ref="A343:K343"/>
    <mergeCell ref="A344:K344"/>
    <mergeCell ref="B357:K357"/>
    <mergeCell ref="F352:G352"/>
    <mergeCell ref="D350:E350"/>
    <mergeCell ref="F350:G350"/>
    <mergeCell ref="D351:E351"/>
    <mergeCell ref="F351:G351"/>
    <mergeCell ref="I353:J353"/>
    <mergeCell ref="I354:J354"/>
    <mergeCell ref="H345:H348"/>
    <mergeCell ref="I345:J348"/>
    <mergeCell ref="I349:J349"/>
    <mergeCell ref="I350:J350"/>
    <mergeCell ref="I351:J351"/>
    <mergeCell ref="I352:J352"/>
    <mergeCell ref="A161:A162"/>
    <mergeCell ref="J161:K161"/>
    <mergeCell ref="B161:I162"/>
    <mergeCell ref="J162:K162"/>
    <mergeCell ref="J185:K185"/>
    <mergeCell ref="B185:I186"/>
    <mergeCell ref="A177:B177"/>
    <mergeCell ref="B169:K169"/>
    <mergeCell ref="A170:B170"/>
    <mergeCell ref="E171:G171"/>
    <mergeCell ref="E172:G172"/>
    <mergeCell ref="E173:G173"/>
    <mergeCell ref="E174:G174"/>
    <mergeCell ref="H174:K174"/>
    <mergeCell ref="E175:G175"/>
    <mergeCell ref="H175:K175"/>
    <mergeCell ref="A185:A188"/>
    <mergeCell ref="H176:K176"/>
    <mergeCell ref="H172:K172"/>
    <mergeCell ref="H173:K173"/>
    <mergeCell ref="B163:K165"/>
    <mergeCell ref="B166:K167"/>
    <mergeCell ref="A171:B171"/>
    <mergeCell ref="H170:K170"/>
    <mergeCell ref="B189:K189"/>
    <mergeCell ref="B190:K190"/>
    <mergeCell ref="J253:K253"/>
    <mergeCell ref="B253:I254"/>
    <mergeCell ref="B255:K255"/>
    <mergeCell ref="B99:L99"/>
    <mergeCell ref="B100:L100"/>
    <mergeCell ref="B101:L101"/>
    <mergeCell ref="B188:K188"/>
    <mergeCell ref="B154:K154"/>
    <mergeCell ref="B155:K155"/>
    <mergeCell ref="E119:H119"/>
    <mergeCell ref="I119:K119"/>
    <mergeCell ref="C120:D120"/>
    <mergeCell ref="G120:H120"/>
    <mergeCell ref="A182:I182"/>
    <mergeCell ref="A148:A155"/>
    <mergeCell ref="J149:K149"/>
    <mergeCell ref="A156:C156"/>
    <mergeCell ref="D156:E156"/>
    <mergeCell ref="B168:K168"/>
    <mergeCell ref="J158:K160"/>
    <mergeCell ref="A158:I158"/>
    <mergeCell ref="E176:G176"/>
    <mergeCell ref="A159:I160"/>
    <mergeCell ref="A52:K52"/>
    <mergeCell ref="A53:I53"/>
    <mergeCell ref="A54:I54"/>
    <mergeCell ref="J53:K54"/>
    <mergeCell ref="A55:K55"/>
    <mergeCell ref="A56:I56"/>
    <mergeCell ref="A57:I57"/>
    <mergeCell ref="A58:I58"/>
    <mergeCell ref="J56:K58"/>
    <mergeCell ref="F104:H104"/>
    <mergeCell ref="A114:H114"/>
    <mergeCell ref="K114:L114"/>
    <mergeCell ref="K104:L104"/>
    <mergeCell ref="A67:A73"/>
    <mergeCell ref="A78:L78"/>
    <mergeCell ref="A79:L79"/>
    <mergeCell ref="J121:K121"/>
    <mergeCell ref="A66:L66"/>
    <mergeCell ref="A75:L75"/>
    <mergeCell ref="A76:L76"/>
    <mergeCell ref="A77:L77"/>
    <mergeCell ref="A119:D119"/>
    <mergeCell ref="A139:A143"/>
  </mergeCells>
  <conditionalFormatting sqref="H242:I242 L242:M242">
    <cfRule type="cellIs" dxfId="62" priority="4" operator="lessThan">
      <formula>0</formula>
    </cfRule>
  </conditionalFormatting>
  <conditionalFormatting sqref="I274:I277">
    <cfRule type="cellIs" dxfId="61" priority="2" operator="equal">
      <formula>0</formula>
    </cfRule>
  </conditionalFormatting>
  <dataValidations xWindow="651" yWindow="542" count="21">
    <dataValidation type="date" operator="greaterThanOrEqual" allowBlank="1" showInputMessage="1" showErrorMessage="1" errorTitle="Date Error" error="&quot;To&quot; date cannot be earlier than &quot;From&quot; date." sqref="B349:B354" xr:uid="{00000000-0002-0000-0100-000000000000}">
      <formula1>A349</formula1>
    </dataValidation>
    <dataValidation type="date" operator="greaterThan" allowBlank="1" showInputMessage="1" showErrorMessage="1" errorTitle="Date Error" error="&quot;From&quot; date must be later than previous &quot;To&quot; date." sqref="A350:A354" xr:uid="{00000000-0002-0000-0100-000001000000}">
      <formula1>B349</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0100-000002000000}">
      <formula1>1</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0100-000003000000}">
      <formula1>"Y,N"</formula1>
    </dataValidation>
    <dataValidation type="list" allowBlank="1" showInputMessage="1" showErrorMessage="1" sqref="J337:K341 K63:L65 K15:L16 G37 B37 J364:K365 J304:K305 J329:K334 J324 J53:K54 J56" xr:uid="{00000000-0002-0000-0100-000004000000}">
      <formula1>"Y,N,NA"</formula1>
    </dataValidation>
    <dataValidation type="list" allowBlank="1" showInputMessage="1" showErrorMessage="1" sqref="B242" xr:uid="{00000000-0002-0000-0100-000005000000}">
      <formula1>"DEATH,DISCHARGE"</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0100-000006000000}">
      <formula1>0</formula1>
    </dataValidation>
    <dataValidation type="decimal" operator="greaterThanOrEqual" allowBlank="1" showInputMessage="1" showErrorMessage="1" sqref="F295:I299" xr:uid="{00000000-0002-0000-0100-000007000000}">
      <formula1>0.01</formula1>
    </dataValidation>
    <dataValidation type="decimal" operator="greaterThan" allowBlank="1" showInputMessage="1" showErrorMessage="1" sqref="J301:K301" xr:uid="{00000000-0002-0000-0100-000008000000}">
      <formula1>0</formula1>
    </dataValidation>
    <dataValidation type="whole" allowBlank="1" showInputMessage="1" showErrorMessage="1" sqref="C349:C354" xr:uid="{00000000-0002-0000-0100-000009000000}">
      <formula1>1</formula1>
      <formula2>999</formula2>
    </dataValidation>
    <dataValidation type="date" operator="greaterThan" allowBlank="1" showInputMessage="1" showErrorMessage="1" sqref="R242:S242" xr:uid="{00000000-0002-0000-0100-00000A000000}">
      <formula1>1</formula1>
    </dataValidation>
    <dataValidation type="textLength" operator="lessThanOrEqual" allowBlank="1" showInputMessage="1" showErrorMessage="1" sqref="N242:Q242 E196:K215 E172:K181 A295:E299 E225:K234" xr:uid="{00000000-0002-0000-0100-00000B000000}">
      <formula1>255</formula1>
    </dataValidation>
    <dataValidation type="whole" operator="greaterThan" allowBlank="1" showInputMessage="1" showErrorMessage="1" sqref="E121:E130 A121:A130" xr:uid="{00000000-0002-0000-0100-00000C000000}">
      <formula1>0</formula1>
    </dataValidation>
    <dataValidation type="whole" allowBlank="1" showInputMessage="1" showErrorMessage="1" sqref="A2" xr:uid="{00000000-0002-0000-0100-00000D000000}">
      <formula1>1</formula1>
      <formula2>99</formula2>
    </dataValidation>
    <dataValidation type="textLength" operator="greaterThan" allowBlank="1" showInputMessage="1" showErrorMessage="1" sqref="D3:D4" xr:uid="{00000000-0002-0000-0100-00000E000000}">
      <formula1>1</formula1>
    </dataValidation>
    <dataValidation type="whole" allowBlank="1" showInputMessage="1" showErrorMessage="1" sqref="H349:H354" xr:uid="{00000000-0002-0000-0100-00000F000000}">
      <formula1>1</formula1>
      <formula2>31</formula2>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0100-000010000000}">
      <formula1>A47</formula1>
    </dataValidation>
    <dataValidation type="list" allowBlank="1" showInputMessage="1" showErrorMessage="1" promptTitle="X.6.a Entry Guidance" prompt="X.6.a cannot be &quot;NA&quot; if Column D above (Total Refund Due) is greater than $0.00." sqref="J243:K243" xr:uid="{00000000-0002-0000-0100-000011000000}">
      <formula1>"Y,N,NA"</formula1>
    </dataValidation>
    <dataValidation type="decimal" operator="greaterThanOrEqual" allowBlank="1" showInputMessage="1" showErrorMessage="1" sqref="D242:E242" xr:uid="{00000000-0002-0000-0100-000012000000}">
      <formula1>MINVALDBL</formula1>
    </dataValidation>
    <dataValidation type="date" allowBlank="1" showInputMessage="1" showErrorMessage="1" errorTitle="Date Error" error="Date must be within Dates of Review Period." sqref="D37:E37 I37:K37" xr:uid="{00000000-0002-0000-0100-000013000000}">
      <formula1>$G$2</formula1>
      <formula2>$I$2</formula2>
    </dataValidation>
    <dataValidation operator="greaterThanOrEqual" allowBlank="1" showInputMessage="1" showErrorMessage="1" sqref="K2 D144:E144 I144:K144 I156:K156 D156:E156" xr:uid="{00000000-0002-0000-0100-000014000000}"/>
  </dataValidations>
  <pageMargins left="0.5" right="0.5" top="1" bottom="0.75" header="0.25" footer="0.25"/>
  <pageSetup fitToHeight="37" orientation="landscape" r:id="rId7"/>
  <headerFooter>
    <oddHeader>&amp;L&amp;"Arial,Regular"&amp;8Texas Department
of Aging and
Disability Services&amp;C&amp;"Arial,Bold"&amp;12RESIDENTIAL CARE (RC)
INDIVIDUAL WORK PAPER&amp;R&amp;"Arial,Regular"&amp;8Form TBD
Page &amp;P</oddHeader>
  </headerFooter>
  <drawing r:id="rId8"/>
  <legacyDrawing r:id="rId9"/>
  <mc:AlternateContent xmlns:mc="http://schemas.openxmlformats.org/markup-compatibility/2006">
    <mc:Choice Requires="x14">
      <controls>
        <mc:AlternateContent xmlns:mc="http://schemas.openxmlformats.org/markup-compatibility/2006">
          <mc:Choice Requires="x14">
            <control shapeId="1033" r:id="rId10" name="Check Box 9">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1034" r:id="rId11" name="Check Box 10">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1035" r:id="rId12" name="Check Box 11">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1036" r:id="rId13" name="Check Box 12">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1037" r:id="rId14" name="Check Box 13">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1038" r:id="rId15" name="Check Box 14">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1039" r:id="rId16" name="Check Box 15">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1040" r:id="rId17" name="Check Box 16">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1041" r:id="rId18" name="Check Box 17">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1042" r:id="rId19" name="Check Box 18">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1043" r:id="rId20" name="Check Box 19">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1044" r:id="rId21" name="Check Box 20">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1045" r:id="rId22" name="Check Box 21">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651" yWindow="542" count="4">
        <x14:dataValidation type="date" allowBlank="1" showInputMessage="1" showErrorMessage="1" errorTitle="Date Error" error="Date must be within the dates of monitoring period." xr:uid="{00000000-0002-0000-0100-000015000000}">
          <x14:formula1>
            <xm:f>'Samples (Print)'!B2</xm:f>
          </x14:formula1>
          <x14:formula2>
            <xm:f>'Samples (Print)'!D2</xm:f>
          </x14:formula2>
          <xm:sqref>A47:E47</xm:sqref>
        </x14:dataValidation>
        <x14:dataValidation type="date" allowBlank="1" showInputMessage="1" showErrorMessage="1" errorTitle="Date Error" error="Date must be within the dates of monitoring period." xr:uid="{00000000-0002-0000-0100-000016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0100-000017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0100-000018000000}">
          <x14:formula1>
            <xm:f>'Samples (Print)'!B2</xm:f>
          </x14:formula1>
          <x14:formula2>
            <xm:f>'Samples (Print)'!D2</xm:f>
          </x14:formula2>
          <xm:sqref>A50:E50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19</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dX4sTtOaETR2HpL7jhpwvdcGI4Ly9jZ1xLgHa+DI95QXMMM4d2azjidt+7eaSXgdLViObfdoSRRBkrGedNfcBw==" saltValue="2QYOsAlKLIL6lO+jn8y+PQ=="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26" priority="2" operator="lessThan">
      <formula>0</formula>
    </cfRule>
  </conditionalFormatting>
  <conditionalFormatting sqref="I274:I277">
    <cfRule type="cellIs" dxfId="25" priority="1" operator="equal">
      <formula>0</formula>
    </cfRule>
  </conditionalFormatting>
  <dataValidations count="21">
    <dataValidation operator="greaterThanOrEqual" allowBlank="1" showInputMessage="1" showErrorMessage="1" sqref="K2 D144:E144 I144:K144 I156:K156 D156:E156" xr:uid="{00000000-0002-0000-1300-000000000000}"/>
    <dataValidation type="date" allowBlank="1" showInputMessage="1" showErrorMessage="1" errorTitle="Date Error" error="Date must be within Dates of Review Period." sqref="D37:E37 I37:K37" xr:uid="{00000000-0002-0000-1300-000001000000}">
      <formula1>$G$2</formula1>
      <formula2>$I$2</formula2>
    </dataValidation>
    <dataValidation type="decimal" operator="greaterThanOrEqual" allowBlank="1" showInputMessage="1" showErrorMessage="1" sqref="D242:E242" xr:uid="{00000000-0002-0000-1300-000002000000}">
      <formula1>MINVALDBL</formula1>
    </dataValidation>
    <dataValidation type="list" allowBlank="1" showInputMessage="1" showErrorMessage="1" promptTitle="X.6.a Entry Guidance" prompt="X.6.a cannot be &quot;NA&quot; if Column D above (Total Refund Due) is greater than $0.00." sqref="J243:K243" xr:uid="{00000000-0002-0000-13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1300-000004000000}">
      <formula1>A47</formula1>
    </dataValidation>
    <dataValidation type="whole" allowBlank="1" showInputMessage="1" showErrorMessage="1" sqref="H349:H354" xr:uid="{00000000-0002-0000-1300-000005000000}">
      <formula1>1</formula1>
      <formula2>31</formula2>
    </dataValidation>
    <dataValidation type="textLength" operator="greaterThan" allowBlank="1" showInputMessage="1" showErrorMessage="1" sqref="D3:D4" xr:uid="{00000000-0002-0000-1300-000006000000}">
      <formula1>1</formula1>
    </dataValidation>
    <dataValidation type="whole" allowBlank="1" showInputMessage="1" showErrorMessage="1" sqref="A2" xr:uid="{00000000-0002-0000-1300-000007000000}">
      <formula1>1</formula1>
      <formula2>99</formula2>
    </dataValidation>
    <dataValidation type="whole" operator="greaterThan" allowBlank="1" showInputMessage="1" showErrorMessage="1" sqref="E121:E130 A121:A130" xr:uid="{00000000-0002-0000-1300-000008000000}">
      <formula1>0</formula1>
    </dataValidation>
    <dataValidation type="textLength" operator="lessThanOrEqual" allowBlank="1" showInputMessage="1" showErrorMessage="1" sqref="N242:Q242 E196:K215 E172:K181 A295:E299 E225:K234" xr:uid="{00000000-0002-0000-1300-000009000000}">
      <formula1>255</formula1>
    </dataValidation>
    <dataValidation type="date" operator="greaterThan" allowBlank="1" showInputMessage="1" showErrorMessage="1" sqref="R242:S242" xr:uid="{00000000-0002-0000-1300-00000A000000}">
      <formula1>1</formula1>
    </dataValidation>
    <dataValidation type="whole" allowBlank="1" showInputMessage="1" showErrorMessage="1" sqref="C349:C354" xr:uid="{00000000-0002-0000-1300-00000B000000}">
      <formula1>1</formula1>
      <formula2>999</formula2>
    </dataValidation>
    <dataValidation type="decimal" operator="greaterThan" allowBlank="1" showInputMessage="1" showErrorMessage="1" sqref="J301:K301" xr:uid="{00000000-0002-0000-1300-00000C000000}">
      <formula1>0</formula1>
    </dataValidation>
    <dataValidation type="decimal" operator="greaterThanOrEqual" allowBlank="1" showInputMessage="1" showErrorMessage="1" sqref="F295:I299" xr:uid="{00000000-0002-0000-13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1300-00000E000000}">
      <formula1>0</formula1>
    </dataValidation>
    <dataValidation type="list" allowBlank="1" showInputMessage="1" showErrorMessage="1" sqref="B242" xr:uid="{00000000-0002-0000-1300-00000F000000}">
      <formula1>"DEATH,DISCHARGE"</formula1>
    </dataValidation>
    <dataValidation type="list" allowBlank="1" showInputMessage="1" showErrorMessage="1" sqref="J337:K341 K63:L65 K15:L16 G37 B37 J364:K365 J304:K305 J329:K334 J324 J53:K54 J56" xr:uid="{00000000-0002-0000-13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13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1300-000012000000}">
      <formula1>1</formula1>
    </dataValidation>
    <dataValidation type="date" operator="greaterThan" allowBlank="1" showInputMessage="1" showErrorMessage="1" errorTitle="Date Error" error="&quot;From&quot; date must be later than previous &quot;To&quot; date." sqref="A350:A354" xr:uid="{00000000-0002-0000-1300-000013000000}">
      <formula1>B349</formula1>
    </dataValidation>
    <dataValidation type="date" operator="greaterThanOrEqual" allowBlank="1" showInputMessage="1" showErrorMessage="1" errorTitle="Date Error" error="&quot;To&quot; date cannot be earlier than &quot;From&quot; date." sqref="B349:B354" xr:uid="{00000000-0002-0000-13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67617"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67618"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67619"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67620"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67621"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67622"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67623"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67624"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67625"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67626"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67627"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67628"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67629"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13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13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13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1300-000018000000}">
          <x14:formula1>
            <xm:f>'Samples (Print)'!B2</xm:f>
          </x14:formula1>
          <x14:formula2>
            <xm:f>'Samples (Print)'!D2</xm:f>
          </x14:formula2>
          <xm:sqref>A47:E47</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20</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8Jk/5IJeqtvf/l4JcCM+zlu0E2oWHdQTvWndUTvUWPhnL1ENngAgg2hnDtB04CJUlNUm43AGi7IirqooGkm4bw==" saltValue="6PAtVpMnIU8ErMe7dYvddA=="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24" priority="2" operator="lessThan">
      <formula>0</formula>
    </cfRule>
  </conditionalFormatting>
  <conditionalFormatting sqref="I274:I277">
    <cfRule type="cellIs" dxfId="23" priority="1" operator="equal">
      <formula>0</formula>
    </cfRule>
  </conditionalFormatting>
  <dataValidations count="21">
    <dataValidation operator="greaterThanOrEqual" allowBlank="1" showInputMessage="1" showErrorMessage="1" sqref="K2 D144:E144 I144:K144 I156:K156 D156:E156" xr:uid="{00000000-0002-0000-1400-000000000000}"/>
    <dataValidation type="date" allowBlank="1" showInputMessage="1" showErrorMessage="1" errorTitle="Date Error" error="Date must be within Dates of Review Period." sqref="D37:E37 I37:K37" xr:uid="{00000000-0002-0000-1400-000001000000}">
      <formula1>$G$2</formula1>
      <formula2>$I$2</formula2>
    </dataValidation>
    <dataValidation type="decimal" operator="greaterThanOrEqual" allowBlank="1" showInputMessage="1" showErrorMessage="1" sqref="D242:E242" xr:uid="{00000000-0002-0000-1400-000002000000}">
      <formula1>MINVALDBL</formula1>
    </dataValidation>
    <dataValidation type="list" allowBlank="1" showInputMessage="1" showErrorMessage="1" promptTitle="X.6.a Entry Guidance" prompt="X.6.a cannot be &quot;NA&quot; if Column D above (Total Refund Due) is greater than $0.00." sqref="J243:K243" xr:uid="{00000000-0002-0000-14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1400-000004000000}">
      <formula1>A47</formula1>
    </dataValidation>
    <dataValidation type="whole" allowBlank="1" showInputMessage="1" showErrorMessage="1" sqref="H349:H354" xr:uid="{00000000-0002-0000-1400-000005000000}">
      <formula1>1</formula1>
      <formula2>31</formula2>
    </dataValidation>
    <dataValidation type="textLength" operator="greaterThan" allowBlank="1" showInputMessage="1" showErrorMessage="1" sqref="D3:D4" xr:uid="{00000000-0002-0000-1400-000006000000}">
      <formula1>1</formula1>
    </dataValidation>
    <dataValidation type="whole" allowBlank="1" showInputMessage="1" showErrorMessage="1" sqref="A2" xr:uid="{00000000-0002-0000-1400-000007000000}">
      <formula1>1</formula1>
      <formula2>99</formula2>
    </dataValidation>
    <dataValidation type="whole" operator="greaterThan" allowBlank="1" showInputMessage="1" showErrorMessage="1" sqref="E121:E130 A121:A130" xr:uid="{00000000-0002-0000-1400-000008000000}">
      <formula1>0</formula1>
    </dataValidation>
    <dataValidation type="textLength" operator="lessThanOrEqual" allowBlank="1" showInputMessage="1" showErrorMessage="1" sqref="N242:Q242 E196:K215 E172:K181 A295:E299 E225:K234" xr:uid="{00000000-0002-0000-1400-000009000000}">
      <formula1>255</formula1>
    </dataValidation>
    <dataValidation type="date" operator="greaterThan" allowBlank="1" showInputMessage="1" showErrorMessage="1" sqref="R242:S242" xr:uid="{00000000-0002-0000-1400-00000A000000}">
      <formula1>1</formula1>
    </dataValidation>
    <dataValidation type="whole" allowBlank="1" showInputMessage="1" showErrorMessage="1" sqref="C349:C354" xr:uid="{00000000-0002-0000-1400-00000B000000}">
      <formula1>1</formula1>
      <formula2>999</formula2>
    </dataValidation>
    <dataValidation type="decimal" operator="greaterThan" allowBlank="1" showInputMessage="1" showErrorMessage="1" sqref="J301:K301" xr:uid="{00000000-0002-0000-1400-00000C000000}">
      <formula1>0</formula1>
    </dataValidation>
    <dataValidation type="decimal" operator="greaterThanOrEqual" allowBlank="1" showInputMessage="1" showErrorMessage="1" sqref="F295:I299" xr:uid="{00000000-0002-0000-14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1400-00000E000000}">
      <formula1>0</formula1>
    </dataValidation>
    <dataValidation type="list" allowBlank="1" showInputMessage="1" showErrorMessage="1" sqref="B242" xr:uid="{00000000-0002-0000-1400-00000F000000}">
      <formula1>"DEATH,DISCHARGE"</formula1>
    </dataValidation>
    <dataValidation type="list" allowBlank="1" showInputMessage="1" showErrorMessage="1" sqref="J337:K341 K63:L65 K15:L16 G37 B37 J364:K365 J304:K305 J329:K334 J324 J53:K54 J56" xr:uid="{00000000-0002-0000-14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14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1400-000012000000}">
      <formula1>1</formula1>
    </dataValidation>
    <dataValidation type="date" operator="greaterThan" allowBlank="1" showInputMessage="1" showErrorMessage="1" errorTitle="Date Error" error="&quot;From&quot; date must be later than previous &quot;To&quot; date." sqref="A350:A354" xr:uid="{00000000-0002-0000-1400-000013000000}">
      <formula1>B349</formula1>
    </dataValidation>
    <dataValidation type="date" operator="greaterThanOrEqual" allowBlank="1" showInputMessage="1" showErrorMessage="1" errorTitle="Date Error" error="&quot;To&quot; date cannot be earlier than &quot;From&quot; date." sqref="B349:B354" xr:uid="{00000000-0002-0000-14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66593"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66594"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66595"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66596"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66597"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66598"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66599"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66600"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66601"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66602"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66603"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66604"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66605"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14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14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14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1400-000018000000}">
          <x14:formula1>
            <xm:f>'Samples (Print)'!B2</xm:f>
          </x14:formula1>
          <x14:formula2>
            <xm:f>'Samples (Print)'!D2</xm:f>
          </x14:formula2>
          <xm:sqref>A47:E47</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21</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phHNk08nCLV6qDepnB/tknEeIIHMQzu+WCDx5qEQ6JccxizkfoV/zHCOhu1ohhyBKiGhwNKRqSvFgP9q+8m6Ug==" saltValue="BbAjvqBexcPlYrBLQzkvMw=="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22" priority="2" operator="lessThan">
      <formula>0</formula>
    </cfRule>
  </conditionalFormatting>
  <conditionalFormatting sqref="I274:I277">
    <cfRule type="cellIs" dxfId="21" priority="1" operator="equal">
      <formula>0</formula>
    </cfRule>
  </conditionalFormatting>
  <dataValidations count="21">
    <dataValidation operator="greaterThanOrEqual" allowBlank="1" showInputMessage="1" showErrorMessage="1" sqref="K2 D144:E144 I144:K144 I156:K156 D156:E156" xr:uid="{00000000-0002-0000-1500-000000000000}"/>
    <dataValidation type="date" allowBlank="1" showInputMessage="1" showErrorMessage="1" errorTitle="Date Error" error="Date must be within Dates of Review Period." sqref="D37:E37 I37:K37" xr:uid="{00000000-0002-0000-1500-000001000000}">
      <formula1>$G$2</formula1>
      <formula2>$I$2</formula2>
    </dataValidation>
    <dataValidation type="decimal" operator="greaterThanOrEqual" allowBlank="1" showInputMessage="1" showErrorMessage="1" sqref="D242:E242" xr:uid="{00000000-0002-0000-1500-000002000000}">
      <formula1>MINVALDBL</formula1>
    </dataValidation>
    <dataValidation type="list" allowBlank="1" showInputMessage="1" showErrorMessage="1" promptTitle="X.6.a Entry Guidance" prompt="X.6.a cannot be &quot;NA&quot; if Column D above (Total Refund Due) is greater than $0.00." sqref="J243:K243" xr:uid="{00000000-0002-0000-15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1500-000004000000}">
      <formula1>A47</formula1>
    </dataValidation>
    <dataValidation type="whole" allowBlank="1" showInputMessage="1" showErrorMessage="1" sqref="H349:H354" xr:uid="{00000000-0002-0000-1500-000005000000}">
      <formula1>1</formula1>
      <formula2>31</formula2>
    </dataValidation>
    <dataValidation type="textLength" operator="greaterThan" allowBlank="1" showInputMessage="1" showErrorMessage="1" sqref="D3:D4" xr:uid="{00000000-0002-0000-1500-000006000000}">
      <formula1>1</formula1>
    </dataValidation>
    <dataValidation type="whole" allowBlank="1" showInputMessage="1" showErrorMessage="1" sqref="A2" xr:uid="{00000000-0002-0000-1500-000007000000}">
      <formula1>1</formula1>
      <formula2>99</formula2>
    </dataValidation>
    <dataValidation type="whole" operator="greaterThan" allowBlank="1" showInputMessage="1" showErrorMessage="1" sqref="E121:E130 A121:A130" xr:uid="{00000000-0002-0000-1500-000008000000}">
      <formula1>0</formula1>
    </dataValidation>
    <dataValidation type="textLength" operator="lessThanOrEqual" allowBlank="1" showInputMessage="1" showErrorMessage="1" sqref="N242:Q242 E196:K215 E172:K181 A295:E299 E225:K234" xr:uid="{00000000-0002-0000-1500-000009000000}">
      <formula1>255</formula1>
    </dataValidation>
    <dataValidation type="date" operator="greaterThan" allowBlank="1" showInputMessage="1" showErrorMessage="1" sqref="R242:S242" xr:uid="{00000000-0002-0000-1500-00000A000000}">
      <formula1>1</formula1>
    </dataValidation>
    <dataValidation type="whole" allowBlank="1" showInputMessage="1" showErrorMessage="1" sqref="C349:C354" xr:uid="{00000000-0002-0000-1500-00000B000000}">
      <formula1>1</formula1>
      <formula2>999</formula2>
    </dataValidation>
    <dataValidation type="decimal" operator="greaterThan" allowBlank="1" showInputMessage="1" showErrorMessage="1" sqref="J301:K301" xr:uid="{00000000-0002-0000-1500-00000C000000}">
      <formula1>0</formula1>
    </dataValidation>
    <dataValidation type="decimal" operator="greaterThanOrEqual" allowBlank="1" showInputMessage="1" showErrorMessage="1" sqref="F295:I299" xr:uid="{00000000-0002-0000-15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1500-00000E000000}">
      <formula1>0</formula1>
    </dataValidation>
    <dataValidation type="list" allowBlank="1" showInputMessage="1" showErrorMessage="1" sqref="B242" xr:uid="{00000000-0002-0000-1500-00000F000000}">
      <formula1>"DEATH,DISCHARGE"</formula1>
    </dataValidation>
    <dataValidation type="list" allowBlank="1" showInputMessage="1" showErrorMessage="1" sqref="J337:K341 K63:L65 K15:L16 G37 B37 J364:K365 J304:K305 J329:K334 J324 J53:K54 J56" xr:uid="{00000000-0002-0000-15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15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1500-000012000000}">
      <formula1>1</formula1>
    </dataValidation>
    <dataValidation type="date" operator="greaterThan" allowBlank="1" showInputMessage="1" showErrorMessage="1" errorTitle="Date Error" error="&quot;From&quot; date must be later than previous &quot;To&quot; date." sqref="A350:A354" xr:uid="{00000000-0002-0000-1500-000013000000}">
      <formula1>B349</formula1>
    </dataValidation>
    <dataValidation type="date" operator="greaterThanOrEqual" allowBlank="1" showInputMessage="1" showErrorMessage="1" errorTitle="Date Error" error="&quot;To&quot; date cannot be earlier than &quot;From&quot; date." sqref="B349:B354" xr:uid="{00000000-0002-0000-15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65569"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65570"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65571"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65572"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65573"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65574"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65575"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65576"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65577"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65578"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65579"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65580"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65581"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15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15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15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1500-000018000000}">
          <x14:formula1>
            <xm:f>'Samples (Print)'!B2</xm:f>
          </x14:formula1>
          <x14:formula2>
            <xm:f>'Samples (Print)'!D2</xm:f>
          </x14:formula2>
          <xm:sqref>A47:E47</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22</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s1TJtFxiPhJlg9skZu6wpWuFH+wqN0DCbxphvS/0Kfb6zOahiI+tF9tbD3Eft6CV0QfQ+u+PKO0xI9eGPsZ5bg==" saltValue="6TW+WQUQiKIw80ZXl++pEw=="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20" priority="2" operator="lessThan">
      <formula>0</formula>
    </cfRule>
  </conditionalFormatting>
  <conditionalFormatting sqref="I274:I277">
    <cfRule type="cellIs" dxfId="19" priority="1" operator="equal">
      <formula>0</formula>
    </cfRule>
  </conditionalFormatting>
  <dataValidations count="21">
    <dataValidation operator="greaterThanOrEqual" allowBlank="1" showInputMessage="1" showErrorMessage="1" sqref="K2 D144:E144 I144:K144 I156:K156 D156:E156" xr:uid="{00000000-0002-0000-1600-000000000000}"/>
    <dataValidation type="date" allowBlank="1" showInputMessage="1" showErrorMessage="1" errorTitle="Date Error" error="Date must be within Dates of Review Period." sqref="D37:E37 I37:K37" xr:uid="{00000000-0002-0000-1600-000001000000}">
      <formula1>$G$2</formula1>
      <formula2>$I$2</formula2>
    </dataValidation>
    <dataValidation type="decimal" operator="greaterThanOrEqual" allowBlank="1" showInputMessage="1" showErrorMessage="1" sqref="D242:E242" xr:uid="{00000000-0002-0000-1600-000002000000}">
      <formula1>MINVALDBL</formula1>
    </dataValidation>
    <dataValidation type="list" allowBlank="1" showInputMessage="1" showErrorMessage="1" promptTitle="X.6.a Entry Guidance" prompt="X.6.a cannot be &quot;NA&quot; if Column D above (Total Refund Due) is greater than $0.00." sqref="J243:K243" xr:uid="{00000000-0002-0000-16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1600-000004000000}">
      <formula1>A47</formula1>
    </dataValidation>
    <dataValidation type="whole" allowBlank="1" showInputMessage="1" showErrorMessage="1" sqref="H349:H354" xr:uid="{00000000-0002-0000-1600-000005000000}">
      <formula1>1</formula1>
      <formula2>31</formula2>
    </dataValidation>
    <dataValidation type="textLength" operator="greaterThan" allowBlank="1" showInputMessage="1" showErrorMessage="1" sqref="D3:D4" xr:uid="{00000000-0002-0000-1600-000006000000}">
      <formula1>1</formula1>
    </dataValidation>
    <dataValidation type="whole" allowBlank="1" showInputMessage="1" showErrorMessage="1" sqref="A2" xr:uid="{00000000-0002-0000-1600-000007000000}">
      <formula1>1</formula1>
      <formula2>99</formula2>
    </dataValidation>
    <dataValidation type="whole" operator="greaterThan" allowBlank="1" showInputMessage="1" showErrorMessage="1" sqref="E121:E130 A121:A130" xr:uid="{00000000-0002-0000-1600-000008000000}">
      <formula1>0</formula1>
    </dataValidation>
    <dataValidation type="textLength" operator="lessThanOrEqual" allowBlank="1" showInputMessage="1" showErrorMessage="1" sqref="N242:Q242 E196:K215 E172:K181 A295:E299 E225:K234" xr:uid="{00000000-0002-0000-1600-000009000000}">
      <formula1>255</formula1>
    </dataValidation>
    <dataValidation type="date" operator="greaterThan" allowBlank="1" showInputMessage="1" showErrorMessage="1" sqref="R242:S242" xr:uid="{00000000-0002-0000-1600-00000A000000}">
      <formula1>1</formula1>
    </dataValidation>
    <dataValidation type="whole" allowBlank="1" showInputMessage="1" showErrorMessage="1" sqref="C349:C354" xr:uid="{00000000-0002-0000-1600-00000B000000}">
      <formula1>1</formula1>
      <formula2>999</formula2>
    </dataValidation>
    <dataValidation type="decimal" operator="greaterThan" allowBlank="1" showInputMessage="1" showErrorMessage="1" sqref="J301:K301" xr:uid="{00000000-0002-0000-1600-00000C000000}">
      <formula1>0</formula1>
    </dataValidation>
    <dataValidation type="decimal" operator="greaterThanOrEqual" allowBlank="1" showInputMessage="1" showErrorMessage="1" sqref="F295:I299" xr:uid="{00000000-0002-0000-16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1600-00000E000000}">
      <formula1>0</formula1>
    </dataValidation>
    <dataValidation type="list" allowBlank="1" showInputMessage="1" showErrorMessage="1" sqref="B242" xr:uid="{00000000-0002-0000-1600-00000F000000}">
      <formula1>"DEATH,DISCHARGE"</formula1>
    </dataValidation>
    <dataValidation type="list" allowBlank="1" showInputMessage="1" showErrorMessage="1" sqref="J337:K341 K63:L65 K15:L16 G37 B37 J364:K365 J304:K305 J329:K334 J324 J53:K54 J56" xr:uid="{00000000-0002-0000-16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16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1600-000012000000}">
      <formula1>1</formula1>
    </dataValidation>
    <dataValidation type="date" operator="greaterThan" allowBlank="1" showInputMessage="1" showErrorMessage="1" errorTitle="Date Error" error="&quot;From&quot; date must be later than previous &quot;To&quot; date." sqref="A350:A354" xr:uid="{00000000-0002-0000-1600-000013000000}">
      <formula1>B349</formula1>
    </dataValidation>
    <dataValidation type="date" operator="greaterThanOrEqual" allowBlank="1" showInputMessage="1" showErrorMessage="1" errorTitle="Date Error" error="&quot;To&quot; date cannot be earlier than &quot;From&quot; date." sqref="B349:B354" xr:uid="{00000000-0002-0000-16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64545"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64546"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64547"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64548"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64549"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64550"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64551"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64552"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64553"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64554"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64555"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64556"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64557"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16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16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16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1600-000018000000}">
          <x14:formula1>
            <xm:f>'Samples (Print)'!B2</xm:f>
          </x14:formula1>
          <x14:formula2>
            <xm:f>'Samples (Print)'!D2</xm:f>
          </x14:formula2>
          <xm:sqref>A47:E47</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23</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75o7jUhV1hj6/XMxEz/Qpcaf5EamoU8L/+X6jjhoJSWtYA0BiwkU7ikda3cBnLrhl1jdVlVdK4eqm4KfjL3lXA==" saltValue="H/VNUhHShsYOaP9mfQufVg=="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18" priority="2" operator="lessThan">
      <formula>0</formula>
    </cfRule>
  </conditionalFormatting>
  <conditionalFormatting sqref="I274:I277">
    <cfRule type="cellIs" dxfId="17" priority="1" operator="equal">
      <formula>0</formula>
    </cfRule>
  </conditionalFormatting>
  <dataValidations count="21">
    <dataValidation operator="greaterThanOrEqual" allowBlank="1" showInputMessage="1" showErrorMessage="1" sqref="K2 D144:E144 I144:K144 I156:K156 D156:E156" xr:uid="{00000000-0002-0000-1700-000000000000}"/>
    <dataValidation type="date" allowBlank="1" showInputMessage="1" showErrorMessage="1" errorTitle="Date Error" error="Date must be within Dates of Review Period." sqref="D37:E37 I37:K37" xr:uid="{00000000-0002-0000-1700-000001000000}">
      <formula1>$G$2</formula1>
      <formula2>$I$2</formula2>
    </dataValidation>
    <dataValidation type="decimal" operator="greaterThanOrEqual" allowBlank="1" showInputMessage="1" showErrorMessage="1" sqref="D242:E242" xr:uid="{00000000-0002-0000-1700-000002000000}">
      <formula1>MINVALDBL</formula1>
    </dataValidation>
    <dataValidation type="list" allowBlank="1" showInputMessage="1" showErrorMessage="1" promptTitle="X.6.a Entry Guidance" prompt="X.6.a cannot be &quot;NA&quot; if Column D above (Total Refund Due) is greater than $0.00." sqref="J243:K243" xr:uid="{00000000-0002-0000-17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1700-000004000000}">
      <formula1>A47</formula1>
    </dataValidation>
    <dataValidation type="whole" allowBlank="1" showInputMessage="1" showErrorMessage="1" sqref="H349:H354" xr:uid="{00000000-0002-0000-1700-000005000000}">
      <formula1>1</formula1>
      <formula2>31</formula2>
    </dataValidation>
    <dataValidation type="textLength" operator="greaterThan" allowBlank="1" showInputMessage="1" showErrorMessage="1" sqref="D3:D4" xr:uid="{00000000-0002-0000-1700-000006000000}">
      <formula1>1</formula1>
    </dataValidation>
    <dataValidation type="whole" allowBlank="1" showInputMessage="1" showErrorMessage="1" sqref="A2" xr:uid="{00000000-0002-0000-1700-000007000000}">
      <formula1>1</formula1>
      <formula2>99</formula2>
    </dataValidation>
    <dataValidation type="whole" operator="greaterThan" allowBlank="1" showInputMessage="1" showErrorMessage="1" sqref="E121:E130 A121:A130" xr:uid="{00000000-0002-0000-1700-000008000000}">
      <formula1>0</formula1>
    </dataValidation>
    <dataValidation type="textLength" operator="lessThanOrEqual" allowBlank="1" showInputMessage="1" showErrorMessage="1" sqref="N242:Q242 E196:K215 E172:K181 A295:E299 E225:K234" xr:uid="{00000000-0002-0000-1700-000009000000}">
      <formula1>255</formula1>
    </dataValidation>
    <dataValidation type="date" operator="greaterThan" allowBlank="1" showInputMessage="1" showErrorMessage="1" sqref="R242:S242" xr:uid="{00000000-0002-0000-1700-00000A000000}">
      <formula1>1</formula1>
    </dataValidation>
    <dataValidation type="whole" allowBlank="1" showInputMessage="1" showErrorMessage="1" sqref="C349:C354" xr:uid="{00000000-0002-0000-1700-00000B000000}">
      <formula1>1</formula1>
      <formula2>999</formula2>
    </dataValidation>
    <dataValidation type="decimal" operator="greaterThan" allowBlank="1" showInputMessage="1" showErrorMessage="1" sqref="J301:K301" xr:uid="{00000000-0002-0000-1700-00000C000000}">
      <formula1>0</formula1>
    </dataValidation>
    <dataValidation type="decimal" operator="greaterThanOrEqual" allowBlank="1" showInputMessage="1" showErrorMessage="1" sqref="F295:I299" xr:uid="{00000000-0002-0000-17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1700-00000E000000}">
      <formula1>0</formula1>
    </dataValidation>
    <dataValidation type="list" allowBlank="1" showInputMessage="1" showErrorMessage="1" sqref="B242" xr:uid="{00000000-0002-0000-1700-00000F000000}">
      <formula1>"DEATH,DISCHARGE"</formula1>
    </dataValidation>
    <dataValidation type="list" allowBlank="1" showInputMessage="1" showErrorMessage="1" sqref="J337:K341 K63:L65 K15:L16 G37 B37 J364:K365 J304:K305 J329:K334 J324 J53:K54 J56" xr:uid="{00000000-0002-0000-17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17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1700-000012000000}">
      <formula1>1</formula1>
    </dataValidation>
    <dataValidation type="date" operator="greaterThan" allowBlank="1" showInputMessage="1" showErrorMessage="1" errorTitle="Date Error" error="&quot;From&quot; date must be later than previous &quot;To&quot; date." sqref="A350:A354" xr:uid="{00000000-0002-0000-1700-000013000000}">
      <formula1>B349</formula1>
    </dataValidation>
    <dataValidation type="date" operator="greaterThanOrEqual" allowBlank="1" showInputMessage="1" showErrorMessage="1" errorTitle="Date Error" error="&quot;To&quot; date cannot be earlier than &quot;From&quot; date." sqref="B349:B354" xr:uid="{00000000-0002-0000-17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63521"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63522"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63523"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63524"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63525"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63526"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63527"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63528"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63529"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63530"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63531"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63532"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63533"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17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17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17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1700-000018000000}">
          <x14:formula1>
            <xm:f>'Samples (Print)'!B2</xm:f>
          </x14:formula1>
          <x14:formula2>
            <xm:f>'Samples (Print)'!D2</xm:f>
          </x14:formula2>
          <xm:sqref>A47:E47</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24</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1nz9ZZex4sLDADDz6HYoYCdzys1mYz3YCAcWcPuN3hd2AQs2GECAPtG5/iD2KokZMQWf/D4+4DVXI2bbYrH1hQ==" saltValue="o0PsEwM/fny9wdtXrHpp4A=="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16" priority="2" operator="lessThan">
      <formula>0</formula>
    </cfRule>
  </conditionalFormatting>
  <conditionalFormatting sqref="I274:I277">
    <cfRule type="cellIs" dxfId="15" priority="1" operator="equal">
      <formula>0</formula>
    </cfRule>
  </conditionalFormatting>
  <dataValidations count="21">
    <dataValidation operator="greaterThanOrEqual" allowBlank="1" showInputMessage="1" showErrorMessage="1" sqref="K2 D144:E144 I144:K144 I156:K156 D156:E156" xr:uid="{00000000-0002-0000-1800-000000000000}"/>
    <dataValidation type="date" allowBlank="1" showInputMessage="1" showErrorMessage="1" errorTitle="Date Error" error="Date must be within Dates of Review Period." sqref="D37:E37 I37:K37" xr:uid="{00000000-0002-0000-1800-000001000000}">
      <formula1>$G$2</formula1>
      <formula2>$I$2</formula2>
    </dataValidation>
    <dataValidation type="decimal" operator="greaterThanOrEqual" allowBlank="1" showInputMessage="1" showErrorMessage="1" sqref="D242:E242" xr:uid="{00000000-0002-0000-1800-000002000000}">
      <formula1>MINVALDBL</formula1>
    </dataValidation>
    <dataValidation type="list" allowBlank="1" showInputMessage="1" showErrorMessage="1" promptTitle="X.6.a Entry Guidance" prompt="X.6.a cannot be &quot;NA&quot; if Column D above (Total Refund Due) is greater than $0.00." sqref="J243:K243" xr:uid="{00000000-0002-0000-18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1800-000004000000}">
      <formula1>A47</formula1>
    </dataValidation>
    <dataValidation type="whole" allowBlank="1" showInputMessage="1" showErrorMessage="1" sqref="H349:H354" xr:uid="{00000000-0002-0000-1800-000005000000}">
      <formula1>1</formula1>
      <formula2>31</formula2>
    </dataValidation>
    <dataValidation type="textLength" operator="greaterThan" allowBlank="1" showInputMessage="1" showErrorMessage="1" sqref="D3:D4" xr:uid="{00000000-0002-0000-1800-000006000000}">
      <formula1>1</formula1>
    </dataValidation>
    <dataValidation type="whole" allowBlank="1" showInputMessage="1" showErrorMessage="1" sqref="A2" xr:uid="{00000000-0002-0000-1800-000007000000}">
      <formula1>1</formula1>
      <formula2>99</formula2>
    </dataValidation>
    <dataValidation type="whole" operator="greaterThan" allowBlank="1" showInputMessage="1" showErrorMessage="1" sqref="E121:E130 A121:A130" xr:uid="{00000000-0002-0000-1800-000008000000}">
      <formula1>0</formula1>
    </dataValidation>
    <dataValidation type="textLength" operator="lessThanOrEqual" allowBlank="1" showInputMessage="1" showErrorMessage="1" sqref="N242:Q242 E196:K215 E172:K181 A295:E299 E225:K234" xr:uid="{00000000-0002-0000-1800-000009000000}">
      <formula1>255</formula1>
    </dataValidation>
    <dataValidation type="date" operator="greaterThan" allowBlank="1" showInputMessage="1" showErrorMessage="1" sqref="R242:S242" xr:uid="{00000000-0002-0000-1800-00000A000000}">
      <formula1>1</formula1>
    </dataValidation>
    <dataValidation type="whole" allowBlank="1" showInputMessage="1" showErrorMessage="1" sqref="C349:C354" xr:uid="{00000000-0002-0000-1800-00000B000000}">
      <formula1>1</formula1>
      <formula2>999</formula2>
    </dataValidation>
    <dataValidation type="decimal" operator="greaterThan" allowBlank="1" showInputMessage="1" showErrorMessage="1" sqref="J301:K301" xr:uid="{00000000-0002-0000-1800-00000C000000}">
      <formula1>0</formula1>
    </dataValidation>
    <dataValidation type="decimal" operator="greaterThanOrEqual" allowBlank="1" showInputMessage="1" showErrorMessage="1" sqref="F295:I299" xr:uid="{00000000-0002-0000-18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1800-00000E000000}">
      <formula1>0</formula1>
    </dataValidation>
    <dataValidation type="list" allowBlank="1" showInputMessage="1" showErrorMessage="1" sqref="B242" xr:uid="{00000000-0002-0000-1800-00000F000000}">
      <formula1>"DEATH,DISCHARGE"</formula1>
    </dataValidation>
    <dataValidation type="list" allowBlank="1" showInputMessage="1" showErrorMessage="1" sqref="J337:K341 K63:L65 K15:L16 G37 B37 J364:K365 J304:K305 J329:K334 J324 J53:K54 J56" xr:uid="{00000000-0002-0000-18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18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1800-000012000000}">
      <formula1>1</formula1>
    </dataValidation>
    <dataValidation type="date" operator="greaterThan" allowBlank="1" showInputMessage="1" showErrorMessage="1" errorTitle="Date Error" error="&quot;From&quot; date must be later than previous &quot;To&quot; date." sqref="A350:A354" xr:uid="{00000000-0002-0000-1800-000013000000}">
      <formula1>B349</formula1>
    </dataValidation>
    <dataValidation type="date" operator="greaterThanOrEqual" allowBlank="1" showInputMessage="1" showErrorMessage="1" errorTitle="Date Error" error="&quot;To&quot; date cannot be earlier than &quot;From&quot; date." sqref="B349:B354" xr:uid="{00000000-0002-0000-18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62497"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62498"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62499"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62500"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62501"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62502"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62503"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62504"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62505"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62506"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62507"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62508"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62509"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18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18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18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1800-000018000000}">
          <x14:formula1>
            <xm:f>'Samples (Print)'!B2</xm:f>
          </x14:formula1>
          <x14:formula2>
            <xm:f>'Samples (Print)'!D2</xm:f>
          </x14:formula2>
          <xm:sqref>A47:E47</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25</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l16SwiHzjyt/2WOLynSfqxbAfc141vdPBgghUe70IIRTjMD68AmWC39giyOAfwZHUPrWUDvCzCrYNPh+fXtLlw==" saltValue="IlBzD5Ljslw9xWiIDGtjXw=="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14" priority="2" operator="lessThan">
      <formula>0</formula>
    </cfRule>
  </conditionalFormatting>
  <conditionalFormatting sqref="I274:I277">
    <cfRule type="cellIs" dxfId="13" priority="1" operator="equal">
      <formula>0</formula>
    </cfRule>
  </conditionalFormatting>
  <dataValidations count="21">
    <dataValidation operator="greaterThanOrEqual" allowBlank="1" showInputMessage="1" showErrorMessage="1" sqref="K2 D144:E144 I144:K144 I156:K156 D156:E156" xr:uid="{00000000-0002-0000-1900-000000000000}"/>
    <dataValidation type="date" allowBlank="1" showInputMessage="1" showErrorMessage="1" errorTitle="Date Error" error="Date must be within Dates of Review Period." sqref="D37:E37 I37:K37" xr:uid="{00000000-0002-0000-1900-000001000000}">
      <formula1>$G$2</formula1>
      <formula2>$I$2</formula2>
    </dataValidation>
    <dataValidation type="decimal" operator="greaterThanOrEqual" allowBlank="1" showInputMessage="1" showErrorMessage="1" sqref="D242:E242" xr:uid="{00000000-0002-0000-1900-000002000000}">
      <formula1>MINVALDBL</formula1>
    </dataValidation>
    <dataValidation type="list" allowBlank="1" showInputMessage="1" showErrorMessage="1" promptTitle="X.6.a Entry Guidance" prompt="X.6.a cannot be &quot;NA&quot; if Column D above (Total Refund Due) is greater than $0.00." sqref="J243:K243" xr:uid="{00000000-0002-0000-19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1900-000004000000}">
      <formula1>A47</formula1>
    </dataValidation>
    <dataValidation type="whole" allowBlank="1" showInputMessage="1" showErrorMessage="1" sqref="H349:H354" xr:uid="{00000000-0002-0000-1900-000005000000}">
      <formula1>1</formula1>
      <formula2>31</formula2>
    </dataValidation>
    <dataValidation type="textLength" operator="greaterThan" allowBlank="1" showInputMessage="1" showErrorMessage="1" sqref="D3:D4" xr:uid="{00000000-0002-0000-1900-000006000000}">
      <formula1>1</formula1>
    </dataValidation>
    <dataValidation type="whole" allowBlank="1" showInputMessage="1" showErrorMessage="1" sqref="A2" xr:uid="{00000000-0002-0000-1900-000007000000}">
      <formula1>1</formula1>
      <formula2>99</formula2>
    </dataValidation>
    <dataValidation type="whole" operator="greaterThan" allowBlank="1" showInputMessage="1" showErrorMessage="1" sqref="E121:E130 A121:A130" xr:uid="{00000000-0002-0000-1900-000008000000}">
      <formula1>0</formula1>
    </dataValidation>
    <dataValidation type="textLength" operator="lessThanOrEqual" allowBlank="1" showInputMessage="1" showErrorMessage="1" sqref="N242:Q242 E196:K215 E172:K181 A295:E299 E225:K234" xr:uid="{00000000-0002-0000-1900-000009000000}">
      <formula1>255</formula1>
    </dataValidation>
    <dataValidation type="date" operator="greaterThan" allowBlank="1" showInputMessage="1" showErrorMessage="1" sqref="R242:S242" xr:uid="{00000000-0002-0000-1900-00000A000000}">
      <formula1>1</formula1>
    </dataValidation>
    <dataValidation type="whole" allowBlank="1" showInputMessage="1" showErrorMessage="1" sqref="C349:C354" xr:uid="{00000000-0002-0000-1900-00000B000000}">
      <formula1>1</formula1>
      <formula2>999</formula2>
    </dataValidation>
    <dataValidation type="decimal" operator="greaterThan" allowBlank="1" showInputMessage="1" showErrorMessage="1" sqref="J301:K301" xr:uid="{00000000-0002-0000-1900-00000C000000}">
      <formula1>0</formula1>
    </dataValidation>
    <dataValidation type="decimal" operator="greaterThanOrEqual" allowBlank="1" showInputMessage="1" showErrorMessage="1" sqref="F295:I299" xr:uid="{00000000-0002-0000-19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1900-00000E000000}">
      <formula1>0</formula1>
    </dataValidation>
    <dataValidation type="list" allowBlank="1" showInputMessage="1" showErrorMessage="1" sqref="B242" xr:uid="{00000000-0002-0000-1900-00000F000000}">
      <formula1>"DEATH,DISCHARGE"</formula1>
    </dataValidation>
    <dataValidation type="list" allowBlank="1" showInputMessage="1" showErrorMessage="1" sqref="J337:K341 K63:L65 K15:L16 G37 B37 J364:K365 J304:K305 J329:K334 J324 J53:K54 J56" xr:uid="{00000000-0002-0000-19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19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1900-000012000000}">
      <formula1>1</formula1>
    </dataValidation>
    <dataValidation type="date" operator="greaterThan" allowBlank="1" showInputMessage="1" showErrorMessage="1" errorTitle="Date Error" error="&quot;From&quot; date must be later than previous &quot;To&quot; date." sqref="A350:A354" xr:uid="{00000000-0002-0000-1900-000013000000}">
      <formula1>B349</formula1>
    </dataValidation>
    <dataValidation type="date" operator="greaterThanOrEqual" allowBlank="1" showInputMessage="1" showErrorMessage="1" errorTitle="Date Error" error="&quot;To&quot; date cannot be earlier than &quot;From&quot; date." sqref="B349:B354" xr:uid="{00000000-0002-0000-19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61473"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61474"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61475"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61476"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61477"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61478"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61479"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61480"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61481"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61482"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61483"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61484"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61485"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19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19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19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1900-000018000000}">
          <x14:formula1>
            <xm:f>'Samples (Print)'!B2</xm:f>
          </x14:formula1>
          <x14:formula2>
            <xm:f>'Samples (Print)'!D2</xm:f>
          </x14:formula2>
          <xm:sqref>A47:E47</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26</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rGFYs4ilTQlyzlTEB8lCu6Fi+FfGa2Yhd1BesQeCJ8SLOJ6hLWpI+rM2+FXPXWHCKGUpZzlq1x/vzmbi0qwNbg==" saltValue="LVT1fdtHQMhYvuZNr1WSkQ=="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12" priority="2" operator="lessThan">
      <formula>0</formula>
    </cfRule>
  </conditionalFormatting>
  <conditionalFormatting sqref="I274:I277">
    <cfRule type="cellIs" dxfId="11" priority="1" operator="equal">
      <formula>0</formula>
    </cfRule>
  </conditionalFormatting>
  <dataValidations count="21">
    <dataValidation operator="greaterThanOrEqual" allowBlank="1" showInputMessage="1" showErrorMessage="1" sqref="K2 D144:E144 I144:K144 I156:K156 D156:E156" xr:uid="{00000000-0002-0000-1A00-000000000000}"/>
    <dataValidation type="date" allowBlank="1" showInputMessage="1" showErrorMessage="1" errorTitle="Date Error" error="Date must be within Dates of Review Period." sqref="D37:E37 I37:K37" xr:uid="{00000000-0002-0000-1A00-000001000000}">
      <formula1>$G$2</formula1>
      <formula2>$I$2</formula2>
    </dataValidation>
    <dataValidation type="decimal" operator="greaterThanOrEqual" allowBlank="1" showInputMessage="1" showErrorMessage="1" sqref="D242:E242" xr:uid="{00000000-0002-0000-1A00-000002000000}">
      <formula1>MINVALDBL</formula1>
    </dataValidation>
    <dataValidation type="list" allowBlank="1" showInputMessage="1" showErrorMessage="1" promptTitle="X.6.a Entry Guidance" prompt="X.6.a cannot be &quot;NA&quot; if Column D above (Total Refund Due) is greater than $0.00." sqref="J243:K243" xr:uid="{00000000-0002-0000-1A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1A00-000004000000}">
      <formula1>A47</formula1>
    </dataValidation>
    <dataValidation type="whole" allowBlank="1" showInputMessage="1" showErrorMessage="1" sqref="H349:H354" xr:uid="{00000000-0002-0000-1A00-000005000000}">
      <formula1>1</formula1>
      <formula2>31</formula2>
    </dataValidation>
    <dataValidation type="textLength" operator="greaterThan" allowBlank="1" showInputMessage="1" showErrorMessage="1" sqref="D3:D4" xr:uid="{00000000-0002-0000-1A00-000006000000}">
      <formula1>1</formula1>
    </dataValidation>
    <dataValidation type="whole" allowBlank="1" showInputMessage="1" showErrorMessage="1" sqref="A2" xr:uid="{00000000-0002-0000-1A00-000007000000}">
      <formula1>1</formula1>
      <formula2>99</formula2>
    </dataValidation>
    <dataValidation type="whole" operator="greaterThan" allowBlank="1" showInputMessage="1" showErrorMessage="1" sqref="E121:E130 A121:A130" xr:uid="{00000000-0002-0000-1A00-000008000000}">
      <formula1>0</formula1>
    </dataValidation>
    <dataValidation type="textLength" operator="lessThanOrEqual" allowBlank="1" showInputMessage="1" showErrorMessage="1" sqref="N242:Q242 E196:K215 E172:K181 A295:E299 E225:K234" xr:uid="{00000000-0002-0000-1A00-000009000000}">
      <formula1>255</formula1>
    </dataValidation>
    <dataValidation type="date" operator="greaterThan" allowBlank="1" showInputMessage="1" showErrorMessage="1" sqref="R242:S242" xr:uid="{00000000-0002-0000-1A00-00000A000000}">
      <formula1>1</formula1>
    </dataValidation>
    <dataValidation type="whole" allowBlank="1" showInputMessage="1" showErrorMessage="1" sqref="C349:C354" xr:uid="{00000000-0002-0000-1A00-00000B000000}">
      <formula1>1</formula1>
      <formula2>999</formula2>
    </dataValidation>
    <dataValidation type="decimal" operator="greaterThan" allowBlank="1" showInputMessage="1" showErrorMessage="1" sqref="J301:K301" xr:uid="{00000000-0002-0000-1A00-00000C000000}">
      <formula1>0</formula1>
    </dataValidation>
    <dataValidation type="decimal" operator="greaterThanOrEqual" allowBlank="1" showInputMessage="1" showErrorMessage="1" sqref="F295:I299" xr:uid="{00000000-0002-0000-1A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1A00-00000E000000}">
      <formula1>0</formula1>
    </dataValidation>
    <dataValidation type="list" allowBlank="1" showInputMessage="1" showErrorMessage="1" sqref="B242" xr:uid="{00000000-0002-0000-1A00-00000F000000}">
      <formula1>"DEATH,DISCHARGE"</formula1>
    </dataValidation>
    <dataValidation type="list" allowBlank="1" showInputMessage="1" showErrorMessage="1" sqref="J337:K341 K63:L65 K15:L16 G37 B37 J364:K365 J304:K305 J329:K334 J324 J53:K54 J56" xr:uid="{00000000-0002-0000-1A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1A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1A00-000012000000}">
      <formula1>1</formula1>
    </dataValidation>
    <dataValidation type="date" operator="greaterThan" allowBlank="1" showInputMessage="1" showErrorMessage="1" errorTitle="Date Error" error="&quot;From&quot; date must be later than previous &quot;To&quot; date." sqref="A350:A354" xr:uid="{00000000-0002-0000-1A00-000013000000}">
      <formula1>B349</formula1>
    </dataValidation>
    <dataValidation type="date" operator="greaterThanOrEqual" allowBlank="1" showInputMessage="1" showErrorMessage="1" errorTitle="Date Error" error="&quot;To&quot; date cannot be earlier than &quot;From&quot; date." sqref="B349:B354" xr:uid="{00000000-0002-0000-1A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60449"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60450"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60451"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60452"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60453"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60454"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60455"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60456"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60457"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60458"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60459"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60460"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60461"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1A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1A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1A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1A00-000018000000}">
          <x14:formula1>
            <xm:f>'Samples (Print)'!B2</xm:f>
          </x14:formula1>
          <x14:formula2>
            <xm:f>'Samples (Print)'!D2</xm:f>
          </x14:formula2>
          <xm:sqref>A47:E47</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27</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8wfFvZUXDzVOM5PDmqSTE4B8aXkhxkFGCo5LLuVXbLA3/9dYe8C5PMCTJkx69Ansfx+fo4oFTICiIdc4agdcMQ==" saltValue="060Ydra2rteL62zIgSf4FQ=="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10" priority="2" operator="lessThan">
      <formula>0</formula>
    </cfRule>
  </conditionalFormatting>
  <conditionalFormatting sqref="I274:I277">
    <cfRule type="cellIs" dxfId="9" priority="1" operator="equal">
      <formula>0</formula>
    </cfRule>
  </conditionalFormatting>
  <dataValidations count="21">
    <dataValidation operator="greaterThanOrEqual" allowBlank="1" showInputMessage="1" showErrorMessage="1" sqref="K2 D144:E144 I144:K144 I156:K156 D156:E156" xr:uid="{00000000-0002-0000-1B00-000000000000}"/>
    <dataValidation type="date" allowBlank="1" showInputMessage="1" showErrorMessage="1" errorTitle="Date Error" error="Date must be within Dates of Review Period." sqref="D37:E37 I37:K37" xr:uid="{00000000-0002-0000-1B00-000001000000}">
      <formula1>$G$2</formula1>
      <formula2>$I$2</formula2>
    </dataValidation>
    <dataValidation type="decimal" operator="greaterThanOrEqual" allowBlank="1" showInputMessage="1" showErrorMessage="1" sqref="D242:E242" xr:uid="{00000000-0002-0000-1B00-000002000000}">
      <formula1>MINVALDBL</formula1>
    </dataValidation>
    <dataValidation type="list" allowBlank="1" showInputMessage="1" showErrorMessage="1" promptTitle="X.6.a Entry Guidance" prompt="X.6.a cannot be &quot;NA&quot; if Column D above (Total Refund Due) is greater than $0.00." sqref="J243:K243" xr:uid="{00000000-0002-0000-1B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1B00-000004000000}">
      <formula1>A47</formula1>
    </dataValidation>
    <dataValidation type="whole" allowBlank="1" showInputMessage="1" showErrorMessage="1" sqref="H349:H354" xr:uid="{00000000-0002-0000-1B00-000005000000}">
      <formula1>1</formula1>
      <formula2>31</formula2>
    </dataValidation>
    <dataValidation type="textLength" operator="greaterThan" allowBlank="1" showInputMessage="1" showErrorMessage="1" sqref="D3:D4" xr:uid="{00000000-0002-0000-1B00-000006000000}">
      <formula1>1</formula1>
    </dataValidation>
    <dataValidation type="whole" allowBlank="1" showInputMessage="1" showErrorMessage="1" sqref="A2" xr:uid="{00000000-0002-0000-1B00-000007000000}">
      <formula1>1</formula1>
      <formula2>99</formula2>
    </dataValidation>
    <dataValidation type="whole" operator="greaterThan" allowBlank="1" showInputMessage="1" showErrorMessage="1" sqref="E121:E130 A121:A130" xr:uid="{00000000-0002-0000-1B00-000008000000}">
      <formula1>0</formula1>
    </dataValidation>
    <dataValidation type="textLength" operator="lessThanOrEqual" allowBlank="1" showInputMessage="1" showErrorMessage="1" sqref="N242:Q242 E196:K215 E172:K181 A295:E299 E225:K234" xr:uid="{00000000-0002-0000-1B00-000009000000}">
      <formula1>255</formula1>
    </dataValidation>
    <dataValidation type="date" operator="greaterThan" allowBlank="1" showInputMessage="1" showErrorMessage="1" sqref="R242:S242" xr:uid="{00000000-0002-0000-1B00-00000A000000}">
      <formula1>1</formula1>
    </dataValidation>
    <dataValidation type="whole" allowBlank="1" showInputMessage="1" showErrorMessage="1" sqref="C349:C354" xr:uid="{00000000-0002-0000-1B00-00000B000000}">
      <formula1>1</formula1>
      <formula2>999</formula2>
    </dataValidation>
    <dataValidation type="decimal" operator="greaterThan" allowBlank="1" showInputMessage="1" showErrorMessage="1" sqref="J301:K301" xr:uid="{00000000-0002-0000-1B00-00000C000000}">
      <formula1>0</formula1>
    </dataValidation>
    <dataValidation type="decimal" operator="greaterThanOrEqual" allowBlank="1" showInputMessage="1" showErrorMessage="1" sqref="F295:I299" xr:uid="{00000000-0002-0000-1B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1B00-00000E000000}">
      <formula1>0</formula1>
    </dataValidation>
    <dataValidation type="list" allowBlank="1" showInputMessage="1" showErrorMessage="1" sqref="B242" xr:uid="{00000000-0002-0000-1B00-00000F000000}">
      <formula1>"DEATH,DISCHARGE"</formula1>
    </dataValidation>
    <dataValidation type="list" allowBlank="1" showInputMessage="1" showErrorMessage="1" sqref="J337:K341 K63:L65 K15:L16 G37 B37 J364:K365 J304:K305 J329:K334 J324 J53:K54 J56" xr:uid="{00000000-0002-0000-1B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1B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1B00-000012000000}">
      <formula1>1</formula1>
    </dataValidation>
    <dataValidation type="date" operator="greaterThan" allowBlank="1" showInputMessage="1" showErrorMessage="1" errorTitle="Date Error" error="&quot;From&quot; date must be later than previous &quot;To&quot; date." sqref="A350:A354" xr:uid="{00000000-0002-0000-1B00-000013000000}">
      <formula1>B349</formula1>
    </dataValidation>
    <dataValidation type="date" operator="greaterThanOrEqual" allowBlank="1" showInputMessage="1" showErrorMessage="1" errorTitle="Date Error" error="&quot;To&quot; date cannot be earlier than &quot;From&quot; date." sqref="B349:B354" xr:uid="{00000000-0002-0000-1B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59425"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59426"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59427"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59428"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59429"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59430"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59431"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59432"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59433"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59434"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59435"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59436"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59437"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1B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1B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1B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1B00-000018000000}">
          <x14:formula1>
            <xm:f>'Samples (Print)'!B2</xm:f>
          </x14:formula1>
          <x14:formula2>
            <xm:f>'Samples (Print)'!D2</xm:f>
          </x14:formula2>
          <xm:sqref>A47:E47</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28</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AXrL8D8clGYIRDy5PF/632L3y98xa0eS1UrA5Y4uSQevGdygkVMUTj7z214tjbeTPbX/YSPc5nkEKn8PDF8usg==" saltValue="KehbG48GEFt2ncf+wzbJsQ=="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8" priority="2" operator="lessThan">
      <formula>0</formula>
    </cfRule>
  </conditionalFormatting>
  <conditionalFormatting sqref="I274:I277">
    <cfRule type="cellIs" dxfId="7" priority="1" operator="equal">
      <formula>0</formula>
    </cfRule>
  </conditionalFormatting>
  <dataValidations count="21">
    <dataValidation operator="greaterThanOrEqual" allowBlank="1" showInputMessage="1" showErrorMessage="1" sqref="K2 D144:E144 I144:K144 I156:K156 D156:E156" xr:uid="{00000000-0002-0000-1C00-000000000000}"/>
    <dataValidation type="date" allowBlank="1" showInputMessage="1" showErrorMessage="1" errorTitle="Date Error" error="Date must be within Dates of Review Period." sqref="D37:E37 I37:K37" xr:uid="{00000000-0002-0000-1C00-000001000000}">
      <formula1>$G$2</formula1>
      <formula2>$I$2</formula2>
    </dataValidation>
    <dataValidation type="decimal" operator="greaterThanOrEqual" allowBlank="1" showInputMessage="1" showErrorMessage="1" sqref="D242:E242" xr:uid="{00000000-0002-0000-1C00-000002000000}">
      <formula1>MINVALDBL</formula1>
    </dataValidation>
    <dataValidation type="list" allowBlank="1" showInputMessage="1" showErrorMessage="1" promptTitle="X.6.a Entry Guidance" prompt="X.6.a cannot be &quot;NA&quot; if Column D above (Total Refund Due) is greater than $0.00." sqref="J243:K243" xr:uid="{00000000-0002-0000-1C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1C00-000004000000}">
      <formula1>A47</formula1>
    </dataValidation>
    <dataValidation type="whole" allowBlank="1" showInputMessage="1" showErrorMessage="1" sqref="H349:H354" xr:uid="{00000000-0002-0000-1C00-000005000000}">
      <formula1>1</formula1>
      <formula2>31</formula2>
    </dataValidation>
    <dataValidation type="textLength" operator="greaterThan" allowBlank="1" showInputMessage="1" showErrorMessage="1" sqref="D3:D4" xr:uid="{00000000-0002-0000-1C00-000006000000}">
      <formula1>1</formula1>
    </dataValidation>
    <dataValidation type="whole" allowBlank="1" showInputMessage="1" showErrorMessage="1" sqref="A2" xr:uid="{00000000-0002-0000-1C00-000007000000}">
      <formula1>1</formula1>
      <formula2>99</formula2>
    </dataValidation>
    <dataValidation type="whole" operator="greaterThan" allowBlank="1" showInputMessage="1" showErrorMessage="1" sqref="E121:E130 A121:A130" xr:uid="{00000000-0002-0000-1C00-000008000000}">
      <formula1>0</formula1>
    </dataValidation>
    <dataValidation type="textLength" operator="lessThanOrEqual" allowBlank="1" showInputMessage="1" showErrorMessage="1" sqref="N242:Q242 E196:K215 E172:K181 A295:E299 E225:K234" xr:uid="{00000000-0002-0000-1C00-000009000000}">
      <formula1>255</formula1>
    </dataValidation>
    <dataValidation type="date" operator="greaterThan" allowBlank="1" showInputMessage="1" showErrorMessage="1" sqref="R242:S242" xr:uid="{00000000-0002-0000-1C00-00000A000000}">
      <formula1>1</formula1>
    </dataValidation>
    <dataValidation type="whole" allowBlank="1" showInputMessage="1" showErrorMessage="1" sqref="C349:C354" xr:uid="{00000000-0002-0000-1C00-00000B000000}">
      <formula1>1</formula1>
      <formula2>999</formula2>
    </dataValidation>
    <dataValidation type="decimal" operator="greaterThan" allowBlank="1" showInputMessage="1" showErrorMessage="1" sqref="J301:K301" xr:uid="{00000000-0002-0000-1C00-00000C000000}">
      <formula1>0</formula1>
    </dataValidation>
    <dataValidation type="decimal" operator="greaterThanOrEqual" allowBlank="1" showInputMessage="1" showErrorMessage="1" sqref="F295:I299" xr:uid="{00000000-0002-0000-1C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1C00-00000E000000}">
      <formula1>0</formula1>
    </dataValidation>
    <dataValidation type="list" allowBlank="1" showInputMessage="1" showErrorMessage="1" sqref="B242" xr:uid="{00000000-0002-0000-1C00-00000F000000}">
      <formula1>"DEATH,DISCHARGE"</formula1>
    </dataValidation>
    <dataValidation type="list" allowBlank="1" showInputMessage="1" showErrorMessage="1" sqref="J337:K341 K63:L65 K15:L16 G37 B37 J364:K365 J304:K305 J329:K334 J324 J53:K54 J56" xr:uid="{00000000-0002-0000-1C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1C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1C00-000012000000}">
      <formula1>1</formula1>
    </dataValidation>
    <dataValidation type="date" operator="greaterThan" allowBlank="1" showInputMessage="1" showErrorMessage="1" errorTitle="Date Error" error="&quot;From&quot; date must be later than previous &quot;To&quot; date." sqref="A350:A354" xr:uid="{00000000-0002-0000-1C00-000013000000}">
      <formula1>B349</formula1>
    </dataValidation>
    <dataValidation type="date" operator="greaterThanOrEqual" allowBlank="1" showInputMessage="1" showErrorMessage="1" errorTitle="Date Error" error="&quot;To&quot; date cannot be earlier than &quot;From&quot; date." sqref="B349:B354" xr:uid="{00000000-0002-0000-1C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58401"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58402"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58403"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58404"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58405"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58406"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58407"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58408"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58409"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58410"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58411"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58412"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58413"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1C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1C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1C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1C00-000018000000}">
          <x14:formula1>
            <xm:f>'Samples (Print)'!B2</xm:f>
          </x14:formula1>
          <x14:formula2>
            <xm:f>'Samples (Print)'!D2</xm:f>
          </x14:formula2>
          <xm:sqref>A47:E47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1"/>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2</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uZqgcxGYY++M8mhdQ1Y0h4lHz/hlTFCT81Mc5ihD0tw4FT6I2D+kOkFknzJ6W1lBGEJ7FcEdMbhe6GJnnf6pZg==" saltValue="7nmDpT5UtTboIJyeNJKRcw=="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60" priority="2" operator="lessThan">
      <formula>0</formula>
    </cfRule>
  </conditionalFormatting>
  <conditionalFormatting sqref="I274:I277">
    <cfRule type="cellIs" dxfId="59" priority="1" operator="equal">
      <formula>0</formula>
    </cfRule>
  </conditionalFormatting>
  <dataValidations count="21">
    <dataValidation operator="greaterThanOrEqual" allowBlank="1" showInputMessage="1" showErrorMessage="1" sqref="K2 D144:E144 I144:K144 I156:K156 D156:E156" xr:uid="{00000000-0002-0000-0200-000000000000}"/>
    <dataValidation type="date" allowBlank="1" showInputMessage="1" showErrorMessage="1" errorTitle="Date Error" error="Date must be within Dates of Review Period." sqref="D37:E37 I37:K37" xr:uid="{00000000-0002-0000-0200-000001000000}">
      <formula1>$G$2</formula1>
      <formula2>$I$2</formula2>
    </dataValidation>
    <dataValidation type="decimal" operator="greaterThanOrEqual" allowBlank="1" showInputMessage="1" showErrorMessage="1" sqref="D242:E242" xr:uid="{00000000-0002-0000-0200-000002000000}">
      <formula1>MINVALDBL</formula1>
    </dataValidation>
    <dataValidation type="list" allowBlank="1" showInputMessage="1" showErrorMessage="1" promptTitle="X.6.a Entry Guidance" prompt="X.6.a cannot be &quot;NA&quot; if Column D above (Total Refund Due) is greater than $0.00." sqref="J243:K243" xr:uid="{00000000-0002-0000-02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0200-000004000000}">
      <formula1>A47</formula1>
    </dataValidation>
    <dataValidation type="whole" allowBlank="1" showInputMessage="1" showErrorMessage="1" sqref="H349:H354" xr:uid="{00000000-0002-0000-0200-000005000000}">
      <formula1>1</formula1>
      <formula2>31</formula2>
    </dataValidation>
    <dataValidation type="textLength" operator="greaterThan" allowBlank="1" showInputMessage="1" showErrorMessage="1" sqref="D3:D4" xr:uid="{00000000-0002-0000-0200-000006000000}">
      <formula1>1</formula1>
    </dataValidation>
    <dataValidation type="whole" allowBlank="1" showInputMessage="1" showErrorMessage="1" sqref="A2" xr:uid="{00000000-0002-0000-0200-000007000000}">
      <formula1>1</formula1>
      <formula2>99</formula2>
    </dataValidation>
    <dataValidation type="whole" operator="greaterThan" allowBlank="1" showInputMessage="1" showErrorMessage="1" sqref="E121:E130 A121:A130" xr:uid="{00000000-0002-0000-0200-000008000000}">
      <formula1>0</formula1>
    </dataValidation>
    <dataValidation type="textLength" operator="lessThanOrEqual" allowBlank="1" showInputMessage="1" showErrorMessage="1" sqref="N242:Q242 E196:K215 E172:K181 A295:E299 E225:K234" xr:uid="{00000000-0002-0000-0200-000009000000}">
      <formula1>255</formula1>
    </dataValidation>
    <dataValidation type="date" operator="greaterThan" allowBlank="1" showInputMessage="1" showErrorMessage="1" sqref="R242:S242" xr:uid="{00000000-0002-0000-0200-00000A000000}">
      <formula1>1</formula1>
    </dataValidation>
    <dataValidation type="whole" allowBlank="1" showInputMessage="1" showErrorMessage="1" sqref="C349:C354" xr:uid="{00000000-0002-0000-0200-00000B000000}">
      <formula1>1</formula1>
      <formula2>999</formula2>
    </dataValidation>
    <dataValidation type="decimal" operator="greaterThan" allowBlank="1" showInputMessage="1" showErrorMessage="1" sqref="J301:K301" xr:uid="{00000000-0002-0000-0200-00000C000000}">
      <formula1>0</formula1>
    </dataValidation>
    <dataValidation type="decimal" operator="greaterThanOrEqual" allowBlank="1" showInputMessage="1" showErrorMessage="1" sqref="F295:I299" xr:uid="{00000000-0002-0000-02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0200-00000E000000}">
      <formula1>0</formula1>
    </dataValidation>
    <dataValidation type="list" allowBlank="1" showInputMessage="1" showErrorMessage="1" sqref="B242" xr:uid="{00000000-0002-0000-0200-00000F000000}">
      <formula1>"DEATH,DISCHARGE"</formula1>
    </dataValidation>
    <dataValidation type="list" allowBlank="1" showInputMessage="1" showErrorMessage="1" sqref="J337:K341 K63:L65 K15:L16 G37 B37 J364:K365 J304:K305 J329:K334 J324 J53:K54 J56" xr:uid="{00000000-0002-0000-02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02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0200-000012000000}">
      <formula1>1</formula1>
    </dataValidation>
    <dataValidation type="date" operator="greaterThan" allowBlank="1" showInputMessage="1" showErrorMessage="1" errorTitle="Date Error" error="&quot;From&quot; date must be later than previous &quot;To&quot; date." sqref="A350:A354" xr:uid="{00000000-0002-0000-0200-000013000000}">
      <formula1>B349</formula1>
    </dataValidation>
    <dataValidation type="date" operator="greaterThanOrEqual" allowBlank="1" showInputMessage="1" showErrorMessage="1" errorTitle="Date Error" error="&quot;To&quot; date cannot be earlier than &quot;From&quot; date." sqref="B349:B354" xr:uid="{00000000-0002-0000-02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85025"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85026"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85027"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85028"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85029"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85030"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85031"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85032"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85033"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85034"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85035"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85036"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85037"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02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02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02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0200-000018000000}">
          <x14:formula1>
            <xm:f>'Samples (Print)'!B2</xm:f>
          </x14:formula1>
          <x14:formula2>
            <xm:f>'Samples (Print)'!D2</xm:f>
          </x14:formula2>
          <xm:sqref>A47:E47</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29</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FkyPI88S6LnGfkS29znIYRNAPxg74cFkMQSVJE5OqvRpH9oFxnFZFsezdNT/8K8BH1/meUH1PJhOxWBn883Reg==" saltValue="nj4Hmi66JTcVUQ4LnSyEuQ=="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6" priority="2" operator="lessThan">
      <formula>0</formula>
    </cfRule>
  </conditionalFormatting>
  <conditionalFormatting sqref="I274:I277">
    <cfRule type="cellIs" dxfId="5" priority="1" operator="equal">
      <formula>0</formula>
    </cfRule>
  </conditionalFormatting>
  <dataValidations count="21">
    <dataValidation operator="greaterThanOrEqual" allowBlank="1" showInputMessage="1" showErrorMessage="1" sqref="K2 D144:E144 I144:K144 I156:K156 D156:E156" xr:uid="{00000000-0002-0000-1D00-000000000000}"/>
    <dataValidation type="date" allowBlank="1" showInputMessage="1" showErrorMessage="1" errorTitle="Date Error" error="Date must be within Dates of Review Period." sqref="D37:E37 I37:K37" xr:uid="{00000000-0002-0000-1D00-000001000000}">
      <formula1>$G$2</formula1>
      <formula2>$I$2</formula2>
    </dataValidation>
    <dataValidation type="decimal" operator="greaterThanOrEqual" allowBlank="1" showInputMessage="1" showErrorMessage="1" sqref="D242:E242" xr:uid="{00000000-0002-0000-1D00-000002000000}">
      <formula1>MINVALDBL</formula1>
    </dataValidation>
    <dataValidation type="list" allowBlank="1" showInputMessage="1" showErrorMessage="1" promptTitle="X.6.a Entry Guidance" prompt="X.6.a cannot be &quot;NA&quot; if Column D above (Total Refund Due) is greater than $0.00." sqref="J243:K243" xr:uid="{00000000-0002-0000-1D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1D00-000004000000}">
      <formula1>A47</formula1>
    </dataValidation>
    <dataValidation type="whole" allowBlank="1" showInputMessage="1" showErrorMessage="1" sqref="H349:H354" xr:uid="{00000000-0002-0000-1D00-000005000000}">
      <formula1>1</formula1>
      <formula2>31</formula2>
    </dataValidation>
    <dataValidation type="textLength" operator="greaterThan" allowBlank="1" showInputMessage="1" showErrorMessage="1" sqref="D3:D4" xr:uid="{00000000-0002-0000-1D00-000006000000}">
      <formula1>1</formula1>
    </dataValidation>
    <dataValidation type="whole" allowBlank="1" showInputMessage="1" showErrorMessage="1" sqref="A2" xr:uid="{00000000-0002-0000-1D00-000007000000}">
      <formula1>1</formula1>
      <formula2>99</formula2>
    </dataValidation>
    <dataValidation type="whole" operator="greaterThan" allowBlank="1" showInputMessage="1" showErrorMessage="1" sqref="E121:E130 A121:A130" xr:uid="{00000000-0002-0000-1D00-000008000000}">
      <formula1>0</formula1>
    </dataValidation>
    <dataValidation type="textLength" operator="lessThanOrEqual" allowBlank="1" showInputMessage="1" showErrorMessage="1" sqref="N242:Q242 E196:K215 E172:K181 A295:E299 E225:K234" xr:uid="{00000000-0002-0000-1D00-000009000000}">
      <formula1>255</formula1>
    </dataValidation>
    <dataValidation type="date" operator="greaterThan" allowBlank="1" showInputMessage="1" showErrorMessage="1" sqref="R242:S242" xr:uid="{00000000-0002-0000-1D00-00000A000000}">
      <formula1>1</formula1>
    </dataValidation>
    <dataValidation type="whole" allowBlank="1" showInputMessage="1" showErrorMessage="1" sqref="C349:C354" xr:uid="{00000000-0002-0000-1D00-00000B000000}">
      <formula1>1</formula1>
      <formula2>999</formula2>
    </dataValidation>
    <dataValidation type="decimal" operator="greaterThan" allowBlank="1" showInputMessage="1" showErrorMessage="1" sqref="J301:K301" xr:uid="{00000000-0002-0000-1D00-00000C000000}">
      <formula1>0</formula1>
    </dataValidation>
    <dataValidation type="decimal" operator="greaterThanOrEqual" allowBlank="1" showInputMessage="1" showErrorMessage="1" sqref="F295:I299" xr:uid="{00000000-0002-0000-1D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1D00-00000E000000}">
      <formula1>0</formula1>
    </dataValidation>
    <dataValidation type="list" allowBlank="1" showInputMessage="1" showErrorMessage="1" sqref="B242" xr:uid="{00000000-0002-0000-1D00-00000F000000}">
      <formula1>"DEATH,DISCHARGE"</formula1>
    </dataValidation>
    <dataValidation type="list" allowBlank="1" showInputMessage="1" showErrorMessage="1" sqref="J337:K341 K63:L65 K15:L16 G37 B37 J364:K365 J304:K305 J329:K334 J324 J53:K54 J56" xr:uid="{00000000-0002-0000-1D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1D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1D00-000012000000}">
      <formula1>1</formula1>
    </dataValidation>
    <dataValidation type="date" operator="greaterThan" allowBlank="1" showInputMessage="1" showErrorMessage="1" errorTitle="Date Error" error="&quot;From&quot; date must be later than previous &quot;To&quot; date." sqref="A350:A354" xr:uid="{00000000-0002-0000-1D00-000013000000}">
      <formula1>B349</formula1>
    </dataValidation>
    <dataValidation type="date" operator="greaterThanOrEqual" allowBlank="1" showInputMessage="1" showErrorMessage="1" errorTitle="Date Error" error="&quot;To&quot; date cannot be earlier than &quot;From&quot; date." sqref="B349:B354" xr:uid="{00000000-0002-0000-1D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57377"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57378"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57379"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57380"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57381"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57382"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57383"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57384"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57385"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57386"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57387"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57388"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57389"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1D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1D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1D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1D00-000018000000}">
          <x14:formula1>
            <xm:f>'Samples (Print)'!B2</xm:f>
          </x14:formula1>
          <x14:formula2>
            <xm:f>'Samples (Print)'!D2</xm:f>
          </x14:formula2>
          <xm:sqref>A47:E47</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30</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jaoYjauK2Gtq2AOH3KUNFPO6r4pL3KEj83/F2N2r46Ze5jGc0qqtCB3XsVIUY9C7UcNZVWlh++sFNK8rR5ZS/w==" saltValue="6SPdDYVTRFuflxzWu7C61A=="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4" priority="2" operator="lessThan">
      <formula>0</formula>
    </cfRule>
  </conditionalFormatting>
  <conditionalFormatting sqref="I274:I277">
    <cfRule type="cellIs" dxfId="3" priority="1" operator="equal">
      <formula>0</formula>
    </cfRule>
  </conditionalFormatting>
  <dataValidations count="21">
    <dataValidation operator="greaterThanOrEqual" allowBlank="1" showInputMessage="1" showErrorMessage="1" sqref="K2 D144:E144 I144:K144 I156:K156 D156:E156" xr:uid="{00000000-0002-0000-1E00-000000000000}"/>
    <dataValidation type="date" allowBlank="1" showInputMessage="1" showErrorMessage="1" errorTitle="Date Error" error="Date must be within Dates of Review Period." sqref="D37:E37 I37:K37" xr:uid="{00000000-0002-0000-1E00-000001000000}">
      <formula1>$G$2</formula1>
      <formula2>$I$2</formula2>
    </dataValidation>
    <dataValidation type="decimal" operator="greaterThanOrEqual" allowBlank="1" showInputMessage="1" showErrorMessage="1" sqref="D242:E242" xr:uid="{00000000-0002-0000-1E00-000002000000}">
      <formula1>MINVALDBL</formula1>
    </dataValidation>
    <dataValidation type="list" allowBlank="1" showInputMessage="1" showErrorMessage="1" promptTitle="X.6.a Entry Guidance" prompt="X.6.a cannot be &quot;NA&quot; if Column D above (Total Refund Due) is greater than $0.00." sqref="J243:K243" xr:uid="{00000000-0002-0000-1E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1E00-000004000000}">
      <formula1>A47</formula1>
    </dataValidation>
    <dataValidation type="whole" allowBlank="1" showInputMessage="1" showErrorMessage="1" sqref="H349:H354" xr:uid="{00000000-0002-0000-1E00-000005000000}">
      <formula1>1</formula1>
      <formula2>31</formula2>
    </dataValidation>
    <dataValidation type="textLength" operator="greaterThan" allowBlank="1" showInputMessage="1" showErrorMessage="1" sqref="D3:D4" xr:uid="{00000000-0002-0000-1E00-000006000000}">
      <formula1>1</formula1>
    </dataValidation>
    <dataValidation type="whole" allowBlank="1" showInputMessage="1" showErrorMessage="1" sqref="A2" xr:uid="{00000000-0002-0000-1E00-000007000000}">
      <formula1>1</formula1>
      <formula2>99</formula2>
    </dataValidation>
    <dataValidation type="whole" operator="greaterThan" allowBlank="1" showInputMessage="1" showErrorMessage="1" sqref="E121:E130 A121:A130" xr:uid="{00000000-0002-0000-1E00-000008000000}">
      <formula1>0</formula1>
    </dataValidation>
    <dataValidation type="textLength" operator="lessThanOrEqual" allowBlank="1" showInputMessage="1" showErrorMessage="1" sqref="N242:Q242 E196:K215 E172:K181 A295:E299 E225:K234" xr:uid="{00000000-0002-0000-1E00-000009000000}">
      <formula1>255</formula1>
    </dataValidation>
    <dataValidation type="date" operator="greaterThan" allowBlank="1" showInputMessage="1" showErrorMessage="1" sqref="R242:S242" xr:uid="{00000000-0002-0000-1E00-00000A000000}">
      <formula1>1</formula1>
    </dataValidation>
    <dataValidation type="whole" allowBlank="1" showInputMessage="1" showErrorMessage="1" sqref="C349:C354" xr:uid="{00000000-0002-0000-1E00-00000B000000}">
      <formula1>1</formula1>
      <formula2>999</formula2>
    </dataValidation>
    <dataValidation type="decimal" operator="greaterThan" allowBlank="1" showInputMessage="1" showErrorMessage="1" sqref="J301:K301" xr:uid="{00000000-0002-0000-1E00-00000C000000}">
      <formula1>0</formula1>
    </dataValidation>
    <dataValidation type="decimal" operator="greaterThanOrEqual" allowBlank="1" showInputMessage="1" showErrorMessage="1" sqref="F295:I299" xr:uid="{00000000-0002-0000-1E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1E00-00000E000000}">
      <formula1>0</formula1>
    </dataValidation>
    <dataValidation type="list" allowBlank="1" showInputMessage="1" showErrorMessage="1" sqref="B242" xr:uid="{00000000-0002-0000-1E00-00000F000000}">
      <formula1>"DEATH,DISCHARGE"</formula1>
    </dataValidation>
    <dataValidation type="list" allowBlank="1" showInputMessage="1" showErrorMessage="1" sqref="J337:K341 K63:L65 K15:L16 G37 B37 J364:K365 J304:K305 J329:K334 J324 J53:K54 J56" xr:uid="{00000000-0002-0000-1E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1E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1E00-000012000000}">
      <formula1>1</formula1>
    </dataValidation>
    <dataValidation type="date" operator="greaterThan" allowBlank="1" showInputMessage="1" showErrorMessage="1" errorTitle="Date Error" error="&quot;From&quot; date must be later than previous &quot;To&quot; date." sqref="A350:A354" xr:uid="{00000000-0002-0000-1E00-000013000000}">
      <formula1>B349</formula1>
    </dataValidation>
    <dataValidation type="date" operator="greaterThanOrEqual" allowBlank="1" showInputMessage="1" showErrorMessage="1" errorTitle="Date Error" error="&quot;To&quot; date cannot be earlier than &quot;From&quot; date." sqref="B349:B354" xr:uid="{00000000-0002-0000-1E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56353"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56354"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56355"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56356"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56357"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56358"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56359"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56360"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56361"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56362"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56363"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56364"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56365"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1E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1E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1E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1E00-000018000000}">
          <x14:formula1>
            <xm:f>'Samples (Print)'!B2</xm:f>
          </x14:formula1>
          <x14:formula2>
            <xm:f>'Samples (Print)'!D2</xm:f>
          </x14:formula2>
          <xm:sqref>A47:E47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Q79"/>
  <sheetViews>
    <sheetView view="pageBreakPreview" zoomScale="60" zoomScaleNormal="100" workbookViewId="0">
      <selection activeCell="A2" sqref="A1:XFD1048576"/>
    </sheetView>
  </sheetViews>
  <sheetFormatPr defaultColWidth="9.08984375" defaultRowHeight="15.5"/>
  <cols>
    <col min="1" max="1" width="10" style="1" bestFit="1" customWidth="1"/>
    <col min="2" max="2" width="17" style="1" customWidth="1"/>
    <col min="3" max="5" width="9.08984375" style="1"/>
    <col min="6" max="6" width="9.08984375" style="1" customWidth="1"/>
    <col min="7" max="8" width="9.08984375" style="1"/>
    <col min="9" max="9" width="11" style="1" customWidth="1"/>
    <col min="10" max="10" width="12.54296875" style="1" customWidth="1"/>
    <col min="11" max="12" width="9.08984375" style="1"/>
    <col min="13" max="13" width="9.08984375" style="1" customWidth="1"/>
    <col min="14" max="16384" width="9.08984375" style="1"/>
  </cols>
  <sheetData>
    <row r="1" spans="1:17" ht="30" customHeight="1" thickTop="1">
      <c r="A1" s="838" t="s">
        <v>0</v>
      </c>
      <c r="B1" s="839"/>
      <c r="C1" s="839"/>
      <c r="D1" s="840"/>
      <c r="E1" s="499" t="s">
        <v>1294</v>
      </c>
      <c r="F1" s="501"/>
      <c r="G1" s="499" t="s">
        <v>1</v>
      </c>
      <c r="H1" s="501"/>
      <c r="I1" s="499" t="s">
        <v>2</v>
      </c>
      <c r="J1" s="501"/>
      <c r="K1" s="23"/>
    </row>
    <row r="2" spans="1:17" ht="16" thickBot="1">
      <c r="A2" s="1495">
        <f>NameOfLegalEntity</f>
        <v>0</v>
      </c>
      <c r="B2" s="1496"/>
      <c r="C2" s="1496"/>
      <c r="D2" s="1497"/>
      <c r="E2" s="1498">
        <f>SingleCare3Facility</f>
        <v>0</v>
      </c>
      <c r="F2" s="1499"/>
      <c r="G2" s="1498">
        <f>ReviewLevel</f>
        <v>0</v>
      </c>
      <c r="H2" s="1499"/>
      <c r="I2" s="1498">
        <f>ReviewType</f>
        <v>0</v>
      </c>
      <c r="J2" s="1499"/>
      <c r="K2" s="23"/>
    </row>
    <row r="3" spans="1:17" ht="15.75" customHeight="1" thickTop="1">
      <c r="A3" s="1500" t="s">
        <v>3</v>
      </c>
      <c r="B3" s="1356"/>
      <c r="C3" s="499" t="s">
        <v>4</v>
      </c>
      <c r="D3" s="501"/>
      <c r="E3" s="499" t="s">
        <v>5</v>
      </c>
      <c r="F3" s="501"/>
      <c r="G3" s="499" t="s">
        <v>5</v>
      </c>
      <c r="H3" s="501"/>
      <c r="I3" s="499" t="s">
        <v>1381</v>
      </c>
      <c r="J3" s="501"/>
      <c r="K3" s="23"/>
    </row>
    <row r="4" spans="1:17" ht="15" customHeight="1">
      <c r="A4" s="11" t="s">
        <v>7</v>
      </c>
      <c r="B4" s="289">
        <f>CompletedByLastName</f>
        <v>0</v>
      </c>
      <c r="C4" s="502" t="s">
        <v>8</v>
      </c>
      <c r="D4" s="504"/>
      <c r="E4" s="502" t="s">
        <v>9</v>
      </c>
      <c r="F4" s="504"/>
      <c r="G4" s="502" t="s">
        <v>1430</v>
      </c>
      <c r="H4" s="504"/>
      <c r="I4" s="2" t="s">
        <v>10</v>
      </c>
      <c r="J4" s="290" t="str">
        <f>IF(MonitoringPeriodBeginDate="","",MonitoringPeriodBeginDate)</f>
        <v/>
      </c>
      <c r="K4" s="23"/>
    </row>
    <row r="5" spans="1:17" ht="16.5" customHeight="1" thickBot="1">
      <c r="A5" s="11" t="s">
        <v>11</v>
      </c>
      <c r="B5" s="292">
        <f>CompletedByFirstName</f>
        <v>0</v>
      </c>
      <c r="C5" s="1501" t="str">
        <f>IF(DateOfEntrance="","",DateOfEntrance)</f>
        <v/>
      </c>
      <c r="D5" s="1502"/>
      <c r="E5" s="1501" t="str">
        <f>IF(DateOfExit="","",DateOfExit)</f>
        <v/>
      </c>
      <c r="F5" s="1502"/>
      <c r="G5" s="1501" t="str">
        <f>IF(DateOfRevisedExit="","",DateOfRevisedExit)</f>
        <v/>
      </c>
      <c r="H5" s="1502"/>
      <c r="I5" s="2" t="s">
        <v>12</v>
      </c>
      <c r="J5" s="294" t="str">
        <f>IF(MonitoringPeriodEndDate="","",MonitoringPeriodEndDate)</f>
        <v/>
      </c>
      <c r="K5" s="23"/>
    </row>
    <row r="6" spans="1:17" ht="15.75" customHeight="1" thickTop="1" thickBot="1">
      <c r="A6" s="1492" t="s">
        <v>13</v>
      </c>
      <c r="B6" s="1493"/>
      <c r="C6" s="1493" t="s">
        <v>53</v>
      </c>
      <c r="D6" s="1493"/>
      <c r="E6" s="1494"/>
      <c r="F6" s="1492" t="s">
        <v>13</v>
      </c>
      <c r="G6" s="1493"/>
      <c r="H6" s="1493" t="s">
        <v>53</v>
      </c>
      <c r="I6" s="1493"/>
      <c r="J6" s="1494"/>
      <c r="K6" s="23"/>
    </row>
    <row r="7" spans="1:17" ht="15" customHeight="1" thickBot="1">
      <c r="A7" s="1503" t="s">
        <v>74</v>
      </c>
      <c r="B7" s="1504"/>
      <c r="C7" s="1505">
        <f>CCADRCcontractNumber</f>
        <v>0</v>
      </c>
      <c r="D7" s="1506"/>
      <c r="E7" s="1507"/>
      <c r="F7" s="1503" t="s">
        <v>76</v>
      </c>
      <c r="G7" s="1504"/>
      <c r="H7" s="1505">
        <f>CBAOHRcontractNumber</f>
        <v>0</v>
      </c>
      <c r="I7" s="1506"/>
      <c r="J7" s="1507"/>
      <c r="K7" s="23"/>
    </row>
    <row r="8" spans="1:17" ht="15" customHeight="1" thickBot="1">
      <c r="A8" s="1503" t="s">
        <v>75</v>
      </c>
      <c r="B8" s="1504"/>
      <c r="C8" s="1505">
        <f>CBAALcontractNumber</f>
        <v>0</v>
      </c>
      <c r="D8" s="1506"/>
      <c r="E8" s="1507"/>
      <c r="F8" s="1503"/>
      <c r="G8" s="1504"/>
      <c r="H8" s="1505"/>
      <c r="I8" s="1506"/>
      <c r="J8" s="1507"/>
      <c r="K8" s="23"/>
    </row>
    <row r="9" spans="1:17" ht="15" hidden="1" customHeight="1" thickBot="1">
      <c r="A9" s="1503"/>
      <c r="B9" s="1504"/>
      <c r="C9" s="1505"/>
      <c r="D9" s="1506"/>
      <c r="E9" s="1507"/>
      <c r="F9" s="1503"/>
      <c r="G9" s="1504"/>
      <c r="H9" s="1505"/>
      <c r="I9" s="1506"/>
      <c r="J9" s="1507"/>
      <c r="K9" s="23"/>
    </row>
    <row r="10" spans="1:17" ht="15" hidden="1" customHeight="1" thickBot="1">
      <c r="A10" s="1503"/>
      <c r="B10" s="1504"/>
      <c r="C10" s="1505"/>
      <c r="D10" s="1506"/>
      <c r="E10" s="1507"/>
      <c r="F10" s="1508"/>
      <c r="G10" s="1509"/>
      <c r="H10" s="1509"/>
      <c r="I10" s="1509"/>
      <c r="J10" s="1510"/>
      <c r="K10" s="23"/>
      <c r="L10" s="391"/>
    </row>
    <row r="11" spans="1:17" customFormat="1" ht="15.75" customHeight="1" thickTop="1" thickBot="1">
      <c r="A11" s="1518" t="s">
        <v>517</v>
      </c>
      <c r="B11" s="1519"/>
      <c r="C11" s="1519"/>
      <c r="D11" s="1519"/>
      <c r="E11" s="1519"/>
      <c r="F11" s="1519"/>
      <c r="G11" s="1519"/>
      <c r="H11" s="1519"/>
      <c r="I11" s="1519"/>
      <c r="J11" s="1520"/>
      <c r="K11" s="58"/>
      <c r="L11" s="4"/>
      <c r="M11" s="4"/>
    </row>
    <row r="12" spans="1:17" customFormat="1" ht="26.25" customHeight="1" thickTop="1" thickBot="1">
      <c r="A12" s="524" t="s">
        <v>518</v>
      </c>
      <c r="B12" s="525"/>
      <c r="C12" s="525"/>
      <c r="D12" s="525"/>
      <c r="E12" s="525"/>
      <c r="F12" s="525"/>
      <c r="G12" s="525"/>
      <c r="H12" s="525"/>
      <c r="I12" s="1046" t="str">
        <f>IF(F58 = "", "", IF(F58&gt;=0.6,"Y","N"))</f>
        <v/>
      </c>
      <c r="J12" s="1047"/>
      <c r="K12" s="58"/>
      <c r="L12" s="4"/>
      <c r="M12" s="4"/>
    </row>
    <row r="13" spans="1:17" customFormat="1" ht="27" customHeight="1" thickTop="1" thickBot="1">
      <c r="A13" s="524" t="s">
        <v>519</v>
      </c>
      <c r="B13" s="525"/>
      <c r="C13" s="525"/>
      <c r="D13" s="525"/>
      <c r="E13" s="525"/>
      <c r="F13" s="525"/>
      <c r="G13" s="525"/>
      <c r="H13" s="525"/>
      <c r="I13" s="1046" t="str">
        <f>IF(COUNTIF(L45:L46, "") &gt; 0, "", IF(L45&lt;=4,IF(L46&lt;=4,"Y","N"),"N"))</f>
        <v/>
      </c>
      <c r="J13" s="1047"/>
      <c r="K13" s="58"/>
      <c r="L13" s="4"/>
      <c r="M13" s="4"/>
    </row>
    <row r="14" spans="1:17" customFormat="1" ht="27" customHeight="1" thickTop="1" thickBot="1">
      <c r="A14" s="524" t="s">
        <v>520</v>
      </c>
      <c r="B14" s="525"/>
      <c r="C14" s="525"/>
      <c r="D14" s="525"/>
      <c r="E14" s="525"/>
      <c r="F14" s="525"/>
      <c r="G14" s="525"/>
      <c r="H14" s="525"/>
      <c r="I14" s="1046" t="str">
        <f>IF(L47 = "", "", IF(L47&lt;=8,"Y","N"))</f>
        <v/>
      </c>
      <c r="J14" s="1047"/>
      <c r="K14" s="58"/>
      <c r="L14" s="4"/>
      <c r="M14" s="4"/>
    </row>
    <row r="15" spans="1:17" customFormat="1" ht="15" customHeight="1" thickTop="1">
      <c r="A15" s="1445" t="s">
        <v>1441</v>
      </c>
      <c r="B15" s="1446"/>
      <c r="C15" s="1446"/>
      <c r="D15" s="1446"/>
      <c r="E15" s="1446"/>
      <c r="F15" s="1446"/>
      <c r="G15" s="1446"/>
      <c r="H15" s="1446"/>
      <c r="I15" s="1446"/>
      <c r="J15" s="1517"/>
      <c r="K15" s="58"/>
      <c r="L15" s="4"/>
      <c r="M15" s="4"/>
      <c r="N15" s="4"/>
      <c r="O15" s="4"/>
      <c r="P15" s="4"/>
      <c r="Q15" s="4"/>
    </row>
    <row r="16" spans="1:17" customFormat="1" ht="15" customHeight="1">
      <c r="A16" s="524" t="s">
        <v>1434</v>
      </c>
      <c r="B16" s="525"/>
      <c r="C16" s="525"/>
      <c r="D16" s="525"/>
      <c r="E16" s="525"/>
      <c r="F16" s="525"/>
      <c r="G16" s="525"/>
      <c r="H16" s="525"/>
      <c r="I16" s="525"/>
      <c r="J16" s="526"/>
      <c r="K16" s="58"/>
      <c r="L16" s="4"/>
      <c r="M16" s="4"/>
      <c r="N16" s="4"/>
      <c r="O16" s="4"/>
      <c r="P16" s="4"/>
      <c r="Q16" s="4"/>
    </row>
    <row r="17" spans="1:17" customFormat="1" ht="27" customHeight="1">
      <c r="A17" s="524" t="s">
        <v>1435</v>
      </c>
      <c r="B17" s="525"/>
      <c r="C17" s="525"/>
      <c r="D17" s="525"/>
      <c r="E17" s="525"/>
      <c r="F17" s="525"/>
      <c r="G17" s="525"/>
      <c r="H17" s="525"/>
      <c r="I17" s="525"/>
      <c r="J17" s="526"/>
      <c r="K17" s="58"/>
      <c r="L17" s="4"/>
      <c r="M17" s="4"/>
      <c r="N17" s="4"/>
      <c r="O17" s="4"/>
      <c r="P17" s="4"/>
      <c r="Q17" s="4"/>
    </row>
    <row r="18" spans="1:17" customFormat="1" ht="27.75" customHeight="1">
      <c r="A18" s="524" t="s">
        <v>1436</v>
      </c>
      <c r="B18" s="525"/>
      <c r="C18" s="525"/>
      <c r="D18" s="525"/>
      <c r="E18" s="525"/>
      <c r="F18" s="525"/>
      <c r="G18" s="525"/>
      <c r="H18" s="525"/>
      <c r="I18" s="525"/>
      <c r="J18" s="526"/>
      <c r="K18" s="58"/>
      <c r="L18" s="4"/>
      <c r="M18" s="4"/>
    </row>
    <row r="19" spans="1:17" customFormat="1" ht="15" customHeight="1">
      <c r="A19" s="1445" t="s">
        <v>1440</v>
      </c>
      <c r="B19" s="1446"/>
      <c r="C19" s="1446"/>
      <c r="D19" s="1446"/>
      <c r="E19" s="1446"/>
      <c r="F19" s="1446"/>
      <c r="G19" s="1446"/>
      <c r="H19" s="1446"/>
      <c r="I19" s="1446"/>
      <c r="J19" s="1517"/>
      <c r="K19" s="58"/>
      <c r="L19" s="4"/>
      <c r="M19" s="4"/>
    </row>
    <row r="20" spans="1:17" customFormat="1" ht="15" customHeight="1">
      <c r="A20" s="524" t="s">
        <v>1437</v>
      </c>
      <c r="B20" s="525"/>
      <c r="C20" s="525"/>
      <c r="D20" s="525"/>
      <c r="E20" s="525"/>
      <c r="F20" s="525"/>
      <c r="G20" s="525"/>
      <c r="H20" s="525"/>
      <c r="I20" s="525"/>
      <c r="J20" s="526"/>
      <c r="K20" s="58"/>
      <c r="L20" s="4"/>
      <c r="M20" s="4"/>
    </row>
    <row r="21" spans="1:17" customFormat="1" ht="27" customHeight="1">
      <c r="A21" s="524" t="s">
        <v>1438</v>
      </c>
      <c r="B21" s="525"/>
      <c r="C21" s="525"/>
      <c r="D21" s="525"/>
      <c r="E21" s="525"/>
      <c r="F21" s="525"/>
      <c r="G21" s="525"/>
      <c r="H21" s="525"/>
      <c r="I21" s="525"/>
      <c r="J21" s="526"/>
      <c r="K21" s="58"/>
      <c r="L21" s="4"/>
      <c r="M21" s="4"/>
    </row>
    <row r="22" spans="1:17" customFormat="1" ht="27" customHeight="1" thickBot="1">
      <c r="A22" s="524" t="s">
        <v>1439</v>
      </c>
      <c r="B22" s="525"/>
      <c r="C22" s="525"/>
      <c r="D22" s="525"/>
      <c r="E22" s="525"/>
      <c r="F22" s="525"/>
      <c r="G22" s="525"/>
      <c r="H22" s="525"/>
      <c r="I22" s="525"/>
      <c r="J22" s="526"/>
      <c r="K22" s="450"/>
      <c r="L22" s="451"/>
      <c r="M22" s="4"/>
    </row>
    <row r="23" spans="1:17" customFormat="1" ht="57" customHeight="1" thickTop="1" thickBot="1">
      <c r="A23" s="452" t="s">
        <v>489</v>
      </c>
      <c r="B23" s="770" t="s">
        <v>490</v>
      </c>
      <c r="C23" s="770"/>
      <c r="D23" s="770" t="s">
        <v>521</v>
      </c>
      <c r="E23" s="770"/>
      <c r="F23" s="860"/>
      <c r="G23" s="1527" t="s">
        <v>499</v>
      </c>
      <c r="H23" s="1528"/>
      <c r="I23" s="1528"/>
      <c r="J23" s="1528"/>
      <c r="K23" s="1528"/>
      <c r="L23" s="1529"/>
    </row>
    <row r="24" spans="1:17" customFormat="1" ht="18" customHeight="1" thickBot="1">
      <c r="A24" s="453"/>
      <c r="B24" s="1514"/>
      <c r="C24" s="1515"/>
      <c r="D24" s="1514"/>
      <c r="E24" s="1515"/>
      <c r="F24" s="1516"/>
      <c r="G24" s="1530" t="s">
        <v>500</v>
      </c>
      <c r="H24" s="1531"/>
      <c r="I24" s="1531"/>
      <c r="J24" s="1531"/>
      <c r="K24" s="1531"/>
      <c r="L24" s="1532"/>
    </row>
    <row r="25" spans="1:17" customFormat="1" ht="18" customHeight="1" thickBot="1">
      <c r="A25" s="453"/>
      <c r="B25" s="1514"/>
      <c r="C25" s="1515"/>
      <c r="D25" s="1514"/>
      <c r="E25" s="1515"/>
      <c r="F25" s="1516"/>
      <c r="G25" s="496"/>
      <c r="H25" s="497"/>
      <c r="I25" s="497"/>
      <c r="J25" s="497"/>
      <c r="K25" s="497"/>
      <c r="L25" s="498"/>
      <c r="O25" s="454"/>
    </row>
    <row r="26" spans="1:17" customFormat="1" ht="18" customHeight="1" thickBot="1">
      <c r="A26" s="453"/>
      <c r="B26" s="1514"/>
      <c r="C26" s="1515"/>
      <c r="D26" s="1514"/>
      <c r="E26" s="1515"/>
      <c r="F26" s="1516"/>
      <c r="G26" s="1511" t="s">
        <v>501</v>
      </c>
      <c r="H26" s="1512"/>
      <c r="I26" s="1512"/>
      <c r="J26" s="1512"/>
      <c r="K26" s="1512"/>
      <c r="L26" s="1513"/>
    </row>
    <row r="27" spans="1:17" customFormat="1" ht="18" customHeight="1" thickBot="1">
      <c r="A27" s="453"/>
      <c r="B27" s="1514"/>
      <c r="C27" s="1515"/>
      <c r="D27" s="1514"/>
      <c r="E27" s="1515"/>
      <c r="F27" s="1516"/>
      <c r="G27" s="1511"/>
      <c r="H27" s="1512"/>
      <c r="I27" s="1512"/>
      <c r="J27" s="1512"/>
      <c r="K27" s="1512"/>
      <c r="L27" s="1513"/>
    </row>
    <row r="28" spans="1:17" customFormat="1" ht="18" customHeight="1" thickBot="1">
      <c r="A28" s="453"/>
      <c r="B28" s="1514"/>
      <c r="C28" s="1515"/>
      <c r="D28" s="1514"/>
      <c r="E28" s="1515"/>
      <c r="F28" s="1516"/>
      <c r="G28" s="1511"/>
      <c r="H28" s="1512"/>
      <c r="I28" s="1512"/>
      <c r="J28" s="1512"/>
      <c r="K28" s="1512"/>
      <c r="L28" s="1513"/>
    </row>
    <row r="29" spans="1:17" customFormat="1" ht="18" customHeight="1" thickBot="1">
      <c r="A29" s="453"/>
      <c r="B29" s="1514"/>
      <c r="C29" s="1515"/>
      <c r="D29" s="1514"/>
      <c r="E29" s="1515"/>
      <c r="F29" s="1516"/>
      <c r="G29" s="1511" t="s">
        <v>502</v>
      </c>
      <c r="H29" s="1512"/>
      <c r="I29" s="1512"/>
      <c r="J29" s="1512"/>
      <c r="K29" s="1512"/>
      <c r="L29" s="1513"/>
    </row>
    <row r="30" spans="1:17" customFormat="1" ht="18" customHeight="1" thickBot="1">
      <c r="A30" s="453"/>
      <c r="B30" s="1514"/>
      <c r="C30" s="1515"/>
      <c r="D30" s="1514"/>
      <c r="E30" s="1515"/>
      <c r="F30" s="1516"/>
      <c r="G30" s="1511"/>
      <c r="H30" s="1512"/>
      <c r="I30" s="1512"/>
      <c r="J30" s="1512"/>
      <c r="K30" s="1512"/>
      <c r="L30" s="1513"/>
    </row>
    <row r="31" spans="1:17" customFormat="1" ht="18" customHeight="1" thickBot="1">
      <c r="A31" s="453"/>
      <c r="B31" s="1514"/>
      <c r="C31" s="1515"/>
      <c r="D31" s="1514"/>
      <c r="E31" s="1515"/>
      <c r="F31" s="1516"/>
      <c r="G31" s="1511" t="s">
        <v>1001</v>
      </c>
      <c r="H31" s="1512"/>
      <c r="I31" s="1512"/>
      <c r="J31" s="1512"/>
      <c r="K31" s="1512"/>
      <c r="L31" s="1513"/>
    </row>
    <row r="32" spans="1:17" customFormat="1" ht="18" customHeight="1" thickBot="1">
      <c r="A32" s="453"/>
      <c r="B32" s="1514"/>
      <c r="C32" s="1515"/>
      <c r="D32" s="1514"/>
      <c r="E32" s="1515"/>
      <c r="F32" s="1516"/>
      <c r="G32" s="1511" t="s">
        <v>503</v>
      </c>
      <c r="H32" s="1512"/>
      <c r="I32" s="1512"/>
      <c r="J32" s="1512"/>
      <c r="K32" s="1512"/>
      <c r="L32" s="1513"/>
    </row>
    <row r="33" spans="1:12" customFormat="1" ht="18" customHeight="1" thickBot="1">
      <c r="A33" s="453"/>
      <c r="B33" s="1514"/>
      <c r="C33" s="1515"/>
      <c r="D33" s="1514"/>
      <c r="E33" s="1515"/>
      <c r="F33" s="1516"/>
      <c r="G33" s="1511" t="s">
        <v>504</v>
      </c>
      <c r="H33" s="1512"/>
      <c r="I33" s="1512"/>
      <c r="J33" s="1512"/>
      <c r="K33" s="1512"/>
      <c r="L33" s="1513"/>
    </row>
    <row r="34" spans="1:12" customFormat="1" ht="18" customHeight="1" thickBot="1">
      <c r="A34" s="453"/>
      <c r="B34" s="1514"/>
      <c r="C34" s="1515"/>
      <c r="D34" s="1514"/>
      <c r="E34" s="1515"/>
      <c r="F34" s="1516"/>
      <c r="G34" s="1511" t="s">
        <v>505</v>
      </c>
      <c r="H34" s="1512"/>
      <c r="I34" s="1512"/>
      <c r="J34" s="1512"/>
      <c r="K34" s="1512"/>
      <c r="L34" s="1513"/>
    </row>
    <row r="35" spans="1:12" customFormat="1" ht="18" customHeight="1" thickBot="1">
      <c r="A35" s="453"/>
      <c r="B35" s="1514"/>
      <c r="C35" s="1515"/>
      <c r="D35" s="1514"/>
      <c r="E35" s="1515"/>
      <c r="F35" s="1516"/>
      <c r="G35" s="1511" t="s">
        <v>506</v>
      </c>
      <c r="H35" s="1512"/>
      <c r="I35" s="1512"/>
      <c r="J35" s="1512"/>
      <c r="K35" s="1512"/>
      <c r="L35" s="1513"/>
    </row>
    <row r="36" spans="1:12" customFormat="1" ht="18" customHeight="1" thickBot="1">
      <c r="A36" s="453"/>
      <c r="B36" s="1514"/>
      <c r="C36" s="1515"/>
      <c r="D36" s="1514"/>
      <c r="E36" s="1515"/>
      <c r="F36" s="1516"/>
      <c r="G36" s="496" t="s">
        <v>1248</v>
      </c>
      <c r="H36" s="497"/>
      <c r="I36" s="497"/>
      <c r="J36" s="497"/>
      <c r="K36" s="497"/>
      <c r="L36" s="498"/>
    </row>
    <row r="37" spans="1:12" customFormat="1" ht="18" customHeight="1" thickBot="1">
      <c r="A37" s="453"/>
      <c r="B37" s="1514"/>
      <c r="C37" s="1515"/>
      <c r="D37" s="1514"/>
      <c r="E37" s="1515"/>
      <c r="F37" s="1516"/>
      <c r="G37" s="1511" t="s">
        <v>507</v>
      </c>
      <c r="H37" s="1512"/>
      <c r="I37" s="1512"/>
      <c r="J37" s="1512"/>
      <c r="K37" s="1512"/>
      <c r="L37" s="1513"/>
    </row>
    <row r="38" spans="1:12" customFormat="1" ht="18" customHeight="1" thickBot="1">
      <c r="A38" s="453"/>
      <c r="B38" s="1514"/>
      <c r="C38" s="1515"/>
      <c r="D38" s="1514"/>
      <c r="E38" s="1515"/>
      <c r="F38" s="1516"/>
      <c r="G38" s="1511" t="s">
        <v>508</v>
      </c>
      <c r="H38" s="1512"/>
      <c r="I38" s="1512"/>
      <c r="J38" s="1512"/>
      <c r="K38" s="1512"/>
      <c r="L38" s="1513"/>
    </row>
    <row r="39" spans="1:12" customFormat="1" ht="18" customHeight="1" thickTop="1" thickBot="1">
      <c r="A39" s="453"/>
      <c r="B39" s="1514"/>
      <c r="C39" s="1515"/>
      <c r="D39" s="1514"/>
      <c r="E39" s="1515"/>
      <c r="F39" s="1516"/>
      <c r="G39" s="1524" t="s">
        <v>509</v>
      </c>
      <c r="H39" s="1525"/>
      <c r="I39" s="1525"/>
      <c r="J39" s="1525"/>
      <c r="K39" s="1526"/>
      <c r="L39" s="455"/>
    </row>
    <row r="40" spans="1:12" customFormat="1" ht="18" customHeight="1" thickBot="1">
      <c r="A40" s="453"/>
      <c r="B40" s="1514"/>
      <c r="C40" s="1515"/>
      <c r="D40" s="1514"/>
      <c r="E40" s="1515"/>
      <c r="F40" s="1516"/>
      <c r="G40" s="1538" t="s">
        <v>510</v>
      </c>
      <c r="H40" s="1539"/>
      <c r="I40" s="1539"/>
      <c r="J40" s="1539"/>
      <c r="K40" s="1539"/>
      <c r="L40" s="1540"/>
    </row>
    <row r="41" spans="1:12" customFormat="1" ht="18" customHeight="1" thickBot="1">
      <c r="A41" s="453"/>
      <c r="B41" s="1514"/>
      <c r="C41" s="1515"/>
      <c r="D41" s="1514"/>
      <c r="E41" s="1515"/>
      <c r="F41" s="1516"/>
      <c r="G41" s="1546" t="s">
        <v>511</v>
      </c>
      <c r="H41" s="1522"/>
      <c r="I41" s="1522"/>
      <c r="J41" s="1522"/>
      <c r="K41" s="1523"/>
      <c r="L41" s="456"/>
    </row>
    <row r="42" spans="1:12" customFormat="1" ht="18" customHeight="1" thickBot="1">
      <c r="A42" s="453"/>
      <c r="B42" s="1514"/>
      <c r="C42" s="1515"/>
      <c r="D42" s="1514"/>
      <c r="E42" s="1515"/>
      <c r="F42" s="1516"/>
      <c r="G42" s="1546" t="s">
        <v>512</v>
      </c>
      <c r="H42" s="1522"/>
      <c r="I42" s="1522"/>
      <c r="J42" s="1522"/>
      <c r="K42" s="1523"/>
      <c r="L42" s="456"/>
    </row>
    <row r="43" spans="1:12" customFormat="1" ht="18" customHeight="1" thickBot="1">
      <c r="A43" s="453"/>
      <c r="B43" s="1514"/>
      <c r="C43" s="1515"/>
      <c r="D43" s="1514"/>
      <c r="E43" s="1515"/>
      <c r="F43" s="1516"/>
      <c r="G43" s="1546" t="s">
        <v>513</v>
      </c>
      <c r="H43" s="1547"/>
      <c r="I43" s="1547"/>
      <c r="J43" s="1547"/>
      <c r="K43" s="1548"/>
      <c r="L43" s="456"/>
    </row>
    <row r="44" spans="1:12" customFormat="1" ht="18" customHeight="1" thickBot="1">
      <c r="A44" s="453"/>
      <c r="B44" s="1514"/>
      <c r="C44" s="1515"/>
      <c r="D44" s="1514"/>
      <c r="E44" s="1515"/>
      <c r="F44" s="1516"/>
      <c r="G44" s="1549" t="s">
        <v>984</v>
      </c>
      <c r="H44" s="1550"/>
      <c r="I44" s="1550"/>
      <c r="J44" s="1550"/>
      <c r="K44" s="1550"/>
      <c r="L44" s="1551"/>
    </row>
    <row r="45" spans="1:12" customFormat="1" ht="18" customHeight="1" thickBot="1">
      <c r="A45" s="453"/>
      <c r="B45" s="1514"/>
      <c r="C45" s="1515"/>
      <c r="D45" s="1514"/>
      <c r="E45" s="1515"/>
      <c r="F45" s="1516"/>
      <c r="G45" s="1521" t="s">
        <v>514</v>
      </c>
      <c r="H45" s="1522"/>
      <c r="I45" s="1522"/>
      <c r="J45" s="1522"/>
      <c r="K45" s="1523"/>
      <c r="L45" s="59" t="str">
        <f>IF(L41=0,"",L39/L41)</f>
        <v/>
      </c>
    </row>
    <row r="46" spans="1:12" customFormat="1" ht="18" customHeight="1" thickBot="1">
      <c r="A46" s="453"/>
      <c r="B46" s="1514"/>
      <c r="C46" s="1515"/>
      <c r="D46" s="1514"/>
      <c r="E46" s="1515"/>
      <c r="F46" s="1516"/>
      <c r="G46" s="1521" t="s">
        <v>515</v>
      </c>
      <c r="H46" s="1522"/>
      <c r="I46" s="1522"/>
      <c r="J46" s="1522"/>
      <c r="K46" s="1523"/>
      <c r="L46" s="59" t="str">
        <f>IF(L42=0,"",L39/L42)</f>
        <v/>
      </c>
    </row>
    <row r="47" spans="1:12" customFormat="1" ht="18" customHeight="1" thickBot="1">
      <c r="A47" s="453"/>
      <c r="B47" s="1514"/>
      <c r="C47" s="1515"/>
      <c r="D47" s="1514"/>
      <c r="E47" s="1515"/>
      <c r="F47" s="1516"/>
      <c r="G47" s="1552" t="s">
        <v>516</v>
      </c>
      <c r="H47" s="1553"/>
      <c r="I47" s="1553"/>
      <c r="J47" s="1553"/>
      <c r="K47" s="1554"/>
      <c r="L47" s="60" t="str">
        <f>IF(L43=0,"",L39/L43)</f>
        <v/>
      </c>
    </row>
    <row r="48" spans="1:12" customFormat="1" ht="18" customHeight="1" thickTop="1" thickBot="1">
      <c r="A48" s="453"/>
      <c r="B48" s="1514"/>
      <c r="C48" s="1515"/>
      <c r="D48" s="1514"/>
      <c r="E48" s="1515"/>
      <c r="F48" s="1516"/>
      <c r="G48" s="1541" t="s">
        <v>803</v>
      </c>
      <c r="H48" s="1541"/>
      <c r="I48" s="1541"/>
      <c r="J48" s="1541"/>
      <c r="K48" s="1541"/>
      <c r="L48" s="1543" t="str">
        <f>IF(COUNTIF(I12:I14, "") &gt; 0, "", IF(COUNTIF(I12:I14, "N") &gt; 0, "N", "Y"))</f>
        <v/>
      </c>
    </row>
    <row r="49" spans="1:13" customFormat="1" ht="18" customHeight="1" thickBot="1">
      <c r="A49" s="453"/>
      <c r="B49" s="1514"/>
      <c r="C49" s="1515"/>
      <c r="D49" s="1514"/>
      <c r="E49" s="1515"/>
      <c r="F49" s="1516"/>
      <c r="G49" s="1542"/>
      <c r="H49" s="1542"/>
      <c r="I49" s="1542"/>
      <c r="J49" s="1542"/>
      <c r="K49" s="1542"/>
      <c r="L49" s="1544"/>
    </row>
    <row r="50" spans="1:13" customFormat="1" ht="18" customHeight="1" thickTop="1" thickBot="1">
      <c r="A50" s="453"/>
      <c r="B50" s="1514"/>
      <c r="C50" s="1515"/>
      <c r="D50" s="1514"/>
      <c r="E50" s="1515"/>
      <c r="F50" s="1516"/>
      <c r="G50" s="1069"/>
      <c r="H50" s="1545"/>
      <c r="I50" s="1545"/>
      <c r="J50" s="1545"/>
      <c r="K50" s="1545"/>
      <c r="L50" s="1070"/>
    </row>
    <row r="51" spans="1:13" customFormat="1" ht="18" customHeight="1" thickBot="1">
      <c r="A51" s="453"/>
      <c r="B51" s="1514"/>
      <c r="C51" s="1515"/>
      <c r="D51" s="1514"/>
      <c r="E51" s="1515"/>
      <c r="F51" s="1516"/>
      <c r="G51" s="1071"/>
      <c r="H51" s="1187"/>
      <c r="I51" s="1187"/>
      <c r="J51" s="1187"/>
      <c r="K51" s="1187"/>
      <c r="L51" s="1072"/>
    </row>
    <row r="52" spans="1:13" customFormat="1" ht="18" customHeight="1" thickBot="1">
      <c r="A52" s="453"/>
      <c r="B52" s="1514"/>
      <c r="C52" s="1515"/>
      <c r="D52" s="1514"/>
      <c r="E52" s="1515"/>
      <c r="F52" s="1516"/>
      <c r="G52" s="1071"/>
      <c r="H52" s="1187"/>
      <c r="I52" s="1187"/>
      <c r="J52" s="1187"/>
      <c r="K52" s="1187"/>
      <c r="L52" s="1072"/>
    </row>
    <row r="53" spans="1:13" customFormat="1" ht="18" customHeight="1" thickBot="1">
      <c r="A53" s="457"/>
      <c r="B53" s="1533"/>
      <c r="C53" s="1534"/>
      <c r="D53" s="1533"/>
      <c r="E53" s="1534"/>
      <c r="F53" s="1535"/>
      <c r="G53" s="1071"/>
      <c r="H53" s="1187"/>
      <c r="I53" s="1187"/>
      <c r="J53" s="1187"/>
      <c r="K53" s="1187"/>
      <c r="L53" s="1072"/>
    </row>
    <row r="54" spans="1:13" customFormat="1" ht="15" thickTop="1">
      <c r="A54" s="1071"/>
      <c r="B54" s="1187"/>
      <c r="C54" s="1536"/>
      <c r="D54" s="458" t="s">
        <v>491</v>
      </c>
      <c r="E54" s="458" t="s">
        <v>492</v>
      </c>
      <c r="F54" s="458" t="s">
        <v>493</v>
      </c>
      <c r="G54" s="1071"/>
      <c r="H54" s="1187"/>
      <c r="I54" s="1187"/>
      <c r="J54" s="1187"/>
      <c r="K54" s="1187"/>
      <c r="L54" s="1072"/>
    </row>
    <row r="55" spans="1:13" customFormat="1" ht="26.5" thickBot="1">
      <c r="A55" s="1071"/>
      <c r="B55" s="1187"/>
      <c r="C55" s="1536"/>
      <c r="D55" s="459" t="s">
        <v>494</v>
      </c>
      <c r="E55" s="459" t="s">
        <v>495</v>
      </c>
      <c r="F55" s="460" t="s">
        <v>496</v>
      </c>
      <c r="G55" s="1071"/>
      <c r="H55" s="1187"/>
      <c r="I55" s="1187"/>
      <c r="J55" s="1187"/>
      <c r="K55" s="1187"/>
      <c r="L55" s="1072"/>
    </row>
    <row r="56" spans="1:13" customFormat="1" thickTop="1" thickBot="1">
      <c r="A56" s="1071"/>
      <c r="B56" s="1187"/>
      <c r="C56" s="1536"/>
      <c r="D56" s="113">
        <f>COUNTIF(D24:D53,"SINGLE")</f>
        <v>0</v>
      </c>
      <c r="E56" s="113">
        <f>COUNTIF(D24:D53,"DOUBLE")</f>
        <v>0</v>
      </c>
      <c r="F56" s="113">
        <f>COUNTIF(D24:D53,"OTHER")</f>
        <v>0</v>
      </c>
      <c r="G56" s="1071"/>
      <c r="H56" s="1187"/>
      <c r="I56" s="1187"/>
      <c r="J56" s="1187"/>
      <c r="K56" s="1187"/>
      <c r="L56" s="1072"/>
    </row>
    <row r="57" spans="1:13" customFormat="1" thickTop="1" thickBot="1">
      <c r="A57" s="1071"/>
      <c r="B57" s="1187"/>
      <c r="C57" s="1536"/>
      <c r="D57" s="1155" t="s">
        <v>497</v>
      </c>
      <c r="E57" s="1156"/>
      <c r="F57" s="461">
        <f>+D56+E56+F56</f>
        <v>0</v>
      </c>
      <c r="G57" s="1071"/>
      <c r="H57" s="1187"/>
      <c r="I57" s="1187"/>
      <c r="J57" s="1187"/>
      <c r="K57" s="1187"/>
      <c r="L57" s="1072"/>
    </row>
    <row r="58" spans="1:13" customFormat="1" ht="27" customHeight="1" thickTop="1" thickBot="1">
      <c r="A58" s="1102"/>
      <c r="B58" s="1189"/>
      <c r="C58" s="1537"/>
      <c r="D58" s="1155" t="s">
        <v>498</v>
      </c>
      <c r="E58" s="1156"/>
      <c r="F58" s="29" t="str">
        <f>IF(F57 = 0, "", D56/F57)</f>
        <v/>
      </c>
      <c r="G58" s="1102"/>
      <c r="H58" s="1189"/>
      <c r="I58" s="1189"/>
      <c r="J58" s="1189"/>
      <c r="K58" s="1189"/>
      <c r="L58" s="1103"/>
    </row>
    <row r="59" spans="1:13" customFormat="1" ht="15.75" customHeight="1" thickTop="1">
      <c r="A59" s="1"/>
      <c r="B59" s="1"/>
      <c r="C59" s="1"/>
      <c r="D59" s="1"/>
      <c r="E59" s="1"/>
      <c r="F59" s="31"/>
      <c r="G59" s="4"/>
      <c r="H59" s="4"/>
      <c r="I59" s="4"/>
      <c r="J59" s="4"/>
      <c r="K59" s="4"/>
      <c r="L59" s="4"/>
      <c r="M59" s="4"/>
    </row>
    <row r="60" spans="1:13" customFormat="1" ht="27" customHeight="1">
      <c r="A60" s="1"/>
      <c r="B60" s="1"/>
      <c r="C60" s="1"/>
      <c r="D60" s="1"/>
      <c r="E60" s="1"/>
      <c r="F60" s="1"/>
      <c r="G60" s="4"/>
      <c r="H60" s="4"/>
      <c r="I60" s="4"/>
      <c r="J60" s="4"/>
      <c r="K60" s="4"/>
      <c r="L60" s="4"/>
      <c r="M60" s="4"/>
    </row>
    <row r="61" spans="1:13" customFormat="1" ht="39.9" customHeight="1">
      <c r="A61" s="1"/>
      <c r="B61" s="1"/>
      <c r="C61" s="1"/>
      <c r="D61" s="1"/>
      <c r="E61" s="1"/>
      <c r="F61" s="1"/>
      <c r="G61" s="4"/>
      <c r="H61" s="4"/>
      <c r="I61" s="4"/>
      <c r="J61" s="4"/>
      <c r="K61" s="4"/>
      <c r="L61" s="4"/>
      <c r="M61" s="4"/>
    </row>
    <row r="62" spans="1:13" customFormat="1" ht="27" customHeight="1">
      <c r="A62" s="1"/>
      <c r="B62" s="1"/>
      <c r="C62" s="1"/>
      <c r="D62" s="1"/>
      <c r="E62" s="1"/>
      <c r="F62" s="1"/>
      <c r="G62" s="4"/>
      <c r="H62" s="4"/>
      <c r="I62" s="4"/>
      <c r="J62" s="4"/>
      <c r="K62" s="4"/>
      <c r="L62" s="4"/>
      <c r="M62" s="4"/>
    </row>
    <row r="63" spans="1:13" customFormat="1">
      <c r="A63" s="1"/>
      <c r="B63" s="1"/>
      <c r="C63" s="1"/>
      <c r="D63" s="1"/>
      <c r="E63" s="1"/>
      <c r="F63" s="1"/>
      <c r="G63" s="4"/>
      <c r="H63" s="4"/>
      <c r="I63" s="4"/>
      <c r="J63" s="4"/>
      <c r="K63" s="4"/>
      <c r="L63" s="4"/>
      <c r="M63" s="4"/>
    </row>
    <row r="64" spans="1:13" customFormat="1">
      <c r="A64" s="1"/>
      <c r="B64" s="1"/>
      <c r="C64" s="1"/>
      <c r="D64" s="1"/>
      <c r="E64" s="1"/>
      <c r="F64" s="1"/>
      <c r="G64" s="4"/>
      <c r="H64" s="4"/>
      <c r="I64" s="4"/>
      <c r="J64" s="4"/>
      <c r="K64" s="4"/>
      <c r="L64" s="4"/>
      <c r="M64" s="4"/>
    </row>
    <row r="65" spans="1:13" customFormat="1">
      <c r="A65" s="1"/>
      <c r="B65" s="1"/>
      <c r="C65" s="1"/>
      <c r="D65" s="1"/>
      <c r="E65" s="1"/>
      <c r="F65" s="1"/>
      <c r="G65" s="4"/>
      <c r="H65" s="4"/>
      <c r="I65" s="4"/>
      <c r="J65" s="4"/>
      <c r="K65" s="4"/>
      <c r="L65" s="4"/>
      <c r="M65" s="4"/>
    </row>
    <row r="66" spans="1:13" customFormat="1" ht="27" customHeight="1">
      <c r="A66" s="1"/>
      <c r="B66" s="1"/>
      <c r="C66" s="1"/>
      <c r="D66" s="1"/>
      <c r="E66" s="1"/>
      <c r="F66" s="1"/>
      <c r="G66" s="4"/>
      <c r="H66" s="4"/>
      <c r="I66" s="4"/>
      <c r="J66" s="4"/>
      <c r="K66" s="4"/>
      <c r="L66" s="4"/>
      <c r="M66" s="4"/>
    </row>
    <row r="67" spans="1:13" customFormat="1">
      <c r="A67" s="1"/>
      <c r="B67" s="1"/>
      <c r="C67" s="1"/>
      <c r="D67" s="1"/>
      <c r="E67" s="1"/>
      <c r="F67" s="1"/>
      <c r="G67" s="4"/>
      <c r="H67" s="4"/>
      <c r="I67" s="4"/>
      <c r="J67" s="4"/>
      <c r="K67" s="4"/>
      <c r="L67" s="4"/>
      <c r="M67" s="4"/>
    </row>
    <row r="68" spans="1:13" customFormat="1">
      <c r="A68" s="1"/>
      <c r="B68" s="1"/>
      <c r="C68" s="1"/>
      <c r="D68" s="1"/>
      <c r="E68" s="1"/>
      <c r="F68" s="1"/>
      <c r="G68" s="4"/>
      <c r="H68" s="4"/>
      <c r="I68" s="4"/>
      <c r="J68" s="4"/>
      <c r="K68" s="4"/>
      <c r="L68" s="4"/>
      <c r="M68" s="4"/>
    </row>
    <row r="69" spans="1:13" customFormat="1" ht="27" customHeight="1">
      <c r="A69" s="1"/>
      <c r="B69" s="1"/>
      <c r="C69" s="1"/>
      <c r="D69" s="1"/>
      <c r="E69" s="1"/>
      <c r="F69" s="1"/>
      <c r="G69" s="4"/>
      <c r="H69" s="4"/>
      <c r="I69" s="4"/>
      <c r="J69" s="4"/>
      <c r="K69" s="4"/>
      <c r="L69" s="4"/>
      <c r="M69" s="4"/>
    </row>
    <row r="70" spans="1:13" customFormat="1" ht="26.25" customHeight="1">
      <c r="A70" s="1"/>
      <c r="B70" s="1"/>
      <c r="C70" s="1"/>
      <c r="D70" s="1"/>
      <c r="E70" s="1"/>
      <c r="F70" s="1"/>
      <c r="G70" s="4"/>
      <c r="H70" s="4"/>
      <c r="I70" s="4"/>
      <c r="J70" s="4"/>
      <c r="K70" s="4"/>
      <c r="L70" s="4"/>
      <c r="M70" s="4"/>
    </row>
    <row r="71" spans="1:13" customFormat="1">
      <c r="A71" s="1"/>
      <c r="B71" s="1"/>
      <c r="C71" s="1"/>
      <c r="D71" s="1"/>
      <c r="E71" s="1"/>
      <c r="F71" s="1"/>
      <c r="G71" s="4"/>
      <c r="H71" s="4"/>
      <c r="I71" s="4"/>
      <c r="J71" s="4"/>
      <c r="K71" s="4"/>
      <c r="L71" s="4"/>
      <c r="M71" s="4"/>
    </row>
    <row r="72" spans="1:13" customFormat="1">
      <c r="A72" s="1"/>
      <c r="B72" s="1"/>
      <c r="C72" s="1"/>
      <c r="D72" s="1"/>
      <c r="E72" s="1"/>
      <c r="F72" s="1"/>
      <c r="G72" s="4"/>
      <c r="H72" s="4"/>
      <c r="I72" s="4"/>
      <c r="J72" s="4"/>
      <c r="K72" s="4"/>
      <c r="L72" s="4"/>
      <c r="M72" s="4"/>
    </row>
    <row r="73" spans="1:13" customFormat="1">
      <c r="A73" s="1"/>
      <c r="B73" s="1"/>
      <c r="C73" s="1"/>
      <c r="D73" s="1"/>
      <c r="E73" s="1"/>
      <c r="F73" s="1"/>
      <c r="G73" s="4"/>
      <c r="H73" s="4"/>
      <c r="I73" s="4"/>
      <c r="J73" s="4"/>
      <c r="K73" s="4"/>
      <c r="L73" s="4"/>
      <c r="M73" s="4"/>
    </row>
    <row r="74" spans="1:13" customFormat="1">
      <c r="A74" s="1"/>
      <c r="B74" s="1"/>
      <c r="C74" s="1"/>
      <c r="D74" s="1"/>
      <c r="E74" s="1"/>
      <c r="F74" s="1"/>
      <c r="G74" s="4"/>
      <c r="H74" s="4"/>
      <c r="I74" s="4"/>
      <c r="J74" s="4"/>
      <c r="K74" s="4"/>
      <c r="L74" s="4"/>
      <c r="M74" s="4"/>
    </row>
    <row r="75" spans="1:13" customFormat="1">
      <c r="A75" s="1"/>
      <c r="B75" s="1"/>
      <c r="C75" s="1"/>
      <c r="D75" s="1"/>
      <c r="E75" s="1"/>
      <c r="F75" s="1"/>
      <c r="G75" s="4"/>
      <c r="H75" s="4"/>
      <c r="I75" s="4"/>
      <c r="J75" s="4"/>
      <c r="K75" s="4"/>
      <c r="L75" s="4"/>
      <c r="M75" s="4"/>
    </row>
    <row r="76" spans="1:13" customFormat="1">
      <c r="A76" s="1"/>
      <c r="B76" s="1"/>
      <c r="C76" s="1"/>
      <c r="D76" s="1"/>
      <c r="E76" s="1"/>
      <c r="F76" s="1"/>
      <c r="G76" s="4"/>
      <c r="H76" s="4"/>
      <c r="I76" s="4"/>
      <c r="J76" s="4"/>
      <c r="K76" s="4"/>
      <c r="L76" s="4"/>
      <c r="M76" s="4"/>
    </row>
    <row r="77" spans="1:13" customFormat="1">
      <c r="A77" s="1"/>
      <c r="B77" s="1"/>
      <c r="C77" s="1"/>
      <c r="D77" s="1"/>
      <c r="E77" s="1"/>
      <c r="F77" s="1"/>
      <c r="G77" s="1"/>
      <c r="H77" s="1"/>
      <c r="I77" s="1"/>
      <c r="J77" s="1"/>
      <c r="K77" s="1"/>
      <c r="L77" s="1"/>
      <c r="M77" s="4"/>
    </row>
    <row r="78" spans="1:13" customFormat="1">
      <c r="A78" s="1"/>
      <c r="B78" s="1"/>
      <c r="C78" s="1"/>
      <c r="D78" s="1"/>
      <c r="E78" s="1"/>
      <c r="F78" s="1"/>
      <c r="G78" s="1"/>
      <c r="H78" s="1"/>
      <c r="I78" s="1"/>
      <c r="J78" s="1"/>
      <c r="K78" s="1"/>
      <c r="L78" s="1"/>
      <c r="M78" s="4"/>
    </row>
    <row r="79" spans="1:13" customFormat="1">
      <c r="A79" s="1"/>
      <c r="B79" s="1"/>
      <c r="C79" s="1"/>
      <c r="D79" s="1"/>
      <c r="E79" s="1"/>
      <c r="F79" s="1"/>
      <c r="G79" s="1"/>
      <c r="H79" s="1"/>
      <c r="I79" s="1"/>
      <c r="J79" s="1"/>
      <c r="K79" s="1"/>
      <c r="L79" s="1"/>
      <c r="M79" s="4"/>
    </row>
  </sheetData>
  <sheetProtection password="A541" sheet="1" objects="1" scenarios="1" selectLockedCells="1"/>
  <customSheetViews>
    <customSheetView guid="{A81B7E59-6D30-48F0-895B-EADA4D6F68AC}" scale="60" showPageBreaks="1" fitToPage="1" printArea="1" hiddenRows="1" state="hidden" view="pageBreakPreview">
      <selection activeCell="A2" sqref="A1:XFD1048576"/>
      <pageMargins left="0.5" right="0.5" top="1" bottom="0.75" header="0.25" footer="0.25"/>
      <printOptions horizontalCentered="1"/>
      <pageSetup scale="77" fitToHeight="16" orientation="portrait" r:id="rId1"/>
      <headerFooter>
        <oddHeader>&amp;L&amp;"Arial,Regular"&amp;8Texas Department of Aging 
and Disability Services&amp;C&amp;"Arial,Bold"&amp;12RESIDENTIAL CARE
 PERSONAL CARE 3 FACILITY CHECKLIST&amp;R&amp;"Arial,Regular"&amp;8Form TBD
Page &amp;P</oddHeader>
      </headerFooter>
    </customSheetView>
    <customSheetView guid="{B2091B36-14EA-49EC-93AF-D5AA205EF0C1}" fitToPage="1" hiddenRows="1">
      <selection activeCell="A24" sqref="A24"/>
      <pageMargins left="0.5" right="0.5" top="1" bottom="0.75" header="0.25" footer="0.25"/>
      <printOptions horizontalCentered="1"/>
      <pageSetup scale="77" fitToHeight="16" orientation="portrait" r:id="rId2"/>
      <headerFooter>
        <oddHeader>&amp;L&amp;"Arial,Regular"&amp;8Texas Department of Aging
and Disability Services&amp;C&amp;"Arial,Bold"&amp;12ASSISTED LIVING/RESIDENTIAL CARE  /
OUT OF HOME RESPITE
 PERSONAL CARE 3 FACILITY CHECKLIST&amp;R&amp;"Arial,Regular"&amp;8Form TBD
Page &amp;P</oddHeader>
      </headerFooter>
    </customSheetView>
    <customSheetView guid="{965C3FE4-50BF-43C0-B1D0-366B904E9BAB}" fitToPage="1">
      <selection activeCell="A52" sqref="A52"/>
      <pageMargins left="0.5" right="0.5" top="1" bottom="0.75" header="0.25" footer="0.25"/>
      <printOptions horizontalCentered="1"/>
      <pageSetup scale="86" fitToHeight="16" orientation="portrait" r:id="rId3"/>
      <headerFooter>
        <oddHeader>&amp;L&amp;"Arial,Regular"&amp;8Texas Department of Aging
and Disability Services&amp;C&amp;"Arial,Bold"&amp;12ASSISTED LIVING/RESIDENTIAL CARE  /
OUT OF HOME RESPITE
 PERSONAL CARE 3 FACILITY CHECKLIST&amp;R&amp;"Arial,Regular"&amp;8Form TBD
Page &amp;P</oddHeader>
      </headerFooter>
    </customSheetView>
    <customSheetView guid="{5C7A2EDE-CAF2-41B7-8EBC-2EB35225299B}" fitToPage="1">
      <selection activeCell="A52" sqref="A52"/>
      <pageMargins left="0.5" right="0.5" top="1" bottom="0.75" header="0.25" footer="0.25"/>
      <printOptions horizontalCentered="1"/>
      <pageSetup scale="86" fitToHeight="16" orientation="portrait" r:id="rId4"/>
      <headerFooter>
        <oddHeader>&amp;L&amp;"Arial,Regular"&amp;8Texas Department of Aging
and Disability Services&amp;C&amp;"Arial,Bold"&amp;12ASSISTED LIVING/RESIDENTIAL CARE  /
OUT OF HOME RESPITE
 PERSONAL CARE 3 FACILITY CHECKLIST&amp;R&amp;"Arial,Regular"&amp;8Form TBD
Page &amp;P</oddHeader>
      </headerFooter>
    </customSheetView>
    <customSheetView guid="{15DD4F60-D491-4D73-A014-FE6349F17583}" fitToPage="1">
      <selection activeCell="A52" sqref="A52"/>
      <pageMargins left="0.5" right="0.5" top="1" bottom="0.75" header="0.25" footer="0.25"/>
      <printOptions horizontalCentered="1"/>
      <pageSetup scale="86" fitToHeight="16" orientation="portrait" r:id="rId5"/>
      <headerFooter>
        <oddHeader>&amp;L&amp;"Arial,Regular"&amp;8Texas Department of Aging
and Disability Services&amp;C&amp;"Arial,Bold"&amp;12ASSISTED LIVING/RESIDENTIAL CARE  /
OUT OF HOME RESPITE
 PERSONAL CARE 3 FACILITY CHECKLIST&amp;R&amp;"Arial,Regular"&amp;8Form TBD
Page &amp;P</oddHeader>
      </headerFooter>
    </customSheetView>
    <customSheetView guid="{A9399441-FD69-4FCC-BF3B-6E447DD9FB6A}" fitToPage="1" hiddenRows="1">
      <selection activeCell="A24" sqref="A24"/>
      <pageMargins left="0.5" right="0.5" top="1" bottom="0.75" header="0.25" footer="0.25"/>
      <printOptions horizontalCentered="1"/>
      <pageSetup scale="77" fitToHeight="16" orientation="portrait" r:id="rId6"/>
      <headerFooter>
        <oddHeader>&amp;L&amp;"Arial,Regular"&amp;8Texas Department of Aging
and Disability Services&amp;C&amp;"Arial,Bold"&amp;12ASSISTED LIVING/RESIDENTIAL CARE  /
OUT OF HOME RESPITE
 PERSONAL CARE 3 FACILITY CHECKLIST&amp;R&amp;"Arial,Regular"&amp;8Form TBD
Page &amp;P</oddHeader>
      </headerFooter>
    </customSheetView>
  </customSheetViews>
  <mergeCells count="142">
    <mergeCell ref="G37:L37"/>
    <mergeCell ref="G38:L38"/>
    <mergeCell ref="G40:L40"/>
    <mergeCell ref="G48:K49"/>
    <mergeCell ref="L48:L49"/>
    <mergeCell ref="G50:L58"/>
    <mergeCell ref="G33:L33"/>
    <mergeCell ref="G34:L34"/>
    <mergeCell ref="G35:L35"/>
    <mergeCell ref="G36:L36"/>
    <mergeCell ref="G41:K41"/>
    <mergeCell ref="G42:K42"/>
    <mergeCell ref="G43:K43"/>
    <mergeCell ref="G45:K45"/>
    <mergeCell ref="G44:L44"/>
    <mergeCell ref="G47:K47"/>
    <mergeCell ref="B53:C53"/>
    <mergeCell ref="D53:F53"/>
    <mergeCell ref="A54:C58"/>
    <mergeCell ref="B49:C49"/>
    <mergeCell ref="D49:F49"/>
    <mergeCell ref="B47:C47"/>
    <mergeCell ref="D47:F47"/>
    <mergeCell ref="B48:C48"/>
    <mergeCell ref="D48:F48"/>
    <mergeCell ref="B50:C50"/>
    <mergeCell ref="D50:F50"/>
    <mergeCell ref="B51:C51"/>
    <mergeCell ref="D51:F51"/>
    <mergeCell ref="B52:C52"/>
    <mergeCell ref="D52:F52"/>
    <mergeCell ref="D57:E57"/>
    <mergeCell ref="D58:E58"/>
    <mergeCell ref="B42:C42"/>
    <mergeCell ref="D42:F42"/>
    <mergeCell ref="B43:C43"/>
    <mergeCell ref="D43:F43"/>
    <mergeCell ref="B44:C44"/>
    <mergeCell ref="D44:F44"/>
    <mergeCell ref="B37:C37"/>
    <mergeCell ref="D37:F37"/>
    <mergeCell ref="B38:C38"/>
    <mergeCell ref="D38:F38"/>
    <mergeCell ref="B39:C39"/>
    <mergeCell ref="D39:F39"/>
    <mergeCell ref="B32:C32"/>
    <mergeCell ref="D32:F32"/>
    <mergeCell ref="B33:C33"/>
    <mergeCell ref="D33:F33"/>
    <mergeCell ref="B34:C34"/>
    <mergeCell ref="D34:F34"/>
    <mergeCell ref="B26:C26"/>
    <mergeCell ref="D26:F26"/>
    <mergeCell ref="B27:C27"/>
    <mergeCell ref="D27:F27"/>
    <mergeCell ref="B28:C28"/>
    <mergeCell ref="D28:F28"/>
    <mergeCell ref="B30:C30"/>
    <mergeCell ref="D30:F30"/>
    <mergeCell ref="B31:C31"/>
    <mergeCell ref="D31:F31"/>
    <mergeCell ref="B29:C29"/>
    <mergeCell ref="D29:F29"/>
    <mergeCell ref="A21:J21"/>
    <mergeCell ref="A22:J22"/>
    <mergeCell ref="B23:C23"/>
    <mergeCell ref="B24:C24"/>
    <mergeCell ref="D24:F24"/>
    <mergeCell ref="D23:F23"/>
    <mergeCell ref="G23:L23"/>
    <mergeCell ref="G24:L25"/>
    <mergeCell ref="I12:J12"/>
    <mergeCell ref="A12:H12"/>
    <mergeCell ref="I13:J13"/>
    <mergeCell ref="I14:J14"/>
    <mergeCell ref="A13:H13"/>
    <mergeCell ref="A14:H14"/>
    <mergeCell ref="A15:J15"/>
    <mergeCell ref="A16:J16"/>
    <mergeCell ref="A17:J17"/>
    <mergeCell ref="G26:L28"/>
    <mergeCell ref="G29:L30"/>
    <mergeCell ref="B25:C25"/>
    <mergeCell ref="D25:F25"/>
    <mergeCell ref="A18:J18"/>
    <mergeCell ref="A19:J19"/>
    <mergeCell ref="A20:J20"/>
    <mergeCell ref="A11:J11"/>
    <mergeCell ref="G46:K46"/>
    <mergeCell ref="G39:K39"/>
    <mergeCell ref="G31:L31"/>
    <mergeCell ref="G32:L32"/>
    <mergeCell ref="B45:C45"/>
    <mergeCell ref="D45:F45"/>
    <mergeCell ref="B46:C46"/>
    <mergeCell ref="D46:F46"/>
    <mergeCell ref="B40:C40"/>
    <mergeCell ref="D40:F40"/>
    <mergeCell ref="B41:C41"/>
    <mergeCell ref="D41:F41"/>
    <mergeCell ref="B35:C35"/>
    <mergeCell ref="D35:F35"/>
    <mergeCell ref="B36:C36"/>
    <mergeCell ref="D36:F36"/>
    <mergeCell ref="A9:B9"/>
    <mergeCell ref="C9:E9"/>
    <mergeCell ref="F9:G9"/>
    <mergeCell ref="H9:J9"/>
    <mergeCell ref="A10:B10"/>
    <mergeCell ref="C10:E10"/>
    <mergeCell ref="F10:J10"/>
    <mergeCell ref="A7:B7"/>
    <mergeCell ref="C7:E7"/>
    <mergeCell ref="F7:G7"/>
    <mergeCell ref="H7:J7"/>
    <mergeCell ref="A8:B8"/>
    <mergeCell ref="C8:E8"/>
    <mergeCell ref="F8:G8"/>
    <mergeCell ref="H8:J8"/>
    <mergeCell ref="A6:B6"/>
    <mergeCell ref="C6:E6"/>
    <mergeCell ref="F6:G6"/>
    <mergeCell ref="H6:J6"/>
    <mergeCell ref="A1:D1"/>
    <mergeCell ref="E1:F1"/>
    <mergeCell ref="G1:H1"/>
    <mergeCell ref="I1:J1"/>
    <mergeCell ref="A2:D2"/>
    <mergeCell ref="E2:F2"/>
    <mergeCell ref="G2:H2"/>
    <mergeCell ref="I2:J2"/>
    <mergeCell ref="I3:J3"/>
    <mergeCell ref="A3:B3"/>
    <mergeCell ref="C3:D3"/>
    <mergeCell ref="C4:D4"/>
    <mergeCell ref="C5:D5"/>
    <mergeCell ref="E3:F3"/>
    <mergeCell ref="E4:F4"/>
    <mergeCell ref="E5:F5"/>
    <mergeCell ref="G3:H3"/>
    <mergeCell ref="G4:H4"/>
    <mergeCell ref="G5:H5"/>
  </mergeCells>
  <dataValidations disablePrompts="1" count="5">
    <dataValidation type="whole" operator="greaterThan" allowBlank="1" showInputMessage="1" showErrorMessage="1" sqref="A24:A53" xr:uid="{00000000-0002-0000-1F00-000000000000}">
      <formula1>0</formula1>
    </dataValidation>
    <dataValidation type="whole" allowBlank="1" showInputMessage="1" showErrorMessage="1" sqref="B24:C53" xr:uid="{00000000-0002-0000-1F00-000001000000}">
      <formula1>1</formula1>
      <formula2>43</formula2>
    </dataValidation>
    <dataValidation type="list" allowBlank="1" showInputMessage="1" showErrorMessage="1" sqref="D24:F53" xr:uid="{00000000-0002-0000-1F00-000002000000}">
      <formula1>"SINGLE,DOUBLE,OTHER"</formula1>
    </dataValidation>
    <dataValidation type="whole" allowBlank="1" showInputMessage="1" showErrorMessage="1" sqref="D56:F56" xr:uid="{00000000-0002-0000-1F00-000003000000}">
      <formula1>0</formula1>
      <formula2>30</formula2>
    </dataValidation>
    <dataValidation type="whole" showInputMessage="1" showErrorMessage="1" sqref="I6:J6" xr:uid="{00000000-0002-0000-1F00-000004000000}">
      <formula1>1</formula1>
      <formula2>999999999999</formula2>
    </dataValidation>
  </dataValidations>
  <printOptions horizontalCentered="1"/>
  <pageMargins left="0.5" right="0.5" top="1" bottom="0.75" header="0.25" footer="0.25"/>
  <pageSetup scale="77" fitToHeight="16" orientation="portrait" r:id="rId7"/>
  <headerFooter>
    <oddHeader>&amp;L&amp;"Arial,Regular"&amp;8Texas Department of Aging 
and Disability Services&amp;C&amp;"Arial,Bold"&amp;12RESIDENTIAL CARE
 PERSONAL CARE 3 FACILITY CHECKLIST&amp;R&amp;"Arial,Regular"&amp;8Form TBD
Page &amp;P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A1:N308"/>
  <sheetViews>
    <sheetView zoomScale="85" zoomScaleNormal="85" workbookViewId="0">
      <selection activeCell="C10" sqref="C10"/>
    </sheetView>
  </sheetViews>
  <sheetFormatPr defaultColWidth="9.08984375" defaultRowHeight="14"/>
  <cols>
    <col min="1" max="18" width="10.6328125" style="418" customWidth="1"/>
    <col min="19" max="16384" width="9.08984375" style="418"/>
  </cols>
  <sheetData>
    <row r="1" spans="1:11" s="1" customFormat="1" ht="30" customHeight="1" thickTop="1">
      <c r="A1" s="838" t="s">
        <v>0</v>
      </c>
      <c r="B1" s="839"/>
      <c r="C1" s="839"/>
      <c r="D1" s="840"/>
      <c r="E1" s="499"/>
      <c r="F1" s="501"/>
      <c r="G1" s="499" t="s">
        <v>1</v>
      </c>
      <c r="H1" s="501"/>
      <c r="I1" s="499" t="s">
        <v>2</v>
      </c>
      <c r="J1" s="501"/>
      <c r="K1" s="23"/>
    </row>
    <row r="2" spans="1:11" s="1" customFormat="1" ht="31.5" customHeight="1" thickBot="1">
      <c r="A2" s="1495">
        <f>NameOfLegalEntity</f>
        <v>0</v>
      </c>
      <c r="B2" s="1496"/>
      <c r="C2" s="1496"/>
      <c r="D2" s="1497"/>
      <c r="E2" s="1498">
        <f>SingleCare3Facility</f>
        <v>0</v>
      </c>
      <c r="F2" s="1499"/>
      <c r="G2" s="1498">
        <f>ReviewLevel</f>
        <v>0</v>
      </c>
      <c r="H2" s="1499"/>
      <c r="I2" s="1498">
        <f>ReviewType</f>
        <v>0</v>
      </c>
      <c r="J2" s="1499"/>
      <c r="K2" s="23"/>
    </row>
    <row r="3" spans="1:11" s="1" customFormat="1" ht="15.75" customHeight="1" thickTop="1">
      <c r="A3" s="1500" t="s">
        <v>3</v>
      </c>
      <c r="B3" s="1356"/>
      <c r="C3" s="499" t="s">
        <v>4</v>
      </c>
      <c r="D3" s="501"/>
      <c r="E3" s="499" t="s">
        <v>5</v>
      </c>
      <c r="F3" s="501"/>
      <c r="G3" s="499" t="s">
        <v>5</v>
      </c>
      <c r="H3" s="501"/>
      <c r="I3" s="499" t="s">
        <v>1381</v>
      </c>
      <c r="J3" s="501"/>
      <c r="K3" s="23"/>
    </row>
    <row r="4" spans="1:11" s="1" customFormat="1" ht="15" customHeight="1">
      <c r="A4" s="11" t="s">
        <v>7</v>
      </c>
      <c r="B4" s="289">
        <f>CompletedByLastName</f>
        <v>0</v>
      </c>
      <c r="C4" s="502" t="s">
        <v>8</v>
      </c>
      <c r="D4" s="504"/>
      <c r="E4" s="502" t="s">
        <v>9</v>
      </c>
      <c r="F4" s="504"/>
      <c r="G4" s="502" t="s">
        <v>1430</v>
      </c>
      <c r="H4" s="504"/>
      <c r="I4" s="2" t="s">
        <v>10</v>
      </c>
      <c r="J4" s="290" t="str">
        <f>IF(MonitoringPeriodBeginDate="","",MonitoringPeriodBeginDate)</f>
        <v/>
      </c>
      <c r="K4" s="23"/>
    </row>
    <row r="5" spans="1:11" s="1" customFormat="1" ht="16.5" customHeight="1" thickBot="1">
      <c r="A5" s="296" t="s">
        <v>11</v>
      </c>
      <c r="B5" s="292">
        <f>CompletedByFirstName</f>
        <v>0</v>
      </c>
      <c r="C5" s="1501" t="str">
        <f>IF(DateOfEntrance="","",DateOfEntrance)</f>
        <v/>
      </c>
      <c r="D5" s="1502"/>
      <c r="E5" s="1501" t="str">
        <f>IF(DateOfExit="","",DateOfExit)</f>
        <v/>
      </c>
      <c r="F5" s="1502"/>
      <c r="G5" s="1501" t="str">
        <f>IF(DateOfRevisedExit="","",DateOfRevisedExit)</f>
        <v/>
      </c>
      <c r="H5" s="1502"/>
      <c r="I5" s="286" t="s">
        <v>12</v>
      </c>
      <c r="J5" s="295" t="str">
        <f>IF(MonitoringPeriodEndDate="","",MonitoringPeriodEndDate)</f>
        <v/>
      </c>
    </row>
    <row r="6" spans="1:11" s="1" customFormat="1" ht="15.75" customHeight="1" thickTop="1" thickBot="1">
      <c r="A6" s="1492" t="s">
        <v>13</v>
      </c>
      <c r="B6" s="1493"/>
      <c r="C6" s="1493" t="s">
        <v>53</v>
      </c>
      <c r="D6" s="1493"/>
      <c r="E6" s="1494"/>
      <c r="F6" s="1492"/>
      <c r="G6" s="1493"/>
      <c r="H6" s="1493"/>
      <c r="I6" s="1493"/>
      <c r="J6" s="1494"/>
      <c r="K6" s="23"/>
    </row>
    <row r="7" spans="1:11" s="1" customFormat="1" ht="15" customHeight="1" thickBot="1">
      <c r="A7" s="1503" t="s">
        <v>74</v>
      </c>
      <c r="B7" s="1504"/>
      <c r="C7" s="1505">
        <f>CCADRCcontractNumber</f>
        <v>0</v>
      </c>
      <c r="D7" s="1506"/>
      <c r="E7" s="1507"/>
      <c r="F7" s="1503"/>
      <c r="G7" s="1504"/>
      <c r="H7" s="1505">
        <f>CBAOHRcontractNumber</f>
        <v>0</v>
      </c>
      <c r="I7" s="1506"/>
      <c r="J7" s="1507"/>
      <c r="K7" s="23"/>
    </row>
    <row r="8" spans="1:11" ht="17.25" customHeight="1" thickTop="1" thickBot="1">
      <c r="A8" s="624" t="s">
        <v>238</v>
      </c>
      <c r="B8" s="625"/>
      <c r="C8" s="625"/>
      <c r="D8" s="625"/>
      <c r="E8" s="625"/>
      <c r="F8" s="625"/>
      <c r="G8" s="625"/>
      <c r="H8" s="625"/>
      <c r="I8" s="625"/>
      <c r="J8" s="626"/>
    </row>
    <row r="9" spans="1:11" ht="39.9" customHeight="1" thickTop="1" thickBot="1">
      <c r="A9" s="1561" t="s">
        <v>1512</v>
      </c>
      <c r="B9" s="390" t="s">
        <v>239</v>
      </c>
      <c r="C9" s="390" t="s">
        <v>40</v>
      </c>
      <c r="D9" s="390" t="s">
        <v>40</v>
      </c>
      <c r="E9" s="390" t="s">
        <v>40</v>
      </c>
      <c r="F9" s="390" t="s">
        <v>40</v>
      </c>
      <c r="G9" s="390" t="s">
        <v>40</v>
      </c>
      <c r="H9" s="390" t="s">
        <v>40</v>
      </c>
      <c r="I9" s="1582"/>
      <c r="J9" s="1583"/>
    </row>
    <row r="10" spans="1:11" ht="20.149999999999999" customHeight="1" thickTop="1" thickBot="1">
      <c r="A10" s="1564"/>
      <c r="B10" s="1543">
        <v>1</v>
      </c>
      <c r="C10" s="371">
        <v>1</v>
      </c>
      <c r="D10" s="371">
        <v>6</v>
      </c>
      <c r="E10" s="371">
        <v>11</v>
      </c>
      <c r="F10" s="372">
        <v>16</v>
      </c>
      <c r="G10" s="371">
        <v>21</v>
      </c>
      <c r="H10" s="371">
        <v>26</v>
      </c>
      <c r="I10" s="1584"/>
      <c r="J10" s="1585"/>
    </row>
    <row r="11" spans="1:11" ht="20.149999999999999" customHeight="1" thickTop="1" thickBot="1">
      <c r="A11" s="1564"/>
      <c r="B11" s="1579"/>
      <c r="C11" s="373">
        <v>2</v>
      </c>
      <c r="D11" s="373">
        <v>7</v>
      </c>
      <c r="E11" s="373">
        <v>12</v>
      </c>
      <c r="F11" s="373">
        <v>17</v>
      </c>
      <c r="G11" s="373">
        <v>22</v>
      </c>
      <c r="H11" s="373">
        <v>27</v>
      </c>
      <c r="I11" s="1584"/>
      <c r="J11" s="1585"/>
    </row>
    <row r="12" spans="1:11" ht="20.149999999999999" customHeight="1" thickTop="1" thickBot="1">
      <c r="A12" s="1564"/>
      <c r="B12" s="1579"/>
      <c r="C12" s="373">
        <v>3</v>
      </c>
      <c r="D12" s="373">
        <v>8</v>
      </c>
      <c r="E12" s="373">
        <v>13</v>
      </c>
      <c r="F12" s="373">
        <v>18</v>
      </c>
      <c r="G12" s="373">
        <v>23</v>
      </c>
      <c r="H12" s="373">
        <v>28</v>
      </c>
      <c r="I12" s="1584"/>
      <c r="J12" s="1585"/>
    </row>
    <row r="13" spans="1:11" ht="20.149999999999999" customHeight="1" thickTop="1" thickBot="1">
      <c r="A13" s="1564"/>
      <c r="B13" s="1579"/>
      <c r="C13" s="373">
        <v>4</v>
      </c>
      <c r="D13" s="373">
        <v>9</v>
      </c>
      <c r="E13" s="373">
        <v>14</v>
      </c>
      <c r="F13" s="373">
        <v>19</v>
      </c>
      <c r="G13" s="373">
        <v>24</v>
      </c>
      <c r="H13" s="373">
        <v>29</v>
      </c>
      <c r="I13" s="1584"/>
      <c r="J13" s="1585"/>
    </row>
    <row r="14" spans="1:11" ht="20.149999999999999" customHeight="1" thickTop="1" thickBot="1">
      <c r="A14" s="1568"/>
      <c r="B14" s="1544"/>
      <c r="C14" s="373">
        <v>5</v>
      </c>
      <c r="D14" s="373">
        <v>10</v>
      </c>
      <c r="E14" s="373">
        <v>15</v>
      </c>
      <c r="F14" s="373">
        <v>20</v>
      </c>
      <c r="G14" s="373">
        <v>25</v>
      </c>
      <c r="H14" s="373">
        <v>30</v>
      </c>
      <c r="I14" s="1586"/>
      <c r="J14" s="1587"/>
    </row>
    <row r="15" spans="1:11" ht="39.9" customHeight="1" thickTop="1" thickBot="1">
      <c r="A15" s="1580" t="s">
        <v>1511</v>
      </c>
      <c r="B15" s="387" t="s">
        <v>239</v>
      </c>
      <c r="C15" s="388" t="s">
        <v>241</v>
      </c>
      <c r="D15" s="389" t="s">
        <v>240</v>
      </c>
      <c r="E15" s="1588"/>
      <c r="F15" s="1589"/>
      <c r="G15" s="1589"/>
      <c r="H15" s="1589"/>
      <c r="I15" s="1589"/>
      <c r="J15" s="1590"/>
    </row>
    <row r="16" spans="1:11" ht="20.149999999999999" customHeight="1" thickTop="1" thickBot="1">
      <c r="A16" s="1581"/>
      <c r="B16" s="399">
        <v>2</v>
      </c>
      <c r="C16" s="375"/>
      <c r="D16" s="399"/>
      <c r="E16" s="1591"/>
      <c r="F16" s="1592"/>
      <c r="G16" s="1592"/>
      <c r="H16" s="1592"/>
      <c r="I16" s="1592"/>
      <c r="J16" s="1593"/>
    </row>
    <row r="17" spans="1:10" ht="20.149999999999999" customHeight="1" thickTop="1" thickBot="1">
      <c r="A17" s="1581"/>
      <c r="B17" s="399">
        <v>3</v>
      </c>
      <c r="C17" s="392"/>
      <c r="D17" s="375"/>
      <c r="E17" s="1594"/>
      <c r="F17" s="1595"/>
      <c r="G17" s="1595"/>
      <c r="H17" s="1595"/>
      <c r="I17" s="1595"/>
      <c r="J17" s="1596"/>
    </row>
    <row r="18" spans="1:10" ht="39.9" customHeight="1" thickTop="1">
      <c r="A18" s="1561" t="s">
        <v>1510</v>
      </c>
      <c r="B18" s="390" t="s">
        <v>239</v>
      </c>
      <c r="C18" s="390" t="s">
        <v>239</v>
      </c>
      <c r="D18" s="393"/>
      <c r="E18" s="393"/>
      <c r="F18" s="407"/>
      <c r="G18" s="390" t="s">
        <v>239</v>
      </c>
      <c r="H18" s="390" t="s">
        <v>239</v>
      </c>
      <c r="I18" s="393"/>
      <c r="J18" s="393"/>
    </row>
    <row r="19" spans="1:10" ht="20.149999999999999" customHeight="1" thickBot="1">
      <c r="A19" s="1564"/>
      <c r="B19" s="394" t="s">
        <v>524</v>
      </c>
      <c r="C19" s="394" t="s">
        <v>40</v>
      </c>
      <c r="D19" s="395" t="s">
        <v>241</v>
      </c>
      <c r="E19" s="395" t="s">
        <v>240</v>
      </c>
      <c r="F19" s="408"/>
      <c r="G19" s="394" t="s">
        <v>524</v>
      </c>
      <c r="H19" s="394" t="s">
        <v>40</v>
      </c>
      <c r="I19" s="395" t="s">
        <v>241</v>
      </c>
      <c r="J19" s="395" t="s">
        <v>240</v>
      </c>
    </row>
    <row r="20" spans="1:10" ht="20.149999999999999" customHeight="1" thickTop="1" thickBot="1">
      <c r="A20" s="1564"/>
      <c r="B20" s="371"/>
      <c r="C20" s="373"/>
      <c r="D20" s="376"/>
      <c r="E20" s="376"/>
      <c r="F20" s="408"/>
      <c r="G20" s="404"/>
      <c r="H20" s="404"/>
      <c r="I20" s="374"/>
      <c r="J20" s="374"/>
    </row>
    <row r="21" spans="1:10" ht="20.149999999999999" customHeight="1" thickTop="1" thickBot="1">
      <c r="A21" s="1564"/>
      <c r="B21" s="373"/>
      <c r="C21" s="373"/>
      <c r="D21" s="376"/>
      <c r="E21" s="376"/>
      <c r="F21" s="408"/>
      <c r="G21" s="404"/>
      <c r="H21" s="404"/>
      <c r="I21" s="374"/>
      <c r="J21" s="374"/>
    </row>
    <row r="22" spans="1:10" ht="20.149999999999999" customHeight="1" thickTop="1" thickBot="1">
      <c r="A22" s="1564"/>
      <c r="B22" s="373"/>
      <c r="C22" s="373"/>
      <c r="D22" s="376"/>
      <c r="E22" s="376"/>
      <c r="F22" s="408"/>
      <c r="G22" s="404"/>
      <c r="H22" s="404"/>
      <c r="I22" s="374"/>
      <c r="J22" s="374"/>
    </row>
    <row r="23" spans="1:10" ht="20.149999999999999" customHeight="1" thickTop="1" thickBot="1">
      <c r="A23" s="1564"/>
      <c r="B23" s="373"/>
      <c r="C23" s="373"/>
      <c r="D23" s="376"/>
      <c r="E23" s="376"/>
      <c r="F23" s="408"/>
      <c r="G23" s="404"/>
      <c r="H23" s="404"/>
      <c r="I23" s="374"/>
      <c r="J23" s="374"/>
    </row>
    <row r="24" spans="1:10" ht="20.149999999999999" customHeight="1" thickTop="1" thickBot="1">
      <c r="A24" s="1564"/>
      <c r="B24" s="373"/>
      <c r="C24" s="373"/>
      <c r="D24" s="376"/>
      <c r="E24" s="376"/>
      <c r="F24" s="408"/>
      <c r="G24" s="404"/>
      <c r="H24" s="404"/>
      <c r="I24" s="374"/>
      <c r="J24" s="374"/>
    </row>
    <row r="25" spans="1:10" ht="20.149999999999999" customHeight="1" thickTop="1" thickBot="1">
      <c r="A25" s="1564"/>
      <c r="B25" s="371"/>
      <c r="C25" s="373"/>
      <c r="D25" s="376"/>
      <c r="E25" s="376"/>
      <c r="F25" s="408"/>
      <c r="G25" s="404"/>
      <c r="H25" s="404"/>
      <c r="I25" s="374"/>
      <c r="J25" s="374"/>
    </row>
    <row r="26" spans="1:10" ht="20.149999999999999" customHeight="1" thickTop="1" thickBot="1">
      <c r="A26" s="1564"/>
      <c r="B26" s="373"/>
      <c r="C26" s="373"/>
      <c r="D26" s="376"/>
      <c r="E26" s="376"/>
      <c r="F26" s="408"/>
      <c r="G26" s="404"/>
      <c r="H26" s="404"/>
      <c r="I26" s="374"/>
      <c r="J26" s="374"/>
    </row>
    <row r="27" spans="1:10" ht="20.149999999999999" customHeight="1" thickTop="1" thickBot="1">
      <c r="A27" s="1564"/>
      <c r="B27" s="373"/>
      <c r="C27" s="373"/>
      <c r="D27" s="376"/>
      <c r="E27" s="376"/>
      <c r="F27" s="408"/>
      <c r="G27" s="404"/>
      <c r="H27" s="404"/>
      <c r="I27" s="374"/>
      <c r="J27" s="374"/>
    </row>
    <row r="28" spans="1:10" ht="20.149999999999999" customHeight="1" thickTop="1" thickBot="1">
      <c r="A28" s="1564"/>
      <c r="B28" s="373"/>
      <c r="C28" s="373"/>
      <c r="D28" s="376"/>
      <c r="E28" s="376"/>
      <c r="F28" s="408"/>
      <c r="G28" s="404"/>
      <c r="H28" s="404"/>
      <c r="I28" s="374"/>
      <c r="J28" s="374"/>
    </row>
    <row r="29" spans="1:10" ht="20.149999999999999" customHeight="1" thickTop="1" thickBot="1">
      <c r="A29" s="1564"/>
      <c r="B29" s="373"/>
      <c r="C29" s="373"/>
      <c r="D29" s="376"/>
      <c r="E29" s="376"/>
      <c r="F29" s="408"/>
      <c r="G29" s="404"/>
      <c r="H29" s="404"/>
      <c r="I29" s="374"/>
      <c r="J29" s="374"/>
    </row>
    <row r="30" spans="1:10" ht="20.149999999999999" customHeight="1" thickTop="1" thickBot="1">
      <c r="A30" s="1564"/>
      <c r="B30" s="371"/>
      <c r="C30" s="373"/>
      <c r="D30" s="376"/>
      <c r="E30" s="376"/>
      <c r="F30" s="408"/>
      <c r="G30" s="404"/>
      <c r="H30" s="404"/>
      <c r="I30" s="374"/>
      <c r="J30" s="374"/>
    </row>
    <row r="31" spans="1:10" ht="20.149999999999999" customHeight="1" thickTop="1" thickBot="1">
      <c r="A31" s="1564"/>
      <c r="B31" s="373"/>
      <c r="C31" s="373"/>
      <c r="D31" s="376"/>
      <c r="E31" s="376"/>
      <c r="F31" s="408"/>
      <c r="G31" s="404"/>
      <c r="H31" s="404"/>
      <c r="I31" s="374"/>
      <c r="J31" s="374"/>
    </row>
    <row r="32" spans="1:10" ht="20.149999999999999" customHeight="1" thickTop="1" thickBot="1">
      <c r="A32" s="1564"/>
      <c r="B32" s="373"/>
      <c r="C32" s="373"/>
      <c r="D32" s="376"/>
      <c r="E32" s="376"/>
      <c r="F32" s="408"/>
      <c r="G32" s="404"/>
      <c r="H32" s="404"/>
      <c r="I32" s="374"/>
      <c r="J32" s="374"/>
    </row>
    <row r="33" spans="1:10" ht="20.149999999999999" customHeight="1" thickTop="1" thickBot="1">
      <c r="A33" s="1564"/>
      <c r="B33" s="373"/>
      <c r="C33" s="373"/>
      <c r="D33" s="376"/>
      <c r="E33" s="376"/>
      <c r="F33" s="408"/>
      <c r="G33" s="404"/>
      <c r="H33" s="404"/>
      <c r="I33" s="374"/>
      <c r="J33" s="374"/>
    </row>
    <row r="34" spans="1:10" ht="20.149999999999999" customHeight="1" thickTop="1" thickBot="1">
      <c r="A34" s="1568"/>
      <c r="B34" s="373"/>
      <c r="C34" s="373"/>
      <c r="D34" s="376"/>
      <c r="E34" s="376"/>
      <c r="F34" s="409"/>
      <c r="G34" s="404"/>
      <c r="H34" s="404"/>
      <c r="I34" s="374"/>
      <c r="J34" s="374"/>
    </row>
    <row r="35" spans="1:10" ht="39.9" customHeight="1" thickTop="1" thickBot="1">
      <c r="A35" s="1580" t="s">
        <v>1509</v>
      </c>
      <c r="B35" s="387" t="s">
        <v>239</v>
      </c>
      <c r="C35" s="394" t="s">
        <v>241</v>
      </c>
      <c r="D35" s="395" t="s">
        <v>240</v>
      </c>
      <c r="E35" s="1588"/>
      <c r="F35" s="1589"/>
      <c r="G35" s="1589"/>
      <c r="H35" s="1589"/>
      <c r="I35" s="1589"/>
      <c r="J35" s="1590"/>
    </row>
    <row r="36" spans="1:10" ht="20.149999999999999" customHeight="1" thickTop="1" thickBot="1">
      <c r="A36" s="1581"/>
      <c r="B36" s="369">
        <v>6</v>
      </c>
      <c r="C36" s="405"/>
      <c r="D36" s="370"/>
      <c r="E36" s="1591"/>
      <c r="F36" s="1592"/>
      <c r="G36" s="1592"/>
      <c r="H36" s="1592"/>
      <c r="I36" s="1592"/>
      <c r="J36" s="1593"/>
    </row>
    <row r="37" spans="1:10" ht="20.149999999999999" customHeight="1" thickTop="1" thickBot="1">
      <c r="A37" s="1581"/>
      <c r="B37" s="370">
        <v>7</v>
      </c>
      <c r="C37" s="396"/>
      <c r="D37" s="374"/>
      <c r="E37" s="1594"/>
      <c r="F37" s="1595"/>
      <c r="G37" s="1595"/>
      <c r="H37" s="1595"/>
      <c r="I37" s="1595"/>
      <c r="J37" s="1596"/>
    </row>
    <row r="38" spans="1:10" ht="39.9" customHeight="1" thickTop="1">
      <c r="A38" s="1561" t="s">
        <v>1508</v>
      </c>
      <c r="B38" s="387" t="s">
        <v>239</v>
      </c>
      <c r="C38" s="387"/>
      <c r="D38" s="390"/>
      <c r="E38" s="393"/>
      <c r="F38" s="407"/>
      <c r="G38" s="387" t="s">
        <v>239</v>
      </c>
      <c r="H38" s="387"/>
      <c r="I38" s="390"/>
      <c r="J38" s="393"/>
    </row>
    <row r="39" spans="1:10" ht="20.149999999999999" customHeight="1" thickBot="1">
      <c r="A39" s="1564"/>
      <c r="B39" s="394" t="s">
        <v>525</v>
      </c>
      <c r="C39" s="394" t="s">
        <v>40</v>
      </c>
      <c r="D39" s="394" t="s">
        <v>241</v>
      </c>
      <c r="E39" s="395" t="s">
        <v>240</v>
      </c>
      <c r="F39" s="408"/>
      <c r="G39" s="394" t="s">
        <v>525</v>
      </c>
      <c r="H39" s="394" t="s">
        <v>40</v>
      </c>
      <c r="I39" s="394" t="s">
        <v>241</v>
      </c>
      <c r="J39" s="395" t="s">
        <v>240</v>
      </c>
    </row>
    <row r="40" spans="1:10" ht="20.149999999999999" customHeight="1" thickTop="1" thickBot="1">
      <c r="A40" s="1564"/>
      <c r="B40" s="371"/>
      <c r="C40" s="373"/>
      <c r="D40" s="376"/>
      <c r="E40" s="376"/>
      <c r="F40" s="408"/>
      <c r="G40" s="404"/>
      <c r="H40" s="404"/>
      <c r="I40" s="374"/>
      <c r="J40" s="374"/>
    </row>
    <row r="41" spans="1:10" ht="20.149999999999999" customHeight="1" thickTop="1" thickBot="1">
      <c r="A41" s="1564"/>
      <c r="B41" s="373"/>
      <c r="C41" s="373"/>
      <c r="D41" s="376"/>
      <c r="E41" s="376"/>
      <c r="F41" s="408"/>
      <c r="G41" s="404"/>
      <c r="H41" s="404"/>
      <c r="I41" s="374"/>
      <c r="J41" s="374"/>
    </row>
    <row r="42" spans="1:10" ht="20.149999999999999" customHeight="1" thickTop="1" thickBot="1">
      <c r="A42" s="1564"/>
      <c r="B42" s="373"/>
      <c r="C42" s="373"/>
      <c r="D42" s="376"/>
      <c r="E42" s="376"/>
      <c r="F42" s="408"/>
      <c r="G42" s="404"/>
      <c r="H42" s="404"/>
      <c r="I42" s="374"/>
      <c r="J42" s="374"/>
    </row>
    <row r="43" spans="1:10" ht="20.149999999999999" customHeight="1" thickTop="1" thickBot="1">
      <c r="A43" s="1564"/>
      <c r="B43" s="373"/>
      <c r="C43" s="373"/>
      <c r="D43" s="376"/>
      <c r="E43" s="376"/>
      <c r="F43" s="408"/>
      <c r="G43" s="404"/>
      <c r="H43" s="404"/>
      <c r="I43" s="374"/>
      <c r="J43" s="374"/>
    </row>
    <row r="44" spans="1:10" ht="20.149999999999999" customHeight="1" thickTop="1" thickBot="1">
      <c r="A44" s="1564"/>
      <c r="B44" s="373"/>
      <c r="C44" s="373"/>
      <c r="D44" s="376"/>
      <c r="E44" s="376"/>
      <c r="F44" s="408"/>
      <c r="G44" s="404"/>
      <c r="H44" s="404"/>
      <c r="I44" s="374"/>
      <c r="J44" s="374"/>
    </row>
    <row r="45" spans="1:10" ht="20.149999999999999" customHeight="1" thickTop="1" thickBot="1">
      <c r="A45" s="1564"/>
      <c r="B45" s="371"/>
      <c r="C45" s="373"/>
      <c r="D45" s="376"/>
      <c r="E45" s="376"/>
      <c r="F45" s="408"/>
      <c r="G45" s="404"/>
      <c r="H45" s="404"/>
      <c r="I45" s="374"/>
      <c r="J45" s="374"/>
    </row>
    <row r="46" spans="1:10" ht="20.149999999999999" customHeight="1" thickTop="1" thickBot="1">
      <c r="A46" s="1564"/>
      <c r="B46" s="373"/>
      <c r="C46" s="373"/>
      <c r="D46" s="376"/>
      <c r="E46" s="376"/>
      <c r="F46" s="408"/>
      <c r="G46" s="404"/>
      <c r="H46" s="404"/>
      <c r="I46" s="374"/>
      <c r="J46" s="374"/>
    </row>
    <row r="47" spans="1:10" ht="20.149999999999999" customHeight="1" thickTop="1" thickBot="1">
      <c r="A47" s="1564"/>
      <c r="B47" s="373"/>
      <c r="C47" s="373"/>
      <c r="D47" s="376"/>
      <c r="E47" s="376"/>
      <c r="F47" s="408"/>
      <c r="G47" s="404"/>
      <c r="H47" s="404"/>
      <c r="I47" s="374"/>
      <c r="J47" s="374"/>
    </row>
    <row r="48" spans="1:10" ht="20.149999999999999" customHeight="1" thickTop="1" thickBot="1">
      <c r="A48" s="1564"/>
      <c r="B48" s="373"/>
      <c r="C48" s="373"/>
      <c r="D48" s="376"/>
      <c r="E48" s="376"/>
      <c r="F48" s="408"/>
      <c r="G48" s="404"/>
      <c r="H48" s="404"/>
      <c r="I48" s="374"/>
      <c r="J48" s="374"/>
    </row>
    <row r="49" spans="1:13" ht="20.149999999999999" customHeight="1" thickTop="1" thickBot="1">
      <c r="A49" s="1564"/>
      <c r="B49" s="373"/>
      <c r="C49" s="373"/>
      <c r="D49" s="376"/>
      <c r="E49" s="376"/>
      <c r="F49" s="408"/>
      <c r="G49" s="404"/>
      <c r="H49" s="404"/>
      <c r="I49" s="374"/>
      <c r="J49" s="374"/>
    </row>
    <row r="50" spans="1:13" ht="20.149999999999999" customHeight="1" thickTop="1" thickBot="1">
      <c r="A50" s="1564"/>
      <c r="B50" s="371"/>
      <c r="C50" s="373"/>
      <c r="D50" s="376"/>
      <c r="E50" s="376"/>
      <c r="F50" s="408"/>
      <c r="G50" s="404"/>
      <c r="H50" s="404"/>
      <c r="I50" s="374"/>
      <c r="J50" s="374"/>
    </row>
    <row r="51" spans="1:13" ht="20.149999999999999" customHeight="1" thickTop="1" thickBot="1">
      <c r="A51" s="1564"/>
      <c r="B51" s="373"/>
      <c r="C51" s="373"/>
      <c r="D51" s="376"/>
      <c r="E51" s="376"/>
      <c r="F51" s="408"/>
      <c r="G51" s="404"/>
      <c r="H51" s="404"/>
      <c r="I51" s="374"/>
      <c r="J51" s="374"/>
    </row>
    <row r="52" spans="1:13" ht="20.149999999999999" customHeight="1" thickTop="1" thickBot="1">
      <c r="A52" s="1564"/>
      <c r="B52" s="373"/>
      <c r="C52" s="373"/>
      <c r="D52" s="376"/>
      <c r="E52" s="376"/>
      <c r="F52" s="408"/>
      <c r="G52" s="404"/>
      <c r="H52" s="404"/>
      <c r="I52" s="374"/>
      <c r="J52" s="374"/>
    </row>
    <row r="53" spans="1:13" ht="20.149999999999999" customHeight="1" thickTop="1" thickBot="1">
      <c r="A53" s="1564"/>
      <c r="B53" s="373"/>
      <c r="C53" s="373"/>
      <c r="D53" s="376"/>
      <c r="E53" s="376"/>
      <c r="F53" s="408"/>
      <c r="G53" s="404"/>
      <c r="H53" s="404"/>
      <c r="I53" s="374"/>
      <c r="J53" s="374"/>
    </row>
    <row r="54" spans="1:13" ht="20.149999999999999" customHeight="1" thickTop="1" thickBot="1">
      <c r="A54" s="1568"/>
      <c r="B54" s="378"/>
      <c r="C54" s="373"/>
      <c r="D54" s="376"/>
      <c r="E54" s="376"/>
      <c r="F54" s="409"/>
      <c r="G54" s="406"/>
      <c r="H54" s="404"/>
      <c r="I54" s="374"/>
      <c r="J54" s="374"/>
    </row>
    <row r="55" spans="1:13" ht="39.9" customHeight="1" thickTop="1" thickBot="1">
      <c r="A55" s="1561" t="s">
        <v>1507</v>
      </c>
      <c r="B55" s="397" t="s">
        <v>239</v>
      </c>
      <c r="C55" s="397" t="s">
        <v>40</v>
      </c>
      <c r="D55" s="397" t="s">
        <v>1513</v>
      </c>
      <c r="E55" s="397" t="s">
        <v>1514</v>
      </c>
      <c r="F55" s="397" t="s">
        <v>1515</v>
      </c>
      <c r="G55" s="397" t="s">
        <v>1516</v>
      </c>
      <c r="H55" s="407"/>
      <c r="I55" s="397" t="s">
        <v>40</v>
      </c>
      <c r="J55" s="397" t="s">
        <v>1513</v>
      </c>
      <c r="K55" s="397" t="s">
        <v>1514</v>
      </c>
      <c r="L55" s="397" t="s">
        <v>1515</v>
      </c>
      <c r="M55" s="397" t="s">
        <v>1516</v>
      </c>
    </row>
    <row r="56" spans="1:13" ht="20.149999999999999" customHeight="1" thickTop="1" thickBot="1">
      <c r="A56" s="1564"/>
      <c r="B56" s="1555">
        <v>10</v>
      </c>
      <c r="C56" s="379"/>
      <c r="D56" s="380"/>
      <c r="E56" s="381"/>
      <c r="F56" s="380"/>
      <c r="G56" s="381"/>
      <c r="H56" s="408"/>
      <c r="I56" s="379"/>
      <c r="J56" s="380"/>
      <c r="K56" s="419"/>
      <c r="L56" s="420"/>
      <c r="M56" s="419"/>
    </row>
    <row r="57" spans="1:13" ht="20.149999999999999" customHeight="1" thickTop="1" thickBot="1">
      <c r="A57" s="1564"/>
      <c r="B57" s="1555"/>
      <c r="C57" s="379"/>
      <c r="D57" s="380"/>
      <c r="E57" s="381"/>
      <c r="F57" s="380"/>
      <c r="G57" s="381"/>
      <c r="H57" s="408"/>
      <c r="I57" s="379"/>
      <c r="J57" s="380"/>
      <c r="K57" s="419"/>
      <c r="L57" s="420"/>
      <c r="M57" s="419"/>
    </row>
    <row r="58" spans="1:13" ht="20.149999999999999" customHeight="1" thickTop="1" thickBot="1">
      <c r="A58" s="1564"/>
      <c r="B58" s="1555"/>
      <c r="C58" s="379"/>
      <c r="D58" s="380"/>
      <c r="E58" s="381"/>
      <c r="F58" s="380"/>
      <c r="G58" s="381"/>
      <c r="H58" s="408"/>
      <c r="I58" s="379"/>
      <c r="J58" s="380"/>
      <c r="K58" s="419"/>
      <c r="L58" s="420"/>
      <c r="M58" s="419"/>
    </row>
    <row r="59" spans="1:13" ht="20.149999999999999" customHeight="1" thickTop="1" thickBot="1">
      <c r="A59" s="1564"/>
      <c r="B59" s="1555"/>
      <c r="C59" s="379"/>
      <c r="D59" s="380"/>
      <c r="E59" s="381"/>
      <c r="F59" s="380"/>
      <c r="G59" s="381"/>
      <c r="H59" s="408"/>
      <c r="I59" s="379"/>
      <c r="J59" s="380"/>
      <c r="K59" s="419"/>
      <c r="L59" s="420"/>
      <c r="M59" s="419"/>
    </row>
    <row r="60" spans="1:13" ht="20.149999999999999" customHeight="1" thickTop="1" thickBot="1">
      <c r="A60" s="1564"/>
      <c r="B60" s="1555"/>
      <c r="C60" s="379"/>
      <c r="D60" s="380"/>
      <c r="E60" s="381"/>
      <c r="F60" s="380"/>
      <c r="G60" s="381"/>
      <c r="H60" s="408"/>
      <c r="I60" s="379"/>
      <c r="J60" s="380"/>
      <c r="K60" s="419"/>
      <c r="L60" s="420"/>
      <c r="M60" s="419"/>
    </row>
    <row r="61" spans="1:13" ht="20.149999999999999" customHeight="1" thickTop="1" thickBot="1">
      <c r="A61" s="1564"/>
      <c r="B61" s="1555"/>
      <c r="C61" s="379"/>
      <c r="D61" s="380"/>
      <c r="E61" s="381"/>
      <c r="F61" s="380"/>
      <c r="G61" s="381"/>
      <c r="H61" s="408"/>
      <c r="I61" s="379"/>
      <c r="J61" s="380"/>
      <c r="K61" s="419"/>
      <c r="L61" s="420"/>
      <c r="M61" s="419"/>
    </row>
    <row r="62" spans="1:13" ht="20.149999999999999" customHeight="1" thickTop="1" thickBot="1">
      <c r="A62" s="1564"/>
      <c r="B62" s="1555"/>
      <c r="C62" s="379"/>
      <c r="D62" s="380"/>
      <c r="E62" s="381"/>
      <c r="F62" s="380"/>
      <c r="G62" s="381"/>
      <c r="H62" s="408"/>
      <c r="I62" s="379"/>
      <c r="J62" s="380"/>
      <c r="K62" s="419"/>
      <c r="L62" s="420"/>
      <c r="M62" s="419"/>
    </row>
    <row r="63" spans="1:13" ht="20.149999999999999" customHeight="1" thickTop="1" thickBot="1">
      <c r="A63" s="1564"/>
      <c r="B63" s="1555"/>
      <c r="C63" s="379"/>
      <c r="D63" s="380"/>
      <c r="E63" s="381"/>
      <c r="F63" s="380"/>
      <c r="G63" s="381"/>
      <c r="H63" s="408"/>
      <c r="I63" s="379"/>
      <c r="J63" s="380"/>
      <c r="K63" s="419"/>
      <c r="L63" s="420"/>
      <c r="M63" s="419"/>
    </row>
    <row r="64" spans="1:13" ht="20.149999999999999" customHeight="1" thickTop="1" thickBot="1">
      <c r="A64" s="1564"/>
      <c r="B64" s="1555"/>
      <c r="C64" s="379"/>
      <c r="D64" s="380"/>
      <c r="E64" s="381"/>
      <c r="F64" s="380"/>
      <c r="G64" s="381"/>
      <c r="H64" s="408"/>
      <c r="I64" s="379"/>
      <c r="J64" s="380"/>
      <c r="K64" s="419"/>
      <c r="L64" s="420"/>
      <c r="M64" s="419"/>
    </row>
    <row r="65" spans="1:13" ht="20.149999999999999" customHeight="1" thickTop="1" thickBot="1">
      <c r="A65" s="1564"/>
      <c r="B65" s="1555"/>
      <c r="C65" s="379"/>
      <c r="D65" s="380"/>
      <c r="E65" s="381"/>
      <c r="F65" s="380"/>
      <c r="G65" s="381"/>
      <c r="H65" s="408"/>
      <c r="I65" s="379"/>
      <c r="J65" s="380"/>
      <c r="K65" s="419"/>
      <c r="L65" s="420"/>
      <c r="M65" s="419"/>
    </row>
    <row r="66" spans="1:13" ht="20.149999999999999" customHeight="1" thickTop="1" thickBot="1">
      <c r="A66" s="1564"/>
      <c r="B66" s="1555"/>
      <c r="C66" s="379"/>
      <c r="D66" s="380"/>
      <c r="E66" s="381"/>
      <c r="F66" s="380"/>
      <c r="G66" s="381"/>
      <c r="H66" s="408"/>
      <c r="I66" s="379"/>
      <c r="J66" s="380"/>
      <c r="K66" s="419"/>
      <c r="L66" s="420"/>
      <c r="M66" s="419"/>
    </row>
    <row r="67" spans="1:13" ht="20.149999999999999" customHeight="1" thickTop="1" thickBot="1">
      <c r="A67" s="1564"/>
      <c r="B67" s="1555"/>
      <c r="C67" s="379"/>
      <c r="D67" s="380"/>
      <c r="E67" s="381"/>
      <c r="F67" s="380"/>
      <c r="G67" s="381"/>
      <c r="H67" s="408"/>
      <c r="I67" s="379"/>
      <c r="J67" s="380"/>
      <c r="K67" s="419"/>
      <c r="L67" s="420"/>
      <c r="M67" s="419"/>
    </row>
    <row r="68" spans="1:13" ht="20.149999999999999" customHeight="1" thickTop="1" thickBot="1">
      <c r="A68" s="1564"/>
      <c r="B68" s="1555"/>
      <c r="C68" s="379"/>
      <c r="D68" s="380"/>
      <c r="E68" s="381"/>
      <c r="F68" s="380"/>
      <c r="G68" s="381"/>
      <c r="H68" s="408"/>
      <c r="I68" s="379"/>
      <c r="J68" s="380"/>
      <c r="K68" s="419"/>
      <c r="L68" s="420"/>
      <c r="M68" s="419"/>
    </row>
    <row r="69" spans="1:13" ht="20.149999999999999" customHeight="1" thickTop="1" thickBot="1">
      <c r="A69" s="1564"/>
      <c r="B69" s="1555"/>
      <c r="C69" s="379"/>
      <c r="D69" s="380"/>
      <c r="E69" s="381"/>
      <c r="F69" s="380"/>
      <c r="G69" s="381"/>
      <c r="H69" s="408"/>
      <c r="I69" s="379"/>
      <c r="J69" s="380"/>
      <c r="K69" s="419"/>
      <c r="L69" s="420"/>
      <c r="M69" s="419"/>
    </row>
    <row r="70" spans="1:13" ht="20.149999999999999" customHeight="1" thickTop="1" thickBot="1">
      <c r="A70" s="1564"/>
      <c r="B70" s="1555"/>
      <c r="C70" s="379"/>
      <c r="D70" s="380"/>
      <c r="E70" s="381"/>
      <c r="F70" s="380"/>
      <c r="G70" s="381"/>
      <c r="H70" s="409"/>
      <c r="I70" s="379"/>
      <c r="J70" s="380"/>
      <c r="K70" s="419"/>
      <c r="L70" s="420"/>
      <c r="M70" s="419"/>
    </row>
    <row r="71" spans="1:13" ht="39.9" customHeight="1" thickTop="1" thickBot="1">
      <c r="A71" s="1561" t="s">
        <v>1506</v>
      </c>
      <c r="B71" s="397" t="s">
        <v>239</v>
      </c>
      <c r="C71" s="397" t="s">
        <v>40</v>
      </c>
      <c r="D71" s="397" t="s">
        <v>1513</v>
      </c>
      <c r="E71" s="397" t="s">
        <v>1514</v>
      </c>
      <c r="F71" s="397" t="s">
        <v>1515</v>
      </c>
      <c r="G71" s="397" t="s">
        <v>1516</v>
      </c>
      <c r="H71" s="407"/>
      <c r="I71" s="397" t="s">
        <v>40</v>
      </c>
      <c r="J71" s="397" t="s">
        <v>1513</v>
      </c>
      <c r="K71" s="397" t="s">
        <v>1514</v>
      </c>
      <c r="L71" s="397" t="s">
        <v>1515</v>
      </c>
      <c r="M71" s="397" t="s">
        <v>1516</v>
      </c>
    </row>
    <row r="72" spans="1:13" ht="20.149999999999999" customHeight="1" thickTop="1" thickBot="1">
      <c r="A72" s="1564"/>
      <c r="B72" s="1555">
        <v>11</v>
      </c>
      <c r="C72" s="379"/>
      <c r="D72" s="380"/>
      <c r="E72" s="381"/>
      <c r="F72" s="380"/>
      <c r="G72" s="381"/>
      <c r="H72" s="408"/>
      <c r="I72" s="379"/>
      <c r="J72" s="380"/>
      <c r="K72" s="419"/>
      <c r="L72" s="420"/>
      <c r="M72" s="419"/>
    </row>
    <row r="73" spans="1:13" ht="20.149999999999999" customHeight="1" thickTop="1" thickBot="1">
      <c r="A73" s="1564"/>
      <c r="B73" s="1555"/>
      <c r="C73" s="379"/>
      <c r="D73" s="380"/>
      <c r="E73" s="381"/>
      <c r="F73" s="380"/>
      <c r="G73" s="381"/>
      <c r="H73" s="408"/>
      <c r="I73" s="379"/>
      <c r="J73" s="380"/>
      <c r="K73" s="419"/>
      <c r="L73" s="420"/>
      <c r="M73" s="419"/>
    </row>
    <row r="74" spans="1:13" ht="20.149999999999999" customHeight="1" thickTop="1" thickBot="1">
      <c r="A74" s="1564"/>
      <c r="B74" s="1555"/>
      <c r="C74" s="379"/>
      <c r="D74" s="380"/>
      <c r="E74" s="381"/>
      <c r="F74" s="380"/>
      <c r="G74" s="381"/>
      <c r="H74" s="408"/>
      <c r="I74" s="379"/>
      <c r="J74" s="380"/>
      <c r="K74" s="419"/>
      <c r="L74" s="420"/>
      <c r="M74" s="419"/>
    </row>
    <row r="75" spans="1:13" ht="20.149999999999999" customHeight="1" thickTop="1" thickBot="1">
      <c r="A75" s="1564"/>
      <c r="B75" s="1555"/>
      <c r="C75" s="379"/>
      <c r="D75" s="380"/>
      <c r="E75" s="381"/>
      <c r="F75" s="380"/>
      <c r="G75" s="381"/>
      <c r="H75" s="408"/>
      <c r="I75" s="379"/>
      <c r="J75" s="380"/>
      <c r="K75" s="419"/>
      <c r="L75" s="420"/>
      <c r="M75" s="419"/>
    </row>
    <row r="76" spans="1:13" ht="20.149999999999999" customHeight="1" thickTop="1" thickBot="1">
      <c r="A76" s="1564"/>
      <c r="B76" s="1555"/>
      <c r="C76" s="379"/>
      <c r="D76" s="380"/>
      <c r="E76" s="381"/>
      <c r="F76" s="380"/>
      <c r="G76" s="381"/>
      <c r="H76" s="408"/>
      <c r="I76" s="379"/>
      <c r="J76" s="380"/>
      <c r="K76" s="419"/>
      <c r="L76" s="420"/>
      <c r="M76" s="419"/>
    </row>
    <row r="77" spans="1:13" ht="20.149999999999999" customHeight="1" thickTop="1" thickBot="1">
      <c r="A77" s="1564"/>
      <c r="B77" s="1555"/>
      <c r="C77" s="379"/>
      <c r="D77" s="380"/>
      <c r="E77" s="381"/>
      <c r="F77" s="380"/>
      <c r="G77" s="381"/>
      <c r="H77" s="408"/>
      <c r="I77" s="379"/>
      <c r="J77" s="380"/>
      <c r="K77" s="419"/>
      <c r="L77" s="420"/>
      <c r="M77" s="419"/>
    </row>
    <row r="78" spans="1:13" ht="20.149999999999999" customHeight="1" thickTop="1" thickBot="1">
      <c r="A78" s="1564"/>
      <c r="B78" s="1555"/>
      <c r="C78" s="379"/>
      <c r="D78" s="380"/>
      <c r="E78" s="381"/>
      <c r="F78" s="380"/>
      <c r="G78" s="381"/>
      <c r="H78" s="408"/>
      <c r="I78" s="379"/>
      <c r="J78" s="380"/>
      <c r="K78" s="419"/>
      <c r="L78" s="420"/>
      <c r="M78" s="419"/>
    </row>
    <row r="79" spans="1:13" ht="20.149999999999999" customHeight="1" thickTop="1" thickBot="1">
      <c r="A79" s="1564"/>
      <c r="B79" s="1555"/>
      <c r="C79" s="379"/>
      <c r="D79" s="380"/>
      <c r="E79" s="381"/>
      <c r="F79" s="380"/>
      <c r="G79" s="381"/>
      <c r="H79" s="408"/>
      <c r="I79" s="379"/>
      <c r="J79" s="380"/>
      <c r="K79" s="419"/>
      <c r="L79" s="420"/>
      <c r="M79" s="419"/>
    </row>
    <row r="80" spans="1:13" ht="20.149999999999999" customHeight="1" thickTop="1" thickBot="1">
      <c r="A80" s="1564"/>
      <c r="B80" s="1555"/>
      <c r="C80" s="379"/>
      <c r="D80" s="380"/>
      <c r="E80" s="381"/>
      <c r="F80" s="380"/>
      <c r="G80" s="381"/>
      <c r="H80" s="408"/>
      <c r="I80" s="379"/>
      <c r="J80" s="380"/>
      <c r="K80" s="419"/>
      <c r="L80" s="420"/>
      <c r="M80" s="419"/>
    </row>
    <row r="81" spans="1:14" ht="20.149999999999999" customHeight="1" thickTop="1" thickBot="1">
      <c r="A81" s="1564"/>
      <c r="B81" s="1555"/>
      <c r="C81" s="379"/>
      <c r="D81" s="380"/>
      <c r="E81" s="381"/>
      <c r="F81" s="380"/>
      <c r="G81" s="381"/>
      <c r="H81" s="408"/>
      <c r="I81" s="379"/>
      <c r="J81" s="380"/>
      <c r="K81" s="419"/>
      <c r="L81" s="420"/>
      <c r="M81" s="419"/>
    </row>
    <row r="82" spans="1:14" ht="20.149999999999999" customHeight="1" thickTop="1" thickBot="1">
      <c r="A82" s="1564"/>
      <c r="B82" s="1555"/>
      <c r="C82" s="379"/>
      <c r="D82" s="380"/>
      <c r="E82" s="381"/>
      <c r="F82" s="380"/>
      <c r="G82" s="381"/>
      <c r="H82" s="408"/>
      <c r="I82" s="379"/>
      <c r="J82" s="380"/>
      <c r="K82" s="419"/>
      <c r="L82" s="420"/>
      <c r="M82" s="419"/>
    </row>
    <row r="83" spans="1:14" ht="20.149999999999999" customHeight="1" thickTop="1" thickBot="1">
      <c r="A83" s="1564"/>
      <c r="B83" s="1555"/>
      <c r="C83" s="379"/>
      <c r="D83" s="380"/>
      <c r="E83" s="381"/>
      <c r="F83" s="380"/>
      <c r="G83" s="381"/>
      <c r="H83" s="408"/>
      <c r="I83" s="379"/>
      <c r="J83" s="380"/>
      <c r="K83" s="419"/>
      <c r="L83" s="420"/>
      <c r="M83" s="419"/>
    </row>
    <row r="84" spans="1:14" ht="20.149999999999999" customHeight="1" thickTop="1" thickBot="1">
      <c r="A84" s="1564"/>
      <c r="B84" s="1555"/>
      <c r="C84" s="379"/>
      <c r="D84" s="380"/>
      <c r="E84" s="381"/>
      <c r="F84" s="380"/>
      <c r="G84" s="381"/>
      <c r="H84" s="408"/>
      <c r="I84" s="379"/>
      <c r="J84" s="380"/>
      <c r="K84" s="419"/>
      <c r="L84" s="420"/>
      <c r="M84" s="419"/>
    </row>
    <row r="85" spans="1:14" ht="20.149999999999999" customHeight="1" thickTop="1" thickBot="1">
      <c r="A85" s="1564"/>
      <c r="B85" s="1555"/>
      <c r="C85" s="379"/>
      <c r="D85" s="380"/>
      <c r="E85" s="381"/>
      <c r="F85" s="380"/>
      <c r="G85" s="381"/>
      <c r="H85" s="408"/>
      <c r="I85" s="379"/>
      <c r="J85" s="380"/>
      <c r="K85" s="419"/>
      <c r="L85" s="420"/>
      <c r="M85" s="419"/>
    </row>
    <row r="86" spans="1:14" ht="20.149999999999999" customHeight="1" thickTop="1" thickBot="1">
      <c r="A86" s="1564"/>
      <c r="B86" s="1543"/>
      <c r="C86" s="379"/>
      <c r="D86" s="384"/>
      <c r="E86" s="381"/>
      <c r="F86" s="384"/>
      <c r="G86" s="381"/>
      <c r="H86" s="409"/>
      <c r="I86" s="379"/>
      <c r="J86" s="384"/>
      <c r="K86" s="419"/>
      <c r="L86" s="421"/>
      <c r="M86" s="419"/>
    </row>
    <row r="87" spans="1:14" ht="39.9" customHeight="1" thickTop="1" thickBot="1">
      <c r="A87" s="1561" t="s">
        <v>1505</v>
      </c>
      <c r="B87" s="390" t="s">
        <v>239</v>
      </c>
      <c r="C87" s="390" t="s">
        <v>40</v>
      </c>
      <c r="D87" s="390" t="s">
        <v>1513</v>
      </c>
      <c r="E87" s="390" t="s">
        <v>1514</v>
      </c>
      <c r="F87" s="390" t="s">
        <v>1515</v>
      </c>
      <c r="G87" s="390" t="s">
        <v>1516</v>
      </c>
      <c r="H87" s="410"/>
      <c r="I87" s="390" t="s">
        <v>40</v>
      </c>
      <c r="J87" s="390" t="s">
        <v>1513</v>
      </c>
      <c r="K87" s="390" t="s">
        <v>1514</v>
      </c>
      <c r="L87" s="390" t="s">
        <v>1515</v>
      </c>
      <c r="M87" s="390" t="s">
        <v>1516</v>
      </c>
      <c r="N87" s="398"/>
    </row>
    <row r="88" spans="1:14" ht="20.149999999999999" customHeight="1" thickTop="1" thickBot="1">
      <c r="A88" s="1562"/>
      <c r="B88" s="1555">
        <v>12</v>
      </c>
      <c r="C88" s="379"/>
      <c r="D88" s="380"/>
      <c r="E88" s="375"/>
      <c r="F88" s="380"/>
      <c r="G88" s="375"/>
      <c r="H88" s="411"/>
      <c r="I88" s="379"/>
      <c r="J88" s="380"/>
      <c r="K88" s="424"/>
      <c r="L88" s="420"/>
      <c r="M88" s="424"/>
    </row>
    <row r="89" spans="1:14" ht="20.149999999999999" customHeight="1" thickTop="1" thickBot="1">
      <c r="A89" s="1562"/>
      <c r="B89" s="1555"/>
      <c r="C89" s="379"/>
      <c r="D89" s="380"/>
      <c r="E89" s="375"/>
      <c r="F89" s="380"/>
      <c r="G89" s="375"/>
      <c r="H89" s="411"/>
      <c r="I89" s="379"/>
      <c r="J89" s="380"/>
      <c r="K89" s="424"/>
      <c r="L89" s="420"/>
      <c r="M89" s="424"/>
    </row>
    <row r="90" spans="1:14" ht="20.149999999999999" customHeight="1" thickTop="1" thickBot="1">
      <c r="A90" s="1562"/>
      <c r="B90" s="1555"/>
      <c r="C90" s="379"/>
      <c r="D90" s="380"/>
      <c r="E90" s="375"/>
      <c r="F90" s="380"/>
      <c r="G90" s="375"/>
      <c r="H90" s="411"/>
      <c r="I90" s="379"/>
      <c r="J90" s="380"/>
      <c r="K90" s="424"/>
      <c r="L90" s="420"/>
      <c r="M90" s="424"/>
    </row>
    <row r="91" spans="1:14" ht="20.149999999999999" customHeight="1" thickTop="1" thickBot="1">
      <c r="A91" s="1562"/>
      <c r="B91" s="1555"/>
      <c r="C91" s="379"/>
      <c r="D91" s="380"/>
      <c r="E91" s="375"/>
      <c r="F91" s="380"/>
      <c r="G91" s="375"/>
      <c r="H91" s="411"/>
      <c r="I91" s="379"/>
      <c r="J91" s="380"/>
      <c r="K91" s="424"/>
      <c r="L91" s="420"/>
      <c r="M91" s="424"/>
    </row>
    <row r="92" spans="1:14" ht="20.149999999999999" customHeight="1" thickTop="1" thickBot="1">
      <c r="A92" s="1562"/>
      <c r="B92" s="1555"/>
      <c r="C92" s="379"/>
      <c r="D92" s="380"/>
      <c r="E92" s="375"/>
      <c r="F92" s="380"/>
      <c r="G92" s="375"/>
      <c r="H92" s="411"/>
      <c r="I92" s="379"/>
      <c r="J92" s="380"/>
      <c r="K92" s="424"/>
      <c r="L92" s="420"/>
      <c r="M92" s="424"/>
    </row>
    <row r="93" spans="1:14" ht="20.149999999999999" customHeight="1" thickTop="1" thickBot="1">
      <c r="A93" s="1562"/>
      <c r="B93" s="1555"/>
      <c r="C93" s="379"/>
      <c r="D93" s="380"/>
      <c r="E93" s="375"/>
      <c r="F93" s="380"/>
      <c r="G93" s="375"/>
      <c r="H93" s="411"/>
      <c r="I93" s="379"/>
      <c r="J93" s="380"/>
      <c r="K93" s="424"/>
      <c r="L93" s="420"/>
      <c r="M93" s="424"/>
    </row>
    <row r="94" spans="1:14" ht="20.149999999999999" customHeight="1" thickTop="1" thickBot="1">
      <c r="A94" s="1562"/>
      <c r="B94" s="1555"/>
      <c r="C94" s="379"/>
      <c r="D94" s="380"/>
      <c r="E94" s="375"/>
      <c r="F94" s="380"/>
      <c r="G94" s="375"/>
      <c r="H94" s="411"/>
      <c r="I94" s="379"/>
      <c r="J94" s="380"/>
      <c r="K94" s="424"/>
      <c r="L94" s="420"/>
      <c r="M94" s="424"/>
    </row>
    <row r="95" spans="1:14" ht="20.149999999999999" customHeight="1" thickTop="1" thickBot="1">
      <c r="A95" s="1562"/>
      <c r="B95" s="1555"/>
      <c r="C95" s="379"/>
      <c r="D95" s="380"/>
      <c r="E95" s="375"/>
      <c r="F95" s="380"/>
      <c r="G95" s="375"/>
      <c r="H95" s="411"/>
      <c r="I95" s="379"/>
      <c r="J95" s="380"/>
      <c r="K95" s="424"/>
      <c r="L95" s="420"/>
      <c r="M95" s="424"/>
    </row>
    <row r="96" spans="1:14" ht="20.149999999999999" customHeight="1" thickTop="1" thickBot="1">
      <c r="A96" s="1562"/>
      <c r="B96" s="1555"/>
      <c r="C96" s="379"/>
      <c r="D96" s="380"/>
      <c r="E96" s="375"/>
      <c r="F96" s="380"/>
      <c r="G96" s="375"/>
      <c r="H96" s="411"/>
      <c r="I96" s="379"/>
      <c r="J96" s="380"/>
      <c r="K96" s="424"/>
      <c r="L96" s="420"/>
      <c r="M96" s="424"/>
    </row>
    <row r="97" spans="1:13" ht="20.149999999999999" customHeight="1" thickTop="1" thickBot="1">
      <c r="A97" s="1562"/>
      <c r="B97" s="1555"/>
      <c r="C97" s="379"/>
      <c r="D97" s="380"/>
      <c r="E97" s="375"/>
      <c r="F97" s="380"/>
      <c r="G97" s="375"/>
      <c r="H97" s="411"/>
      <c r="I97" s="379"/>
      <c r="J97" s="380"/>
      <c r="K97" s="424"/>
      <c r="L97" s="420"/>
      <c r="M97" s="424"/>
    </row>
    <row r="98" spans="1:13" ht="20.149999999999999" customHeight="1" thickTop="1" thickBot="1">
      <c r="A98" s="1562"/>
      <c r="B98" s="1555"/>
      <c r="C98" s="379"/>
      <c r="D98" s="380"/>
      <c r="E98" s="375"/>
      <c r="F98" s="380"/>
      <c r="G98" s="375"/>
      <c r="H98" s="411"/>
      <c r="I98" s="379"/>
      <c r="J98" s="380"/>
      <c r="K98" s="424"/>
      <c r="L98" s="420"/>
      <c r="M98" s="424"/>
    </row>
    <row r="99" spans="1:13" ht="20.149999999999999" customHeight="1" thickTop="1" thickBot="1">
      <c r="A99" s="1562"/>
      <c r="B99" s="1555"/>
      <c r="C99" s="379"/>
      <c r="D99" s="380"/>
      <c r="E99" s="375"/>
      <c r="F99" s="380"/>
      <c r="G99" s="375"/>
      <c r="H99" s="411"/>
      <c r="I99" s="379"/>
      <c r="J99" s="380"/>
      <c r="K99" s="424"/>
      <c r="L99" s="420"/>
      <c r="M99" s="424"/>
    </row>
    <row r="100" spans="1:13" ht="20.149999999999999" customHeight="1" thickTop="1" thickBot="1">
      <c r="A100" s="1562"/>
      <c r="B100" s="1555"/>
      <c r="C100" s="379"/>
      <c r="D100" s="380"/>
      <c r="E100" s="375"/>
      <c r="F100" s="380"/>
      <c r="G100" s="375"/>
      <c r="H100" s="411"/>
      <c r="I100" s="379"/>
      <c r="J100" s="380"/>
      <c r="K100" s="424"/>
      <c r="L100" s="420"/>
      <c r="M100" s="424"/>
    </row>
    <row r="101" spans="1:13" ht="20.149999999999999" customHeight="1" thickTop="1" thickBot="1">
      <c r="A101" s="1562"/>
      <c r="B101" s="1555"/>
      <c r="C101" s="379"/>
      <c r="D101" s="380"/>
      <c r="E101" s="375"/>
      <c r="F101" s="380"/>
      <c r="G101" s="375"/>
      <c r="H101" s="411"/>
      <c r="I101" s="379"/>
      <c r="J101" s="380"/>
      <c r="K101" s="424"/>
      <c r="L101" s="420"/>
      <c r="M101" s="424"/>
    </row>
    <row r="102" spans="1:13" ht="20.149999999999999" customHeight="1" thickTop="1" thickBot="1">
      <c r="A102" s="1563"/>
      <c r="B102" s="1543"/>
      <c r="C102" s="379"/>
      <c r="D102" s="384"/>
      <c r="E102" s="375"/>
      <c r="F102" s="384"/>
      <c r="G102" s="375"/>
      <c r="H102" s="412"/>
      <c r="I102" s="379"/>
      <c r="J102" s="384"/>
      <c r="K102" s="424"/>
      <c r="L102" s="420"/>
      <c r="M102" s="424"/>
    </row>
    <row r="103" spans="1:13" ht="39.9" customHeight="1" thickTop="1" thickBot="1">
      <c r="A103" s="1561" t="s">
        <v>244</v>
      </c>
      <c r="B103" s="397" t="s">
        <v>239</v>
      </c>
      <c r="C103" s="400" t="s">
        <v>40</v>
      </c>
      <c r="D103" s="397" t="s">
        <v>243</v>
      </c>
      <c r="E103" s="397" t="s">
        <v>134</v>
      </c>
      <c r="F103" s="410"/>
      <c r="G103" s="397" t="s">
        <v>239</v>
      </c>
      <c r="H103" s="400" t="s">
        <v>40</v>
      </c>
      <c r="I103" s="397" t="s">
        <v>243</v>
      </c>
      <c r="J103" s="397" t="s">
        <v>134</v>
      </c>
    </row>
    <row r="104" spans="1:13" ht="20.149999999999999" customHeight="1" thickTop="1" thickBot="1">
      <c r="A104" s="1564"/>
      <c r="B104" s="1555">
        <v>13</v>
      </c>
      <c r="C104" s="422"/>
      <c r="D104" s="377"/>
      <c r="E104" s="381"/>
      <c r="F104" s="411"/>
      <c r="G104" s="1555">
        <v>13</v>
      </c>
      <c r="H104" s="422"/>
      <c r="I104" s="377"/>
      <c r="J104" s="381"/>
    </row>
    <row r="105" spans="1:13" ht="20.149999999999999" customHeight="1" thickTop="1" thickBot="1">
      <c r="A105" s="1564"/>
      <c r="B105" s="1555"/>
      <c r="C105" s="422"/>
      <c r="D105" s="377"/>
      <c r="E105" s="381"/>
      <c r="F105" s="411"/>
      <c r="G105" s="1555"/>
      <c r="H105" s="422"/>
      <c r="I105" s="377"/>
      <c r="J105" s="381"/>
    </row>
    <row r="106" spans="1:13" ht="20.149999999999999" customHeight="1" thickTop="1" thickBot="1">
      <c r="A106" s="1564"/>
      <c r="B106" s="1555"/>
      <c r="C106" s="422"/>
      <c r="D106" s="377"/>
      <c r="E106" s="381"/>
      <c r="F106" s="411"/>
      <c r="G106" s="1555"/>
      <c r="H106" s="422"/>
      <c r="I106" s="377"/>
      <c r="J106" s="381"/>
    </row>
    <row r="107" spans="1:13" ht="20.149999999999999" customHeight="1" thickTop="1" thickBot="1">
      <c r="A107" s="1564"/>
      <c r="B107" s="1555"/>
      <c r="C107" s="422"/>
      <c r="D107" s="377"/>
      <c r="E107" s="381"/>
      <c r="F107" s="411"/>
      <c r="G107" s="1555"/>
      <c r="H107" s="422"/>
      <c r="I107" s="377"/>
      <c r="J107" s="381"/>
    </row>
    <row r="108" spans="1:13" ht="20.149999999999999" customHeight="1" thickTop="1" thickBot="1">
      <c r="A108" s="1564"/>
      <c r="B108" s="1555"/>
      <c r="C108" s="422"/>
      <c r="D108" s="377"/>
      <c r="E108" s="381"/>
      <c r="F108" s="411"/>
      <c r="G108" s="1555"/>
      <c r="H108" s="422"/>
      <c r="I108" s="377"/>
      <c r="J108" s="381"/>
    </row>
    <row r="109" spans="1:13" ht="20.149999999999999" customHeight="1" thickTop="1" thickBot="1">
      <c r="A109" s="1564"/>
      <c r="B109" s="1555"/>
      <c r="C109" s="422"/>
      <c r="D109" s="377"/>
      <c r="E109" s="381"/>
      <c r="F109" s="411"/>
      <c r="G109" s="1555"/>
      <c r="H109" s="422"/>
      <c r="I109" s="377"/>
      <c r="J109" s="381"/>
    </row>
    <row r="110" spans="1:13" ht="20.149999999999999" customHeight="1" thickTop="1" thickBot="1">
      <c r="A110" s="1564"/>
      <c r="B110" s="1555"/>
      <c r="C110" s="422"/>
      <c r="D110" s="377"/>
      <c r="E110" s="381"/>
      <c r="F110" s="411"/>
      <c r="G110" s="1555"/>
      <c r="H110" s="422"/>
      <c r="I110" s="377"/>
      <c r="J110" s="381"/>
    </row>
    <row r="111" spans="1:13" ht="20.149999999999999" customHeight="1" thickTop="1" thickBot="1">
      <c r="A111" s="1564"/>
      <c r="B111" s="1555"/>
      <c r="C111" s="422"/>
      <c r="D111" s="377"/>
      <c r="E111" s="381"/>
      <c r="F111" s="411"/>
      <c r="G111" s="1555"/>
      <c r="H111" s="422"/>
      <c r="I111" s="377"/>
      <c r="J111" s="381"/>
    </row>
    <row r="112" spans="1:13" ht="20.149999999999999" customHeight="1" thickTop="1" thickBot="1">
      <c r="A112" s="1564"/>
      <c r="B112" s="1555"/>
      <c r="C112" s="422"/>
      <c r="D112" s="377"/>
      <c r="E112" s="381"/>
      <c r="F112" s="411"/>
      <c r="G112" s="1555"/>
      <c r="H112" s="422"/>
      <c r="I112" s="377"/>
      <c r="J112" s="381"/>
    </row>
    <row r="113" spans="1:10" ht="20.149999999999999" customHeight="1" thickTop="1" thickBot="1">
      <c r="A113" s="1564"/>
      <c r="B113" s="1555"/>
      <c r="C113" s="422"/>
      <c r="D113" s="377"/>
      <c r="E113" s="381"/>
      <c r="F113" s="411"/>
      <c r="G113" s="1555"/>
      <c r="H113" s="422"/>
      <c r="I113" s="377"/>
      <c r="J113" s="381"/>
    </row>
    <row r="114" spans="1:10" ht="20.149999999999999" customHeight="1" thickTop="1" thickBot="1">
      <c r="A114" s="1564"/>
      <c r="B114" s="1555"/>
      <c r="C114" s="422"/>
      <c r="D114" s="377"/>
      <c r="E114" s="381"/>
      <c r="F114" s="411"/>
      <c r="G114" s="1555"/>
      <c r="H114" s="422"/>
      <c r="I114" s="377"/>
      <c r="J114" s="381"/>
    </row>
    <row r="115" spans="1:10" ht="20.149999999999999" customHeight="1" thickTop="1" thickBot="1">
      <c r="A115" s="1564"/>
      <c r="B115" s="1555"/>
      <c r="C115" s="422"/>
      <c r="D115" s="377"/>
      <c r="E115" s="381"/>
      <c r="F115" s="411"/>
      <c r="G115" s="1555"/>
      <c r="H115" s="422"/>
      <c r="I115" s="377"/>
      <c r="J115" s="381"/>
    </row>
    <row r="116" spans="1:10" ht="20.149999999999999" customHeight="1" thickTop="1" thickBot="1">
      <c r="A116" s="1564"/>
      <c r="B116" s="1555"/>
      <c r="C116" s="422"/>
      <c r="D116" s="377"/>
      <c r="E116" s="381"/>
      <c r="F116" s="411"/>
      <c r="G116" s="1555"/>
      <c r="H116" s="422"/>
      <c r="I116" s="377"/>
      <c r="J116" s="381"/>
    </row>
    <row r="117" spans="1:10" ht="20.149999999999999" customHeight="1" thickTop="1" thickBot="1">
      <c r="A117" s="1564"/>
      <c r="B117" s="1555"/>
      <c r="C117" s="422"/>
      <c r="D117" s="377"/>
      <c r="E117" s="381"/>
      <c r="F117" s="411"/>
      <c r="G117" s="1555"/>
      <c r="H117" s="422"/>
      <c r="I117" s="377"/>
      <c r="J117" s="381"/>
    </row>
    <row r="118" spans="1:10" ht="20.149999999999999" customHeight="1" thickTop="1" thickBot="1">
      <c r="A118" s="1564"/>
      <c r="B118" s="1555"/>
      <c r="C118" s="422"/>
      <c r="D118" s="377"/>
      <c r="E118" s="381"/>
      <c r="F118" s="412"/>
      <c r="G118" s="1555"/>
      <c r="H118" s="422"/>
      <c r="I118" s="377"/>
      <c r="J118" s="381"/>
    </row>
    <row r="119" spans="1:10" ht="39.9" customHeight="1" thickTop="1" thickBot="1">
      <c r="A119" s="1561" t="s">
        <v>1504</v>
      </c>
      <c r="B119" s="397" t="s">
        <v>239</v>
      </c>
      <c r="C119" s="400" t="s">
        <v>40</v>
      </c>
      <c r="D119" s="397" t="s">
        <v>243</v>
      </c>
      <c r="E119" s="397" t="s">
        <v>134</v>
      </c>
      <c r="F119" s="410"/>
      <c r="G119" s="397" t="s">
        <v>239</v>
      </c>
      <c r="H119" s="400" t="s">
        <v>40</v>
      </c>
      <c r="I119" s="397" t="s">
        <v>243</v>
      </c>
      <c r="J119" s="397" t="s">
        <v>134</v>
      </c>
    </row>
    <row r="120" spans="1:10" ht="20.149999999999999" customHeight="1" thickTop="1" thickBot="1">
      <c r="A120" s="1564"/>
      <c r="B120" s="1555">
        <v>13</v>
      </c>
      <c r="C120" s="422"/>
      <c r="D120" s="377"/>
      <c r="E120" s="381"/>
      <c r="F120" s="411"/>
      <c r="G120" s="1555">
        <v>13</v>
      </c>
      <c r="H120" s="422"/>
      <c r="I120" s="377"/>
      <c r="J120" s="381"/>
    </row>
    <row r="121" spans="1:10" ht="20.149999999999999" customHeight="1" thickTop="1" thickBot="1">
      <c r="A121" s="1564"/>
      <c r="B121" s="1555"/>
      <c r="C121" s="422"/>
      <c r="D121" s="377"/>
      <c r="E121" s="381"/>
      <c r="F121" s="411"/>
      <c r="G121" s="1555"/>
      <c r="H121" s="422"/>
      <c r="I121" s="377"/>
      <c r="J121" s="381"/>
    </row>
    <row r="122" spans="1:10" ht="20.149999999999999" customHeight="1" thickTop="1" thickBot="1">
      <c r="A122" s="1564"/>
      <c r="B122" s="1555"/>
      <c r="C122" s="422"/>
      <c r="D122" s="377"/>
      <c r="E122" s="381"/>
      <c r="F122" s="411"/>
      <c r="G122" s="1555"/>
      <c r="H122" s="422"/>
      <c r="I122" s="377"/>
      <c r="J122" s="381"/>
    </row>
    <row r="123" spans="1:10" ht="20.149999999999999" customHeight="1" thickTop="1" thickBot="1">
      <c r="A123" s="1564"/>
      <c r="B123" s="1555"/>
      <c r="C123" s="422"/>
      <c r="D123" s="377"/>
      <c r="E123" s="381"/>
      <c r="F123" s="411"/>
      <c r="G123" s="1555"/>
      <c r="H123" s="422"/>
      <c r="I123" s="377"/>
      <c r="J123" s="381"/>
    </row>
    <row r="124" spans="1:10" ht="20.149999999999999" customHeight="1" thickTop="1" thickBot="1">
      <c r="A124" s="1564"/>
      <c r="B124" s="1555"/>
      <c r="C124" s="422"/>
      <c r="D124" s="377"/>
      <c r="E124" s="381"/>
      <c r="F124" s="411"/>
      <c r="G124" s="1555"/>
      <c r="H124" s="422"/>
      <c r="I124" s="377"/>
      <c r="J124" s="381"/>
    </row>
    <row r="125" spans="1:10" ht="20.149999999999999" customHeight="1" thickTop="1" thickBot="1">
      <c r="A125" s="1564"/>
      <c r="B125" s="1555"/>
      <c r="C125" s="422"/>
      <c r="D125" s="377"/>
      <c r="E125" s="381"/>
      <c r="F125" s="411"/>
      <c r="G125" s="1555"/>
      <c r="H125" s="422"/>
      <c r="I125" s="377"/>
      <c r="J125" s="381"/>
    </row>
    <row r="126" spans="1:10" ht="20.149999999999999" customHeight="1" thickTop="1" thickBot="1">
      <c r="A126" s="1564"/>
      <c r="B126" s="1555"/>
      <c r="C126" s="422"/>
      <c r="D126" s="377"/>
      <c r="E126" s="381"/>
      <c r="F126" s="411"/>
      <c r="G126" s="1555"/>
      <c r="H126" s="422"/>
      <c r="I126" s="377"/>
      <c r="J126" s="381"/>
    </row>
    <row r="127" spans="1:10" ht="20.149999999999999" customHeight="1" thickTop="1" thickBot="1">
      <c r="A127" s="1564"/>
      <c r="B127" s="1555"/>
      <c r="C127" s="422"/>
      <c r="D127" s="377"/>
      <c r="E127" s="381"/>
      <c r="F127" s="411"/>
      <c r="G127" s="1555"/>
      <c r="H127" s="422"/>
      <c r="I127" s="377"/>
      <c r="J127" s="381"/>
    </row>
    <row r="128" spans="1:10" ht="20.149999999999999" customHeight="1" thickTop="1" thickBot="1">
      <c r="A128" s="1564"/>
      <c r="B128" s="1555"/>
      <c r="C128" s="422"/>
      <c r="D128" s="377"/>
      <c r="E128" s="381"/>
      <c r="F128" s="411"/>
      <c r="G128" s="1555"/>
      <c r="H128" s="422"/>
      <c r="I128" s="377"/>
      <c r="J128" s="381"/>
    </row>
    <row r="129" spans="1:10" ht="20.149999999999999" customHeight="1" thickTop="1" thickBot="1">
      <c r="A129" s="1564"/>
      <c r="B129" s="1555"/>
      <c r="C129" s="422"/>
      <c r="D129" s="377"/>
      <c r="E129" s="381"/>
      <c r="F129" s="411"/>
      <c r="G129" s="1555"/>
      <c r="H129" s="422"/>
      <c r="I129" s="377"/>
      <c r="J129" s="381"/>
    </row>
    <row r="130" spans="1:10" ht="20.149999999999999" customHeight="1" thickTop="1" thickBot="1">
      <c r="A130" s="1564"/>
      <c r="B130" s="1555"/>
      <c r="C130" s="422"/>
      <c r="D130" s="377"/>
      <c r="E130" s="381"/>
      <c r="F130" s="411"/>
      <c r="G130" s="1555"/>
      <c r="H130" s="422"/>
      <c r="I130" s="377"/>
      <c r="J130" s="381"/>
    </row>
    <row r="131" spans="1:10" ht="20.149999999999999" customHeight="1" thickTop="1" thickBot="1">
      <c r="A131" s="1564"/>
      <c r="B131" s="1555"/>
      <c r="C131" s="422"/>
      <c r="D131" s="377"/>
      <c r="E131" s="381"/>
      <c r="F131" s="411"/>
      <c r="G131" s="1555"/>
      <c r="H131" s="422"/>
      <c r="I131" s="377"/>
      <c r="J131" s="381"/>
    </row>
    <row r="132" spans="1:10" ht="20.149999999999999" customHeight="1" thickTop="1" thickBot="1">
      <c r="A132" s="1564"/>
      <c r="B132" s="1555"/>
      <c r="C132" s="422"/>
      <c r="D132" s="377"/>
      <c r="E132" s="381"/>
      <c r="F132" s="411"/>
      <c r="G132" s="1555"/>
      <c r="H132" s="422"/>
      <c r="I132" s="377"/>
      <c r="J132" s="381"/>
    </row>
    <row r="133" spans="1:10" ht="20.149999999999999" customHeight="1" thickTop="1" thickBot="1">
      <c r="A133" s="1564"/>
      <c r="B133" s="1555"/>
      <c r="C133" s="422"/>
      <c r="D133" s="377"/>
      <c r="E133" s="381"/>
      <c r="F133" s="411"/>
      <c r="G133" s="1555"/>
      <c r="H133" s="422"/>
      <c r="I133" s="377"/>
      <c r="J133" s="381"/>
    </row>
    <row r="134" spans="1:10" ht="20.149999999999999" customHeight="1" thickTop="1" thickBot="1">
      <c r="A134" s="1564"/>
      <c r="B134" s="1555"/>
      <c r="C134" s="422"/>
      <c r="D134" s="377"/>
      <c r="E134" s="381"/>
      <c r="F134" s="412"/>
      <c r="G134" s="1555"/>
      <c r="H134" s="422"/>
      <c r="I134" s="377"/>
      <c r="J134" s="381"/>
    </row>
    <row r="135" spans="1:10" ht="39.9" customHeight="1" thickTop="1">
      <c r="A135" s="1561" t="s">
        <v>246</v>
      </c>
      <c r="B135" s="389" t="s">
        <v>239</v>
      </c>
      <c r="C135" s="389"/>
      <c r="D135" s="390"/>
      <c r="E135" s="390"/>
      <c r="F135" s="410"/>
      <c r="G135" s="389" t="s">
        <v>239</v>
      </c>
      <c r="H135" s="389"/>
      <c r="I135" s="390"/>
      <c r="J135" s="390"/>
    </row>
    <row r="136" spans="1:10" ht="30" customHeight="1" thickBot="1">
      <c r="A136" s="1564"/>
      <c r="B136" s="389" t="s">
        <v>526</v>
      </c>
      <c r="C136" s="389" t="s">
        <v>40</v>
      </c>
      <c r="D136" s="394" t="s">
        <v>245</v>
      </c>
      <c r="E136" s="394" t="s">
        <v>134</v>
      </c>
      <c r="F136" s="411"/>
      <c r="G136" s="389" t="s">
        <v>526</v>
      </c>
      <c r="H136" s="389" t="s">
        <v>40</v>
      </c>
      <c r="I136" s="394" t="s">
        <v>245</v>
      </c>
      <c r="J136" s="394" t="s">
        <v>134</v>
      </c>
    </row>
    <row r="137" spans="1:10" ht="20.149999999999999" customHeight="1" thickTop="1" thickBot="1">
      <c r="A137" s="1564"/>
      <c r="B137" s="371"/>
      <c r="C137" s="372"/>
      <c r="D137" s="385"/>
      <c r="E137" s="386"/>
      <c r="F137" s="411"/>
      <c r="G137" s="371"/>
      <c r="H137" s="372"/>
      <c r="I137" s="385"/>
      <c r="J137" s="386"/>
    </row>
    <row r="138" spans="1:10" ht="20.149999999999999" customHeight="1" thickTop="1" thickBot="1">
      <c r="A138" s="1564"/>
      <c r="B138" s="373"/>
      <c r="C138" s="372"/>
      <c r="D138" s="385"/>
      <c r="E138" s="386"/>
      <c r="F138" s="411"/>
      <c r="G138" s="373"/>
      <c r="H138" s="372"/>
      <c r="I138" s="385"/>
      <c r="J138" s="386"/>
    </row>
    <row r="139" spans="1:10" ht="20.149999999999999" customHeight="1" thickTop="1" thickBot="1">
      <c r="A139" s="1564"/>
      <c r="B139" s="373"/>
      <c r="C139" s="372"/>
      <c r="D139" s="385"/>
      <c r="E139" s="386"/>
      <c r="F139" s="411"/>
      <c r="G139" s="373"/>
      <c r="H139" s="372"/>
      <c r="I139" s="385"/>
      <c r="J139" s="386"/>
    </row>
    <row r="140" spans="1:10" ht="20.149999999999999" customHeight="1" thickTop="1" thickBot="1">
      <c r="A140" s="1564"/>
      <c r="B140" s="373"/>
      <c r="C140" s="372"/>
      <c r="D140" s="385"/>
      <c r="E140" s="386"/>
      <c r="F140" s="411"/>
      <c r="G140" s="373"/>
      <c r="H140" s="372"/>
      <c r="I140" s="385"/>
      <c r="J140" s="386"/>
    </row>
    <row r="141" spans="1:10" ht="20.149999999999999" customHeight="1" thickTop="1" thickBot="1">
      <c r="A141" s="1564"/>
      <c r="B141" s="373"/>
      <c r="C141" s="372"/>
      <c r="D141" s="385"/>
      <c r="E141" s="386"/>
      <c r="F141" s="411"/>
      <c r="G141" s="373"/>
      <c r="H141" s="372"/>
      <c r="I141" s="385"/>
      <c r="J141" s="386"/>
    </row>
    <row r="142" spans="1:10" ht="20.149999999999999" customHeight="1" thickTop="1" thickBot="1">
      <c r="A142" s="1564"/>
      <c r="B142" s="371"/>
      <c r="C142" s="372"/>
      <c r="D142" s="385"/>
      <c r="E142" s="386"/>
      <c r="F142" s="411"/>
      <c r="G142" s="371"/>
      <c r="H142" s="372"/>
      <c r="I142" s="385"/>
      <c r="J142" s="386"/>
    </row>
    <row r="143" spans="1:10" ht="20.149999999999999" customHeight="1" thickTop="1" thickBot="1">
      <c r="A143" s="1564"/>
      <c r="B143" s="373"/>
      <c r="C143" s="372"/>
      <c r="D143" s="385"/>
      <c r="E143" s="386"/>
      <c r="F143" s="411"/>
      <c r="G143" s="373"/>
      <c r="H143" s="372"/>
      <c r="I143" s="385"/>
      <c r="J143" s="386"/>
    </row>
    <row r="144" spans="1:10" ht="20.149999999999999" customHeight="1" thickTop="1" thickBot="1">
      <c r="A144" s="1564"/>
      <c r="B144" s="371"/>
      <c r="C144" s="372"/>
      <c r="D144" s="385"/>
      <c r="E144" s="386"/>
      <c r="F144" s="411"/>
      <c r="G144" s="371"/>
      <c r="H144" s="372"/>
      <c r="I144" s="385"/>
      <c r="J144" s="386"/>
    </row>
    <row r="145" spans="1:10" ht="20.149999999999999" customHeight="1" thickTop="1" thickBot="1">
      <c r="A145" s="1564"/>
      <c r="B145" s="373"/>
      <c r="C145" s="372"/>
      <c r="D145" s="385"/>
      <c r="E145" s="386"/>
      <c r="F145" s="411"/>
      <c r="G145" s="373"/>
      <c r="H145" s="372"/>
      <c r="I145" s="385"/>
      <c r="J145" s="386"/>
    </row>
    <row r="146" spans="1:10" ht="20.149999999999999" customHeight="1" thickTop="1" thickBot="1">
      <c r="A146" s="1564"/>
      <c r="B146" s="373"/>
      <c r="C146" s="372"/>
      <c r="D146" s="385"/>
      <c r="E146" s="386"/>
      <c r="F146" s="411"/>
      <c r="G146" s="373"/>
      <c r="H146" s="372"/>
      <c r="I146" s="385"/>
      <c r="J146" s="386"/>
    </row>
    <row r="147" spans="1:10" ht="20.149999999999999" customHeight="1" thickTop="1" thickBot="1">
      <c r="A147" s="1564"/>
      <c r="B147" s="373"/>
      <c r="C147" s="372"/>
      <c r="D147" s="385"/>
      <c r="E147" s="386"/>
      <c r="F147" s="411"/>
      <c r="G147" s="373"/>
      <c r="H147" s="372"/>
      <c r="I147" s="385"/>
      <c r="J147" s="386"/>
    </row>
    <row r="148" spans="1:10" ht="20.149999999999999" customHeight="1" thickTop="1" thickBot="1">
      <c r="A148" s="1564"/>
      <c r="B148" s="373"/>
      <c r="C148" s="372"/>
      <c r="D148" s="385"/>
      <c r="E148" s="386"/>
      <c r="F148" s="411"/>
      <c r="G148" s="373"/>
      <c r="H148" s="372"/>
      <c r="I148" s="385"/>
      <c r="J148" s="386"/>
    </row>
    <row r="149" spans="1:10" ht="20.149999999999999" customHeight="1" thickTop="1" thickBot="1">
      <c r="A149" s="1564"/>
      <c r="B149" s="371"/>
      <c r="C149" s="372"/>
      <c r="D149" s="385"/>
      <c r="E149" s="386"/>
      <c r="F149" s="411"/>
      <c r="G149" s="371"/>
      <c r="H149" s="372"/>
      <c r="I149" s="385"/>
      <c r="J149" s="386"/>
    </row>
    <row r="150" spans="1:10" ht="20.149999999999999" customHeight="1" thickTop="1" thickBot="1">
      <c r="A150" s="1564"/>
      <c r="B150" s="373"/>
      <c r="C150" s="372"/>
      <c r="D150" s="385"/>
      <c r="E150" s="386"/>
      <c r="F150" s="411"/>
      <c r="G150" s="373"/>
      <c r="H150" s="372"/>
      <c r="I150" s="385"/>
      <c r="J150" s="386"/>
    </row>
    <row r="151" spans="1:10" ht="20.149999999999999" customHeight="1" thickTop="1" thickBot="1">
      <c r="A151" s="1564"/>
      <c r="B151" s="371"/>
      <c r="C151" s="372"/>
      <c r="D151" s="385"/>
      <c r="E151" s="386"/>
      <c r="F151" s="411"/>
      <c r="G151" s="371"/>
      <c r="H151" s="372"/>
      <c r="I151" s="385"/>
      <c r="J151" s="386"/>
    </row>
    <row r="152" spans="1:10" ht="20.149999999999999" customHeight="1" thickTop="1" thickBot="1">
      <c r="A152" s="1564"/>
      <c r="B152" s="373"/>
      <c r="C152" s="372"/>
      <c r="D152" s="385"/>
      <c r="E152" s="386"/>
      <c r="F152" s="411"/>
      <c r="G152" s="373"/>
      <c r="H152" s="372"/>
      <c r="I152" s="385"/>
      <c r="J152" s="386"/>
    </row>
    <row r="153" spans="1:10" ht="20.149999999999999" customHeight="1" thickTop="1" thickBot="1">
      <c r="A153" s="1564"/>
      <c r="B153" s="373"/>
      <c r="C153" s="372"/>
      <c r="D153" s="385"/>
      <c r="E153" s="386"/>
      <c r="F153" s="411"/>
      <c r="G153" s="373"/>
      <c r="H153" s="372"/>
      <c r="I153" s="385"/>
      <c r="J153" s="386"/>
    </row>
    <row r="154" spans="1:10" ht="20.149999999999999" customHeight="1" thickTop="1" thickBot="1">
      <c r="A154" s="1564"/>
      <c r="B154" s="373"/>
      <c r="C154" s="372"/>
      <c r="D154" s="385"/>
      <c r="E154" s="386"/>
      <c r="F154" s="411"/>
      <c r="G154" s="373"/>
      <c r="H154" s="372"/>
      <c r="I154" s="385"/>
      <c r="J154" s="386"/>
    </row>
    <row r="155" spans="1:10" ht="20.149999999999999" customHeight="1" thickTop="1" thickBot="1">
      <c r="A155" s="1564"/>
      <c r="B155" s="373"/>
      <c r="C155" s="372"/>
      <c r="D155" s="385"/>
      <c r="E155" s="386"/>
      <c r="F155" s="411"/>
      <c r="G155" s="373"/>
      <c r="H155" s="372"/>
      <c r="I155" s="385"/>
      <c r="J155" s="386"/>
    </row>
    <row r="156" spans="1:10" ht="20.149999999999999" customHeight="1" thickTop="1" thickBot="1">
      <c r="A156" s="1564"/>
      <c r="B156" s="371"/>
      <c r="C156" s="372"/>
      <c r="D156" s="385"/>
      <c r="E156" s="386"/>
      <c r="F156" s="411"/>
      <c r="G156" s="371"/>
      <c r="H156" s="372"/>
      <c r="I156" s="385"/>
      <c r="J156" s="386"/>
    </row>
    <row r="157" spans="1:10" ht="20.149999999999999" customHeight="1" thickTop="1" thickBot="1">
      <c r="A157" s="1564"/>
      <c r="B157" s="373"/>
      <c r="C157" s="372"/>
      <c r="D157" s="385"/>
      <c r="E157" s="386"/>
      <c r="F157" s="411"/>
      <c r="G157" s="373"/>
      <c r="H157" s="372"/>
      <c r="I157" s="385"/>
      <c r="J157" s="386"/>
    </row>
    <row r="158" spans="1:10" ht="20.149999999999999" customHeight="1" thickTop="1" thickBot="1">
      <c r="A158" s="1564"/>
      <c r="B158" s="371"/>
      <c r="C158" s="372"/>
      <c r="D158" s="385"/>
      <c r="E158" s="386"/>
      <c r="F158" s="411"/>
      <c r="G158" s="371"/>
      <c r="H158" s="372"/>
      <c r="I158" s="385"/>
      <c r="J158" s="386"/>
    </row>
    <row r="159" spans="1:10" ht="20.149999999999999" customHeight="1" thickTop="1" thickBot="1">
      <c r="A159" s="1564"/>
      <c r="B159" s="373"/>
      <c r="C159" s="372"/>
      <c r="D159" s="385"/>
      <c r="E159" s="386"/>
      <c r="F159" s="411"/>
      <c r="G159" s="373"/>
      <c r="H159" s="372"/>
      <c r="I159" s="385"/>
      <c r="J159" s="386"/>
    </row>
    <row r="160" spans="1:10" ht="20.149999999999999" customHeight="1" thickTop="1" thickBot="1">
      <c r="A160" s="1564"/>
      <c r="B160" s="373"/>
      <c r="C160" s="372"/>
      <c r="D160" s="385"/>
      <c r="E160" s="386"/>
      <c r="F160" s="411"/>
      <c r="G160" s="373"/>
      <c r="H160" s="372"/>
      <c r="I160" s="385"/>
      <c r="J160" s="386"/>
    </row>
    <row r="161" spans="1:10" ht="20.149999999999999" customHeight="1" thickTop="1" thickBot="1">
      <c r="A161" s="1564"/>
      <c r="B161" s="373"/>
      <c r="C161" s="372"/>
      <c r="D161" s="385"/>
      <c r="E161" s="386"/>
      <c r="F161" s="411"/>
      <c r="G161" s="373"/>
      <c r="H161" s="372"/>
      <c r="I161" s="385"/>
      <c r="J161" s="386"/>
    </row>
    <row r="162" spans="1:10" ht="20.149999999999999" customHeight="1" thickTop="1" thickBot="1">
      <c r="A162" s="1564"/>
      <c r="B162" s="373"/>
      <c r="C162" s="372"/>
      <c r="D162" s="385"/>
      <c r="E162" s="386"/>
      <c r="F162" s="411"/>
      <c r="G162" s="373"/>
      <c r="H162" s="372"/>
      <c r="I162" s="385"/>
      <c r="J162" s="386"/>
    </row>
    <row r="163" spans="1:10" ht="20.149999999999999" customHeight="1" thickTop="1" thickBot="1">
      <c r="A163" s="1564"/>
      <c r="B163" s="371"/>
      <c r="C163" s="372"/>
      <c r="D163" s="385"/>
      <c r="E163" s="386"/>
      <c r="F163" s="411"/>
      <c r="G163" s="371"/>
      <c r="H163" s="372"/>
      <c r="I163" s="385"/>
      <c r="J163" s="386"/>
    </row>
    <row r="164" spans="1:10" ht="20.149999999999999" customHeight="1" thickTop="1" thickBot="1">
      <c r="A164" s="1564"/>
      <c r="B164" s="373"/>
      <c r="C164" s="372"/>
      <c r="D164" s="385"/>
      <c r="E164" s="386"/>
      <c r="F164" s="411"/>
      <c r="G164" s="373"/>
      <c r="H164" s="372"/>
      <c r="I164" s="385"/>
      <c r="J164" s="386"/>
    </row>
    <row r="165" spans="1:10" ht="20.149999999999999" customHeight="1" thickTop="1" thickBot="1">
      <c r="A165" s="1564"/>
      <c r="B165" s="373"/>
      <c r="C165" s="372"/>
      <c r="D165" s="385"/>
      <c r="E165" s="386"/>
      <c r="F165" s="411"/>
      <c r="G165" s="373"/>
      <c r="H165" s="372"/>
      <c r="I165" s="385"/>
      <c r="J165" s="386"/>
    </row>
    <row r="166" spans="1:10" ht="20.149999999999999" customHeight="1" thickTop="1" thickBot="1">
      <c r="A166" s="1568"/>
      <c r="B166" s="373"/>
      <c r="C166" s="372"/>
      <c r="D166" s="385"/>
      <c r="E166" s="386"/>
      <c r="F166" s="412"/>
      <c r="G166" s="373"/>
      <c r="H166" s="372"/>
      <c r="I166" s="385"/>
      <c r="J166" s="386"/>
    </row>
    <row r="167" spans="1:10" ht="39.9" customHeight="1" thickTop="1">
      <c r="A167" s="1561" t="s">
        <v>247</v>
      </c>
      <c r="B167" s="389" t="s">
        <v>239</v>
      </c>
      <c r="C167" s="389"/>
      <c r="D167" s="390"/>
      <c r="E167" s="390"/>
      <c r="F167" s="410"/>
      <c r="G167" s="389" t="s">
        <v>239</v>
      </c>
      <c r="H167" s="389"/>
      <c r="I167" s="390"/>
      <c r="J167" s="390"/>
    </row>
    <row r="168" spans="1:10" ht="30" customHeight="1" thickBot="1">
      <c r="A168" s="1564"/>
      <c r="B168" s="394" t="s">
        <v>1517</v>
      </c>
      <c r="C168" s="389" t="s">
        <v>40</v>
      </c>
      <c r="D168" s="394" t="s">
        <v>245</v>
      </c>
      <c r="E168" s="394" t="s">
        <v>134</v>
      </c>
      <c r="F168" s="411"/>
      <c r="G168" s="394" t="s">
        <v>1517</v>
      </c>
      <c r="H168" s="389" t="s">
        <v>40</v>
      </c>
      <c r="I168" s="394" t="s">
        <v>245</v>
      </c>
      <c r="J168" s="394" t="s">
        <v>134</v>
      </c>
    </row>
    <row r="169" spans="1:10" ht="20.149999999999999" customHeight="1" thickTop="1" thickBot="1">
      <c r="A169" s="1564"/>
      <c r="B169" s="371"/>
      <c r="C169" s="372"/>
      <c r="D169" s="385"/>
      <c r="E169" s="386"/>
      <c r="F169" s="411"/>
      <c r="G169" s="371"/>
      <c r="H169" s="372"/>
      <c r="I169" s="385"/>
      <c r="J169" s="386"/>
    </row>
    <row r="170" spans="1:10" ht="20.149999999999999" customHeight="1" thickTop="1" thickBot="1">
      <c r="A170" s="1564"/>
      <c r="B170" s="373"/>
      <c r="C170" s="372"/>
      <c r="D170" s="385"/>
      <c r="E170" s="386"/>
      <c r="F170" s="411"/>
      <c r="G170" s="373"/>
      <c r="H170" s="372"/>
      <c r="I170" s="385"/>
      <c r="J170" s="386"/>
    </row>
    <row r="171" spans="1:10" ht="20.149999999999999" customHeight="1" thickTop="1" thickBot="1">
      <c r="A171" s="1564"/>
      <c r="B171" s="373"/>
      <c r="C171" s="372"/>
      <c r="D171" s="385"/>
      <c r="E171" s="386"/>
      <c r="F171" s="411"/>
      <c r="G171" s="373"/>
      <c r="H171" s="372"/>
      <c r="I171" s="385"/>
      <c r="J171" s="386"/>
    </row>
    <row r="172" spans="1:10" ht="20.149999999999999" customHeight="1" thickTop="1" thickBot="1">
      <c r="A172" s="1564"/>
      <c r="B172" s="373"/>
      <c r="C172" s="372"/>
      <c r="D172" s="385"/>
      <c r="E172" s="386"/>
      <c r="F172" s="411"/>
      <c r="G172" s="373"/>
      <c r="H172" s="372"/>
      <c r="I172" s="385"/>
      <c r="J172" s="386"/>
    </row>
    <row r="173" spans="1:10" ht="20.149999999999999" customHeight="1" thickTop="1" thickBot="1">
      <c r="A173" s="1564"/>
      <c r="B173" s="373"/>
      <c r="C173" s="372"/>
      <c r="D173" s="385"/>
      <c r="E173" s="386"/>
      <c r="F173" s="411"/>
      <c r="G173" s="373"/>
      <c r="H173" s="372"/>
      <c r="I173" s="385"/>
      <c r="J173" s="386"/>
    </row>
    <row r="174" spans="1:10" ht="20.149999999999999" customHeight="1" thickTop="1" thickBot="1">
      <c r="A174" s="1564"/>
      <c r="B174" s="371"/>
      <c r="C174" s="372"/>
      <c r="D174" s="385"/>
      <c r="E174" s="386"/>
      <c r="F174" s="411"/>
      <c r="G174" s="371"/>
      <c r="H174" s="372"/>
      <c r="I174" s="385"/>
      <c r="J174" s="386"/>
    </row>
    <row r="175" spans="1:10" ht="20.149999999999999" customHeight="1" thickTop="1" thickBot="1">
      <c r="A175" s="1564"/>
      <c r="B175" s="373"/>
      <c r="C175" s="372"/>
      <c r="D175" s="385"/>
      <c r="E175" s="386"/>
      <c r="F175" s="411"/>
      <c r="G175" s="373"/>
      <c r="H175" s="372"/>
      <c r="I175" s="385"/>
      <c r="J175" s="386"/>
    </row>
    <row r="176" spans="1:10" ht="20.149999999999999" customHeight="1" thickTop="1" thickBot="1">
      <c r="A176" s="1564"/>
      <c r="B176" s="373"/>
      <c r="C176" s="372"/>
      <c r="D176" s="385"/>
      <c r="E176" s="386"/>
      <c r="F176" s="411"/>
      <c r="G176" s="373"/>
      <c r="H176" s="372"/>
      <c r="I176" s="385"/>
      <c r="J176" s="386"/>
    </row>
    <row r="177" spans="1:10" ht="20.149999999999999" customHeight="1" thickTop="1" thickBot="1">
      <c r="A177" s="1564"/>
      <c r="B177" s="373"/>
      <c r="C177" s="372"/>
      <c r="D177" s="385"/>
      <c r="E177" s="386"/>
      <c r="F177" s="411"/>
      <c r="G177" s="373"/>
      <c r="H177" s="372"/>
      <c r="I177" s="385"/>
      <c r="J177" s="386"/>
    </row>
    <row r="178" spans="1:10" ht="20.149999999999999" customHeight="1" thickTop="1" thickBot="1">
      <c r="A178" s="1564"/>
      <c r="B178" s="371"/>
      <c r="C178" s="372"/>
      <c r="D178" s="385"/>
      <c r="E178" s="386"/>
      <c r="F178" s="411"/>
      <c r="G178" s="371"/>
      <c r="H178" s="372"/>
      <c r="I178" s="385"/>
      <c r="J178" s="386"/>
    </row>
    <row r="179" spans="1:10" ht="20.149999999999999" customHeight="1" thickTop="1" thickBot="1">
      <c r="A179" s="1564"/>
      <c r="B179" s="373"/>
      <c r="C179" s="372"/>
      <c r="D179" s="385"/>
      <c r="E179" s="386"/>
      <c r="F179" s="411"/>
      <c r="G179" s="373"/>
      <c r="H179" s="372"/>
      <c r="I179" s="385"/>
      <c r="J179" s="386"/>
    </row>
    <row r="180" spans="1:10" ht="20.149999999999999" customHeight="1" thickTop="1" thickBot="1">
      <c r="A180" s="1564"/>
      <c r="B180" s="373"/>
      <c r="C180" s="372"/>
      <c r="D180" s="385"/>
      <c r="E180" s="386"/>
      <c r="F180" s="411"/>
      <c r="G180" s="373"/>
      <c r="H180" s="372"/>
      <c r="I180" s="385"/>
      <c r="J180" s="386"/>
    </row>
    <row r="181" spans="1:10" ht="20.149999999999999" customHeight="1" thickTop="1" thickBot="1">
      <c r="A181" s="1564"/>
      <c r="B181" s="373"/>
      <c r="C181" s="372"/>
      <c r="D181" s="385"/>
      <c r="E181" s="386"/>
      <c r="F181" s="411"/>
      <c r="G181" s="373"/>
      <c r="H181" s="372"/>
      <c r="I181" s="385"/>
      <c r="J181" s="386"/>
    </row>
    <row r="182" spans="1:10" ht="20.149999999999999" customHeight="1" thickTop="1" thickBot="1">
      <c r="A182" s="1564"/>
      <c r="B182" s="373"/>
      <c r="C182" s="372"/>
      <c r="D182" s="385"/>
      <c r="E182" s="386"/>
      <c r="F182" s="411"/>
      <c r="G182" s="373"/>
      <c r="H182" s="372"/>
      <c r="I182" s="385"/>
      <c r="J182" s="386"/>
    </row>
    <row r="183" spans="1:10" ht="20.149999999999999" customHeight="1" thickTop="1" thickBot="1">
      <c r="A183" s="1564"/>
      <c r="B183" s="371"/>
      <c r="C183" s="372"/>
      <c r="D183" s="385"/>
      <c r="E183" s="386"/>
      <c r="F183" s="411"/>
      <c r="G183" s="371"/>
      <c r="H183" s="372"/>
      <c r="I183" s="385"/>
      <c r="J183" s="386"/>
    </row>
    <row r="184" spans="1:10" ht="20.149999999999999" customHeight="1" thickTop="1" thickBot="1">
      <c r="A184" s="1564"/>
      <c r="B184" s="373"/>
      <c r="C184" s="372"/>
      <c r="D184" s="385"/>
      <c r="E184" s="386"/>
      <c r="F184" s="411"/>
      <c r="G184" s="373"/>
      <c r="H184" s="372"/>
      <c r="I184" s="385"/>
      <c r="J184" s="386"/>
    </row>
    <row r="185" spans="1:10" ht="20.149999999999999" customHeight="1" thickTop="1" thickBot="1">
      <c r="A185" s="1564"/>
      <c r="B185" s="373"/>
      <c r="C185" s="372"/>
      <c r="D185" s="385"/>
      <c r="E185" s="386"/>
      <c r="F185" s="411"/>
      <c r="G185" s="373"/>
      <c r="H185" s="372"/>
      <c r="I185" s="385"/>
      <c r="J185" s="386"/>
    </row>
    <row r="186" spans="1:10" ht="20.149999999999999" customHeight="1" thickTop="1" thickBot="1">
      <c r="A186" s="1564"/>
      <c r="B186" s="373"/>
      <c r="C186" s="372"/>
      <c r="D186" s="385"/>
      <c r="E186" s="386"/>
      <c r="F186" s="411"/>
      <c r="G186" s="373"/>
      <c r="H186" s="372"/>
      <c r="I186" s="385"/>
      <c r="J186" s="386"/>
    </row>
    <row r="187" spans="1:10" ht="20.149999999999999" customHeight="1" thickTop="1" thickBot="1">
      <c r="A187" s="1564"/>
      <c r="B187" s="371"/>
      <c r="C187" s="372"/>
      <c r="D187" s="385"/>
      <c r="E187" s="386"/>
      <c r="F187" s="411"/>
      <c r="G187" s="371"/>
      <c r="H187" s="372"/>
      <c r="I187" s="385"/>
      <c r="J187" s="386"/>
    </row>
    <row r="188" spans="1:10" ht="20.149999999999999" customHeight="1" thickTop="1" thickBot="1">
      <c r="A188" s="1564"/>
      <c r="B188" s="373"/>
      <c r="C188" s="372"/>
      <c r="D188" s="385"/>
      <c r="E188" s="386"/>
      <c r="F188" s="411"/>
      <c r="G188" s="373"/>
      <c r="H188" s="372"/>
      <c r="I188" s="385"/>
      <c r="J188" s="386"/>
    </row>
    <row r="189" spans="1:10" ht="20.149999999999999" customHeight="1" thickTop="1" thickBot="1">
      <c r="A189" s="1564"/>
      <c r="B189" s="373"/>
      <c r="C189" s="372"/>
      <c r="D189" s="385"/>
      <c r="E189" s="386"/>
      <c r="F189" s="411"/>
      <c r="G189" s="373"/>
      <c r="H189" s="372"/>
      <c r="I189" s="385"/>
      <c r="J189" s="386"/>
    </row>
    <row r="190" spans="1:10" ht="20.149999999999999" customHeight="1" thickTop="1" thickBot="1">
      <c r="A190" s="1564"/>
      <c r="B190" s="373"/>
      <c r="C190" s="372"/>
      <c r="D190" s="385"/>
      <c r="E190" s="386"/>
      <c r="F190" s="411"/>
      <c r="G190" s="373"/>
      <c r="H190" s="372"/>
      <c r="I190" s="385"/>
      <c r="J190" s="386"/>
    </row>
    <row r="191" spans="1:10" ht="20.149999999999999" customHeight="1" thickTop="1" thickBot="1">
      <c r="A191" s="1564"/>
      <c r="B191" s="373"/>
      <c r="C191" s="372"/>
      <c r="D191" s="385"/>
      <c r="E191" s="386"/>
      <c r="F191" s="411"/>
      <c r="G191" s="373"/>
      <c r="H191" s="372"/>
      <c r="I191" s="385"/>
      <c r="J191" s="386"/>
    </row>
    <row r="192" spans="1:10" ht="20.149999999999999" customHeight="1" thickTop="1" thickBot="1">
      <c r="A192" s="1564"/>
      <c r="B192" s="371"/>
      <c r="C192" s="372"/>
      <c r="D192" s="385"/>
      <c r="E192" s="386"/>
      <c r="F192" s="411"/>
      <c r="G192" s="371"/>
      <c r="H192" s="372"/>
      <c r="I192" s="385"/>
      <c r="J192" s="386"/>
    </row>
    <row r="193" spans="1:10" ht="20.149999999999999" customHeight="1" thickTop="1" thickBot="1">
      <c r="A193" s="1564"/>
      <c r="B193" s="373"/>
      <c r="C193" s="372"/>
      <c r="D193" s="385"/>
      <c r="E193" s="386"/>
      <c r="F193" s="411"/>
      <c r="G193" s="373"/>
      <c r="H193" s="372"/>
      <c r="I193" s="385"/>
      <c r="J193" s="386"/>
    </row>
    <row r="194" spans="1:10" ht="20.149999999999999" customHeight="1" thickTop="1" thickBot="1">
      <c r="A194" s="1564"/>
      <c r="B194" s="373"/>
      <c r="C194" s="372"/>
      <c r="D194" s="385"/>
      <c r="E194" s="386"/>
      <c r="F194" s="411"/>
      <c r="G194" s="373"/>
      <c r="H194" s="372"/>
      <c r="I194" s="385"/>
      <c r="J194" s="386"/>
    </row>
    <row r="195" spans="1:10" ht="20.149999999999999" customHeight="1" thickTop="1" thickBot="1">
      <c r="A195" s="1564"/>
      <c r="B195" s="373"/>
      <c r="C195" s="372"/>
      <c r="D195" s="385"/>
      <c r="E195" s="386"/>
      <c r="F195" s="411"/>
      <c r="G195" s="373"/>
      <c r="H195" s="372"/>
      <c r="I195" s="385"/>
      <c r="J195" s="386"/>
    </row>
    <row r="196" spans="1:10" ht="20.149999999999999" customHeight="1" thickTop="1" thickBot="1">
      <c r="A196" s="1564"/>
      <c r="B196" s="373"/>
      <c r="C196" s="372"/>
      <c r="D196" s="385"/>
      <c r="E196" s="386"/>
      <c r="F196" s="411"/>
      <c r="G196" s="373"/>
      <c r="H196" s="372"/>
      <c r="I196" s="385"/>
      <c r="J196" s="386"/>
    </row>
    <row r="197" spans="1:10" ht="20.149999999999999" customHeight="1" thickTop="1" thickBot="1">
      <c r="A197" s="1564"/>
      <c r="B197" s="373"/>
      <c r="C197" s="372"/>
      <c r="D197" s="385"/>
      <c r="E197" s="386"/>
      <c r="F197" s="411"/>
      <c r="G197" s="373"/>
      <c r="H197" s="372"/>
      <c r="I197" s="385"/>
      <c r="J197" s="386"/>
    </row>
    <row r="198" spans="1:10" ht="20.149999999999999" customHeight="1" thickTop="1" thickBot="1">
      <c r="A198" s="1568"/>
      <c r="B198" s="373"/>
      <c r="C198" s="372"/>
      <c r="D198" s="385"/>
      <c r="E198" s="386"/>
      <c r="F198" s="412"/>
      <c r="G198" s="373"/>
      <c r="H198" s="372"/>
      <c r="I198" s="385"/>
      <c r="J198" s="386"/>
    </row>
    <row r="199" spans="1:10" ht="39.9" customHeight="1" thickTop="1" thickBot="1">
      <c r="A199" s="1561" t="s">
        <v>1503</v>
      </c>
      <c r="B199" s="390" t="s">
        <v>239</v>
      </c>
      <c r="C199" s="390" t="s">
        <v>40</v>
      </c>
      <c r="D199" s="390" t="s">
        <v>248</v>
      </c>
      <c r="E199" s="390" t="s">
        <v>249</v>
      </c>
      <c r="F199" s="413"/>
      <c r="G199" s="390" t="s">
        <v>239</v>
      </c>
      <c r="H199" s="390" t="s">
        <v>40</v>
      </c>
      <c r="I199" s="390" t="s">
        <v>248</v>
      </c>
      <c r="J199" s="390" t="s">
        <v>249</v>
      </c>
    </row>
    <row r="200" spans="1:10" ht="20.149999999999999" customHeight="1" thickTop="1" thickBot="1">
      <c r="A200" s="1564"/>
      <c r="B200" s="1543">
        <v>30</v>
      </c>
      <c r="C200" s="372"/>
      <c r="D200" s="385"/>
      <c r="E200" s="386"/>
      <c r="F200" s="414"/>
      <c r="G200" s="1543">
        <v>30</v>
      </c>
      <c r="H200" s="372"/>
      <c r="I200" s="385"/>
      <c r="J200" s="386"/>
    </row>
    <row r="201" spans="1:10" ht="20.149999999999999" customHeight="1" thickTop="1" thickBot="1">
      <c r="A201" s="1564"/>
      <c r="B201" s="1579"/>
      <c r="C201" s="372"/>
      <c r="D201" s="385"/>
      <c r="E201" s="386"/>
      <c r="F201" s="414"/>
      <c r="G201" s="1579"/>
      <c r="H201" s="372"/>
      <c r="I201" s="385"/>
      <c r="J201" s="386"/>
    </row>
    <row r="202" spans="1:10" ht="20.149999999999999" customHeight="1" thickTop="1" thickBot="1">
      <c r="A202" s="1564"/>
      <c r="B202" s="1579"/>
      <c r="C202" s="372"/>
      <c r="D202" s="385"/>
      <c r="E202" s="386"/>
      <c r="F202" s="414"/>
      <c r="G202" s="1579"/>
      <c r="H202" s="372"/>
      <c r="I202" s="385"/>
      <c r="J202" s="386"/>
    </row>
    <row r="203" spans="1:10" ht="20.149999999999999" customHeight="1" thickTop="1" thickBot="1">
      <c r="A203" s="1564"/>
      <c r="B203" s="1579"/>
      <c r="C203" s="372"/>
      <c r="D203" s="385"/>
      <c r="E203" s="386"/>
      <c r="F203" s="414"/>
      <c r="G203" s="1579"/>
      <c r="H203" s="372"/>
      <c r="I203" s="385"/>
      <c r="J203" s="386"/>
    </row>
    <row r="204" spans="1:10" ht="20.149999999999999" customHeight="1" thickTop="1" thickBot="1">
      <c r="A204" s="1564"/>
      <c r="B204" s="1579"/>
      <c r="C204" s="372"/>
      <c r="D204" s="385"/>
      <c r="E204" s="386"/>
      <c r="F204" s="414"/>
      <c r="G204" s="1579"/>
      <c r="H204" s="372"/>
      <c r="I204" s="385"/>
      <c r="J204" s="386"/>
    </row>
    <row r="205" spans="1:10" ht="20.149999999999999" customHeight="1" thickTop="1" thickBot="1">
      <c r="A205" s="1564"/>
      <c r="B205" s="1579"/>
      <c r="C205" s="372"/>
      <c r="D205" s="385"/>
      <c r="E205" s="386"/>
      <c r="F205" s="414"/>
      <c r="G205" s="1579"/>
      <c r="H205" s="372"/>
      <c r="I205" s="385"/>
      <c r="J205" s="386"/>
    </row>
    <row r="206" spans="1:10" ht="20.149999999999999" customHeight="1" thickTop="1" thickBot="1">
      <c r="A206" s="1564"/>
      <c r="B206" s="1579"/>
      <c r="C206" s="372"/>
      <c r="D206" s="385"/>
      <c r="E206" s="386"/>
      <c r="F206" s="414"/>
      <c r="G206" s="1579"/>
      <c r="H206" s="372"/>
      <c r="I206" s="385"/>
      <c r="J206" s="386"/>
    </row>
    <row r="207" spans="1:10" ht="20.149999999999999" customHeight="1" thickTop="1" thickBot="1">
      <c r="A207" s="1564"/>
      <c r="B207" s="1579"/>
      <c r="C207" s="372"/>
      <c r="D207" s="385"/>
      <c r="E207" s="386"/>
      <c r="F207" s="414"/>
      <c r="G207" s="1579"/>
      <c r="H207" s="372"/>
      <c r="I207" s="385"/>
      <c r="J207" s="386"/>
    </row>
    <row r="208" spans="1:10" ht="20.149999999999999" customHeight="1" thickTop="1" thickBot="1">
      <c r="A208" s="1564"/>
      <c r="B208" s="1579"/>
      <c r="C208" s="372"/>
      <c r="D208" s="385"/>
      <c r="E208" s="386"/>
      <c r="F208" s="414"/>
      <c r="G208" s="1579"/>
      <c r="H208" s="372"/>
      <c r="I208" s="385"/>
      <c r="J208" s="386"/>
    </row>
    <row r="209" spans="1:10" ht="20.149999999999999" customHeight="1" thickTop="1" thickBot="1">
      <c r="A209" s="1564"/>
      <c r="B209" s="1579"/>
      <c r="C209" s="372"/>
      <c r="D209" s="385"/>
      <c r="E209" s="386"/>
      <c r="F209" s="414"/>
      <c r="G209" s="1579"/>
      <c r="H209" s="372"/>
      <c r="I209" s="385"/>
      <c r="J209" s="386"/>
    </row>
    <row r="210" spans="1:10" ht="20.149999999999999" customHeight="1" thickTop="1" thickBot="1">
      <c r="A210" s="1564"/>
      <c r="B210" s="1579"/>
      <c r="C210" s="372"/>
      <c r="D210" s="385"/>
      <c r="E210" s="386"/>
      <c r="F210" s="414"/>
      <c r="G210" s="1579"/>
      <c r="H210" s="372"/>
      <c r="I210" s="385"/>
      <c r="J210" s="386"/>
    </row>
    <row r="211" spans="1:10" ht="20.149999999999999" customHeight="1" thickTop="1" thickBot="1">
      <c r="A211" s="1564"/>
      <c r="B211" s="1579"/>
      <c r="C211" s="372"/>
      <c r="D211" s="385"/>
      <c r="E211" s="386"/>
      <c r="F211" s="414"/>
      <c r="G211" s="1579"/>
      <c r="H211" s="372"/>
      <c r="I211" s="385"/>
      <c r="J211" s="386"/>
    </row>
    <row r="212" spans="1:10" ht="20.149999999999999" customHeight="1" thickTop="1" thickBot="1">
      <c r="A212" s="1564"/>
      <c r="B212" s="1579"/>
      <c r="C212" s="372"/>
      <c r="D212" s="385"/>
      <c r="E212" s="386"/>
      <c r="F212" s="414"/>
      <c r="G212" s="1579"/>
      <c r="H212" s="372"/>
      <c r="I212" s="385"/>
      <c r="J212" s="386"/>
    </row>
    <row r="213" spans="1:10" ht="20.149999999999999" customHeight="1" thickTop="1" thickBot="1">
      <c r="A213" s="1564"/>
      <c r="B213" s="1579"/>
      <c r="C213" s="372"/>
      <c r="D213" s="385"/>
      <c r="E213" s="386"/>
      <c r="F213" s="414"/>
      <c r="G213" s="1579"/>
      <c r="H213" s="372"/>
      <c r="I213" s="385"/>
      <c r="J213" s="386"/>
    </row>
    <row r="214" spans="1:10" ht="20.149999999999999" customHeight="1" thickTop="1" thickBot="1">
      <c r="A214" s="1564"/>
      <c r="B214" s="1579"/>
      <c r="C214" s="372"/>
      <c r="D214" s="385"/>
      <c r="E214" s="386"/>
      <c r="F214" s="414"/>
      <c r="G214" s="1579"/>
      <c r="H214" s="372"/>
      <c r="I214" s="385"/>
      <c r="J214" s="386"/>
    </row>
    <row r="215" spans="1:10" ht="20.149999999999999" customHeight="1" thickTop="1" thickBot="1">
      <c r="A215" s="1564"/>
      <c r="B215" s="1579"/>
      <c r="C215" s="372"/>
      <c r="D215" s="385"/>
      <c r="E215" s="386"/>
      <c r="F215" s="414"/>
      <c r="G215" s="1579"/>
      <c r="H215" s="372"/>
      <c r="I215" s="385"/>
      <c r="J215" s="386"/>
    </row>
    <row r="216" spans="1:10" ht="20.149999999999999" customHeight="1" thickTop="1" thickBot="1">
      <c r="A216" s="1564"/>
      <c r="B216" s="1579"/>
      <c r="C216" s="372"/>
      <c r="D216" s="385"/>
      <c r="E216" s="386"/>
      <c r="F216" s="414"/>
      <c r="G216" s="1579"/>
      <c r="H216" s="372"/>
      <c r="I216" s="385"/>
      <c r="J216" s="386"/>
    </row>
    <row r="217" spans="1:10" ht="20.149999999999999" customHeight="1" thickTop="1" thickBot="1">
      <c r="A217" s="1568"/>
      <c r="B217" s="1544"/>
      <c r="C217" s="372"/>
      <c r="D217" s="385"/>
      <c r="E217" s="386"/>
      <c r="F217" s="415"/>
      <c r="G217" s="1544"/>
      <c r="H217" s="372"/>
      <c r="I217" s="385"/>
      <c r="J217" s="386"/>
    </row>
    <row r="218" spans="1:10" ht="39.9" customHeight="1" thickTop="1">
      <c r="A218" s="1561" t="s">
        <v>1502</v>
      </c>
      <c r="B218" s="390" t="s">
        <v>239</v>
      </c>
      <c r="C218" s="390"/>
      <c r="D218" s="390"/>
      <c r="E218" s="390"/>
      <c r="F218" s="416"/>
      <c r="G218" s="390" t="s">
        <v>239</v>
      </c>
      <c r="H218" s="390"/>
      <c r="I218" s="390"/>
      <c r="J218" s="390"/>
    </row>
    <row r="219" spans="1:10" ht="20.149999999999999" customHeight="1" thickBot="1">
      <c r="A219" s="1564"/>
      <c r="B219" s="394" t="s">
        <v>1518</v>
      </c>
      <c r="C219" s="394" t="s">
        <v>40</v>
      </c>
      <c r="D219" s="394" t="s">
        <v>1519</v>
      </c>
      <c r="E219" s="394" t="s">
        <v>134</v>
      </c>
      <c r="F219" s="417"/>
      <c r="G219" s="394" t="s">
        <v>1518</v>
      </c>
      <c r="H219" s="394" t="s">
        <v>40</v>
      </c>
      <c r="I219" s="394" t="s">
        <v>1519</v>
      </c>
      <c r="J219" s="394" t="s">
        <v>134</v>
      </c>
    </row>
    <row r="220" spans="1:10" ht="20.149999999999999" customHeight="1" thickTop="1" thickBot="1">
      <c r="A220" s="1564"/>
      <c r="B220" s="382"/>
      <c r="C220" s="379"/>
      <c r="D220" s="383"/>
      <c r="E220" s="423"/>
      <c r="F220" s="408"/>
      <c r="G220" s="382"/>
      <c r="H220" s="379"/>
      <c r="I220" s="383"/>
      <c r="J220" s="423"/>
    </row>
    <row r="221" spans="1:10" ht="20.149999999999999" customHeight="1" thickTop="1" thickBot="1">
      <c r="A221" s="1564"/>
      <c r="B221" s="382"/>
      <c r="C221" s="379"/>
      <c r="D221" s="383"/>
      <c r="E221" s="423"/>
      <c r="F221" s="408"/>
      <c r="G221" s="382"/>
      <c r="H221" s="379"/>
      <c r="I221" s="383"/>
      <c r="J221" s="423"/>
    </row>
    <row r="222" spans="1:10" ht="20.149999999999999" customHeight="1" thickTop="1" thickBot="1">
      <c r="A222" s="1564"/>
      <c r="B222" s="382"/>
      <c r="C222" s="379"/>
      <c r="D222" s="383"/>
      <c r="E222" s="423"/>
      <c r="F222" s="408"/>
      <c r="G222" s="382"/>
      <c r="H222" s="379"/>
      <c r="I222" s="383"/>
      <c r="J222" s="423"/>
    </row>
    <row r="223" spans="1:10" ht="20.149999999999999" customHeight="1" thickTop="1" thickBot="1">
      <c r="A223" s="1564"/>
      <c r="B223" s="382"/>
      <c r="C223" s="379"/>
      <c r="D223" s="383"/>
      <c r="E223" s="423"/>
      <c r="F223" s="408"/>
      <c r="G223" s="382"/>
      <c r="H223" s="379"/>
      <c r="I223" s="383"/>
      <c r="J223" s="423"/>
    </row>
    <row r="224" spans="1:10" ht="20.149999999999999" customHeight="1" thickTop="1" thickBot="1">
      <c r="A224" s="1564"/>
      <c r="B224" s="382"/>
      <c r="C224" s="379"/>
      <c r="D224" s="383"/>
      <c r="E224" s="423"/>
      <c r="F224" s="408"/>
      <c r="G224" s="382"/>
      <c r="H224" s="379"/>
      <c r="I224" s="383"/>
      <c r="J224" s="423"/>
    </row>
    <row r="225" spans="1:10" ht="20.149999999999999" customHeight="1" thickTop="1" thickBot="1">
      <c r="A225" s="1564"/>
      <c r="B225" s="382"/>
      <c r="C225" s="379"/>
      <c r="D225" s="383"/>
      <c r="E225" s="423"/>
      <c r="F225" s="408"/>
      <c r="G225" s="382"/>
      <c r="H225" s="379"/>
      <c r="I225" s="383"/>
      <c r="J225" s="423"/>
    </row>
    <row r="226" spans="1:10" ht="20.149999999999999" customHeight="1" thickTop="1" thickBot="1">
      <c r="A226" s="1564"/>
      <c r="B226" s="382"/>
      <c r="C226" s="379"/>
      <c r="D226" s="383"/>
      <c r="E226" s="423"/>
      <c r="F226" s="408"/>
      <c r="G226" s="382"/>
      <c r="H226" s="379"/>
      <c r="I226" s="383"/>
      <c r="J226" s="423"/>
    </row>
    <row r="227" spans="1:10" ht="20.149999999999999" customHeight="1" thickTop="1" thickBot="1">
      <c r="A227" s="1564"/>
      <c r="B227" s="382"/>
      <c r="C227" s="379"/>
      <c r="D227" s="383"/>
      <c r="E227" s="423"/>
      <c r="F227" s="408"/>
      <c r="G227" s="382"/>
      <c r="H227" s="379"/>
      <c r="I227" s="383"/>
      <c r="J227" s="423"/>
    </row>
    <row r="228" spans="1:10" ht="20.149999999999999" customHeight="1" thickTop="1" thickBot="1">
      <c r="A228" s="1564"/>
      <c r="B228" s="382"/>
      <c r="C228" s="379"/>
      <c r="D228" s="383"/>
      <c r="E228" s="423"/>
      <c r="F228" s="408"/>
      <c r="G228" s="382"/>
      <c r="H228" s="379"/>
      <c r="I228" s="383"/>
      <c r="J228" s="423"/>
    </row>
    <row r="229" spans="1:10" ht="20.149999999999999" customHeight="1" thickTop="1" thickBot="1">
      <c r="A229" s="1564"/>
      <c r="B229" s="382"/>
      <c r="C229" s="379"/>
      <c r="D229" s="383"/>
      <c r="E229" s="423"/>
      <c r="F229" s="408"/>
      <c r="G229" s="382"/>
      <c r="H229" s="379"/>
      <c r="I229" s="383"/>
      <c r="J229" s="423"/>
    </row>
    <row r="230" spans="1:10" ht="20.149999999999999" customHeight="1" thickTop="1" thickBot="1">
      <c r="A230" s="1564"/>
      <c r="B230" s="382"/>
      <c r="C230" s="379"/>
      <c r="D230" s="383"/>
      <c r="E230" s="423"/>
      <c r="F230" s="408"/>
      <c r="G230" s="382"/>
      <c r="H230" s="379"/>
      <c r="I230" s="383"/>
      <c r="J230" s="423"/>
    </row>
    <row r="231" spans="1:10" ht="20.149999999999999" customHeight="1" thickTop="1" thickBot="1">
      <c r="A231" s="1564"/>
      <c r="B231" s="382"/>
      <c r="C231" s="379"/>
      <c r="D231" s="383"/>
      <c r="E231" s="423"/>
      <c r="F231" s="408"/>
      <c r="G231" s="382"/>
      <c r="H231" s="379"/>
      <c r="I231" s="383"/>
      <c r="J231" s="423"/>
    </row>
    <row r="232" spans="1:10" ht="20.149999999999999" customHeight="1" thickTop="1" thickBot="1">
      <c r="A232" s="1564"/>
      <c r="B232" s="382"/>
      <c r="C232" s="379"/>
      <c r="D232" s="383"/>
      <c r="E232" s="423"/>
      <c r="F232" s="408"/>
      <c r="G232" s="382"/>
      <c r="H232" s="379"/>
      <c r="I232" s="383"/>
      <c r="J232" s="423"/>
    </row>
    <row r="233" spans="1:10" ht="20.149999999999999" customHeight="1" thickTop="1" thickBot="1">
      <c r="A233" s="1564"/>
      <c r="B233" s="382"/>
      <c r="C233" s="379"/>
      <c r="D233" s="383"/>
      <c r="E233" s="423"/>
      <c r="F233" s="408"/>
      <c r="G233" s="382"/>
      <c r="H233" s="379"/>
      <c r="I233" s="383"/>
      <c r="J233" s="423"/>
    </row>
    <row r="234" spans="1:10" ht="20.149999999999999" customHeight="1" thickTop="1" thickBot="1">
      <c r="A234" s="1568"/>
      <c r="B234" s="382"/>
      <c r="C234" s="379"/>
      <c r="D234" s="383"/>
      <c r="E234" s="423"/>
      <c r="F234" s="409"/>
      <c r="G234" s="382"/>
      <c r="H234" s="379"/>
      <c r="I234" s="383"/>
      <c r="J234" s="423"/>
    </row>
    <row r="235" spans="1:10" ht="39.9" customHeight="1" thickTop="1" thickBot="1">
      <c r="A235" s="1561" t="s">
        <v>1501</v>
      </c>
      <c r="B235" s="390" t="s">
        <v>239</v>
      </c>
      <c r="C235" s="394" t="s">
        <v>40</v>
      </c>
      <c r="D235" s="394" t="s">
        <v>1519</v>
      </c>
      <c r="E235" s="394" t="s">
        <v>134</v>
      </c>
      <c r="F235" s="413"/>
      <c r="G235" s="390" t="s">
        <v>239</v>
      </c>
      <c r="H235" s="394" t="s">
        <v>40</v>
      </c>
      <c r="I235" s="394" t="s">
        <v>1519</v>
      </c>
      <c r="J235" s="394" t="s">
        <v>134</v>
      </c>
    </row>
    <row r="236" spans="1:10" ht="20.149999999999999" customHeight="1" thickTop="1" thickBot="1">
      <c r="A236" s="1564"/>
      <c r="B236" s="1543">
        <v>34</v>
      </c>
      <c r="C236" s="379"/>
      <c r="D236" s="383"/>
      <c r="E236" s="423"/>
      <c r="F236" s="411"/>
      <c r="G236" s="1543">
        <v>34</v>
      </c>
      <c r="H236" s="379"/>
      <c r="I236" s="383"/>
      <c r="J236" s="423"/>
    </row>
    <row r="237" spans="1:10" ht="20.149999999999999" customHeight="1" thickTop="1" thickBot="1">
      <c r="A237" s="1564"/>
      <c r="B237" s="1579"/>
      <c r="C237" s="379"/>
      <c r="D237" s="383"/>
      <c r="E237" s="423"/>
      <c r="F237" s="411"/>
      <c r="G237" s="1579"/>
      <c r="H237" s="379"/>
      <c r="I237" s="383"/>
      <c r="J237" s="423"/>
    </row>
    <row r="238" spans="1:10" ht="20.149999999999999" customHeight="1" thickTop="1" thickBot="1">
      <c r="A238" s="1564"/>
      <c r="B238" s="1579"/>
      <c r="C238" s="379"/>
      <c r="D238" s="383"/>
      <c r="E238" s="423"/>
      <c r="F238" s="411"/>
      <c r="G238" s="1579"/>
      <c r="H238" s="379"/>
      <c r="I238" s="383"/>
      <c r="J238" s="423"/>
    </row>
    <row r="239" spans="1:10" ht="20.149999999999999" customHeight="1" thickTop="1" thickBot="1">
      <c r="A239" s="1564"/>
      <c r="B239" s="1579"/>
      <c r="C239" s="379"/>
      <c r="D239" s="383"/>
      <c r="E239" s="423"/>
      <c r="F239" s="411"/>
      <c r="G239" s="1579"/>
      <c r="H239" s="379"/>
      <c r="I239" s="383"/>
      <c r="J239" s="423"/>
    </row>
    <row r="240" spans="1:10" ht="20.149999999999999" customHeight="1" thickTop="1" thickBot="1">
      <c r="A240" s="1564"/>
      <c r="B240" s="1579"/>
      <c r="C240" s="379"/>
      <c r="D240" s="383"/>
      <c r="E240" s="423"/>
      <c r="F240" s="411"/>
      <c r="G240" s="1579"/>
      <c r="H240" s="379"/>
      <c r="I240" s="383"/>
      <c r="J240" s="423"/>
    </row>
    <row r="241" spans="1:10" ht="20.149999999999999" customHeight="1" thickTop="1" thickBot="1">
      <c r="A241" s="1564"/>
      <c r="B241" s="1579"/>
      <c r="C241" s="379"/>
      <c r="D241" s="383"/>
      <c r="E241" s="423"/>
      <c r="F241" s="411"/>
      <c r="G241" s="1579"/>
      <c r="H241" s="379"/>
      <c r="I241" s="383"/>
      <c r="J241" s="423"/>
    </row>
    <row r="242" spans="1:10" ht="20.149999999999999" customHeight="1" thickTop="1" thickBot="1">
      <c r="A242" s="1564"/>
      <c r="B242" s="1579"/>
      <c r="C242" s="379"/>
      <c r="D242" s="383"/>
      <c r="E242" s="423"/>
      <c r="F242" s="411"/>
      <c r="G242" s="1579"/>
      <c r="H242" s="379"/>
      <c r="I242" s="383"/>
      <c r="J242" s="423"/>
    </row>
    <row r="243" spans="1:10" ht="20.149999999999999" customHeight="1" thickTop="1" thickBot="1">
      <c r="A243" s="1564"/>
      <c r="B243" s="1579"/>
      <c r="C243" s="379"/>
      <c r="D243" s="383"/>
      <c r="E243" s="423"/>
      <c r="F243" s="411"/>
      <c r="G243" s="1579"/>
      <c r="H243" s="379"/>
      <c r="I243" s="383"/>
      <c r="J243" s="423"/>
    </row>
    <row r="244" spans="1:10" ht="20.149999999999999" customHeight="1" thickTop="1" thickBot="1">
      <c r="A244" s="1564"/>
      <c r="B244" s="1579"/>
      <c r="C244" s="379"/>
      <c r="D244" s="383"/>
      <c r="E244" s="423"/>
      <c r="F244" s="411"/>
      <c r="G244" s="1579"/>
      <c r="H244" s="379"/>
      <c r="I244" s="383"/>
      <c r="J244" s="423"/>
    </row>
    <row r="245" spans="1:10" ht="20.149999999999999" customHeight="1" thickTop="1" thickBot="1">
      <c r="A245" s="1564"/>
      <c r="B245" s="1579"/>
      <c r="C245" s="379"/>
      <c r="D245" s="383"/>
      <c r="E245" s="423"/>
      <c r="F245" s="411"/>
      <c r="G245" s="1579"/>
      <c r="H245" s="379"/>
      <c r="I245" s="383"/>
      <c r="J245" s="423"/>
    </row>
    <row r="246" spans="1:10" ht="20.149999999999999" customHeight="1" thickTop="1" thickBot="1">
      <c r="A246" s="1564"/>
      <c r="B246" s="1579"/>
      <c r="C246" s="379"/>
      <c r="D246" s="383"/>
      <c r="E246" s="423"/>
      <c r="F246" s="411"/>
      <c r="G246" s="1579"/>
      <c r="H246" s="379"/>
      <c r="I246" s="383"/>
      <c r="J246" s="423"/>
    </row>
    <row r="247" spans="1:10" ht="20.149999999999999" customHeight="1" thickTop="1" thickBot="1">
      <c r="A247" s="1564"/>
      <c r="B247" s="1579"/>
      <c r="C247" s="379"/>
      <c r="D247" s="383"/>
      <c r="E247" s="423"/>
      <c r="F247" s="411"/>
      <c r="G247" s="1579"/>
      <c r="H247" s="379"/>
      <c r="I247" s="383"/>
      <c r="J247" s="423"/>
    </row>
    <row r="248" spans="1:10" ht="20.149999999999999" customHeight="1" thickTop="1" thickBot="1">
      <c r="A248" s="1564"/>
      <c r="B248" s="1579"/>
      <c r="C248" s="379"/>
      <c r="D248" s="383"/>
      <c r="E248" s="423"/>
      <c r="F248" s="411"/>
      <c r="G248" s="1579"/>
      <c r="H248" s="379"/>
      <c r="I248" s="383"/>
      <c r="J248" s="423"/>
    </row>
    <row r="249" spans="1:10" ht="20.149999999999999" customHeight="1" thickTop="1" thickBot="1">
      <c r="A249" s="1564"/>
      <c r="B249" s="1579"/>
      <c r="C249" s="379"/>
      <c r="D249" s="383"/>
      <c r="E249" s="423"/>
      <c r="F249" s="411"/>
      <c r="G249" s="1579"/>
      <c r="H249" s="379"/>
      <c r="I249" s="383"/>
      <c r="J249" s="423"/>
    </row>
    <row r="250" spans="1:10" ht="20.149999999999999" customHeight="1" thickTop="1" thickBot="1">
      <c r="A250" s="1568"/>
      <c r="B250" s="1544"/>
      <c r="C250" s="379"/>
      <c r="D250" s="383"/>
      <c r="E250" s="423"/>
      <c r="F250" s="412"/>
      <c r="G250" s="1544"/>
      <c r="H250" s="379"/>
      <c r="I250" s="383"/>
      <c r="J250" s="423"/>
    </row>
    <row r="251" spans="1:10" ht="39.9" customHeight="1" thickTop="1">
      <c r="A251" s="1561" t="s">
        <v>1500</v>
      </c>
      <c r="B251" s="390" t="s">
        <v>239</v>
      </c>
      <c r="C251" s="390"/>
      <c r="D251" s="390"/>
      <c r="E251" s="390"/>
      <c r="F251" s="413"/>
      <c r="G251" s="390" t="s">
        <v>239</v>
      </c>
      <c r="H251" s="390"/>
      <c r="I251" s="390"/>
      <c r="J251" s="390"/>
    </row>
    <row r="252" spans="1:10" ht="30" customHeight="1" thickBot="1">
      <c r="A252" s="1564"/>
      <c r="B252" s="394" t="s">
        <v>1520</v>
      </c>
      <c r="C252" s="394" t="s">
        <v>40</v>
      </c>
      <c r="D252" s="394" t="s">
        <v>527</v>
      </c>
      <c r="E252" s="394" t="s">
        <v>250</v>
      </c>
      <c r="F252" s="414"/>
      <c r="G252" s="394" t="s">
        <v>1520</v>
      </c>
      <c r="H252" s="394" t="s">
        <v>40</v>
      </c>
      <c r="I252" s="394" t="s">
        <v>527</v>
      </c>
      <c r="J252" s="394" t="s">
        <v>250</v>
      </c>
    </row>
    <row r="253" spans="1:10" ht="20.149999999999999" customHeight="1" thickTop="1" thickBot="1">
      <c r="A253" s="1564"/>
      <c r="B253" s="371"/>
      <c r="C253" s="372"/>
      <c r="D253" s="385"/>
      <c r="E253" s="386"/>
      <c r="F253" s="414"/>
      <c r="G253" s="371"/>
      <c r="H253" s="372"/>
      <c r="I253" s="385"/>
      <c r="J253" s="386"/>
    </row>
    <row r="254" spans="1:10" ht="20.149999999999999" customHeight="1" thickTop="1" thickBot="1">
      <c r="A254" s="1564"/>
      <c r="B254" s="371"/>
      <c r="C254" s="372"/>
      <c r="D254" s="385"/>
      <c r="E254" s="386"/>
      <c r="F254" s="414"/>
      <c r="G254" s="371"/>
      <c r="H254" s="372"/>
      <c r="I254" s="385"/>
      <c r="J254" s="386"/>
    </row>
    <row r="255" spans="1:10" ht="20.149999999999999" customHeight="1" thickTop="1" thickBot="1">
      <c r="A255" s="1564"/>
      <c r="B255" s="371"/>
      <c r="C255" s="372"/>
      <c r="D255" s="385"/>
      <c r="E255" s="386"/>
      <c r="F255" s="414"/>
      <c r="G255" s="371"/>
      <c r="H255" s="372"/>
      <c r="I255" s="385"/>
      <c r="J255" s="386"/>
    </row>
    <row r="256" spans="1:10" ht="20.149999999999999" customHeight="1" thickTop="1" thickBot="1">
      <c r="A256" s="1564"/>
      <c r="B256" s="371"/>
      <c r="C256" s="372"/>
      <c r="D256" s="385"/>
      <c r="E256" s="386"/>
      <c r="F256" s="414"/>
      <c r="G256" s="371"/>
      <c r="H256" s="372"/>
      <c r="I256" s="385"/>
      <c r="J256" s="386"/>
    </row>
    <row r="257" spans="1:10" ht="20.149999999999999" customHeight="1" thickTop="1" thickBot="1">
      <c r="A257" s="1564"/>
      <c r="B257" s="371"/>
      <c r="C257" s="372"/>
      <c r="D257" s="385"/>
      <c r="E257" s="386"/>
      <c r="F257" s="414"/>
      <c r="G257" s="371"/>
      <c r="H257" s="372"/>
      <c r="I257" s="385"/>
      <c r="J257" s="386"/>
    </row>
    <row r="258" spans="1:10" ht="20.149999999999999" customHeight="1" thickTop="1" thickBot="1">
      <c r="A258" s="1564"/>
      <c r="B258" s="371"/>
      <c r="C258" s="372"/>
      <c r="D258" s="385"/>
      <c r="E258" s="386"/>
      <c r="F258" s="414"/>
      <c r="G258" s="371"/>
      <c r="H258" s="372"/>
      <c r="I258" s="385"/>
      <c r="J258" s="386"/>
    </row>
    <row r="259" spans="1:10" ht="20.149999999999999" customHeight="1" thickTop="1" thickBot="1">
      <c r="A259" s="1564"/>
      <c r="B259" s="371"/>
      <c r="C259" s="372"/>
      <c r="D259" s="385"/>
      <c r="E259" s="386"/>
      <c r="F259" s="414"/>
      <c r="G259" s="371"/>
      <c r="H259" s="372"/>
      <c r="I259" s="385"/>
      <c r="J259" s="386"/>
    </row>
    <row r="260" spans="1:10" ht="20.149999999999999" customHeight="1" thickTop="1" thickBot="1">
      <c r="A260" s="1564"/>
      <c r="B260" s="371"/>
      <c r="C260" s="372"/>
      <c r="D260" s="385"/>
      <c r="E260" s="386"/>
      <c r="F260" s="414"/>
      <c r="G260" s="371"/>
      <c r="H260" s="372"/>
      <c r="I260" s="385"/>
      <c r="J260" s="386"/>
    </row>
    <row r="261" spans="1:10" ht="20.149999999999999" customHeight="1" thickTop="1" thickBot="1">
      <c r="A261" s="1564"/>
      <c r="B261" s="371"/>
      <c r="C261" s="372"/>
      <c r="D261" s="385"/>
      <c r="E261" s="386"/>
      <c r="F261" s="414"/>
      <c r="G261" s="371"/>
      <c r="H261" s="372"/>
      <c r="I261" s="385"/>
      <c r="J261" s="386"/>
    </row>
    <row r="262" spans="1:10" ht="20.149999999999999" customHeight="1" thickTop="1" thickBot="1">
      <c r="A262" s="1564"/>
      <c r="B262" s="371"/>
      <c r="C262" s="372"/>
      <c r="D262" s="385"/>
      <c r="E262" s="386"/>
      <c r="F262" s="414"/>
      <c r="G262" s="371"/>
      <c r="H262" s="372"/>
      <c r="I262" s="385"/>
      <c r="J262" s="386"/>
    </row>
    <row r="263" spans="1:10" ht="20.149999999999999" customHeight="1" thickTop="1" thickBot="1">
      <c r="A263" s="1564"/>
      <c r="B263" s="371"/>
      <c r="C263" s="372"/>
      <c r="D263" s="385"/>
      <c r="E263" s="386"/>
      <c r="F263" s="414"/>
      <c r="G263" s="371"/>
      <c r="H263" s="372"/>
      <c r="I263" s="385"/>
      <c r="J263" s="386"/>
    </row>
    <row r="264" spans="1:10" ht="20.149999999999999" customHeight="1" thickTop="1" thickBot="1">
      <c r="A264" s="1564"/>
      <c r="B264" s="371"/>
      <c r="C264" s="372"/>
      <c r="D264" s="385"/>
      <c r="E264" s="386"/>
      <c r="F264" s="414"/>
      <c r="G264" s="371"/>
      <c r="H264" s="372"/>
      <c r="I264" s="385"/>
      <c r="J264" s="386"/>
    </row>
    <row r="265" spans="1:10" ht="20.149999999999999" customHeight="1" thickTop="1" thickBot="1">
      <c r="A265" s="1564"/>
      <c r="B265" s="371"/>
      <c r="C265" s="372"/>
      <c r="D265" s="385"/>
      <c r="E265" s="386"/>
      <c r="F265" s="414"/>
      <c r="G265" s="371"/>
      <c r="H265" s="372"/>
      <c r="I265" s="385"/>
      <c r="J265" s="386"/>
    </row>
    <row r="266" spans="1:10" ht="20.149999999999999" customHeight="1" thickTop="1" thickBot="1">
      <c r="A266" s="1564"/>
      <c r="B266" s="371"/>
      <c r="C266" s="372"/>
      <c r="D266" s="385"/>
      <c r="E266" s="386"/>
      <c r="F266" s="414"/>
      <c r="G266" s="371"/>
      <c r="H266" s="372"/>
      <c r="I266" s="385"/>
      <c r="J266" s="386"/>
    </row>
    <row r="267" spans="1:10" ht="20.149999999999999" customHeight="1" thickTop="1" thickBot="1">
      <c r="A267" s="1568"/>
      <c r="B267" s="371"/>
      <c r="C267" s="372"/>
      <c r="D267" s="385"/>
      <c r="E267" s="386"/>
      <c r="F267" s="415"/>
      <c r="G267" s="371"/>
      <c r="H267" s="372"/>
      <c r="I267" s="385"/>
      <c r="J267" s="386"/>
    </row>
    <row r="268" spans="1:10" ht="33.75" customHeight="1" thickTop="1" thickBot="1">
      <c r="A268" s="821" t="s">
        <v>251</v>
      </c>
      <c r="B268" s="822"/>
      <c r="C268" s="822"/>
      <c r="D268" s="822"/>
      <c r="E268" s="822"/>
      <c r="F268" s="822"/>
      <c r="G268" s="822"/>
      <c r="H268" s="822"/>
      <c r="I268" s="822"/>
      <c r="J268" s="823"/>
    </row>
    <row r="269" spans="1:10" ht="16.5" thickTop="1" thickBot="1">
      <c r="A269" s="624" t="s">
        <v>528</v>
      </c>
      <c r="B269" s="625"/>
      <c r="C269" s="625"/>
      <c r="D269" s="625"/>
      <c r="E269" s="625"/>
      <c r="F269" s="625"/>
      <c r="G269" s="625"/>
      <c r="H269" s="625"/>
      <c r="I269" s="625"/>
      <c r="J269" s="626"/>
    </row>
    <row r="270" spans="1:10" ht="24.5" thickTop="1" thickBot="1">
      <c r="A270" s="401" t="s">
        <v>252</v>
      </c>
      <c r="B270" s="401" t="s">
        <v>239</v>
      </c>
      <c r="C270" s="1440" t="s">
        <v>253</v>
      </c>
      <c r="D270" s="1441"/>
      <c r="E270" s="1441"/>
      <c r="F270" s="1183"/>
      <c r="G270" s="1440" t="s">
        <v>254</v>
      </c>
      <c r="H270" s="1441"/>
      <c r="I270" s="1441"/>
      <c r="J270" s="1183"/>
    </row>
    <row r="271" spans="1:10" ht="28.5" customHeight="1" thickTop="1" thickBot="1">
      <c r="A271" s="403" t="s">
        <v>255</v>
      </c>
      <c r="B271" s="402">
        <v>1</v>
      </c>
      <c r="C271" s="1565" t="s">
        <v>256</v>
      </c>
      <c r="D271" s="1566"/>
      <c r="E271" s="1566"/>
      <c r="F271" s="1567"/>
      <c r="G271" s="1576" t="s">
        <v>257</v>
      </c>
      <c r="H271" s="1577"/>
      <c r="I271" s="1577"/>
      <c r="J271" s="1578"/>
    </row>
    <row r="272" spans="1:10" ht="26.25" customHeight="1" thickTop="1" thickBot="1">
      <c r="A272" s="1558" t="s">
        <v>258</v>
      </c>
      <c r="B272" s="402">
        <v>2</v>
      </c>
      <c r="C272" s="1565" t="s">
        <v>259</v>
      </c>
      <c r="D272" s="1566"/>
      <c r="E272" s="1566"/>
      <c r="F272" s="1567"/>
      <c r="G272" s="1570" t="s">
        <v>261</v>
      </c>
      <c r="H272" s="1571"/>
      <c r="I272" s="1571"/>
      <c r="J272" s="1572"/>
    </row>
    <row r="273" spans="1:10" ht="26.25" customHeight="1" thickTop="1" thickBot="1">
      <c r="A273" s="1559"/>
      <c r="B273" s="402">
        <v>3</v>
      </c>
      <c r="C273" s="1565" t="s">
        <v>260</v>
      </c>
      <c r="D273" s="1566"/>
      <c r="E273" s="1566"/>
      <c r="F273" s="1567"/>
      <c r="G273" s="1573"/>
      <c r="H273" s="1574"/>
      <c r="I273" s="1574"/>
      <c r="J273" s="1575"/>
    </row>
    <row r="274" spans="1:10" ht="50.25" customHeight="1" thickTop="1" thickBot="1">
      <c r="A274" s="1558" t="s">
        <v>262</v>
      </c>
      <c r="B274" s="402">
        <v>4</v>
      </c>
      <c r="C274" s="1565" t="s">
        <v>263</v>
      </c>
      <c r="D274" s="1566"/>
      <c r="E274" s="1566"/>
      <c r="F274" s="1567"/>
      <c r="G274" s="1576" t="s">
        <v>265</v>
      </c>
      <c r="H274" s="1577"/>
      <c r="I274" s="1577"/>
      <c r="J274" s="1578"/>
    </row>
    <row r="275" spans="1:10" ht="84.75" customHeight="1" thickTop="1" thickBot="1">
      <c r="A275" s="1559"/>
      <c r="B275" s="402">
        <v>5</v>
      </c>
      <c r="C275" s="1565" t="s">
        <v>264</v>
      </c>
      <c r="D275" s="1566"/>
      <c r="E275" s="1566"/>
      <c r="F275" s="1567"/>
      <c r="G275" s="1576" t="s">
        <v>266</v>
      </c>
      <c r="H275" s="1577"/>
      <c r="I275" s="1577"/>
      <c r="J275" s="1578"/>
    </row>
    <row r="276" spans="1:10" ht="170.25" customHeight="1" thickTop="1" thickBot="1">
      <c r="A276" s="1558" t="s">
        <v>267</v>
      </c>
      <c r="B276" s="402">
        <v>6</v>
      </c>
      <c r="C276" s="1565" t="s">
        <v>268</v>
      </c>
      <c r="D276" s="1566"/>
      <c r="E276" s="1566"/>
      <c r="F276" s="1567"/>
      <c r="G276" s="1576" t="s">
        <v>529</v>
      </c>
      <c r="H276" s="1577"/>
      <c r="I276" s="1577"/>
      <c r="J276" s="1578"/>
    </row>
    <row r="277" spans="1:10" ht="108.75" customHeight="1" thickTop="1" thickBot="1">
      <c r="A277" s="1559"/>
      <c r="B277" s="402">
        <v>7</v>
      </c>
      <c r="C277" s="1565" t="s">
        <v>269</v>
      </c>
      <c r="D277" s="1566"/>
      <c r="E277" s="1566"/>
      <c r="F277" s="1567"/>
      <c r="G277" s="1576" t="s">
        <v>270</v>
      </c>
      <c r="H277" s="1577"/>
      <c r="I277" s="1577"/>
      <c r="J277" s="1578"/>
    </row>
    <row r="278" spans="1:10" ht="60.75" customHeight="1" thickTop="1" thickBot="1">
      <c r="A278" s="1558" t="s">
        <v>271</v>
      </c>
      <c r="B278" s="402">
        <v>8</v>
      </c>
      <c r="C278" s="1565" t="s">
        <v>272</v>
      </c>
      <c r="D278" s="1566"/>
      <c r="E278" s="1566"/>
      <c r="F278" s="1567"/>
      <c r="G278" s="1576" t="s">
        <v>274</v>
      </c>
      <c r="H278" s="1577"/>
      <c r="I278" s="1577"/>
      <c r="J278" s="1578"/>
    </row>
    <row r="279" spans="1:10" ht="96.75" customHeight="1" thickTop="1" thickBot="1">
      <c r="A279" s="1559"/>
      <c r="B279" s="402">
        <v>9</v>
      </c>
      <c r="C279" s="1565" t="s">
        <v>273</v>
      </c>
      <c r="D279" s="1566"/>
      <c r="E279" s="1566"/>
      <c r="F279" s="1567"/>
      <c r="G279" s="1576" t="s">
        <v>275</v>
      </c>
      <c r="H279" s="1577"/>
      <c r="I279" s="1577"/>
      <c r="J279" s="1578"/>
    </row>
    <row r="280" spans="1:10" ht="61.5" customHeight="1" thickTop="1" thickBot="1">
      <c r="A280" s="403" t="s">
        <v>276</v>
      </c>
      <c r="B280" s="402">
        <v>10</v>
      </c>
      <c r="C280" s="1565" t="s">
        <v>277</v>
      </c>
      <c r="D280" s="1566"/>
      <c r="E280" s="1566"/>
      <c r="F280" s="1567"/>
      <c r="G280" s="1576" t="s">
        <v>278</v>
      </c>
      <c r="H280" s="1577"/>
      <c r="I280" s="1577"/>
      <c r="J280" s="1578"/>
    </row>
    <row r="281" spans="1:10" ht="62.25" customHeight="1" thickTop="1" thickBot="1">
      <c r="A281" s="1558" t="s">
        <v>279</v>
      </c>
      <c r="B281" s="402">
        <v>11</v>
      </c>
      <c r="C281" s="1565" t="s">
        <v>280</v>
      </c>
      <c r="D281" s="1566"/>
      <c r="E281" s="1566"/>
      <c r="F281" s="1567"/>
      <c r="G281" s="1576" t="s">
        <v>282</v>
      </c>
      <c r="H281" s="1577"/>
      <c r="I281" s="1577"/>
      <c r="J281" s="1578"/>
    </row>
    <row r="282" spans="1:10" ht="63" customHeight="1" thickTop="1" thickBot="1">
      <c r="A282" s="1559"/>
      <c r="B282" s="402">
        <v>12</v>
      </c>
      <c r="C282" s="1565" t="s">
        <v>281</v>
      </c>
      <c r="D282" s="1566"/>
      <c r="E282" s="1566"/>
      <c r="F282" s="1567"/>
      <c r="G282" s="1576" t="s">
        <v>283</v>
      </c>
      <c r="H282" s="1577"/>
      <c r="I282" s="1577"/>
      <c r="J282" s="1578"/>
    </row>
    <row r="283" spans="1:10" ht="62.25" customHeight="1" thickTop="1" thickBot="1">
      <c r="A283" s="403" t="s">
        <v>284</v>
      </c>
      <c r="B283" s="402">
        <v>13</v>
      </c>
      <c r="C283" s="1565" t="s">
        <v>285</v>
      </c>
      <c r="D283" s="1566"/>
      <c r="E283" s="1566"/>
      <c r="F283" s="1567"/>
      <c r="G283" s="1576" t="s">
        <v>286</v>
      </c>
      <c r="H283" s="1577"/>
      <c r="I283" s="1577"/>
      <c r="J283" s="1578"/>
    </row>
    <row r="284" spans="1:10" ht="26.25" customHeight="1" thickTop="1" thickBot="1">
      <c r="A284" s="1558" t="s">
        <v>287</v>
      </c>
      <c r="B284" s="402">
        <v>14</v>
      </c>
      <c r="C284" s="1565" t="s">
        <v>288</v>
      </c>
      <c r="D284" s="1566"/>
      <c r="E284" s="1566"/>
      <c r="F284" s="1567"/>
      <c r="G284" s="1570" t="s">
        <v>295</v>
      </c>
      <c r="H284" s="1571"/>
      <c r="I284" s="1571"/>
      <c r="J284" s="1572"/>
    </row>
    <row r="285" spans="1:10" ht="37.5" customHeight="1" thickTop="1" thickBot="1">
      <c r="A285" s="1560"/>
      <c r="B285" s="402">
        <v>15</v>
      </c>
      <c r="C285" s="1565" t="s">
        <v>289</v>
      </c>
      <c r="D285" s="1566"/>
      <c r="E285" s="1566"/>
      <c r="F285" s="1567"/>
      <c r="G285" s="857"/>
      <c r="H285" s="858"/>
      <c r="I285" s="858"/>
      <c r="J285" s="859"/>
    </row>
    <row r="286" spans="1:10" ht="37.5" customHeight="1" thickTop="1" thickBot="1">
      <c r="A286" s="1560"/>
      <c r="B286" s="402">
        <v>16</v>
      </c>
      <c r="C286" s="1565" t="s">
        <v>290</v>
      </c>
      <c r="D286" s="1566"/>
      <c r="E286" s="1566"/>
      <c r="F286" s="1567"/>
      <c r="G286" s="857"/>
      <c r="H286" s="858"/>
      <c r="I286" s="858"/>
      <c r="J286" s="859"/>
    </row>
    <row r="287" spans="1:10" ht="26.25" customHeight="1" thickTop="1" thickBot="1">
      <c r="A287" s="1560"/>
      <c r="B287" s="402">
        <v>17</v>
      </c>
      <c r="C287" s="1565" t="s">
        <v>291</v>
      </c>
      <c r="D287" s="1566"/>
      <c r="E287" s="1566"/>
      <c r="F287" s="1567"/>
      <c r="G287" s="857"/>
      <c r="H287" s="858"/>
      <c r="I287" s="858"/>
      <c r="J287" s="859"/>
    </row>
    <row r="288" spans="1:10" ht="26.25" customHeight="1" thickTop="1" thickBot="1">
      <c r="A288" s="1560"/>
      <c r="B288" s="402">
        <v>18</v>
      </c>
      <c r="C288" s="1565" t="s">
        <v>292</v>
      </c>
      <c r="D288" s="1566"/>
      <c r="E288" s="1566"/>
      <c r="F288" s="1567"/>
      <c r="G288" s="857"/>
      <c r="H288" s="858"/>
      <c r="I288" s="858"/>
      <c r="J288" s="859"/>
    </row>
    <row r="289" spans="1:10" ht="37.5" customHeight="1" thickTop="1" thickBot="1">
      <c r="A289" s="1560"/>
      <c r="B289" s="402">
        <v>19</v>
      </c>
      <c r="C289" s="1565" t="s">
        <v>293</v>
      </c>
      <c r="D289" s="1566"/>
      <c r="E289" s="1566"/>
      <c r="F289" s="1567"/>
      <c r="G289" s="1573"/>
      <c r="H289" s="1574"/>
      <c r="I289" s="1574"/>
      <c r="J289" s="1575"/>
    </row>
    <row r="290" spans="1:10" ht="37.5" customHeight="1" thickTop="1" thickBot="1">
      <c r="A290" s="1559"/>
      <c r="B290" s="402">
        <v>20</v>
      </c>
      <c r="C290" s="1565" t="s">
        <v>294</v>
      </c>
      <c r="D290" s="1566"/>
      <c r="E290" s="1566"/>
      <c r="F290" s="1567"/>
      <c r="G290" s="1576" t="s">
        <v>296</v>
      </c>
      <c r="H290" s="1577"/>
      <c r="I290" s="1577"/>
      <c r="J290" s="1578"/>
    </row>
    <row r="291" spans="1:10" ht="16.5" customHeight="1" thickTop="1" thickBot="1">
      <c r="A291" s="1558" t="s">
        <v>297</v>
      </c>
      <c r="B291" s="402">
        <v>21</v>
      </c>
      <c r="C291" s="1565" t="s">
        <v>298</v>
      </c>
      <c r="D291" s="1566"/>
      <c r="E291" s="1566"/>
      <c r="F291" s="1567"/>
      <c r="G291" s="1570" t="s">
        <v>295</v>
      </c>
      <c r="H291" s="1571"/>
      <c r="I291" s="1571"/>
      <c r="J291" s="1572"/>
    </row>
    <row r="292" spans="1:10" ht="15" thickTop="1" thickBot="1">
      <c r="A292" s="1560"/>
      <c r="B292" s="402">
        <v>22</v>
      </c>
      <c r="C292" s="1565" t="s">
        <v>530</v>
      </c>
      <c r="D292" s="1566"/>
      <c r="E292" s="1566"/>
      <c r="F292" s="1567"/>
      <c r="G292" s="857"/>
      <c r="H292" s="858"/>
      <c r="I292" s="858"/>
      <c r="J292" s="859"/>
    </row>
    <row r="293" spans="1:10" ht="15" thickTop="1" thickBot="1">
      <c r="A293" s="1560"/>
      <c r="B293" s="402">
        <v>23</v>
      </c>
      <c r="C293" s="1565" t="s">
        <v>299</v>
      </c>
      <c r="D293" s="1566"/>
      <c r="E293" s="1566"/>
      <c r="F293" s="1567"/>
      <c r="G293" s="857"/>
      <c r="H293" s="858"/>
      <c r="I293" s="858"/>
      <c r="J293" s="859"/>
    </row>
    <row r="294" spans="1:10" ht="42" customHeight="1" thickTop="1" thickBot="1">
      <c r="A294" s="1560"/>
      <c r="B294" s="402">
        <v>24</v>
      </c>
      <c r="C294" s="1565" t="s">
        <v>300</v>
      </c>
      <c r="D294" s="1566"/>
      <c r="E294" s="1566"/>
      <c r="F294" s="1567"/>
      <c r="G294" s="857"/>
      <c r="H294" s="858"/>
      <c r="I294" s="858"/>
      <c r="J294" s="859"/>
    </row>
    <row r="295" spans="1:10" ht="15" thickTop="1" thickBot="1">
      <c r="A295" s="1560"/>
      <c r="B295" s="402">
        <v>25</v>
      </c>
      <c r="C295" s="1565" t="s">
        <v>301</v>
      </c>
      <c r="D295" s="1566"/>
      <c r="E295" s="1566"/>
      <c r="F295" s="1567"/>
      <c r="G295" s="857"/>
      <c r="H295" s="858"/>
      <c r="I295" s="858"/>
      <c r="J295" s="859"/>
    </row>
    <row r="296" spans="1:10" ht="26.25" customHeight="1" thickTop="1" thickBot="1">
      <c r="A296" s="1560"/>
      <c r="B296" s="402">
        <v>26</v>
      </c>
      <c r="C296" s="1565" t="s">
        <v>302</v>
      </c>
      <c r="D296" s="1566"/>
      <c r="E296" s="1566"/>
      <c r="F296" s="1567"/>
      <c r="G296" s="857"/>
      <c r="H296" s="858"/>
      <c r="I296" s="858"/>
      <c r="J296" s="859"/>
    </row>
    <row r="297" spans="1:10" ht="15" thickTop="1" thickBot="1">
      <c r="A297" s="1560"/>
      <c r="B297" s="402">
        <v>27</v>
      </c>
      <c r="C297" s="1565" t="s">
        <v>303</v>
      </c>
      <c r="D297" s="1566"/>
      <c r="E297" s="1566"/>
      <c r="F297" s="1567"/>
      <c r="G297" s="857"/>
      <c r="H297" s="858"/>
      <c r="I297" s="858"/>
      <c r="J297" s="859"/>
    </row>
    <row r="298" spans="1:10" ht="15" thickTop="1" thickBot="1">
      <c r="A298" s="1560"/>
      <c r="B298" s="402">
        <v>28</v>
      </c>
      <c r="C298" s="1565" t="s">
        <v>304</v>
      </c>
      <c r="D298" s="1566"/>
      <c r="E298" s="1566"/>
      <c r="F298" s="1567"/>
      <c r="G298" s="857"/>
      <c r="H298" s="858"/>
      <c r="I298" s="858"/>
      <c r="J298" s="859"/>
    </row>
    <row r="299" spans="1:10" ht="15" thickTop="1" thickBot="1">
      <c r="A299" s="1559"/>
      <c r="B299" s="402">
        <v>29</v>
      </c>
      <c r="C299" s="1565" t="s">
        <v>305</v>
      </c>
      <c r="D299" s="1566"/>
      <c r="E299" s="1566"/>
      <c r="F299" s="1567"/>
      <c r="G299" s="1573"/>
      <c r="H299" s="1574"/>
      <c r="I299" s="1574"/>
      <c r="J299" s="1575"/>
    </row>
    <row r="300" spans="1:10" ht="197.25" customHeight="1" thickTop="1" thickBot="1">
      <c r="A300" s="403" t="s">
        <v>306</v>
      </c>
      <c r="B300" s="402">
        <v>30</v>
      </c>
      <c r="C300" s="1565" t="s">
        <v>307</v>
      </c>
      <c r="D300" s="1566"/>
      <c r="E300" s="1566"/>
      <c r="F300" s="1567"/>
      <c r="G300" s="1576" t="s">
        <v>531</v>
      </c>
      <c r="H300" s="1577"/>
      <c r="I300" s="1577"/>
      <c r="J300" s="1578"/>
    </row>
    <row r="301" spans="1:10" ht="30" customHeight="1" thickTop="1" thickBot="1">
      <c r="A301" s="1556" t="s">
        <v>308</v>
      </c>
      <c r="B301" s="402">
        <v>31</v>
      </c>
      <c r="C301" s="1565" t="s">
        <v>309</v>
      </c>
      <c r="D301" s="1566"/>
      <c r="E301" s="1566"/>
      <c r="F301" s="1567"/>
      <c r="G301" s="1570" t="s">
        <v>312</v>
      </c>
      <c r="H301" s="1571"/>
      <c r="I301" s="1571"/>
      <c r="J301" s="1572"/>
    </row>
    <row r="302" spans="1:10" ht="30" customHeight="1" thickTop="1" thickBot="1">
      <c r="A302" s="1569"/>
      <c r="B302" s="402">
        <v>32</v>
      </c>
      <c r="C302" s="1565" t="s">
        <v>310</v>
      </c>
      <c r="D302" s="1566"/>
      <c r="E302" s="1566"/>
      <c r="F302" s="1567"/>
      <c r="G302" s="857"/>
      <c r="H302" s="858"/>
      <c r="I302" s="858"/>
      <c r="J302" s="859"/>
    </row>
    <row r="303" spans="1:10" ht="30" customHeight="1" thickTop="1" thickBot="1">
      <c r="A303" s="1557"/>
      <c r="B303" s="402">
        <v>33</v>
      </c>
      <c r="C303" s="1565" t="s">
        <v>311</v>
      </c>
      <c r="D303" s="1566"/>
      <c r="E303" s="1566"/>
      <c r="F303" s="1567"/>
      <c r="G303" s="1573"/>
      <c r="H303" s="1574"/>
      <c r="I303" s="1574"/>
      <c r="J303" s="1575"/>
    </row>
    <row r="304" spans="1:10" ht="85.5" customHeight="1" thickTop="1" thickBot="1">
      <c r="A304" s="403" t="s">
        <v>313</v>
      </c>
      <c r="B304" s="402">
        <v>34</v>
      </c>
      <c r="C304" s="1565" t="s">
        <v>314</v>
      </c>
      <c r="D304" s="1566"/>
      <c r="E304" s="1566"/>
      <c r="F304" s="1567"/>
      <c r="G304" s="1576" t="s">
        <v>315</v>
      </c>
      <c r="H304" s="1577"/>
      <c r="I304" s="1577"/>
      <c r="J304" s="1578"/>
    </row>
    <row r="305" spans="1:10" ht="75" customHeight="1" thickTop="1" thickBot="1">
      <c r="A305" s="1556" t="s">
        <v>316</v>
      </c>
      <c r="B305" s="402">
        <v>35</v>
      </c>
      <c r="C305" s="1565" t="s">
        <v>317</v>
      </c>
      <c r="D305" s="1566"/>
      <c r="E305" s="1566"/>
      <c r="F305" s="1567"/>
      <c r="G305" s="1570" t="s">
        <v>532</v>
      </c>
      <c r="H305" s="1571"/>
      <c r="I305" s="1571"/>
      <c r="J305" s="1572"/>
    </row>
    <row r="306" spans="1:10" ht="133.5" customHeight="1" thickTop="1" thickBot="1">
      <c r="A306" s="1557"/>
      <c r="B306" s="402">
        <v>36</v>
      </c>
      <c r="C306" s="1565" t="s">
        <v>318</v>
      </c>
      <c r="D306" s="1566"/>
      <c r="E306" s="1566"/>
      <c r="F306" s="1567"/>
      <c r="G306" s="1573"/>
      <c r="H306" s="1574"/>
      <c r="I306" s="1574"/>
      <c r="J306" s="1575"/>
    </row>
    <row r="307" spans="1:10" ht="14.5" thickTop="1"/>
    <row r="308" spans="1:10" ht="15.5">
      <c r="A308" s="1"/>
    </row>
  </sheetData>
  <sheetProtection algorithmName="SHA-512" hashValue="5fAPi/FWWhygwMdWWAnha01Nqfc6+zH/MIb7owrNVCK+HhlESY9tCN2dhSFsW1xiFy8udAW3ikhz+q7+5SYbYw==" saltValue="Gro/UnDgP+eH37KnJ6KRHw==" spinCount="100000" sheet="1" selectLockedCells="1"/>
  <customSheetViews>
    <customSheetView guid="{A81B7E59-6D30-48F0-895B-EADA4D6F68AC}" scale="85" fitToPage="1">
      <selection activeCell="C10" sqref="C10"/>
      <pageMargins left="0.5" right="0.5" top="1.1100000000000001" bottom="0.75" header="0.3" footer="0.3"/>
      <pageSetup scale="68" fitToHeight="10" orientation="portrait" r:id="rId1"/>
      <headerFooter>
        <oddHeader>&amp;L&amp;"Arial,Regular"&amp;8Texas Department of Aging 
and Disability Services&amp;C&amp;"Arial,Bold"&amp;12RESIDENTIAL CARE (RC)
RC INDIVIDUAL FUND SUMMARY&amp;R&amp;"Arial,Regular"&amp;8Form TBD
Page &amp;P</oddHeader>
      </headerFooter>
    </customSheetView>
    <customSheetView guid="{B2091B36-14EA-49EC-93AF-D5AA205EF0C1}" scale="85" fitToPage="1" hiddenRows="1" topLeftCell="A4">
      <selection activeCell="C13" sqref="C13"/>
      <pageMargins left="0.5" right="0.5" top="1.1100000000000001" bottom="0.75" header="0.3" footer="0.3"/>
      <pageSetup scale="68" fitToHeight="10" orientation="portrait" r:id="rId2"/>
      <headerFooter>
        <oddHeader>&amp;L&amp;"Arial,Regular"&amp;8Texas Department of Aging
and Disability Services&amp;C&amp;"Arial,Bold"&amp;12ASSISTED LIVING/RESIDENTIAL CARE (AL/RC) /
OUT OF HOME RESPITE (OHR)
AL/RC INDIVIDUAL FUND SUMMARY&amp;R&amp;"Arial,Regular"&amp;8Form TBD
Page &amp;P</oddHeader>
      </headerFooter>
    </customSheetView>
    <customSheetView guid="{965C3FE4-50BF-43C0-B1D0-366B904E9BAB}" fitToPage="1">
      <selection activeCell="C13" sqref="C13"/>
      <pageMargins left="0.5" right="0.5" top="1.1100000000000001" bottom="0.75" header="0.3" footer="0.3"/>
      <pageSetup scale="95" fitToHeight="10" orientation="portrait" r:id="rId3"/>
      <headerFooter>
        <oddHeader>&amp;L&amp;"Arial,Regular"&amp;8Texas Department of Aging
and Disability Services&amp;C&amp;"Arial,Bold"&amp;12ASSISTED LIVING/RESIDENTIAL CARE (AL/RC) /
OUT OF HOME RESPITE (OHR)
AL/RC INDIVIDUAL FUND SUMMARY&amp;R&amp;"Arial,Regular"&amp;8Form TBD
Page &amp;P</oddHeader>
      </headerFooter>
    </customSheetView>
    <customSheetView guid="{5C7A2EDE-CAF2-41B7-8EBC-2EB35225299B}" fitToPage="1">
      <selection activeCell="C13" sqref="C13"/>
      <pageMargins left="0.5" right="0.5" top="1.1100000000000001" bottom="0.75" header="0.3" footer="0.3"/>
      <pageSetup scale="95" fitToHeight="10" orientation="portrait" r:id="rId4"/>
      <headerFooter>
        <oddHeader>&amp;L&amp;"Arial,Regular"&amp;8Texas Department of Aging
and Disability Services&amp;C&amp;"Arial,Bold"&amp;12ASSISTED LIVING/RESIDENTIAL CARE (AL/RC) /
OUT OF HOME RESPITE (OHR)
AL/RC INDIVIDUAL FUND SUMMARY&amp;R&amp;"Arial,Regular"&amp;8Form TBD
Page &amp;P</oddHeader>
      </headerFooter>
    </customSheetView>
    <customSheetView guid="{15DD4F60-D491-4D73-A014-FE6349F17583}" fitToPage="1">
      <selection activeCell="C13" sqref="C13"/>
      <pageMargins left="0.5" right="0.5" top="1.1100000000000001" bottom="0.75" header="0.3" footer="0.3"/>
      <pageSetup scale="95" fitToHeight="10" orientation="portrait" r:id="rId5"/>
      <headerFooter>
        <oddHeader>&amp;L&amp;"Arial,Regular"&amp;8Texas Department of Aging
and Disability Services&amp;C&amp;"Arial,Bold"&amp;12ASSISTED LIVING/RESIDENTIAL CARE (AL/RC) /
OUT OF HOME RESPITE (OHR)
AL/RC INDIVIDUAL FUND SUMMARY&amp;R&amp;"Arial,Regular"&amp;8Form TBD
Page &amp;P</oddHeader>
      </headerFooter>
    </customSheetView>
    <customSheetView guid="{A9399441-FD69-4FCC-BF3B-6E447DD9FB6A}" scale="85" fitToPage="1" hiddenRows="1" topLeftCell="A4">
      <selection activeCell="C13" sqref="C13"/>
      <pageMargins left="0.5" right="0.5" top="1.1100000000000001" bottom="0.75" header="0.3" footer="0.3"/>
      <pageSetup scale="68" fitToHeight="10" orientation="portrait" r:id="rId6"/>
      <headerFooter>
        <oddHeader>&amp;L&amp;"Arial,Regular"&amp;8Texas Department of Aging
and Disability Services&amp;C&amp;"Arial,Bold"&amp;12ASSISTED LIVING/RESIDENTIAL CARE (AL/RC) /
OUT OF HOME RESPITE (OHR)
AL/RC INDIVIDUAL FUND SUMMARY&amp;R&amp;"Arial,Regular"&amp;8Form TBD
Page &amp;P</oddHeader>
      </headerFooter>
    </customSheetView>
  </customSheetViews>
  <mergeCells count="127">
    <mergeCell ref="F7:G7"/>
    <mergeCell ref="H7:J7"/>
    <mergeCell ref="A7:B7"/>
    <mergeCell ref="C7:E7"/>
    <mergeCell ref="G305:J306"/>
    <mergeCell ref="G291:J299"/>
    <mergeCell ref="C300:F300"/>
    <mergeCell ref="G300:J300"/>
    <mergeCell ref="C301:F301"/>
    <mergeCell ref="C302:F302"/>
    <mergeCell ref="C303:F303"/>
    <mergeCell ref="G301:J303"/>
    <mergeCell ref="C304:F304"/>
    <mergeCell ref="G304:J304"/>
    <mergeCell ref="C291:F291"/>
    <mergeCell ref="C292:F292"/>
    <mergeCell ref="C293:F293"/>
    <mergeCell ref="C294:F294"/>
    <mergeCell ref="C295:F295"/>
    <mergeCell ref="C296:F296"/>
    <mergeCell ref="C297:F297"/>
    <mergeCell ref="C298:F298"/>
    <mergeCell ref="C299:F299"/>
    <mergeCell ref="A18:A34"/>
    <mergeCell ref="A35:A37"/>
    <mergeCell ref="A38:A54"/>
    <mergeCell ref="A15:A17"/>
    <mergeCell ref="A8:J8"/>
    <mergeCell ref="I9:J14"/>
    <mergeCell ref="E15:J17"/>
    <mergeCell ref="E35:J37"/>
    <mergeCell ref="A9:A14"/>
    <mergeCell ref="B10:B14"/>
    <mergeCell ref="A1:D1"/>
    <mergeCell ref="E1:F1"/>
    <mergeCell ref="G1:H1"/>
    <mergeCell ref="I1:J1"/>
    <mergeCell ref="A2:D2"/>
    <mergeCell ref="E2:F2"/>
    <mergeCell ref="G2:H2"/>
    <mergeCell ref="I2:J2"/>
    <mergeCell ref="A6:B6"/>
    <mergeCell ref="C6:E6"/>
    <mergeCell ref="F6:G6"/>
    <mergeCell ref="H6:J6"/>
    <mergeCell ref="I3:J3"/>
    <mergeCell ref="A3:B3"/>
    <mergeCell ref="C3:D3"/>
    <mergeCell ref="C4:D4"/>
    <mergeCell ref="C5:D5"/>
    <mergeCell ref="E3:F3"/>
    <mergeCell ref="E4:F4"/>
    <mergeCell ref="E5:F5"/>
    <mergeCell ref="G3:H3"/>
    <mergeCell ref="G4:H4"/>
    <mergeCell ref="G5:H5"/>
    <mergeCell ref="G104:G118"/>
    <mergeCell ref="B104:B118"/>
    <mergeCell ref="A272:A273"/>
    <mergeCell ref="A274:A275"/>
    <mergeCell ref="A268:J268"/>
    <mergeCell ref="A269:J269"/>
    <mergeCell ref="G236:G250"/>
    <mergeCell ref="G281:J281"/>
    <mergeCell ref="A276:A277"/>
    <mergeCell ref="A278:A279"/>
    <mergeCell ref="G275:J275"/>
    <mergeCell ref="G272:J273"/>
    <mergeCell ref="C276:F276"/>
    <mergeCell ref="G276:J276"/>
    <mergeCell ref="C277:F277"/>
    <mergeCell ref="G277:J277"/>
    <mergeCell ref="C278:F278"/>
    <mergeCell ref="G278:J278"/>
    <mergeCell ref="C279:F279"/>
    <mergeCell ref="G279:J279"/>
    <mergeCell ref="A251:A267"/>
    <mergeCell ref="C272:F272"/>
    <mergeCell ref="G270:J270"/>
    <mergeCell ref="C271:F271"/>
    <mergeCell ref="G120:G134"/>
    <mergeCell ref="A301:A303"/>
    <mergeCell ref="C284:F284"/>
    <mergeCell ref="C285:F285"/>
    <mergeCell ref="C286:F286"/>
    <mergeCell ref="C287:F287"/>
    <mergeCell ref="C288:F288"/>
    <mergeCell ref="C289:F289"/>
    <mergeCell ref="C290:F290"/>
    <mergeCell ref="G284:J289"/>
    <mergeCell ref="G290:J290"/>
    <mergeCell ref="A135:A166"/>
    <mergeCell ref="A199:A217"/>
    <mergeCell ref="A235:A250"/>
    <mergeCell ref="A218:A234"/>
    <mergeCell ref="B236:B250"/>
    <mergeCell ref="B200:B217"/>
    <mergeCell ref="G200:G217"/>
    <mergeCell ref="B120:B134"/>
    <mergeCell ref="G271:J271"/>
    <mergeCell ref="G282:J282"/>
    <mergeCell ref="G283:J283"/>
    <mergeCell ref="G274:J274"/>
    <mergeCell ref="G280:J280"/>
    <mergeCell ref="B56:B70"/>
    <mergeCell ref="A305:A306"/>
    <mergeCell ref="A281:A282"/>
    <mergeCell ref="A284:A290"/>
    <mergeCell ref="A291:A299"/>
    <mergeCell ref="A87:A102"/>
    <mergeCell ref="A103:A118"/>
    <mergeCell ref="A119:A134"/>
    <mergeCell ref="C281:F281"/>
    <mergeCell ref="C282:F282"/>
    <mergeCell ref="A167:A198"/>
    <mergeCell ref="C270:F270"/>
    <mergeCell ref="A71:A86"/>
    <mergeCell ref="A55:A70"/>
    <mergeCell ref="B88:B102"/>
    <mergeCell ref="B72:B86"/>
    <mergeCell ref="C305:F305"/>
    <mergeCell ref="C306:F306"/>
    <mergeCell ref="C283:F283"/>
    <mergeCell ref="C273:F273"/>
    <mergeCell ref="C274:F274"/>
    <mergeCell ref="C275:F275"/>
    <mergeCell ref="C280:F280"/>
  </mergeCells>
  <dataValidations count="14">
    <dataValidation type="whole" showInputMessage="1" showErrorMessage="1" sqref="I6:J6" xr:uid="{00000000-0002-0000-2000-000000000000}">
      <formula1>1</formula1>
      <formula2>999999999999</formula2>
    </dataValidation>
    <dataValidation type="whole" allowBlank="1" showInputMessage="1" showErrorMessage="1" sqref="B17" xr:uid="{00000000-0002-0000-2000-000001000000}">
      <formula1>2</formula1>
      <formula2>3</formula2>
    </dataValidation>
    <dataValidation type="whole" allowBlank="1" showInputMessage="1" showErrorMessage="1" sqref="C200:C217 H200:H217 C220:C234 H220:H234 C253:C267 H253:H267 C236:C250 H236:H250 B88 C104:C118 H169:H198 H104:H118 H20:H34 C10:H14 H120:H134 C137:C166 H137:H166 C169:C198 C120:C134 B200 G200 B236 G236 C20:C34 C40:C54 H40:H54 C56:C70 I56:I70 C72:C86 I72:I86 C88:C102 I88:I102" xr:uid="{00000000-0002-0000-2000-000002000000}">
      <formula1>1</formula1>
      <formula2>99</formula2>
    </dataValidation>
    <dataValidation type="whole" allowBlank="1" showInputMessage="1" showErrorMessage="1" sqref="G20:G34 B20:B34" xr:uid="{00000000-0002-0000-2000-000003000000}">
      <formula1>4</formula1>
      <formula2>5</formula2>
    </dataValidation>
    <dataValidation type="whole" allowBlank="1" showInputMessage="1" showErrorMessage="1" sqref="B37" xr:uid="{00000000-0002-0000-2000-000004000000}">
      <formula1>6</formula1>
      <formula2>7</formula2>
    </dataValidation>
    <dataValidation type="whole" allowBlank="1" showInputMessage="1" showErrorMessage="1" sqref="G40:G54 B40:B54" xr:uid="{00000000-0002-0000-2000-000005000000}">
      <formula1>8</formula1>
      <formula2>9</formula2>
    </dataValidation>
    <dataValidation type="whole" allowBlank="1" showInputMessage="1" showErrorMessage="1" sqref="B137:B166 G137:G166" xr:uid="{00000000-0002-0000-2000-000006000000}">
      <formula1>14</formula1>
      <formula2>20</formula2>
    </dataValidation>
    <dataValidation type="whole" allowBlank="1" showInputMessage="1" showErrorMessage="1" sqref="B220:B234 G220:G234" xr:uid="{00000000-0002-0000-2000-000007000000}">
      <formula1>31</formula1>
      <formula2>33</formula2>
    </dataValidation>
    <dataValidation type="whole" allowBlank="1" showInputMessage="1" showErrorMessage="1" sqref="B253:B267 G253:G267" xr:uid="{00000000-0002-0000-2000-000008000000}">
      <formula1>35</formula1>
      <formula2>36</formula2>
    </dataValidation>
    <dataValidation type="decimal" operator="greaterThanOrEqual" allowBlank="1" showInputMessage="1" showErrorMessage="1" sqref="J253:J267 E220:E234 I20:J34 D17 D37 I40:J54 M72:M86 K88:K102 M88:M102 E137:E166 J137:J166 E200:E217 E120:E134 J104:J118 E169:E198 E253:E267 E104:E118 J169:J198 J200:J217 J120:J134 J220:J234 C16:C17 D20:E34 C36:C37 D40:E54 E72:E86 G72:G86 K72:K86 E88:E102 G88:G102 E236:E250 J236:J250" xr:uid="{00000000-0002-0000-2000-000009000000}">
      <formula1>0</formula1>
    </dataValidation>
    <dataValidation type="date" operator="greaterThanOrEqual" allowBlank="1" showInputMessage="1" showErrorMessage="1" sqref="D200:D217 I200:I217 I253:I267 D137:D166 I137:I166 I104:I118 D169:D198 D253:D267 D104:D118 I169:I198 D120:D134 I120:I134 D236:D250 D220:D234 I220:I234 I236:I250" xr:uid="{00000000-0002-0000-2000-00000A000000}">
      <formula1>1</formula1>
    </dataValidation>
    <dataValidation type="date" operator="greaterThan" allowBlank="1" showInputMessage="1" showErrorMessage="1" sqref="J88:J102 D56:D70 F56:F70 J56:J70 L56:L70 D72:D86 F72:F86 J72:J86 L72:L86 D88:D102 F88:F102 L88:L102" xr:uid="{00000000-0002-0000-2000-00000B000000}">
      <formula1>1</formula1>
    </dataValidation>
    <dataValidation type="decimal" operator="greaterThan" allowBlank="1" showInputMessage="1" showErrorMessage="1" sqref="E56:E70 G56:G70 K56:K70 M56:M70" xr:uid="{00000000-0002-0000-2000-00000C000000}">
      <formula1>0</formula1>
    </dataValidation>
    <dataValidation type="whole" allowBlank="1" showInputMessage="1" showErrorMessage="1" sqref="B169:B198 G169:G198" xr:uid="{00000000-0002-0000-2000-00000D000000}">
      <formula1>21</formula1>
      <formula2>29</formula2>
    </dataValidation>
  </dataValidations>
  <pageMargins left="0.5" right="0.5" top="1.1100000000000001" bottom="0.75" header="0.3" footer="0.3"/>
  <pageSetup scale="68" fitToHeight="10" orientation="portrait" r:id="rId7"/>
  <headerFooter>
    <oddHeader>&amp;L&amp;"Arial,Regular"&amp;8Texas Department of Aging 
and Disability Services&amp;C&amp;"Arial,Bold"&amp;12RESIDENTIAL CARE (RC)
RC INDIVIDUAL FUND SUMMARY&amp;R&amp;"Arial,Regular"&amp;8Form TBD
Page &amp;P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Z82"/>
  <sheetViews>
    <sheetView zoomScale="85" zoomScaleNormal="85" workbookViewId="0">
      <selection activeCell="C7" sqref="C7:E7"/>
    </sheetView>
  </sheetViews>
  <sheetFormatPr defaultRowHeight="14.5"/>
  <cols>
    <col min="2" max="2" width="13" customWidth="1"/>
    <col min="3" max="3" width="7.6328125" customWidth="1"/>
    <col min="4" max="4" width="7" customWidth="1"/>
    <col min="5" max="5" width="10.90625" customWidth="1"/>
    <col min="6" max="6" width="11.08984375" customWidth="1"/>
    <col min="7" max="7" width="11.6328125" customWidth="1"/>
    <col min="8" max="8" width="11.36328125" customWidth="1"/>
    <col min="9" max="9" width="12.453125" customWidth="1"/>
    <col min="10" max="10" width="12.08984375" customWidth="1"/>
    <col min="14" max="14" width="9.08984375" customWidth="1"/>
  </cols>
  <sheetData>
    <row r="1" spans="1:10" s="1" customFormat="1" ht="30" customHeight="1">
      <c r="A1" s="1597" t="s">
        <v>0</v>
      </c>
      <c r="B1" s="1598"/>
      <c r="C1" s="1598"/>
      <c r="D1" s="1599"/>
      <c r="E1" s="1600"/>
      <c r="F1" s="1601"/>
      <c r="G1" s="1600" t="s">
        <v>1</v>
      </c>
      <c r="H1" s="1601"/>
      <c r="I1" s="1600" t="s">
        <v>2</v>
      </c>
      <c r="J1" s="1602"/>
    </row>
    <row r="2" spans="1:10" s="1" customFormat="1" ht="30" customHeight="1" thickBot="1">
      <c r="A2" s="1603">
        <f>NameOfLegalEntity</f>
        <v>0</v>
      </c>
      <c r="B2" s="1496"/>
      <c r="C2" s="1496"/>
      <c r="D2" s="1497"/>
      <c r="E2" s="1498">
        <f>SingleCare3Facility</f>
        <v>0</v>
      </c>
      <c r="F2" s="1499"/>
      <c r="G2" s="1498">
        <f>ReviewLevel</f>
        <v>0</v>
      </c>
      <c r="H2" s="1499"/>
      <c r="I2" s="1498">
        <f>ReviewType</f>
        <v>0</v>
      </c>
      <c r="J2" s="1604"/>
    </row>
    <row r="3" spans="1:10" s="1" customFormat="1" ht="26.25" customHeight="1" thickTop="1">
      <c r="A3" s="1327" t="s">
        <v>3</v>
      </c>
      <c r="B3" s="1356"/>
      <c r="C3" s="499" t="s">
        <v>4</v>
      </c>
      <c r="D3" s="501"/>
      <c r="E3" s="499" t="s">
        <v>5</v>
      </c>
      <c r="F3" s="501"/>
      <c r="G3" s="499" t="s">
        <v>5</v>
      </c>
      <c r="H3" s="501"/>
      <c r="I3" s="499" t="s">
        <v>1381</v>
      </c>
      <c r="J3" s="1609"/>
    </row>
    <row r="4" spans="1:10" s="1" customFormat="1" ht="15" customHeight="1">
      <c r="A4" s="313" t="s">
        <v>7</v>
      </c>
      <c r="B4" s="289">
        <f>CompletedByLastName</f>
        <v>0</v>
      </c>
      <c r="C4" s="502" t="s">
        <v>8</v>
      </c>
      <c r="D4" s="504"/>
      <c r="E4" s="502" t="s">
        <v>9</v>
      </c>
      <c r="F4" s="504"/>
      <c r="G4" s="502" t="s">
        <v>1430</v>
      </c>
      <c r="H4" s="504"/>
      <c r="I4" s="2" t="s">
        <v>10</v>
      </c>
      <c r="J4" s="314" t="str">
        <f>IF(MonitoringPeriodBeginDate="","",MonitoringPeriodBeginDate)</f>
        <v/>
      </c>
    </row>
    <row r="5" spans="1:10" s="1" customFormat="1" ht="16.5" customHeight="1" thickBot="1">
      <c r="A5" s="315" t="s">
        <v>11</v>
      </c>
      <c r="B5" s="293">
        <f>CompletedByFirstName</f>
        <v>0</v>
      </c>
      <c r="C5" s="1501" t="str">
        <f>IF(DateOfEntrance="","",DateOfEntrance)</f>
        <v/>
      </c>
      <c r="D5" s="1502"/>
      <c r="E5" s="1501" t="str">
        <f>IF(DateOfExit="","",DateOfExit)</f>
        <v/>
      </c>
      <c r="F5" s="1502"/>
      <c r="G5" s="1501" t="str">
        <f>IF(DateOfRevisedExit="","",DateOfRevisedExit)</f>
        <v/>
      </c>
      <c r="H5" s="1502"/>
      <c r="I5" s="286" t="s">
        <v>12</v>
      </c>
      <c r="J5" s="316" t="str">
        <f>IF(MonitoringPeriodEndDate="","",MonitoringPeriodEndDate)</f>
        <v/>
      </c>
    </row>
    <row r="6" spans="1:10" s="1" customFormat="1" ht="15.75" customHeight="1" thickTop="1" thickBot="1">
      <c r="A6" s="1606" t="s">
        <v>13</v>
      </c>
      <c r="B6" s="1606"/>
      <c r="C6" s="1606" t="s">
        <v>53</v>
      </c>
      <c r="D6" s="1606"/>
      <c r="E6" s="1607"/>
      <c r="F6" s="1608"/>
      <c r="G6" s="1606"/>
      <c r="H6" s="1606"/>
      <c r="I6" s="1606"/>
      <c r="J6" s="1606"/>
    </row>
    <row r="7" spans="1:10" s="1" customFormat="1" ht="15" customHeight="1" thickBot="1">
      <c r="A7" s="1504" t="s">
        <v>74</v>
      </c>
      <c r="B7" s="1504"/>
      <c r="C7" s="1505">
        <f>CCADRCcontractNumber</f>
        <v>0</v>
      </c>
      <c r="D7" s="1506"/>
      <c r="E7" s="1507"/>
      <c r="F7" s="1503"/>
      <c r="G7" s="1504"/>
      <c r="H7" s="1505">
        <f>CBAOHRcontractNumber</f>
        <v>0</v>
      </c>
      <c r="I7" s="1506"/>
      <c r="J7" s="1605"/>
    </row>
    <row r="8" spans="1:10" s="1" customFormat="1" ht="15" hidden="1" customHeight="1" thickBot="1">
      <c r="A8" s="1504"/>
      <c r="B8" s="1504"/>
      <c r="C8" s="1505">
        <f>CBAALcontractNumber</f>
        <v>0</v>
      </c>
      <c r="D8" s="1506"/>
      <c r="E8" s="1507"/>
      <c r="F8" s="1503"/>
      <c r="G8" s="1504"/>
      <c r="H8" s="1505"/>
      <c r="I8" s="1506"/>
      <c r="J8" s="1605"/>
    </row>
    <row r="9" spans="1:10" ht="15.75" customHeight="1" thickTop="1">
      <c r="A9" s="1615" t="s">
        <v>1449</v>
      </c>
      <c r="B9" s="1616"/>
      <c r="C9" s="1616"/>
      <c r="D9" s="1616"/>
      <c r="E9" s="1616"/>
      <c r="F9" s="1616"/>
      <c r="G9" s="1616"/>
      <c r="H9" s="1616"/>
      <c r="I9" s="1616"/>
      <c r="J9" s="1617"/>
    </row>
    <row r="10" spans="1:10">
      <c r="A10" s="1618" t="s">
        <v>1450</v>
      </c>
      <c r="B10" s="804"/>
      <c r="C10" s="804"/>
      <c r="D10" s="804"/>
      <c r="E10" s="804"/>
      <c r="F10" s="804"/>
      <c r="G10" s="804"/>
      <c r="H10" s="804"/>
      <c r="I10" s="804"/>
      <c r="J10" s="1619"/>
    </row>
    <row r="11" spans="1:10" ht="60" customHeight="1">
      <c r="A11" s="1629" t="s">
        <v>1451</v>
      </c>
      <c r="B11" s="1630"/>
      <c r="C11" s="1630"/>
      <c r="D11" s="1630"/>
      <c r="E11" s="1630"/>
      <c r="F11" s="1630"/>
      <c r="G11" s="1630"/>
      <c r="H11" s="1630"/>
      <c r="I11" s="1630"/>
      <c r="J11" s="1631"/>
    </row>
    <row r="12" spans="1:10">
      <c r="A12" s="1632" t="s">
        <v>1452</v>
      </c>
      <c r="B12" s="1633"/>
      <c r="C12" s="1633"/>
      <c r="D12" s="1633"/>
      <c r="E12" s="1633"/>
      <c r="F12" s="1633"/>
      <c r="G12" s="1633"/>
      <c r="H12" s="1633"/>
      <c r="I12" s="1633"/>
      <c r="J12" s="1634"/>
    </row>
    <row r="13" spans="1:10" ht="33.75" customHeight="1">
      <c r="A13" s="1632" t="s">
        <v>1453</v>
      </c>
      <c r="B13" s="1633"/>
      <c r="C13" s="1633"/>
      <c r="D13" s="1633"/>
      <c r="E13" s="1633"/>
      <c r="F13" s="1633"/>
      <c r="G13" s="1633"/>
      <c r="H13" s="1633"/>
      <c r="I13" s="1633"/>
      <c r="J13" s="1634"/>
    </row>
    <row r="14" spans="1:10" ht="51" customHeight="1">
      <c r="A14" s="1635" t="s">
        <v>1651</v>
      </c>
      <c r="B14" s="1636"/>
      <c r="C14" s="1636"/>
      <c r="D14" s="1636"/>
      <c r="E14" s="1636"/>
      <c r="F14" s="1636"/>
      <c r="G14" s="1636"/>
      <c r="H14" s="1636"/>
      <c r="I14" s="1636"/>
      <c r="J14" s="1637"/>
    </row>
    <row r="15" spans="1:10" ht="52.5" customHeight="1">
      <c r="A15" s="1635" t="s">
        <v>1652</v>
      </c>
      <c r="B15" s="1636"/>
      <c r="C15" s="1636"/>
      <c r="D15" s="1636"/>
      <c r="E15" s="1636"/>
      <c r="F15" s="1636"/>
      <c r="G15" s="1636"/>
      <c r="H15" s="1636"/>
      <c r="I15" s="1636"/>
      <c r="J15" s="1637"/>
    </row>
    <row r="16" spans="1:10" ht="47.25" customHeight="1">
      <c r="A16" s="1632" t="s">
        <v>1653</v>
      </c>
      <c r="B16" s="1633"/>
      <c r="C16" s="1633"/>
      <c r="D16" s="1633"/>
      <c r="E16" s="1633"/>
      <c r="F16" s="1633"/>
      <c r="G16" s="1633"/>
      <c r="H16" s="1633"/>
      <c r="I16" s="1633"/>
      <c r="J16" s="1634"/>
    </row>
    <row r="17" spans="1:26" ht="95.15" customHeight="1" thickBot="1">
      <c r="A17" s="1656" t="s">
        <v>1657</v>
      </c>
      <c r="B17" s="1657"/>
      <c r="C17" s="1657"/>
      <c r="D17" s="1657"/>
      <c r="E17" s="1657"/>
      <c r="F17" s="1657"/>
      <c r="G17" s="1657"/>
      <c r="H17" s="1657"/>
      <c r="I17" s="1657"/>
      <c r="J17" s="1658"/>
    </row>
    <row r="18" spans="1:26" ht="26.25" customHeight="1" thickBot="1">
      <c r="A18" s="1624"/>
      <c r="B18" s="994" t="s">
        <v>533</v>
      </c>
      <c r="C18" s="995"/>
      <c r="D18" s="1620"/>
      <c r="E18" s="439" t="s">
        <v>24</v>
      </c>
      <c r="F18" s="439" t="s">
        <v>25</v>
      </c>
      <c r="G18" s="439" t="s">
        <v>26</v>
      </c>
      <c r="H18" s="439" t="s">
        <v>536</v>
      </c>
      <c r="I18" s="439" t="s">
        <v>1455</v>
      </c>
      <c r="J18" s="440" t="s">
        <v>1528</v>
      </c>
    </row>
    <row r="19" spans="1:26" ht="90" customHeight="1" thickBot="1">
      <c r="A19" s="1625"/>
      <c r="B19" s="1621" t="s">
        <v>534</v>
      </c>
      <c r="C19" s="1622"/>
      <c r="D19" s="1623"/>
      <c r="E19" s="439" t="s">
        <v>535</v>
      </c>
      <c r="F19" s="439" t="s">
        <v>1456</v>
      </c>
      <c r="G19" s="439" t="s">
        <v>1457</v>
      </c>
      <c r="H19" s="439" t="s">
        <v>1454</v>
      </c>
      <c r="I19" s="439" t="s">
        <v>537</v>
      </c>
      <c r="J19" s="440" t="s">
        <v>1529</v>
      </c>
      <c r="M19" s="265"/>
    </row>
    <row r="20" spans="1:26" ht="15" thickBot="1">
      <c r="A20" s="317" t="s">
        <v>56</v>
      </c>
      <c r="B20" s="1626"/>
      <c r="C20" s="1627"/>
      <c r="D20" s="1628"/>
      <c r="E20" s="321"/>
      <c r="F20" s="322"/>
      <c r="G20" s="322"/>
      <c r="H20" s="322"/>
      <c r="I20" s="443"/>
      <c r="J20" s="442"/>
      <c r="K20" s="325"/>
      <c r="L20" s="325"/>
      <c r="M20" s="325"/>
      <c r="N20" s="444" t="str">
        <f>IF(COUNTIF(B20:J20,"")=9,"",IF(B20="","E",IF(COUNTIF(F20:I20,"")&gt;0,"",IF(COUNTIF(F20:I20,"N")&gt;0,"N",IF(COUNTIF(F20:I20,"NA")=4,"NA",IF(AND(OR(F20="Y",F20="NA"),COUNTIF(G20:I20,"Y")=3),"Y",""))))))</f>
        <v/>
      </c>
      <c r="O20" s="444" t="str">
        <f>IF(COUNTIF(B20:J20,"")=9,"",IF(B20="","E",IF(J20="","E",J20)))</f>
        <v/>
      </c>
      <c r="P20" s="325"/>
      <c r="Q20" s="325"/>
      <c r="R20" s="325"/>
      <c r="S20" s="325"/>
      <c r="T20" s="325"/>
      <c r="U20" s="325"/>
      <c r="V20" s="325"/>
      <c r="W20" s="325"/>
      <c r="X20" s="325"/>
      <c r="Y20" s="325"/>
      <c r="Z20" s="325"/>
    </row>
    <row r="21" spans="1:26" ht="15" thickBot="1">
      <c r="A21" s="317" t="s">
        <v>57</v>
      </c>
      <c r="B21" s="1626"/>
      <c r="C21" s="1627"/>
      <c r="D21" s="1628"/>
      <c r="E21" s="321"/>
      <c r="F21" s="324"/>
      <c r="G21" s="322"/>
      <c r="H21" s="322"/>
      <c r="I21" s="443"/>
      <c r="J21" s="442"/>
      <c r="K21" s="325"/>
      <c r="L21" s="325"/>
      <c r="M21" s="325"/>
      <c r="N21" s="444" t="str">
        <f t="shared" ref="N21:N49" si="0">IF(COUNTIF(B21:J21,"")=9,"",IF(B21="","E",IF(COUNTIF(F21:I21,"")&gt;0,"",IF(COUNTIF(F21:I21,"N")&gt;0,"N",IF(COUNTIF(F21:I21,"NA")=4,"NA",IF(AND(OR(F21="Y",F21="NA"),COUNTIF(G21:I21,"Y")=3),"Y",""))))))</f>
        <v/>
      </c>
      <c r="O21" s="444" t="str">
        <f t="shared" ref="O21:O49" si="1">IF(COUNTIF(B21:J21,"")=9,"",IF(B21="","E",IF(J21="","E",J21)))</f>
        <v/>
      </c>
      <c r="P21" s="325"/>
      <c r="Q21" s="325"/>
      <c r="R21" s="325"/>
      <c r="S21" s="325"/>
      <c r="T21" s="325"/>
      <c r="U21" s="325"/>
      <c r="V21" s="325"/>
      <c r="W21" s="325"/>
      <c r="X21" s="325"/>
      <c r="Y21" s="325"/>
      <c r="Z21" s="325"/>
    </row>
    <row r="22" spans="1:26" ht="15" thickBot="1">
      <c r="A22" s="317" t="s">
        <v>58</v>
      </c>
      <c r="B22" s="1626"/>
      <c r="C22" s="1627"/>
      <c r="D22" s="1628"/>
      <c r="E22" s="321"/>
      <c r="F22" s="324"/>
      <c r="G22" s="322"/>
      <c r="H22" s="322"/>
      <c r="I22" s="443"/>
      <c r="J22" s="442"/>
      <c r="K22" s="325"/>
      <c r="L22" s="325"/>
      <c r="M22" s="325"/>
      <c r="N22" s="444" t="str">
        <f t="shared" si="0"/>
        <v/>
      </c>
      <c r="O22" s="444" t="str">
        <f t="shared" si="1"/>
        <v/>
      </c>
      <c r="P22" s="325"/>
      <c r="Q22" s="325"/>
      <c r="R22" s="325"/>
      <c r="S22" s="325"/>
      <c r="T22" s="325"/>
      <c r="U22" s="325"/>
      <c r="V22" s="325"/>
      <c r="W22" s="325"/>
      <c r="X22" s="325"/>
      <c r="Y22" s="325"/>
      <c r="Z22" s="325"/>
    </row>
    <row r="23" spans="1:26" ht="15" thickBot="1">
      <c r="A23" s="317" t="s">
        <v>59</v>
      </c>
      <c r="B23" s="1626"/>
      <c r="C23" s="1627"/>
      <c r="D23" s="1628"/>
      <c r="E23" s="321"/>
      <c r="F23" s="324"/>
      <c r="G23" s="322"/>
      <c r="H23" s="322"/>
      <c r="I23" s="443"/>
      <c r="J23" s="442"/>
      <c r="K23" s="325"/>
      <c r="L23" s="325"/>
      <c r="M23" s="325"/>
      <c r="N23" s="444" t="str">
        <f t="shared" si="0"/>
        <v/>
      </c>
      <c r="O23" s="444" t="str">
        <f t="shared" si="1"/>
        <v/>
      </c>
      <c r="P23" s="325"/>
      <c r="Q23" s="325"/>
      <c r="R23" s="325"/>
      <c r="S23" s="325"/>
      <c r="T23" s="325"/>
      <c r="U23" s="325"/>
      <c r="V23" s="325"/>
      <c r="W23" s="325"/>
      <c r="X23" s="325"/>
      <c r="Y23" s="325"/>
      <c r="Z23" s="325"/>
    </row>
    <row r="24" spans="1:26" ht="15" thickBot="1">
      <c r="A24" s="317" t="s">
        <v>60</v>
      </c>
      <c r="B24" s="1626"/>
      <c r="C24" s="1627"/>
      <c r="D24" s="1628"/>
      <c r="E24" s="321"/>
      <c r="F24" s="324"/>
      <c r="G24" s="322"/>
      <c r="H24" s="322"/>
      <c r="I24" s="443"/>
      <c r="J24" s="442"/>
      <c r="K24" s="325"/>
      <c r="L24" s="325"/>
      <c r="M24" s="325"/>
      <c r="N24" s="444" t="str">
        <f t="shared" si="0"/>
        <v/>
      </c>
      <c r="O24" s="444" t="str">
        <f t="shared" si="1"/>
        <v/>
      </c>
      <c r="P24" s="325"/>
      <c r="Q24" s="325"/>
      <c r="R24" s="325"/>
      <c r="S24" s="325"/>
      <c r="T24" s="325"/>
      <c r="U24" s="325"/>
      <c r="V24" s="325"/>
      <c r="W24" s="325"/>
      <c r="X24" s="325"/>
      <c r="Y24" s="325"/>
      <c r="Z24" s="325"/>
    </row>
    <row r="25" spans="1:26" ht="15" thickBot="1">
      <c r="A25" s="317" t="s">
        <v>61</v>
      </c>
      <c r="B25" s="1626"/>
      <c r="C25" s="1627"/>
      <c r="D25" s="1628"/>
      <c r="E25" s="321"/>
      <c r="F25" s="324"/>
      <c r="G25" s="322"/>
      <c r="H25" s="322"/>
      <c r="I25" s="443"/>
      <c r="J25" s="442"/>
      <c r="K25" s="325"/>
      <c r="L25" s="325"/>
      <c r="M25" s="325"/>
      <c r="N25" s="444" t="str">
        <f t="shared" si="0"/>
        <v/>
      </c>
      <c r="O25" s="444" t="str">
        <f t="shared" si="1"/>
        <v/>
      </c>
      <c r="P25" s="325"/>
      <c r="Q25" s="325"/>
      <c r="R25" s="325"/>
      <c r="S25" s="325"/>
      <c r="T25" s="325"/>
      <c r="U25" s="325"/>
      <c r="V25" s="325"/>
      <c r="W25" s="325"/>
      <c r="X25" s="325"/>
      <c r="Y25" s="325"/>
      <c r="Z25" s="325"/>
    </row>
    <row r="26" spans="1:26" ht="15" thickBot="1">
      <c r="A26" s="317" t="s">
        <v>62</v>
      </c>
      <c r="B26" s="1626"/>
      <c r="C26" s="1627"/>
      <c r="D26" s="1628"/>
      <c r="E26" s="321"/>
      <c r="F26" s="324"/>
      <c r="G26" s="322"/>
      <c r="H26" s="322"/>
      <c r="I26" s="443"/>
      <c r="J26" s="442"/>
      <c r="K26" s="325"/>
      <c r="L26" s="325"/>
      <c r="M26" s="325"/>
      <c r="N26" s="444" t="str">
        <f t="shared" si="0"/>
        <v/>
      </c>
      <c r="O26" s="444" t="str">
        <f t="shared" si="1"/>
        <v/>
      </c>
      <c r="P26" s="325"/>
      <c r="Q26" s="325"/>
      <c r="R26" s="325"/>
      <c r="S26" s="325"/>
      <c r="T26" s="325"/>
      <c r="U26" s="325"/>
      <c r="V26" s="325"/>
      <c r="W26" s="325"/>
      <c r="X26" s="325"/>
      <c r="Y26" s="325"/>
      <c r="Z26" s="325"/>
    </row>
    <row r="27" spans="1:26" ht="15" thickBot="1">
      <c r="A27" s="317" t="s">
        <v>63</v>
      </c>
      <c r="B27" s="1626"/>
      <c r="C27" s="1627"/>
      <c r="D27" s="1628"/>
      <c r="E27" s="321"/>
      <c r="F27" s="324"/>
      <c r="G27" s="322"/>
      <c r="H27" s="322"/>
      <c r="I27" s="443"/>
      <c r="J27" s="442"/>
      <c r="K27" s="325"/>
      <c r="L27" s="325"/>
      <c r="M27" s="325"/>
      <c r="N27" s="444" t="str">
        <f t="shared" si="0"/>
        <v/>
      </c>
      <c r="O27" s="444" t="str">
        <f t="shared" si="1"/>
        <v/>
      </c>
      <c r="P27" s="325"/>
      <c r="Q27" s="325"/>
      <c r="R27" s="325"/>
      <c r="S27" s="325"/>
      <c r="T27" s="325"/>
      <c r="U27" s="325"/>
      <c r="V27" s="325"/>
      <c r="W27" s="325"/>
      <c r="X27" s="325"/>
      <c r="Y27" s="325"/>
      <c r="Z27" s="325"/>
    </row>
    <row r="28" spans="1:26" ht="15" thickBot="1">
      <c r="A28" s="317" t="s">
        <v>64</v>
      </c>
      <c r="B28" s="1626"/>
      <c r="C28" s="1627"/>
      <c r="D28" s="1628"/>
      <c r="E28" s="321"/>
      <c r="F28" s="324"/>
      <c r="G28" s="322"/>
      <c r="H28" s="322"/>
      <c r="I28" s="443"/>
      <c r="J28" s="442"/>
      <c r="K28" s="325"/>
      <c r="L28" s="325"/>
      <c r="M28" s="325"/>
      <c r="N28" s="444" t="str">
        <f t="shared" si="0"/>
        <v/>
      </c>
      <c r="O28" s="444" t="str">
        <f t="shared" si="1"/>
        <v/>
      </c>
      <c r="P28" s="325"/>
      <c r="Q28" s="325"/>
      <c r="R28" s="325"/>
      <c r="S28" s="325"/>
      <c r="T28" s="325"/>
      <c r="U28" s="325"/>
      <c r="V28" s="325"/>
      <c r="W28" s="325"/>
      <c r="X28" s="325"/>
      <c r="Y28" s="325"/>
      <c r="Z28" s="325"/>
    </row>
    <row r="29" spans="1:26" ht="15" thickBot="1">
      <c r="A29" s="317" t="s">
        <v>91</v>
      </c>
      <c r="B29" s="1626"/>
      <c r="C29" s="1627"/>
      <c r="D29" s="1628"/>
      <c r="E29" s="321"/>
      <c r="F29" s="324"/>
      <c r="G29" s="322"/>
      <c r="H29" s="322"/>
      <c r="I29" s="443"/>
      <c r="J29" s="442"/>
      <c r="K29" s="325"/>
      <c r="L29" s="325"/>
      <c r="M29" s="325"/>
      <c r="N29" s="444" t="str">
        <f t="shared" si="0"/>
        <v/>
      </c>
      <c r="O29" s="444" t="str">
        <f t="shared" si="1"/>
        <v/>
      </c>
      <c r="P29" s="325"/>
      <c r="Q29" s="325"/>
      <c r="R29" s="325"/>
      <c r="S29" s="325"/>
      <c r="T29" s="325"/>
      <c r="U29" s="325"/>
      <c r="V29" s="325"/>
      <c r="W29" s="325"/>
      <c r="X29" s="325"/>
      <c r="Y29" s="325"/>
      <c r="Z29" s="325"/>
    </row>
    <row r="30" spans="1:26" ht="15" thickBot="1">
      <c r="A30" s="317" t="s">
        <v>92</v>
      </c>
      <c r="B30" s="1626"/>
      <c r="C30" s="1627"/>
      <c r="D30" s="1628"/>
      <c r="E30" s="323"/>
      <c r="F30" s="324"/>
      <c r="G30" s="322"/>
      <c r="H30" s="322"/>
      <c r="I30" s="443"/>
      <c r="J30" s="442"/>
      <c r="K30" s="325"/>
      <c r="L30" s="325"/>
      <c r="M30" s="325"/>
      <c r="N30" s="444" t="str">
        <f t="shared" si="0"/>
        <v/>
      </c>
      <c r="O30" s="444" t="str">
        <f t="shared" si="1"/>
        <v/>
      </c>
      <c r="P30" s="325"/>
      <c r="Q30" s="325"/>
      <c r="R30" s="325"/>
      <c r="S30" s="325"/>
      <c r="T30" s="325"/>
      <c r="U30" s="325"/>
      <c r="V30" s="325"/>
      <c r="W30" s="325"/>
      <c r="X30" s="325"/>
      <c r="Y30" s="325"/>
      <c r="Z30" s="325"/>
    </row>
    <row r="31" spans="1:26" ht="15" thickBot="1">
      <c r="A31" s="317" t="s">
        <v>93</v>
      </c>
      <c r="B31" s="1626"/>
      <c r="C31" s="1627"/>
      <c r="D31" s="1628"/>
      <c r="E31" s="323"/>
      <c r="F31" s="324"/>
      <c r="G31" s="322"/>
      <c r="H31" s="322"/>
      <c r="I31" s="443"/>
      <c r="J31" s="442"/>
      <c r="K31" s="325"/>
      <c r="L31" s="325"/>
      <c r="M31" s="325"/>
      <c r="N31" s="444" t="str">
        <f t="shared" si="0"/>
        <v/>
      </c>
      <c r="O31" s="444" t="str">
        <f t="shared" si="1"/>
        <v/>
      </c>
      <c r="P31" s="325"/>
      <c r="Q31" s="325"/>
      <c r="R31" s="325"/>
      <c r="S31" s="325"/>
      <c r="T31" s="325"/>
      <c r="U31" s="325"/>
      <c r="V31" s="325"/>
      <c r="W31" s="325"/>
      <c r="X31" s="325"/>
      <c r="Y31" s="325"/>
      <c r="Z31" s="325"/>
    </row>
    <row r="32" spans="1:26" ht="15" thickBot="1">
      <c r="A32" s="317" t="s">
        <v>94</v>
      </c>
      <c r="B32" s="1626"/>
      <c r="C32" s="1627"/>
      <c r="D32" s="1628"/>
      <c r="E32" s="323"/>
      <c r="F32" s="324"/>
      <c r="G32" s="322"/>
      <c r="H32" s="322"/>
      <c r="I32" s="443"/>
      <c r="J32" s="442"/>
      <c r="K32" s="325"/>
      <c r="L32" s="325"/>
      <c r="M32" s="325"/>
      <c r="N32" s="444" t="str">
        <f t="shared" si="0"/>
        <v/>
      </c>
      <c r="O32" s="444" t="str">
        <f t="shared" si="1"/>
        <v/>
      </c>
      <c r="P32" s="325"/>
      <c r="Q32" s="325"/>
      <c r="R32" s="325"/>
      <c r="S32" s="325"/>
      <c r="T32" s="325"/>
      <c r="U32" s="325"/>
      <c r="V32" s="325"/>
      <c r="W32" s="325"/>
      <c r="X32" s="325"/>
      <c r="Y32" s="325"/>
      <c r="Z32" s="325"/>
    </row>
    <row r="33" spans="1:26" ht="15" thickBot="1">
      <c r="A33" s="317" t="s">
        <v>73</v>
      </c>
      <c r="B33" s="1626"/>
      <c r="C33" s="1627"/>
      <c r="D33" s="1628"/>
      <c r="E33" s="323"/>
      <c r="F33" s="324"/>
      <c r="G33" s="322"/>
      <c r="H33" s="322"/>
      <c r="I33" s="443"/>
      <c r="J33" s="442"/>
      <c r="K33" s="325"/>
      <c r="L33" s="325"/>
      <c r="M33" s="325"/>
      <c r="N33" s="444" t="str">
        <f t="shared" si="0"/>
        <v/>
      </c>
      <c r="O33" s="444" t="str">
        <f t="shared" si="1"/>
        <v/>
      </c>
      <c r="P33" s="325"/>
      <c r="Q33" s="325"/>
      <c r="R33" s="325"/>
      <c r="S33" s="325"/>
      <c r="T33" s="325"/>
      <c r="U33" s="325"/>
      <c r="V33" s="325"/>
      <c r="W33" s="325"/>
      <c r="X33" s="325"/>
      <c r="Y33" s="325"/>
      <c r="Z33" s="325"/>
    </row>
    <row r="34" spans="1:26" ht="15" thickBot="1">
      <c r="A34" s="317" t="s">
        <v>95</v>
      </c>
      <c r="B34" s="1626"/>
      <c r="C34" s="1627"/>
      <c r="D34" s="1628"/>
      <c r="E34" s="323"/>
      <c r="F34" s="324"/>
      <c r="G34" s="322"/>
      <c r="H34" s="322"/>
      <c r="I34" s="443"/>
      <c r="J34" s="442"/>
      <c r="K34" s="325"/>
      <c r="L34" s="325"/>
      <c r="M34" s="325"/>
      <c r="N34" s="444" t="str">
        <f t="shared" si="0"/>
        <v/>
      </c>
      <c r="O34" s="444" t="str">
        <f t="shared" si="1"/>
        <v/>
      </c>
      <c r="P34" s="325"/>
      <c r="Q34" s="325"/>
      <c r="R34" s="325"/>
      <c r="S34" s="325"/>
      <c r="T34" s="325"/>
      <c r="U34" s="325"/>
      <c r="V34" s="325"/>
      <c r="W34" s="325"/>
      <c r="X34" s="325"/>
      <c r="Y34" s="325"/>
      <c r="Z34" s="325"/>
    </row>
    <row r="35" spans="1:26" ht="15" thickBot="1">
      <c r="A35" s="317" t="s">
        <v>96</v>
      </c>
      <c r="B35" s="1626"/>
      <c r="C35" s="1627"/>
      <c r="D35" s="1628"/>
      <c r="E35" s="323"/>
      <c r="F35" s="324"/>
      <c r="G35" s="322"/>
      <c r="H35" s="322"/>
      <c r="I35" s="443"/>
      <c r="J35" s="442"/>
      <c r="K35" s="325"/>
      <c r="L35" s="325"/>
      <c r="M35" s="325"/>
      <c r="N35" s="444" t="str">
        <f t="shared" si="0"/>
        <v/>
      </c>
      <c r="O35" s="444" t="str">
        <f t="shared" si="1"/>
        <v/>
      </c>
      <c r="P35" s="325"/>
      <c r="Q35" s="325"/>
      <c r="R35" s="325"/>
      <c r="S35" s="325"/>
      <c r="T35" s="325"/>
      <c r="U35" s="325"/>
      <c r="V35" s="325"/>
      <c r="W35" s="325"/>
      <c r="X35" s="325"/>
      <c r="Y35" s="325"/>
      <c r="Z35" s="325"/>
    </row>
    <row r="36" spans="1:26" ht="15" thickBot="1">
      <c r="A36" s="317" t="s">
        <v>97</v>
      </c>
      <c r="B36" s="1626"/>
      <c r="C36" s="1627"/>
      <c r="D36" s="1628"/>
      <c r="E36" s="323"/>
      <c r="F36" s="324"/>
      <c r="G36" s="322"/>
      <c r="H36" s="322"/>
      <c r="I36" s="443"/>
      <c r="J36" s="442"/>
      <c r="K36" s="325"/>
      <c r="L36" s="325"/>
      <c r="M36" s="325"/>
      <c r="N36" s="444" t="str">
        <f t="shared" si="0"/>
        <v/>
      </c>
      <c r="O36" s="444" t="str">
        <f t="shared" si="1"/>
        <v/>
      </c>
      <c r="P36" s="325"/>
      <c r="Q36" s="325"/>
      <c r="R36" s="325"/>
      <c r="S36" s="325"/>
      <c r="T36" s="325"/>
      <c r="U36" s="325"/>
      <c r="V36" s="325"/>
      <c r="W36" s="325"/>
      <c r="X36" s="325"/>
      <c r="Y36" s="325"/>
      <c r="Z36" s="325"/>
    </row>
    <row r="37" spans="1:26" ht="15" thickBot="1">
      <c r="A37" s="317" t="s">
        <v>98</v>
      </c>
      <c r="B37" s="1626"/>
      <c r="C37" s="1627"/>
      <c r="D37" s="1628"/>
      <c r="E37" s="323"/>
      <c r="F37" s="324"/>
      <c r="G37" s="322"/>
      <c r="H37" s="322"/>
      <c r="I37" s="443"/>
      <c r="J37" s="442"/>
      <c r="K37" s="325"/>
      <c r="L37" s="325"/>
      <c r="M37" s="325"/>
      <c r="N37" s="444" t="str">
        <f t="shared" si="0"/>
        <v/>
      </c>
      <c r="O37" s="444" t="str">
        <f t="shared" si="1"/>
        <v/>
      </c>
      <c r="P37" s="325"/>
      <c r="Q37" s="325"/>
      <c r="R37" s="325"/>
      <c r="S37" s="325"/>
      <c r="T37" s="325"/>
      <c r="U37" s="325"/>
      <c r="V37" s="325"/>
      <c r="W37" s="325"/>
      <c r="X37" s="325"/>
      <c r="Y37" s="325"/>
      <c r="Z37" s="325"/>
    </row>
    <row r="38" spans="1:26" ht="15" thickBot="1">
      <c r="A38" s="317" t="s">
        <v>99</v>
      </c>
      <c r="B38" s="1626"/>
      <c r="C38" s="1627"/>
      <c r="D38" s="1628"/>
      <c r="E38" s="323"/>
      <c r="F38" s="324"/>
      <c r="G38" s="322"/>
      <c r="H38" s="322"/>
      <c r="I38" s="443"/>
      <c r="J38" s="442"/>
      <c r="K38" s="325"/>
      <c r="L38" s="325"/>
      <c r="M38" s="325"/>
      <c r="N38" s="444" t="str">
        <f t="shared" si="0"/>
        <v/>
      </c>
      <c r="O38" s="444" t="str">
        <f t="shared" si="1"/>
        <v/>
      </c>
      <c r="P38" s="325"/>
      <c r="Q38" s="325"/>
      <c r="R38" s="325"/>
      <c r="S38" s="325"/>
      <c r="T38" s="325"/>
      <c r="U38" s="325"/>
      <c r="V38" s="325"/>
      <c r="W38" s="325"/>
      <c r="X38" s="325"/>
      <c r="Y38" s="325"/>
      <c r="Z38" s="325"/>
    </row>
    <row r="39" spans="1:26" ht="15" thickBot="1">
      <c r="A39" s="317" t="s">
        <v>100</v>
      </c>
      <c r="B39" s="1626"/>
      <c r="C39" s="1627"/>
      <c r="D39" s="1628"/>
      <c r="E39" s="323"/>
      <c r="F39" s="324"/>
      <c r="G39" s="322"/>
      <c r="H39" s="322"/>
      <c r="I39" s="443"/>
      <c r="J39" s="442"/>
      <c r="K39" s="325"/>
      <c r="L39" s="325"/>
      <c r="M39" s="325"/>
      <c r="N39" s="444" t="str">
        <f t="shared" si="0"/>
        <v/>
      </c>
      <c r="O39" s="444" t="str">
        <f t="shared" si="1"/>
        <v/>
      </c>
      <c r="P39" s="325"/>
      <c r="Q39" s="325"/>
      <c r="R39" s="325"/>
      <c r="S39" s="325"/>
      <c r="T39" s="325"/>
      <c r="U39" s="325"/>
      <c r="V39" s="325"/>
      <c r="W39" s="325"/>
      <c r="X39" s="325"/>
      <c r="Y39" s="325"/>
      <c r="Z39" s="325"/>
    </row>
    <row r="40" spans="1:26" ht="15" thickBot="1">
      <c r="A40" s="317" t="s">
        <v>101</v>
      </c>
      <c r="B40" s="1626"/>
      <c r="C40" s="1627"/>
      <c r="D40" s="1628"/>
      <c r="E40" s="323"/>
      <c r="F40" s="324"/>
      <c r="G40" s="322"/>
      <c r="H40" s="322"/>
      <c r="I40" s="443"/>
      <c r="J40" s="442"/>
      <c r="K40" s="325"/>
      <c r="L40" s="325"/>
      <c r="M40" s="325"/>
      <c r="N40" s="444" t="str">
        <f t="shared" si="0"/>
        <v/>
      </c>
      <c r="O40" s="444" t="str">
        <f t="shared" si="1"/>
        <v/>
      </c>
      <c r="P40" s="325"/>
      <c r="Q40" s="325"/>
      <c r="R40" s="325"/>
      <c r="S40" s="325"/>
      <c r="T40" s="325"/>
      <c r="U40" s="325"/>
      <c r="V40" s="325"/>
      <c r="W40" s="325"/>
      <c r="X40" s="325"/>
      <c r="Y40" s="325"/>
      <c r="Z40" s="325"/>
    </row>
    <row r="41" spans="1:26" ht="15" thickBot="1">
      <c r="A41" s="317" t="s">
        <v>102</v>
      </c>
      <c r="B41" s="1626"/>
      <c r="C41" s="1627"/>
      <c r="D41" s="1628"/>
      <c r="E41" s="323"/>
      <c r="F41" s="324"/>
      <c r="G41" s="322"/>
      <c r="H41" s="322"/>
      <c r="I41" s="443"/>
      <c r="J41" s="442"/>
      <c r="K41" s="325"/>
      <c r="L41" s="325"/>
      <c r="M41" s="325"/>
      <c r="N41" s="444" t="str">
        <f t="shared" si="0"/>
        <v/>
      </c>
      <c r="O41" s="444" t="str">
        <f t="shared" si="1"/>
        <v/>
      </c>
      <c r="P41" s="325"/>
      <c r="Q41" s="325"/>
      <c r="R41" s="325"/>
      <c r="S41" s="325"/>
      <c r="T41" s="325"/>
      <c r="U41" s="325"/>
      <c r="V41" s="325"/>
      <c r="W41" s="325"/>
      <c r="X41" s="325"/>
      <c r="Y41" s="325"/>
      <c r="Z41" s="325"/>
    </row>
    <row r="42" spans="1:26" ht="15" thickBot="1">
      <c r="A42" s="317" t="s">
        <v>103</v>
      </c>
      <c r="B42" s="1626"/>
      <c r="C42" s="1627"/>
      <c r="D42" s="1628"/>
      <c r="E42" s="323"/>
      <c r="F42" s="324"/>
      <c r="G42" s="322"/>
      <c r="H42" s="322"/>
      <c r="I42" s="443"/>
      <c r="J42" s="442"/>
      <c r="K42" s="325"/>
      <c r="L42" s="325"/>
      <c r="M42" s="325"/>
      <c r="N42" s="444" t="str">
        <f t="shared" si="0"/>
        <v/>
      </c>
      <c r="O42" s="444" t="str">
        <f t="shared" si="1"/>
        <v/>
      </c>
      <c r="P42" s="325"/>
      <c r="Q42" s="325"/>
      <c r="R42" s="325"/>
      <c r="S42" s="325"/>
      <c r="T42" s="325"/>
      <c r="U42" s="325"/>
      <c r="V42" s="325"/>
      <c r="W42" s="325"/>
      <c r="X42" s="325"/>
      <c r="Y42" s="325"/>
      <c r="Z42" s="325"/>
    </row>
    <row r="43" spans="1:26" ht="15" thickBot="1">
      <c r="A43" s="317" t="s">
        <v>104</v>
      </c>
      <c r="B43" s="1626"/>
      <c r="C43" s="1627"/>
      <c r="D43" s="1628"/>
      <c r="E43" s="323"/>
      <c r="F43" s="324"/>
      <c r="G43" s="322"/>
      <c r="H43" s="322"/>
      <c r="I43" s="443"/>
      <c r="J43" s="442"/>
      <c r="K43" s="325"/>
      <c r="L43" s="325"/>
      <c r="M43" s="325"/>
      <c r="N43" s="444" t="str">
        <f t="shared" si="0"/>
        <v/>
      </c>
      <c r="O43" s="444" t="str">
        <f t="shared" si="1"/>
        <v/>
      </c>
      <c r="P43" s="325"/>
      <c r="Q43" s="325"/>
      <c r="R43" s="325"/>
      <c r="S43" s="325"/>
      <c r="T43" s="325"/>
      <c r="U43" s="325"/>
      <c r="V43" s="325"/>
      <c r="W43" s="325"/>
      <c r="X43" s="325"/>
      <c r="Y43" s="325"/>
      <c r="Z43" s="325"/>
    </row>
    <row r="44" spans="1:26" ht="15" thickBot="1">
      <c r="A44" s="317" t="s">
        <v>522</v>
      </c>
      <c r="B44" s="1626"/>
      <c r="C44" s="1627"/>
      <c r="D44" s="1628"/>
      <c r="E44" s="323"/>
      <c r="F44" s="324"/>
      <c r="G44" s="322"/>
      <c r="H44" s="322"/>
      <c r="I44" s="443"/>
      <c r="J44" s="442"/>
      <c r="K44" s="325"/>
      <c r="L44" s="325"/>
      <c r="M44" s="325"/>
      <c r="N44" s="444" t="str">
        <f t="shared" si="0"/>
        <v/>
      </c>
      <c r="O44" s="444" t="str">
        <f t="shared" si="1"/>
        <v/>
      </c>
      <c r="P44" s="325"/>
      <c r="Q44" s="325"/>
      <c r="R44" s="325"/>
      <c r="S44" s="325"/>
      <c r="T44" s="325"/>
      <c r="U44" s="325"/>
      <c r="V44" s="325"/>
      <c r="W44" s="325"/>
      <c r="X44" s="325"/>
      <c r="Y44" s="325"/>
      <c r="Z44" s="325"/>
    </row>
    <row r="45" spans="1:26" ht="15" thickBot="1">
      <c r="A45" s="317" t="s">
        <v>105</v>
      </c>
      <c r="B45" s="1626"/>
      <c r="C45" s="1627"/>
      <c r="D45" s="1628"/>
      <c r="E45" s="323"/>
      <c r="F45" s="324"/>
      <c r="G45" s="322"/>
      <c r="H45" s="322"/>
      <c r="I45" s="443"/>
      <c r="J45" s="442"/>
      <c r="K45" s="325"/>
      <c r="L45" s="325"/>
      <c r="M45" s="325"/>
      <c r="N45" s="444" t="str">
        <f t="shared" si="0"/>
        <v/>
      </c>
      <c r="O45" s="444" t="str">
        <f t="shared" si="1"/>
        <v/>
      </c>
      <c r="P45" s="325"/>
      <c r="Q45" s="325"/>
      <c r="R45" s="325"/>
      <c r="S45" s="325"/>
      <c r="T45" s="325"/>
      <c r="U45" s="325"/>
      <c r="V45" s="325"/>
      <c r="W45" s="325"/>
      <c r="X45" s="325"/>
      <c r="Y45" s="325"/>
      <c r="Z45" s="325"/>
    </row>
    <row r="46" spans="1:26" ht="15" thickBot="1">
      <c r="A46" s="317" t="s">
        <v>106</v>
      </c>
      <c r="B46" s="1626"/>
      <c r="C46" s="1627"/>
      <c r="D46" s="1628"/>
      <c r="E46" s="323"/>
      <c r="F46" s="324"/>
      <c r="G46" s="322"/>
      <c r="H46" s="322"/>
      <c r="I46" s="443"/>
      <c r="J46" s="442"/>
      <c r="K46" s="325"/>
      <c r="L46" s="325"/>
      <c r="M46" s="325"/>
      <c r="N46" s="444" t="str">
        <f t="shared" si="0"/>
        <v/>
      </c>
      <c r="O46" s="444" t="str">
        <f t="shared" si="1"/>
        <v/>
      </c>
      <c r="P46" s="325"/>
      <c r="Q46" s="325"/>
      <c r="R46" s="325"/>
      <c r="S46" s="325"/>
      <c r="T46" s="325"/>
      <c r="U46" s="325"/>
      <c r="V46" s="325"/>
      <c r="W46" s="325"/>
      <c r="X46" s="325"/>
      <c r="Y46" s="325"/>
      <c r="Z46" s="325"/>
    </row>
    <row r="47" spans="1:26" ht="15" thickBot="1">
      <c r="A47" s="317" t="s">
        <v>107</v>
      </c>
      <c r="B47" s="1626"/>
      <c r="C47" s="1627"/>
      <c r="D47" s="1628"/>
      <c r="E47" s="323"/>
      <c r="F47" s="324"/>
      <c r="G47" s="322"/>
      <c r="H47" s="322"/>
      <c r="I47" s="443"/>
      <c r="J47" s="442"/>
      <c r="K47" s="325"/>
      <c r="L47" s="325"/>
      <c r="M47" s="325"/>
      <c r="N47" s="444" t="str">
        <f t="shared" si="0"/>
        <v/>
      </c>
      <c r="O47" s="444" t="str">
        <f t="shared" si="1"/>
        <v/>
      </c>
      <c r="P47" s="325"/>
      <c r="Q47" s="325"/>
      <c r="R47" s="325"/>
      <c r="S47" s="325"/>
      <c r="T47" s="325"/>
      <c r="U47" s="325"/>
      <c r="V47" s="325"/>
      <c r="W47" s="325"/>
      <c r="X47" s="325"/>
      <c r="Y47" s="325"/>
      <c r="Z47" s="325"/>
    </row>
    <row r="48" spans="1:26" ht="15" thickBot="1">
      <c r="A48" s="317" t="s">
        <v>108</v>
      </c>
      <c r="B48" s="1626"/>
      <c r="C48" s="1627"/>
      <c r="D48" s="1628"/>
      <c r="E48" s="323"/>
      <c r="F48" s="324"/>
      <c r="G48" s="322"/>
      <c r="H48" s="322"/>
      <c r="I48" s="443"/>
      <c r="J48" s="442"/>
      <c r="K48" s="325"/>
      <c r="L48" s="325"/>
      <c r="M48" s="325"/>
      <c r="N48" s="444" t="str">
        <f t="shared" si="0"/>
        <v/>
      </c>
      <c r="O48" s="444" t="str">
        <f t="shared" si="1"/>
        <v/>
      </c>
      <c r="P48" s="325"/>
      <c r="Q48" s="325"/>
      <c r="R48" s="325"/>
      <c r="S48" s="325"/>
      <c r="T48" s="325"/>
      <c r="U48" s="325"/>
      <c r="V48" s="325"/>
      <c r="W48" s="325"/>
      <c r="X48" s="325"/>
      <c r="Y48" s="325"/>
      <c r="Z48" s="325"/>
    </row>
    <row r="49" spans="1:26" ht="15" thickBot="1">
      <c r="A49" s="317" t="s">
        <v>109</v>
      </c>
      <c r="B49" s="1626"/>
      <c r="C49" s="1627"/>
      <c r="D49" s="1628"/>
      <c r="E49" s="323"/>
      <c r="F49" s="324"/>
      <c r="G49" s="322"/>
      <c r="H49" s="322"/>
      <c r="I49" s="443"/>
      <c r="J49" s="442"/>
      <c r="K49" s="326"/>
      <c r="L49" s="325"/>
      <c r="M49" s="325"/>
      <c r="N49" s="444" t="str">
        <f t="shared" si="0"/>
        <v/>
      </c>
      <c r="O49" s="444" t="str">
        <f t="shared" si="1"/>
        <v/>
      </c>
      <c r="P49" s="325"/>
      <c r="Q49" s="325"/>
      <c r="R49" s="325"/>
      <c r="S49" s="325"/>
      <c r="T49" s="325"/>
      <c r="U49" s="325"/>
      <c r="V49" s="325"/>
      <c r="W49" s="325"/>
      <c r="X49" s="325"/>
      <c r="Y49" s="325"/>
      <c r="Z49" s="325"/>
    </row>
    <row r="50" spans="1:26" ht="35.15" customHeight="1">
      <c r="A50" s="1639" t="s">
        <v>1458</v>
      </c>
      <c r="B50" s="1639"/>
      <c r="C50" s="1639"/>
      <c r="D50" s="1639"/>
      <c r="E50" s="1639"/>
      <c r="F50" s="1639"/>
      <c r="G50" s="1639"/>
      <c r="H50" s="1639"/>
      <c r="I50" s="1639"/>
      <c r="J50" s="1639"/>
      <c r="K50" s="62"/>
      <c r="L50" s="62"/>
    </row>
    <row r="51" spans="1:26" ht="35.25" customHeight="1" thickBot="1">
      <c r="A51" s="1638" t="s">
        <v>605</v>
      </c>
      <c r="B51" s="1638"/>
      <c r="C51" s="1638"/>
      <c r="D51" s="1638"/>
      <c r="E51" s="1638"/>
      <c r="F51" s="1638"/>
      <c r="G51" s="1638"/>
      <c r="H51" s="1638"/>
      <c r="I51" s="1638"/>
      <c r="J51" s="1638"/>
    </row>
    <row r="52" spans="1:26" ht="30" customHeight="1" thickTop="1" thickBot="1">
      <c r="A52" s="1640" t="s">
        <v>538</v>
      </c>
      <c r="B52" s="1641"/>
      <c r="C52" s="1641"/>
      <c r="D52" s="1641"/>
      <c r="E52" s="1641"/>
      <c r="F52" s="1641"/>
      <c r="G52" s="1641"/>
      <c r="H52" s="1641"/>
      <c r="I52" s="1641"/>
      <c r="J52" s="1642"/>
    </row>
    <row r="53" spans="1:26" ht="15.75" customHeight="1" thickTop="1" thickBot="1">
      <c r="A53" s="1644" t="s">
        <v>539</v>
      </c>
      <c r="B53" s="1644"/>
      <c r="C53" s="1644"/>
      <c r="D53" s="1644"/>
      <c r="E53" s="1644"/>
      <c r="F53" s="1541" t="s">
        <v>540</v>
      </c>
      <c r="G53" s="1541"/>
      <c r="H53" s="1541"/>
      <c r="I53" s="1541"/>
      <c r="J53" s="1541"/>
    </row>
    <row r="54" spans="1:26" ht="43.5" customHeight="1" thickTop="1" thickBot="1">
      <c r="A54" s="1644"/>
      <c r="B54" s="1644"/>
      <c r="C54" s="1644"/>
      <c r="D54" s="1644"/>
      <c r="E54" s="1644"/>
      <c r="F54" s="1104" t="s">
        <v>541</v>
      </c>
      <c r="G54" s="1643"/>
      <c r="H54" s="1643"/>
      <c r="I54" s="1643"/>
      <c r="J54" s="1105"/>
    </row>
    <row r="55" spans="1:26" ht="29.25" customHeight="1" thickTop="1" thickBot="1">
      <c r="A55" s="1651" t="s">
        <v>606</v>
      </c>
      <c r="B55" s="1647"/>
      <c r="C55" s="1647" t="s">
        <v>542</v>
      </c>
      <c r="D55" s="1647"/>
      <c r="E55" s="1648"/>
      <c r="F55" s="1647" t="s">
        <v>606</v>
      </c>
      <c r="G55" s="1647"/>
      <c r="H55" s="1647" t="s">
        <v>542</v>
      </c>
      <c r="I55" s="1647"/>
      <c r="J55" s="1648"/>
    </row>
    <row r="56" spans="1:26" ht="26.25" customHeight="1" thickBot="1">
      <c r="A56" s="1218" t="s">
        <v>543</v>
      </c>
      <c r="B56" s="1219"/>
      <c r="C56" s="1219" t="s">
        <v>544</v>
      </c>
      <c r="D56" s="1219"/>
      <c r="E56" s="1652"/>
      <c r="F56" s="1218" t="s">
        <v>545</v>
      </c>
      <c r="G56" s="1219"/>
      <c r="H56" s="1219" t="s">
        <v>546</v>
      </c>
      <c r="I56" s="1219"/>
      <c r="J56" s="1652"/>
    </row>
    <row r="57" spans="1:26" ht="27" customHeight="1" thickBot="1">
      <c r="A57" s="1218" t="s">
        <v>547</v>
      </c>
      <c r="B57" s="1219"/>
      <c r="C57" s="1219" t="s">
        <v>548</v>
      </c>
      <c r="D57" s="1219"/>
      <c r="E57" s="1652"/>
      <c r="F57" s="1649" t="s">
        <v>549</v>
      </c>
      <c r="G57" s="1610"/>
      <c r="H57" s="1610" t="s">
        <v>607</v>
      </c>
      <c r="I57" s="1610"/>
      <c r="J57" s="1611"/>
    </row>
    <row r="58" spans="1:26" ht="27" customHeight="1" thickBot="1">
      <c r="A58" s="1218" t="s">
        <v>550</v>
      </c>
      <c r="B58" s="1219"/>
      <c r="C58" s="1219" t="s">
        <v>551</v>
      </c>
      <c r="D58" s="1219"/>
      <c r="E58" s="1652"/>
      <c r="F58" s="1651"/>
      <c r="G58" s="1647"/>
      <c r="H58" s="1647"/>
      <c r="I58" s="1647"/>
      <c r="J58" s="1648"/>
    </row>
    <row r="59" spans="1:26" ht="27" customHeight="1" thickBot="1">
      <c r="A59" s="1218" t="s">
        <v>552</v>
      </c>
      <c r="B59" s="1219"/>
      <c r="C59" s="1219" t="s">
        <v>553</v>
      </c>
      <c r="D59" s="1219"/>
      <c r="E59" s="1652"/>
      <c r="F59" s="1218" t="s">
        <v>554</v>
      </c>
      <c r="G59" s="1219"/>
      <c r="H59" s="1219" t="s">
        <v>555</v>
      </c>
      <c r="I59" s="1219"/>
      <c r="J59" s="1652"/>
    </row>
    <row r="60" spans="1:26" ht="15" thickBot="1">
      <c r="A60" s="1218" t="s">
        <v>556</v>
      </c>
      <c r="B60" s="1219"/>
      <c r="C60" s="1219" t="s">
        <v>557</v>
      </c>
      <c r="D60" s="1219"/>
      <c r="E60" s="1652"/>
      <c r="F60" s="1649" t="s">
        <v>558</v>
      </c>
      <c r="G60" s="1610"/>
      <c r="H60" s="1610" t="s">
        <v>559</v>
      </c>
      <c r="I60" s="1610"/>
      <c r="J60" s="1611"/>
    </row>
    <row r="61" spans="1:26" ht="27" customHeight="1" thickBot="1">
      <c r="A61" s="1218" t="s">
        <v>560</v>
      </c>
      <c r="B61" s="1219"/>
      <c r="C61" s="1219" t="s">
        <v>561</v>
      </c>
      <c r="D61" s="1219"/>
      <c r="E61" s="1652"/>
      <c r="F61" s="1650"/>
      <c r="G61" s="1645"/>
      <c r="H61" s="1645"/>
      <c r="I61" s="1645"/>
      <c r="J61" s="1646"/>
    </row>
    <row r="62" spans="1:26" ht="27" customHeight="1" thickBot="1">
      <c r="A62" s="1218" t="s">
        <v>562</v>
      </c>
      <c r="B62" s="1219"/>
      <c r="C62" s="1219" t="s">
        <v>563</v>
      </c>
      <c r="D62" s="1219"/>
      <c r="E62" s="1652"/>
      <c r="F62" s="1651"/>
      <c r="G62" s="1647"/>
      <c r="H62" s="1647"/>
      <c r="I62" s="1647"/>
      <c r="J62" s="1648"/>
    </row>
    <row r="63" spans="1:26" ht="27" customHeight="1" thickBot="1">
      <c r="A63" s="1218" t="s">
        <v>564</v>
      </c>
      <c r="B63" s="1219"/>
      <c r="C63" s="1219" t="s">
        <v>565</v>
      </c>
      <c r="D63" s="1219"/>
      <c r="E63" s="1652"/>
      <c r="F63" s="1649" t="s">
        <v>566</v>
      </c>
      <c r="G63" s="1610"/>
      <c r="H63" s="1610" t="s">
        <v>567</v>
      </c>
      <c r="I63" s="1610"/>
      <c r="J63" s="1611"/>
    </row>
    <row r="64" spans="1:26" ht="27" customHeight="1" thickBot="1">
      <c r="A64" s="1218" t="s">
        <v>568</v>
      </c>
      <c r="B64" s="1219"/>
      <c r="C64" s="1219" t="s">
        <v>569</v>
      </c>
      <c r="D64" s="1219"/>
      <c r="E64" s="1652"/>
      <c r="F64" s="1651"/>
      <c r="G64" s="1647"/>
      <c r="H64" s="1647"/>
      <c r="I64" s="1647"/>
      <c r="J64" s="1648"/>
    </row>
    <row r="65" spans="1:10" ht="27" customHeight="1" thickBot="1">
      <c r="A65" s="1218" t="s">
        <v>570</v>
      </c>
      <c r="B65" s="1219"/>
      <c r="C65" s="1219" t="s">
        <v>571</v>
      </c>
      <c r="D65" s="1219"/>
      <c r="E65" s="1652"/>
      <c r="F65" s="1218" t="s">
        <v>572</v>
      </c>
      <c r="G65" s="1219"/>
      <c r="H65" s="1219" t="s">
        <v>573</v>
      </c>
      <c r="I65" s="1219"/>
      <c r="J65" s="1652"/>
    </row>
    <row r="66" spans="1:10" ht="15" thickBot="1">
      <c r="A66" s="1218" t="s">
        <v>574</v>
      </c>
      <c r="B66" s="1219"/>
      <c r="C66" s="1219" t="s">
        <v>575</v>
      </c>
      <c r="D66" s="1219"/>
      <c r="E66" s="1652"/>
      <c r="F66" s="1649" t="s">
        <v>576</v>
      </c>
      <c r="G66" s="1610"/>
      <c r="H66" s="1610" t="s">
        <v>577</v>
      </c>
      <c r="I66" s="1610"/>
      <c r="J66" s="1611"/>
    </row>
    <row r="67" spans="1:10" ht="15" thickBot="1">
      <c r="A67" s="1218" t="s">
        <v>578</v>
      </c>
      <c r="B67" s="1219"/>
      <c r="C67" s="1219" t="s">
        <v>579</v>
      </c>
      <c r="D67" s="1219"/>
      <c r="E67" s="1652"/>
      <c r="F67" s="1651"/>
      <c r="G67" s="1647"/>
      <c r="H67" s="1647"/>
      <c r="I67" s="1647"/>
      <c r="J67" s="1648"/>
    </row>
    <row r="68" spans="1:10" ht="24.75" customHeight="1" thickBot="1">
      <c r="A68" s="1218" t="s">
        <v>580</v>
      </c>
      <c r="B68" s="1219"/>
      <c r="C68" s="1219" t="s">
        <v>581</v>
      </c>
      <c r="D68" s="1219"/>
      <c r="E68" s="1652"/>
      <c r="F68" s="1100"/>
      <c r="G68" s="1185"/>
      <c r="H68" s="1185"/>
      <c r="I68" s="1185"/>
      <c r="J68" s="1101"/>
    </row>
    <row r="69" spans="1:10" ht="24.75" customHeight="1" thickBot="1">
      <c r="A69" s="1218" t="s">
        <v>582</v>
      </c>
      <c r="B69" s="1219"/>
      <c r="C69" s="1219" t="s">
        <v>583</v>
      </c>
      <c r="D69" s="1219"/>
      <c r="E69" s="1652"/>
      <c r="F69" s="1071"/>
      <c r="G69" s="1187"/>
      <c r="H69" s="1187"/>
      <c r="I69" s="1187"/>
      <c r="J69" s="1072"/>
    </row>
    <row r="70" spans="1:10" ht="15" thickBot="1">
      <c r="A70" s="1218" t="s">
        <v>584</v>
      </c>
      <c r="B70" s="1219"/>
      <c r="C70" s="1219" t="s">
        <v>585</v>
      </c>
      <c r="D70" s="1219"/>
      <c r="E70" s="1652"/>
      <c r="F70" s="1071"/>
      <c r="G70" s="1187"/>
      <c r="H70" s="1187"/>
      <c r="I70" s="1187"/>
      <c r="J70" s="1072"/>
    </row>
    <row r="71" spans="1:10" ht="24.75" customHeight="1" thickBot="1">
      <c r="A71" s="1218" t="s">
        <v>586</v>
      </c>
      <c r="B71" s="1219"/>
      <c r="C71" s="1219" t="s">
        <v>587</v>
      </c>
      <c r="D71" s="1219"/>
      <c r="E71" s="1652"/>
      <c r="F71" s="1071"/>
      <c r="G71" s="1187"/>
      <c r="H71" s="1187"/>
      <c r="I71" s="1187"/>
      <c r="J71" s="1072"/>
    </row>
    <row r="72" spans="1:10" ht="24.75" customHeight="1" thickBot="1">
      <c r="A72" s="1218" t="s">
        <v>588</v>
      </c>
      <c r="B72" s="1219"/>
      <c r="C72" s="1219" t="s">
        <v>589</v>
      </c>
      <c r="D72" s="1219"/>
      <c r="E72" s="1652"/>
      <c r="F72" s="1071"/>
      <c r="G72" s="1187"/>
      <c r="H72" s="1187"/>
      <c r="I72" s="1187"/>
      <c r="J72" s="1072"/>
    </row>
    <row r="73" spans="1:10" ht="15" thickBot="1">
      <c r="A73" s="1218" t="s">
        <v>590</v>
      </c>
      <c r="B73" s="1219"/>
      <c r="C73" s="1219" t="s">
        <v>591</v>
      </c>
      <c r="D73" s="1219"/>
      <c r="E73" s="1652"/>
      <c r="F73" s="1071"/>
      <c r="G73" s="1187"/>
      <c r="H73" s="1187"/>
      <c r="I73" s="1187"/>
      <c r="J73" s="1072"/>
    </row>
    <row r="74" spans="1:10" ht="15" thickBot="1">
      <c r="A74" s="1218" t="s">
        <v>592</v>
      </c>
      <c r="B74" s="1219"/>
      <c r="C74" s="1219" t="s">
        <v>593</v>
      </c>
      <c r="D74" s="1219"/>
      <c r="E74" s="1652"/>
      <c r="F74" s="1071"/>
      <c r="G74" s="1187"/>
      <c r="H74" s="1187"/>
      <c r="I74" s="1187"/>
      <c r="J74" s="1072"/>
    </row>
    <row r="75" spans="1:10" ht="15" thickBot="1">
      <c r="A75" s="1218" t="s">
        <v>594</v>
      </c>
      <c r="B75" s="1219"/>
      <c r="C75" s="1219" t="s">
        <v>595</v>
      </c>
      <c r="D75" s="1219"/>
      <c r="E75" s="1652"/>
      <c r="F75" s="1071"/>
      <c r="G75" s="1187"/>
      <c r="H75" s="1187"/>
      <c r="I75" s="1187"/>
      <c r="J75" s="1072"/>
    </row>
    <row r="76" spans="1:10" ht="24.75" customHeight="1" thickBot="1">
      <c r="A76" s="1218" t="s">
        <v>596</v>
      </c>
      <c r="B76" s="1219"/>
      <c r="C76" s="1219" t="s">
        <v>597</v>
      </c>
      <c r="D76" s="1219"/>
      <c r="E76" s="1652"/>
      <c r="F76" s="1071"/>
      <c r="G76" s="1187"/>
      <c r="H76" s="1187"/>
      <c r="I76" s="1187"/>
      <c r="J76" s="1072"/>
    </row>
    <row r="77" spans="1:10" ht="24.75" customHeight="1" thickBot="1">
      <c r="A77" s="1218" t="s">
        <v>598</v>
      </c>
      <c r="B77" s="1219"/>
      <c r="C77" s="1219" t="s">
        <v>599</v>
      </c>
      <c r="D77" s="1219"/>
      <c r="E77" s="1652"/>
      <c r="F77" s="1071"/>
      <c r="G77" s="1187"/>
      <c r="H77" s="1187"/>
      <c r="I77" s="1187"/>
      <c r="J77" s="1072"/>
    </row>
    <row r="78" spans="1:10" ht="15" thickBot="1">
      <c r="A78" s="1218" t="s">
        <v>600</v>
      </c>
      <c r="B78" s="1219"/>
      <c r="C78" s="1219" t="s">
        <v>601</v>
      </c>
      <c r="D78" s="1219"/>
      <c r="E78" s="1652"/>
      <c r="F78" s="1071"/>
      <c r="G78" s="1187"/>
      <c r="H78" s="1187"/>
      <c r="I78" s="1187"/>
      <c r="J78" s="1072"/>
    </row>
    <row r="79" spans="1:10" ht="15" thickBot="1">
      <c r="A79" s="1649" t="s">
        <v>602</v>
      </c>
      <c r="B79" s="1610"/>
      <c r="C79" s="1610" t="s">
        <v>603</v>
      </c>
      <c r="D79" s="1610"/>
      <c r="E79" s="1611"/>
      <c r="F79" s="1653"/>
      <c r="G79" s="1654"/>
      <c r="H79" s="1654"/>
      <c r="I79" s="1654"/>
      <c r="J79" s="1655"/>
    </row>
    <row r="80" spans="1:10" ht="15.75" customHeight="1" thickBot="1">
      <c r="A80" s="1612" t="s">
        <v>604</v>
      </c>
      <c r="B80" s="1613"/>
      <c r="C80" s="1613"/>
      <c r="D80" s="1613"/>
      <c r="E80" s="1613"/>
      <c r="F80" s="1613"/>
      <c r="G80" s="1613"/>
      <c r="H80" s="1613"/>
      <c r="I80" s="1613"/>
      <c r="J80" s="1614"/>
    </row>
    <row r="81" spans="1:6" ht="15" thickTop="1">
      <c r="A81" s="62"/>
      <c r="B81" s="62"/>
      <c r="C81" s="62"/>
      <c r="D81" s="62"/>
      <c r="E81" s="62"/>
      <c r="F81" s="62"/>
    </row>
    <row r="82" spans="1:6" ht="15.5">
      <c r="A82" s="63"/>
    </row>
  </sheetData>
  <sheetProtection algorithmName="SHA-512" hashValue="VTBBnwEvi18c/e0BhGWPrguFPnAtZrwPZ2sNCRea3/u2ETAfIcCWSiZiQNA4+YWCfD7LwxVbY2nhgWX5q37RUA==" saltValue="Ud1bRGDg9v8CnCn94Jw8kA==" spinCount="100000" sheet="1" selectLockedCells="1"/>
  <customSheetViews>
    <customSheetView guid="{A81B7E59-6D30-48F0-895B-EADA4D6F68AC}" scale="85" hiddenRows="1">
      <selection activeCell="C7" sqref="C7:E7"/>
      <rowBreaks count="1" manualBreakCount="1">
        <brk id="51" max="16383" man="1"/>
      </rowBreaks>
      <pageMargins left="0.5" right="0.5" top="1" bottom="0.75" header="0.25" footer="0.25"/>
      <pageSetup scale="59" fitToHeight="7" orientation="portrait" r:id="rId1"/>
      <headerFooter>
        <oddHeader>&amp;L&amp;"Arial,Regular"&amp;8Texas Department of Aging 
and Disability Services&amp;C&amp;"Arial,Bold"&amp;12RESIDENTIAL CARE
UNLICENSED EMPLOYEE REQUIREMENTS TABLE&amp;R&amp;"Arial,Regular"&amp;8Form TBD
Page &amp;P</oddHeader>
      </headerFooter>
    </customSheetView>
    <customSheetView guid="{B2091B36-14EA-49EC-93AF-D5AA205EF0C1}" scale="85">
      <selection activeCell="B19" sqref="B19:D19"/>
      <rowBreaks count="1" manualBreakCount="1">
        <brk id="50" max="16383" man="1"/>
      </rowBreaks>
      <pageMargins left="0.5" right="0.5" top="1" bottom="0.75" header="0.25" footer="0.25"/>
      <pageSetup scale="95" fitToHeight="7" orientation="portrait" r:id="rId2"/>
      <headerFooter>
        <oddHeader>&amp;L&amp;"Arial,Regular"&amp;8Texas Department of Aging
and Disability Services&amp;C&amp;"Arial,Bold"&amp;12ASSISTED LIVING/RESIDENTIAL CARE/
OUT OF HOME RESPITE
UNLICENSED EMPLOYEE REQUIREMENTS TABLE&amp;R&amp;"Arial,Regular"&amp;8Form TBD
Page &amp;P</oddHeader>
      </headerFooter>
    </customSheetView>
    <customSheetView guid="{965C3FE4-50BF-43C0-B1D0-366B904E9BAB}" topLeftCell="A22">
      <selection activeCell="B28" sqref="B28:C28"/>
      <rowBreaks count="1" manualBreakCount="1">
        <brk id="59" max="16383" man="1"/>
      </rowBreaks>
      <pageMargins left="0.5" right="0.5" top="1" bottom="0.75" header="0.25" footer="0.25"/>
      <pageSetup scale="95" fitToHeight="7" orientation="portrait" r:id="rId3"/>
      <headerFooter>
        <oddHeader>&amp;L&amp;"Arial,Regular"&amp;8Texas Department of Aging
and Disability Services&amp;C&amp;"Arial,Bold"&amp;12ASSISTED LIVING/RESIDENTIAL CARE/
OUT OF HOME RESPITE
UNLICENSED EMPLOYEE REQUIREMENTS TABLE&amp;R&amp;"Arial,Regular"&amp;8Form TBD
Page &amp;P</oddHeader>
      </headerFooter>
    </customSheetView>
    <customSheetView guid="{5C7A2EDE-CAF2-41B7-8EBC-2EB35225299B}" topLeftCell="A22">
      <selection activeCell="B28" sqref="B28:C28"/>
      <rowBreaks count="1" manualBreakCount="1">
        <brk id="59" max="16383" man="1"/>
      </rowBreaks>
      <pageMargins left="0.5" right="0.5" top="1" bottom="0.75" header="0.25" footer="0.25"/>
      <pageSetup scale="95" fitToHeight="7" orientation="portrait" r:id="rId4"/>
      <headerFooter>
        <oddHeader>&amp;L&amp;"Arial,Regular"&amp;8Texas Department of Aging
and Disability Services&amp;C&amp;"Arial,Bold"&amp;12ASSISTED LIVING/RESIDENTIAL CARE/
OUT OF HOME RESPITE
UNLICENSED EMPLOYEE REQUIREMENTS TABLE&amp;R&amp;"Arial,Regular"&amp;8Form TBD
Page &amp;P</oddHeader>
      </headerFooter>
    </customSheetView>
    <customSheetView guid="{15DD4F60-D491-4D73-A014-FE6349F17583}" topLeftCell="A22">
      <selection activeCell="B28" sqref="B28:C28"/>
      <rowBreaks count="1" manualBreakCount="1">
        <brk id="59" max="16383" man="1"/>
      </rowBreaks>
      <pageMargins left="0.5" right="0.5" top="1" bottom="0.75" header="0.25" footer="0.25"/>
      <pageSetup scale="95" fitToHeight="7" orientation="portrait" r:id="rId5"/>
      <headerFooter>
        <oddHeader>&amp;L&amp;"Arial,Regular"&amp;8Texas Department of Aging
and Disability Services&amp;C&amp;"Arial,Bold"&amp;12ASSISTED LIVING/RESIDENTIAL CARE/
OUT OF HOME RESPITE
UNLICENSED EMPLOYEE REQUIREMENTS TABLE&amp;R&amp;"Arial,Regular"&amp;8Form TBD
Page &amp;P</oddHeader>
      </headerFooter>
    </customSheetView>
    <customSheetView guid="{A9399441-FD69-4FCC-BF3B-6E447DD9FB6A}" scale="85">
      <selection activeCell="B19" sqref="B19:D19"/>
      <rowBreaks count="1" manualBreakCount="1">
        <brk id="50" max="16383" man="1"/>
      </rowBreaks>
      <pageMargins left="0.5" right="0.5" top="1" bottom="0.75" header="0.25" footer="0.25"/>
      <pageSetup scale="95" fitToHeight="7" orientation="portrait" r:id="rId6"/>
      <headerFooter>
        <oddHeader>&amp;L&amp;"Arial,Regular"&amp;8Texas Department of Aging
and Disability Services&amp;C&amp;"Arial,Bold"&amp;12ASSISTED LIVING/RESIDENTIAL CARE/
OUT OF HOME RESPITE
UNLICENSED EMPLOYEE REQUIREMENTS TABLE&amp;R&amp;"Arial,Regular"&amp;8Form TBD
Page &amp;P</oddHeader>
      </headerFooter>
    </customSheetView>
  </customSheetViews>
  <mergeCells count="147">
    <mergeCell ref="A75:B75"/>
    <mergeCell ref="C75:E75"/>
    <mergeCell ref="A76:B76"/>
    <mergeCell ref="C76:E76"/>
    <mergeCell ref="A77:B77"/>
    <mergeCell ref="C77:E77"/>
    <mergeCell ref="A78:B78"/>
    <mergeCell ref="C78:E78"/>
    <mergeCell ref="A17:J17"/>
    <mergeCell ref="F66:G67"/>
    <mergeCell ref="H66:J67"/>
    <mergeCell ref="A67:B67"/>
    <mergeCell ref="C67:E67"/>
    <mergeCell ref="A68:B68"/>
    <mergeCell ref="C68:E68"/>
    <mergeCell ref="F63:G64"/>
    <mergeCell ref="A64:B64"/>
    <mergeCell ref="C64:E64"/>
    <mergeCell ref="H63:J64"/>
    <mergeCell ref="A65:B65"/>
    <mergeCell ref="C65:E65"/>
    <mergeCell ref="F65:G65"/>
    <mergeCell ref="H65:J65"/>
    <mergeCell ref="H59:J59"/>
    <mergeCell ref="C66:E66"/>
    <mergeCell ref="A71:B71"/>
    <mergeCell ref="C71:E71"/>
    <mergeCell ref="A72:B72"/>
    <mergeCell ref="C72:E72"/>
    <mergeCell ref="A73:B73"/>
    <mergeCell ref="C73:E73"/>
    <mergeCell ref="A74:B74"/>
    <mergeCell ref="C74:E74"/>
    <mergeCell ref="A79:B79"/>
    <mergeCell ref="A63:B63"/>
    <mergeCell ref="C63:E63"/>
    <mergeCell ref="H55:J55"/>
    <mergeCell ref="A55:B55"/>
    <mergeCell ref="C55:E55"/>
    <mergeCell ref="H56:J56"/>
    <mergeCell ref="A56:B56"/>
    <mergeCell ref="C56:E56"/>
    <mergeCell ref="F57:G58"/>
    <mergeCell ref="H57:J58"/>
    <mergeCell ref="A57:B57"/>
    <mergeCell ref="C57:E57"/>
    <mergeCell ref="A58:B58"/>
    <mergeCell ref="C58:E58"/>
    <mergeCell ref="F55:G55"/>
    <mergeCell ref="F56:G56"/>
    <mergeCell ref="C62:E62"/>
    <mergeCell ref="A69:B69"/>
    <mergeCell ref="C69:E69"/>
    <mergeCell ref="A70:B70"/>
    <mergeCell ref="C70:E70"/>
    <mergeCell ref="F68:J79"/>
    <mergeCell ref="A66:B66"/>
    <mergeCell ref="A52:J52"/>
    <mergeCell ref="F53:J53"/>
    <mergeCell ref="F54:J54"/>
    <mergeCell ref="A53:E54"/>
    <mergeCell ref="B49:D49"/>
    <mergeCell ref="H60:J62"/>
    <mergeCell ref="F60:G62"/>
    <mergeCell ref="A59:B59"/>
    <mergeCell ref="C59:E59"/>
    <mergeCell ref="F59:G59"/>
    <mergeCell ref="A60:B60"/>
    <mergeCell ref="C60:E60"/>
    <mergeCell ref="A61:B61"/>
    <mergeCell ref="C61:E61"/>
    <mergeCell ref="A62:B62"/>
    <mergeCell ref="B33:D33"/>
    <mergeCell ref="A51:J51"/>
    <mergeCell ref="A50:J50"/>
    <mergeCell ref="B34:D34"/>
    <mergeCell ref="B35:D35"/>
    <mergeCell ref="B36:D36"/>
    <mergeCell ref="B37:D37"/>
    <mergeCell ref="B38:D38"/>
    <mergeCell ref="B39:D39"/>
    <mergeCell ref="B40:D40"/>
    <mergeCell ref="B41:D41"/>
    <mergeCell ref="B42:D42"/>
    <mergeCell ref="B43:D43"/>
    <mergeCell ref="B44:D44"/>
    <mergeCell ref="B45:D45"/>
    <mergeCell ref="B46:D46"/>
    <mergeCell ref="B47:D47"/>
    <mergeCell ref="B48:D48"/>
    <mergeCell ref="B29:D29"/>
    <mergeCell ref="B30:D30"/>
    <mergeCell ref="B31:D31"/>
    <mergeCell ref="B32:D32"/>
    <mergeCell ref="C3:D3"/>
    <mergeCell ref="C4:D4"/>
    <mergeCell ref="C5:D5"/>
    <mergeCell ref="A15:J15"/>
    <mergeCell ref="A16:J16"/>
    <mergeCell ref="G3:H3"/>
    <mergeCell ref="G4:H4"/>
    <mergeCell ref="G5:H5"/>
    <mergeCell ref="C79:E79"/>
    <mergeCell ref="A80:J80"/>
    <mergeCell ref="A8:B8"/>
    <mergeCell ref="C8:E8"/>
    <mergeCell ref="F8:G8"/>
    <mergeCell ref="H8:J8"/>
    <mergeCell ref="A9:J9"/>
    <mergeCell ref="A10:J10"/>
    <mergeCell ref="B18:D18"/>
    <mergeCell ref="B19:D19"/>
    <mergeCell ref="A18:A19"/>
    <mergeCell ref="B20:D20"/>
    <mergeCell ref="B21:D21"/>
    <mergeCell ref="B22:D22"/>
    <mergeCell ref="B23:D23"/>
    <mergeCell ref="B24:D24"/>
    <mergeCell ref="B25:D25"/>
    <mergeCell ref="A11:J11"/>
    <mergeCell ref="A12:J12"/>
    <mergeCell ref="A13:J13"/>
    <mergeCell ref="A14:J14"/>
    <mergeCell ref="B26:D26"/>
    <mergeCell ref="B27:D27"/>
    <mergeCell ref="B28:D28"/>
    <mergeCell ref="A1:D1"/>
    <mergeCell ref="E1:F1"/>
    <mergeCell ref="G1:H1"/>
    <mergeCell ref="I1:J1"/>
    <mergeCell ref="A2:D2"/>
    <mergeCell ref="E2:F2"/>
    <mergeCell ref="G2:H2"/>
    <mergeCell ref="I2:J2"/>
    <mergeCell ref="A7:B7"/>
    <mergeCell ref="C7:E7"/>
    <mergeCell ref="F7:G7"/>
    <mergeCell ref="H7:J7"/>
    <mergeCell ref="A6:B6"/>
    <mergeCell ref="C6:E6"/>
    <mergeCell ref="F6:G6"/>
    <mergeCell ref="H6:J6"/>
    <mergeCell ref="I3:J3"/>
    <mergeCell ref="A3:B3"/>
    <mergeCell ref="E3:F3"/>
    <mergeCell ref="E4:F4"/>
    <mergeCell ref="E5:F5"/>
  </mergeCells>
  <dataValidations disablePrompts="1" count="4">
    <dataValidation type="whole" showInputMessage="1" showErrorMessage="1" sqref="I6:J6" xr:uid="{00000000-0002-0000-2100-000000000000}">
      <formula1>1</formula1>
      <formula2>999999999999</formula2>
    </dataValidation>
    <dataValidation type="date" operator="greaterThanOrEqual" allowBlank="1" showInputMessage="1" showErrorMessage="1" errorTitle="Date Error" error="Service end date cannot be earlier than the begin date." prompt="For the service code in column &quot;C&quot; enter the end date for the last 2 months of service during the review period and any month in which a break in service delivery took place" sqref="M19" xr:uid="{00000000-0002-0000-2100-000001000000}">
      <formula1>L19</formula1>
    </dataValidation>
    <dataValidation type="list" operator="greaterThanOrEqual" allowBlank="1" showInputMessage="1" showErrorMessage="1" sqref="F20:H49" xr:uid="{00000000-0002-0000-2100-000002000000}">
      <formula1>"Y,N,NA"</formula1>
    </dataValidation>
    <dataValidation type="list" allowBlank="1" showInputMessage="1" showErrorMessage="1" sqref="I20:J49" xr:uid="{00000000-0002-0000-2100-000003000000}">
      <formula1>"Y,N,NA"</formula1>
    </dataValidation>
  </dataValidations>
  <pageMargins left="0.5" right="0.5" top="1" bottom="0.75" header="0.25" footer="0.25"/>
  <pageSetup scale="59" fitToHeight="7" orientation="portrait" r:id="rId7"/>
  <headerFooter>
    <oddHeader>&amp;L&amp;"Arial,Regular"&amp;8Texas Department of Aging 
and Disability Services&amp;C&amp;"Arial,Bold"&amp;12RESIDENTIAL CARE
UNLICENSED EMPLOYEE REQUIREMENTS TABLE&amp;R&amp;"Arial,Regular"&amp;8Form TBD
Page &amp;P</oddHeader>
  </headerFooter>
  <rowBreaks count="1" manualBreakCount="1">
    <brk id="51"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5" tint="0.79998168889431442"/>
    <pageSetUpPr fitToPage="1"/>
  </sheetPr>
  <dimension ref="A1:U109"/>
  <sheetViews>
    <sheetView zoomScaleNormal="100" workbookViewId="0">
      <selection sqref="A1:K1"/>
    </sheetView>
  </sheetViews>
  <sheetFormatPr defaultRowHeight="14.5"/>
  <sheetData>
    <row r="1" spans="1:20" s="87" customFormat="1" ht="13.5" thickBot="1">
      <c r="A1" s="1667" t="s">
        <v>1604</v>
      </c>
      <c r="B1" s="1668"/>
      <c r="C1" s="1668"/>
      <c r="D1" s="1668"/>
      <c r="E1" s="1668"/>
      <c r="F1" s="1668"/>
      <c r="G1" s="1668"/>
      <c r="H1" s="1668"/>
      <c r="I1" s="1668"/>
      <c r="J1" s="1668"/>
      <c r="K1" s="1669"/>
      <c r="L1" s="75"/>
      <c r="M1" s="75"/>
      <c r="N1" s="75"/>
      <c r="O1" s="75"/>
      <c r="P1" s="75"/>
      <c r="Q1" s="75"/>
      <c r="R1" s="75"/>
      <c r="S1" s="75"/>
      <c r="T1" s="75"/>
    </row>
    <row r="2" spans="1:20" s="87" customFormat="1" ht="13">
      <c r="A2" s="1670" t="s">
        <v>673</v>
      </c>
      <c r="B2" s="1671"/>
      <c r="C2" s="1671"/>
      <c r="D2" s="1671"/>
      <c r="E2" s="1671"/>
      <c r="F2" s="1671"/>
      <c r="G2" s="1671"/>
      <c r="H2" s="1671"/>
      <c r="I2" s="1671"/>
      <c r="J2" s="1671"/>
      <c r="K2" s="1672"/>
      <c r="L2" s="75"/>
      <c r="M2" s="75"/>
      <c r="N2" s="75"/>
      <c r="O2" s="75"/>
      <c r="P2" s="75"/>
      <c r="Q2" s="75"/>
      <c r="R2" s="75"/>
      <c r="S2" s="75"/>
      <c r="T2" s="75"/>
    </row>
    <row r="3" spans="1:20" s="87" customFormat="1" ht="13">
      <c r="A3" s="1673" t="s">
        <v>674</v>
      </c>
      <c r="B3" s="1674"/>
      <c r="C3" s="1674"/>
      <c r="D3" s="1674"/>
      <c r="E3" s="1674"/>
      <c r="F3" s="1674"/>
      <c r="G3" s="1674"/>
      <c r="H3" s="1674"/>
      <c r="I3" s="1674"/>
      <c r="J3" s="1674"/>
      <c r="K3" s="1675"/>
      <c r="L3" s="75"/>
      <c r="M3" s="75"/>
      <c r="N3" s="75"/>
      <c r="O3" s="75"/>
      <c r="P3" s="75"/>
      <c r="Q3" s="75"/>
      <c r="R3" s="75"/>
      <c r="S3" s="75"/>
      <c r="T3" s="75"/>
    </row>
    <row r="4" spans="1:20" s="87" customFormat="1" ht="15" customHeight="1">
      <c r="A4" s="1673" t="s">
        <v>648</v>
      </c>
      <c r="B4" s="1674"/>
      <c r="C4" s="1674"/>
      <c r="D4" s="1674"/>
      <c r="E4" s="1674"/>
      <c r="F4" s="1674"/>
      <c r="G4" s="1674"/>
      <c r="H4" s="1674"/>
      <c r="I4" s="1674"/>
      <c r="J4" s="1674"/>
      <c r="K4" s="1675"/>
      <c r="L4" s="94"/>
      <c r="M4" s="75"/>
      <c r="N4" s="75"/>
      <c r="O4" s="75"/>
      <c r="P4" s="75"/>
      <c r="Q4" s="75"/>
      <c r="R4" s="75"/>
      <c r="S4" s="75"/>
      <c r="T4" s="75"/>
    </row>
    <row r="5" spans="1:20" s="87" customFormat="1" ht="15.75" customHeight="1" thickBot="1">
      <c r="A5" s="1676" t="s">
        <v>760</v>
      </c>
      <c r="B5" s="1677"/>
      <c r="C5" s="1677"/>
      <c r="D5" s="1677"/>
      <c r="E5" s="1677"/>
      <c r="F5" s="1677"/>
      <c r="G5" s="1677"/>
      <c r="H5" s="1677"/>
      <c r="I5" s="1677"/>
      <c r="J5" s="1677"/>
      <c r="K5" s="1678"/>
      <c r="L5" s="94"/>
      <c r="M5" s="75"/>
      <c r="N5" s="75"/>
      <c r="O5" s="75"/>
      <c r="P5" s="75"/>
      <c r="Q5" s="75"/>
      <c r="R5" s="75"/>
      <c r="S5" s="75"/>
      <c r="T5" s="75"/>
    </row>
    <row r="6" spans="1:20" s="88" customFormat="1" ht="25.5" customHeight="1" thickBot="1">
      <c r="A6" s="1679" t="s">
        <v>1346</v>
      </c>
      <c r="B6" s="1680"/>
      <c r="C6" s="1680"/>
      <c r="D6" s="1680"/>
      <c r="E6" s="1680"/>
      <c r="F6" s="1680"/>
      <c r="G6" s="1680"/>
      <c r="H6" s="1680"/>
      <c r="I6" s="1680"/>
      <c r="J6" s="1680"/>
      <c r="K6" s="1681"/>
      <c r="L6" s="94"/>
      <c r="M6" s="75"/>
      <c r="N6" s="75"/>
      <c r="O6" s="75"/>
      <c r="P6" s="75"/>
      <c r="Q6" s="75"/>
      <c r="R6" s="75"/>
      <c r="S6" s="75"/>
      <c r="T6" s="75"/>
    </row>
    <row r="7" spans="1:20" s="87" customFormat="1" ht="15" customHeight="1">
      <c r="A7" s="116" t="s">
        <v>650</v>
      </c>
      <c r="B7" s="1659" t="s">
        <v>1296</v>
      </c>
      <c r="C7" s="1659"/>
      <c r="D7" s="1659"/>
      <c r="E7" s="1659"/>
      <c r="F7" s="1659"/>
      <c r="G7" s="1659"/>
      <c r="H7" s="1659"/>
      <c r="I7" s="1659"/>
      <c r="J7" s="1659"/>
      <c r="K7" s="1660"/>
      <c r="L7" s="94"/>
      <c r="M7" s="75"/>
      <c r="N7" s="75"/>
      <c r="O7" s="75"/>
      <c r="P7" s="75"/>
      <c r="Q7" s="75"/>
      <c r="R7" s="75"/>
      <c r="S7" s="75"/>
      <c r="T7" s="75"/>
    </row>
    <row r="8" spans="1:20" s="87" customFormat="1" ht="15" customHeight="1">
      <c r="A8" s="116" t="s">
        <v>651</v>
      </c>
      <c r="B8" s="1661" t="s">
        <v>652</v>
      </c>
      <c r="C8" s="1661"/>
      <c r="D8" s="1661"/>
      <c r="E8" s="1661"/>
      <c r="F8" s="1661"/>
      <c r="G8" s="1661"/>
      <c r="H8" s="1661"/>
      <c r="I8" s="1661"/>
      <c r="J8" s="1661"/>
      <c r="K8" s="1662"/>
      <c r="L8" s="94"/>
      <c r="M8" s="75"/>
      <c r="N8" s="75"/>
      <c r="O8" s="75"/>
      <c r="P8" s="75"/>
      <c r="Q8" s="75"/>
      <c r="R8" s="75"/>
      <c r="S8" s="75"/>
      <c r="T8" s="75"/>
    </row>
    <row r="9" spans="1:20" s="87" customFormat="1" ht="15" customHeight="1">
      <c r="A9" s="1663" t="s">
        <v>686</v>
      </c>
      <c r="B9" s="1664"/>
      <c r="C9" s="1661" t="s">
        <v>687</v>
      </c>
      <c r="D9" s="1661"/>
      <c r="E9" s="1661"/>
      <c r="F9" s="1661"/>
      <c r="G9" s="262" t="s">
        <v>688</v>
      </c>
      <c r="H9" s="1661" t="s">
        <v>689</v>
      </c>
      <c r="I9" s="1661"/>
      <c r="J9" s="1661"/>
      <c r="K9" s="1662"/>
      <c r="L9" s="94"/>
      <c r="M9" s="75"/>
      <c r="N9" s="75"/>
      <c r="O9" s="75"/>
      <c r="P9" s="75"/>
      <c r="Q9" s="75"/>
      <c r="R9" s="75"/>
      <c r="S9" s="75"/>
      <c r="T9" s="75"/>
    </row>
    <row r="10" spans="1:20" s="87" customFormat="1" ht="15" customHeight="1">
      <c r="A10" s="1663" t="s">
        <v>679</v>
      </c>
      <c r="B10" s="1664"/>
      <c r="C10" s="1661" t="s">
        <v>680</v>
      </c>
      <c r="D10" s="1661"/>
      <c r="E10" s="1661"/>
      <c r="F10" s="1661"/>
      <c r="G10" s="262"/>
      <c r="H10" s="1661"/>
      <c r="I10" s="1661"/>
      <c r="J10" s="1661"/>
      <c r="K10" s="1662"/>
      <c r="L10" s="94"/>
      <c r="M10" s="75"/>
      <c r="N10" s="75"/>
      <c r="O10" s="75"/>
      <c r="P10" s="75"/>
      <c r="Q10" s="75"/>
      <c r="R10" s="75"/>
      <c r="S10" s="75"/>
      <c r="T10" s="75"/>
    </row>
    <row r="11" spans="1:20" s="87" customFormat="1" ht="15" customHeight="1">
      <c r="A11" s="1663" t="s">
        <v>681</v>
      </c>
      <c r="B11" s="1664"/>
      <c r="C11" s="1661" t="s">
        <v>682</v>
      </c>
      <c r="D11" s="1661"/>
      <c r="E11" s="1661"/>
      <c r="F11" s="1661"/>
      <c r="G11" s="262"/>
      <c r="H11" s="1661"/>
      <c r="I11" s="1661"/>
      <c r="J11" s="1661"/>
      <c r="K11" s="1662"/>
      <c r="L11" s="94"/>
      <c r="M11" s="75"/>
      <c r="N11" s="75"/>
      <c r="O11" s="75"/>
      <c r="P11" s="75"/>
      <c r="Q11" s="75"/>
      <c r="R11" s="75"/>
      <c r="S11" s="75"/>
      <c r="T11" s="75"/>
    </row>
    <row r="12" spans="1:20" s="87" customFormat="1" ht="15" customHeight="1">
      <c r="A12" s="1663" t="s">
        <v>684</v>
      </c>
      <c r="B12" s="1664"/>
      <c r="C12" s="1661" t="s">
        <v>683</v>
      </c>
      <c r="D12" s="1661"/>
      <c r="E12" s="1661"/>
      <c r="F12" s="1661"/>
      <c r="G12" s="262"/>
      <c r="H12" s="1661"/>
      <c r="I12" s="1661"/>
      <c r="J12" s="1661"/>
      <c r="K12" s="1662"/>
      <c r="L12" s="94"/>
      <c r="M12" s="75"/>
      <c r="N12" s="75"/>
      <c r="O12" s="75"/>
      <c r="P12" s="75"/>
      <c r="Q12" s="75"/>
      <c r="R12" s="75"/>
      <c r="S12" s="75"/>
      <c r="T12" s="75"/>
    </row>
    <row r="13" spans="1:20" s="87" customFormat="1" ht="15" customHeight="1">
      <c r="A13" s="1686" t="s">
        <v>688</v>
      </c>
      <c r="B13" s="1686"/>
      <c r="C13" s="1687" t="s">
        <v>685</v>
      </c>
      <c r="D13" s="1687"/>
      <c r="E13" s="1687"/>
      <c r="F13" s="1687"/>
      <c r="L13" s="94"/>
      <c r="M13" s="75"/>
      <c r="N13" s="75"/>
      <c r="O13" s="75"/>
      <c r="P13" s="75"/>
      <c r="Q13" s="75"/>
      <c r="R13" s="75"/>
      <c r="S13" s="75"/>
      <c r="T13" s="75"/>
    </row>
    <row r="14" spans="1:20" s="87" customFormat="1" ht="27.75" customHeight="1">
      <c r="A14" s="116" t="s">
        <v>654</v>
      </c>
      <c r="B14" s="1665" t="s">
        <v>1432</v>
      </c>
      <c r="C14" s="1665"/>
      <c r="D14" s="1665"/>
      <c r="E14" s="1665"/>
      <c r="F14" s="1665"/>
      <c r="G14" s="1665"/>
      <c r="H14" s="1665"/>
      <c r="I14" s="1665"/>
      <c r="J14" s="1665"/>
      <c r="K14" s="1666"/>
      <c r="L14" s="94"/>
      <c r="M14" s="75"/>
      <c r="N14" s="75"/>
      <c r="O14" s="75"/>
      <c r="P14" s="75"/>
      <c r="Q14" s="75"/>
      <c r="R14" s="75"/>
      <c r="S14" s="75"/>
      <c r="T14" s="75"/>
    </row>
    <row r="15" spans="1:20" s="87" customFormat="1" ht="26.25" customHeight="1">
      <c r="A15" s="116" t="s">
        <v>690</v>
      </c>
      <c r="B15" s="1665" t="s">
        <v>815</v>
      </c>
      <c r="C15" s="1665"/>
      <c r="D15" s="1665"/>
      <c r="E15" s="1665"/>
      <c r="F15" s="1665"/>
      <c r="G15" s="1665"/>
      <c r="H15" s="1665"/>
      <c r="I15" s="1665"/>
      <c r="J15" s="1665"/>
      <c r="K15" s="1666"/>
      <c r="L15" s="94"/>
      <c r="M15" s="75"/>
      <c r="N15" s="75"/>
      <c r="O15" s="75"/>
      <c r="P15" s="75"/>
      <c r="Q15" s="75"/>
      <c r="R15" s="75"/>
      <c r="S15" s="75"/>
      <c r="T15" s="75"/>
    </row>
    <row r="16" spans="1:20" s="87" customFormat="1" ht="26.25" customHeight="1">
      <c r="A16" s="116" t="s">
        <v>656</v>
      </c>
      <c r="B16" s="1665" t="s">
        <v>766</v>
      </c>
      <c r="C16" s="1665"/>
      <c r="D16" s="1665"/>
      <c r="E16" s="1665"/>
      <c r="F16" s="1665"/>
      <c r="G16" s="1665"/>
      <c r="H16" s="1665"/>
      <c r="I16" s="1665"/>
      <c r="J16" s="1665"/>
      <c r="K16" s="1666"/>
      <c r="L16" s="94"/>
      <c r="M16" s="75"/>
      <c r="N16" s="75"/>
      <c r="O16" s="75"/>
      <c r="P16" s="75"/>
      <c r="Q16" s="75"/>
      <c r="R16" s="75"/>
      <c r="S16" s="75"/>
      <c r="T16" s="75"/>
    </row>
    <row r="17" spans="1:20" s="87" customFormat="1" ht="26.25" customHeight="1">
      <c r="A17" s="116" t="s">
        <v>691</v>
      </c>
      <c r="B17" s="1665" t="s">
        <v>767</v>
      </c>
      <c r="C17" s="1665"/>
      <c r="D17" s="1665"/>
      <c r="E17" s="1665"/>
      <c r="F17" s="1665"/>
      <c r="G17" s="1665"/>
      <c r="H17" s="1665"/>
      <c r="I17" s="1665"/>
      <c r="J17" s="1665"/>
      <c r="K17" s="1666"/>
      <c r="L17" s="75"/>
      <c r="M17" s="75"/>
      <c r="N17" s="75"/>
      <c r="O17" s="75"/>
      <c r="P17" s="75"/>
      <c r="Q17" s="75"/>
      <c r="R17" s="75"/>
      <c r="S17" s="75"/>
      <c r="T17" s="75"/>
    </row>
    <row r="18" spans="1:20" s="87" customFormat="1" ht="37.5" customHeight="1">
      <c r="A18" s="116" t="s">
        <v>660</v>
      </c>
      <c r="B18" s="1665" t="s">
        <v>768</v>
      </c>
      <c r="C18" s="1665"/>
      <c r="D18" s="1665"/>
      <c r="E18" s="1665"/>
      <c r="F18" s="1665"/>
      <c r="G18" s="1665"/>
      <c r="H18" s="1665"/>
      <c r="I18" s="1665"/>
      <c r="J18" s="1665"/>
      <c r="K18" s="1666"/>
      <c r="L18" s="75"/>
      <c r="M18" s="75"/>
      <c r="N18" s="75"/>
      <c r="O18" s="75"/>
      <c r="P18" s="75"/>
      <c r="Q18" s="75"/>
      <c r="R18" s="75"/>
      <c r="S18" s="75"/>
      <c r="T18" s="75"/>
    </row>
    <row r="19" spans="1:20" s="87" customFormat="1" ht="25.5" customHeight="1" thickBot="1">
      <c r="A19" s="116" t="s">
        <v>662</v>
      </c>
      <c r="B19" s="1665" t="s">
        <v>769</v>
      </c>
      <c r="C19" s="1665"/>
      <c r="D19" s="1665"/>
      <c r="E19" s="1665"/>
      <c r="F19" s="1665"/>
      <c r="G19" s="1665"/>
      <c r="H19" s="1665"/>
      <c r="I19" s="1665"/>
      <c r="J19" s="1665"/>
      <c r="K19" s="1666"/>
      <c r="L19" s="94"/>
      <c r="M19" s="75"/>
      <c r="N19" s="75"/>
      <c r="O19" s="75"/>
      <c r="P19" s="75"/>
      <c r="Q19" s="75"/>
      <c r="R19" s="75"/>
      <c r="S19" s="75"/>
      <c r="T19" s="75"/>
    </row>
    <row r="20" spans="1:20" s="87" customFormat="1" ht="15" customHeight="1" thickBot="1">
      <c r="A20" s="1679" t="s">
        <v>608</v>
      </c>
      <c r="B20" s="1680"/>
      <c r="C20" s="1680"/>
      <c r="D20" s="1680"/>
      <c r="E20" s="1680"/>
      <c r="F20" s="1680"/>
      <c r="G20" s="1680"/>
      <c r="H20" s="1680"/>
      <c r="I20" s="1680"/>
      <c r="J20" s="1680"/>
      <c r="K20" s="1681"/>
      <c r="L20" s="94"/>
      <c r="M20" s="75"/>
      <c r="N20" s="75"/>
      <c r="O20" s="75"/>
      <c r="P20" s="75"/>
      <c r="Q20" s="75"/>
      <c r="R20" s="75"/>
      <c r="S20" s="75"/>
      <c r="T20" s="75"/>
    </row>
    <row r="21" spans="1:20" s="87" customFormat="1" ht="14.25" customHeight="1">
      <c r="A21" s="1682" t="s">
        <v>664</v>
      </c>
      <c r="B21" s="1684" t="s">
        <v>1605</v>
      </c>
      <c r="C21" s="1684"/>
      <c r="D21" s="1684"/>
      <c r="E21" s="1684"/>
      <c r="F21" s="1684"/>
      <c r="G21" s="1684"/>
      <c r="H21" s="1684"/>
      <c r="I21" s="1684"/>
      <c r="J21" s="1684"/>
      <c r="K21" s="1685"/>
      <c r="L21" s="94"/>
      <c r="M21" s="75"/>
      <c r="N21" s="75"/>
      <c r="O21" s="75"/>
      <c r="P21" s="75"/>
      <c r="Q21" s="75"/>
      <c r="R21" s="75"/>
      <c r="S21" s="75"/>
      <c r="T21" s="75"/>
    </row>
    <row r="22" spans="1:20" s="87" customFormat="1" ht="15" customHeight="1">
      <c r="A22" s="1683"/>
      <c r="B22" s="1665" t="s">
        <v>692</v>
      </c>
      <c r="C22" s="1665"/>
      <c r="D22" s="1665"/>
      <c r="E22" s="1665"/>
      <c r="F22" s="1665"/>
      <c r="G22" s="1665"/>
      <c r="H22" s="1665"/>
      <c r="I22" s="1665"/>
      <c r="J22" s="1665"/>
      <c r="K22" s="1666"/>
      <c r="L22" s="94"/>
      <c r="M22" s="75"/>
      <c r="N22" s="75"/>
      <c r="O22" s="75"/>
      <c r="P22" s="75"/>
      <c r="Q22" s="75"/>
      <c r="R22" s="75"/>
      <c r="S22" s="75"/>
      <c r="T22" s="75"/>
    </row>
    <row r="23" spans="1:20" s="87" customFormat="1" ht="15" customHeight="1">
      <c r="A23" s="1683" t="s">
        <v>666</v>
      </c>
      <c r="B23" s="1665" t="s">
        <v>1606</v>
      </c>
      <c r="C23" s="1665"/>
      <c r="D23" s="1665"/>
      <c r="E23" s="1665"/>
      <c r="F23" s="1665"/>
      <c r="G23" s="1665"/>
      <c r="H23" s="1665"/>
      <c r="I23" s="1665"/>
      <c r="J23" s="1665"/>
      <c r="K23" s="1666"/>
      <c r="L23" s="94"/>
      <c r="M23" s="75"/>
      <c r="N23" s="75"/>
      <c r="O23" s="75"/>
      <c r="P23" s="75"/>
      <c r="Q23" s="75"/>
      <c r="R23" s="75"/>
      <c r="S23" s="75"/>
      <c r="T23" s="75"/>
    </row>
    <row r="24" spans="1:20" s="87" customFormat="1" ht="15" customHeight="1">
      <c r="A24" s="1683"/>
      <c r="B24" s="1665" t="s">
        <v>692</v>
      </c>
      <c r="C24" s="1665"/>
      <c r="D24" s="1665"/>
      <c r="E24" s="1665"/>
      <c r="F24" s="1665"/>
      <c r="G24" s="1665"/>
      <c r="H24" s="1665"/>
      <c r="I24" s="1665"/>
      <c r="J24" s="1665"/>
      <c r="K24" s="1666"/>
      <c r="L24" s="94"/>
      <c r="M24" s="75"/>
      <c r="N24" s="75"/>
      <c r="O24" s="75"/>
      <c r="P24" s="75"/>
      <c r="Q24" s="75"/>
      <c r="R24" s="75"/>
      <c r="S24" s="75"/>
      <c r="T24" s="75"/>
    </row>
    <row r="25" spans="1:20" s="87" customFormat="1" ht="15" customHeight="1">
      <c r="A25" s="116" t="s">
        <v>668</v>
      </c>
      <c r="B25" s="1665" t="s">
        <v>693</v>
      </c>
      <c r="C25" s="1665"/>
      <c r="D25" s="1665"/>
      <c r="E25" s="1665"/>
      <c r="F25" s="1665"/>
      <c r="G25" s="1665"/>
      <c r="H25" s="1665"/>
      <c r="I25" s="1665"/>
      <c r="J25" s="1665"/>
      <c r="K25" s="1666"/>
      <c r="L25" s="94"/>
      <c r="M25" s="75"/>
      <c r="N25" s="75"/>
      <c r="O25" s="75"/>
      <c r="P25" s="75"/>
      <c r="Q25" s="75"/>
      <c r="R25" s="75"/>
      <c r="S25" s="75"/>
      <c r="T25" s="75"/>
    </row>
    <row r="26" spans="1:20" s="87" customFormat="1" ht="26.25" customHeight="1">
      <c r="A26" s="116"/>
      <c r="B26" s="1665" t="s">
        <v>1607</v>
      </c>
      <c r="C26" s="1665"/>
      <c r="D26" s="1665"/>
      <c r="E26" s="1665"/>
      <c r="F26" s="1665"/>
      <c r="G26" s="1665"/>
      <c r="H26" s="1665"/>
      <c r="I26" s="1665"/>
      <c r="J26" s="1665"/>
      <c r="K26" s="1666"/>
      <c r="L26" s="94"/>
      <c r="M26" s="75"/>
      <c r="N26" s="75"/>
      <c r="O26" s="75"/>
      <c r="P26" s="75"/>
      <c r="Q26" s="75"/>
      <c r="R26" s="75"/>
      <c r="S26" s="75"/>
      <c r="T26" s="75"/>
    </row>
    <row r="27" spans="1:20" s="87" customFormat="1" ht="15.75" customHeight="1" thickBot="1">
      <c r="A27" s="116"/>
      <c r="B27" s="1690" t="s">
        <v>1426</v>
      </c>
      <c r="C27" s="1665"/>
      <c r="D27" s="1665"/>
      <c r="E27" s="1665"/>
      <c r="F27" s="1665"/>
      <c r="G27" s="1665"/>
      <c r="H27" s="1665"/>
      <c r="I27" s="1665"/>
      <c r="J27" s="1665"/>
      <c r="K27" s="1666"/>
      <c r="L27" s="94"/>
      <c r="M27" s="75"/>
      <c r="N27" s="75"/>
      <c r="O27" s="75"/>
      <c r="P27" s="75"/>
      <c r="Q27" s="75"/>
      <c r="R27" s="75"/>
      <c r="S27" s="75"/>
      <c r="T27" s="75"/>
    </row>
    <row r="28" spans="1:20" s="87" customFormat="1" ht="15" customHeight="1" thickBot="1">
      <c r="A28" s="1679" t="s">
        <v>609</v>
      </c>
      <c r="B28" s="1680"/>
      <c r="C28" s="1680"/>
      <c r="D28" s="1680"/>
      <c r="E28" s="1680"/>
      <c r="F28" s="1680"/>
      <c r="G28" s="1680"/>
      <c r="H28" s="1680"/>
      <c r="I28" s="1680"/>
      <c r="J28" s="1680"/>
      <c r="K28" s="1681"/>
      <c r="L28" s="94"/>
      <c r="M28" s="75"/>
      <c r="N28" s="75"/>
      <c r="O28" s="75"/>
      <c r="P28" s="75"/>
      <c r="Q28" s="75"/>
      <c r="R28" s="75"/>
      <c r="S28" s="75"/>
      <c r="T28" s="75"/>
    </row>
    <row r="29" spans="1:20" s="87" customFormat="1" ht="27" customHeight="1">
      <c r="A29" s="1688" t="s">
        <v>695</v>
      </c>
      <c r="B29" s="1684"/>
      <c r="C29" s="1684"/>
      <c r="D29" s="1684"/>
      <c r="E29" s="1684"/>
      <c r="F29" s="1684"/>
      <c r="G29" s="1684"/>
      <c r="H29" s="1684"/>
      <c r="I29" s="1684"/>
      <c r="J29" s="1684"/>
      <c r="K29" s="1685"/>
      <c r="L29" s="94"/>
      <c r="M29" s="75"/>
      <c r="N29" s="75"/>
      <c r="O29" s="75"/>
      <c r="P29" s="75"/>
      <c r="Q29" s="75"/>
      <c r="R29" s="75"/>
      <c r="S29" s="75"/>
      <c r="T29" s="75"/>
    </row>
    <row r="30" spans="1:20" s="87" customFormat="1" ht="26.25" customHeight="1">
      <c r="A30" s="1689" t="s">
        <v>696</v>
      </c>
      <c r="B30" s="1665"/>
      <c r="C30" s="1665"/>
      <c r="D30" s="1665"/>
      <c r="E30" s="1665"/>
      <c r="F30" s="1665"/>
      <c r="G30" s="1665"/>
      <c r="H30" s="1665"/>
      <c r="I30" s="1665"/>
      <c r="J30" s="1665"/>
      <c r="K30" s="1666"/>
      <c r="L30" s="91"/>
      <c r="M30" s="75"/>
      <c r="N30" s="75"/>
      <c r="O30" s="75"/>
      <c r="P30" s="75"/>
      <c r="Q30" s="75"/>
      <c r="R30" s="75"/>
      <c r="S30" s="75"/>
      <c r="T30" s="75"/>
    </row>
    <row r="31" spans="1:20" s="87" customFormat="1" ht="26.25" customHeight="1">
      <c r="A31" s="1689" t="s">
        <v>697</v>
      </c>
      <c r="B31" s="1665"/>
      <c r="C31" s="1665"/>
      <c r="D31" s="1665"/>
      <c r="E31" s="1665"/>
      <c r="F31" s="1665"/>
      <c r="G31" s="1665"/>
      <c r="H31" s="1665"/>
      <c r="I31" s="1665"/>
      <c r="J31" s="1665"/>
      <c r="K31" s="1666"/>
      <c r="L31" s="91"/>
      <c r="M31" s="75"/>
      <c r="N31" s="75"/>
      <c r="O31" s="75"/>
      <c r="P31" s="75"/>
      <c r="Q31" s="75"/>
      <c r="R31" s="75"/>
      <c r="S31" s="75"/>
      <c r="T31" s="75"/>
    </row>
    <row r="32" spans="1:20" s="87" customFormat="1" ht="26.25" customHeight="1">
      <c r="A32" s="116" t="s">
        <v>671</v>
      </c>
      <c r="B32" s="1665" t="s">
        <v>698</v>
      </c>
      <c r="C32" s="1665"/>
      <c r="D32" s="1665"/>
      <c r="E32" s="1665"/>
      <c r="F32" s="1665"/>
      <c r="G32" s="1665"/>
      <c r="H32" s="1665"/>
      <c r="I32" s="1665"/>
      <c r="J32" s="1665"/>
      <c r="K32" s="1666"/>
      <c r="L32" s="91"/>
      <c r="M32" s="75"/>
      <c r="N32" s="75"/>
      <c r="O32" s="75"/>
      <c r="P32" s="75"/>
      <c r="Q32" s="75"/>
      <c r="R32" s="75"/>
      <c r="S32" s="75"/>
      <c r="T32" s="75"/>
    </row>
    <row r="33" spans="1:21" s="87" customFormat="1" ht="26.25" customHeight="1">
      <c r="A33" s="116" t="s">
        <v>699</v>
      </c>
      <c r="B33" s="1665" t="s">
        <v>700</v>
      </c>
      <c r="C33" s="1665"/>
      <c r="D33" s="1665"/>
      <c r="E33" s="1665"/>
      <c r="F33" s="1665"/>
      <c r="G33" s="1665"/>
      <c r="H33" s="1665"/>
      <c r="I33" s="1665"/>
      <c r="J33" s="1665"/>
      <c r="K33" s="1666"/>
      <c r="L33" s="91"/>
      <c r="M33" s="75"/>
      <c r="N33" s="75"/>
      <c r="O33" s="75"/>
      <c r="P33" s="75"/>
      <c r="Q33" s="75"/>
      <c r="R33" s="75"/>
      <c r="S33" s="75"/>
      <c r="T33" s="75"/>
    </row>
    <row r="34" spans="1:21" s="87" customFormat="1" ht="26.25" customHeight="1">
      <c r="A34" s="116" t="s">
        <v>701</v>
      </c>
      <c r="B34" s="1665" t="s">
        <v>1608</v>
      </c>
      <c r="C34" s="1665"/>
      <c r="D34" s="1665"/>
      <c r="E34" s="1665"/>
      <c r="F34" s="1665"/>
      <c r="G34" s="1665"/>
      <c r="H34" s="1665"/>
      <c r="I34" s="1665"/>
      <c r="J34" s="1665"/>
      <c r="K34" s="1666"/>
      <c r="L34" s="91"/>
      <c r="M34" s="75"/>
      <c r="N34" s="75"/>
      <c r="O34" s="75"/>
      <c r="P34" s="75"/>
      <c r="Q34" s="75"/>
      <c r="R34" s="75"/>
      <c r="S34" s="75"/>
      <c r="T34" s="75"/>
    </row>
    <row r="35" spans="1:21" s="87" customFormat="1" ht="26.25" customHeight="1" thickBot="1">
      <c r="A35" s="129"/>
      <c r="B35" s="1665" t="s">
        <v>770</v>
      </c>
      <c r="C35" s="1665"/>
      <c r="D35" s="1665"/>
      <c r="E35" s="1665"/>
      <c r="F35" s="1665"/>
      <c r="G35" s="1665"/>
      <c r="H35" s="1665"/>
      <c r="I35" s="1665"/>
      <c r="J35" s="1665"/>
      <c r="K35" s="1666"/>
      <c r="L35" s="129"/>
      <c r="M35" s="75"/>
      <c r="N35" s="75"/>
      <c r="O35" s="75"/>
      <c r="P35" s="75"/>
      <c r="Q35" s="75"/>
      <c r="R35" s="75"/>
      <c r="S35" s="75"/>
      <c r="T35" s="75"/>
    </row>
    <row r="36" spans="1:21" s="87" customFormat="1" ht="15" customHeight="1" thickBot="1">
      <c r="A36" s="1679" t="s">
        <v>659</v>
      </c>
      <c r="B36" s="1680"/>
      <c r="C36" s="1680"/>
      <c r="D36" s="1680"/>
      <c r="E36" s="1680"/>
      <c r="F36" s="1680"/>
      <c r="G36" s="1680"/>
      <c r="H36" s="1680"/>
      <c r="I36" s="1680"/>
      <c r="J36" s="1680"/>
      <c r="K36" s="1681"/>
      <c r="L36" s="129"/>
      <c r="M36" s="75"/>
      <c r="N36" s="75"/>
      <c r="O36" s="75"/>
      <c r="P36" s="75"/>
      <c r="Q36" s="75"/>
      <c r="R36" s="75"/>
      <c r="S36" s="75"/>
      <c r="T36" s="75"/>
    </row>
    <row r="37" spans="1:21" s="87" customFormat="1" ht="15" customHeight="1">
      <c r="A37" s="1682" t="s">
        <v>702</v>
      </c>
      <c r="B37" s="1659" t="s">
        <v>1609</v>
      </c>
      <c r="C37" s="1659"/>
      <c r="D37" s="1659"/>
      <c r="E37" s="1659"/>
      <c r="F37" s="1659"/>
      <c r="G37" s="1659"/>
      <c r="H37" s="1659"/>
      <c r="I37" s="1659"/>
      <c r="J37" s="1659"/>
      <c r="K37" s="1660"/>
      <c r="L37" s="129"/>
      <c r="M37" s="75"/>
      <c r="N37" s="75"/>
      <c r="O37" s="75"/>
      <c r="P37" s="75"/>
      <c r="Q37" s="75"/>
      <c r="R37" s="75"/>
      <c r="S37" s="75"/>
      <c r="T37" s="75"/>
    </row>
    <row r="38" spans="1:21" s="87" customFormat="1" ht="26.25" customHeight="1">
      <c r="A38" s="1683"/>
      <c r="B38" s="1665" t="s">
        <v>1610</v>
      </c>
      <c r="C38" s="1665"/>
      <c r="D38" s="1665"/>
      <c r="E38" s="1665"/>
      <c r="F38" s="1665"/>
      <c r="G38" s="1665"/>
      <c r="H38" s="1665"/>
      <c r="I38" s="1665"/>
      <c r="J38" s="1665"/>
      <c r="K38" s="1666"/>
      <c r="L38" s="129"/>
      <c r="M38" s="91"/>
      <c r="N38" s="75"/>
      <c r="O38" s="75"/>
      <c r="P38" s="75"/>
      <c r="Q38" s="75"/>
      <c r="R38" s="75"/>
      <c r="S38" s="75"/>
      <c r="T38" s="75"/>
      <c r="U38" s="75"/>
    </row>
    <row r="39" spans="1:21" s="87" customFormat="1" ht="26.25" customHeight="1">
      <c r="A39" s="1683"/>
      <c r="B39" s="1665" t="s">
        <v>761</v>
      </c>
      <c r="C39" s="1665"/>
      <c r="D39" s="1665"/>
      <c r="E39" s="1665"/>
      <c r="F39" s="1665"/>
      <c r="G39" s="1665"/>
      <c r="H39" s="1665"/>
      <c r="I39" s="1665"/>
      <c r="J39" s="1665"/>
      <c r="K39" s="1666"/>
      <c r="L39" s="129"/>
      <c r="M39" s="91"/>
      <c r="N39" s="75"/>
      <c r="O39" s="75"/>
      <c r="P39" s="75"/>
      <c r="Q39" s="75"/>
      <c r="R39" s="75"/>
      <c r="S39" s="75"/>
      <c r="T39" s="75"/>
      <c r="U39" s="75"/>
    </row>
    <row r="40" spans="1:21" s="87" customFormat="1" ht="15" customHeight="1">
      <c r="A40" s="1683"/>
      <c r="B40" s="1691" t="s">
        <v>703</v>
      </c>
      <c r="C40" s="1691"/>
      <c r="D40" s="1691"/>
      <c r="E40" s="1691"/>
      <c r="F40" s="1691"/>
      <c r="G40" s="1691"/>
      <c r="H40" s="1691"/>
      <c r="I40" s="1691"/>
      <c r="J40" s="1691"/>
      <c r="K40" s="1692"/>
      <c r="L40" s="129"/>
      <c r="M40" s="75"/>
      <c r="N40" s="75"/>
      <c r="O40" s="75"/>
      <c r="P40" s="75"/>
      <c r="Q40" s="75"/>
      <c r="R40" s="75"/>
      <c r="S40" s="75"/>
      <c r="T40" s="75"/>
    </row>
    <row r="41" spans="1:21" s="87" customFormat="1" ht="15" customHeight="1">
      <c r="A41" s="1683"/>
      <c r="B41" s="1691" t="s">
        <v>1611</v>
      </c>
      <c r="C41" s="1691"/>
      <c r="D41" s="1691"/>
      <c r="E41" s="1691"/>
      <c r="F41" s="1691"/>
      <c r="G41" s="1691"/>
      <c r="H41" s="1691"/>
      <c r="I41" s="1691"/>
      <c r="J41" s="1691"/>
      <c r="K41" s="1692"/>
      <c r="L41" s="129"/>
      <c r="M41" s="75"/>
      <c r="N41" s="75"/>
      <c r="O41" s="75"/>
      <c r="P41" s="75"/>
      <c r="Q41" s="75"/>
      <c r="R41" s="75"/>
      <c r="S41" s="75"/>
      <c r="T41" s="75"/>
    </row>
    <row r="42" spans="1:21" s="87" customFormat="1" ht="15" customHeight="1">
      <c r="A42" s="1683"/>
      <c r="B42" s="1691" t="s">
        <v>762</v>
      </c>
      <c r="C42" s="1691"/>
      <c r="D42" s="1691"/>
      <c r="E42" s="1691"/>
      <c r="F42" s="1691"/>
      <c r="G42" s="1691"/>
      <c r="H42" s="1691"/>
      <c r="I42" s="1691"/>
      <c r="J42" s="1691"/>
      <c r="K42" s="1692"/>
      <c r="L42" s="129"/>
      <c r="M42" s="75"/>
      <c r="N42" s="75"/>
      <c r="O42" s="75"/>
      <c r="P42" s="75"/>
      <c r="Q42" s="75"/>
      <c r="R42" s="75"/>
      <c r="S42" s="75"/>
      <c r="T42" s="75"/>
    </row>
    <row r="43" spans="1:21" s="87" customFormat="1" ht="15" customHeight="1">
      <c r="A43" s="1683"/>
      <c r="B43" s="1691" t="s">
        <v>763</v>
      </c>
      <c r="C43" s="1691"/>
      <c r="D43" s="1691"/>
      <c r="E43" s="1691"/>
      <c r="F43" s="1691"/>
      <c r="G43" s="1691"/>
      <c r="H43" s="1691"/>
      <c r="I43" s="1691"/>
      <c r="J43" s="1691"/>
      <c r="K43" s="1692"/>
      <c r="L43" s="129"/>
      <c r="M43" s="75"/>
      <c r="N43" s="75"/>
      <c r="O43" s="75"/>
      <c r="P43" s="75"/>
      <c r="Q43" s="75"/>
      <c r="R43" s="75"/>
      <c r="S43" s="75"/>
      <c r="T43" s="75"/>
    </row>
    <row r="44" spans="1:21" s="87" customFormat="1" ht="15" customHeight="1">
      <c r="A44" s="1683"/>
      <c r="B44" s="1691" t="s">
        <v>1612</v>
      </c>
      <c r="C44" s="1691"/>
      <c r="D44" s="1691"/>
      <c r="E44" s="1691"/>
      <c r="F44" s="1691"/>
      <c r="G44" s="1691"/>
      <c r="H44" s="1691"/>
      <c r="I44" s="1691"/>
      <c r="J44" s="1691"/>
      <c r="K44" s="1692"/>
      <c r="L44" s="129"/>
      <c r="M44" s="75"/>
      <c r="N44" s="75"/>
      <c r="O44" s="75"/>
      <c r="P44" s="75"/>
      <c r="Q44" s="75"/>
      <c r="R44" s="75"/>
      <c r="S44" s="75"/>
      <c r="T44" s="75"/>
    </row>
    <row r="45" spans="1:21" s="87" customFormat="1" ht="15" customHeight="1">
      <c r="A45" s="1683"/>
      <c r="B45" s="1691" t="s">
        <v>704</v>
      </c>
      <c r="C45" s="1691"/>
      <c r="D45" s="1691"/>
      <c r="E45" s="1691"/>
      <c r="F45" s="1691"/>
      <c r="G45" s="1691"/>
      <c r="H45" s="1691"/>
      <c r="I45" s="1691"/>
      <c r="J45" s="1691"/>
      <c r="K45" s="1692"/>
      <c r="L45" s="129"/>
      <c r="M45" s="75"/>
      <c r="N45" s="75"/>
      <c r="O45" s="75"/>
      <c r="P45" s="75"/>
      <c r="Q45" s="75"/>
      <c r="R45" s="75"/>
      <c r="S45" s="75"/>
      <c r="T45" s="75"/>
    </row>
    <row r="46" spans="1:21" s="87" customFormat="1" ht="15" customHeight="1">
      <c r="A46" s="1683"/>
      <c r="B46" s="1665" t="s">
        <v>1613</v>
      </c>
      <c r="C46" s="1665"/>
      <c r="D46" s="1665"/>
      <c r="E46" s="1665"/>
      <c r="F46" s="1665"/>
      <c r="G46" s="1665"/>
      <c r="H46" s="1665"/>
      <c r="I46" s="1665"/>
      <c r="J46" s="1665"/>
      <c r="K46" s="1666"/>
      <c r="L46" s="129"/>
      <c r="M46" s="75"/>
      <c r="N46" s="75"/>
      <c r="O46" s="75"/>
      <c r="P46" s="75"/>
      <c r="Q46" s="75"/>
      <c r="R46" s="75"/>
      <c r="S46" s="75"/>
      <c r="T46" s="75"/>
    </row>
    <row r="47" spans="1:21" s="87" customFormat="1" ht="26.25" customHeight="1">
      <c r="A47" s="1683"/>
      <c r="B47" s="1693" t="s">
        <v>1614</v>
      </c>
      <c r="C47" s="1693"/>
      <c r="D47" s="1693"/>
      <c r="E47" s="1693"/>
      <c r="F47" s="1693"/>
      <c r="G47" s="1693"/>
      <c r="H47" s="1693"/>
      <c r="I47" s="1693"/>
      <c r="J47" s="1693"/>
      <c r="K47" s="1694"/>
      <c r="L47" s="129"/>
      <c r="M47" s="75"/>
      <c r="N47" s="75"/>
      <c r="O47" s="75"/>
      <c r="P47" s="75"/>
      <c r="Q47" s="75"/>
      <c r="R47" s="75"/>
      <c r="S47" s="75"/>
      <c r="T47" s="75"/>
    </row>
    <row r="48" spans="1:21" s="87" customFormat="1" ht="26.25" customHeight="1">
      <c r="A48" s="1683"/>
      <c r="B48" s="1693" t="s">
        <v>705</v>
      </c>
      <c r="C48" s="1693"/>
      <c r="D48" s="1693"/>
      <c r="E48" s="1693"/>
      <c r="F48" s="1693"/>
      <c r="G48" s="1693"/>
      <c r="H48" s="1693"/>
      <c r="I48" s="1693"/>
      <c r="J48" s="1693"/>
      <c r="K48" s="1694"/>
      <c r="L48" s="91"/>
      <c r="M48" s="75"/>
      <c r="N48" s="75"/>
      <c r="O48" s="75"/>
      <c r="P48" s="75"/>
      <c r="Q48" s="75"/>
      <c r="R48" s="75"/>
      <c r="S48" s="75"/>
      <c r="T48" s="75"/>
    </row>
    <row r="49" spans="1:20" s="87" customFormat="1" ht="37.5" customHeight="1">
      <c r="A49" s="1683" t="s">
        <v>706</v>
      </c>
      <c r="B49" s="1665" t="s">
        <v>1615</v>
      </c>
      <c r="C49" s="1665"/>
      <c r="D49" s="1665"/>
      <c r="E49" s="1665"/>
      <c r="F49" s="1665"/>
      <c r="G49" s="1665"/>
      <c r="H49" s="1665"/>
      <c r="I49" s="1665"/>
      <c r="J49" s="1665"/>
      <c r="K49" s="1666"/>
      <c r="L49" s="91"/>
      <c r="M49" s="75"/>
      <c r="N49" s="75"/>
      <c r="O49" s="75"/>
      <c r="P49" s="75"/>
      <c r="Q49" s="75"/>
      <c r="R49" s="75"/>
      <c r="S49" s="75"/>
      <c r="T49" s="75"/>
    </row>
    <row r="50" spans="1:20" s="87" customFormat="1" ht="15" customHeight="1">
      <c r="A50" s="1683"/>
      <c r="B50" s="1693" t="s">
        <v>703</v>
      </c>
      <c r="C50" s="1693"/>
      <c r="D50" s="1693"/>
      <c r="E50" s="1693"/>
      <c r="F50" s="1693"/>
      <c r="G50" s="1693"/>
      <c r="H50" s="1693"/>
      <c r="I50" s="1693"/>
      <c r="J50" s="1693"/>
      <c r="K50" s="1694"/>
      <c r="L50" s="75"/>
      <c r="M50" s="75"/>
      <c r="N50" s="75"/>
      <c r="O50" s="75"/>
      <c r="P50" s="75"/>
      <c r="Q50" s="75"/>
      <c r="R50" s="75"/>
    </row>
    <row r="51" spans="1:20" s="87" customFormat="1" ht="15" customHeight="1">
      <c r="A51" s="1683"/>
      <c r="B51" s="1693" t="s">
        <v>1616</v>
      </c>
      <c r="C51" s="1693"/>
      <c r="D51" s="1693"/>
      <c r="E51" s="1693"/>
      <c r="F51" s="1693"/>
      <c r="G51" s="1693"/>
      <c r="H51" s="1693"/>
      <c r="I51" s="1693"/>
      <c r="J51" s="1693"/>
      <c r="K51" s="1694"/>
      <c r="L51" s="75"/>
      <c r="M51" s="75"/>
      <c r="N51" s="75"/>
      <c r="O51" s="75"/>
      <c r="P51" s="75"/>
      <c r="Q51" s="75"/>
      <c r="R51" s="75"/>
    </row>
    <row r="52" spans="1:20" s="87" customFormat="1" ht="15" customHeight="1">
      <c r="A52" s="1683"/>
      <c r="B52" s="1693" t="s">
        <v>764</v>
      </c>
      <c r="C52" s="1693"/>
      <c r="D52" s="1693"/>
      <c r="E52" s="1693"/>
      <c r="F52" s="1693"/>
      <c r="G52" s="1693"/>
      <c r="H52" s="1693"/>
      <c r="I52" s="1693"/>
      <c r="J52" s="1693"/>
      <c r="K52" s="1694"/>
      <c r="L52" s="75"/>
      <c r="M52" s="75"/>
      <c r="N52" s="75"/>
      <c r="O52" s="75"/>
      <c r="P52" s="75"/>
      <c r="Q52" s="75"/>
      <c r="R52" s="75"/>
    </row>
    <row r="53" spans="1:20" s="87" customFormat="1" ht="15" customHeight="1">
      <c r="A53" s="1683"/>
      <c r="B53" s="1693" t="s">
        <v>765</v>
      </c>
      <c r="C53" s="1693"/>
      <c r="D53" s="1693"/>
      <c r="E53" s="1693"/>
      <c r="F53" s="1693"/>
      <c r="G53" s="1693"/>
      <c r="H53" s="1693"/>
      <c r="I53" s="1693"/>
      <c r="J53" s="1693"/>
      <c r="K53" s="1694"/>
      <c r="L53" s="75"/>
      <c r="M53" s="75"/>
      <c r="N53" s="75"/>
      <c r="O53" s="75"/>
      <c r="P53" s="75"/>
      <c r="Q53" s="75"/>
      <c r="R53" s="75"/>
    </row>
    <row r="54" spans="1:20" s="87" customFormat="1" ht="15" customHeight="1">
      <c r="A54" s="1683"/>
      <c r="B54" s="1693" t="s">
        <v>1617</v>
      </c>
      <c r="C54" s="1693"/>
      <c r="D54" s="1693"/>
      <c r="E54" s="1693"/>
      <c r="F54" s="1693"/>
      <c r="G54" s="1693"/>
      <c r="H54" s="1693"/>
      <c r="I54" s="1693"/>
      <c r="J54" s="1693"/>
      <c r="K54" s="1694"/>
      <c r="L54" s="75"/>
      <c r="M54" s="75"/>
      <c r="N54" s="75"/>
      <c r="O54" s="75"/>
      <c r="P54" s="75"/>
      <c r="Q54" s="75"/>
      <c r="R54" s="75"/>
    </row>
    <row r="55" spans="1:20" s="87" customFormat="1" ht="15" customHeight="1">
      <c r="A55" s="1683"/>
      <c r="B55" s="1693" t="s">
        <v>707</v>
      </c>
      <c r="C55" s="1693"/>
      <c r="D55" s="1693"/>
      <c r="E55" s="1693"/>
      <c r="F55" s="1693"/>
      <c r="G55" s="1693"/>
      <c r="H55" s="1693"/>
      <c r="I55" s="1693"/>
      <c r="J55" s="1693"/>
      <c r="K55" s="1694"/>
      <c r="L55" s="75"/>
      <c r="M55" s="75"/>
      <c r="N55" s="75"/>
      <c r="O55" s="75"/>
      <c r="P55" s="75"/>
      <c r="Q55" s="75"/>
      <c r="R55" s="75"/>
    </row>
    <row r="56" spans="1:20" s="87" customFormat="1" ht="25.5" customHeight="1">
      <c r="A56" s="1683" t="s">
        <v>708</v>
      </c>
      <c r="B56" s="1665" t="s">
        <v>709</v>
      </c>
      <c r="C56" s="1665"/>
      <c r="D56" s="1665"/>
      <c r="E56" s="1665"/>
      <c r="F56" s="1665"/>
      <c r="G56" s="1665"/>
      <c r="H56" s="1665"/>
      <c r="I56" s="1665"/>
      <c r="J56" s="1665"/>
      <c r="K56" s="1666"/>
      <c r="L56" s="75"/>
      <c r="M56" s="75"/>
      <c r="N56" s="75"/>
      <c r="O56" s="75"/>
      <c r="P56" s="75"/>
      <c r="Q56" s="75"/>
      <c r="R56" s="75"/>
      <c r="S56" s="75"/>
      <c r="T56" s="75"/>
    </row>
    <row r="57" spans="1:20" s="87" customFormat="1" ht="39" customHeight="1">
      <c r="A57" s="1683"/>
      <c r="B57" s="1696" t="s">
        <v>1618</v>
      </c>
      <c r="C57" s="1696"/>
      <c r="D57" s="1696"/>
      <c r="E57" s="1696"/>
      <c r="F57" s="1696"/>
      <c r="G57" s="1696"/>
      <c r="H57" s="1696"/>
      <c r="I57" s="1696"/>
      <c r="J57" s="1696"/>
      <c r="K57" s="1697"/>
      <c r="L57" s="75"/>
      <c r="M57" s="75"/>
      <c r="N57" s="75"/>
      <c r="O57" s="75"/>
      <c r="P57" s="75"/>
      <c r="Q57" s="75"/>
      <c r="R57" s="75"/>
      <c r="S57" s="75"/>
      <c r="T57" s="75"/>
    </row>
    <row r="58" spans="1:20" s="87" customFormat="1" ht="26.25" customHeight="1">
      <c r="A58" s="1683"/>
      <c r="B58" s="1696" t="s">
        <v>710</v>
      </c>
      <c r="C58" s="1696"/>
      <c r="D58" s="1696"/>
      <c r="E58" s="1696"/>
      <c r="F58" s="1696"/>
      <c r="G58" s="1696"/>
      <c r="H58" s="1696"/>
      <c r="I58" s="1696"/>
      <c r="J58" s="1696"/>
      <c r="K58" s="1697"/>
      <c r="L58" s="75"/>
      <c r="M58" s="75"/>
      <c r="N58" s="75"/>
      <c r="O58" s="75"/>
      <c r="P58" s="75"/>
      <c r="Q58" s="75"/>
      <c r="R58" s="75"/>
      <c r="S58" s="75"/>
      <c r="T58" s="75"/>
    </row>
    <row r="59" spans="1:20" s="87" customFormat="1" ht="15" customHeight="1">
      <c r="A59" s="1683"/>
      <c r="B59" s="1665" t="s">
        <v>711</v>
      </c>
      <c r="C59" s="1665"/>
      <c r="D59" s="1665"/>
      <c r="E59" s="1665"/>
      <c r="F59" s="1665"/>
      <c r="G59" s="1665"/>
      <c r="H59" s="1665"/>
      <c r="I59" s="1665"/>
      <c r="J59" s="1665"/>
      <c r="K59" s="1666"/>
      <c r="L59" s="94"/>
      <c r="M59" s="75"/>
      <c r="N59" s="75"/>
      <c r="O59" s="75"/>
      <c r="P59" s="75"/>
      <c r="Q59" s="75"/>
      <c r="R59" s="75"/>
      <c r="S59" s="75"/>
      <c r="T59" s="75"/>
    </row>
    <row r="60" spans="1:20" s="87" customFormat="1" ht="15" customHeight="1" thickBot="1">
      <c r="A60" s="1695"/>
      <c r="B60" s="1665" t="s">
        <v>694</v>
      </c>
      <c r="C60" s="1665"/>
      <c r="D60" s="1665"/>
      <c r="E60" s="1665"/>
      <c r="F60" s="1665"/>
      <c r="G60" s="1665"/>
      <c r="H60" s="1665"/>
      <c r="I60" s="1665"/>
      <c r="J60" s="1665"/>
      <c r="K60" s="1666"/>
      <c r="L60" s="94"/>
      <c r="M60" s="75"/>
      <c r="N60" s="75"/>
      <c r="O60" s="75"/>
      <c r="P60" s="75"/>
      <c r="Q60" s="75"/>
      <c r="R60" s="75"/>
      <c r="S60" s="75"/>
      <c r="T60" s="75"/>
    </row>
    <row r="61" spans="1:20" s="87" customFormat="1" ht="15" customHeight="1" thickBot="1">
      <c r="A61" s="1679" t="s">
        <v>611</v>
      </c>
      <c r="B61" s="1680"/>
      <c r="C61" s="1680"/>
      <c r="D61" s="1680"/>
      <c r="E61" s="1680"/>
      <c r="F61" s="1680"/>
      <c r="G61" s="1680"/>
      <c r="H61" s="1680"/>
      <c r="I61" s="1680"/>
      <c r="J61" s="1680"/>
      <c r="K61" s="1681"/>
      <c r="L61" s="94"/>
      <c r="M61" s="75"/>
      <c r="N61" s="75"/>
      <c r="O61" s="75"/>
      <c r="P61" s="75"/>
      <c r="Q61" s="75"/>
      <c r="R61" s="75"/>
      <c r="S61" s="75"/>
      <c r="T61" s="75"/>
    </row>
    <row r="62" spans="1:20" s="87" customFormat="1" ht="37.5" customHeight="1">
      <c r="A62" s="138" t="s">
        <v>712</v>
      </c>
      <c r="B62" s="1684" t="s">
        <v>771</v>
      </c>
      <c r="C62" s="1684"/>
      <c r="D62" s="1684"/>
      <c r="E62" s="1684"/>
      <c r="F62" s="1684"/>
      <c r="G62" s="1684"/>
      <c r="H62" s="1684"/>
      <c r="I62" s="1684"/>
      <c r="J62" s="1684"/>
      <c r="K62" s="1685"/>
      <c r="L62" s="94"/>
      <c r="M62" s="75"/>
      <c r="N62" s="75"/>
      <c r="O62" s="75"/>
      <c r="P62" s="75"/>
      <c r="Q62" s="75"/>
      <c r="R62" s="75"/>
      <c r="S62" s="75"/>
      <c r="T62" s="75"/>
    </row>
    <row r="63" spans="1:20" s="87" customFormat="1" ht="26.25" customHeight="1">
      <c r="A63" s="116" t="s">
        <v>713</v>
      </c>
      <c r="B63" s="1665" t="s">
        <v>1347</v>
      </c>
      <c r="C63" s="1665"/>
      <c r="D63" s="1665"/>
      <c r="E63" s="1665"/>
      <c r="F63" s="1665"/>
      <c r="G63" s="1665"/>
      <c r="H63" s="1665"/>
      <c r="I63" s="1665"/>
      <c r="J63" s="1665"/>
      <c r="K63" s="1666"/>
      <c r="L63" s="75"/>
      <c r="M63" s="75"/>
      <c r="N63" s="75"/>
      <c r="O63" s="75"/>
      <c r="P63" s="75"/>
      <c r="Q63" s="75"/>
      <c r="R63" s="75"/>
      <c r="S63" s="75"/>
      <c r="T63" s="75"/>
    </row>
    <row r="64" spans="1:20" s="87" customFormat="1" ht="15" customHeight="1">
      <c r="A64" s="1698" t="s">
        <v>714</v>
      </c>
      <c r="B64" s="1665" t="s">
        <v>715</v>
      </c>
      <c r="C64" s="1665"/>
      <c r="D64" s="1665"/>
      <c r="E64" s="1665"/>
      <c r="F64" s="1665"/>
      <c r="G64" s="1665"/>
      <c r="H64" s="1665"/>
      <c r="I64" s="1665"/>
      <c r="J64" s="1665"/>
      <c r="K64" s="1666"/>
      <c r="L64" s="75"/>
      <c r="M64" s="75"/>
      <c r="N64" s="75"/>
      <c r="O64" s="75"/>
      <c r="P64" s="75"/>
      <c r="Q64" s="75"/>
      <c r="R64" s="75"/>
      <c r="S64" s="75"/>
      <c r="T64" s="75"/>
    </row>
    <row r="65" spans="1:20" s="87" customFormat="1" ht="15" customHeight="1">
      <c r="A65" s="1698"/>
      <c r="B65" s="1693" t="s">
        <v>716</v>
      </c>
      <c r="C65" s="1693"/>
      <c r="D65" s="1693"/>
      <c r="E65" s="1693"/>
      <c r="F65" s="1693"/>
      <c r="G65" s="1693"/>
      <c r="H65" s="1693"/>
      <c r="I65" s="1693"/>
      <c r="J65" s="1693"/>
      <c r="K65" s="1694"/>
      <c r="L65" s="75"/>
      <c r="M65" s="75"/>
      <c r="N65" s="75"/>
      <c r="O65" s="75"/>
      <c r="P65" s="75"/>
      <c r="Q65" s="75"/>
      <c r="R65" s="75"/>
      <c r="S65" s="75"/>
      <c r="T65" s="75"/>
    </row>
    <row r="66" spans="1:20" s="87" customFormat="1" ht="15" customHeight="1">
      <c r="A66" s="1698"/>
      <c r="B66" s="1693" t="s">
        <v>717</v>
      </c>
      <c r="C66" s="1693"/>
      <c r="D66" s="1693"/>
      <c r="E66" s="1693"/>
      <c r="F66" s="1693"/>
      <c r="G66" s="1693"/>
      <c r="H66" s="1693"/>
      <c r="I66" s="1693"/>
      <c r="J66" s="1693"/>
      <c r="K66" s="1694"/>
      <c r="L66" s="75"/>
      <c r="M66" s="75"/>
      <c r="N66" s="75"/>
      <c r="O66" s="75"/>
      <c r="P66" s="75"/>
      <c r="Q66" s="75"/>
      <c r="R66" s="75"/>
      <c r="S66" s="75"/>
      <c r="T66" s="75"/>
    </row>
    <row r="67" spans="1:20" s="87" customFormat="1" ht="26.25" customHeight="1">
      <c r="A67" s="1698"/>
      <c r="B67" s="1693" t="s">
        <v>718</v>
      </c>
      <c r="C67" s="1693"/>
      <c r="D67" s="1693"/>
      <c r="E67" s="1693"/>
      <c r="F67" s="1693"/>
      <c r="G67" s="1693"/>
      <c r="H67" s="1693"/>
      <c r="I67" s="1693"/>
      <c r="J67" s="1693"/>
      <c r="K67" s="1694"/>
      <c r="L67" s="75"/>
      <c r="M67" s="75"/>
      <c r="N67" s="75"/>
      <c r="O67" s="75"/>
      <c r="P67" s="75"/>
      <c r="Q67" s="75"/>
      <c r="R67" s="75"/>
      <c r="S67" s="75"/>
      <c r="T67" s="75"/>
    </row>
    <row r="68" spans="1:20" s="87" customFormat="1" ht="15" customHeight="1">
      <c r="A68" s="1683" t="s">
        <v>719</v>
      </c>
      <c r="B68" s="1665" t="s">
        <v>1480</v>
      </c>
      <c r="C68" s="1665"/>
      <c r="D68" s="1665"/>
      <c r="E68" s="1665"/>
      <c r="F68" s="1665"/>
      <c r="G68" s="1665"/>
      <c r="H68" s="1665"/>
      <c r="I68" s="1665"/>
      <c r="J68" s="1665"/>
      <c r="K68" s="1666"/>
      <c r="L68" s="75"/>
      <c r="M68" s="75"/>
      <c r="N68" s="75"/>
      <c r="O68" s="75"/>
      <c r="P68" s="75"/>
      <c r="Q68" s="75"/>
      <c r="R68" s="75"/>
      <c r="S68" s="75"/>
      <c r="T68" s="75"/>
    </row>
    <row r="69" spans="1:20" s="87" customFormat="1" ht="26.25" customHeight="1">
      <c r="A69" s="1683"/>
      <c r="B69" s="1693" t="s">
        <v>1619</v>
      </c>
      <c r="C69" s="1693"/>
      <c r="D69" s="1693"/>
      <c r="E69" s="1693"/>
      <c r="F69" s="1693"/>
      <c r="G69" s="1693"/>
      <c r="H69" s="1693"/>
      <c r="I69" s="1693"/>
      <c r="J69" s="1693"/>
      <c r="K69" s="1694"/>
      <c r="L69" s="75"/>
      <c r="M69" s="75"/>
      <c r="N69" s="75"/>
      <c r="O69" s="75"/>
      <c r="P69" s="75"/>
      <c r="Q69" s="75"/>
      <c r="R69" s="75"/>
      <c r="S69" s="75"/>
    </row>
    <row r="70" spans="1:20" s="87" customFormat="1" ht="26.25" customHeight="1">
      <c r="A70" s="1683"/>
      <c r="B70" s="1693" t="s">
        <v>1620</v>
      </c>
      <c r="C70" s="1693"/>
      <c r="D70" s="1693"/>
      <c r="E70" s="1693"/>
      <c r="F70" s="1693"/>
      <c r="G70" s="1693"/>
      <c r="H70" s="1693"/>
      <c r="I70" s="1693"/>
      <c r="J70" s="1693"/>
      <c r="K70" s="1694"/>
      <c r="L70" s="75"/>
      <c r="M70" s="75"/>
      <c r="N70" s="75"/>
      <c r="O70" s="75"/>
      <c r="P70" s="75"/>
      <c r="Q70" s="75"/>
      <c r="R70" s="75"/>
      <c r="S70" s="75"/>
    </row>
    <row r="71" spans="1:20" s="87" customFormat="1" ht="15" customHeight="1" thickBot="1">
      <c r="A71" s="1695"/>
      <c r="B71" s="1693" t="s">
        <v>672</v>
      </c>
      <c r="C71" s="1693"/>
      <c r="D71" s="1693"/>
      <c r="E71" s="1693"/>
      <c r="F71" s="1693"/>
      <c r="G71" s="1693"/>
      <c r="H71" s="1693"/>
      <c r="I71" s="1693"/>
      <c r="J71" s="1693"/>
      <c r="K71" s="1694"/>
      <c r="L71" s="75"/>
      <c r="M71" s="75"/>
      <c r="N71" s="75"/>
      <c r="O71" s="75"/>
      <c r="P71" s="75"/>
      <c r="Q71" s="75"/>
      <c r="R71" s="75"/>
      <c r="S71" s="75"/>
    </row>
    <row r="72" spans="1:20" s="87" customFormat="1" ht="15" customHeight="1" thickBot="1">
      <c r="A72" s="1705" t="s">
        <v>720</v>
      </c>
      <c r="B72" s="1706"/>
      <c r="C72" s="1706"/>
      <c r="D72" s="1706"/>
      <c r="E72" s="1706"/>
      <c r="F72" s="1706"/>
      <c r="G72" s="1706"/>
      <c r="H72" s="1706"/>
      <c r="I72" s="1706"/>
      <c r="J72" s="1706"/>
      <c r="K72" s="1707"/>
      <c r="L72" s="75"/>
      <c r="M72" s="75"/>
      <c r="N72" s="75"/>
      <c r="O72" s="75"/>
      <c r="P72" s="75"/>
      <c r="Q72" s="75"/>
      <c r="R72" s="75"/>
      <c r="S72" s="75"/>
      <c r="T72" s="75"/>
    </row>
    <row r="73" spans="1:20" s="87" customFormat="1" ht="18" customHeight="1" thickBot="1">
      <c r="A73" s="1667" t="s">
        <v>1621</v>
      </c>
      <c r="B73" s="1668"/>
      <c r="C73" s="1668"/>
      <c r="D73" s="1668"/>
      <c r="E73" s="1668"/>
      <c r="F73" s="1668"/>
      <c r="G73" s="1668"/>
      <c r="H73" s="1668"/>
      <c r="I73" s="1668"/>
      <c r="J73" s="1668"/>
      <c r="K73" s="1669"/>
      <c r="L73" s="75"/>
      <c r="M73" s="75"/>
      <c r="N73" s="75"/>
      <c r="O73" s="75"/>
    </row>
    <row r="74" spans="1:20" s="87" customFormat="1" ht="15" customHeight="1">
      <c r="A74" s="1708" t="s">
        <v>721</v>
      </c>
      <c r="B74" s="1710" t="s">
        <v>722</v>
      </c>
      <c r="C74" s="1711"/>
      <c r="D74" s="1712"/>
      <c r="E74" s="1710" t="s">
        <v>723</v>
      </c>
      <c r="F74" s="1711"/>
      <c r="G74" s="1711"/>
      <c r="H74" s="1712"/>
      <c r="I74" s="130" t="s">
        <v>724</v>
      </c>
      <c r="J74" s="131"/>
      <c r="K74" s="117"/>
      <c r="L74" s="75"/>
      <c r="M74" s="75"/>
      <c r="N74" s="75"/>
    </row>
    <row r="75" spans="1:20" s="87" customFormat="1" ht="45" customHeight="1">
      <c r="A75" s="1709"/>
      <c r="B75" s="118" t="s">
        <v>725</v>
      </c>
      <c r="C75" s="119" t="s">
        <v>726</v>
      </c>
      <c r="D75" s="263" t="s">
        <v>727</v>
      </c>
      <c r="E75" s="120" t="s">
        <v>725</v>
      </c>
      <c r="F75" s="119" t="s">
        <v>726</v>
      </c>
      <c r="G75" s="1713" t="s">
        <v>727</v>
      </c>
      <c r="H75" s="1714"/>
      <c r="I75" s="120" t="s">
        <v>725</v>
      </c>
      <c r="J75" s="132" t="s">
        <v>726</v>
      </c>
      <c r="K75" s="264" t="s">
        <v>727</v>
      </c>
      <c r="L75" s="75"/>
      <c r="M75" s="75"/>
      <c r="N75" s="75"/>
    </row>
    <row r="76" spans="1:20" s="87" customFormat="1" ht="78.75" customHeight="1" thickBot="1">
      <c r="A76" s="121" t="s">
        <v>728</v>
      </c>
      <c r="B76" s="122" t="s">
        <v>736</v>
      </c>
      <c r="C76" s="123" t="s">
        <v>729</v>
      </c>
      <c r="D76" s="124" t="s">
        <v>729</v>
      </c>
      <c r="E76" s="125" t="s">
        <v>730</v>
      </c>
      <c r="F76" s="124" t="s">
        <v>731</v>
      </c>
      <c r="G76" s="1699" t="s">
        <v>732</v>
      </c>
      <c r="H76" s="1700"/>
      <c r="I76" s="125" t="s">
        <v>733</v>
      </c>
      <c r="J76" s="123" t="s">
        <v>734</v>
      </c>
      <c r="K76" s="126" t="s">
        <v>735</v>
      </c>
      <c r="L76" s="75"/>
      <c r="M76" s="75"/>
      <c r="N76" s="75"/>
    </row>
    <row r="77" spans="1:20" s="87" customFormat="1" ht="15" customHeight="1">
      <c r="A77" s="1701" t="s">
        <v>737</v>
      </c>
      <c r="B77" s="1659"/>
      <c r="C77" s="1659"/>
      <c r="D77" s="1659"/>
      <c r="E77" s="1659"/>
      <c r="F77" s="1659"/>
      <c r="G77" s="1659"/>
      <c r="H77" s="1659"/>
      <c r="I77" s="1659"/>
      <c r="J77" s="1659"/>
      <c r="K77" s="1660"/>
      <c r="L77" s="92"/>
      <c r="M77" s="92"/>
      <c r="N77" s="82"/>
      <c r="O77" s="82"/>
      <c r="P77" s="82"/>
      <c r="Q77" s="75"/>
      <c r="R77" s="75"/>
      <c r="S77" s="75"/>
    </row>
    <row r="78" spans="1:20" s="87" customFormat="1" ht="26.25" customHeight="1" thickBot="1">
      <c r="A78" s="1702" t="s">
        <v>738</v>
      </c>
      <c r="B78" s="1703"/>
      <c r="C78" s="1703"/>
      <c r="D78" s="1703"/>
      <c r="E78" s="1703"/>
      <c r="F78" s="1703"/>
      <c r="G78" s="1703"/>
      <c r="H78" s="1703"/>
      <c r="I78" s="1703"/>
      <c r="J78" s="1703"/>
      <c r="K78" s="1704"/>
      <c r="L78" s="94"/>
      <c r="M78" s="75"/>
      <c r="N78" s="75"/>
      <c r="O78" s="75"/>
      <c r="P78" s="75"/>
      <c r="Q78" s="75"/>
      <c r="R78" s="75"/>
      <c r="S78" s="75"/>
      <c r="T78" s="75"/>
    </row>
    <row r="79" spans="1:20" s="87" customFormat="1" ht="15" customHeight="1" thickBot="1">
      <c r="A79" s="1679" t="s">
        <v>739</v>
      </c>
      <c r="B79" s="1680"/>
      <c r="C79" s="1680"/>
      <c r="D79" s="1680"/>
      <c r="E79" s="1680"/>
      <c r="F79" s="1680"/>
      <c r="G79" s="1680"/>
      <c r="H79" s="1680"/>
      <c r="I79" s="1680"/>
      <c r="J79" s="1680"/>
      <c r="K79" s="1681"/>
      <c r="L79" s="94"/>
      <c r="M79" s="75"/>
      <c r="N79" s="75"/>
      <c r="O79" s="75"/>
      <c r="P79" s="75"/>
      <c r="Q79" s="75"/>
      <c r="R79" s="75"/>
      <c r="S79" s="75"/>
      <c r="T79" s="75"/>
    </row>
    <row r="80" spans="1:20" s="87" customFormat="1" ht="26.25" customHeight="1">
      <c r="A80" s="1688" t="s">
        <v>1622</v>
      </c>
      <c r="B80" s="1684"/>
      <c r="C80" s="1684"/>
      <c r="D80" s="1684"/>
      <c r="E80" s="1684"/>
      <c r="F80" s="1684"/>
      <c r="G80" s="1684"/>
      <c r="H80" s="1684"/>
      <c r="I80" s="1684"/>
      <c r="J80" s="1684"/>
      <c r="K80" s="1685"/>
      <c r="L80" s="94"/>
      <c r="M80" s="75"/>
      <c r="N80" s="75"/>
      <c r="O80" s="75"/>
      <c r="P80" s="75"/>
      <c r="Q80" s="75"/>
      <c r="R80" s="75"/>
      <c r="S80" s="75"/>
    </row>
    <row r="81" spans="1:20" s="87" customFormat="1" ht="26.25" customHeight="1">
      <c r="A81" s="1689" t="s">
        <v>740</v>
      </c>
      <c r="B81" s="1665"/>
      <c r="C81" s="1665"/>
      <c r="D81" s="1665"/>
      <c r="E81" s="1665"/>
      <c r="F81" s="1665"/>
      <c r="G81" s="1665"/>
      <c r="H81" s="1665"/>
      <c r="I81" s="1665"/>
      <c r="J81" s="1665"/>
      <c r="K81" s="1666"/>
      <c r="L81" s="94"/>
      <c r="M81" s="75"/>
      <c r="N81" s="75"/>
      <c r="O81" s="75"/>
      <c r="P81" s="75"/>
      <c r="Q81" s="75"/>
      <c r="R81" s="75"/>
      <c r="S81" s="75"/>
    </row>
    <row r="82" spans="1:20" s="87" customFormat="1" ht="26.25" customHeight="1">
      <c r="A82" s="116" t="s">
        <v>741</v>
      </c>
      <c r="B82" s="1665" t="s">
        <v>772</v>
      </c>
      <c r="C82" s="1665"/>
      <c r="D82" s="1665"/>
      <c r="E82" s="1665"/>
      <c r="F82" s="1665"/>
      <c r="G82" s="1665"/>
      <c r="H82" s="1665"/>
      <c r="I82" s="1665"/>
      <c r="J82" s="1665"/>
      <c r="K82" s="1666"/>
      <c r="L82" s="94"/>
      <c r="M82" s="75"/>
      <c r="N82" s="75"/>
      <c r="O82" s="75"/>
      <c r="P82" s="75"/>
      <c r="Q82" s="75"/>
      <c r="R82" s="75"/>
      <c r="S82" s="75"/>
      <c r="T82" s="75"/>
    </row>
    <row r="83" spans="1:20" s="87" customFormat="1" ht="15" customHeight="1">
      <c r="A83" s="1715" t="s">
        <v>742</v>
      </c>
      <c r="B83" s="1665" t="s">
        <v>743</v>
      </c>
      <c r="C83" s="1665"/>
      <c r="D83" s="1665"/>
      <c r="E83" s="1665"/>
      <c r="F83" s="1665"/>
      <c r="G83" s="1665"/>
      <c r="H83" s="1665"/>
      <c r="I83" s="1665"/>
      <c r="J83" s="1665"/>
      <c r="K83" s="1666"/>
      <c r="L83" s="94"/>
      <c r="M83" s="75"/>
      <c r="N83" s="75"/>
      <c r="O83" s="75"/>
      <c r="P83" s="75"/>
      <c r="Q83" s="75"/>
      <c r="R83" s="75"/>
      <c r="S83" s="75"/>
      <c r="T83" s="75"/>
    </row>
    <row r="84" spans="1:20" s="87" customFormat="1" ht="15" customHeight="1">
      <c r="A84" s="1715"/>
      <c r="B84" s="1716" t="s">
        <v>744</v>
      </c>
      <c r="C84" s="1716"/>
      <c r="D84" s="1716"/>
      <c r="E84" s="1716"/>
      <c r="F84" s="1716"/>
      <c r="G84" s="1716"/>
      <c r="H84" s="1716"/>
      <c r="I84" s="1716"/>
      <c r="J84" s="1716"/>
      <c r="K84" s="1717"/>
      <c r="L84" s="94"/>
      <c r="M84" s="75"/>
      <c r="N84" s="75"/>
      <c r="O84" s="75"/>
      <c r="P84" s="75"/>
      <c r="Q84" s="75"/>
      <c r="R84" s="75"/>
      <c r="S84" s="75"/>
    </row>
    <row r="85" spans="1:20" s="87" customFormat="1" ht="15" customHeight="1">
      <c r="A85" s="1715"/>
      <c r="B85" s="1716" t="s">
        <v>745</v>
      </c>
      <c r="C85" s="1716"/>
      <c r="D85" s="1716"/>
      <c r="E85" s="1716"/>
      <c r="F85" s="1716"/>
      <c r="G85" s="1716"/>
      <c r="H85" s="1716"/>
      <c r="I85" s="1716"/>
      <c r="J85" s="1716"/>
      <c r="K85" s="1717"/>
      <c r="L85" s="94"/>
      <c r="M85" s="75"/>
      <c r="N85" s="75"/>
      <c r="O85" s="75"/>
      <c r="P85" s="75"/>
      <c r="Q85" s="75"/>
      <c r="R85" s="75"/>
      <c r="S85" s="75"/>
    </row>
    <row r="86" spans="1:20" s="87" customFormat="1" ht="15" customHeight="1">
      <c r="A86" s="1715"/>
      <c r="B86" s="1716" t="s">
        <v>746</v>
      </c>
      <c r="C86" s="1716"/>
      <c r="D86" s="1716"/>
      <c r="E86" s="1716"/>
      <c r="F86" s="1716"/>
      <c r="G86" s="1716"/>
      <c r="H86" s="1716"/>
      <c r="I86" s="1716"/>
      <c r="J86" s="1716"/>
      <c r="K86" s="1717"/>
      <c r="L86" s="94"/>
      <c r="M86" s="75"/>
      <c r="N86" s="75"/>
      <c r="O86" s="75"/>
      <c r="P86" s="75"/>
      <c r="Q86" s="75"/>
      <c r="R86" s="75"/>
      <c r="S86" s="75"/>
    </row>
    <row r="87" spans="1:20" s="87" customFormat="1" ht="15" customHeight="1">
      <c r="A87" s="1715" t="s">
        <v>747</v>
      </c>
      <c r="B87" s="1665" t="s">
        <v>1498</v>
      </c>
      <c r="C87" s="1665"/>
      <c r="D87" s="1665"/>
      <c r="E87" s="1665"/>
      <c r="F87" s="1665"/>
      <c r="G87" s="1665"/>
      <c r="H87" s="1665"/>
      <c r="I87" s="1665"/>
      <c r="J87" s="1665"/>
      <c r="K87" s="1666"/>
      <c r="L87" s="94"/>
      <c r="M87" s="75"/>
      <c r="N87" s="75"/>
      <c r="O87" s="75"/>
      <c r="P87" s="75"/>
      <c r="Q87" s="75"/>
      <c r="R87" s="75"/>
      <c r="S87" s="75"/>
      <c r="T87" s="75"/>
    </row>
    <row r="88" spans="1:20" s="87" customFormat="1" ht="26.25" customHeight="1">
      <c r="A88" s="1715"/>
      <c r="B88" s="1716" t="s">
        <v>1619</v>
      </c>
      <c r="C88" s="1716"/>
      <c r="D88" s="1716"/>
      <c r="E88" s="1716"/>
      <c r="F88" s="1716"/>
      <c r="G88" s="1716"/>
      <c r="H88" s="1716"/>
      <c r="I88" s="1716"/>
      <c r="J88" s="1716"/>
      <c r="K88" s="1717"/>
      <c r="L88" s="94"/>
      <c r="M88" s="75"/>
      <c r="N88" s="75"/>
      <c r="O88" s="75"/>
      <c r="P88" s="75"/>
      <c r="Q88" s="75"/>
      <c r="R88" s="75"/>
      <c r="S88" s="75"/>
    </row>
    <row r="89" spans="1:20" s="87" customFormat="1" ht="26.25" customHeight="1">
      <c r="A89" s="1715"/>
      <c r="B89" s="1716" t="s">
        <v>1620</v>
      </c>
      <c r="C89" s="1716"/>
      <c r="D89" s="1716"/>
      <c r="E89" s="1716"/>
      <c r="F89" s="1716"/>
      <c r="G89" s="1716"/>
      <c r="H89" s="1716"/>
      <c r="I89" s="1716"/>
      <c r="J89" s="1716"/>
      <c r="K89" s="1717"/>
      <c r="L89" s="94"/>
      <c r="M89" s="75"/>
      <c r="N89" s="75"/>
      <c r="O89" s="75"/>
      <c r="P89" s="75"/>
      <c r="Q89" s="75"/>
      <c r="R89" s="75"/>
      <c r="S89" s="75"/>
    </row>
    <row r="90" spans="1:20" s="87" customFormat="1" ht="26.25" customHeight="1">
      <c r="A90" s="1715"/>
      <c r="B90" s="1716" t="s">
        <v>1485</v>
      </c>
      <c r="C90" s="1716"/>
      <c r="D90" s="1716"/>
      <c r="E90" s="1716"/>
      <c r="F90" s="1716"/>
      <c r="G90" s="1716"/>
      <c r="H90" s="1716"/>
      <c r="I90" s="1716"/>
      <c r="J90" s="1716"/>
      <c r="K90" s="1717"/>
      <c r="L90" s="94"/>
      <c r="M90" s="75"/>
      <c r="N90" s="75"/>
      <c r="O90" s="75"/>
      <c r="P90" s="75"/>
      <c r="Q90" s="75"/>
      <c r="R90" s="75"/>
      <c r="S90" s="75"/>
    </row>
    <row r="91" spans="1:20" s="87" customFormat="1" ht="15" customHeight="1" thickBot="1">
      <c r="A91" s="1715"/>
      <c r="B91" s="1716" t="s">
        <v>672</v>
      </c>
      <c r="C91" s="1716"/>
      <c r="D91" s="1716"/>
      <c r="E91" s="1716"/>
      <c r="F91" s="1716"/>
      <c r="G91" s="1716"/>
      <c r="H91" s="1716"/>
      <c r="I91" s="1716"/>
      <c r="J91" s="1716"/>
      <c r="K91" s="1717"/>
      <c r="L91" s="94"/>
      <c r="M91" s="75"/>
      <c r="N91" s="75"/>
      <c r="O91" s="75"/>
      <c r="P91" s="75"/>
      <c r="Q91" s="75"/>
      <c r="R91" s="75"/>
      <c r="S91" s="75"/>
      <c r="T91" s="75"/>
    </row>
    <row r="92" spans="1:20" s="88" customFormat="1" ht="15" customHeight="1" thickBot="1">
      <c r="A92" s="1679" t="s">
        <v>748</v>
      </c>
      <c r="B92" s="1680"/>
      <c r="C92" s="1680"/>
      <c r="D92" s="1680"/>
      <c r="E92" s="1680"/>
      <c r="F92" s="1680"/>
      <c r="G92" s="1680"/>
      <c r="H92" s="1680"/>
      <c r="I92" s="1680"/>
      <c r="J92" s="1680"/>
      <c r="K92" s="1681"/>
      <c r="L92" s="94"/>
      <c r="M92" s="75"/>
      <c r="N92" s="75"/>
      <c r="O92" s="75"/>
      <c r="P92" s="75"/>
      <c r="Q92" s="75"/>
      <c r="R92" s="75"/>
      <c r="S92" s="75"/>
      <c r="T92" s="75"/>
    </row>
    <row r="93" spans="1:20" s="87" customFormat="1" ht="26.25" customHeight="1">
      <c r="A93" s="138" t="s">
        <v>749</v>
      </c>
      <c r="B93" s="1684" t="s">
        <v>750</v>
      </c>
      <c r="C93" s="1684"/>
      <c r="D93" s="1684"/>
      <c r="E93" s="1684"/>
      <c r="F93" s="1684"/>
      <c r="G93" s="1684"/>
      <c r="H93" s="1684"/>
      <c r="I93" s="1684"/>
      <c r="J93" s="1684"/>
      <c r="K93" s="1685"/>
      <c r="L93" s="94"/>
      <c r="M93" s="75"/>
      <c r="N93" s="75"/>
      <c r="O93" s="75"/>
      <c r="P93" s="75"/>
      <c r="Q93" s="75"/>
      <c r="R93" s="75"/>
      <c r="S93" s="75"/>
      <c r="T93" s="75"/>
    </row>
    <row r="94" spans="1:20" s="87" customFormat="1" ht="26.25" customHeight="1">
      <c r="A94" s="1683" t="s">
        <v>751</v>
      </c>
      <c r="B94" s="1665" t="s">
        <v>752</v>
      </c>
      <c r="C94" s="1665"/>
      <c r="D94" s="1665"/>
      <c r="E94" s="1665"/>
      <c r="F94" s="1665"/>
      <c r="G94" s="1665"/>
      <c r="H94" s="1665"/>
      <c r="I94" s="1665"/>
      <c r="J94" s="1665"/>
      <c r="K94" s="1666"/>
      <c r="L94" s="94"/>
      <c r="M94" s="75"/>
      <c r="N94" s="75"/>
      <c r="O94" s="75"/>
      <c r="P94" s="75"/>
      <c r="Q94" s="75"/>
      <c r="R94" s="75"/>
      <c r="S94" s="75"/>
      <c r="T94" s="75"/>
    </row>
    <row r="95" spans="1:20" s="87" customFormat="1" ht="26.25" customHeight="1">
      <c r="A95" s="1683"/>
      <c r="B95" s="1665" t="s">
        <v>1380</v>
      </c>
      <c r="C95" s="1665"/>
      <c r="D95" s="1665"/>
      <c r="E95" s="1665"/>
      <c r="F95" s="1665"/>
      <c r="G95" s="1665"/>
      <c r="H95" s="1665"/>
      <c r="I95" s="1665"/>
      <c r="J95" s="1665"/>
      <c r="K95" s="1666"/>
      <c r="L95" s="86"/>
      <c r="M95" s="75"/>
      <c r="N95" s="75"/>
      <c r="O95" s="75"/>
      <c r="P95" s="75"/>
      <c r="Q95" s="75"/>
      <c r="R95" s="75"/>
      <c r="S95" s="75"/>
      <c r="T95" s="75"/>
    </row>
    <row r="96" spans="1:20" s="87" customFormat="1" ht="13">
      <c r="A96" s="1718" t="s">
        <v>753</v>
      </c>
      <c r="B96" s="1665" t="s">
        <v>1486</v>
      </c>
      <c r="C96" s="1665"/>
      <c r="D96" s="1665"/>
      <c r="E96" s="1665"/>
      <c r="F96" s="1665"/>
      <c r="G96" s="1665"/>
      <c r="H96" s="1665"/>
      <c r="I96" s="1665"/>
      <c r="J96" s="1665"/>
      <c r="K96" s="1666"/>
      <c r="L96" s="86"/>
      <c r="M96" s="75"/>
      <c r="N96" s="75"/>
      <c r="O96" s="75"/>
      <c r="P96" s="75"/>
      <c r="Q96" s="75"/>
      <c r="R96" s="75"/>
      <c r="S96" s="75"/>
      <c r="T96" s="75"/>
    </row>
    <row r="97" spans="1:20" s="87" customFormat="1" ht="24.75" customHeight="1">
      <c r="A97" s="1718"/>
      <c r="B97" s="1716" t="s">
        <v>1483</v>
      </c>
      <c r="C97" s="1716"/>
      <c r="D97" s="1716"/>
      <c r="E97" s="1716"/>
      <c r="F97" s="1716"/>
      <c r="G97" s="1716"/>
      <c r="H97" s="1716"/>
      <c r="I97" s="1716"/>
      <c r="J97" s="1716"/>
      <c r="K97" s="1717"/>
      <c r="L97" s="94"/>
      <c r="M97" s="75"/>
      <c r="N97" s="75"/>
      <c r="O97" s="75"/>
      <c r="P97" s="75"/>
      <c r="Q97" s="75"/>
      <c r="R97" s="75"/>
      <c r="S97" s="75"/>
    </row>
    <row r="98" spans="1:20" s="87" customFormat="1" ht="26.25" customHeight="1">
      <c r="A98" s="1718"/>
      <c r="B98" s="1716" t="s">
        <v>1484</v>
      </c>
      <c r="C98" s="1716"/>
      <c r="D98" s="1716"/>
      <c r="E98" s="1716"/>
      <c r="F98" s="1716"/>
      <c r="G98" s="1716"/>
      <c r="H98" s="1716"/>
      <c r="I98" s="1716"/>
      <c r="J98" s="1716"/>
      <c r="K98" s="1717"/>
      <c r="L98" s="94"/>
      <c r="M98" s="75"/>
      <c r="N98" s="75"/>
      <c r="O98" s="75"/>
      <c r="P98" s="75"/>
      <c r="Q98" s="75"/>
      <c r="R98" s="75"/>
      <c r="S98" s="75"/>
    </row>
    <row r="99" spans="1:20" s="87" customFormat="1" ht="26.25" customHeight="1">
      <c r="A99" s="1718"/>
      <c r="B99" s="1716" t="s">
        <v>1487</v>
      </c>
      <c r="C99" s="1716"/>
      <c r="D99" s="1716"/>
      <c r="E99" s="1716"/>
      <c r="F99" s="1716"/>
      <c r="G99" s="1716"/>
      <c r="H99" s="1716"/>
      <c r="I99" s="1716"/>
      <c r="J99" s="1716"/>
      <c r="K99" s="1717"/>
      <c r="L99" s="94"/>
      <c r="M99" s="75"/>
      <c r="N99" s="75"/>
      <c r="O99" s="75"/>
      <c r="P99" s="75"/>
      <c r="Q99" s="75"/>
      <c r="R99" s="75"/>
      <c r="S99" s="75"/>
    </row>
    <row r="100" spans="1:20" s="87" customFormat="1" ht="15" customHeight="1" thickBot="1">
      <c r="A100" s="1718"/>
      <c r="B100" s="1716" t="s">
        <v>672</v>
      </c>
      <c r="C100" s="1716"/>
      <c r="D100" s="1716"/>
      <c r="E100" s="1716"/>
      <c r="F100" s="1716"/>
      <c r="G100" s="1716"/>
      <c r="H100" s="1716"/>
      <c r="I100" s="1716"/>
      <c r="J100" s="1716"/>
      <c r="K100" s="1717"/>
      <c r="L100" s="94"/>
      <c r="M100" s="75"/>
      <c r="N100" s="75"/>
      <c r="O100" s="75"/>
      <c r="P100" s="75"/>
      <c r="Q100" s="75"/>
      <c r="R100" s="75"/>
      <c r="S100" s="75"/>
    </row>
    <row r="101" spans="1:20" s="88" customFormat="1" ht="15" customHeight="1" thickBot="1">
      <c r="A101" s="1679" t="s">
        <v>754</v>
      </c>
      <c r="B101" s="1680"/>
      <c r="C101" s="1680"/>
      <c r="D101" s="1680"/>
      <c r="E101" s="1680"/>
      <c r="F101" s="1680"/>
      <c r="G101" s="1680"/>
      <c r="H101" s="1680"/>
      <c r="I101" s="1680"/>
      <c r="J101" s="1680"/>
      <c r="K101" s="1681"/>
      <c r="L101" s="94"/>
      <c r="M101" s="75"/>
      <c r="N101" s="75"/>
      <c r="O101" s="75"/>
      <c r="P101" s="75"/>
      <c r="Q101" s="75"/>
      <c r="R101" s="75"/>
      <c r="S101" s="75"/>
      <c r="T101" s="75"/>
    </row>
    <row r="102" spans="1:20" s="88" customFormat="1" ht="26.25" customHeight="1">
      <c r="A102" s="1688" t="s">
        <v>1623</v>
      </c>
      <c r="B102" s="1684"/>
      <c r="C102" s="1684"/>
      <c r="D102" s="1684"/>
      <c r="E102" s="1684"/>
      <c r="F102" s="1684"/>
      <c r="G102" s="1684"/>
      <c r="H102" s="1684"/>
      <c r="I102" s="1684"/>
      <c r="J102" s="1684"/>
      <c r="K102" s="1685"/>
      <c r="L102" s="94"/>
      <c r="M102" s="75"/>
      <c r="N102" s="75"/>
      <c r="O102" s="75"/>
      <c r="P102" s="75"/>
      <c r="Q102" s="75"/>
      <c r="R102" s="75"/>
      <c r="S102" s="75"/>
    </row>
    <row r="103" spans="1:20" s="87" customFormat="1" ht="15" customHeight="1">
      <c r="A103" s="128" t="s">
        <v>755</v>
      </c>
      <c r="B103" s="1665" t="s">
        <v>756</v>
      </c>
      <c r="C103" s="1665"/>
      <c r="D103" s="1665"/>
      <c r="E103" s="1665"/>
      <c r="F103" s="1665"/>
      <c r="G103" s="1665"/>
      <c r="H103" s="1665"/>
      <c r="I103" s="1665"/>
      <c r="J103" s="1665"/>
      <c r="K103" s="1666"/>
      <c r="L103" s="94"/>
      <c r="M103" s="75"/>
      <c r="N103" s="75"/>
      <c r="O103" s="75"/>
      <c r="P103" s="75"/>
      <c r="Q103" s="75"/>
      <c r="R103" s="75"/>
      <c r="S103" s="75"/>
      <c r="T103" s="75"/>
    </row>
    <row r="104" spans="1:20" s="87" customFormat="1" ht="26.25" customHeight="1">
      <c r="A104" s="128" t="s">
        <v>757</v>
      </c>
      <c r="B104" s="1665" t="s">
        <v>758</v>
      </c>
      <c r="C104" s="1665"/>
      <c r="D104" s="1665"/>
      <c r="E104" s="1665"/>
      <c r="F104" s="1665"/>
      <c r="G104" s="1665"/>
      <c r="H104" s="1665"/>
      <c r="I104" s="1665"/>
      <c r="J104" s="1665"/>
      <c r="K104" s="1666"/>
      <c r="L104" s="86"/>
      <c r="M104" s="75"/>
      <c r="N104" s="75"/>
      <c r="O104" s="75"/>
      <c r="P104" s="75"/>
      <c r="Q104" s="75"/>
      <c r="R104" s="75"/>
      <c r="S104" s="75"/>
      <c r="T104" s="75"/>
    </row>
    <row r="105" spans="1:20" s="87" customFormat="1" ht="15" customHeight="1">
      <c r="A105" s="1718" t="s">
        <v>759</v>
      </c>
      <c r="B105" s="1665" t="s">
        <v>1488</v>
      </c>
      <c r="C105" s="1665"/>
      <c r="D105" s="1665"/>
      <c r="E105" s="1665"/>
      <c r="F105" s="1665"/>
      <c r="G105" s="1665"/>
      <c r="H105" s="1665"/>
      <c r="I105" s="1665"/>
      <c r="J105" s="1665"/>
      <c r="K105" s="1666"/>
      <c r="L105" s="86"/>
      <c r="M105" s="75"/>
      <c r="N105" s="75"/>
      <c r="O105" s="75"/>
      <c r="P105" s="75"/>
      <c r="Q105" s="75"/>
      <c r="R105" s="75"/>
      <c r="S105" s="75"/>
      <c r="T105" s="75"/>
    </row>
    <row r="106" spans="1:20" s="87" customFormat="1" ht="25.5" customHeight="1">
      <c r="A106" s="1718"/>
      <c r="B106" s="1716" t="s">
        <v>1483</v>
      </c>
      <c r="C106" s="1716"/>
      <c r="D106" s="1716"/>
      <c r="E106" s="1716"/>
      <c r="F106" s="1716"/>
      <c r="G106" s="1716"/>
      <c r="H106" s="1716"/>
      <c r="I106" s="1716"/>
      <c r="J106" s="1716"/>
      <c r="K106" s="1717"/>
      <c r="L106" s="75"/>
      <c r="M106" s="75"/>
      <c r="N106" s="75"/>
      <c r="O106" s="75"/>
      <c r="P106" s="75"/>
      <c r="Q106" s="75"/>
      <c r="R106" s="75"/>
      <c r="S106" s="75"/>
    </row>
    <row r="107" spans="1:20" s="87" customFormat="1" ht="26.25" customHeight="1">
      <c r="A107" s="1718"/>
      <c r="B107" s="1716" t="s">
        <v>1489</v>
      </c>
      <c r="C107" s="1716"/>
      <c r="D107" s="1716"/>
      <c r="E107" s="1716"/>
      <c r="F107" s="1716"/>
      <c r="G107" s="1716"/>
      <c r="H107" s="1716"/>
      <c r="I107" s="1716"/>
      <c r="J107" s="1716"/>
      <c r="K107" s="1717"/>
      <c r="L107" s="75"/>
      <c r="M107" s="75"/>
      <c r="N107" s="75"/>
      <c r="O107" s="75"/>
      <c r="P107" s="75"/>
      <c r="Q107" s="75"/>
      <c r="R107" s="75"/>
      <c r="S107" s="75"/>
    </row>
    <row r="108" spans="1:20" s="87" customFormat="1" ht="26.25" customHeight="1">
      <c r="A108" s="1718"/>
      <c r="B108" s="1716" t="s">
        <v>1490</v>
      </c>
      <c r="C108" s="1716"/>
      <c r="D108" s="1716"/>
      <c r="E108" s="1716"/>
      <c r="F108" s="1716"/>
      <c r="G108" s="1716"/>
      <c r="H108" s="1716"/>
      <c r="I108" s="1716"/>
      <c r="J108" s="1716"/>
      <c r="K108" s="1717"/>
      <c r="L108" s="75"/>
      <c r="M108" s="75"/>
      <c r="N108" s="75"/>
      <c r="O108" s="75"/>
      <c r="P108" s="75"/>
      <c r="Q108" s="75"/>
      <c r="R108" s="75"/>
      <c r="S108" s="75"/>
    </row>
    <row r="109" spans="1:20" s="87" customFormat="1" ht="13.5" thickBot="1">
      <c r="A109" s="1719"/>
      <c r="B109" s="1720" t="s">
        <v>672</v>
      </c>
      <c r="C109" s="1720"/>
      <c r="D109" s="1720"/>
      <c r="E109" s="1720"/>
      <c r="F109" s="1720"/>
      <c r="G109" s="1720"/>
      <c r="H109" s="1720"/>
      <c r="I109" s="1720"/>
      <c r="J109" s="1720"/>
      <c r="K109" s="1721"/>
      <c r="L109" s="75"/>
      <c r="M109" s="75"/>
      <c r="N109" s="75"/>
      <c r="O109" s="75"/>
      <c r="P109" s="75"/>
      <c r="Q109" s="75"/>
      <c r="R109" s="75"/>
      <c r="S109" s="75"/>
    </row>
  </sheetData>
  <sheetProtection password="A541" sheet="1" objects="1" scenarios="1"/>
  <customSheetViews>
    <customSheetView guid="{A81B7E59-6D30-48F0-895B-EADA4D6F68AC}" fitToPage="1">
      <selection sqref="A1:K1"/>
      <pageMargins left="0.25" right="0.25" top="0.75" bottom="0.75" header="0.25" footer="0.25"/>
      <pageSetup scale="91" fitToHeight="0" orientation="portrait" r:id="rId1"/>
    </customSheetView>
    <customSheetView guid="{B2091B36-14EA-49EC-93AF-D5AA205EF0C1}" fitToPage="1">
      <selection sqref="A1:K1"/>
      <pageMargins left="0.25" right="0.25" top="0.75" bottom="0.75" header="0.25" footer="0.25"/>
      <pageSetup scale="92" fitToHeight="0" orientation="portrait" r:id="rId2"/>
    </customSheetView>
    <customSheetView guid="{A9399441-FD69-4FCC-BF3B-6E447DD9FB6A}" fitToPage="1">
      <selection sqref="A1:K1"/>
      <pageMargins left="0.25" right="0.25" top="0.75" bottom="0.75" header="0.25" footer="0.25"/>
      <pageSetup scale="92" fitToHeight="0" orientation="portrait" r:id="rId3"/>
    </customSheetView>
  </customSheetViews>
  <mergeCells count="132">
    <mergeCell ref="A101:K101"/>
    <mergeCell ref="A102:K102"/>
    <mergeCell ref="B103:K103"/>
    <mergeCell ref="B104:K104"/>
    <mergeCell ref="A105:A109"/>
    <mergeCell ref="B105:K105"/>
    <mergeCell ref="B106:K106"/>
    <mergeCell ref="B107:K107"/>
    <mergeCell ref="B109:K109"/>
    <mergeCell ref="B108:K108"/>
    <mergeCell ref="B93:K93"/>
    <mergeCell ref="A94:A95"/>
    <mergeCell ref="B94:K94"/>
    <mergeCell ref="B95:K95"/>
    <mergeCell ref="A96:A100"/>
    <mergeCell ref="B96:K96"/>
    <mergeCell ref="B97:K97"/>
    <mergeCell ref="B98:K98"/>
    <mergeCell ref="B100:K100"/>
    <mergeCell ref="B99:K99"/>
    <mergeCell ref="A87:A91"/>
    <mergeCell ref="B87:K87"/>
    <mergeCell ref="B88:K88"/>
    <mergeCell ref="B89:K89"/>
    <mergeCell ref="B91:K91"/>
    <mergeCell ref="A92:K92"/>
    <mergeCell ref="A81:K81"/>
    <mergeCell ref="B82:K82"/>
    <mergeCell ref="A83:A86"/>
    <mergeCell ref="B83:K83"/>
    <mergeCell ref="B84:K84"/>
    <mergeCell ref="B85:K85"/>
    <mergeCell ref="B86:K86"/>
    <mergeCell ref="B90:K90"/>
    <mergeCell ref="G76:H76"/>
    <mergeCell ref="A77:K77"/>
    <mergeCell ref="A78:K78"/>
    <mergeCell ref="A79:K79"/>
    <mergeCell ref="A80:K80"/>
    <mergeCell ref="A72:K72"/>
    <mergeCell ref="A73:K73"/>
    <mergeCell ref="A74:A75"/>
    <mergeCell ref="B74:D74"/>
    <mergeCell ref="E74:H74"/>
    <mergeCell ref="G75:H75"/>
    <mergeCell ref="A68:A71"/>
    <mergeCell ref="B68:K68"/>
    <mergeCell ref="B69:K69"/>
    <mergeCell ref="B70:K70"/>
    <mergeCell ref="B71:K71"/>
    <mergeCell ref="A61:K61"/>
    <mergeCell ref="B62:K62"/>
    <mergeCell ref="B63:K63"/>
    <mergeCell ref="A64:A67"/>
    <mergeCell ref="B64:K64"/>
    <mergeCell ref="B65:K65"/>
    <mergeCell ref="B66:K66"/>
    <mergeCell ref="B67:K67"/>
    <mergeCell ref="A56:A60"/>
    <mergeCell ref="B56:K56"/>
    <mergeCell ref="B57:K57"/>
    <mergeCell ref="B58:K58"/>
    <mergeCell ref="B59:K59"/>
    <mergeCell ref="B60:K60"/>
    <mergeCell ref="A49:A55"/>
    <mergeCell ref="B49:K49"/>
    <mergeCell ref="B50:K50"/>
    <mergeCell ref="B51:K51"/>
    <mergeCell ref="B52:K52"/>
    <mergeCell ref="B53:K53"/>
    <mergeCell ref="B54:K54"/>
    <mergeCell ref="B55:K55"/>
    <mergeCell ref="B43:K43"/>
    <mergeCell ref="B44:K44"/>
    <mergeCell ref="B45:K45"/>
    <mergeCell ref="B46:K46"/>
    <mergeCell ref="B47:K47"/>
    <mergeCell ref="B48:K48"/>
    <mergeCell ref="B34:K34"/>
    <mergeCell ref="B35:K35"/>
    <mergeCell ref="A36:K36"/>
    <mergeCell ref="A37:A48"/>
    <mergeCell ref="B37:K37"/>
    <mergeCell ref="B38:K38"/>
    <mergeCell ref="B39:K39"/>
    <mergeCell ref="B40:K40"/>
    <mergeCell ref="B41:K41"/>
    <mergeCell ref="B42:K42"/>
    <mergeCell ref="A28:K28"/>
    <mergeCell ref="A29:K29"/>
    <mergeCell ref="A30:K30"/>
    <mergeCell ref="A31:K31"/>
    <mergeCell ref="B32:K32"/>
    <mergeCell ref="B33:K33"/>
    <mergeCell ref="A23:A24"/>
    <mergeCell ref="B23:K23"/>
    <mergeCell ref="B24:K24"/>
    <mergeCell ref="B25:K25"/>
    <mergeCell ref="B26:K26"/>
    <mergeCell ref="B27:K27"/>
    <mergeCell ref="B18:K18"/>
    <mergeCell ref="B19:K19"/>
    <mergeCell ref="A20:K20"/>
    <mergeCell ref="A21:A22"/>
    <mergeCell ref="B21:K21"/>
    <mergeCell ref="B22:K22"/>
    <mergeCell ref="A9:B9"/>
    <mergeCell ref="C9:F9"/>
    <mergeCell ref="H9:K9"/>
    <mergeCell ref="B14:K14"/>
    <mergeCell ref="B15:K15"/>
    <mergeCell ref="B16:K16"/>
    <mergeCell ref="A13:B13"/>
    <mergeCell ref="C13:F13"/>
    <mergeCell ref="A12:B12"/>
    <mergeCell ref="C12:F12"/>
    <mergeCell ref="H12:K12"/>
    <mergeCell ref="B7:K7"/>
    <mergeCell ref="B8:K8"/>
    <mergeCell ref="A10:B10"/>
    <mergeCell ref="C10:F10"/>
    <mergeCell ref="H10:K10"/>
    <mergeCell ref="B17:K17"/>
    <mergeCell ref="A1:K1"/>
    <mergeCell ref="A2:K2"/>
    <mergeCell ref="A3:K3"/>
    <mergeCell ref="A4:K4"/>
    <mergeCell ref="A5:K5"/>
    <mergeCell ref="A6:K6"/>
    <mergeCell ref="A11:B11"/>
    <mergeCell ref="C11:F11"/>
    <mergeCell ref="H11:K11"/>
  </mergeCells>
  <hyperlinks>
    <hyperlink ref="B60" r:id="rId4" xr:uid="{00000000-0004-0000-2200-000000000000}"/>
    <hyperlink ref="B27" r:id="rId5" xr:uid="{00000000-0004-0000-2200-000001000000}"/>
  </hyperlinks>
  <pageMargins left="0.25" right="0.25" top="0.75" bottom="0.75" header="0.25" footer="0.25"/>
  <pageSetup scale="91" fitToHeight="0" orientation="portrait" r:id="rId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AP1811"/>
  <sheetViews>
    <sheetView topLeftCell="A8" zoomScaleNormal="100" workbookViewId="0">
      <selection activeCell="A10" sqref="A10"/>
    </sheetView>
  </sheetViews>
  <sheetFormatPr defaultRowHeight="13"/>
  <cols>
    <col min="1" max="1" width="9.08984375" style="75" customWidth="1"/>
    <col min="2" max="2" width="16.54296875" style="75" customWidth="1"/>
    <col min="3" max="8" width="9.08984375" style="75" customWidth="1"/>
    <col min="9" max="9" width="11.08984375" style="75" customWidth="1"/>
    <col min="10" max="10" width="12.6328125" style="75" customWidth="1"/>
    <col min="11" max="38" width="9.08984375" style="75" customWidth="1"/>
    <col min="39" max="255" width="9.08984375" style="75"/>
    <col min="256" max="294" width="9.08984375" style="75" customWidth="1"/>
    <col min="295" max="511" width="9.08984375" style="75"/>
    <col min="512" max="550" width="9.08984375" style="75" customWidth="1"/>
    <col min="551" max="767" width="9.08984375" style="75"/>
    <col min="768" max="806" width="9.08984375" style="75" customWidth="1"/>
    <col min="807" max="1023" width="9.08984375" style="75"/>
    <col min="1024" max="1062" width="9.08984375" style="75" customWidth="1"/>
    <col min="1063" max="1279" width="9.08984375" style="75"/>
    <col min="1280" max="1318" width="9.08984375" style="75" customWidth="1"/>
    <col min="1319" max="1535" width="9.08984375" style="75"/>
    <col min="1536" max="1574" width="9.08984375" style="75" customWidth="1"/>
    <col min="1575" max="1791" width="9.08984375" style="75"/>
    <col min="1792" max="1830" width="9.08984375" style="75" customWidth="1"/>
    <col min="1831" max="2047" width="9.08984375" style="75"/>
    <col min="2048" max="2086" width="9.08984375" style="75" customWidth="1"/>
    <col min="2087" max="2303" width="9.08984375" style="75"/>
    <col min="2304" max="2342" width="9.08984375" style="75" customWidth="1"/>
    <col min="2343" max="2559" width="9.08984375" style="75"/>
    <col min="2560" max="2598" width="9.08984375" style="75" customWidth="1"/>
    <col min="2599" max="2815" width="9.08984375" style="75"/>
    <col min="2816" max="2854" width="9.08984375" style="75" customWidth="1"/>
    <col min="2855" max="3071" width="9.08984375" style="75"/>
    <col min="3072" max="3110" width="9.08984375" style="75" customWidth="1"/>
    <col min="3111" max="3327" width="9.08984375" style="75"/>
    <col min="3328" max="3366" width="9.08984375" style="75" customWidth="1"/>
    <col min="3367" max="3583" width="9.08984375" style="75"/>
    <col min="3584" max="3622" width="9.08984375" style="75" customWidth="1"/>
    <col min="3623" max="3839" width="9.08984375" style="75"/>
    <col min="3840" max="3878" width="9.08984375" style="75" customWidth="1"/>
    <col min="3879" max="4095" width="9.08984375" style="75"/>
    <col min="4096" max="4134" width="9.08984375" style="75" customWidth="1"/>
    <col min="4135" max="4351" width="9.08984375" style="75"/>
    <col min="4352" max="4390" width="9.08984375" style="75" customWidth="1"/>
    <col min="4391" max="4607" width="9.08984375" style="75"/>
    <col min="4608" max="4646" width="9.08984375" style="75" customWidth="1"/>
    <col min="4647" max="4863" width="9.08984375" style="75"/>
    <col min="4864" max="4902" width="9.08984375" style="75" customWidth="1"/>
    <col min="4903" max="5119" width="9.08984375" style="75"/>
    <col min="5120" max="5158" width="9.08984375" style="75" customWidth="1"/>
    <col min="5159" max="5375" width="9.08984375" style="75"/>
    <col min="5376" max="5414" width="9.08984375" style="75" customWidth="1"/>
    <col min="5415" max="5631" width="9.08984375" style="75"/>
    <col min="5632" max="5670" width="9.08984375" style="75" customWidth="1"/>
    <col min="5671" max="5887" width="9.08984375" style="75"/>
    <col min="5888" max="5926" width="9.08984375" style="75" customWidth="1"/>
    <col min="5927" max="6143" width="9.08984375" style="75"/>
    <col min="6144" max="6182" width="9.08984375" style="75" customWidth="1"/>
    <col min="6183" max="6399" width="9.08984375" style="75"/>
    <col min="6400" max="6438" width="9.08984375" style="75" customWidth="1"/>
    <col min="6439" max="6655" width="9.08984375" style="75"/>
    <col min="6656" max="6694" width="9.08984375" style="75" customWidth="1"/>
    <col min="6695" max="6911" width="9.08984375" style="75"/>
    <col min="6912" max="6950" width="9.08984375" style="75" customWidth="1"/>
    <col min="6951" max="7167" width="9.08984375" style="75"/>
    <col min="7168" max="7206" width="9.08984375" style="75" customWidth="1"/>
    <col min="7207" max="7423" width="9.08984375" style="75"/>
    <col min="7424" max="7462" width="9.08984375" style="75" customWidth="1"/>
    <col min="7463" max="7679" width="9.08984375" style="75"/>
    <col min="7680" max="7718" width="9.08984375" style="75" customWidth="1"/>
    <col min="7719" max="7935" width="9.08984375" style="75"/>
    <col min="7936" max="7974" width="9.08984375" style="75" customWidth="1"/>
    <col min="7975" max="8191" width="9.08984375" style="75"/>
    <col min="8192" max="8230" width="9.08984375" style="75" customWidth="1"/>
    <col min="8231" max="8447" width="9.08984375" style="75"/>
    <col min="8448" max="8486" width="9.08984375" style="75" customWidth="1"/>
    <col min="8487" max="8703" width="9.08984375" style="75"/>
    <col min="8704" max="8742" width="9.08984375" style="75" customWidth="1"/>
    <col min="8743" max="8959" width="9.08984375" style="75"/>
    <col min="8960" max="8998" width="9.08984375" style="75" customWidth="1"/>
    <col min="8999" max="9215" width="9.08984375" style="75"/>
    <col min="9216" max="9254" width="9.08984375" style="75" customWidth="1"/>
    <col min="9255" max="9471" width="9.08984375" style="75"/>
    <col min="9472" max="9510" width="9.08984375" style="75" customWidth="1"/>
    <col min="9511" max="9727" width="9.08984375" style="75"/>
    <col min="9728" max="9766" width="9.08984375" style="75" customWidth="1"/>
    <col min="9767" max="9983" width="9.08984375" style="75"/>
    <col min="9984" max="10022" width="9.08984375" style="75" customWidth="1"/>
    <col min="10023" max="10239" width="9.08984375" style="75"/>
    <col min="10240" max="10278" width="9.08984375" style="75" customWidth="1"/>
    <col min="10279" max="10495" width="9.08984375" style="75"/>
    <col min="10496" max="10534" width="9.08984375" style="75" customWidth="1"/>
    <col min="10535" max="10751" width="9.08984375" style="75"/>
    <col min="10752" max="10790" width="9.08984375" style="75" customWidth="1"/>
    <col min="10791" max="11007" width="9.08984375" style="75"/>
    <col min="11008" max="11046" width="9.08984375" style="75" customWidth="1"/>
    <col min="11047" max="11263" width="9.08984375" style="75"/>
    <col min="11264" max="11302" width="9.08984375" style="75" customWidth="1"/>
    <col min="11303" max="11519" width="9.08984375" style="75"/>
    <col min="11520" max="11558" width="9.08984375" style="75" customWidth="1"/>
    <col min="11559" max="11775" width="9.08984375" style="75"/>
    <col min="11776" max="11814" width="9.08984375" style="75" customWidth="1"/>
    <col min="11815" max="12031" width="9.08984375" style="75"/>
    <col min="12032" max="12070" width="9.08984375" style="75" customWidth="1"/>
    <col min="12071" max="12287" width="9.08984375" style="75"/>
    <col min="12288" max="12326" width="9.08984375" style="75" customWidth="1"/>
    <col min="12327" max="12543" width="9.08984375" style="75"/>
    <col min="12544" max="12582" width="9.08984375" style="75" customWidth="1"/>
    <col min="12583" max="12799" width="9.08984375" style="75"/>
    <col min="12800" max="12838" width="9.08984375" style="75" customWidth="1"/>
    <col min="12839" max="13055" width="9.08984375" style="75"/>
    <col min="13056" max="13094" width="9.08984375" style="75" customWidth="1"/>
    <col min="13095" max="13311" width="9.08984375" style="75"/>
    <col min="13312" max="13350" width="9.08984375" style="75" customWidth="1"/>
    <col min="13351" max="13567" width="9.08984375" style="75"/>
    <col min="13568" max="13606" width="9.08984375" style="75" customWidth="1"/>
    <col min="13607" max="13823" width="9.08984375" style="75"/>
    <col min="13824" max="13862" width="9.08984375" style="75" customWidth="1"/>
    <col min="13863" max="14079" width="9.08984375" style="75"/>
    <col min="14080" max="14118" width="9.08984375" style="75" customWidth="1"/>
    <col min="14119" max="14335" width="9.08984375" style="75"/>
    <col min="14336" max="14374" width="9.08984375" style="75" customWidth="1"/>
    <col min="14375" max="14591" width="9.08984375" style="75"/>
    <col min="14592" max="14630" width="9.08984375" style="75" customWidth="1"/>
    <col min="14631" max="14847" width="9.08984375" style="75"/>
    <col min="14848" max="14886" width="9.08984375" style="75" customWidth="1"/>
    <col min="14887" max="15103" width="9.08984375" style="75"/>
    <col min="15104" max="15142" width="9.08984375" style="75" customWidth="1"/>
    <col min="15143" max="15359" width="9.08984375" style="75"/>
    <col min="15360" max="15398" width="9.08984375" style="75" customWidth="1"/>
    <col min="15399" max="15615" width="9.08984375" style="75"/>
    <col min="15616" max="15654" width="9.08984375" style="75" customWidth="1"/>
    <col min="15655" max="15871" width="9.08984375" style="75"/>
    <col min="15872" max="15910" width="9.08984375" style="75" customWidth="1"/>
    <col min="15911" max="16127" width="9.08984375" style="75"/>
    <col min="16128" max="16166" width="9.08984375" style="75" customWidth="1"/>
    <col min="16167" max="16384" width="9.08984375" style="75"/>
  </cols>
  <sheetData>
    <row r="1" spans="1:42" s="1" customFormat="1" ht="30.75" customHeight="1" thickTop="1">
      <c r="A1" s="838" t="s">
        <v>0</v>
      </c>
      <c r="B1" s="839"/>
      <c r="C1" s="839"/>
      <c r="D1" s="840"/>
      <c r="E1" s="499" t="s">
        <v>1</v>
      </c>
      <c r="F1" s="501"/>
      <c r="G1" s="499" t="s">
        <v>2</v>
      </c>
      <c r="H1" s="501"/>
      <c r="I1" s="23"/>
    </row>
    <row r="2" spans="1:42" s="1" customFormat="1" ht="30.75" customHeight="1" thickBot="1">
      <c r="A2" s="1495">
        <f>NameOfLegalEntity</f>
        <v>0</v>
      </c>
      <c r="B2" s="1496"/>
      <c r="C2" s="1496"/>
      <c r="D2" s="1497"/>
      <c r="E2" s="1498">
        <f>ReviewLevel</f>
        <v>0</v>
      </c>
      <c r="F2" s="1499"/>
      <c r="G2" s="1498">
        <f>ReviewType</f>
        <v>0</v>
      </c>
      <c r="H2" s="1499"/>
      <c r="I2" s="23"/>
    </row>
    <row r="3" spans="1:42" s="1" customFormat="1" ht="15.75" customHeight="1" thickTop="1">
      <c r="A3" s="1500" t="s">
        <v>3</v>
      </c>
      <c r="B3" s="1356"/>
      <c r="C3" s="499" t="s">
        <v>4</v>
      </c>
      <c r="D3" s="501"/>
      <c r="E3" s="499" t="s">
        <v>5</v>
      </c>
      <c r="F3" s="501"/>
      <c r="G3" s="499" t="s">
        <v>5</v>
      </c>
      <c r="H3" s="501"/>
      <c r="I3" s="499" t="s">
        <v>1381</v>
      </c>
      <c r="J3" s="501"/>
      <c r="K3" s="23"/>
    </row>
    <row r="4" spans="1:42" s="1" customFormat="1" ht="15" customHeight="1">
      <c r="A4" s="11" t="s">
        <v>7</v>
      </c>
      <c r="B4" s="289">
        <f>CompletedByLastName</f>
        <v>0</v>
      </c>
      <c r="C4" s="502" t="s">
        <v>8</v>
      </c>
      <c r="D4" s="504"/>
      <c r="E4" s="502" t="s">
        <v>9</v>
      </c>
      <c r="F4" s="504"/>
      <c r="G4" s="502" t="s">
        <v>1430</v>
      </c>
      <c r="H4" s="504"/>
      <c r="I4" s="2" t="s">
        <v>10</v>
      </c>
      <c r="J4" s="291" t="str">
        <f>IF(MonitoringPeriodBeginDate="","",MonitoringPeriodBeginDate)</f>
        <v/>
      </c>
      <c r="L4" s="80"/>
    </row>
    <row r="5" spans="1:42" s="1" customFormat="1" ht="16.5" customHeight="1" thickBot="1">
      <c r="A5" s="11" t="s">
        <v>11</v>
      </c>
      <c r="B5" s="292">
        <f>CompletedByFirstName</f>
        <v>0</v>
      </c>
      <c r="C5" s="1501" t="str">
        <f>IF(DateOfEntrance="","",DateOfEntrance)</f>
        <v/>
      </c>
      <c r="D5" s="1502"/>
      <c r="E5" s="1501" t="str">
        <f>IF(DateOfExit="","",DateOfExit)</f>
        <v/>
      </c>
      <c r="F5" s="1502"/>
      <c r="G5" s="1501" t="str">
        <f>IF(DateOfRevisedExit="","",DateOfRevisedExit)</f>
        <v/>
      </c>
      <c r="H5" s="1502"/>
      <c r="I5" s="2" t="s">
        <v>12</v>
      </c>
      <c r="J5" s="295" t="str">
        <f>IF(MonitoringPeriodEndDate="","",MonitoringPeriodEndDate)</f>
        <v/>
      </c>
      <c r="L5" s="83"/>
    </row>
    <row r="6" spans="1:42" s="86" customFormat="1" ht="16.5" customHeight="1" thickTop="1" thickBot="1">
      <c r="A6" s="1727" t="s">
        <v>1355</v>
      </c>
      <c r="B6" s="1728"/>
      <c r="C6" s="1728"/>
      <c r="D6" s="1728"/>
      <c r="E6" s="1728"/>
      <c r="F6" s="1728"/>
      <c r="G6" s="1728"/>
      <c r="H6" s="1728"/>
      <c r="I6" s="1728"/>
      <c r="J6" s="1728"/>
      <c r="K6" s="1728"/>
      <c r="L6" s="1729"/>
      <c r="M6" s="1727" t="s">
        <v>608</v>
      </c>
      <c r="N6" s="1728"/>
      <c r="O6" s="1729"/>
      <c r="P6" s="1727" t="s">
        <v>609</v>
      </c>
      <c r="Q6" s="1728"/>
      <c r="R6" s="1729"/>
      <c r="S6" s="1727" t="s">
        <v>610</v>
      </c>
      <c r="T6" s="1728"/>
      <c r="U6" s="1729"/>
      <c r="V6" s="1738" t="s">
        <v>611</v>
      </c>
      <c r="W6" s="1739"/>
      <c r="X6" s="1739"/>
      <c r="Y6" s="1739"/>
      <c r="Z6" s="1739"/>
      <c r="AA6" s="1740"/>
      <c r="AB6" s="1738" t="s">
        <v>612</v>
      </c>
      <c r="AC6" s="1739"/>
      <c r="AD6" s="1739"/>
      <c r="AE6" s="1739"/>
      <c r="AF6" s="1740"/>
      <c r="AG6" s="1727" t="s">
        <v>613</v>
      </c>
      <c r="AH6" s="1728"/>
      <c r="AI6" s="1728"/>
      <c r="AJ6" s="1728"/>
      <c r="AK6" s="1729"/>
      <c r="AL6" s="1727" t="s">
        <v>614</v>
      </c>
      <c r="AM6" s="1728"/>
      <c r="AN6" s="1728"/>
      <c r="AO6" s="1728"/>
      <c r="AP6" s="1729"/>
    </row>
    <row r="7" spans="1:42" s="81" customFormat="1" ht="15.75" customHeight="1" thickBot="1">
      <c r="A7" s="1733" t="s">
        <v>56</v>
      </c>
      <c r="B7" s="1734"/>
      <c r="C7" s="1734"/>
      <c r="D7" s="1735"/>
      <c r="E7" s="65" t="s">
        <v>57</v>
      </c>
      <c r="F7" s="1732" t="s">
        <v>58</v>
      </c>
      <c r="G7" s="1732"/>
      <c r="H7" s="65" t="s">
        <v>59</v>
      </c>
      <c r="I7" s="66" t="s">
        <v>60</v>
      </c>
      <c r="J7" s="66" t="s">
        <v>61</v>
      </c>
      <c r="K7" s="66" t="s">
        <v>62</v>
      </c>
      <c r="L7" s="67" t="s">
        <v>63</v>
      </c>
      <c r="M7" s="68" t="s">
        <v>64</v>
      </c>
      <c r="N7" s="69" t="s">
        <v>91</v>
      </c>
      <c r="O7" s="67" t="s">
        <v>92</v>
      </c>
      <c r="P7" s="68" t="s">
        <v>93</v>
      </c>
      <c r="Q7" s="71" t="s">
        <v>94</v>
      </c>
      <c r="R7" s="67" t="s">
        <v>73</v>
      </c>
      <c r="S7" s="68" t="s">
        <v>95</v>
      </c>
      <c r="T7" s="71" t="s">
        <v>96</v>
      </c>
      <c r="U7" s="67" t="s">
        <v>97</v>
      </c>
      <c r="V7" s="68" t="s">
        <v>98</v>
      </c>
      <c r="W7" s="70" t="s">
        <v>99</v>
      </c>
      <c r="X7" s="66" t="s">
        <v>100</v>
      </c>
      <c r="Y7" s="1724" t="s">
        <v>101</v>
      </c>
      <c r="Z7" s="1725"/>
      <c r="AA7" s="1726"/>
      <c r="AB7" s="72" t="s">
        <v>102</v>
      </c>
      <c r="AC7" s="70" t="s">
        <v>103</v>
      </c>
      <c r="AD7" s="1724" t="s">
        <v>104</v>
      </c>
      <c r="AE7" s="1725"/>
      <c r="AF7" s="1726"/>
      <c r="AG7" s="73" t="s">
        <v>522</v>
      </c>
      <c r="AH7" s="135" t="s">
        <v>105</v>
      </c>
      <c r="AI7" s="1724" t="s">
        <v>106</v>
      </c>
      <c r="AJ7" s="1725"/>
      <c r="AK7" s="1726"/>
      <c r="AL7" s="74" t="s">
        <v>615</v>
      </c>
      <c r="AM7" s="65" t="s">
        <v>616</v>
      </c>
      <c r="AN7" s="1724" t="s">
        <v>617</v>
      </c>
      <c r="AO7" s="1725"/>
      <c r="AP7" s="1726"/>
    </row>
    <row r="8" spans="1:42" s="84" customFormat="1" ht="150" customHeight="1">
      <c r="A8" s="338" t="s">
        <v>72</v>
      </c>
      <c r="B8" s="1722" t="s">
        <v>1417</v>
      </c>
      <c r="C8" s="1722" t="s">
        <v>1418</v>
      </c>
      <c r="D8" s="1722"/>
      <c r="E8" s="1722" t="s">
        <v>618</v>
      </c>
      <c r="F8" s="1722" t="s">
        <v>619</v>
      </c>
      <c r="G8" s="1722"/>
      <c r="H8" s="1722" t="s">
        <v>620</v>
      </c>
      <c r="I8" s="1722" t="s">
        <v>621</v>
      </c>
      <c r="J8" s="1722" t="s">
        <v>622</v>
      </c>
      <c r="K8" s="1722" t="s">
        <v>623</v>
      </c>
      <c r="L8" s="1722" t="s">
        <v>624</v>
      </c>
      <c r="M8" s="337" t="s">
        <v>625</v>
      </c>
      <c r="N8" s="337" t="s">
        <v>626</v>
      </c>
      <c r="O8" s="337" t="s">
        <v>627</v>
      </c>
      <c r="P8" s="337" t="s">
        <v>628</v>
      </c>
      <c r="Q8" s="337" t="s">
        <v>629</v>
      </c>
      <c r="R8" s="337" t="s">
        <v>630</v>
      </c>
      <c r="S8" s="337" t="s">
        <v>631</v>
      </c>
      <c r="T8" s="337" t="s">
        <v>632</v>
      </c>
      <c r="U8" s="1722" t="s">
        <v>633</v>
      </c>
      <c r="V8" s="1722" t="s">
        <v>1295</v>
      </c>
      <c r="W8" s="1722" t="s">
        <v>634</v>
      </c>
      <c r="X8" s="1722" t="s">
        <v>635</v>
      </c>
      <c r="Y8" s="1722" t="s">
        <v>1626</v>
      </c>
      <c r="Z8" s="1722"/>
      <c r="AA8" s="1722"/>
      <c r="AB8" s="1722" t="s">
        <v>636</v>
      </c>
      <c r="AC8" s="1722" t="s">
        <v>637</v>
      </c>
      <c r="AD8" s="1722" t="s">
        <v>1491</v>
      </c>
      <c r="AE8" s="1722"/>
      <c r="AF8" s="1722"/>
      <c r="AG8" s="1722" t="s">
        <v>638</v>
      </c>
      <c r="AH8" s="1722" t="s">
        <v>639</v>
      </c>
      <c r="AI8" s="1722" t="s">
        <v>1492</v>
      </c>
      <c r="AJ8" s="1722"/>
      <c r="AK8" s="1722"/>
      <c r="AL8" s="1722" t="s">
        <v>640</v>
      </c>
      <c r="AM8" s="1722" t="s">
        <v>641</v>
      </c>
      <c r="AN8" s="1722" t="s">
        <v>1493</v>
      </c>
      <c r="AO8" s="1722"/>
      <c r="AP8" s="1741"/>
    </row>
    <row r="9" spans="1:42" s="363" customFormat="1" ht="60" customHeight="1" thickBot="1">
      <c r="A9" s="339"/>
      <c r="B9" s="1723"/>
      <c r="C9" s="127" t="s">
        <v>42</v>
      </c>
      <c r="D9" s="127" t="s">
        <v>66</v>
      </c>
      <c r="E9" s="1723"/>
      <c r="F9" s="336" t="s">
        <v>642</v>
      </c>
      <c r="G9" s="336" t="s">
        <v>643</v>
      </c>
      <c r="H9" s="1723"/>
      <c r="I9" s="1723"/>
      <c r="J9" s="1723"/>
      <c r="K9" s="1723"/>
      <c r="L9" s="1723"/>
      <c r="M9" s="1723" t="s">
        <v>1624</v>
      </c>
      <c r="N9" s="1723"/>
      <c r="O9" s="1723"/>
      <c r="P9" s="1723" t="s">
        <v>644</v>
      </c>
      <c r="Q9" s="1723"/>
      <c r="R9" s="1723"/>
      <c r="S9" s="1723" t="s">
        <v>1625</v>
      </c>
      <c r="T9" s="1723"/>
      <c r="U9" s="1723"/>
      <c r="V9" s="1723"/>
      <c r="W9" s="1723"/>
      <c r="X9" s="1723"/>
      <c r="Y9" s="336" t="s">
        <v>645</v>
      </c>
      <c r="Z9" s="1723" t="s">
        <v>646</v>
      </c>
      <c r="AA9" s="1723"/>
      <c r="AB9" s="1723"/>
      <c r="AC9" s="1723"/>
      <c r="AD9" s="336" t="s">
        <v>645</v>
      </c>
      <c r="AE9" s="1723" t="s">
        <v>646</v>
      </c>
      <c r="AF9" s="1723"/>
      <c r="AG9" s="1723"/>
      <c r="AH9" s="1723"/>
      <c r="AI9" s="336" t="s">
        <v>645</v>
      </c>
      <c r="AJ9" s="1723" t="s">
        <v>646</v>
      </c>
      <c r="AK9" s="1723" t="s">
        <v>646</v>
      </c>
      <c r="AL9" s="1723"/>
      <c r="AM9" s="1723"/>
      <c r="AN9" s="336" t="s">
        <v>645</v>
      </c>
      <c r="AO9" s="1723" t="s">
        <v>646</v>
      </c>
      <c r="AP9" s="1742"/>
    </row>
    <row r="10" spans="1:42" s="85" customFormat="1" ht="13.5" thickBot="1">
      <c r="A10" s="340"/>
      <c r="B10" s="341"/>
      <c r="C10" s="342"/>
      <c r="D10" s="342"/>
      <c r="E10" s="343"/>
      <c r="F10" s="344"/>
      <c r="G10" s="344"/>
      <c r="H10" s="343"/>
      <c r="I10" s="345"/>
      <c r="J10" s="346"/>
      <c r="K10" s="346"/>
      <c r="L10" s="347">
        <f>IF(I10=0,0,(K10+J10)/I10)</f>
        <v>0</v>
      </c>
      <c r="M10" s="348"/>
      <c r="N10" s="349"/>
      <c r="O10" s="350"/>
      <c r="P10" s="348"/>
      <c r="Q10" s="351"/>
      <c r="R10" s="352"/>
      <c r="S10" s="353"/>
      <c r="T10" s="354"/>
      <c r="U10" s="352"/>
      <c r="V10" s="355">
        <f>IF(U10=0,0,((U10*S10)-AB10-AL10))</f>
        <v>0</v>
      </c>
      <c r="W10" s="356">
        <f>+S10-I10</f>
        <v>0</v>
      </c>
      <c r="X10" s="357">
        <f>(V10-J10)</f>
        <v>0</v>
      </c>
      <c r="Y10" s="358"/>
      <c r="Z10" s="1730"/>
      <c r="AA10" s="1731"/>
      <c r="AB10" s="355">
        <f>(IF(I10=0,0,M10/H10))*S10</f>
        <v>0</v>
      </c>
      <c r="AC10" s="359">
        <f>+AB10-P10</f>
        <v>0</v>
      </c>
      <c r="AD10" s="358"/>
      <c r="AE10" s="1730"/>
      <c r="AF10" s="1731"/>
      <c r="AG10" s="355">
        <f>(IF(H10=0,0,N10/H10))*T10</f>
        <v>0</v>
      </c>
      <c r="AH10" s="360">
        <f>+AG10-Q10</f>
        <v>0</v>
      </c>
      <c r="AI10" s="358"/>
      <c r="AJ10" s="1730"/>
      <c r="AK10" s="1731"/>
      <c r="AL10" s="361">
        <f>+O10*S10</f>
        <v>0</v>
      </c>
      <c r="AM10" s="362">
        <f>+AL10-R10</f>
        <v>0</v>
      </c>
      <c r="AN10" s="358"/>
      <c r="AO10" s="1730"/>
      <c r="AP10" s="1731"/>
    </row>
    <row r="11" spans="1:42" s="85" customFormat="1" ht="13.5" thickBot="1">
      <c r="A11" s="240"/>
      <c r="B11" s="241"/>
      <c r="C11" s="242"/>
      <c r="D11" s="242"/>
      <c r="E11" s="243"/>
      <c r="F11" s="244"/>
      <c r="G11" s="244"/>
      <c r="H11" s="243"/>
      <c r="I11" s="258"/>
      <c r="J11" s="245"/>
      <c r="K11" s="245"/>
      <c r="L11" s="76">
        <f t="shared" ref="L11:L74" si="0">IF(I11=0,0,(K11+J11)/I11)</f>
        <v>0</v>
      </c>
      <c r="M11" s="246"/>
      <c r="N11" s="247"/>
      <c r="O11" s="248"/>
      <c r="P11" s="246"/>
      <c r="Q11" s="249"/>
      <c r="R11" s="250"/>
      <c r="S11" s="259"/>
      <c r="T11" s="260"/>
      <c r="U11" s="250"/>
      <c r="V11" s="78">
        <f t="shared" ref="V11:V74" si="1">IF(U11=0,0,((U11*S11)-AB11-AL11))</f>
        <v>0</v>
      </c>
      <c r="W11" s="261">
        <f t="shared" ref="W11:W74" si="2">+S11-I11</f>
        <v>0</v>
      </c>
      <c r="X11" s="133">
        <f t="shared" ref="X11:X74" si="3">(V11-J11)</f>
        <v>0</v>
      </c>
      <c r="Y11" s="251"/>
      <c r="Z11" s="1736"/>
      <c r="AA11" s="1737"/>
      <c r="AB11" s="77">
        <f t="shared" ref="AB11:AB74" si="4">(IF(I11=0,0,M11/H11))*S11</f>
        <v>0</v>
      </c>
      <c r="AC11" s="134">
        <f t="shared" ref="AC11:AC74" si="5">+AB11-P11</f>
        <v>0</v>
      </c>
      <c r="AD11" s="251"/>
      <c r="AE11" s="1736"/>
      <c r="AF11" s="1737"/>
      <c r="AG11" s="77">
        <f t="shared" ref="AG11:AG74" si="6">(IF(H11=0,0,N11/H11))*T11</f>
        <v>0</v>
      </c>
      <c r="AH11" s="136">
        <f t="shared" ref="AH11:AH74" si="7">+AG11-Q11</f>
        <v>0</v>
      </c>
      <c r="AI11" s="251"/>
      <c r="AJ11" s="1736"/>
      <c r="AK11" s="1737"/>
      <c r="AL11" s="79">
        <f t="shared" ref="AL11:AL74" si="8">+O11*S11</f>
        <v>0</v>
      </c>
      <c r="AM11" s="137">
        <f t="shared" ref="AM11:AM74" si="9">+AL11-R11</f>
        <v>0</v>
      </c>
      <c r="AN11" s="251"/>
      <c r="AO11" s="1736"/>
      <c r="AP11" s="1737"/>
    </row>
    <row r="12" spans="1:42" s="85" customFormat="1" ht="13.5" thickBot="1">
      <c r="A12" s="240"/>
      <c r="B12" s="241"/>
      <c r="C12" s="242"/>
      <c r="D12" s="242"/>
      <c r="E12" s="243"/>
      <c r="F12" s="244"/>
      <c r="G12" s="244"/>
      <c r="H12" s="243"/>
      <c r="I12" s="258"/>
      <c r="J12" s="245"/>
      <c r="K12" s="245"/>
      <c r="L12" s="76">
        <f t="shared" si="0"/>
        <v>0</v>
      </c>
      <c r="M12" s="246"/>
      <c r="N12" s="247"/>
      <c r="O12" s="248"/>
      <c r="P12" s="246"/>
      <c r="Q12" s="249"/>
      <c r="R12" s="250"/>
      <c r="S12" s="259"/>
      <c r="T12" s="260"/>
      <c r="U12" s="250"/>
      <c r="V12" s="78">
        <f t="shared" si="1"/>
        <v>0</v>
      </c>
      <c r="W12" s="261">
        <f t="shared" si="2"/>
        <v>0</v>
      </c>
      <c r="X12" s="133">
        <f t="shared" si="3"/>
        <v>0</v>
      </c>
      <c r="Y12" s="251"/>
      <c r="Z12" s="1736"/>
      <c r="AA12" s="1737"/>
      <c r="AB12" s="77">
        <f t="shared" si="4"/>
        <v>0</v>
      </c>
      <c r="AC12" s="134">
        <f t="shared" si="5"/>
        <v>0</v>
      </c>
      <c r="AD12" s="251"/>
      <c r="AE12" s="1736"/>
      <c r="AF12" s="1737"/>
      <c r="AG12" s="77">
        <f t="shared" si="6"/>
        <v>0</v>
      </c>
      <c r="AH12" s="136">
        <f t="shared" si="7"/>
        <v>0</v>
      </c>
      <c r="AI12" s="251"/>
      <c r="AJ12" s="1736"/>
      <c r="AK12" s="1737"/>
      <c r="AL12" s="79">
        <f t="shared" si="8"/>
        <v>0</v>
      </c>
      <c r="AM12" s="137">
        <f t="shared" si="9"/>
        <v>0</v>
      </c>
      <c r="AN12" s="251"/>
      <c r="AO12" s="1736"/>
      <c r="AP12" s="1737"/>
    </row>
    <row r="13" spans="1:42" s="85" customFormat="1" ht="13.5" thickBot="1">
      <c r="A13" s="240"/>
      <c r="B13" s="241"/>
      <c r="C13" s="242"/>
      <c r="D13" s="242"/>
      <c r="E13" s="243"/>
      <c r="F13" s="244"/>
      <c r="G13" s="244"/>
      <c r="H13" s="243"/>
      <c r="I13" s="258"/>
      <c r="J13" s="245"/>
      <c r="K13" s="245"/>
      <c r="L13" s="76">
        <f t="shared" si="0"/>
        <v>0</v>
      </c>
      <c r="M13" s="246"/>
      <c r="N13" s="247"/>
      <c r="O13" s="248"/>
      <c r="P13" s="246"/>
      <c r="Q13" s="249"/>
      <c r="R13" s="250"/>
      <c r="S13" s="259"/>
      <c r="T13" s="260"/>
      <c r="U13" s="250"/>
      <c r="V13" s="78">
        <f t="shared" si="1"/>
        <v>0</v>
      </c>
      <c r="W13" s="261">
        <f t="shared" si="2"/>
        <v>0</v>
      </c>
      <c r="X13" s="133">
        <f t="shared" si="3"/>
        <v>0</v>
      </c>
      <c r="Y13" s="251"/>
      <c r="Z13" s="1736"/>
      <c r="AA13" s="1737"/>
      <c r="AB13" s="77">
        <f t="shared" si="4"/>
        <v>0</v>
      </c>
      <c r="AC13" s="134">
        <f t="shared" si="5"/>
        <v>0</v>
      </c>
      <c r="AD13" s="251"/>
      <c r="AE13" s="1736"/>
      <c r="AF13" s="1737"/>
      <c r="AG13" s="77">
        <f t="shared" si="6"/>
        <v>0</v>
      </c>
      <c r="AH13" s="136">
        <f t="shared" si="7"/>
        <v>0</v>
      </c>
      <c r="AI13" s="251"/>
      <c r="AJ13" s="1736"/>
      <c r="AK13" s="1737"/>
      <c r="AL13" s="79">
        <f t="shared" si="8"/>
        <v>0</v>
      </c>
      <c r="AM13" s="137">
        <f t="shared" si="9"/>
        <v>0</v>
      </c>
      <c r="AN13" s="251"/>
      <c r="AO13" s="1736"/>
      <c r="AP13" s="1737"/>
    </row>
    <row r="14" spans="1:42" s="85" customFormat="1" ht="13.5" thickBot="1">
      <c r="A14" s="240"/>
      <c r="B14" s="241"/>
      <c r="C14" s="242"/>
      <c r="D14" s="242"/>
      <c r="E14" s="243"/>
      <c r="F14" s="244"/>
      <c r="G14" s="244"/>
      <c r="H14" s="243"/>
      <c r="I14" s="258"/>
      <c r="J14" s="245"/>
      <c r="K14" s="245"/>
      <c r="L14" s="76">
        <f t="shared" si="0"/>
        <v>0</v>
      </c>
      <c r="M14" s="246"/>
      <c r="N14" s="247"/>
      <c r="O14" s="248"/>
      <c r="P14" s="246"/>
      <c r="Q14" s="249"/>
      <c r="R14" s="250"/>
      <c r="S14" s="259"/>
      <c r="T14" s="260"/>
      <c r="U14" s="250"/>
      <c r="V14" s="78">
        <f t="shared" si="1"/>
        <v>0</v>
      </c>
      <c r="W14" s="261">
        <f t="shared" si="2"/>
        <v>0</v>
      </c>
      <c r="X14" s="133">
        <f t="shared" si="3"/>
        <v>0</v>
      </c>
      <c r="Y14" s="251"/>
      <c r="Z14" s="1736"/>
      <c r="AA14" s="1737"/>
      <c r="AB14" s="77">
        <f t="shared" si="4"/>
        <v>0</v>
      </c>
      <c r="AC14" s="134">
        <f t="shared" si="5"/>
        <v>0</v>
      </c>
      <c r="AD14" s="251"/>
      <c r="AE14" s="1736"/>
      <c r="AF14" s="1737"/>
      <c r="AG14" s="77">
        <f t="shared" si="6"/>
        <v>0</v>
      </c>
      <c r="AH14" s="136">
        <f t="shared" si="7"/>
        <v>0</v>
      </c>
      <c r="AI14" s="251"/>
      <c r="AJ14" s="1736"/>
      <c r="AK14" s="1737"/>
      <c r="AL14" s="79">
        <f t="shared" si="8"/>
        <v>0</v>
      </c>
      <c r="AM14" s="137">
        <f t="shared" si="9"/>
        <v>0</v>
      </c>
      <c r="AN14" s="251"/>
      <c r="AO14" s="1736"/>
      <c r="AP14" s="1737"/>
    </row>
    <row r="15" spans="1:42" s="85" customFormat="1" ht="13.5" thickBot="1">
      <c r="A15" s="240"/>
      <c r="B15" s="241"/>
      <c r="C15" s="242"/>
      <c r="D15" s="242"/>
      <c r="E15" s="243"/>
      <c r="F15" s="244"/>
      <c r="G15" s="244"/>
      <c r="H15" s="243"/>
      <c r="I15" s="258"/>
      <c r="J15" s="245"/>
      <c r="K15" s="245"/>
      <c r="L15" s="76">
        <f t="shared" si="0"/>
        <v>0</v>
      </c>
      <c r="M15" s="246"/>
      <c r="N15" s="247"/>
      <c r="O15" s="248"/>
      <c r="P15" s="246"/>
      <c r="Q15" s="249"/>
      <c r="R15" s="250"/>
      <c r="S15" s="259"/>
      <c r="T15" s="260"/>
      <c r="U15" s="250"/>
      <c r="V15" s="78">
        <f t="shared" si="1"/>
        <v>0</v>
      </c>
      <c r="W15" s="261">
        <f t="shared" si="2"/>
        <v>0</v>
      </c>
      <c r="X15" s="133">
        <f t="shared" si="3"/>
        <v>0</v>
      </c>
      <c r="Y15" s="251"/>
      <c r="Z15" s="1736"/>
      <c r="AA15" s="1737"/>
      <c r="AB15" s="77">
        <f t="shared" si="4"/>
        <v>0</v>
      </c>
      <c r="AC15" s="134">
        <f t="shared" si="5"/>
        <v>0</v>
      </c>
      <c r="AD15" s="251"/>
      <c r="AE15" s="1736"/>
      <c r="AF15" s="1737"/>
      <c r="AG15" s="77">
        <f t="shared" si="6"/>
        <v>0</v>
      </c>
      <c r="AH15" s="136">
        <f t="shared" si="7"/>
        <v>0</v>
      </c>
      <c r="AI15" s="251"/>
      <c r="AJ15" s="1736"/>
      <c r="AK15" s="1737"/>
      <c r="AL15" s="79">
        <f t="shared" si="8"/>
        <v>0</v>
      </c>
      <c r="AM15" s="137">
        <f t="shared" si="9"/>
        <v>0</v>
      </c>
      <c r="AN15" s="251"/>
      <c r="AO15" s="1736"/>
      <c r="AP15" s="1737"/>
    </row>
    <row r="16" spans="1:42" s="85" customFormat="1" ht="13.5" thickBot="1">
      <c r="A16" s="240"/>
      <c r="B16" s="241"/>
      <c r="C16" s="242"/>
      <c r="D16" s="242"/>
      <c r="E16" s="243"/>
      <c r="F16" s="244"/>
      <c r="G16" s="244"/>
      <c r="H16" s="243"/>
      <c r="I16" s="258"/>
      <c r="J16" s="245"/>
      <c r="K16" s="245"/>
      <c r="L16" s="76">
        <f t="shared" si="0"/>
        <v>0</v>
      </c>
      <c r="M16" s="246"/>
      <c r="N16" s="247"/>
      <c r="O16" s="248"/>
      <c r="P16" s="246"/>
      <c r="Q16" s="249"/>
      <c r="R16" s="250"/>
      <c r="S16" s="259"/>
      <c r="T16" s="260"/>
      <c r="U16" s="250"/>
      <c r="V16" s="78">
        <f t="shared" si="1"/>
        <v>0</v>
      </c>
      <c r="W16" s="261">
        <f t="shared" si="2"/>
        <v>0</v>
      </c>
      <c r="X16" s="133">
        <f t="shared" si="3"/>
        <v>0</v>
      </c>
      <c r="Y16" s="251"/>
      <c r="Z16" s="1736"/>
      <c r="AA16" s="1737"/>
      <c r="AB16" s="77">
        <f t="shared" si="4"/>
        <v>0</v>
      </c>
      <c r="AC16" s="134">
        <f t="shared" si="5"/>
        <v>0</v>
      </c>
      <c r="AD16" s="251"/>
      <c r="AE16" s="1736"/>
      <c r="AF16" s="1737"/>
      <c r="AG16" s="77">
        <f t="shared" si="6"/>
        <v>0</v>
      </c>
      <c r="AH16" s="136">
        <f t="shared" si="7"/>
        <v>0</v>
      </c>
      <c r="AI16" s="251"/>
      <c r="AJ16" s="1736"/>
      <c r="AK16" s="1737"/>
      <c r="AL16" s="79">
        <f t="shared" si="8"/>
        <v>0</v>
      </c>
      <c r="AM16" s="137">
        <f t="shared" si="9"/>
        <v>0</v>
      </c>
      <c r="AN16" s="251"/>
      <c r="AO16" s="1736"/>
      <c r="AP16" s="1737"/>
    </row>
    <row r="17" spans="1:42" s="85" customFormat="1" ht="13.5" thickBot="1">
      <c r="A17" s="240"/>
      <c r="B17" s="241"/>
      <c r="C17" s="242"/>
      <c r="D17" s="242"/>
      <c r="E17" s="243"/>
      <c r="F17" s="244"/>
      <c r="G17" s="244"/>
      <c r="H17" s="243"/>
      <c r="I17" s="258"/>
      <c r="J17" s="245"/>
      <c r="K17" s="245"/>
      <c r="L17" s="76">
        <f t="shared" si="0"/>
        <v>0</v>
      </c>
      <c r="M17" s="246"/>
      <c r="N17" s="247"/>
      <c r="O17" s="248"/>
      <c r="P17" s="246"/>
      <c r="Q17" s="249"/>
      <c r="R17" s="250"/>
      <c r="S17" s="259"/>
      <c r="T17" s="260"/>
      <c r="U17" s="250"/>
      <c r="V17" s="78">
        <f t="shared" si="1"/>
        <v>0</v>
      </c>
      <c r="W17" s="261">
        <f t="shared" si="2"/>
        <v>0</v>
      </c>
      <c r="X17" s="133">
        <f t="shared" si="3"/>
        <v>0</v>
      </c>
      <c r="Y17" s="251"/>
      <c r="Z17" s="1736"/>
      <c r="AA17" s="1737"/>
      <c r="AB17" s="77">
        <f t="shared" si="4"/>
        <v>0</v>
      </c>
      <c r="AC17" s="134">
        <f t="shared" si="5"/>
        <v>0</v>
      </c>
      <c r="AD17" s="251"/>
      <c r="AE17" s="1736"/>
      <c r="AF17" s="1737"/>
      <c r="AG17" s="77">
        <f t="shared" si="6"/>
        <v>0</v>
      </c>
      <c r="AH17" s="136">
        <f t="shared" si="7"/>
        <v>0</v>
      </c>
      <c r="AI17" s="251"/>
      <c r="AJ17" s="1736"/>
      <c r="AK17" s="1737"/>
      <c r="AL17" s="79">
        <f t="shared" si="8"/>
        <v>0</v>
      </c>
      <c r="AM17" s="137">
        <f t="shared" si="9"/>
        <v>0</v>
      </c>
      <c r="AN17" s="251"/>
      <c r="AO17" s="1736"/>
      <c r="AP17" s="1737"/>
    </row>
    <row r="18" spans="1:42" s="85" customFormat="1" ht="13.5" thickBot="1">
      <c r="A18" s="240"/>
      <c r="B18" s="241"/>
      <c r="C18" s="242"/>
      <c r="D18" s="242"/>
      <c r="E18" s="243"/>
      <c r="F18" s="244"/>
      <c r="G18" s="244"/>
      <c r="H18" s="243"/>
      <c r="I18" s="258"/>
      <c r="J18" s="245"/>
      <c r="K18" s="245"/>
      <c r="L18" s="76">
        <f t="shared" si="0"/>
        <v>0</v>
      </c>
      <c r="M18" s="246"/>
      <c r="N18" s="247"/>
      <c r="O18" s="248"/>
      <c r="P18" s="246"/>
      <c r="Q18" s="249"/>
      <c r="R18" s="250"/>
      <c r="S18" s="259"/>
      <c r="T18" s="260"/>
      <c r="U18" s="250"/>
      <c r="V18" s="78">
        <f t="shared" si="1"/>
        <v>0</v>
      </c>
      <c r="W18" s="261">
        <f t="shared" si="2"/>
        <v>0</v>
      </c>
      <c r="X18" s="133">
        <f t="shared" si="3"/>
        <v>0</v>
      </c>
      <c r="Y18" s="251"/>
      <c r="Z18" s="1736"/>
      <c r="AA18" s="1737"/>
      <c r="AB18" s="77">
        <f t="shared" si="4"/>
        <v>0</v>
      </c>
      <c r="AC18" s="134">
        <f t="shared" si="5"/>
        <v>0</v>
      </c>
      <c r="AD18" s="251"/>
      <c r="AE18" s="1736"/>
      <c r="AF18" s="1737"/>
      <c r="AG18" s="77">
        <f t="shared" si="6"/>
        <v>0</v>
      </c>
      <c r="AH18" s="136">
        <f t="shared" si="7"/>
        <v>0</v>
      </c>
      <c r="AI18" s="251"/>
      <c r="AJ18" s="1736"/>
      <c r="AK18" s="1737"/>
      <c r="AL18" s="79">
        <f t="shared" si="8"/>
        <v>0</v>
      </c>
      <c r="AM18" s="137">
        <f t="shared" si="9"/>
        <v>0</v>
      </c>
      <c r="AN18" s="251"/>
      <c r="AO18" s="1736"/>
      <c r="AP18" s="1737"/>
    </row>
    <row r="19" spans="1:42" s="85" customFormat="1" ht="13.5" thickBot="1">
      <c r="A19" s="240"/>
      <c r="B19" s="241"/>
      <c r="C19" s="242"/>
      <c r="D19" s="242"/>
      <c r="E19" s="243"/>
      <c r="F19" s="244"/>
      <c r="G19" s="244"/>
      <c r="H19" s="243"/>
      <c r="I19" s="258"/>
      <c r="J19" s="245"/>
      <c r="K19" s="245"/>
      <c r="L19" s="76">
        <f t="shared" si="0"/>
        <v>0</v>
      </c>
      <c r="M19" s="246"/>
      <c r="N19" s="247"/>
      <c r="O19" s="248"/>
      <c r="P19" s="246"/>
      <c r="Q19" s="249"/>
      <c r="R19" s="250"/>
      <c r="S19" s="259"/>
      <c r="T19" s="260"/>
      <c r="U19" s="250"/>
      <c r="V19" s="78">
        <f t="shared" si="1"/>
        <v>0</v>
      </c>
      <c r="W19" s="261">
        <f t="shared" si="2"/>
        <v>0</v>
      </c>
      <c r="X19" s="133">
        <f t="shared" si="3"/>
        <v>0</v>
      </c>
      <c r="Y19" s="251"/>
      <c r="Z19" s="1736"/>
      <c r="AA19" s="1737"/>
      <c r="AB19" s="77">
        <f t="shared" si="4"/>
        <v>0</v>
      </c>
      <c r="AC19" s="134">
        <f t="shared" si="5"/>
        <v>0</v>
      </c>
      <c r="AD19" s="251"/>
      <c r="AE19" s="1736"/>
      <c r="AF19" s="1737"/>
      <c r="AG19" s="77">
        <f t="shared" si="6"/>
        <v>0</v>
      </c>
      <c r="AH19" s="136">
        <f t="shared" si="7"/>
        <v>0</v>
      </c>
      <c r="AI19" s="251"/>
      <c r="AJ19" s="1736"/>
      <c r="AK19" s="1737"/>
      <c r="AL19" s="79">
        <f t="shared" si="8"/>
        <v>0</v>
      </c>
      <c r="AM19" s="137">
        <f t="shared" si="9"/>
        <v>0</v>
      </c>
      <c r="AN19" s="251"/>
      <c r="AO19" s="1736"/>
      <c r="AP19" s="1737"/>
    </row>
    <row r="20" spans="1:42" s="85" customFormat="1" ht="13.5" thickBot="1">
      <c r="A20" s="240"/>
      <c r="B20" s="241"/>
      <c r="C20" s="242"/>
      <c r="D20" s="242"/>
      <c r="E20" s="243"/>
      <c r="F20" s="244"/>
      <c r="G20" s="244"/>
      <c r="H20" s="243"/>
      <c r="I20" s="258"/>
      <c r="J20" s="245"/>
      <c r="K20" s="245"/>
      <c r="L20" s="76">
        <f t="shared" si="0"/>
        <v>0</v>
      </c>
      <c r="M20" s="246"/>
      <c r="N20" s="247"/>
      <c r="O20" s="248"/>
      <c r="P20" s="246"/>
      <c r="Q20" s="249"/>
      <c r="R20" s="250"/>
      <c r="S20" s="259"/>
      <c r="T20" s="260"/>
      <c r="U20" s="250"/>
      <c r="V20" s="78">
        <f t="shared" si="1"/>
        <v>0</v>
      </c>
      <c r="W20" s="261">
        <f t="shared" si="2"/>
        <v>0</v>
      </c>
      <c r="X20" s="133">
        <f t="shared" si="3"/>
        <v>0</v>
      </c>
      <c r="Y20" s="251"/>
      <c r="Z20" s="1736"/>
      <c r="AA20" s="1737"/>
      <c r="AB20" s="77">
        <f t="shared" si="4"/>
        <v>0</v>
      </c>
      <c r="AC20" s="134">
        <f t="shared" si="5"/>
        <v>0</v>
      </c>
      <c r="AD20" s="251"/>
      <c r="AE20" s="1736"/>
      <c r="AF20" s="1737"/>
      <c r="AG20" s="77">
        <f t="shared" si="6"/>
        <v>0</v>
      </c>
      <c r="AH20" s="136">
        <f t="shared" si="7"/>
        <v>0</v>
      </c>
      <c r="AI20" s="251"/>
      <c r="AJ20" s="1736"/>
      <c r="AK20" s="1737"/>
      <c r="AL20" s="79">
        <f t="shared" si="8"/>
        <v>0</v>
      </c>
      <c r="AM20" s="137">
        <f t="shared" si="9"/>
        <v>0</v>
      </c>
      <c r="AN20" s="251"/>
      <c r="AO20" s="1736"/>
      <c r="AP20" s="1737"/>
    </row>
    <row r="21" spans="1:42" s="85" customFormat="1" ht="13.5" thickBot="1">
      <c r="A21" s="240"/>
      <c r="B21" s="241"/>
      <c r="C21" s="242"/>
      <c r="D21" s="242"/>
      <c r="E21" s="243"/>
      <c r="F21" s="244"/>
      <c r="G21" s="244"/>
      <c r="H21" s="243"/>
      <c r="I21" s="258"/>
      <c r="J21" s="245"/>
      <c r="K21" s="245"/>
      <c r="L21" s="76">
        <f t="shared" si="0"/>
        <v>0</v>
      </c>
      <c r="M21" s="246"/>
      <c r="N21" s="247"/>
      <c r="O21" s="248"/>
      <c r="P21" s="246"/>
      <c r="Q21" s="249"/>
      <c r="R21" s="250"/>
      <c r="S21" s="259"/>
      <c r="T21" s="260"/>
      <c r="U21" s="250"/>
      <c r="V21" s="78">
        <f t="shared" si="1"/>
        <v>0</v>
      </c>
      <c r="W21" s="261">
        <f t="shared" si="2"/>
        <v>0</v>
      </c>
      <c r="X21" s="133">
        <f t="shared" si="3"/>
        <v>0</v>
      </c>
      <c r="Y21" s="251"/>
      <c r="Z21" s="1736"/>
      <c r="AA21" s="1737"/>
      <c r="AB21" s="77">
        <f t="shared" si="4"/>
        <v>0</v>
      </c>
      <c r="AC21" s="134">
        <f t="shared" si="5"/>
        <v>0</v>
      </c>
      <c r="AD21" s="251"/>
      <c r="AE21" s="1736"/>
      <c r="AF21" s="1737"/>
      <c r="AG21" s="77">
        <f t="shared" si="6"/>
        <v>0</v>
      </c>
      <c r="AH21" s="136">
        <f t="shared" si="7"/>
        <v>0</v>
      </c>
      <c r="AI21" s="251"/>
      <c r="AJ21" s="1736"/>
      <c r="AK21" s="1737"/>
      <c r="AL21" s="79">
        <f t="shared" si="8"/>
        <v>0</v>
      </c>
      <c r="AM21" s="137">
        <f t="shared" si="9"/>
        <v>0</v>
      </c>
      <c r="AN21" s="251"/>
      <c r="AO21" s="1736"/>
      <c r="AP21" s="1737"/>
    </row>
    <row r="22" spans="1:42" s="85" customFormat="1" ht="13.5" thickBot="1">
      <c r="A22" s="240"/>
      <c r="B22" s="241"/>
      <c r="C22" s="242"/>
      <c r="D22" s="242"/>
      <c r="E22" s="243"/>
      <c r="F22" s="244"/>
      <c r="G22" s="244"/>
      <c r="H22" s="243"/>
      <c r="I22" s="258"/>
      <c r="J22" s="245"/>
      <c r="K22" s="245"/>
      <c r="L22" s="76">
        <f t="shared" si="0"/>
        <v>0</v>
      </c>
      <c r="M22" s="246"/>
      <c r="N22" s="247"/>
      <c r="O22" s="248"/>
      <c r="P22" s="246"/>
      <c r="Q22" s="249"/>
      <c r="R22" s="250"/>
      <c r="S22" s="259"/>
      <c r="T22" s="260"/>
      <c r="U22" s="250"/>
      <c r="V22" s="78">
        <f t="shared" si="1"/>
        <v>0</v>
      </c>
      <c r="W22" s="261">
        <f t="shared" si="2"/>
        <v>0</v>
      </c>
      <c r="X22" s="133">
        <f t="shared" si="3"/>
        <v>0</v>
      </c>
      <c r="Y22" s="251"/>
      <c r="Z22" s="1736"/>
      <c r="AA22" s="1737"/>
      <c r="AB22" s="77">
        <f t="shared" si="4"/>
        <v>0</v>
      </c>
      <c r="AC22" s="134">
        <f t="shared" si="5"/>
        <v>0</v>
      </c>
      <c r="AD22" s="251"/>
      <c r="AE22" s="1736"/>
      <c r="AF22" s="1737"/>
      <c r="AG22" s="77">
        <f t="shared" si="6"/>
        <v>0</v>
      </c>
      <c r="AH22" s="136">
        <f t="shared" si="7"/>
        <v>0</v>
      </c>
      <c r="AI22" s="251"/>
      <c r="AJ22" s="1736"/>
      <c r="AK22" s="1737"/>
      <c r="AL22" s="79">
        <f t="shared" si="8"/>
        <v>0</v>
      </c>
      <c r="AM22" s="137">
        <f t="shared" si="9"/>
        <v>0</v>
      </c>
      <c r="AN22" s="251"/>
      <c r="AO22" s="1736"/>
      <c r="AP22" s="1737"/>
    </row>
    <row r="23" spans="1:42" s="85" customFormat="1" ht="13.5" thickBot="1">
      <c r="A23" s="240"/>
      <c r="B23" s="241"/>
      <c r="C23" s="242"/>
      <c r="D23" s="242"/>
      <c r="E23" s="243"/>
      <c r="F23" s="244"/>
      <c r="G23" s="244"/>
      <c r="H23" s="243"/>
      <c r="I23" s="258"/>
      <c r="J23" s="245"/>
      <c r="K23" s="245"/>
      <c r="L23" s="76">
        <f t="shared" si="0"/>
        <v>0</v>
      </c>
      <c r="M23" s="246"/>
      <c r="N23" s="247"/>
      <c r="O23" s="248"/>
      <c r="P23" s="246"/>
      <c r="Q23" s="249"/>
      <c r="R23" s="250"/>
      <c r="S23" s="259"/>
      <c r="T23" s="260"/>
      <c r="U23" s="250"/>
      <c r="V23" s="78">
        <f t="shared" si="1"/>
        <v>0</v>
      </c>
      <c r="W23" s="261">
        <f t="shared" si="2"/>
        <v>0</v>
      </c>
      <c r="X23" s="133">
        <f t="shared" si="3"/>
        <v>0</v>
      </c>
      <c r="Y23" s="251"/>
      <c r="Z23" s="1736"/>
      <c r="AA23" s="1737"/>
      <c r="AB23" s="77">
        <f t="shared" si="4"/>
        <v>0</v>
      </c>
      <c r="AC23" s="134">
        <f t="shared" si="5"/>
        <v>0</v>
      </c>
      <c r="AD23" s="251"/>
      <c r="AE23" s="1736"/>
      <c r="AF23" s="1737"/>
      <c r="AG23" s="77">
        <f t="shared" si="6"/>
        <v>0</v>
      </c>
      <c r="AH23" s="136">
        <f t="shared" si="7"/>
        <v>0</v>
      </c>
      <c r="AI23" s="251"/>
      <c r="AJ23" s="1736"/>
      <c r="AK23" s="1737"/>
      <c r="AL23" s="79">
        <f t="shared" si="8"/>
        <v>0</v>
      </c>
      <c r="AM23" s="137">
        <f t="shared" si="9"/>
        <v>0</v>
      </c>
      <c r="AN23" s="251"/>
      <c r="AO23" s="1736"/>
      <c r="AP23" s="1737"/>
    </row>
    <row r="24" spans="1:42" s="85" customFormat="1" ht="13.5" thickBot="1">
      <c r="A24" s="240"/>
      <c r="B24" s="241"/>
      <c r="C24" s="242"/>
      <c r="D24" s="242"/>
      <c r="E24" s="243"/>
      <c r="F24" s="244"/>
      <c r="G24" s="244"/>
      <c r="H24" s="243"/>
      <c r="I24" s="258"/>
      <c r="J24" s="245"/>
      <c r="K24" s="245"/>
      <c r="L24" s="76">
        <f t="shared" si="0"/>
        <v>0</v>
      </c>
      <c r="M24" s="246"/>
      <c r="N24" s="247"/>
      <c r="O24" s="248"/>
      <c r="P24" s="246"/>
      <c r="Q24" s="249"/>
      <c r="R24" s="250"/>
      <c r="S24" s="259"/>
      <c r="T24" s="260"/>
      <c r="U24" s="250"/>
      <c r="V24" s="78">
        <f t="shared" si="1"/>
        <v>0</v>
      </c>
      <c r="W24" s="261">
        <f t="shared" si="2"/>
        <v>0</v>
      </c>
      <c r="X24" s="133">
        <f t="shared" si="3"/>
        <v>0</v>
      </c>
      <c r="Y24" s="251"/>
      <c r="Z24" s="1736"/>
      <c r="AA24" s="1737"/>
      <c r="AB24" s="77">
        <f t="shared" si="4"/>
        <v>0</v>
      </c>
      <c r="AC24" s="134">
        <f t="shared" si="5"/>
        <v>0</v>
      </c>
      <c r="AD24" s="251"/>
      <c r="AE24" s="1736"/>
      <c r="AF24" s="1737"/>
      <c r="AG24" s="77">
        <f t="shared" si="6"/>
        <v>0</v>
      </c>
      <c r="AH24" s="136">
        <f t="shared" si="7"/>
        <v>0</v>
      </c>
      <c r="AI24" s="251"/>
      <c r="AJ24" s="1736"/>
      <c r="AK24" s="1737"/>
      <c r="AL24" s="79">
        <f t="shared" si="8"/>
        <v>0</v>
      </c>
      <c r="AM24" s="137">
        <f t="shared" si="9"/>
        <v>0</v>
      </c>
      <c r="AN24" s="251"/>
      <c r="AO24" s="1736"/>
      <c r="AP24" s="1737"/>
    </row>
    <row r="25" spans="1:42" s="85" customFormat="1" ht="13.5" thickBot="1">
      <c r="A25" s="240"/>
      <c r="B25" s="241"/>
      <c r="C25" s="242"/>
      <c r="D25" s="242"/>
      <c r="E25" s="243"/>
      <c r="F25" s="244"/>
      <c r="G25" s="244"/>
      <c r="H25" s="243"/>
      <c r="I25" s="258"/>
      <c r="J25" s="245"/>
      <c r="K25" s="245"/>
      <c r="L25" s="76">
        <f t="shared" si="0"/>
        <v>0</v>
      </c>
      <c r="M25" s="246"/>
      <c r="N25" s="247"/>
      <c r="O25" s="248"/>
      <c r="P25" s="246"/>
      <c r="Q25" s="249"/>
      <c r="R25" s="250"/>
      <c r="S25" s="259"/>
      <c r="T25" s="260"/>
      <c r="U25" s="250"/>
      <c r="V25" s="78">
        <f t="shared" si="1"/>
        <v>0</v>
      </c>
      <c r="W25" s="261">
        <f t="shared" si="2"/>
        <v>0</v>
      </c>
      <c r="X25" s="133">
        <f t="shared" si="3"/>
        <v>0</v>
      </c>
      <c r="Y25" s="251"/>
      <c r="Z25" s="1736"/>
      <c r="AA25" s="1737"/>
      <c r="AB25" s="77">
        <f t="shared" si="4"/>
        <v>0</v>
      </c>
      <c r="AC25" s="134">
        <f t="shared" si="5"/>
        <v>0</v>
      </c>
      <c r="AD25" s="251"/>
      <c r="AE25" s="1736"/>
      <c r="AF25" s="1737"/>
      <c r="AG25" s="77">
        <f t="shared" si="6"/>
        <v>0</v>
      </c>
      <c r="AH25" s="136">
        <f t="shared" si="7"/>
        <v>0</v>
      </c>
      <c r="AI25" s="251"/>
      <c r="AJ25" s="1736"/>
      <c r="AK25" s="1737"/>
      <c r="AL25" s="79">
        <f t="shared" si="8"/>
        <v>0</v>
      </c>
      <c r="AM25" s="137">
        <f t="shared" si="9"/>
        <v>0</v>
      </c>
      <c r="AN25" s="251"/>
      <c r="AO25" s="1736"/>
      <c r="AP25" s="1737"/>
    </row>
    <row r="26" spans="1:42" s="85" customFormat="1" ht="13.5" thickBot="1">
      <c r="A26" s="240"/>
      <c r="B26" s="241"/>
      <c r="C26" s="242"/>
      <c r="D26" s="242"/>
      <c r="E26" s="243"/>
      <c r="F26" s="244"/>
      <c r="G26" s="244"/>
      <c r="H26" s="243"/>
      <c r="I26" s="258"/>
      <c r="J26" s="245"/>
      <c r="K26" s="245"/>
      <c r="L26" s="76">
        <f t="shared" si="0"/>
        <v>0</v>
      </c>
      <c r="M26" s="246"/>
      <c r="N26" s="247"/>
      <c r="O26" s="248"/>
      <c r="P26" s="246"/>
      <c r="Q26" s="249"/>
      <c r="R26" s="250"/>
      <c r="S26" s="259"/>
      <c r="T26" s="260"/>
      <c r="U26" s="250"/>
      <c r="V26" s="78">
        <f t="shared" si="1"/>
        <v>0</v>
      </c>
      <c r="W26" s="261">
        <f t="shared" si="2"/>
        <v>0</v>
      </c>
      <c r="X26" s="133">
        <f t="shared" si="3"/>
        <v>0</v>
      </c>
      <c r="Y26" s="251"/>
      <c r="Z26" s="1736"/>
      <c r="AA26" s="1737"/>
      <c r="AB26" s="77">
        <f t="shared" si="4"/>
        <v>0</v>
      </c>
      <c r="AC26" s="134">
        <f t="shared" si="5"/>
        <v>0</v>
      </c>
      <c r="AD26" s="251"/>
      <c r="AE26" s="1736"/>
      <c r="AF26" s="1737"/>
      <c r="AG26" s="77">
        <f t="shared" si="6"/>
        <v>0</v>
      </c>
      <c r="AH26" s="136">
        <f t="shared" si="7"/>
        <v>0</v>
      </c>
      <c r="AI26" s="251"/>
      <c r="AJ26" s="1736"/>
      <c r="AK26" s="1737"/>
      <c r="AL26" s="79">
        <f t="shared" si="8"/>
        <v>0</v>
      </c>
      <c r="AM26" s="137">
        <f t="shared" si="9"/>
        <v>0</v>
      </c>
      <c r="AN26" s="251"/>
      <c r="AO26" s="1736"/>
      <c r="AP26" s="1737"/>
    </row>
    <row r="27" spans="1:42" s="85" customFormat="1" ht="13.5" thickBot="1">
      <c r="A27" s="240"/>
      <c r="B27" s="241"/>
      <c r="C27" s="242"/>
      <c r="D27" s="242"/>
      <c r="E27" s="243"/>
      <c r="F27" s="244"/>
      <c r="G27" s="244"/>
      <c r="H27" s="243"/>
      <c r="I27" s="258"/>
      <c r="J27" s="245"/>
      <c r="K27" s="245"/>
      <c r="L27" s="76">
        <f t="shared" si="0"/>
        <v>0</v>
      </c>
      <c r="M27" s="246"/>
      <c r="N27" s="247"/>
      <c r="O27" s="248"/>
      <c r="P27" s="246"/>
      <c r="Q27" s="249"/>
      <c r="R27" s="250"/>
      <c r="S27" s="259"/>
      <c r="T27" s="260"/>
      <c r="U27" s="250"/>
      <c r="V27" s="78">
        <f t="shared" si="1"/>
        <v>0</v>
      </c>
      <c r="W27" s="261">
        <f t="shared" si="2"/>
        <v>0</v>
      </c>
      <c r="X27" s="133">
        <f t="shared" si="3"/>
        <v>0</v>
      </c>
      <c r="Y27" s="251"/>
      <c r="Z27" s="1736"/>
      <c r="AA27" s="1737"/>
      <c r="AB27" s="77">
        <f t="shared" si="4"/>
        <v>0</v>
      </c>
      <c r="AC27" s="134">
        <f t="shared" si="5"/>
        <v>0</v>
      </c>
      <c r="AD27" s="251"/>
      <c r="AE27" s="1736"/>
      <c r="AF27" s="1737"/>
      <c r="AG27" s="77">
        <f t="shared" si="6"/>
        <v>0</v>
      </c>
      <c r="AH27" s="136">
        <f t="shared" si="7"/>
        <v>0</v>
      </c>
      <c r="AI27" s="251"/>
      <c r="AJ27" s="1736"/>
      <c r="AK27" s="1737"/>
      <c r="AL27" s="79">
        <f t="shared" si="8"/>
        <v>0</v>
      </c>
      <c r="AM27" s="137">
        <f t="shared" si="9"/>
        <v>0</v>
      </c>
      <c r="AN27" s="251"/>
      <c r="AO27" s="1736"/>
      <c r="AP27" s="1737"/>
    </row>
    <row r="28" spans="1:42" s="85" customFormat="1" ht="13.5" thickBot="1">
      <c r="A28" s="240"/>
      <c r="B28" s="241"/>
      <c r="C28" s="242"/>
      <c r="D28" s="242"/>
      <c r="E28" s="243"/>
      <c r="F28" s="244"/>
      <c r="G28" s="244"/>
      <c r="H28" s="243"/>
      <c r="I28" s="258"/>
      <c r="J28" s="245"/>
      <c r="K28" s="245"/>
      <c r="L28" s="76">
        <f t="shared" si="0"/>
        <v>0</v>
      </c>
      <c r="M28" s="246"/>
      <c r="N28" s="247"/>
      <c r="O28" s="248"/>
      <c r="P28" s="246"/>
      <c r="Q28" s="249"/>
      <c r="R28" s="250"/>
      <c r="S28" s="259"/>
      <c r="T28" s="260"/>
      <c r="U28" s="250"/>
      <c r="V28" s="78">
        <f t="shared" si="1"/>
        <v>0</v>
      </c>
      <c r="W28" s="261">
        <f t="shared" si="2"/>
        <v>0</v>
      </c>
      <c r="X28" s="133">
        <f t="shared" si="3"/>
        <v>0</v>
      </c>
      <c r="Y28" s="251"/>
      <c r="Z28" s="1736"/>
      <c r="AA28" s="1737"/>
      <c r="AB28" s="77">
        <f t="shared" si="4"/>
        <v>0</v>
      </c>
      <c r="AC28" s="134">
        <f t="shared" si="5"/>
        <v>0</v>
      </c>
      <c r="AD28" s="251"/>
      <c r="AE28" s="1736"/>
      <c r="AF28" s="1737"/>
      <c r="AG28" s="77">
        <f t="shared" si="6"/>
        <v>0</v>
      </c>
      <c r="AH28" s="136">
        <f t="shared" si="7"/>
        <v>0</v>
      </c>
      <c r="AI28" s="251"/>
      <c r="AJ28" s="1736"/>
      <c r="AK28" s="1737"/>
      <c r="AL28" s="79">
        <f t="shared" si="8"/>
        <v>0</v>
      </c>
      <c r="AM28" s="137">
        <f t="shared" si="9"/>
        <v>0</v>
      </c>
      <c r="AN28" s="251"/>
      <c r="AO28" s="1736"/>
      <c r="AP28" s="1737"/>
    </row>
    <row r="29" spans="1:42" s="85" customFormat="1" ht="13.5" thickBot="1">
      <c r="A29" s="240"/>
      <c r="B29" s="241"/>
      <c r="C29" s="242"/>
      <c r="D29" s="242"/>
      <c r="E29" s="243"/>
      <c r="F29" s="244"/>
      <c r="G29" s="244"/>
      <c r="H29" s="243"/>
      <c r="I29" s="258"/>
      <c r="J29" s="245"/>
      <c r="K29" s="245"/>
      <c r="L29" s="76">
        <f t="shared" si="0"/>
        <v>0</v>
      </c>
      <c r="M29" s="246"/>
      <c r="N29" s="247"/>
      <c r="O29" s="248"/>
      <c r="P29" s="246"/>
      <c r="Q29" s="249"/>
      <c r="R29" s="250"/>
      <c r="S29" s="259"/>
      <c r="T29" s="260"/>
      <c r="U29" s="250"/>
      <c r="V29" s="78">
        <f t="shared" si="1"/>
        <v>0</v>
      </c>
      <c r="W29" s="261">
        <f t="shared" si="2"/>
        <v>0</v>
      </c>
      <c r="X29" s="133">
        <f t="shared" si="3"/>
        <v>0</v>
      </c>
      <c r="Y29" s="251"/>
      <c r="Z29" s="1736"/>
      <c r="AA29" s="1737"/>
      <c r="AB29" s="77">
        <f t="shared" si="4"/>
        <v>0</v>
      </c>
      <c r="AC29" s="134">
        <f t="shared" si="5"/>
        <v>0</v>
      </c>
      <c r="AD29" s="251"/>
      <c r="AE29" s="1736"/>
      <c r="AF29" s="1737"/>
      <c r="AG29" s="77">
        <f t="shared" si="6"/>
        <v>0</v>
      </c>
      <c r="AH29" s="136">
        <f t="shared" si="7"/>
        <v>0</v>
      </c>
      <c r="AI29" s="251"/>
      <c r="AJ29" s="1736"/>
      <c r="AK29" s="1737"/>
      <c r="AL29" s="79">
        <f t="shared" si="8"/>
        <v>0</v>
      </c>
      <c r="AM29" s="137">
        <f t="shared" si="9"/>
        <v>0</v>
      </c>
      <c r="AN29" s="251"/>
      <c r="AO29" s="1736"/>
      <c r="AP29" s="1737"/>
    </row>
    <row r="30" spans="1:42" s="85" customFormat="1" ht="13.5" thickBot="1">
      <c r="A30" s="240"/>
      <c r="B30" s="241"/>
      <c r="C30" s="242"/>
      <c r="D30" s="242"/>
      <c r="E30" s="243"/>
      <c r="F30" s="244"/>
      <c r="G30" s="244"/>
      <c r="H30" s="243"/>
      <c r="I30" s="258"/>
      <c r="J30" s="245"/>
      <c r="K30" s="245"/>
      <c r="L30" s="76">
        <f t="shared" si="0"/>
        <v>0</v>
      </c>
      <c r="M30" s="246"/>
      <c r="N30" s="247"/>
      <c r="O30" s="248"/>
      <c r="P30" s="246"/>
      <c r="Q30" s="249"/>
      <c r="R30" s="250"/>
      <c r="S30" s="259"/>
      <c r="T30" s="260"/>
      <c r="U30" s="250"/>
      <c r="V30" s="78">
        <f t="shared" si="1"/>
        <v>0</v>
      </c>
      <c r="W30" s="261">
        <f t="shared" si="2"/>
        <v>0</v>
      </c>
      <c r="X30" s="133">
        <f t="shared" si="3"/>
        <v>0</v>
      </c>
      <c r="Y30" s="251"/>
      <c r="Z30" s="1736"/>
      <c r="AA30" s="1737"/>
      <c r="AB30" s="77">
        <f t="shared" si="4"/>
        <v>0</v>
      </c>
      <c r="AC30" s="134">
        <f t="shared" si="5"/>
        <v>0</v>
      </c>
      <c r="AD30" s="251"/>
      <c r="AE30" s="1736"/>
      <c r="AF30" s="1737"/>
      <c r="AG30" s="77">
        <f t="shared" si="6"/>
        <v>0</v>
      </c>
      <c r="AH30" s="136">
        <f t="shared" si="7"/>
        <v>0</v>
      </c>
      <c r="AI30" s="251"/>
      <c r="AJ30" s="1736"/>
      <c r="AK30" s="1737"/>
      <c r="AL30" s="79">
        <f t="shared" si="8"/>
        <v>0</v>
      </c>
      <c r="AM30" s="137">
        <f t="shared" si="9"/>
        <v>0</v>
      </c>
      <c r="AN30" s="251"/>
      <c r="AO30" s="1736"/>
      <c r="AP30" s="1737"/>
    </row>
    <row r="31" spans="1:42" s="85" customFormat="1" ht="13.5" thickBot="1">
      <c r="A31" s="240"/>
      <c r="B31" s="241"/>
      <c r="C31" s="242"/>
      <c r="D31" s="242"/>
      <c r="E31" s="243"/>
      <c r="F31" s="244"/>
      <c r="G31" s="244"/>
      <c r="H31" s="243"/>
      <c r="I31" s="258"/>
      <c r="J31" s="245"/>
      <c r="K31" s="245"/>
      <c r="L31" s="76">
        <f t="shared" si="0"/>
        <v>0</v>
      </c>
      <c r="M31" s="246"/>
      <c r="N31" s="247"/>
      <c r="O31" s="248"/>
      <c r="P31" s="246"/>
      <c r="Q31" s="249"/>
      <c r="R31" s="250"/>
      <c r="S31" s="259"/>
      <c r="T31" s="260"/>
      <c r="U31" s="250"/>
      <c r="V31" s="78">
        <f t="shared" si="1"/>
        <v>0</v>
      </c>
      <c r="W31" s="261">
        <f t="shared" si="2"/>
        <v>0</v>
      </c>
      <c r="X31" s="133">
        <f t="shared" si="3"/>
        <v>0</v>
      </c>
      <c r="Y31" s="251"/>
      <c r="Z31" s="1736"/>
      <c r="AA31" s="1737"/>
      <c r="AB31" s="77">
        <f t="shared" si="4"/>
        <v>0</v>
      </c>
      <c r="AC31" s="134">
        <f t="shared" si="5"/>
        <v>0</v>
      </c>
      <c r="AD31" s="251"/>
      <c r="AE31" s="1736"/>
      <c r="AF31" s="1737"/>
      <c r="AG31" s="77">
        <f t="shared" si="6"/>
        <v>0</v>
      </c>
      <c r="AH31" s="136">
        <f t="shared" si="7"/>
        <v>0</v>
      </c>
      <c r="AI31" s="251"/>
      <c r="AJ31" s="1736"/>
      <c r="AK31" s="1737"/>
      <c r="AL31" s="79">
        <f t="shared" si="8"/>
        <v>0</v>
      </c>
      <c r="AM31" s="137">
        <f t="shared" si="9"/>
        <v>0</v>
      </c>
      <c r="AN31" s="251"/>
      <c r="AO31" s="1736"/>
      <c r="AP31" s="1737"/>
    </row>
    <row r="32" spans="1:42" s="85" customFormat="1" ht="13.5" thickBot="1">
      <c r="A32" s="240"/>
      <c r="B32" s="241"/>
      <c r="C32" s="242"/>
      <c r="D32" s="242"/>
      <c r="E32" s="243"/>
      <c r="F32" s="244"/>
      <c r="G32" s="244"/>
      <c r="H32" s="243"/>
      <c r="I32" s="258"/>
      <c r="J32" s="245"/>
      <c r="K32" s="245"/>
      <c r="L32" s="76">
        <f t="shared" si="0"/>
        <v>0</v>
      </c>
      <c r="M32" s="246"/>
      <c r="N32" s="247"/>
      <c r="O32" s="248"/>
      <c r="P32" s="246"/>
      <c r="Q32" s="249"/>
      <c r="R32" s="250"/>
      <c r="S32" s="259"/>
      <c r="T32" s="260"/>
      <c r="U32" s="250"/>
      <c r="V32" s="78">
        <f t="shared" si="1"/>
        <v>0</v>
      </c>
      <c r="W32" s="261">
        <f t="shared" si="2"/>
        <v>0</v>
      </c>
      <c r="X32" s="133">
        <f t="shared" si="3"/>
        <v>0</v>
      </c>
      <c r="Y32" s="251"/>
      <c r="Z32" s="1736"/>
      <c r="AA32" s="1737"/>
      <c r="AB32" s="77">
        <f t="shared" si="4"/>
        <v>0</v>
      </c>
      <c r="AC32" s="134">
        <f t="shared" si="5"/>
        <v>0</v>
      </c>
      <c r="AD32" s="251"/>
      <c r="AE32" s="1736"/>
      <c r="AF32" s="1737"/>
      <c r="AG32" s="77">
        <f t="shared" si="6"/>
        <v>0</v>
      </c>
      <c r="AH32" s="136">
        <f t="shared" si="7"/>
        <v>0</v>
      </c>
      <c r="AI32" s="251"/>
      <c r="AJ32" s="1736"/>
      <c r="AK32" s="1737"/>
      <c r="AL32" s="79">
        <f t="shared" si="8"/>
        <v>0</v>
      </c>
      <c r="AM32" s="137">
        <f t="shared" si="9"/>
        <v>0</v>
      </c>
      <c r="AN32" s="251"/>
      <c r="AO32" s="1736"/>
      <c r="AP32" s="1737"/>
    </row>
    <row r="33" spans="1:42" s="85" customFormat="1" ht="13.5" thickBot="1">
      <c r="A33" s="240"/>
      <c r="B33" s="241"/>
      <c r="C33" s="242"/>
      <c r="D33" s="242"/>
      <c r="E33" s="243"/>
      <c r="F33" s="244"/>
      <c r="G33" s="244"/>
      <c r="H33" s="243"/>
      <c r="I33" s="258"/>
      <c r="J33" s="245"/>
      <c r="K33" s="245"/>
      <c r="L33" s="76">
        <f t="shared" si="0"/>
        <v>0</v>
      </c>
      <c r="M33" s="246"/>
      <c r="N33" s="247"/>
      <c r="O33" s="248"/>
      <c r="P33" s="246"/>
      <c r="Q33" s="249"/>
      <c r="R33" s="250"/>
      <c r="S33" s="259"/>
      <c r="T33" s="260"/>
      <c r="U33" s="250"/>
      <c r="V33" s="78">
        <f t="shared" si="1"/>
        <v>0</v>
      </c>
      <c r="W33" s="261">
        <f t="shared" si="2"/>
        <v>0</v>
      </c>
      <c r="X33" s="133">
        <f t="shared" si="3"/>
        <v>0</v>
      </c>
      <c r="Y33" s="251"/>
      <c r="Z33" s="1736"/>
      <c r="AA33" s="1737"/>
      <c r="AB33" s="77">
        <f t="shared" si="4"/>
        <v>0</v>
      </c>
      <c r="AC33" s="134">
        <f t="shared" si="5"/>
        <v>0</v>
      </c>
      <c r="AD33" s="251"/>
      <c r="AE33" s="1736"/>
      <c r="AF33" s="1737"/>
      <c r="AG33" s="77">
        <f t="shared" si="6"/>
        <v>0</v>
      </c>
      <c r="AH33" s="136">
        <f t="shared" si="7"/>
        <v>0</v>
      </c>
      <c r="AI33" s="251"/>
      <c r="AJ33" s="1736"/>
      <c r="AK33" s="1737"/>
      <c r="AL33" s="79">
        <f t="shared" si="8"/>
        <v>0</v>
      </c>
      <c r="AM33" s="137">
        <f t="shared" si="9"/>
        <v>0</v>
      </c>
      <c r="AN33" s="251"/>
      <c r="AO33" s="1736"/>
      <c r="AP33" s="1737"/>
    </row>
    <row r="34" spans="1:42" s="85" customFormat="1" ht="13.5" thickBot="1">
      <c r="A34" s="240"/>
      <c r="B34" s="241"/>
      <c r="C34" s="242"/>
      <c r="D34" s="242"/>
      <c r="E34" s="243"/>
      <c r="F34" s="244"/>
      <c r="G34" s="244"/>
      <c r="H34" s="243"/>
      <c r="I34" s="258"/>
      <c r="J34" s="245"/>
      <c r="K34" s="245"/>
      <c r="L34" s="76">
        <f t="shared" si="0"/>
        <v>0</v>
      </c>
      <c r="M34" s="246"/>
      <c r="N34" s="247"/>
      <c r="O34" s="248"/>
      <c r="P34" s="246"/>
      <c r="Q34" s="249"/>
      <c r="R34" s="250"/>
      <c r="S34" s="259"/>
      <c r="T34" s="260"/>
      <c r="U34" s="250"/>
      <c r="V34" s="78">
        <f t="shared" si="1"/>
        <v>0</v>
      </c>
      <c r="W34" s="261">
        <f t="shared" si="2"/>
        <v>0</v>
      </c>
      <c r="X34" s="133">
        <f t="shared" si="3"/>
        <v>0</v>
      </c>
      <c r="Y34" s="251"/>
      <c r="Z34" s="1736"/>
      <c r="AA34" s="1737"/>
      <c r="AB34" s="77">
        <f t="shared" si="4"/>
        <v>0</v>
      </c>
      <c r="AC34" s="134">
        <f t="shared" si="5"/>
        <v>0</v>
      </c>
      <c r="AD34" s="251"/>
      <c r="AE34" s="1736"/>
      <c r="AF34" s="1737"/>
      <c r="AG34" s="77">
        <f t="shared" si="6"/>
        <v>0</v>
      </c>
      <c r="AH34" s="136">
        <f t="shared" si="7"/>
        <v>0</v>
      </c>
      <c r="AI34" s="251"/>
      <c r="AJ34" s="1736"/>
      <c r="AK34" s="1737"/>
      <c r="AL34" s="79">
        <f t="shared" si="8"/>
        <v>0</v>
      </c>
      <c r="AM34" s="137">
        <f t="shared" si="9"/>
        <v>0</v>
      </c>
      <c r="AN34" s="251"/>
      <c r="AO34" s="1736"/>
      <c r="AP34" s="1737"/>
    </row>
    <row r="35" spans="1:42" s="85" customFormat="1" ht="13.5" thickBot="1">
      <c r="A35" s="240"/>
      <c r="B35" s="241"/>
      <c r="C35" s="242"/>
      <c r="D35" s="242"/>
      <c r="E35" s="243"/>
      <c r="F35" s="244"/>
      <c r="G35" s="244"/>
      <c r="H35" s="243"/>
      <c r="I35" s="258"/>
      <c r="J35" s="245"/>
      <c r="K35" s="245"/>
      <c r="L35" s="76">
        <f t="shared" si="0"/>
        <v>0</v>
      </c>
      <c r="M35" s="246"/>
      <c r="N35" s="247"/>
      <c r="O35" s="248"/>
      <c r="P35" s="246"/>
      <c r="Q35" s="249"/>
      <c r="R35" s="250"/>
      <c r="S35" s="259"/>
      <c r="T35" s="260"/>
      <c r="U35" s="250"/>
      <c r="V35" s="78">
        <f t="shared" si="1"/>
        <v>0</v>
      </c>
      <c r="W35" s="261">
        <f t="shared" si="2"/>
        <v>0</v>
      </c>
      <c r="X35" s="133">
        <f t="shared" si="3"/>
        <v>0</v>
      </c>
      <c r="Y35" s="251"/>
      <c r="Z35" s="1736"/>
      <c r="AA35" s="1737"/>
      <c r="AB35" s="77">
        <f t="shared" si="4"/>
        <v>0</v>
      </c>
      <c r="AC35" s="134">
        <f t="shared" si="5"/>
        <v>0</v>
      </c>
      <c r="AD35" s="251"/>
      <c r="AE35" s="1736"/>
      <c r="AF35" s="1737"/>
      <c r="AG35" s="77">
        <f t="shared" si="6"/>
        <v>0</v>
      </c>
      <c r="AH35" s="136">
        <f t="shared" si="7"/>
        <v>0</v>
      </c>
      <c r="AI35" s="251"/>
      <c r="AJ35" s="1736"/>
      <c r="AK35" s="1737"/>
      <c r="AL35" s="79">
        <f t="shared" si="8"/>
        <v>0</v>
      </c>
      <c r="AM35" s="137">
        <f t="shared" si="9"/>
        <v>0</v>
      </c>
      <c r="AN35" s="251"/>
      <c r="AO35" s="1736"/>
      <c r="AP35" s="1737"/>
    </row>
    <row r="36" spans="1:42" s="85" customFormat="1" ht="13.5" thickBot="1">
      <c r="A36" s="240"/>
      <c r="B36" s="241"/>
      <c r="C36" s="242"/>
      <c r="D36" s="242"/>
      <c r="E36" s="243"/>
      <c r="F36" s="244"/>
      <c r="G36" s="244"/>
      <c r="H36" s="243"/>
      <c r="I36" s="258"/>
      <c r="J36" s="245"/>
      <c r="K36" s="245"/>
      <c r="L36" s="76">
        <f t="shared" si="0"/>
        <v>0</v>
      </c>
      <c r="M36" s="246"/>
      <c r="N36" s="247"/>
      <c r="O36" s="248"/>
      <c r="P36" s="246"/>
      <c r="Q36" s="249"/>
      <c r="R36" s="250"/>
      <c r="S36" s="259"/>
      <c r="T36" s="260"/>
      <c r="U36" s="250"/>
      <c r="V36" s="78">
        <f t="shared" si="1"/>
        <v>0</v>
      </c>
      <c r="W36" s="261">
        <f t="shared" si="2"/>
        <v>0</v>
      </c>
      <c r="X36" s="133">
        <f t="shared" si="3"/>
        <v>0</v>
      </c>
      <c r="Y36" s="251"/>
      <c r="Z36" s="1736"/>
      <c r="AA36" s="1737"/>
      <c r="AB36" s="77">
        <f t="shared" si="4"/>
        <v>0</v>
      </c>
      <c r="AC36" s="134">
        <f t="shared" si="5"/>
        <v>0</v>
      </c>
      <c r="AD36" s="251"/>
      <c r="AE36" s="1736"/>
      <c r="AF36" s="1737"/>
      <c r="AG36" s="77">
        <f t="shared" si="6"/>
        <v>0</v>
      </c>
      <c r="AH36" s="136">
        <f t="shared" si="7"/>
        <v>0</v>
      </c>
      <c r="AI36" s="251"/>
      <c r="AJ36" s="1736"/>
      <c r="AK36" s="1737"/>
      <c r="AL36" s="79">
        <f t="shared" si="8"/>
        <v>0</v>
      </c>
      <c r="AM36" s="137">
        <f t="shared" si="9"/>
        <v>0</v>
      </c>
      <c r="AN36" s="251"/>
      <c r="AO36" s="1736"/>
      <c r="AP36" s="1737"/>
    </row>
    <row r="37" spans="1:42" s="85" customFormat="1" ht="13.5" thickBot="1">
      <c r="A37" s="240"/>
      <c r="B37" s="241"/>
      <c r="C37" s="242"/>
      <c r="D37" s="242"/>
      <c r="E37" s="243"/>
      <c r="F37" s="244"/>
      <c r="G37" s="244"/>
      <c r="H37" s="243"/>
      <c r="I37" s="258"/>
      <c r="J37" s="245"/>
      <c r="K37" s="245"/>
      <c r="L37" s="76">
        <f t="shared" si="0"/>
        <v>0</v>
      </c>
      <c r="M37" s="246"/>
      <c r="N37" s="247"/>
      <c r="O37" s="248"/>
      <c r="P37" s="246"/>
      <c r="Q37" s="249"/>
      <c r="R37" s="250"/>
      <c r="S37" s="259"/>
      <c r="T37" s="260"/>
      <c r="U37" s="250"/>
      <c r="V37" s="78">
        <f t="shared" si="1"/>
        <v>0</v>
      </c>
      <c r="W37" s="261">
        <f t="shared" si="2"/>
        <v>0</v>
      </c>
      <c r="X37" s="133">
        <f t="shared" si="3"/>
        <v>0</v>
      </c>
      <c r="Y37" s="251"/>
      <c r="Z37" s="1736"/>
      <c r="AA37" s="1737"/>
      <c r="AB37" s="77">
        <f t="shared" si="4"/>
        <v>0</v>
      </c>
      <c r="AC37" s="134">
        <f t="shared" si="5"/>
        <v>0</v>
      </c>
      <c r="AD37" s="251"/>
      <c r="AE37" s="1736"/>
      <c r="AF37" s="1737"/>
      <c r="AG37" s="77">
        <f t="shared" si="6"/>
        <v>0</v>
      </c>
      <c r="AH37" s="136">
        <f t="shared" si="7"/>
        <v>0</v>
      </c>
      <c r="AI37" s="251"/>
      <c r="AJ37" s="1736"/>
      <c r="AK37" s="1737"/>
      <c r="AL37" s="79">
        <f t="shared" si="8"/>
        <v>0</v>
      </c>
      <c r="AM37" s="137">
        <f t="shared" si="9"/>
        <v>0</v>
      </c>
      <c r="AN37" s="251"/>
      <c r="AO37" s="1736"/>
      <c r="AP37" s="1737"/>
    </row>
    <row r="38" spans="1:42" s="85" customFormat="1" ht="13.5" thickBot="1">
      <c r="A38" s="240"/>
      <c r="B38" s="241"/>
      <c r="C38" s="242"/>
      <c r="D38" s="242"/>
      <c r="E38" s="243"/>
      <c r="F38" s="244"/>
      <c r="G38" s="244"/>
      <c r="H38" s="243"/>
      <c r="I38" s="258"/>
      <c r="J38" s="245"/>
      <c r="K38" s="245"/>
      <c r="L38" s="76">
        <f t="shared" si="0"/>
        <v>0</v>
      </c>
      <c r="M38" s="246"/>
      <c r="N38" s="247"/>
      <c r="O38" s="248"/>
      <c r="P38" s="246"/>
      <c r="Q38" s="249"/>
      <c r="R38" s="250"/>
      <c r="S38" s="259"/>
      <c r="T38" s="260"/>
      <c r="U38" s="250"/>
      <c r="V38" s="78">
        <f t="shared" si="1"/>
        <v>0</v>
      </c>
      <c r="W38" s="261">
        <f t="shared" si="2"/>
        <v>0</v>
      </c>
      <c r="X38" s="133">
        <f t="shared" si="3"/>
        <v>0</v>
      </c>
      <c r="Y38" s="251"/>
      <c r="Z38" s="1736"/>
      <c r="AA38" s="1737"/>
      <c r="AB38" s="77">
        <f t="shared" si="4"/>
        <v>0</v>
      </c>
      <c r="AC38" s="134">
        <f t="shared" si="5"/>
        <v>0</v>
      </c>
      <c r="AD38" s="251"/>
      <c r="AE38" s="1736"/>
      <c r="AF38" s="1737"/>
      <c r="AG38" s="77">
        <f t="shared" si="6"/>
        <v>0</v>
      </c>
      <c r="AH38" s="136">
        <f t="shared" si="7"/>
        <v>0</v>
      </c>
      <c r="AI38" s="251"/>
      <c r="AJ38" s="1736"/>
      <c r="AK38" s="1737"/>
      <c r="AL38" s="79">
        <f t="shared" si="8"/>
        <v>0</v>
      </c>
      <c r="AM38" s="137">
        <f t="shared" si="9"/>
        <v>0</v>
      </c>
      <c r="AN38" s="251"/>
      <c r="AO38" s="1736"/>
      <c r="AP38" s="1737"/>
    </row>
    <row r="39" spans="1:42" s="85" customFormat="1" ht="13.5" thickBot="1">
      <c r="A39" s="240"/>
      <c r="B39" s="241"/>
      <c r="C39" s="242"/>
      <c r="D39" s="242"/>
      <c r="E39" s="243"/>
      <c r="F39" s="244"/>
      <c r="G39" s="244"/>
      <c r="H39" s="243"/>
      <c r="I39" s="258"/>
      <c r="J39" s="245"/>
      <c r="K39" s="245"/>
      <c r="L39" s="76">
        <f t="shared" si="0"/>
        <v>0</v>
      </c>
      <c r="M39" s="246"/>
      <c r="N39" s="247"/>
      <c r="O39" s="248"/>
      <c r="P39" s="246"/>
      <c r="Q39" s="249"/>
      <c r="R39" s="250"/>
      <c r="S39" s="259"/>
      <c r="T39" s="260"/>
      <c r="U39" s="250"/>
      <c r="V39" s="78">
        <f t="shared" si="1"/>
        <v>0</v>
      </c>
      <c r="W39" s="261">
        <f t="shared" si="2"/>
        <v>0</v>
      </c>
      <c r="X39" s="133">
        <f t="shared" si="3"/>
        <v>0</v>
      </c>
      <c r="Y39" s="251"/>
      <c r="Z39" s="1736"/>
      <c r="AA39" s="1737"/>
      <c r="AB39" s="77">
        <f t="shared" si="4"/>
        <v>0</v>
      </c>
      <c r="AC39" s="134">
        <f t="shared" si="5"/>
        <v>0</v>
      </c>
      <c r="AD39" s="251"/>
      <c r="AE39" s="1736"/>
      <c r="AF39" s="1737"/>
      <c r="AG39" s="77">
        <f t="shared" si="6"/>
        <v>0</v>
      </c>
      <c r="AH39" s="136">
        <f t="shared" si="7"/>
        <v>0</v>
      </c>
      <c r="AI39" s="251"/>
      <c r="AJ39" s="1736"/>
      <c r="AK39" s="1737"/>
      <c r="AL39" s="79">
        <f t="shared" si="8"/>
        <v>0</v>
      </c>
      <c r="AM39" s="137">
        <f t="shared" si="9"/>
        <v>0</v>
      </c>
      <c r="AN39" s="251"/>
      <c r="AO39" s="1736"/>
      <c r="AP39" s="1737"/>
    </row>
    <row r="40" spans="1:42" s="85" customFormat="1" ht="13.5" thickBot="1">
      <c r="A40" s="240"/>
      <c r="B40" s="241"/>
      <c r="C40" s="242"/>
      <c r="D40" s="242"/>
      <c r="E40" s="243"/>
      <c r="F40" s="244"/>
      <c r="G40" s="244"/>
      <c r="H40" s="243"/>
      <c r="I40" s="258"/>
      <c r="J40" s="245"/>
      <c r="K40" s="245"/>
      <c r="L40" s="76">
        <f t="shared" si="0"/>
        <v>0</v>
      </c>
      <c r="M40" s="246"/>
      <c r="N40" s="247"/>
      <c r="O40" s="248"/>
      <c r="P40" s="246"/>
      <c r="Q40" s="249"/>
      <c r="R40" s="250"/>
      <c r="S40" s="259"/>
      <c r="T40" s="260"/>
      <c r="U40" s="250"/>
      <c r="V40" s="78">
        <f t="shared" si="1"/>
        <v>0</v>
      </c>
      <c r="W40" s="261">
        <f t="shared" si="2"/>
        <v>0</v>
      </c>
      <c r="X40" s="133">
        <f t="shared" si="3"/>
        <v>0</v>
      </c>
      <c r="Y40" s="251"/>
      <c r="Z40" s="1736"/>
      <c r="AA40" s="1737"/>
      <c r="AB40" s="77">
        <f t="shared" si="4"/>
        <v>0</v>
      </c>
      <c r="AC40" s="134">
        <f t="shared" si="5"/>
        <v>0</v>
      </c>
      <c r="AD40" s="251"/>
      <c r="AE40" s="1736"/>
      <c r="AF40" s="1737"/>
      <c r="AG40" s="77">
        <f t="shared" si="6"/>
        <v>0</v>
      </c>
      <c r="AH40" s="136">
        <f t="shared" si="7"/>
        <v>0</v>
      </c>
      <c r="AI40" s="251"/>
      <c r="AJ40" s="1736"/>
      <c r="AK40" s="1737"/>
      <c r="AL40" s="79">
        <f t="shared" si="8"/>
        <v>0</v>
      </c>
      <c r="AM40" s="137">
        <f t="shared" si="9"/>
        <v>0</v>
      </c>
      <c r="AN40" s="251"/>
      <c r="AO40" s="1736"/>
      <c r="AP40" s="1737"/>
    </row>
    <row r="41" spans="1:42" s="85" customFormat="1" ht="13.5" thickBot="1">
      <c r="A41" s="240"/>
      <c r="B41" s="241"/>
      <c r="C41" s="242"/>
      <c r="D41" s="242"/>
      <c r="E41" s="243"/>
      <c r="F41" s="244"/>
      <c r="G41" s="244"/>
      <c r="H41" s="243"/>
      <c r="I41" s="258"/>
      <c r="J41" s="245"/>
      <c r="K41" s="245"/>
      <c r="L41" s="76">
        <f t="shared" si="0"/>
        <v>0</v>
      </c>
      <c r="M41" s="246"/>
      <c r="N41" s="247"/>
      <c r="O41" s="248"/>
      <c r="P41" s="246"/>
      <c r="Q41" s="249"/>
      <c r="R41" s="250"/>
      <c r="S41" s="259"/>
      <c r="T41" s="260"/>
      <c r="U41" s="250"/>
      <c r="V41" s="78">
        <f t="shared" si="1"/>
        <v>0</v>
      </c>
      <c r="W41" s="261">
        <f t="shared" si="2"/>
        <v>0</v>
      </c>
      <c r="X41" s="133">
        <f t="shared" si="3"/>
        <v>0</v>
      </c>
      <c r="Y41" s="251"/>
      <c r="Z41" s="1736"/>
      <c r="AA41" s="1737"/>
      <c r="AB41" s="77">
        <f t="shared" si="4"/>
        <v>0</v>
      </c>
      <c r="AC41" s="134">
        <f t="shared" si="5"/>
        <v>0</v>
      </c>
      <c r="AD41" s="251"/>
      <c r="AE41" s="1736"/>
      <c r="AF41" s="1737"/>
      <c r="AG41" s="77">
        <f t="shared" si="6"/>
        <v>0</v>
      </c>
      <c r="AH41" s="136">
        <f t="shared" si="7"/>
        <v>0</v>
      </c>
      <c r="AI41" s="251"/>
      <c r="AJ41" s="1736"/>
      <c r="AK41" s="1737"/>
      <c r="AL41" s="79">
        <f t="shared" si="8"/>
        <v>0</v>
      </c>
      <c r="AM41" s="137">
        <f t="shared" si="9"/>
        <v>0</v>
      </c>
      <c r="AN41" s="251"/>
      <c r="AO41" s="1736"/>
      <c r="AP41" s="1737"/>
    </row>
    <row r="42" spans="1:42" s="85" customFormat="1" ht="13.5" thickBot="1">
      <c r="A42" s="240"/>
      <c r="B42" s="241"/>
      <c r="C42" s="242"/>
      <c r="D42" s="242"/>
      <c r="E42" s="243"/>
      <c r="F42" s="244"/>
      <c r="G42" s="244"/>
      <c r="H42" s="243"/>
      <c r="I42" s="258"/>
      <c r="J42" s="245"/>
      <c r="K42" s="245"/>
      <c r="L42" s="76">
        <f t="shared" si="0"/>
        <v>0</v>
      </c>
      <c r="M42" s="246"/>
      <c r="N42" s="247"/>
      <c r="O42" s="248"/>
      <c r="P42" s="246"/>
      <c r="Q42" s="249"/>
      <c r="R42" s="250"/>
      <c r="S42" s="259"/>
      <c r="T42" s="260"/>
      <c r="U42" s="250"/>
      <c r="V42" s="78">
        <f t="shared" si="1"/>
        <v>0</v>
      </c>
      <c r="W42" s="261">
        <f t="shared" si="2"/>
        <v>0</v>
      </c>
      <c r="X42" s="133">
        <f t="shared" si="3"/>
        <v>0</v>
      </c>
      <c r="Y42" s="251"/>
      <c r="Z42" s="1736"/>
      <c r="AA42" s="1737"/>
      <c r="AB42" s="77">
        <f t="shared" si="4"/>
        <v>0</v>
      </c>
      <c r="AC42" s="134">
        <f t="shared" si="5"/>
        <v>0</v>
      </c>
      <c r="AD42" s="251"/>
      <c r="AE42" s="1736"/>
      <c r="AF42" s="1737"/>
      <c r="AG42" s="77">
        <f t="shared" si="6"/>
        <v>0</v>
      </c>
      <c r="AH42" s="136">
        <f t="shared" si="7"/>
        <v>0</v>
      </c>
      <c r="AI42" s="251"/>
      <c r="AJ42" s="1736"/>
      <c r="AK42" s="1737"/>
      <c r="AL42" s="79">
        <f t="shared" si="8"/>
        <v>0</v>
      </c>
      <c r="AM42" s="137">
        <f t="shared" si="9"/>
        <v>0</v>
      </c>
      <c r="AN42" s="251"/>
      <c r="AO42" s="1736"/>
      <c r="AP42" s="1737"/>
    </row>
    <row r="43" spans="1:42" s="85" customFormat="1" ht="13.5" thickBot="1">
      <c r="A43" s="240"/>
      <c r="B43" s="241"/>
      <c r="C43" s="242"/>
      <c r="D43" s="242"/>
      <c r="E43" s="243"/>
      <c r="F43" s="244"/>
      <c r="G43" s="244"/>
      <c r="H43" s="243"/>
      <c r="I43" s="258"/>
      <c r="J43" s="245"/>
      <c r="K43" s="245"/>
      <c r="L43" s="76">
        <f t="shared" si="0"/>
        <v>0</v>
      </c>
      <c r="M43" s="246"/>
      <c r="N43" s="247"/>
      <c r="O43" s="248"/>
      <c r="P43" s="246"/>
      <c r="Q43" s="249"/>
      <c r="R43" s="250"/>
      <c r="S43" s="259"/>
      <c r="T43" s="260"/>
      <c r="U43" s="250"/>
      <c r="V43" s="78">
        <f t="shared" si="1"/>
        <v>0</v>
      </c>
      <c r="W43" s="261">
        <f t="shared" si="2"/>
        <v>0</v>
      </c>
      <c r="X43" s="133">
        <f t="shared" si="3"/>
        <v>0</v>
      </c>
      <c r="Y43" s="251"/>
      <c r="Z43" s="1736"/>
      <c r="AA43" s="1737"/>
      <c r="AB43" s="77">
        <f t="shared" si="4"/>
        <v>0</v>
      </c>
      <c r="AC43" s="134">
        <f t="shared" si="5"/>
        <v>0</v>
      </c>
      <c r="AD43" s="251"/>
      <c r="AE43" s="1736"/>
      <c r="AF43" s="1737"/>
      <c r="AG43" s="77">
        <f t="shared" si="6"/>
        <v>0</v>
      </c>
      <c r="AH43" s="136">
        <f t="shared" si="7"/>
        <v>0</v>
      </c>
      <c r="AI43" s="251"/>
      <c r="AJ43" s="1736"/>
      <c r="AK43" s="1737"/>
      <c r="AL43" s="79">
        <f t="shared" si="8"/>
        <v>0</v>
      </c>
      <c r="AM43" s="137">
        <f t="shared" si="9"/>
        <v>0</v>
      </c>
      <c r="AN43" s="251"/>
      <c r="AO43" s="1736"/>
      <c r="AP43" s="1737"/>
    </row>
    <row r="44" spans="1:42" s="85" customFormat="1" ht="13.5" thickBot="1">
      <c r="A44" s="240"/>
      <c r="B44" s="241"/>
      <c r="C44" s="242"/>
      <c r="D44" s="242"/>
      <c r="E44" s="243"/>
      <c r="F44" s="244"/>
      <c r="G44" s="244"/>
      <c r="H44" s="243"/>
      <c r="I44" s="258"/>
      <c r="J44" s="245"/>
      <c r="K44" s="245"/>
      <c r="L44" s="76">
        <f t="shared" si="0"/>
        <v>0</v>
      </c>
      <c r="M44" s="246"/>
      <c r="N44" s="247"/>
      <c r="O44" s="248"/>
      <c r="P44" s="246"/>
      <c r="Q44" s="249"/>
      <c r="R44" s="250"/>
      <c r="S44" s="259"/>
      <c r="T44" s="260"/>
      <c r="U44" s="250"/>
      <c r="V44" s="78">
        <f t="shared" si="1"/>
        <v>0</v>
      </c>
      <c r="W44" s="261">
        <f t="shared" si="2"/>
        <v>0</v>
      </c>
      <c r="X44" s="133">
        <f t="shared" si="3"/>
        <v>0</v>
      </c>
      <c r="Y44" s="251"/>
      <c r="Z44" s="1736"/>
      <c r="AA44" s="1737"/>
      <c r="AB44" s="77">
        <f t="shared" si="4"/>
        <v>0</v>
      </c>
      <c r="AC44" s="134">
        <f t="shared" si="5"/>
        <v>0</v>
      </c>
      <c r="AD44" s="251"/>
      <c r="AE44" s="1736"/>
      <c r="AF44" s="1737"/>
      <c r="AG44" s="77">
        <f t="shared" si="6"/>
        <v>0</v>
      </c>
      <c r="AH44" s="136">
        <f t="shared" si="7"/>
        <v>0</v>
      </c>
      <c r="AI44" s="251"/>
      <c r="AJ44" s="1736"/>
      <c r="AK44" s="1737"/>
      <c r="AL44" s="79">
        <f t="shared" si="8"/>
        <v>0</v>
      </c>
      <c r="AM44" s="137">
        <f t="shared" si="9"/>
        <v>0</v>
      </c>
      <c r="AN44" s="251"/>
      <c r="AO44" s="1736"/>
      <c r="AP44" s="1737"/>
    </row>
    <row r="45" spans="1:42" s="85" customFormat="1" ht="13.5" thickBot="1">
      <c r="A45" s="240"/>
      <c r="B45" s="241"/>
      <c r="C45" s="242"/>
      <c r="D45" s="242"/>
      <c r="E45" s="243"/>
      <c r="F45" s="244"/>
      <c r="G45" s="244"/>
      <c r="H45" s="243"/>
      <c r="I45" s="258"/>
      <c r="J45" s="245"/>
      <c r="K45" s="245"/>
      <c r="L45" s="76">
        <f t="shared" si="0"/>
        <v>0</v>
      </c>
      <c r="M45" s="246"/>
      <c r="N45" s="247"/>
      <c r="O45" s="248"/>
      <c r="P45" s="246"/>
      <c r="Q45" s="249"/>
      <c r="R45" s="250"/>
      <c r="S45" s="259"/>
      <c r="T45" s="260"/>
      <c r="U45" s="250"/>
      <c r="V45" s="78">
        <f t="shared" si="1"/>
        <v>0</v>
      </c>
      <c r="W45" s="261">
        <f t="shared" si="2"/>
        <v>0</v>
      </c>
      <c r="X45" s="133">
        <f t="shared" si="3"/>
        <v>0</v>
      </c>
      <c r="Y45" s="251"/>
      <c r="Z45" s="1736"/>
      <c r="AA45" s="1737"/>
      <c r="AB45" s="77">
        <f t="shared" si="4"/>
        <v>0</v>
      </c>
      <c r="AC45" s="134">
        <f t="shared" si="5"/>
        <v>0</v>
      </c>
      <c r="AD45" s="251"/>
      <c r="AE45" s="1736"/>
      <c r="AF45" s="1737"/>
      <c r="AG45" s="77">
        <f t="shared" si="6"/>
        <v>0</v>
      </c>
      <c r="AH45" s="136">
        <f t="shared" si="7"/>
        <v>0</v>
      </c>
      <c r="AI45" s="251"/>
      <c r="AJ45" s="1736"/>
      <c r="AK45" s="1737"/>
      <c r="AL45" s="79">
        <f t="shared" si="8"/>
        <v>0</v>
      </c>
      <c r="AM45" s="137">
        <f t="shared" si="9"/>
        <v>0</v>
      </c>
      <c r="AN45" s="251"/>
      <c r="AO45" s="1736"/>
      <c r="AP45" s="1737"/>
    </row>
    <row r="46" spans="1:42" s="85" customFormat="1" ht="13.5" thickBot="1">
      <c r="A46" s="240"/>
      <c r="B46" s="241"/>
      <c r="C46" s="242"/>
      <c r="D46" s="242"/>
      <c r="E46" s="243"/>
      <c r="F46" s="244"/>
      <c r="G46" s="244"/>
      <c r="H46" s="243"/>
      <c r="I46" s="258"/>
      <c r="J46" s="245"/>
      <c r="K46" s="245"/>
      <c r="L46" s="76">
        <f t="shared" si="0"/>
        <v>0</v>
      </c>
      <c r="M46" s="246"/>
      <c r="N46" s="247"/>
      <c r="O46" s="248"/>
      <c r="P46" s="246"/>
      <c r="Q46" s="249"/>
      <c r="R46" s="250"/>
      <c r="S46" s="259"/>
      <c r="T46" s="260"/>
      <c r="U46" s="250"/>
      <c r="V46" s="78">
        <f t="shared" si="1"/>
        <v>0</v>
      </c>
      <c r="W46" s="261">
        <f t="shared" si="2"/>
        <v>0</v>
      </c>
      <c r="X46" s="133">
        <f t="shared" si="3"/>
        <v>0</v>
      </c>
      <c r="Y46" s="251"/>
      <c r="Z46" s="1736"/>
      <c r="AA46" s="1737"/>
      <c r="AB46" s="77">
        <f t="shared" si="4"/>
        <v>0</v>
      </c>
      <c r="AC46" s="134">
        <f t="shared" si="5"/>
        <v>0</v>
      </c>
      <c r="AD46" s="251"/>
      <c r="AE46" s="1736"/>
      <c r="AF46" s="1737"/>
      <c r="AG46" s="77">
        <f t="shared" si="6"/>
        <v>0</v>
      </c>
      <c r="AH46" s="136">
        <f t="shared" si="7"/>
        <v>0</v>
      </c>
      <c r="AI46" s="251"/>
      <c r="AJ46" s="1736"/>
      <c r="AK46" s="1737"/>
      <c r="AL46" s="79">
        <f t="shared" si="8"/>
        <v>0</v>
      </c>
      <c r="AM46" s="137">
        <f t="shared" si="9"/>
        <v>0</v>
      </c>
      <c r="AN46" s="251"/>
      <c r="AO46" s="1736"/>
      <c r="AP46" s="1737"/>
    </row>
    <row r="47" spans="1:42" s="85" customFormat="1" ht="13.5" thickBot="1">
      <c r="A47" s="240"/>
      <c r="B47" s="241"/>
      <c r="C47" s="242"/>
      <c r="D47" s="242"/>
      <c r="E47" s="243"/>
      <c r="F47" s="244"/>
      <c r="G47" s="244"/>
      <c r="H47" s="243"/>
      <c r="I47" s="258"/>
      <c r="J47" s="245"/>
      <c r="K47" s="245"/>
      <c r="L47" s="76">
        <f t="shared" si="0"/>
        <v>0</v>
      </c>
      <c r="M47" s="246"/>
      <c r="N47" s="247"/>
      <c r="O47" s="248"/>
      <c r="P47" s="246"/>
      <c r="Q47" s="249"/>
      <c r="R47" s="250"/>
      <c r="S47" s="259"/>
      <c r="T47" s="260"/>
      <c r="U47" s="250"/>
      <c r="V47" s="78">
        <f t="shared" si="1"/>
        <v>0</v>
      </c>
      <c r="W47" s="261">
        <f t="shared" si="2"/>
        <v>0</v>
      </c>
      <c r="X47" s="133">
        <f t="shared" si="3"/>
        <v>0</v>
      </c>
      <c r="Y47" s="251"/>
      <c r="Z47" s="1736"/>
      <c r="AA47" s="1737"/>
      <c r="AB47" s="77">
        <f t="shared" si="4"/>
        <v>0</v>
      </c>
      <c r="AC47" s="134">
        <f t="shared" si="5"/>
        <v>0</v>
      </c>
      <c r="AD47" s="251"/>
      <c r="AE47" s="1736"/>
      <c r="AF47" s="1737"/>
      <c r="AG47" s="77">
        <f t="shared" si="6"/>
        <v>0</v>
      </c>
      <c r="AH47" s="136">
        <f t="shared" si="7"/>
        <v>0</v>
      </c>
      <c r="AI47" s="251"/>
      <c r="AJ47" s="1736"/>
      <c r="AK47" s="1737"/>
      <c r="AL47" s="79">
        <f t="shared" si="8"/>
        <v>0</v>
      </c>
      <c r="AM47" s="137">
        <f t="shared" si="9"/>
        <v>0</v>
      </c>
      <c r="AN47" s="251"/>
      <c r="AO47" s="1736"/>
      <c r="AP47" s="1737"/>
    </row>
    <row r="48" spans="1:42" s="85" customFormat="1" ht="13.5" thickBot="1">
      <c r="A48" s="240"/>
      <c r="B48" s="241"/>
      <c r="C48" s="242"/>
      <c r="D48" s="242"/>
      <c r="E48" s="243"/>
      <c r="F48" s="244"/>
      <c r="G48" s="244"/>
      <c r="H48" s="243"/>
      <c r="I48" s="258"/>
      <c r="J48" s="245"/>
      <c r="K48" s="245"/>
      <c r="L48" s="76">
        <f t="shared" si="0"/>
        <v>0</v>
      </c>
      <c r="M48" s="246"/>
      <c r="N48" s="247"/>
      <c r="O48" s="248"/>
      <c r="P48" s="246"/>
      <c r="Q48" s="249"/>
      <c r="R48" s="250"/>
      <c r="S48" s="259"/>
      <c r="T48" s="260"/>
      <c r="U48" s="250"/>
      <c r="V48" s="78">
        <f t="shared" si="1"/>
        <v>0</v>
      </c>
      <c r="W48" s="261">
        <f t="shared" si="2"/>
        <v>0</v>
      </c>
      <c r="X48" s="133">
        <f t="shared" si="3"/>
        <v>0</v>
      </c>
      <c r="Y48" s="251"/>
      <c r="Z48" s="1736"/>
      <c r="AA48" s="1737"/>
      <c r="AB48" s="77">
        <f t="shared" si="4"/>
        <v>0</v>
      </c>
      <c r="AC48" s="134">
        <f t="shared" si="5"/>
        <v>0</v>
      </c>
      <c r="AD48" s="251"/>
      <c r="AE48" s="1736"/>
      <c r="AF48" s="1737"/>
      <c r="AG48" s="77">
        <f t="shared" si="6"/>
        <v>0</v>
      </c>
      <c r="AH48" s="136">
        <f t="shared" si="7"/>
        <v>0</v>
      </c>
      <c r="AI48" s="251"/>
      <c r="AJ48" s="1736"/>
      <c r="AK48" s="1737"/>
      <c r="AL48" s="79">
        <f t="shared" si="8"/>
        <v>0</v>
      </c>
      <c r="AM48" s="137">
        <f t="shared" si="9"/>
        <v>0</v>
      </c>
      <c r="AN48" s="251"/>
      <c r="AO48" s="1736"/>
      <c r="AP48" s="1737"/>
    </row>
    <row r="49" spans="1:42" s="85" customFormat="1" ht="13.5" thickBot="1">
      <c r="A49" s="240"/>
      <c r="B49" s="241"/>
      <c r="C49" s="242"/>
      <c r="D49" s="242"/>
      <c r="E49" s="243"/>
      <c r="F49" s="244"/>
      <c r="G49" s="244"/>
      <c r="H49" s="243"/>
      <c r="I49" s="258"/>
      <c r="J49" s="245"/>
      <c r="K49" s="245"/>
      <c r="L49" s="76">
        <f t="shared" si="0"/>
        <v>0</v>
      </c>
      <c r="M49" s="246"/>
      <c r="N49" s="247"/>
      <c r="O49" s="248"/>
      <c r="P49" s="246"/>
      <c r="Q49" s="249"/>
      <c r="R49" s="250"/>
      <c r="S49" s="259"/>
      <c r="T49" s="260"/>
      <c r="U49" s="250"/>
      <c r="V49" s="78">
        <f t="shared" si="1"/>
        <v>0</v>
      </c>
      <c r="W49" s="261">
        <f t="shared" si="2"/>
        <v>0</v>
      </c>
      <c r="X49" s="133">
        <f t="shared" si="3"/>
        <v>0</v>
      </c>
      <c r="Y49" s="251"/>
      <c r="Z49" s="1736"/>
      <c r="AA49" s="1737"/>
      <c r="AB49" s="77">
        <f t="shared" si="4"/>
        <v>0</v>
      </c>
      <c r="AC49" s="134">
        <f t="shared" si="5"/>
        <v>0</v>
      </c>
      <c r="AD49" s="251"/>
      <c r="AE49" s="1736"/>
      <c r="AF49" s="1737"/>
      <c r="AG49" s="77">
        <f t="shared" si="6"/>
        <v>0</v>
      </c>
      <c r="AH49" s="136">
        <f t="shared" si="7"/>
        <v>0</v>
      </c>
      <c r="AI49" s="251"/>
      <c r="AJ49" s="1736"/>
      <c r="AK49" s="1737"/>
      <c r="AL49" s="79">
        <f t="shared" si="8"/>
        <v>0</v>
      </c>
      <c r="AM49" s="137">
        <f t="shared" si="9"/>
        <v>0</v>
      </c>
      <c r="AN49" s="251"/>
      <c r="AO49" s="1736"/>
      <c r="AP49" s="1737"/>
    </row>
    <row r="50" spans="1:42" s="85" customFormat="1" ht="13.5" thickBot="1">
      <c r="A50" s="240"/>
      <c r="B50" s="241"/>
      <c r="C50" s="242"/>
      <c r="D50" s="242"/>
      <c r="E50" s="243"/>
      <c r="F50" s="244"/>
      <c r="G50" s="244"/>
      <c r="H50" s="243"/>
      <c r="I50" s="258"/>
      <c r="J50" s="245"/>
      <c r="K50" s="245"/>
      <c r="L50" s="76">
        <f t="shared" si="0"/>
        <v>0</v>
      </c>
      <c r="M50" s="246"/>
      <c r="N50" s="247"/>
      <c r="O50" s="248"/>
      <c r="P50" s="246"/>
      <c r="Q50" s="249"/>
      <c r="R50" s="250"/>
      <c r="S50" s="259"/>
      <c r="T50" s="260"/>
      <c r="U50" s="250"/>
      <c r="V50" s="78">
        <f t="shared" si="1"/>
        <v>0</v>
      </c>
      <c r="W50" s="261">
        <f t="shared" si="2"/>
        <v>0</v>
      </c>
      <c r="X50" s="133">
        <f t="shared" si="3"/>
        <v>0</v>
      </c>
      <c r="Y50" s="251"/>
      <c r="Z50" s="1736"/>
      <c r="AA50" s="1737"/>
      <c r="AB50" s="77">
        <f t="shared" si="4"/>
        <v>0</v>
      </c>
      <c r="AC50" s="134">
        <f t="shared" si="5"/>
        <v>0</v>
      </c>
      <c r="AD50" s="251"/>
      <c r="AE50" s="1736"/>
      <c r="AF50" s="1737"/>
      <c r="AG50" s="77">
        <f t="shared" si="6"/>
        <v>0</v>
      </c>
      <c r="AH50" s="136">
        <f t="shared" si="7"/>
        <v>0</v>
      </c>
      <c r="AI50" s="251"/>
      <c r="AJ50" s="1736"/>
      <c r="AK50" s="1737"/>
      <c r="AL50" s="79">
        <f t="shared" si="8"/>
        <v>0</v>
      </c>
      <c r="AM50" s="137">
        <f t="shared" si="9"/>
        <v>0</v>
      </c>
      <c r="AN50" s="251"/>
      <c r="AO50" s="1736"/>
      <c r="AP50" s="1737"/>
    </row>
    <row r="51" spans="1:42" s="85" customFormat="1" ht="13.5" thickBot="1">
      <c r="A51" s="240"/>
      <c r="B51" s="241"/>
      <c r="C51" s="242"/>
      <c r="D51" s="242"/>
      <c r="E51" s="243"/>
      <c r="F51" s="244"/>
      <c r="G51" s="244"/>
      <c r="H51" s="243"/>
      <c r="I51" s="258"/>
      <c r="J51" s="245"/>
      <c r="K51" s="245"/>
      <c r="L51" s="76">
        <f t="shared" si="0"/>
        <v>0</v>
      </c>
      <c r="M51" s="246"/>
      <c r="N51" s="247"/>
      <c r="O51" s="248"/>
      <c r="P51" s="246"/>
      <c r="Q51" s="249"/>
      <c r="R51" s="250"/>
      <c r="S51" s="259"/>
      <c r="T51" s="260"/>
      <c r="U51" s="250"/>
      <c r="V51" s="78">
        <f t="shared" si="1"/>
        <v>0</v>
      </c>
      <c r="W51" s="261">
        <f t="shared" si="2"/>
        <v>0</v>
      </c>
      <c r="X51" s="133">
        <f t="shared" si="3"/>
        <v>0</v>
      </c>
      <c r="Y51" s="251"/>
      <c r="Z51" s="1736"/>
      <c r="AA51" s="1737"/>
      <c r="AB51" s="77">
        <f t="shared" si="4"/>
        <v>0</v>
      </c>
      <c r="AC51" s="134">
        <f t="shared" si="5"/>
        <v>0</v>
      </c>
      <c r="AD51" s="251"/>
      <c r="AE51" s="1736"/>
      <c r="AF51" s="1737"/>
      <c r="AG51" s="77">
        <f t="shared" si="6"/>
        <v>0</v>
      </c>
      <c r="AH51" s="136">
        <f t="shared" si="7"/>
        <v>0</v>
      </c>
      <c r="AI51" s="251"/>
      <c r="AJ51" s="1736"/>
      <c r="AK51" s="1737"/>
      <c r="AL51" s="79">
        <f t="shared" si="8"/>
        <v>0</v>
      </c>
      <c r="AM51" s="137">
        <f t="shared" si="9"/>
        <v>0</v>
      </c>
      <c r="AN51" s="251"/>
      <c r="AO51" s="1736"/>
      <c r="AP51" s="1737"/>
    </row>
    <row r="52" spans="1:42" s="85" customFormat="1" ht="13.5" thickBot="1">
      <c r="A52" s="240"/>
      <c r="B52" s="241"/>
      <c r="C52" s="242"/>
      <c r="D52" s="242"/>
      <c r="E52" s="243"/>
      <c r="F52" s="244"/>
      <c r="G52" s="244"/>
      <c r="H52" s="243"/>
      <c r="I52" s="258"/>
      <c r="J52" s="245"/>
      <c r="K52" s="245"/>
      <c r="L52" s="76">
        <f t="shared" si="0"/>
        <v>0</v>
      </c>
      <c r="M52" s="246"/>
      <c r="N52" s="247"/>
      <c r="O52" s="248"/>
      <c r="P52" s="246"/>
      <c r="Q52" s="249"/>
      <c r="R52" s="250"/>
      <c r="S52" s="259"/>
      <c r="T52" s="260"/>
      <c r="U52" s="250"/>
      <c r="V52" s="78">
        <f t="shared" si="1"/>
        <v>0</v>
      </c>
      <c r="W52" s="261">
        <f t="shared" si="2"/>
        <v>0</v>
      </c>
      <c r="X52" s="133">
        <f t="shared" si="3"/>
        <v>0</v>
      </c>
      <c r="Y52" s="251"/>
      <c r="Z52" s="1736"/>
      <c r="AA52" s="1737"/>
      <c r="AB52" s="77">
        <f t="shared" si="4"/>
        <v>0</v>
      </c>
      <c r="AC52" s="134">
        <f t="shared" si="5"/>
        <v>0</v>
      </c>
      <c r="AD52" s="251"/>
      <c r="AE52" s="1736"/>
      <c r="AF52" s="1737"/>
      <c r="AG52" s="77">
        <f t="shared" si="6"/>
        <v>0</v>
      </c>
      <c r="AH52" s="136">
        <f t="shared" si="7"/>
        <v>0</v>
      </c>
      <c r="AI52" s="251"/>
      <c r="AJ52" s="1736"/>
      <c r="AK52" s="1737"/>
      <c r="AL52" s="79">
        <f t="shared" si="8"/>
        <v>0</v>
      </c>
      <c r="AM52" s="137">
        <f t="shared" si="9"/>
        <v>0</v>
      </c>
      <c r="AN52" s="251"/>
      <c r="AO52" s="1736"/>
      <c r="AP52" s="1737"/>
    </row>
    <row r="53" spans="1:42" s="85" customFormat="1" ht="13.5" thickBot="1">
      <c r="A53" s="240"/>
      <c r="B53" s="241"/>
      <c r="C53" s="242"/>
      <c r="D53" s="242"/>
      <c r="E53" s="243"/>
      <c r="F53" s="244"/>
      <c r="G53" s="244"/>
      <c r="H53" s="243"/>
      <c r="I53" s="258"/>
      <c r="J53" s="245"/>
      <c r="K53" s="245"/>
      <c r="L53" s="76">
        <f t="shared" si="0"/>
        <v>0</v>
      </c>
      <c r="M53" s="246"/>
      <c r="N53" s="247"/>
      <c r="O53" s="248"/>
      <c r="P53" s="246"/>
      <c r="Q53" s="249"/>
      <c r="R53" s="250"/>
      <c r="S53" s="259"/>
      <c r="T53" s="260"/>
      <c r="U53" s="250"/>
      <c r="V53" s="78">
        <f t="shared" si="1"/>
        <v>0</v>
      </c>
      <c r="W53" s="261">
        <f t="shared" si="2"/>
        <v>0</v>
      </c>
      <c r="X53" s="133">
        <f t="shared" si="3"/>
        <v>0</v>
      </c>
      <c r="Y53" s="251"/>
      <c r="Z53" s="1736"/>
      <c r="AA53" s="1737"/>
      <c r="AB53" s="77">
        <f t="shared" si="4"/>
        <v>0</v>
      </c>
      <c r="AC53" s="134">
        <f t="shared" si="5"/>
        <v>0</v>
      </c>
      <c r="AD53" s="251"/>
      <c r="AE53" s="1736"/>
      <c r="AF53" s="1737"/>
      <c r="AG53" s="77">
        <f t="shared" si="6"/>
        <v>0</v>
      </c>
      <c r="AH53" s="136">
        <f t="shared" si="7"/>
        <v>0</v>
      </c>
      <c r="AI53" s="251"/>
      <c r="AJ53" s="1736"/>
      <c r="AK53" s="1737"/>
      <c r="AL53" s="79">
        <f t="shared" si="8"/>
        <v>0</v>
      </c>
      <c r="AM53" s="137">
        <f t="shared" si="9"/>
        <v>0</v>
      </c>
      <c r="AN53" s="251"/>
      <c r="AO53" s="1736"/>
      <c r="AP53" s="1737"/>
    </row>
    <row r="54" spans="1:42" s="85" customFormat="1" ht="13.5" thickBot="1">
      <c r="A54" s="240"/>
      <c r="B54" s="241"/>
      <c r="C54" s="242"/>
      <c r="D54" s="242"/>
      <c r="E54" s="243"/>
      <c r="F54" s="244"/>
      <c r="G54" s="244"/>
      <c r="H54" s="243"/>
      <c r="I54" s="258"/>
      <c r="J54" s="245"/>
      <c r="K54" s="245"/>
      <c r="L54" s="76">
        <f t="shared" si="0"/>
        <v>0</v>
      </c>
      <c r="M54" s="246"/>
      <c r="N54" s="247"/>
      <c r="O54" s="248"/>
      <c r="P54" s="246"/>
      <c r="Q54" s="249"/>
      <c r="R54" s="250"/>
      <c r="S54" s="259"/>
      <c r="T54" s="260"/>
      <c r="U54" s="250"/>
      <c r="V54" s="78">
        <f t="shared" si="1"/>
        <v>0</v>
      </c>
      <c r="W54" s="261">
        <f t="shared" si="2"/>
        <v>0</v>
      </c>
      <c r="X54" s="133">
        <f t="shared" si="3"/>
        <v>0</v>
      </c>
      <c r="Y54" s="251"/>
      <c r="Z54" s="1736"/>
      <c r="AA54" s="1737"/>
      <c r="AB54" s="77">
        <f t="shared" si="4"/>
        <v>0</v>
      </c>
      <c r="AC54" s="134">
        <f t="shared" si="5"/>
        <v>0</v>
      </c>
      <c r="AD54" s="251"/>
      <c r="AE54" s="1736"/>
      <c r="AF54" s="1737"/>
      <c r="AG54" s="77">
        <f t="shared" si="6"/>
        <v>0</v>
      </c>
      <c r="AH54" s="136">
        <f t="shared" si="7"/>
        <v>0</v>
      </c>
      <c r="AI54" s="251"/>
      <c r="AJ54" s="1736"/>
      <c r="AK54" s="1737"/>
      <c r="AL54" s="79">
        <f t="shared" si="8"/>
        <v>0</v>
      </c>
      <c r="AM54" s="137">
        <f t="shared" si="9"/>
        <v>0</v>
      </c>
      <c r="AN54" s="251"/>
      <c r="AO54" s="1736"/>
      <c r="AP54" s="1737"/>
    </row>
    <row r="55" spans="1:42" s="85" customFormat="1" ht="13.5" thickBot="1">
      <c r="A55" s="240"/>
      <c r="B55" s="241"/>
      <c r="C55" s="242"/>
      <c r="D55" s="242"/>
      <c r="E55" s="243"/>
      <c r="F55" s="244"/>
      <c r="G55" s="244"/>
      <c r="H55" s="243"/>
      <c r="I55" s="258"/>
      <c r="J55" s="245"/>
      <c r="K55" s="245"/>
      <c r="L55" s="76">
        <f t="shared" si="0"/>
        <v>0</v>
      </c>
      <c r="M55" s="246"/>
      <c r="N55" s="247"/>
      <c r="O55" s="248"/>
      <c r="P55" s="246"/>
      <c r="Q55" s="249"/>
      <c r="R55" s="250"/>
      <c r="S55" s="259"/>
      <c r="T55" s="260"/>
      <c r="U55" s="250"/>
      <c r="V55" s="78">
        <f t="shared" si="1"/>
        <v>0</v>
      </c>
      <c r="W55" s="261">
        <f t="shared" si="2"/>
        <v>0</v>
      </c>
      <c r="X55" s="133">
        <f t="shared" si="3"/>
        <v>0</v>
      </c>
      <c r="Y55" s="251"/>
      <c r="Z55" s="1736"/>
      <c r="AA55" s="1737"/>
      <c r="AB55" s="77">
        <f t="shared" si="4"/>
        <v>0</v>
      </c>
      <c r="AC55" s="134">
        <f t="shared" si="5"/>
        <v>0</v>
      </c>
      <c r="AD55" s="251"/>
      <c r="AE55" s="1736"/>
      <c r="AF55" s="1737"/>
      <c r="AG55" s="77">
        <f t="shared" si="6"/>
        <v>0</v>
      </c>
      <c r="AH55" s="136">
        <f t="shared" si="7"/>
        <v>0</v>
      </c>
      <c r="AI55" s="251"/>
      <c r="AJ55" s="1736"/>
      <c r="AK55" s="1737"/>
      <c r="AL55" s="79">
        <f t="shared" si="8"/>
        <v>0</v>
      </c>
      <c r="AM55" s="137">
        <f t="shared" si="9"/>
        <v>0</v>
      </c>
      <c r="AN55" s="251"/>
      <c r="AO55" s="1736"/>
      <c r="AP55" s="1737"/>
    </row>
    <row r="56" spans="1:42" s="85" customFormat="1" ht="13.5" thickBot="1">
      <c r="A56" s="240"/>
      <c r="B56" s="241"/>
      <c r="C56" s="242"/>
      <c r="D56" s="242"/>
      <c r="E56" s="243"/>
      <c r="F56" s="244"/>
      <c r="G56" s="244"/>
      <c r="H56" s="243"/>
      <c r="I56" s="258"/>
      <c r="J56" s="245"/>
      <c r="K56" s="245"/>
      <c r="L56" s="76">
        <f t="shared" si="0"/>
        <v>0</v>
      </c>
      <c r="M56" s="246"/>
      <c r="N56" s="247"/>
      <c r="O56" s="248"/>
      <c r="P56" s="246"/>
      <c r="Q56" s="249"/>
      <c r="R56" s="250"/>
      <c r="S56" s="259"/>
      <c r="T56" s="260"/>
      <c r="U56" s="250"/>
      <c r="V56" s="78">
        <f t="shared" si="1"/>
        <v>0</v>
      </c>
      <c r="W56" s="261">
        <f t="shared" si="2"/>
        <v>0</v>
      </c>
      <c r="X56" s="133">
        <f t="shared" si="3"/>
        <v>0</v>
      </c>
      <c r="Y56" s="251"/>
      <c r="Z56" s="1736"/>
      <c r="AA56" s="1737"/>
      <c r="AB56" s="77">
        <f t="shared" si="4"/>
        <v>0</v>
      </c>
      <c r="AC56" s="134">
        <f t="shared" si="5"/>
        <v>0</v>
      </c>
      <c r="AD56" s="251"/>
      <c r="AE56" s="1736"/>
      <c r="AF56" s="1737"/>
      <c r="AG56" s="77">
        <f t="shared" si="6"/>
        <v>0</v>
      </c>
      <c r="AH56" s="136">
        <f t="shared" si="7"/>
        <v>0</v>
      </c>
      <c r="AI56" s="251"/>
      <c r="AJ56" s="1736"/>
      <c r="AK56" s="1737"/>
      <c r="AL56" s="79">
        <f t="shared" si="8"/>
        <v>0</v>
      </c>
      <c r="AM56" s="137">
        <f t="shared" si="9"/>
        <v>0</v>
      </c>
      <c r="AN56" s="251"/>
      <c r="AO56" s="1736"/>
      <c r="AP56" s="1737"/>
    </row>
    <row r="57" spans="1:42" s="85" customFormat="1" ht="13.5" thickBot="1">
      <c r="A57" s="240"/>
      <c r="B57" s="241"/>
      <c r="C57" s="242"/>
      <c r="D57" s="242"/>
      <c r="E57" s="243"/>
      <c r="F57" s="244"/>
      <c r="G57" s="244"/>
      <c r="H57" s="243"/>
      <c r="I57" s="258"/>
      <c r="J57" s="245"/>
      <c r="K57" s="245"/>
      <c r="L57" s="76">
        <f t="shared" si="0"/>
        <v>0</v>
      </c>
      <c r="M57" s="246"/>
      <c r="N57" s="247"/>
      <c r="O57" s="248"/>
      <c r="P57" s="246"/>
      <c r="Q57" s="249"/>
      <c r="R57" s="250"/>
      <c r="S57" s="259"/>
      <c r="T57" s="260"/>
      <c r="U57" s="250"/>
      <c r="V57" s="78">
        <f t="shared" si="1"/>
        <v>0</v>
      </c>
      <c r="W57" s="261">
        <f t="shared" si="2"/>
        <v>0</v>
      </c>
      <c r="X57" s="133">
        <f t="shared" si="3"/>
        <v>0</v>
      </c>
      <c r="Y57" s="251"/>
      <c r="Z57" s="1736"/>
      <c r="AA57" s="1737"/>
      <c r="AB57" s="77">
        <f t="shared" si="4"/>
        <v>0</v>
      </c>
      <c r="AC57" s="134">
        <f t="shared" si="5"/>
        <v>0</v>
      </c>
      <c r="AD57" s="251"/>
      <c r="AE57" s="1736"/>
      <c r="AF57" s="1737"/>
      <c r="AG57" s="77">
        <f t="shared" si="6"/>
        <v>0</v>
      </c>
      <c r="AH57" s="136">
        <f t="shared" si="7"/>
        <v>0</v>
      </c>
      <c r="AI57" s="251"/>
      <c r="AJ57" s="1736"/>
      <c r="AK57" s="1737"/>
      <c r="AL57" s="79">
        <f t="shared" si="8"/>
        <v>0</v>
      </c>
      <c r="AM57" s="137">
        <f t="shared" si="9"/>
        <v>0</v>
      </c>
      <c r="AN57" s="251"/>
      <c r="AO57" s="1736"/>
      <c r="AP57" s="1737"/>
    </row>
    <row r="58" spans="1:42" s="85" customFormat="1" ht="13.5" thickBot="1">
      <c r="A58" s="240"/>
      <c r="B58" s="241"/>
      <c r="C58" s="242"/>
      <c r="D58" s="242"/>
      <c r="E58" s="243"/>
      <c r="F58" s="244"/>
      <c r="G58" s="244"/>
      <c r="H58" s="243"/>
      <c r="I58" s="258"/>
      <c r="J58" s="245"/>
      <c r="K58" s="245"/>
      <c r="L58" s="76">
        <f t="shared" si="0"/>
        <v>0</v>
      </c>
      <c r="M58" s="246"/>
      <c r="N58" s="247"/>
      <c r="O58" s="248"/>
      <c r="P58" s="246"/>
      <c r="Q58" s="249"/>
      <c r="R58" s="250"/>
      <c r="S58" s="259"/>
      <c r="T58" s="260"/>
      <c r="U58" s="250"/>
      <c r="V58" s="78">
        <f t="shared" si="1"/>
        <v>0</v>
      </c>
      <c r="W58" s="261">
        <f t="shared" si="2"/>
        <v>0</v>
      </c>
      <c r="X58" s="133">
        <f t="shared" si="3"/>
        <v>0</v>
      </c>
      <c r="Y58" s="251"/>
      <c r="Z58" s="1736"/>
      <c r="AA58" s="1737"/>
      <c r="AB58" s="77">
        <f t="shared" si="4"/>
        <v>0</v>
      </c>
      <c r="AC58" s="134">
        <f t="shared" si="5"/>
        <v>0</v>
      </c>
      <c r="AD58" s="251"/>
      <c r="AE58" s="1736"/>
      <c r="AF58" s="1737"/>
      <c r="AG58" s="77">
        <f t="shared" si="6"/>
        <v>0</v>
      </c>
      <c r="AH58" s="136">
        <f t="shared" si="7"/>
        <v>0</v>
      </c>
      <c r="AI58" s="251"/>
      <c r="AJ58" s="1736"/>
      <c r="AK58" s="1737"/>
      <c r="AL58" s="79">
        <f t="shared" si="8"/>
        <v>0</v>
      </c>
      <c r="AM58" s="137">
        <f t="shared" si="9"/>
        <v>0</v>
      </c>
      <c r="AN58" s="251"/>
      <c r="AO58" s="1736"/>
      <c r="AP58" s="1737"/>
    </row>
    <row r="59" spans="1:42" s="85" customFormat="1" ht="13.5" thickBot="1">
      <c r="A59" s="240"/>
      <c r="B59" s="241"/>
      <c r="C59" s="242"/>
      <c r="D59" s="242"/>
      <c r="E59" s="243"/>
      <c r="F59" s="244"/>
      <c r="G59" s="244"/>
      <c r="H59" s="243"/>
      <c r="I59" s="258"/>
      <c r="J59" s="245"/>
      <c r="K59" s="245"/>
      <c r="L59" s="76">
        <f t="shared" si="0"/>
        <v>0</v>
      </c>
      <c r="M59" s="246"/>
      <c r="N59" s="247"/>
      <c r="O59" s="248"/>
      <c r="P59" s="246"/>
      <c r="Q59" s="249"/>
      <c r="R59" s="250"/>
      <c r="S59" s="259"/>
      <c r="T59" s="260"/>
      <c r="U59" s="250"/>
      <c r="V59" s="78">
        <f t="shared" si="1"/>
        <v>0</v>
      </c>
      <c r="W59" s="261">
        <f t="shared" si="2"/>
        <v>0</v>
      </c>
      <c r="X59" s="133">
        <f t="shared" si="3"/>
        <v>0</v>
      </c>
      <c r="Y59" s="251"/>
      <c r="Z59" s="1736"/>
      <c r="AA59" s="1737"/>
      <c r="AB59" s="77">
        <f t="shared" si="4"/>
        <v>0</v>
      </c>
      <c r="AC59" s="134">
        <f t="shared" si="5"/>
        <v>0</v>
      </c>
      <c r="AD59" s="251"/>
      <c r="AE59" s="1736"/>
      <c r="AF59" s="1737"/>
      <c r="AG59" s="77">
        <f t="shared" si="6"/>
        <v>0</v>
      </c>
      <c r="AH59" s="136">
        <f t="shared" si="7"/>
        <v>0</v>
      </c>
      <c r="AI59" s="251"/>
      <c r="AJ59" s="1736"/>
      <c r="AK59" s="1737"/>
      <c r="AL59" s="79">
        <f t="shared" si="8"/>
        <v>0</v>
      </c>
      <c r="AM59" s="137">
        <f t="shared" si="9"/>
        <v>0</v>
      </c>
      <c r="AN59" s="251"/>
      <c r="AO59" s="1736"/>
      <c r="AP59" s="1737"/>
    </row>
    <row r="60" spans="1:42" s="85" customFormat="1" ht="13.5" thickBot="1">
      <c r="A60" s="240"/>
      <c r="B60" s="241"/>
      <c r="C60" s="242"/>
      <c r="D60" s="242"/>
      <c r="E60" s="243"/>
      <c r="F60" s="244"/>
      <c r="G60" s="244"/>
      <c r="H60" s="243"/>
      <c r="I60" s="258"/>
      <c r="J60" s="245"/>
      <c r="K60" s="245"/>
      <c r="L60" s="76">
        <f t="shared" si="0"/>
        <v>0</v>
      </c>
      <c r="M60" s="246"/>
      <c r="N60" s="247"/>
      <c r="O60" s="248"/>
      <c r="P60" s="246"/>
      <c r="Q60" s="249"/>
      <c r="R60" s="250"/>
      <c r="S60" s="259"/>
      <c r="T60" s="260"/>
      <c r="U60" s="250"/>
      <c r="V60" s="78">
        <f t="shared" si="1"/>
        <v>0</v>
      </c>
      <c r="W60" s="261">
        <f t="shared" si="2"/>
        <v>0</v>
      </c>
      <c r="X60" s="133">
        <f t="shared" si="3"/>
        <v>0</v>
      </c>
      <c r="Y60" s="251"/>
      <c r="Z60" s="1736"/>
      <c r="AA60" s="1737"/>
      <c r="AB60" s="77">
        <f t="shared" si="4"/>
        <v>0</v>
      </c>
      <c r="AC60" s="134">
        <f t="shared" si="5"/>
        <v>0</v>
      </c>
      <c r="AD60" s="251"/>
      <c r="AE60" s="1736"/>
      <c r="AF60" s="1737"/>
      <c r="AG60" s="77">
        <f t="shared" si="6"/>
        <v>0</v>
      </c>
      <c r="AH60" s="136">
        <f t="shared" si="7"/>
        <v>0</v>
      </c>
      <c r="AI60" s="251"/>
      <c r="AJ60" s="1736"/>
      <c r="AK60" s="1737"/>
      <c r="AL60" s="79">
        <f t="shared" si="8"/>
        <v>0</v>
      </c>
      <c r="AM60" s="137">
        <f t="shared" si="9"/>
        <v>0</v>
      </c>
      <c r="AN60" s="251"/>
      <c r="AO60" s="1736"/>
      <c r="AP60" s="1737"/>
    </row>
    <row r="61" spans="1:42" s="85" customFormat="1" ht="13.5" thickBot="1">
      <c r="A61" s="240"/>
      <c r="B61" s="241"/>
      <c r="C61" s="242"/>
      <c r="D61" s="242"/>
      <c r="E61" s="243"/>
      <c r="F61" s="244"/>
      <c r="G61" s="244"/>
      <c r="H61" s="243"/>
      <c r="I61" s="258"/>
      <c r="J61" s="245"/>
      <c r="K61" s="245"/>
      <c r="L61" s="76">
        <f t="shared" si="0"/>
        <v>0</v>
      </c>
      <c r="M61" s="246"/>
      <c r="N61" s="247"/>
      <c r="O61" s="248"/>
      <c r="P61" s="246"/>
      <c r="Q61" s="249"/>
      <c r="R61" s="250"/>
      <c r="S61" s="259"/>
      <c r="T61" s="260"/>
      <c r="U61" s="250"/>
      <c r="V61" s="78">
        <f t="shared" si="1"/>
        <v>0</v>
      </c>
      <c r="W61" s="261">
        <f t="shared" si="2"/>
        <v>0</v>
      </c>
      <c r="X61" s="133">
        <f t="shared" si="3"/>
        <v>0</v>
      </c>
      <c r="Y61" s="251"/>
      <c r="Z61" s="1736"/>
      <c r="AA61" s="1737"/>
      <c r="AB61" s="77">
        <f t="shared" si="4"/>
        <v>0</v>
      </c>
      <c r="AC61" s="134">
        <f t="shared" si="5"/>
        <v>0</v>
      </c>
      <c r="AD61" s="251"/>
      <c r="AE61" s="1736"/>
      <c r="AF61" s="1737"/>
      <c r="AG61" s="77">
        <f t="shared" si="6"/>
        <v>0</v>
      </c>
      <c r="AH61" s="136">
        <f t="shared" si="7"/>
        <v>0</v>
      </c>
      <c r="AI61" s="251"/>
      <c r="AJ61" s="1736"/>
      <c r="AK61" s="1737"/>
      <c r="AL61" s="79">
        <f t="shared" si="8"/>
        <v>0</v>
      </c>
      <c r="AM61" s="137">
        <f t="shared" si="9"/>
        <v>0</v>
      </c>
      <c r="AN61" s="251"/>
      <c r="AO61" s="1736"/>
      <c r="AP61" s="1737"/>
    </row>
    <row r="62" spans="1:42" s="85" customFormat="1" ht="13.5" thickBot="1">
      <c r="A62" s="240"/>
      <c r="B62" s="241"/>
      <c r="C62" s="242"/>
      <c r="D62" s="242"/>
      <c r="E62" s="243"/>
      <c r="F62" s="244"/>
      <c r="G62" s="244"/>
      <c r="H62" s="243"/>
      <c r="I62" s="258"/>
      <c r="J62" s="245"/>
      <c r="K62" s="245"/>
      <c r="L62" s="76">
        <f t="shared" si="0"/>
        <v>0</v>
      </c>
      <c r="M62" s="246"/>
      <c r="N62" s="247"/>
      <c r="O62" s="248"/>
      <c r="P62" s="246"/>
      <c r="Q62" s="249"/>
      <c r="R62" s="250"/>
      <c r="S62" s="259"/>
      <c r="T62" s="260"/>
      <c r="U62" s="250"/>
      <c r="V62" s="78">
        <f t="shared" si="1"/>
        <v>0</v>
      </c>
      <c r="W62" s="261">
        <f t="shared" si="2"/>
        <v>0</v>
      </c>
      <c r="X62" s="133">
        <f t="shared" si="3"/>
        <v>0</v>
      </c>
      <c r="Y62" s="251"/>
      <c r="Z62" s="1736"/>
      <c r="AA62" s="1737"/>
      <c r="AB62" s="77">
        <f t="shared" si="4"/>
        <v>0</v>
      </c>
      <c r="AC62" s="134">
        <f t="shared" si="5"/>
        <v>0</v>
      </c>
      <c r="AD62" s="251"/>
      <c r="AE62" s="1736"/>
      <c r="AF62" s="1737"/>
      <c r="AG62" s="77">
        <f t="shared" si="6"/>
        <v>0</v>
      </c>
      <c r="AH62" s="136">
        <f t="shared" si="7"/>
        <v>0</v>
      </c>
      <c r="AI62" s="251"/>
      <c r="AJ62" s="1736"/>
      <c r="AK62" s="1737"/>
      <c r="AL62" s="79">
        <f t="shared" si="8"/>
        <v>0</v>
      </c>
      <c r="AM62" s="137">
        <f t="shared" si="9"/>
        <v>0</v>
      </c>
      <c r="AN62" s="251"/>
      <c r="AO62" s="1736"/>
      <c r="AP62" s="1737"/>
    </row>
    <row r="63" spans="1:42" s="85" customFormat="1" ht="13.5" thickBot="1">
      <c r="A63" s="240"/>
      <c r="B63" s="241"/>
      <c r="C63" s="242"/>
      <c r="D63" s="242"/>
      <c r="E63" s="243"/>
      <c r="F63" s="244"/>
      <c r="G63" s="244"/>
      <c r="H63" s="243"/>
      <c r="I63" s="258"/>
      <c r="J63" s="245"/>
      <c r="K63" s="245"/>
      <c r="L63" s="76">
        <f t="shared" si="0"/>
        <v>0</v>
      </c>
      <c r="M63" s="246"/>
      <c r="N63" s="247"/>
      <c r="O63" s="248"/>
      <c r="P63" s="246"/>
      <c r="Q63" s="249"/>
      <c r="R63" s="250"/>
      <c r="S63" s="259"/>
      <c r="T63" s="260"/>
      <c r="U63" s="250"/>
      <c r="V63" s="78">
        <f t="shared" si="1"/>
        <v>0</v>
      </c>
      <c r="W63" s="261">
        <f t="shared" si="2"/>
        <v>0</v>
      </c>
      <c r="X63" s="133">
        <f t="shared" si="3"/>
        <v>0</v>
      </c>
      <c r="Y63" s="251"/>
      <c r="Z63" s="1736"/>
      <c r="AA63" s="1737"/>
      <c r="AB63" s="77">
        <f t="shared" si="4"/>
        <v>0</v>
      </c>
      <c r="AC63" s="134">
        <f t="shared" si="5"/>
        <v>0</v>
      </c>
      <c r="AD63" s="251"/>
      <c r="AE63" s="1736"/>
      <c r="AF63" s="1737"/>
      <c r="AG63" s="77">
        <f t="shared" si="6"/>
        <v>0</v>
      </c>
      <c r="AH63" s="136">
        <f t="shared" si="7"/>
        <v>0</v>
      </c>
      <c r="AI63" s="251"/>
      <c r="AJ63" s="1736"/>
      <c r="AK63" s="1737"/>
      <c r="AL63" s="79">
        <f t="shared" si="8"/>
        <v>0</v>
      </c>
      <c r="AM63" s="137">
        <f t="shared" si="9"/>
        <v>0</v>
      </c>
      <c r="AN63" s="251"/>
      <c r="AO63" s="1736"/>
      <c r="AP63" s="1737"/>
    </row>
    <row r="64" spans="1:42" s="85" customFormat="1" ht="13.5" thickBot="1">
      <c r="A64" s="240"/>
      <c r="B64" s="241"/>
      <c r="C64" s="242"/>
      <c r="D64" s="242"/>
      <c r="E64" s="243"/>
      <c r="F64" s="244"/>
      <c r="G64" s="244"/>
      <c r="H64" s="243"/>
      <c r="I64" s="258"/>
      <c r="J64" s="245"/>
      <c r="K64" s="245"/>
      <c r="L64" s="76">
        <f t="shared" si="0"/>
        <v>0</v>
      </c>
      <c r="M64" s="246"/>
      <c r="N64" s="247"/>
      <c r="O64" s="248"/>
      <c r="P64" s="246"/>
      <c r="Q64" s="249"/>
      <c r="R64" s="250"/>
      <c r="S64" s="259"/>
      <c r="T64" s="260"/>
      <c r="U64" s="250"/>
      <c r="V64" s="78">
        <f t="shared" si="1"/>
        <v>0</v>
      </c>
      <c r="W64" s="261">
        <f t="shared" si="2"/>
        <v>0</v>
      </c>
      <c r="X64" s="133">
        <f t="shared" si="3"/>
        <v>0</v>
      </c>
      <c r="Y64" s="251"/>
      <c r="Z64" s="1736"/>
      <c r="AA64" s="1737"/>
      <c r="AB64" s="77">
        <f t="shared" si="4"/>
        <v>0</v>
      </c>
      <c r="AC64" s="134">
        <f t="shared" si="5"/>
        <v>0</v>
      </c>
      <c r="AD64" s="251"/>
      <c r="AE64" s="1736"/>
      <c r="AF64" s="1737"/>
      <c r="AG64" s="77">
        <f t="shared" si="6"/>
        <v>0</v>
      </c>
      <c r="AH64" s="136">
        <f t="shared" si="7"/>
        <v>0</v>
      </c>
      <c r="AI64" s="251"/>
      <c r="AJ64" s="1736"/>
      <c r="AK64" s="1737"/>
      <c r="AL64" s="79">
        <f t="shared" si="8"/>
        <v>0</v>
      </c>
      <c r="AM64" s="137">
        <f t="shared" si="9"/>
        <v>0</v>
      </c>
      <c r="AN64" s="251"/>
      <c r="AO64" s="1736"/>
      <c r="AP64" s="1737"/>
    </row>
    <row r="65" spans="1:42" s="85" customFormat="1" ht="13.5" thickBot="1">
      <c r="A65" s="240"/>
      <c r="B65" s="241"/>
      <c r="C65" s="242"/>
      <c r="D65" s="242"/>
      <c r="E65" s="243"/>
      <c r="F65" s="244"/>
      <c r="G65" s="244"/>
      <c r="H65" s="243"/>
      <c r="I65" s="258"/>
      <c r="J65" s="245"/>
      <c r="K65" s="245"/>
      <c r="L65" s="76">
        <f t="shared" si="0"/>
        <v>0</v>
      </c>
      <c r="M65" s="246"/>
      <c r="N65" s="247"/>
      <c r="O65" s="248"/>
      <c r="P65" s="246"/>
      <c r="Q65" s="249"/>
      <c r="R65" s="250"/>
      <c r="S65" s="259"/>
      <c r="T65" s="260"/>
      <c r="U65" s="250"/>
      <c r="V65" s="78">
        <f t="shared" si="1"/>
        <v>0</v>
      </c>
      <c r="W65" s="261">
        <f t="shared" si="2"/>
        <v>0</v>
      </c>
      <c r="X65" s="133">
        <f t="shared" si="3"/>
        <v>0</v>
      </c>
      <c r="Y65" s="251"/>
      <c r="Z65" s="1736"/>
      <c r="AA65" s="1737"/>
      <c r="AB65" s="77">
        <f t="shared" si="4"/>
        <v>0</v>
      </c>
      <c r="AC65" s="134">
        <f t="shared" si="5"/>
        <v>0</v>
      </c>
      <c r="AD65" s="251"/>
      <c r="AE65" s="1736"/>
      <c r="AF65" s="1737"/>
      <c r="AG65" s="77">
        <f t="shared" si="6"/>
        <v>0</v>
      </c>
      <c r="AH65" s="136">
        <f t="shared" si="7"/>
        <v>0</v>
      </c>
      <c r="AI65" s="251"/>
      <c r="AJ65" s="1736"/>
      <c r="AK65" s="1737"/>
      <c r="AL65" s="79">
        <f t="shared" si="8"/>
        <v>0</v>
      </c>
      <c r="AM65" s="137">
        <f t="shared" si="9"/>
        <v>0</v>
      </c>
      <c r="AN65" s="251"/>
      <c r="AO65" s="1736"/>
      <c r="AP65" s="1737"/>
    </row>
    <row r="66" spans="1:42" s="85" customFormat="1" ht="13.5" thickBot="1">
      <c r="A66" s="240"/>
      <c r="B66" s="241"/>
      <c r="C66" s="242"/>
      <c r="D66" s="242"/>
      <c r="E66" s="243"/>
      <c r="F66" s="244"/>
      <c r="G66" s="244"/>
      <c r="H66" s="243"/>
      <c r="I66" s="258"/>
      <c r="J66" s="245"/>
      <c r="K66" s="245"/>
      <c r="L66" s="76">
        <f t="shared" si="0"/>
        <v>0</v>
      </c>
      <c r="M66" s="246"/>
      <c r="N66" s="247"/>
      <c r="O66" s="248"/>
      <c r="P66" s="246"/>
      <c r="Q66" s="249"/>
      <c r="R66" s="250"/>
      <c r="S66" s="259"/>
      <c r="T66" s="260"/>
      <c r="U66" s="250"/>
      <c r="V66" s="78">
        <f t="shared" si="1"/>
        <v>0</v>
      </c>
      <c r="W66" s="261">
        <f t="shared" si="2"/>
        <v>0</v>
      </c>
      <c r="X66" s="133">
        <f t="shared" si="3"/>
        <v>0</v>
      </c>
      <c r="Y66" s="251"/>
      <c r="Z66" s="1736"/>
      <c r="AA66" s="1737"/>
      <c r="AB66" s="77">
        <f t="shared" si="4"/>
        <v>0</v>
      </c>
      <c r="AC66" s="134">
        <f t="shared" si="5"/>
        <v>0</v>
      </c>
      <c r="AD66" s="251"/>
      <c r="AE66" s="1736"/>
      <c r="AF66" s="1737"/>
      <c r="AG66" s="77">
        <f t="shared" si="6"/>
        <v>0</v>
      </c>
      <c r="AH66" s="136">
        <f t="shared" si="7"/>
        <v>0</v>
      </c>
      <c r="AI66" s="251"/>
      <c r="AJ66" s="1736"/>
      <c r="AK66" s="1737"/>
      <c r="AL66" s="79">
        <f t="shared" si="8"/>
        <v>0</v>
      </c>
      <c r="AM66" s="137">
        <f t="shared" si="9"/>
        <v>0</v>
      </c>
      <c r="AN66" s="251"/>
      <c r="AO66" s="1736"/>
      <c r="AP66" s="1737"/>
    </row>
    <row r="67" spans="1:42" s="85" customFormat="1" ht="13.5" thickBot="1">
      <c r="A67" s="240"/>
      <c r="B67" s="241"/>
      <c r="C67" s="242"/>
      <c r="D67" s="242"/>
      <c r="E67" s="243"/>
      <c r="F67" s="244"/>
      <c r="G67" s="244"/>
      <c r="H67" s="243"/>
      <c r="I67" s="258"/>
      <c r="J67" s="245"/>
      <c r="K67" s="245"/>
      <c r="L67" s="76">
        <f t="shared" si="0"/>
        <v>0</v>
      </c>
      <c r="M67" s="246"/>
      <c r="N67" s="247"/>
      <c r="O67" s="248"/>
      <c r="P67" s="246"/>
      <c r="Q67" s="249"/>
      <c r="R67" s="250"/>
      <c r="S67" s="259"/>
      <c r="T67" s="260"/>
      <c r="U67" s="250"/>
      <c r="V67" s="78">
        <f t="shared" si="1"/>
        <v>0</v>
      </c>
      <c r="W67" s="261">
        <f t="shared" si="2"/>
        <v>0</v>
      </c>
      <c r="X67" s="133">
        <f t="shared" si="3"/>
        <v>0</v>
      </c>
      <c r="Y67" s="251"/>
      <c r="Z67" s="1736"/>
      <c r="AA67" s="1737"/>
      <c r="AB67" s="77">
        <f t="shared" si="4"/>
        <v>0</v>
      </c>
      <c r="AC67" s="134">
        <f t="shared" si="5"/>
        <v>0</v>
      </c>
      <c r="AD67" s="251"/>
      <c r="AE67" s="1736"/>
      <c r="AF67" s="1737"/>
      <c r="AG67" s="77">
        <f t="shared" si="6"/>
        <v>0</v>
      </c>
      <c r="AH67" s="136">
        <f t="shared" si="7"/>
        <v>0</v>
      </c>
      <c r="AI67" s="251"/>
      <c r="AJ67" s="1736"/>
      <c r="AK67" s="1737"/>
      <c r="AL67" s="79">
        <f t="shared" si="8"/>
        <v>0</v>
      </c>
      <c r="AM67" s="137">
        <f t="shared" si="9"/>
        <v>0</v>
      </c>
      <c r="AN67" s="251"/>
      <c r="AO67" s="1736"/>
      <c r="AP67" s="1737"/>
    </row>
    <row r="68" spans="1:42" s="85" customFormat="1" ht="13.5" thickBot="1">
      <c r="A68" s="240"/>
      <c r="B68" s="241"/>
      <c r="C68" s="242"/>
      <c r="D68" s="242"/>
      <c r="E68" s="243"/>
      <c r="F68" s="244"/>
      <c r="G68" s="244"/>
      <c r="H68" s="243"/>
      <c r="I68" s="258"/>
      <c r="J68" s="245"/>
      <c r="K68" s="245"/>
      <c r="L68" s="76">
        <f t="shared" si="0"/>
        <v>0</v>
      </c>
      <c r="M68" s="246"/>
      <c r="N68" s="247"/>
      <c r="O68" s="248"/>
      <c r="P68" s="246"/>
      <c r="Q68" s="249"/>
      <c r="R68" s="250"/>
      <c r="S68" s="259"/>
      <c r="T68" s="260"/>
      <c r="U68" s="250"/>
      <c r="V68" s="78">
        <f t="shared" si="1"/>
        <v>0</v>
      </c>
      <c r="W68" s="261">
        <f t="shared" si="2"/>
        <v>0</v>
      </c>
      <c r="X68" s="133">
        <f t="shared" si="3"/>
        <v>0</v>
      </c>
      <c r="Y68" s="251"/>
      <c r="Z68" s="1736"/>
      <c r="AA68" s="1737"/>
      <c r="AB68" s="77">
        <f t="shared" si="4"/>
        <v>0</v>
      </c>
      <c r="AC68" s="134">
        <f t="shared" si="5"/>
        <v>0</v>
      </c>
      <c r="AD68" s="251"/>
      <c r="AE68" s="1736"/>
      <c r="AF68" s="1737"/>
      <c r="AG68" s="77">
        <f t="shared" si="6"/>
        <v>0</v>
      </c>
      <c r="AH68" s="136">
        <f t="shared" si="7"/>
        <v>0</v>
      </c>
      <c r="AI68" s="251"/>
      <c r="AJ68" s="1736"/>
      <c r="AK68" s="1737"/>
      <c r="AL68" s="79">
        <f t="shared" si="8"/>
        <v>0</v>
      </c>
      <c r="AM68" s="137">
        <f t="shared" si="9"/>
        <v>0</v>
      </c>
      <c r="AN68" s="251"/>
      <c r="AO68" s="1736"/>
      <c r="AP68" s="1737"/>
    </row>
    <row r="69" spans="1:42" s="85" customFormat="1" ht="13.5" thickBot="1">
      <c r="A69" s="240"/>
      <c r="B69" s="241"/>
      <c r="C69" s="242"/>
      <c r="D69" s="242"/>
      <c r="E69" s="243"/>
      <c r="F69" s="244"/>
      <c r="G69" s="244"/>
      <c r="H69" s="243"/>
      <c r="I69" s="258"/>
      <c r="J69" s="245"/>
      <c r="K69" s="245"/>
      <c r="L69" s="76">
        <f t="shared" si="0"/>
        <v>0</v>
      </c>
      <c r="M69" s="246"/>
      <c r="N69" s="247"/>
      <c r="O69" s="248"/>
      <c r="P69" s="246"/>
      <c r="Q69" s="249"/>
      <c r="R69" s="250"/>
      <c r="S69" s="259"/>
      <c r="T69" s="260"/>
      <c r="U69" s="250"/>
      <c r="V69" s="78">
        <f t="shared" si="1"/>
        <v>0</v>
      </c>
      <c r="W69" s="261">
        <f t="shared" si="2"/>
        <v>0</v>
      </c>
      <c r="X69" s="133">
        <f t="shared" si="3"/>
        <v>0</v>
      </c>
      <c r="Y69" s="251"/>
      <c r="Z69" s="1736"/>
      <c r="AA69" s="1737"/>
      <c r="AB69" s="77">
        <f t="shared" si="4"/>
        <v>0</v>
      </c>
      <c r="AC69" s="134">
        <f t="shared" si="5"/>
        <v>0</v>
      </c>
      <c r="AD69" s="251"/>
      <c r="AE69" s="1736"/>
      <c r="AF69" s="1737"/>
      <c r="AG69" s="77">
        <f t="shared" si="6"/>
        <v>0</v>
      </c>
      <c r="AH69" s="136">
        <f t="shared" si="7"/>
        <v>0</v>
      </c>
      <c r="AI69" s="251"/>
      <c r="AJ69" s="1736"/>
      <c r="AK69" s="1737"/>
      <c r="AL69" s="79">
        <f t="shared" si="8"/>
        <v>0</v>
      </c>
      <c r="AM69" s="137">
        <f t="shared" si="9"/>
        <v>0</v>
      </c>
      <c r="AN69" s="251"/>
      <c r="AO69" s="1736"/>
      <c r="AP69" s="1737"/>
    </row>
    <row r="70" spans="1:42" s="85" customFormat="1" ht="13.5" thickBot="1">
      <c r="A70" s="240"/>
      <c r="B70" s="241"/>
      <c r="C70" s="242"/>
      <c r="D70" s="242"/>
      <c r="E70" s="243"/>
      <c r="F70" s="244"/>
      <c r="G70" s="244"/>
      <c r="H70" s="243"/>
      <c r="I70" s="258"/>
      <c r="J70" s="245"/>
      <c r="K70" s="245"/>
      <c r="L70" s="76">
        <f t="shared" si="0"/>
        <v>0</v>
      </c>
      <c r="M70" s="246"/>
      <c r="N70" s="247"/>
      <c r="O70" s="248"/>
      <c r="P70" s="246"/>
      <c r="Q70" s="249"/>
      <c r="R70" s="250"/>
      <c r="S70" s="259"/>
      <c r="T70" s="260"/>
      <c r="U70" s="250"/>
      <c r="V70" s="78">
        <f t="shared" si="1"/>
        <v>0</v>
      </c>
      <c r="W70" s="261">
        <f t="shared" si="2"/>
        <v>0</v>
      </c>
      <c r="X70" s="133">
        <f t="shared" si="3"/>
        <v>0</v>
      </c>
      <c r="Y70" s="251"/>
      <c r="Z70" s="1736"/>
      <c r="AA70" s="1737"/>
      <c r="AB70" s="77">
        <f t="shared" si="4"/>
        <v>0</v>
      </c>
      <c r="AC70" s="134">
        <f t="shared" si="5"/>
        <v>0</v>
      </c>
      <c r="AD70" s="251"/>
      <c r="AE70" s="1736"/>
      <c r="AF70" s="1737"/>
      <c r="AG70" s="77">
        <f t="shared" si="6"/>
        <v>0</v>
      </c>
      <c r="AH70" s="136">
        <f t="shared" si="7"/>
        <v>0</v>
      </c>
      <c r="AI70" s="251"/>
      <c r="AJ70" s="1736"/>
      <c r="AK70" s="1737"/>
      <c r="AL70" s="79">
        <f t="shared" si="8"/>
        <v>0</v>
      </c>
      <c r="AM70" s="137">
        <f t="shared" si="9"/>
        <v>0</v>
      </c>
      <c r="AN70" s="251"/>
      <c r="AO70" s="1736"/>
      <c r="AP70" s="1737"/>
    </row>
    <row r="71" spans="1:42" s="85" customFormat="1" ht="13.5" thickBot="1">
      <c r="A71" s="240"/>
      <c r="B71" s="241"/>
      <c r="C71" s="242"/>
      <c r="D71" s="242"/>
      <c r="E71" s="243"/>
      <c r="F71" s="244"/>
      <c r="G71" s="244"/>
      <c r="H71" s="243"/>
      <c r="I71" s="258"/>
      <c r="J71" s="245"/>
      <c r="K71" s="245"/>
      <c r="L71" s="76">
        <f t="shared" si="0"/>
        <v>0</v>
      </c>
      <c r="M71" s="246"/>
      <c r="N71" s="247"/>
      <c r="O71" s="248"/>
      <c r="P71" s="246"/>
      <c r="Q71" s="249"/>
      <c r="R71" s="250"/>
      <c r="S71" s="259"/>
      <c r="T71" s="260"/>
      <c r="U71" s="250"/>
      <c r="V71" s="78">
        <f t="shared" si="1"/>
        <v>0</v>
      </c>
      <c r="W71" s="261">
        <f t="shared" si="2"/>
        <v>0</v>
      </c>
      <c r="X71" s="133">
        <f t="shared" si="3"/>
        <v>0</v>
      </c>
      <c r="Y71" s="251"/>
      <c r="Z71" s="1736"/>
      <c r="AA71" s="1737"/>
      <c r="AB71" s="77">
        <f t="shared" si="4"/>
        <v>0</v>
      </c>
      <c r="AC71" s="134">
        <f t="shared" si="5"/>
        <v>0</v>
      </c>
      <c r="AD71" s="251"/>
      <c r="AE71" s="1736"/>
      <c r="AF71" s="1737"/>
      <c r="AG71" s="77">
        <f t="shared" si="6"/>
        <v>0</v>
      </c>
      <c r="AH71" s="136">
        <f t="shared" si="7"/>
        <v>0</v>
      </c>
      <c r="AI71" s="251"/>
      <c r="AJ71" s="1736"/>
      <c r="AK71" s="1737"/>
      <c r="AL71" s="79">
        <f t="shared" si="8"/>
        <v>0</v>
      </c>
      <c r="AM71" s="137">
        <f t="shared" si="9"/>
        <v>0</v>
      </c>
      <c r="AN71" s="251"/>
      <c r="AO71" s="1736"/>
      <c r="AP71" s="1737"/>
    </row>
    <row r="72" spans="1:42" s="85" customFormat="1" ht="13.5" thickBot="1">
      <c r="A72" s="240"/>
      <c r="B72" s="241"/>
      <c r="C72" s="242"/>
      <c r="D72" s="242"/>
      <c r="E72" s="243"/>
      <c r="F72" s="244"/>
      <c r="G72" s="244"/>
      <c r="H72" s="243"/>
      <c r="I72" s="258"/>
      <c r="J72" s="245"/>
      <c r="K72" s="245"/>
      <c r="L72" s="76">
        <f t="shared" si="0"/>
        <v>0</v>
      </c>
      <c r="M72" s="246"/>
      <c r="N72" s="247"/>
      <c r="O72" s="248"/>
      <c r="P72" s="246"/>
      <c r="Q72" s="249"/>
      <c r="R72" s="250"/>
      <c r="S72" s="259"/>
      <c r="T72" s="260"/>
      <c r="U72" s="250"/>
      <c r="V72" s="78">
        <f t="shared" si="1"/>
        <v>0</v>
      </c>
      <c r="W72" s="261">
        <f t="shared" si="2"/>
        <v>0</v>
      </c>
      <c r="X72" s="133">
        <f t="shared" si="3"/>
        <v>0</v>
      </c>
      <c r="Y72" s="251"/>
      <c r="Z72" s="1736"/>
      <c r="AA72" s="1737"/>
      <c r="AB72" s="77">
        <f t="shared" si="4"/>
        <v>0</v>
      </c>
      <c r="AC72" s="134">
        <f t="shared" si="5"/>
        <v>0</v>
      </c>
      <c r="AD72" s="251"/>
      <c r="AE72" s="1736"/>
      <c r="AF72" s="1737"/>
      <c r="AG72" s="77">
        <f t="shared" si="6"/>
        <v>0</v>
      </c>
      <c r="AH72" s="136">
        <f t="shared" si="7"/>
        <v>0</v>
      </c>
      <c r="AI72" s="251"/>
      <c r="AJ72" s="1736"/>
      <c r="AK72" s="1737"/>
      <c r="AL72" s="79">
        <f t="shared" si="8"/>
        <v>0</v>
      </c>
      <c r="AM72" s="137">
        <f t="shared" si="9"/>
        <v>0</v>
      </c>
      <c r="AN72" s="251"/>
      <c r="AO72" s="1736"/>
      <c r="AP72" s="1737"/>
    </row>
    <row r="73" spans="1:42" s="85" customFormat="1" ht="13.5" thickBot="1">
      <c r="A73" s="240"/>
      <c r="B73" s="241"/>
      <c r="C73" s="242"/>
      <c r="D73" s="242"/>
      <c r="E73" s="243"/>
      <c r="F73" s="244"/>
      <c r="G73" s="244"/>
      <c r="H73" s="243"/>
      <c r="I73" s="258"/>
      <c r="J73" s="245"/>
      <c r="K73" s="245"/>
      <c r="L73" s="76">
        <f t="shared" si="0"/>
        <v>0</v>
      </c>
      <c r="M73" s="246"/>
      <c r="N73" s="247"/>
      <c r="O73" s="248"/>
      <c r="P73" s="246"/>
      <c r="Q73" s="249"/>
      <c r="R73" s="250"/>
      <c r="S73" s="259"/>
      <c r="T73" s="260"/>
      <c r="U73" s="250"/>
      <c r="V73" s="78">
        <f t="shared" si="1"/>
        <v>0</v>
      </c>
      <c r="W73" s="261">
        <f t="shared" si="2"/>
        <v>0</v>
      </c>
      <c r="X73" s="133">
        <f t="shared" si="3"/>
        <v>0</v>
      </c>
      <c r="Y73" s="251"/>
      <c r="Z73" s="1736"/>
      <c r="AA73" s="1737"/>
      <c r="AB73" s="77">
        <f t="shared" si="4"/>
        <v>0</v>
      </c>
      <c r="AC73" s="134">
        <f t="shared" si="5"/>
        <v>0</v>
      </c>
      <c r="AD73" s="251"/>
      <c r="AE73" s="1736"/>
      <c r="AF73" s="1737"/>
      <c r="AG73" s="77">
        <f t="shared" si="6"/>
        <v>0</v>
      </c>
      <c r="AH73" s="136">
        <f t="shared" si="7"/>
        <v>0</v>
      </c>
      <c r="AI73" s="251"/>
      <c r="AJ73" s="1736"/>
      <c r="AK73" s="1737"/>
      <c r="AL73" s="79">
        <f t="shared" si="8"/>
        <v>0</v>
      </c>
      <c r="AM73" s="137">
        <f t="shared" si="9"/>
        <v>0</v>
      </c>
      <c r="AN73" s="251"/>
      <c r="AO73" s="1736"/>
      <c r="AP73" s="1737"/>
    </row>
    <row r="74" spans="1:42" s="85" customFormat="1" ht="13.5" thickBot="1">
      <c r="A74" s="240"/>
      <c r="B74" s="241"/>
      <c r="C74" s="242"/>
      <c r="D74" s="242"/>
      <c r="E74" s="243"/>
      <c r="F74" s="244"/>
      <c r="G74" s="244"/>
      <c r="H74" s="243"/>
      <c r="I74" s="258"/>
      <c r="J74" s="245"/>
      <c r="K74" s="245"/>
      <c r="L74" s="76">
        <f t="shared" si="0"/>
        <v>0</v>
      </c>
      <c r="M74" s="246"/>
      <c r="N74" s="247"/>
      <c r="O74" s="248"/>
      <c r="P74" s="246"/>
      <c r="Q74" s="249"/>
      <c r="R74" s="250"/>
      <c r="S74" s="259"/>
      <c r="T74" s="260"/>
      <c r="U74" s="250"/>
      <c r="V74" s="78">
        <f t="shared" si="1"/>
        <v>0</v>
      </c>
      <c r="W74" s="261">
        <f t="shared" si="2"/>
        <v>0</v>
      </c>
      <c r="X74" s="133">
        <f t="shared" si="3"/>
        <v>0</v>
      </c>
      <c r="Y74" s="251"/>
      <c r="Z74" s="1736"/>
      <c r="AA74" s="1737"/>
      <c r="AB74" s="77">
        <f t="shared" si="4"/>
        <v>0</v>
      </c>
      <c r="AC74" s="134">
        <f t="shared" si="5"/>
        <v>0</v>
      </c>
      <c r="AD74" s="251"/>
      <c r="AE74" s="1736"/>
      <c r="AF74" s="1737"/>
      <c r="AG74" s="77">
        <f t="shared" si="6"/>
        <v>0</v>
      </c>
      <c r="AH74" s="136">
        <f t="shared" si="7"/>
        <v>0</v>
      </c>
      <c r="AI74" s="251"/>
      <c r="AJ74" s="1736"/>
      <c r="AK74" s="1737"/>
      <c r="AL74" s="79">
        <f t="shared" si="8"/>
        <v>0</v>
      </c>
      <c r="AM74" s="137">
        <f t="shared" si="9"/>
        <v>0</v>
      </c>
      <c r="AN74" s="251"/>
      <c r="AO74" s="1736"/>
      <c r="AP74" s="1737"/>
    </row>
    <row r="75" spans="1:42" s="85" customFormat="1" ht="13.5" thickBot="1">
      <c r="A75" s="240"/>
      <c r="B75" s="241"/>
      <c r="C75" s="242"/>
      <c r="D75" s="242"/>
      <c r="E75" s="243"/>
      <c r="F75" s="244"/>
      <c r="G75" s="244"/>
      <c r="H75" s="243"/>
      <c r="I75" s="258"/>
      <c r="J75" s="245"/>
      <c r="K75" s="245"/>
      <c r="L75" s="76">
        <f t="shared" ref="L75:L138" si="10">IF(I75=0,0,(K75+J75)/I75)</f>
        <v>0</v>
      </c>
      <c r="M75" s="246"/>
      <c r="N75" s="247"/>
      <c r="O75" s="248"/>
      <c r="P75" s="246"/>
      <c r="Q75" s="249"/>
      <c r="R75" s="250"/>
      <c r="S75" s="259"/>
      <c r="T75" s="260"/>
      <c r="U75" s="250"/>
      <c r="V75" s="78">
        <f t="shared" ref="V75:V138" si="11">IF(U75=0,0,((U75*S75)-AB75-AL75))</f>
        <v>0</v>
      </c>
      <c r="W75" s="261">
        <f t="shared" ref="W75:W138" si="12">+S75-I75</f>
        <v>0</v>
      </c>
      <c r="X75" s="133">
        <f t="shared" ref="X75:X138" si="13">(V75-J75)</f>
        <v>0</v>
      </c>
      <c r="Y75" s="251"/>
      <c r="Z75" s="1736"/>
      <c r="AA75" s="1737"/>
      <c r="AB75" s="77">
        <f t="shared" ref="AB75:AB138" si="14">(IF(I75=0,0,M75/H75))*S75</f>
        <v>0</v>
      </c>
      <c r="AC75" s="134">
        <f t="shared" ref="AC75:AC138" si="15">+AB75-P75</f>
        <v>0</v>
      </c>
      <c r="AD75" s="251"/>
      <c r="AE75" s="1736"/>
      <c r="AF75" s="1737"/>
      <c r="AG75" s="77">
        <f t="shared" ref="AG75:AG138" si="16">(IF(H75=0,0,N75/H75))*T75</f>
        <v>0</v>
      </c>
      <c r="AH75" s="136">
        <f t="shared" ref="AH75:AH138" si="17">+AG75-Q75</f>
        <v>0</v>
      </c>
      <c r="AI75" s="251"/>
      <c r="AJ75" s="1736"/>
      <c r="AK75" s="1737"/>
      <c r="AL75" s="79">
        <f t="shared" ref="AL75:AL138" si="18">+O75*S75</f>
        <v>0</v>
      </c>
      <c r="AM75" s="137">
        <f t="shared" ref="AM75:AM138" si="19">+AL75-R75</f>
        <v>0</v>
      </c>
      <c r="AN75" s="251"/>
      <c r="AO75" s="1736"/>
      <c r="AP75" s="1737"/>
    </row>
    <row r="76" spans="1:42" s="85" customFormat="1" ht="13.5" thickBot="1">
      <c r="A76" s="240"/>
      <c r="B76" s="241"/>
      <c r="C76" s="242"/>
      <c r="D76" s="242"/>
      <c r="E76" s="243"/>
      <c r="F76" s="244"/>
      <c r="G76" s="244"/>
      <c r="H76" s="243"/>
      <c r="I76" s="258"/>
      <c r="J76" s="245"/>
      <c r="K76" s="245"/>
      <c r="L76" s="76">
        <f t="shared" si="10"/>
        <v>0</v>
      </c>
      <c r="M76" s="246"/>
      <c r="N76" s="247"/>
      <c r="O76" s="248"/>
      <c r="P76" s="246"/>
      <c r="Q76" s="249"/>
      <c r="R76" s="250"/>
      <c r="S76" s="259"/>
      <c r="T76" s="260"/>
      <c r="U76" s="250"/>
      <c r="V76" s="78">
        <f t="shared" si="11"/>
        <v>0</v>
      </c>
      <c r="W76" s="261">
        <f t="shared" si="12"/>
        <v>0</v>
      </c>
      <c r="X76" s="133">
        <f t="shared" si="13"/>
        <v>0</v>
      </c>
      <c r="Y76" s="251"/>
      <c r="Z76" s="1736"/>
      <c r="AA76" s="1737"/>
      <c r="AB76" s="77">
        <f t="shared" si="14"/>
        <v>0</v>
      </c>
      <c r="AC76" s="134">
        <f t="shared" si="15"/>
        <v>0</v>
      </c>
      <c r="AD76" s="251"/>
      <c r="AE76" s="1736"/>
      <c r="AF76" s="1737"/>
      <c r="AG76" s="77">
        <f t="shared" si="16"/>
        <v>0</v>
      </c>
      <c r="AH76" s="136">
        <f t="shared" si="17"/>
        <v>0</v>
      </c>
      <c r="AI76" s="251"/>
      <c r="AJ76" s="1736"/>
      <c r="AK76" s="1737"/>
      <c r="AL76" s="79">
        <f t="shared" si="18"/>
        <v>0</v>
      </c>
      <c r="AM76" s="137">
        <f t="shared" si="19"/>
        <v>0</v>
      </c>
      <c r="AN76" s="251"/>
      <c r="AO76" s="1736"/>
      <c r="AP76" s="1737"/>
    </row>
    <row r="77" spans="1:42" s="85" customFormat="1" ht="13.5" thickBot="1">
      <c r="A77" s="240"/>
      <c r="B77" s="241"/>
      <c r="C77" s="242"/>
      <c r="D77" s="242"/>
      <c r="E77" s="243"/>
      <c r="F77" s="244"/>
      <c r="G77" s="244"/>
      <c r="H77" s="243"/>
      <c r="I77" s="258"/>
      <c r="J77" s="245"/>
      <c r="K77" s="245"/>
      <c r="L77" s="76">
        <f t="shared" si="10"/>
        <v>0</v>
      </c>
      <c r="M77" s="246"/>
      <c r="N77" s="247"/>
      <c r="O77" s="248"/>
      <c r="P77" s="246"/>
      <c r="Q77" s="249"/>
      <c r="R77" s="250"/>
      <c r="S77" s="259"/>
      <c r="T77" s="260"/>
      <c r="U77" s="250"/>
      <c r="V77" s="78">
        <f t="shared" si="11"/>
        <v>0</v>
      </c>
      <c r="W77" s="261">
        <f t="shared" si="12"/>
        <v>0</v>
      </c>
      <c r="X77" s="133">
        <f t="shared" si="13"/>
        <v>0</v>
      </c>
      <c r="Y77" s="251"/>
      <c r="Z77" s="1736"/>
      <c r="AA77" s="1737"/>
      <c r="AB77" s="77">
        <f t="shared" si="14"/>
        <v>0</v>
      </c>
      <c r="AC77" s="134">
        <f t="shared" si="15"/>
        <v>0</v>
      </c>
      <c r="AD77" s="251"/>
      <c r="AE77" s="1736"/>
      <c r="AF77" s="1737"/>
      <c r="AG77" s="77">
        <f t="shared" si="16"/>
        <v>0</v>
      </c>
      <c r="AH77" s="136">
        <f t="shared" si="17"/>
        <v>0</v>
      </c>
      <c r="AI77" s="251"/>
      <c r="AJ77" s="1736"/>
      <c r="AK77" s="1737"/>
      <c r="AL77" s="79">
        <f t="shared" si="18"/>
        <v>0</v>
      </c>
      <c r="AM77" s="137">
        <f t="shared" si="19"/>
        <v>0</v>
      </c>
      <c r="AN77" s="251"/>
      <c r="AO77" s="1736"/>
      <c r="AP77" s="1737"/>
    </row>
    <row r="78" spans="1:42" s="85" customFormat="1" ht="13.5" thickBot="1">
      <c r="A78" s="240"/>
      <c r="B78" s="241"/>
      <c r="C78" s="242"/>
      <c r="D78" s="242"/>
      <c r="E78" s="243"/>
      <c r="F78" s="244"/>
      <c r="G78" s="244"/>
      <c r="H78" s="243"/>
      <c r="I78" s="258"/>
      <c r="J78" s="245"/>
      <c r="K78" s="245"/>
      <c r="L78" s="76">
        <f t="shared" si="10"/>
        <v>0</v>
      </c>
      <c r="M78" s="246"/>
      <c r="N78" s="247"/>
      <c r="O78" s="248"/>
      <c r="P78" s="246"/>
      <c r="Q78" s="249"/>
      <c r="R78" s="250"/>
      <c r="S78" s="259"/>
      <c r="T78" s="260"/>
      <c r="U78" s="250"/>
      <c r="V78" s="78">
        <f t="shared" si="11"/>
        <v>0</v>
      </c>
      <c r="W78" s="261">
        <f t="shared" si="12"/>
        <v>0</v>
      </c>
      <c r="X78" s="133">
        <f t="shared" si="13"/>
        <v>0</v>
      </c>
      <c r="Y78" s="251"/>
      <c r="Z78" s="1736"/>
      <c r="AA78" s="1737"/>
      <c r="AB78" s="77">
        <f t="shared" si="14"/>
        <v>0</v>
      </c>
      <c r="AC78" s="134">
        <f t="shared" si="15"/>
        <v>0</v>
      </c>
      <c r="AD78" s="251"/>
      <c r="AE78" s="1736"/>
      <c r="AF78" s="1737"/>
      <c r="AG78" s="77">
        <f t="shared" si="16"/>
        <v>0</v>
      </c>
      <c r="AH78" s="136">
        <f t="shared" si="17"/>
        <v>0</v>
      </c>
      <c r="AI78" s="251"/>
      <c r="AJ78" s="1736"/>
      <c r="AK78" s="1737"/>
      <c r="AL78" s="79">
        <f t="shared" si="18"/>
        <v>0</v>
      </c>
      <c r="AM78" s="137">
        <f t="shared" si="19"/>
        <v>0</v>
      </c>
      <c r="AN78" s="251"/>
      <c r="AO78" s="1736"/>
      <c r="AP78" s="1737"/>
    </row>
    <row r="79" spans="1:42" s="85" customFormat="1" ht="13.5" thickBot="1">
      <c r="A79" s="240"/>
      <c r="B79" s="241"/>
      <c r="C79" s="242"/>
      <c r="D79" s="242"/>
      <c r="E79" s="243"/>
      <c r="F79" s="244"/>
      <c r="G79" s="244"/>
      <c r="H79" s="243"/>
      <c r="I79" s="258"/>
      <c r="J79" s="245"/>
      <c r="K79" s="245"/>
      <c r="L79" s="76">
        <f t="shared" si="10"/>
        <v>0</v>
      </c>
      <c r="M79" s="246"/>
      <c r="N79" s="247"/>
      <c r="O79" s="248"/>
      <c r="P79" s="246"/>
      <c r="Q79" s="249"/>
      <c r="R79" s="250"/>
      <c r="S79" s="259"/>
      <c r="T79" s="260"/>
      <c r="U79" s="250"/>
      <c r="V79" s="78">
        <f t="shared" si="11"/>
        <v>0</v>
      </c>
      <c r="W79" s="261">
        <f t="shared" si="12"/>
        <v>0</v>
      </c>
      <c r="X79" s="133">
        <f t="shared" si="13"/>
        <v>0</v>
      </c>
      <c r="Y79" s="251"/>
      <c r="Z79" s="1736"/>
      <c r="AA79" s="1737"/>
      <c r="AB79" s="77">
        <f t="shared" si="14"/>
        <v>0</v>
      </c>
      <c r="AC79" s="134">
        <f t="shared" si="15"/>
        <v>0</v>
      </c>
      <c r="AD79" s="251"/>
      <c r="AE79" s="1736"/>
      <c r="AF79" s="1737"/>
      <c r="AG79" s="77">
        <f t="shared" si="16"/>
        <v>0</v>
      </c>
      <c r="AH79" s="136">
        <f t="shared" si="17"/>
        <v>0</v>
      </c>
      <c r="AI79" s="251"/>
      <c r="AJ79" s="1736"/>
      <c r="AK79" s="1737"/>
      <c r="AL79" s="79">
        <f t="shared" si="18"/>
        <v>0</v>
      </c>
      <c r="AM79" s="137">
        <f t="shared" si="19"/>
        <v>0</v>
      </c>
      <c r="AN79" s="251"/>
      <c r="AO79" s="1736"/>
      <c r="AP79" s="1737"/>
    </row>
    <row r="80" spans="1:42" s="85" customFormat="1" ht="13.5" thickBot="1">
      <c r="A80" s="240"/>
      <c r="B80" s="241"/>
      <c r="C80" s="242"/>
      <c r="D80" s="242"/>
      <c r="E80" s="243"/>
      <c r="F80" s="244"/>
      <c r="G80" s="244"/>
      <c r="H80" s="243"/>
      <c r="I80" s="258"/>
      <c r="J80" s="245"/>
      <c r="K80" s="245"/>
      <c r="L80" s="76">
        <f t="shared" si="10"/>
        <v>0</v>
      </c>
      <c r="M80" s="246"/>
      <c r="N80" s="247"/>
      <c r="O80" s="248"/>
      <c r="P80" s="246"/>
      <c r="Q80" s="249"/>
      <c r="R80" s="250"/>
      <c r="S80" s="259"/>
      <c r="T80" s="260"/>
      <c r="U80" s="250"/>
      <c r="V80" s="78">
        <f t="shared" si="11"/>
        <v>0</v>
      </c>
      <c r="W80" s="261">
        <f t="shared" si="12"/>
        <v>0</v>
      </c>
      <c r="X80" s="133">
        <f t="shared" si="13"/>
        <v>0</v>
      </c>
      <c r="Y80" s="251"/>
      <c r="Z80" s="1736"/>
      <c r="AA80" s="1737"/>
      <c r="AB80" s="77">
        <f t="shared" si="14"/>
        <v>0</v>
      </c>
      <c r="AC80" s="134">
        <f t="shared" si="15"/>
        <v>0</v>
      </c>
      <c r="AD80" s="251"/>
      <c r="AE80" s="1736"/>
      <c r="AF80" s="1737"/>
      <c r="AG80" s="77">
        <f t="shared" si="16"/>
        <v>0</v>
      </c>
      <c r="AH80" s="136">
        <f t="shared" si="17"/>
        <v>0</v>
      </c>
      <c r="AI80" s="251"/>
      <c r="AJ80" s="1736"/>
      <c r="AK80" s="1737"/>
      <c r="AL80" s="79">
        <f t="shared" si="18"/>
        <v>0</v>
      </c>
      <c r="AM80" s="137">
        <f t="shared" si="19"/>
        <v>0</v>
      </c>
      <c r="AN80" s="251"/>
      <c r="AO80" s="1736"/>
      <c r="AP80" s="1737"/>
    </row>
    <row r="81" spans="1:42" s="85" customFormat="1" ht="13.5" thickBot="1">
      <c r="A81" s="240"/>
      <c r="B81" s="241"/>
      <c r="C81" s="242"/>
      <c r="D81" s="242"/>
      <c r="E81" s="243"/>
      <c r="F81" s="244"/>
      <c r="G81" s="244"/>
      <c r="H81" s="243"/>
      <c r="I81" s="258"/>
      <c r="J81" s="245"/>
      <c r="K81" s="245"/>
      <c r="L81" s="76">
        <f t="shared" si="10"/>
        <v>0</v>
      </c>
      <c r="M81" s="246"/>
      <c r="N81" s="247"/>
      <c r="O81" s="248"/>
      <c r="P81" s="246"/>
      <c r="Q81" s="249"/>
      <c r="R81" s="250"/>
      <c r="S81" s="259"/>
      <c r="T81" s="260"/>
      <c r="U81" s="250"/>
      <c r="V81" s="78">
        <f t="shared" si="11"/>
        <v>0</v>
      </c>
      <c r="W81" s="261">
        <f t="shared" si="12"/>
        <v>0</v>
      </c>
      <c r="X81" s="133">
        <f t="shared" si="13"/>
        <v>0</v>
      </c>
      <c r="Y81" s="251"/>
      <c r="Z81" s="1736"/>
      <c r="AA81" s="1737"/>
      <c r="AB81" s="77">
        <f t="shared" si="14"/>
        <v>0</v>
      </c>
      <c r="AC81" s="134">
        <f t="shared" si="15"/>
        <v>0</v>
      </c>
      <c r="AD81" s="251"/>
      <c r="AE81" s="1736"/>
      <c r="AF81" s="1737"/>
      <c r="AG81" s="77">
        <f t="shared" si="16"/>
        <v>0</v>
      </c>
      <c r="AH81" s="136">
        <f t="shared" si="17"/>
        <v>0</v>
      </c>
      <c r="AI81" s="251"/>
      <c r="AJ81" s="1736"/>
      <c r="AK81" s="1737"/>
      <c r="AL81" s="79">
        <f t="shared" si="18"/>
        <v>0</v>
      </c>
      <c r="AM81" s="137">
        <f t="shared" si="19"/>
        <v>0</v>
      </c>
      <c r="AN81" s="251"/>
      <c r="AO81" s="1736"/>
      <c r="AP81" s="1737"/>
    </row>
    <row r="82" spans="1:42" s="85" customFormat="1" ht="13.5" thickBot="1">
      <c r="A82" s="240"/>
      <c r="B82" s="241"/>
      <c r="C82" s="242"/>
      <c r="D82" s="242"/>
      <c r="E82" s="243"/>
      <c r="F82" s="244"/>
      <c r="G82" s="244"/>
      <c r="H82" s="243"/>
      <c r="I82" s="258"/>
      <c r="J82" s="245"/>
      <c r="K82" s="245"/>
      <c r="L82" s="76">
        <f t="shared" si="10"/>
        <v>0</v>
      </c>
      <c r="M82" s="246"/>
      <c r="N82" s="247"/>
      <c r="O82" s="248"/>
      <c r="P82" s="246"/>
      <c r="Q82" s="249"/>
      <c r="R82" s="250"/>
      <c r="S82" s="259"/>
      <c r="T82" s="260"/>
      <c r="U82" s="250"/>
      <c r="V82" s="78">
        <f t="shared" si="11"/>
        <v>0</v>
      </c>
      <c r="W82" s="261">
        <f t="shared" si="12"/>
        <v>0</v>
      </c>
      <c r="X82" s="133">
        <f t="shared" si="13"/>
        <v>0</v>
      </c>
      <c r="Y82" s="251"/>
      <c r="Z82" s="1736"/>
      <c r="AA82" s="1737"/>
      <c r="AB82" s="77">
        <f t="shared" si="14"/>
        <v>0</v>
      </c>
      <c r="AC82" s="134">
        <f t="shared" si="15"/>
        <v>0</v>
      </c>
      <c r="AD82" s="251"/>
      <c r="AE82" s="1736"/>
      <c r="AF82" s="1737"/>
      <c r="AG82" s="77">
        <f t="shared" si="16"/>
        <v>0</v>
      </c>
      <c r="AH82" s="136">
        <f t="shared" si="17"/>
        <v>0</v>
      </c>
      <c r="AI82" s="251"/>
      <c r="AJ82" s="1736"/>
      <c r="AK82" s="1737"/>
      <c r="AL82" s="79">
        <f t="shared" si="18"/>
        <v>0</v>
      </c>
      <c r="AM82" s="137">
        <f t="shared" si="19"/>
        <v>0</v>
      </c>
      <c r="AN82" s="251"/>
      <c r="AO82" s="1736"/>
      <c r="AP82" s="1737"/>
    </row>
    <row r="83" spans="1:42" s="85" customFormat="1" ht="13.5" thickBot="1">
      <c r="A83" s="240"/>
      <c r="B83" s="241"/>
      <c r="C83" s="242"/>
      <c r="D83" s="242"/>
      <c r="E83" s="243"/>
      <c r="F83" s="244"/>
      <c r="G83" s="244"/>
      <c r="H83" s="243"/>
      <c r="I83" s="258"/>
      <c r="J83" s="245"/>
      <c r="K83" s="245"/>
      <c r="L83" s="76">
        <f t="shared" si="10"/>
        <v>0</v>
      </c>
      <c r="M83" s="246"/>
      <c r="N83" s="247"/>
      <c r="O83" s="248"/>
      <c r="P83" s="246"/>
      <c r="Q83" s="249"/>
      <c r="R83" s="250"/>
      <c r="S83" s="259"/>
      <c r="T83" s="260"/>
      <c r="U83" s="250"/>
      <c r="V83" s="78">
        <f t="shared" si="11"/>
        <v>0</v>
      </c>
      <c r="W83" s="261">
        <f t="shared" si="12"/>
        <v>0</v>
      </c>
      <c r="X83" s="133">
        <f t="shared" si="13"/>
        <v>0</v>
      </c>
      <c r="Y83" s="251"/>
      <c r="Z83" s="1736"/>
      <c r="AA83" s="1737"/>
      <c r="AB83" s="77">
        <f t="shared" si="14"/>
        <v>0</v>
      </c>
      <c r="AC83" s="134">
        <f t="shared" si="15"/>
        <v>0</v>
      </c>
      <c r="AD83" s="251"/>
      <c r="AE83" s="1736"/>
      <c r="AF83" s="1737"/>
      <c r="AG83" s="77">
        <f t="shared" si="16"/>
        <v>0</v>
      </c>
      <c r="AH83" s="136">
        <f t="shared" si="17"/>
        <v>0</v>
      </c>
      <c r="AI83" s="251"/>
      <c r="AJ83" s="1736"/>
      <c r="AK83" s="1737"/>
      <c r="AL83" s="79">
        <f t="shared" si="18"/>
        <v>0</v>
      </c>
      <c r="AM83" s="137">
        <f t="shared" si="19"/>
        <v>0</v>
      </c>
      <c r="AN83" s="251"/>
      <c r="AO83" s="1736"/>
      <c r="AP83" s="1737"/>
    </row>
    <row r="84" spans="1:42" s="85" customFormat="1" ht="13.5" thickBot="1">
      <c r="A84" s="240"/>
      <c r="B84" s="241"/>
      <c r="C84" s="242"/>
      <c r="D84" s="242"/>
      <c r="E84" s="243"/>
      <c r="F84" s="244"/>
      <c r="G84" s="244"/>
      <c r="H84" s="243"/>
      <c r="I84" s="258"/>
      <c r="J84" s="245"/>
      <c r="K84" s="245"/>
      <c r="L84" s="76">
        <f t="shared" si="10"/>
        <v>0</v>
      </c>
      <c r="M84" s="246"/>
      <c r="N84" s="247"/>
      <c r="O84" s="248"/>
      <c r="P84" s="246"/>
      <c r="Q84" s="249"/>
      <c r="R84" s="250"/>
      <c r="S84" s="259"/>
      <c r="T84" s="260"/>
      <c r="U84" s="250"/>
      <c r="V84" s="78">
        <f t="shared" si="11"/>
        <v>0</v>
      </c>
      <c r="W84" s="261">
        <f t="shared" si="12"/>
        <v>0</v>
      </c>
      <c r="X84" s="133">
        <f t="shared" si="13"/>
        <v>0</v>
      </c>
      <c r="Y84" s="251"/>
      <c r="Z84" s="1736"/>
      <c r="AA84" s="1737"/>
      <c r="AB84" s="77">
        <f t="shared" si="14"/>
        <v>0</v>
      </c>
      <c r="AC84" s="134">
        <f t="shared" si="15"/>
        <v>0</v>
      </c>
      <c r="AD84" s="251"/>
      <c r="AE84" s="1736"/>
      <c r="AF84" s="1737"/>
      <c r="AG84" s="77">
        <f t="shared" si="16"/>
        <v>0</v>
      </c>
      <c r="AH84" s="136">
        <f t="shared" si="17"/>
        <v>0</v>
      </c>
      <c r="AI84" s="251"/>
      <c r="AJ84" s="1736"/>
      <c r="AK84" s="1737"/>
      <c r="AL84" s="79">
        <f t="shared" si="18"/>
        <v>0</v>
      </c>
      <c r="AM84" s="137">
        <f t="shared" si="19"/>
        <v>0</v>
      </c>
      <c r="AN84" s="251"/>
      <c r="AO84" s="1736"/>
      <c r="AP84" s="1737"/>
    </row>
    <row r="85" spans="1:42" s="85" customFormat="1" ht="13.5" thickBot="1">
      <c r="A85" s="240"/>
      <c r="B85" s="241"/>
      <c r="C85" s="242"/>
      <c r="D85" s="242"/>
      <c r="E85" s="243"/>
      <c r="F85" s="244"/>
      <c r="G85" s="244"/>
      <c r="H85" s="243"/>
      <c r="I85" s="258"/>
      <c r="J85" s="245"/>
      <c r="K85" s="245"/>
      <c r="L85" s="76">
        <f t="shared" si="10"/>
        <v>0</v>
      </c>
      <c r="M85" s="246"/>
      <c r="N85" s="247"/>
      <c r="O85" s="248"/>
      <c r="P85" s="246"/>
      <c r="Q85" s="249"/>
      <c r="R85" s="250"/>
      <c r="S85" s="259"/>
      <c r="T85" s="260"/>
      <c r="U85" s="250"/>
      <c r="V85" s="78">
        <f t="shared" si="11"/>
        <v>0</v>
      </c>
      <c r="W85" s="261">
        <f t="shared" si="12"/>
        <v>0</v>
      </c>
      <c r="X85" s="133">
        <f t="shared" si="13"/>
        <v>0</v>
      </c>
      <c r="Y85" s="251"/>
      <c r="Z85" s="1736"/>
      <c r="AA85" s="1737"/>
      <c r="AB85" s="77">
        <f t="shared" si="14"/>
        <v>0</v>
      </c>
      <c r="AC85" s="134">
        <f t="shared" si="15"/>
        <v>0</v>
      </c>
      <c r="AD85" s="251"/>
      <c r="AE85" s="1736"/>
      <c r="AF85" s="1737"/>
      <c r="AG85" s="77">
        <f t="shared" si="16"/>
        <v>0</v>
      </c>
      <c r="AH85" s="136">
        <f t="shared" si="17"/>
        <v>0</v>
      </c>
      <c r="AI85" s="251"/>
      <c r="AJ85" s="1736"/>
      <c r="AK85" s="1737"/>
      <c r="AL85" s="79">
        <f t="shared" si="18"/>
        <v>0</v>
      </c>
      <c r="AM85" s="137">
        <f t="shared" si="19"/>
        <v>0</v>
      </c>
      <c r="AN85" s="251"/>
      <c r="AO85" s="1736"/>
      <c r="AP85" s="1737"/>
    </row>
    <row r="86" spans="1:42" s="85" customFormat="1" ht="13.5" thickBot="1">
      <c r="A86" s="240"/>
      <c r="B86" s="241"/>
      <c r="C86" s="242"/>
      <c r="D86" s="242"/>
      <c r="E86" s="243"/>
      <c r="F86" s="244"/>
      <c r="G86" s="244"/>
      <c r="H86" s="243"/>
      <c r="I86" s="258"/>
      <c r="J86" s="245"/>
      <c r="K86" s="245"/>
      <c r="L86" s="76">
        <f t="shared" si="10"/>
        <v>0</v>
      </c>
      <c r="M86" s="246"/>
      <c r="N86" s="247"/>
      <c r="O86" s="248"/>
      <c r="P86" s="246"/>
      <c r="Q86" s="249"/>
      <c r="R86" s="250"/>
      <c r="S86" s="259"/>
      <c r="T86" s="260"/>
      <c r="U86" s="250"/>
      <c r="V86" s="78">
        <f t="shared" si="11"/>
        <v>0</v>
      </c>
      <c r="W86" s="261">
        <f t="shared" si="12"/>
        <v>0</v>
      </c>
      <c r="X86" s="133">
        <f t="shared" si="13"/>
        <v>0</v>
      </c>
      <c r="Y86" s="251"/>
      <c r="Z86" s="1736"/>
      <c r="AA86" s="1737"/>
      <c r="AB86" s="77">
        <f t="shared" si="14"/>
        <v>0</v>
      </c>
      <c r="AC86" s="134">
        <f t="shared" si="15"/>
        <v>0</v>
      </c>
      <c r="AD86" s="251"/>
      <c r="AE86" s="1736"/>
      <c r="AF86" s="1737"/>
      <c r="AG86" s="77">
        <f t="shared" si="16"/>
        <v>0</v>
      </c>
      <c r="AH86" s="136">
        <f t="shared" si="17"/>
        <v>0</v>
      </c>
      <c r="AI86" s="251"/>
      <c r="AJ86" s="1736"/>
      <c r="AK86" s="1737"/>
      <c r="AL86" s="79">
        <f t="shared" si="18"/>
        <v>0</v>
      </c>
      <c r="AM86" s="137">
        <f t="shared" si="19"/>
        <v>0</v>
      </c>
      <c r="AN86" s="251"/>
      <c r="AO86" s="1736"/>
      <c r="AP86" s="1737"/>
    </row>
    <row r="87" spans="1:42" s="85" customFormat="1" ht="13.5" thickBot="1">
      <c r="A87" s="240"/>
      <c r="B87" s="241"/>
      <c r="C87" s="242"/>
      <c r="D87" s="242"/>
      <c r="E87" s="243"/>
      <c r="F87" s="244"/>
      <c r="G87" s="244"/>
      <c r="H87" s="243"/>
      <c r="I87" s="258"/>
      <c r="J87" s="245"/>
      <c r="K87" s="245"/>
      <c r="L87" s="76">
        <f t="shared" si="10"/>
        <v>0</v>
      </c>
      <c r="M87" s="246"/>
      <c r="N87" s="247"/>
      <c r="O87" s="248"/>
      <c r="P87" s="246"/>
      <c r="Q87" s="249"/>
      <c r="R87" s="250"/>
      <c r="S87" s="259"/>
      <c r="T87" s="260"/>
      <c r="U87" s="250"/>
      <c r="V87" s="78">
        <f t="shared" si="11"/>
        <v>0</v>
      </c>
      <c r="W87" s="261">
        <f t="shared" si="12"/>
        <v>0</v>
      </c>
      <c r="X87" s="133">
        <f t="shared" si="13"/>
        <v>0</v>
      </c>
      <c r="Y87" s="251"/>
      <c r="Z87" s="1736"/>
      <c r="AA87" s="1737"/>
      <c r="AB87" s="77">
        <f t="shared" si="14"/>
        <v>0</v>
      </c>
      <c r="AC87" s="134">
        <f t="shared" si="15"/>
        <v>0</v>
      </c>
      <c r="AD87" s="251"/>
      <c r="AE87" s="1736"/>
      <c r="AF87" s="1737"/>
      <c r="AG87" s="77">
        <f t="shared" si="16"/>
        <v>0</v>
      </c>
      <c r="AH87" s="136">
        <f t="shared" si="17"/>
        <v>0</v>
      </c>
      <c r="AI87" s="251"/>
      <c r="AJ87" s="1736"/>
      <c r="AK87" s="1737"/>
      <c r="AL87" s="79">
        <f t="shared" si="18"/>
        <v>0</v>
      </c>
      <c r="AM87" s="137">
        <f t="shared" si="19"/>
        <v>0</v>
      </c>
      <c r="AN87" s="251"/>
      <c r="AO87" s="1736"/>
      <c r="AP87" s="1737"/>
    </row>
    <row r="88" spans="1:42" s="85" customFormat="1" ht="13.5" thickBot="1">
      <c r="A88" s="240"/>
      <c r="B88" s="241"/>
      <c r="C88" s="242"/>
      <c r="D88" s="242"/>
      <c r="E88" s="243"/>
      <c r="F88" s="244"/>
      <c r="G88" s="244"/>
      <c r="H88" s="243"/>
      <c r="I88" s="258"/>
      <c r="J88" s="245"/>
      <c r="K88" s="245"/>
      <c r="L88" s="76">
        <f t="shared" si="10"/>
        <v>0</v>
      </c>
      <c r="M88" s="246"/>
      <c r="N88" s="247"/>
      <c r="O88" s="248"/>
      <c r="P88" s="246"/>
      <c r="Q88" s="249"/>
      <c r="R88" s="250"/>
      <c r="S88" s="259"/>
      <c r="T88" s="260"/>
      <c r="U88" s="250"/>
      <c r="V88" s="78">
        <f t="shared" si="11"/>
        <v>0</v>
      </c>
      <c r="W88" s="261">
        <f t="shared" si="12"/>
        <v>0</v>
      </c>
      <c r="X88" s="133">
        <f t="shared" si="13"/>
        <v>0</v>
      </c>
      <c r="Y88" s="251"/>
      <c r="Z88" s="1736"/>
      <c r="AA88" s="1737"/>
      <c r="AB88" s="77">
        <f t="shared" si="14"/>
        <v>0</v>
      </c>
      <c r="AC88" s="134">
        <f t="shared" si="15"/>
        <v>0</v>
      </c>
      <c r="AD88" s="251"/>
      <c r="AE88" s="1736"/>
      <c r="AF88" s="1737"/>
      <c r="AG88" s="77">
        <f t="shared" si="16"/>
        <v>0</v>
      </c>
      <c r="AH88" s="136">
        <f t="shared" si="17"/>
        <v>0</v>
      </c>
      <c r="AI88" s="251"/>
      <c r="AJ88" s="1736"/>
      <c r="AK88" s="1737"/>
      <c r="AL88" s="79">
        <f t="shared" si="18"/>
        <v>0</v>
      </c>
      <c r="AM88" s="137">
        <f t="shared" si="19"/>
        <v>0</v>
      </c>
      <c r="AN88" s="251"/>
      <c r="AO88" s="1736"/>
      <c r="AP88" s="1737"/>
    </row>
    <row r="89" spans="1:42" s="85" customFormat="1" ht="13.5" thickBot="1">
      <c r="A89" s="240"/>
      <c r="B89" s="241"/>
      <c r="C89" s="242"/>
      <c r="D89" s="242"/>
      <c r="E89" s="243"/>
      <c r="F89" s="244"/>
      <c r="G89" s="244"/>
      <c r="H89" s="243"/>
      <c r="I89" s="258"/>
      <c r="J89" s="245"/>
      <c r="K89" s="245"/>
      <c r="L89" s="76">
        <f t="shared" si="10"/>
        <v>0</v>
      </c>
      <c r="M89" s="246"/>
      <c r="N89" s="247"/>
      <c r="O89" s="248"/>
      <c r="P89" s="246"/>
      <c r="Q89" s="249"/>
      <c r="R89" s="250"/>
      <c r="S89" s="259"/>
      <c r="T89" s="260"/>
      <c r="U89" s="250"/>
      <c r="V89" s="78">
        <f t="shared" si="11"/>
        <v>0</v>
      </c>
      <c r="W89" s="261">
        <f t="shared" si="12"/>
        <v>0</v>
      </c>
      <c r="X89" s="133">
        <f t="shared" si="13"/>
        <v>0</v>
      </c>
      <c r="Y89" s="251"/>
      <c r="Z89" s="1736"/>
      <c r="AA89" s="1737"/>
      <c r="AB89" s="77">
        <f t="shared" si="14"/>
        <v>0</v>
      </c>
      <c r="AC89" s="134">
        <f t="shared" si="15"/>
        <v>0</v>
      </c>
      <c r="AD89" s="251"/>
      <c r="AE89" s="1736"/>
      <c r="AF89" s="1737"/>
      <c r="AG89" s="77">
        <f t="shared" si="16"/>
        <v>0</v>
      </c>
      <c r="AH89" s="136">
        <f t="shared" si="17"/>
        <v>0</v>
      </c>
      <c r="AI89" s="251"/>
      <c r="AJ89" s="1736"/>
      <c r="AK89" s="1737"/>
      <c r="AL89" s="79">
        <f t="shared" si="18"/>
        <v>0</v>
      </c>
      <c r="AM89" s="137">
        <f t="shared" si="19"/>
        <v>0</v>
      </c>
      <c r="AN89" s="251"/>
      <c r="AO89" s="1736"/>
      <c r="AP89" s="1737"/>
    </row>
    <row r="90" spans="1:42" s="85" customFormat="1" ht="13.5" thickBot="1">
      <c r="A90" s="240"/>
      <c r="B90" s="241"/>
      <c r="C90" s="242"/>
      <c r="D90" s="242"/>
      <c r="E90" s="243"/>
      <c r="F90" s="244"/>
      <c r="G90" s="244"/>
      <c r="H90" s="243"/>
      <c r="I90" s="258"/>
      <c r="J90" s="245"/>
      <c r="K90" s="245"/>
      <c r="L90" s="76">
        <f t="shared" si="10"/>
        <v>0</v>
      </c>
      <c r="M90" s="246"/>
      <c r="N90" s="247"/>
      <c r="O90" s="248"/>
      <c r="P90" s="246"/>
      <c r="Q90" s="249"/>
      <c r="R90" s="250"/>
      <c r="S90" s="259"/>
      <c r="T90" s="260"/>
      <c r="U90" s="250"/>
      <c r="V90" s="78">
        <f t="shared" si="11"/>
        <v>0</v>
      </c>
      <c r="W90" s="261">
        <f t="shared" si="12"/>
        <v>0</v>
      </c>
      <c r="X90" s="133">
        <f t="shared" si="13"/>
        <v>0</v>
      </c>
      <c r="Y90" s="251"/>
      <c r="Z90" s="1736"/>
      <c r="AA90" s="1737"/>
      <c r="AB90" s="77">
        <f t="shared" si="14"/>
        <v>0</v>
      </c>
      <c r="AC90" s="134">
        <f t="shared" si="15"/>
        <v>0</v>
      </c>
      <c r="AD90" s="251"/>
      <c r="AE90" s="1736"/>
      <c r="AF90" s="1737"/>
      <c r="AG90" s="77">
        <f t="shared" si="16"/>
        <v>0</v>
      </c>
      <c r="AH90" s="136">
        <f t="shared" si="17"/>
        <v>0</v>
      </c>
      <c r="AI90" s="251"/>
      <c r="AJ90" s="1736"/>
      <c r="AK90" s="1737"/>
      <c r="AL90" s="79">
        <f t="shared" si="18"/>
        <v>0</v>
      </c>
      <c r="AM90" s="137">
        <f t="shared" si="19"/>
        <v>0</v>
      </c>
      <c r="AN90" s="251"/>
      <c r="AO90" s="1736"/>
      <c r="AP90" s="1737"/>
    </row>
    <row r="91" spans="1:42" s="85" customFormat="1" ht="13.5" thickBot="1">
      <c r="A91" s="240"/>
      <c r="B91" s="241"/>
      <c r="C91" s="242"/>
      <c r="D91" s="242"/>
      <c r="E91" s="243"/>
      <c r="F91" s="244"/>
      <c r="G91" s="244"/>
      <c r="H91" s="243"/>
      <c r="I91" s="258"/>
      <c r="J91" s="245"/>
      <c r="K91" s="245"/>
      <c r="L91" s="76">
        <f t="shared" si="10"/>
        <v>0</v>
      </c>
      <c r="M91" s="246"/>
      <c r="N91" s="247"/>
      <c r="O91" s="248"/>
      <c r="P91" s="246"/>
      <c r="Q91" s="249"/>
      <c r="R91" s="250"/>
      <c r="S91" s="259"/>
      <c r="T91" s="260"/>
      <c r="U91" s="250"/>
      <c r="V91" s="78">
        <f t="shared" si="11"/>
        <v>0</v>
      </c>
      <c r="W91" s="261">
        <f t="shared" si="12"/>
        <v>0</v>
      </c>
      <c r="X91" s="133">
        <f t="shared" si="13"/>
        <v>0</v>
      </c>
      <c r="Y91" s="251"/>
      <c r="Z91" s="1736"/>
      <c r="AA91" s="1737"/>
      <c r="AB91" s="77">
        <f t="shared" si="14"/>
        <v>0</v>
      </c>
      <c r="AC91" s="134">
        <f t="shared" si="15"/>
        <v>0</v>
      </c>
      <c r="AD91" s="251"/>
      <c r="AE91" s="1736"/>
      <c r="AF91" s="1737"/>
      <c r="AG91" s="77">
        <f t="shared" si="16"/>
        <v>0</v>
      </c>
      <c r="AH91" s="136">
        <f t="shared" si="17"/>
        <v>0</v>
      </c>
      <c r="AI91" s="251"/>
      <c r="AJ91" s="1736"/>
      <c r="AK91" s="1737"/>
      <c r="AL91" s="79">
        <f t="shared" si="18"/>
        <v>0</v>
      </c>
      <c r="AM91" s="137">
        <f t="shared" si="19"/>
        <v>0</v>
      </c>
      <c r="AN91" s="251"/>
      <c r="AO91" s="1736"/>
      <c r="AP91" s="1737"/>
    </row>
    <row r="92" spans="1:42" s="85" customFormat="1" ht="13.5" thickBot="1">
      <c r="A92" s="240"/>
      <c r="B92" s="241"/>
      <c r="C92" s="242"/>
      <c r="D92" s="242"/>
      <c r="E92" s="243"/>
      <c r="F92" s="244"/>
      <c r="G92" s="244"/>
      <c r="H92" s="243"/>
      <c r="I92" s="258"/>
      <c r="J92" s="245"/>
      <c r="K92" s="245"/>
      <c r="L92" s="76">
        <f t="shared" si="10"/>
        <v>0</v>
      </c>
      <c r="M92" s="246"/>
      <c r="N92" s="247"/>
      <c r="O92" s="248"/>
      <c r="P92" s="246"/>
      <c r="Q92" s="249"/>
      <c r="R92" s="250"/>
      <c r="S92" s="259"/>
      <c r="T92" s="260"/>
      <c r="U92" s="250"/>
      <c r="V92" s="78">
        <f t="shared" si="11"/>
        <v>0</v>
      </c>
      <c r="W92" s="261">
        <f t="shared" si="12"/>
        <v>0</v>
      </c>
      <c r="X92" s="133">
        <f t="shared" si="13"/>
        <v>0</v>
      </c>
      <c r="Y92" s="251"/>
      <c r="Z92" s="1736"/>
      <c r="AA92" s="1737"/>
      <c r="AB92" s="77">
        <f t="shared" si="14"/>
        <v>0</v>
      </c>
      <c r="AC92" s="134">
        <f t="shared" si="15"/>
        <v>0</v>
      </c>
      <c r="AD92" s="251"/>
      <c r="AE92" s="1736"/>
      <c r="AF92" s="1737"/>
      <c r="AG92" s="77">
        <f t="shared" si="16"/>
        <v>0</v>
      </c>
      <c r="AH92" s="136">
        <f t="shared" si="17"/>
        <v>0</v>
      </c>
      <c r="AI92" s="251"/>
      <c r="AJ92" s="1736"/>
      <c r="AK92" s="1737"/>
      <c r="AL92" s="79">
        <f t="shared" si="18"/>
        <v>0</v>
      </c>
      <c r="AM92" s="137">
        <f t="shared" si="19"/>
        <v>0</v>
      </c>
      <c r="AN92" s="251"/>
      <c r="AO92" s="1736"/>
      <c r="AP92" s="1737"/>
    </row>
    <row r="93" spans="1:42" s="85" customFormat="1" ht="13.5" thickBot="1">
      <c r="A93" s="240"/>
      <c r="B93" s="241"/>
      <c r="C93" s="242"/>
      <c r="D93" s="242"/>
      <c r="E93" s="243"/>
      <c r="F93" s="244"/>
      <c r="G93" s="244"/>
      <c r="H93" s="243"/>
      <c r="I93" s="258"/>
      <c r="J93" s="245"/>
      <c r="K93" s="245"/>
      <c r="L93" s="76">
        <f t="shared" si="10"/>
        <v>0</v>
      </c>
      <c r="M93" s="246"/>
      <c r="N93" s="247"/>
      <c r="O93" s="248"/>
      <c r="P93" s="246"/>
      <c r="Q93" s="249"/>
      <c r="R93" s="250"/>
      <c r="S93" s="259"/>
      <c r="T93" s="260"/>
      <c r="U93" s="250"/>
      <c r="V93" s="78">
        <f t="shared" si="11"/>
        <v>0</v>
      </c>
      <c r="W93" s="261">
        <f t="shared" si="12"/>
        <v>0</v>
      </c>
      <c r="X93" s="133">
        <f t="shared" si="13"/>
        <v>0</v>
      </c>
      <c r="Y93" s="251"/>
      <c r="Z93" s="1736"/>
      <c r="AA93" s="1737"/>
      <c r="AB93" s="77">
        <f t="shared" si="14"/>
        <v>0</v>
      </c>
      <c r="AC93" s="134">
        <f t="shared" si="15"/>
        <v>0</v>
      </c>
      <c r="AD93" s="251"/>
      <c r="AE93" s="1736"/>
      <c r="AF93" s="1737"/>
      <c r="AG93" s="77">
        <f t="shared" si="16"/>
        <v>0</v>
      </c>
      <c r="AH93" s="136">
        <f t="shared" si="17"/>
        <v>0</v>
      </c>
      <c r="AI93" s="251"/>
      <c r="AJ93" s="1736"/>
      <c r="AK93" s="1737"/>
      <c r="AL93" s="79">
        <f t="shared" si="18"/>
        <v>0</v>
      </c>
      <c r="AM93" s="137">
        <f t="shared" si="19"/>
        <v>0</v>
      </c>
      <c r="AN93" s="251"/>
      <c r="AO93" s="1736"/>
      <c r="AP93" s="1737"/>
    </row>
    <row r="94" spans="1:42" s="85" customFormat="1" ht="13.5" thickBot="1">
      <c r="A94" s="240"/>
      <c r="B94" s="241"/>
      <c r="C94" s="242"/>
      <c r="D94" s="242"/>
      <c r="E94" s="243"/>
      <c r="F94" s="244"/>
      <c r="G94" s="244"/>
      <c r="H94" s="243"/>
      <c r="I94" s="258"/>
      <c r="J94" s="245"/>
      <c r="K94" s="245"/>
      <c r="L94" s="76">
        <f t="shared" si="10"/>
        <v>0</v>
      </c>
      <c r="M94" s="246"/>
      <c r="N94" s="247"/>
      <c r="O94" s="248"/>
      <c r="P94" s="246"/>
      <c r="Q94" s="249"/>
      <c r="R94" s="250"/>
      <c r="S94" s="259"/>
      <c r="T94" s="260"/>
      <c r="U94" s="250"/>
      <c r="V94" s="78">
        <f t="shared" si="11"/>
        <v>0</v>
      </c>
      <c r="W94" s="261">
        <f t="shared" si="12"/>
        <v>0</v>
      </c>
      <c r="X94" s="133">
        <f t="shared" si="13"/>
        <v>0</v>
      </c>
      <c r="Y94" s="251"/>
      <c r="Z94" s="1736"/>
      <c r="AA94" s="1737"/>
      <c r="AB94" s="77">
        <f t="shared" si="14"/>
        <v>0</v>
      </c>
      <c r="AC94" s="134">
        <f t="shared" si="15"/>
        <v>0</v>
      </c>
      <c r="AD94" s="251"/>
      <c r="AE94" s="1736"/>
      <c r="AF94" s="1737"/>
      <c r="AG94" s="77">
        <f t="shared" si="16"/>
        <v>0</v>
      </c>
      <c r="AH94" s="136">
        <f t="shared" si="17"/>
        <v>0</v>
      </c>
      <c r="AI94" s="251"/>
      <c r="AJ94" s="1736"/>
      <c r="AK94" s="1737"/>
      <c r="AL94" s="79">
        <f t="shared" si="18"/>
        <v>0</v>
      </c>
      <c r="AM94" s="137">
        <f t="shared" si="19"/>
        <v>0</v>
      </c>
      <c r="AN94" s="251"/>
      <c r="AO94" s="1736"/>
      <c r="AP94" s="1737"/>
    </row>
    <row r="95" spans="1:42" s="85" customFormat="1" ht="13.5" thickBot="1">
      <c r="A95" s="240"/>
      <c r="B95" s="241"/>
      <c r="C95" s="242"/>
      <c r="D95" s="242"/>
      <c r="E95" s="243"/>
      <c r="F95" s="244"/>
      <c r="G95" s="244"/>
      <c r="H95" s="243"/>
      <c r="I95" s="258"/>
      <c r="J95" s="245"/>
      <c r="K95" s="245"/>
      <c r="L95" s="76">
        <f t="shared" si="10"/>
        <v>0</v>
      </c>
      <c r="M95" s="246"/>
      <c r="N95" s="247"/>
      <c r="O95" s="248"/>
      <c r="P95" s="246"/>
      <c r="Q95" s="249"/>
      <c r="R95" s="250"/>
      <c r="S95" s="259"/>
      <c r="T95" s="260"/>
      <c r="U95" s="250"/>
      <c r="V95" s="78">
        <f t="shared" si="11"/>
        <v>0</v>
      </c>
      <c r="W95" s="261">
        <f t="shared" si="12"/>
        <v>0</v>
      </c>
      <c r="X95" s="133">
        <f t="shared" si="13"/>
        <v>0</v>
      </c>
      <c r="Y95" s="251"/>
      <c r="Z95" s="1736"/>
      <c r="AA95" s="1737"/>
      <c r="AB95" s="77">
        <f t="shared" si="14"/>
        <v>0</v>
      </c>
      <c r="AC95" s="134">
        <f t="shared" si="15"/>
        <v>0</v>
      </c>
      <c r="AD95" s="251"/>
      <c r="AE95" s="1736"/>
      <c r="AF95" s="1737"/>
      <c r="AG95" s="77">
        <f t="shared" si="16"/>
        <v>0</v>
      </c>
      <c r="AH95" s="136">
        <f t="shared" si="17"/>
        <v>0</v>
      </c>
      <c r="AI95" s="251"/>
      <c r="AJ95" s="1736"/>
      <c r="AK95" s="1737"/>
      <c r="AL95" s="79">
        <f t="shared" si="18"/>
        <v>0</v>
      </c>
      <c r="AM95" s="137">
        <f t="shared" si="19"/>
        <v>0</v>
      </c>
      <c r="AN95" s="251"/>
      <c r="AO95" s="1736"/>
      <c r="AP95" s="1737"/>
    </row>
    <row r="96" spans="1:42" s="85" customFormat="1" ht="13.5" thickBot="1">
      <c r="A96" s="240"/>
      <c r="B96" s="241"/>
      <c r="C96" s="242"/>
      <c r="D96" s="242"/>
      <c r="E96" s="243"/>
      <c r="F96" s="244"/>
      <c r="G96" s="244"/>
      <c r="H96" s="243"/>
      <c r="I96" s="258"/>
      <c r="J96" s="245"/>
      <c r="K96" s="245"/>
      <c r="L96" s="76">
        <f t="shared" si="10"/>
        <v>0</v>
      </c>
      <c r="M96" s="246"/>
      <c r="N96" s="247"/>
      <c r="O96" s="248"/>
      <c r="P96" s="246"/>
      <c r="Q96" s="249"/>
      <c r="R96" s="250"/>
      <c r="S96" s="259"/>
      <c r="T96" s="260"/>
      <c r="U96" s="250"/>
      <c r="V96" s="78">
        <f t="shared" si="11"/>
        <v>0</v>
      </c>
      <c r="W96" s="261">
        <f t="shared" si="12"/>
        <v>0</v>
      </c>
      <c r="X96" s="133">
        <f t="shared" si="13"/>
        <v>0</v>
      </c>
      <c r="Y96" s="251"/>
      <c r="Z96" s="1736"/>
      <c r="AA96" s="1737"/>
      <c r="AB96" s="77">
        <f t="shared" si="14"/>
        <v>0</v>
      </c>
      <c r="AC96" s="134">
        <f t="shared" si="15"/>
        <v>0</v>
      </c>
      <c r="AD96" s="251"/>
      <c r="AE96" s="1736"/>
      <c r="AF96" s="1737"/>
      <c r="AG96" s="77">
        <f t="shared" si="16"/>
        <v>0</v>
      </c>
      <c r="AH96" s="136">
        <f t="shared" si="17"/>
        <v>0</v>
      </c>
      <c r="AI96" s="251"/>
      <c r="AJ96" s="1736"/>
      <c r="AK96" s="1737"/>
      <c r="AL96" s="79">
        <f t="shared" si="18"/>
        <v>0</v>
      </c>
      <c r="AM96" s="137">
        <f t="shared" si="19"/>
        <v>0</v>
      </c>
      <c r="AN96" s="251"/>
      <c r="AO96" s="1736"/>
      <c r="AP96" s="1737"/>
    </row>
    <row r="97" spans="1:42" s="85" customFormat="1" ht="13.5" thickBot="1">
      <c r="A97" s="240"/>
      <c r="B97" s="241"/>
      <c r="C97" s="242"/>
      <c r="D97" s="242"/>
      <c r="E97" s="243"/>
      <c r="F97" s="244"/>
      <c r="G97" s="244"/>
      <c r="H97" s="243"/>
      <c r="I97" s="258"/>
      <c r="J97" s="245"/>
      <c r="K97" s="245"/>
      <c r="L97" s="76">
        <f t="shared" si="10"/>
        <v>0</v>
      </c>
      <c r="M97" s="246"/>
      <c r="N97" s="247"/>
      <c r="O97" s="248"/>
      <c r="P97" s="246"/>
      <c r="Q97" s="249"/>
      <c r="R97" s="250"/>
      <c r="S97" s="259"/>
      <c r="T97" s="260"/>
      <c r="U97" s="250"/>
      <c r="V97" s="78">
        <f t="shared" si="11"/>
        <v>0</v>
      </c>
      <c r="W97" s="261">
        <f t="shared" si="12"/>
        <v>0</v>
      </c>
      <c r="X97" s="133">
        <f t="shared" si="13"/>
        <v>0</v>
      </c>
      <c r="Y97" s="251"/>
      <c r="Z97" s="1736"/>
      <c r="AA97" s="1737"/>
      <c r="AB97" s="77">
        <f t="shared" si="14"/>
        <v>0</v>
      </c>
      <c r="AC97" s="134">
        <f t="shared" si="15"/>
        <v>0</v>
      </c>
      <c r="AD97" s="251"/>
      <c r="AE97" s="1736"/>
      <c r="AF97" s="1737"/>
      <c r="AG97" s="77">
        <f t="shared" si="16"/>
        <v>0</v>
      </c>
      <c r="AH97" s="136">
        <f t="shared" si="17"/>
        <v>0</v>
      </c>
      <c r="AI97" s="251"/>
      <c r="AJ97" s="1736"/>
      <c r="AK97" s="1737"/>
      <c r="AL97" s="79">
        <f t="shared" si="18"/>
        <v>0</v>
      </c>
      <c r="AM97" s="137">
        <f t="shared" si="19"/>
        <v>0</v>
      </c>
      <c r="AN97" s="251"/>
      <c r="AO97" s="1736"/>
      <c r="AP97" s="1737"/>
    </row>
    <row r="98" spans="1:42" s="85" customFormat="1" ht="13.5" thickBot="1">
      <c r="A98" s="240"/>
      <c r="B98" s="241"/>
      <c r="C98" s="242"/>
      <c r="D98" s="242"/>
      <c r="E98" s="243"/>
      <c r="F98" s="244"/>
      <c r="G98" s="244"/>
      <c r="H98" s="243"/>
      <c r="I98" s="258"/>
      <c r="J98" s="245"/>
      <c r="K98" s="245"/>
      <c r="L98" s="76">
        <f t="shared" si="10"/>
        <v>0</v>
      </c>
      <c r="M98" s="246"/>
      <c r="N98" s="247"/>
      <c r="O98" s="248"/>
      <c r="P98" s="246"/>
      <c r="Q98" s="249"/>
      <c r="R98" s="250"/>
      <c r="S98" s="259"/>
      <c r="T98" s="260"/>
      <c r="U98" s="250"/>
      <c r="V98" s="78">
        <f t="shared" si="11"/>
        <v>0</v>
      </c>
      <c r="W98" s="261">
        <f t="shared" si="12"/>
        <v>0</v>
      </c>
      <c r="X98" s="133">
        <f t="shared" si="13"/>
        <v>0</v>
      </c>
      <c r="Y98" s="251"/>
      <c r="Z98" s="1736"/>
      <c r="AA98" s="1737"/>
      <c r="AB98" s="77">
        <f t="shared" si="14"/>
        <v>0</v>
      </c>
      <c r="AC98" s="134">
        <f t="shared" si="15"/>
        <v>0</v>
      </c>
      <c r="AD98" s="251"/>
      <c r="AE98" s="1736"/>
      <c r="AF98" s="1737"/>
      <c r="AG98" s="77">
        <f t="shared" si="16"/>
        <v>0</v>
      </c>
      <c r="AH98" s="136">
        <f t="shared" si="17"/>
        <v>0</v>
      </c>
      <c r="AI98" s="251"/>
      <c r="AJ98" s="1736"/>
      <c r="AK98" s="1737"/>
      <c r="AL98" s="79">
        <f t="shared" si="18"/>
        <v>0</v>
      </c>
      <c r="AM98" s="137">
        <f t="shared" si="19"/>
        <v>0</v>
      </c>
      <c r="AN98" s="251"/>
      <c r="AO98" s="1736"/>
      <c r="AP98" s="1737"/>
    </row>
    <row r="99" spans="1:42" s="85" customFormat="1" ht="13.5" thickBot="1">
      <c r="A99" s="240"/>
      <c r="B99" s="241"/>
      <c r="C99" s="242"/>
      <c r="D99" s="242"/>
      <c r="E99" s="243"/>
      <c r="F99" s="244"/>
      <c r="G99" s="244"/>
      <c r="H99" s="243"/>
      <c r="I99" s="258"/>
      <c r="J99" s="245"/>
      <c r="K99" s="245"/>
      <c r="L99" s="76">
        <f t="shared" si="10"/>
        <v>0</v>
      </c>
      <c r="M99" s="246"/>
      <c r="N99" s="247"/>
      <c r="O99" s="248"/>
      <c r="P99" s="246"/>
      <c r="Q99" s="249"/>
      <c r="R99" s="250"/>
      <c r="S99" s="259"/>
      <c r="T99" s="260"/>
      <c r="U99" s="250"/>
      <c r="V99" s="78">
        <f t="shared" si="11"/>
        <v>0</v>
      </c>
      <c r="W99" s="261">
        <f t="shared" si="12"/>
        <v>0</v>
      </c>
      <c r="X99" s="133">
        <f t="shared" si="13"/>
        <v>0</v>
      </c>
      <c r="Y99" s="251"/>
      <c r="Z99" s="1736"/>
      <c r="AA99" s="1737"/>
      <c r="AB99" s="77">
        <f t="shared" si="14"/>
        <v>0</v>
      </c>
      <c r="AC99" s="134">
        <f t="shared" si="15"/>
        <v>0</v>
      </c>
      <c r="AD99" s="251"/>
      <c r="AE99" s="1736"/>
      <c r="AF99" s="1737"/>
      <c r="AG99" s="77">
        <f t="shared" si="16"/>
        <v>0</v>
      </c>
      <c r="AH99" s="136">
        <f t="shared" si="17"/>
        <v>0</v>
      </c>
      <c r="AI99" s="251"/>
      <c r="AJ99" s="1736"/>
      <c r="AK99" s="1737"/>
      <c r="AL99" s="79">
        <f t="shared" si="18"/>
        <v>0</v>
      </c>
      <c r="AM99" s="137">
        <f t="shared" si="19"/>
        <v>0</v>
      </c>
      <c r="AN99" s="251"/>
      <c r="AO99" s="1736"/>
      <c r="AP99" s="1737"/>
    </row>
    <row r="100" spans="1:42" s="85" customFormat="1" ht="13.5" thickBot="1">
      <c r="A100" s="240"/>
      <c r="B100" s="241"/>
      <c r="C100" s="242"/>
      <c r="D100" s="242"/>
      <c r="E100" s="243"/>
      <c r="F100" s="244"/>
      <c r="G100" s="244"/>
      <c r="H100" s="243"/>
      <c r="I100" s="258"/>
      <c r="J100" s="245"/>
      <c r="K100" s="245"/>
      <c r="L100" s="76">
        <f t="shared" si="10"/>
        <v>0</v>
      </c>
      <c r="M100" s="246"/>
      <c r="N100" s="247"/>
      <c r="O100" s="248"/>
      <c r="P100" s="246"/>
      <c r="Q100" s="249"/>
      <c r="R100" s="250"/>
      <c r="S100" s="259"/>
      <c r="T100" s="260"/>
      <c r="U100" s="250"/>
      <c r="V100" s="78">
        <f t="shared" si="11"/>
        <v>0</v>
      </c>
      <c r="W100" s="261">
        <f t="shared" si="12"/>
        <v>0</v>
      </c>
      <c r="X100" s="133">
        <f t="shared" si="13"/>
        <v>0</v>
      </c>
      <c r="Y100" s="251"/>
      <c r="Z100" s="1736"/>
      <c r="AA100" s="1737"/>
      <c r="AB100" s="77">
        <f t="shared" si="14"/>
        <v>0</v>
      </c>
      <c r="AC100" s="134">
        <f t="shared" si="15"/>
        <v>0</v>
      </c>
      <c r="AD100" s="251"/>
      <c r="AE100" s="1736"/>
      <c r="AF100" s="1737"/>
      <c r="AG100" s="77">
        <f t="shared" si="16"/>
        <v>0</v>
      </c>
      <c r="AH100" s="136">
        <f t="shared" si="17"/>
        <v>0</v>
      </c>
      <c r="AI100" s="251"/>
      <c r="AJ100" s="1736"/>
      <c r="AK100" s="1737"/>
      <c r="AL100" s="79">
        <f t="shared" si="18"/>
        <v>0</v>
      </c>
      <c r="AM100" s="137">
        <f t="shared" si="19"/>
        <v>0</v>
      </c>
      <c r="AN100" s="251"/>
      <c r="AO100" s="1736"/>
      <c r="AP100" s="1737"/>
    </row>
    <row r="101" spans="1:42" s="85" customFormat="1" ht="13.5" thickBot="1">
      <c r="A101" s="240"/>
      <c r="B101" s="241"/>
      <c r="C101" s="242"/>
      <c r="D101" s="242"/>
      <c r="E101" s="243"/>
      <c r="F101" s="244"/>
      <c r="G101" s="244"/>
      <c r="H101" s="243"/>
      <c r="I101" s="258"/>
      <c r="J101" s="245"/>
      <c r="K101" s="245"/>
      <c r="L101" s="76">
        <f t="shared" si="10"/>
        <v>0</v>
      </c>
      <c r="M101" s="246"/>
      <c r="N101" s="247"/>
      <c r="O101" s="248"/>
      <c r="P101" s="246"/>
      <c r="Q101" s="249"/>
      <c r="R101" s="250"/>
      <c r="S101" s="259"/>
      <c r="T101" s="260"/>
      <c r="U101" s="250"/>
      <c r="V101" s="78">
        <f t="shared" si="11"/>
        <v>0</v>
      </c>
      <c r="W101" s="261">
        <f t="shared" si="12"/>
        <v>0</v>
      </c>
      <c r="X101" s="133">
        <f t="shared" si="13"/>
        <v>0</v>
      </c>
      <c r="Y101" s="251"/>
      <c r="Z101" s="1736"/>
      <c r="AA101" s="1737"/>
      <c r="AB101" s="77">
        <f t="shared" si="14"/>
        <v>0</v>
      </c>
      <c r="AC101" s="134">
        <f t="shared" si="15"/>
        <v>0</v>
      </c>
      <c r="AD101" s="251"/>
      <c r="AE101" s="1736"/>
      <c r="AF101" s="1737"/>
      <c r="AG101" s="77">
        <f t="shared" si="16"/>
        <v>0</v>
      </c>
      <c r="AH101" s="136">
        <f t="shared" si="17"/>
        <v>0</v>
      </c>
      <c r="AI101" s="251"/>
      <c r="AJ101" s="1736"/>
      <c r="AK101" s="1737"/>
      <c r="AL101" s="79">
        <f t="shared" si="18"/>
        <v>0</v>
      </c>
      <c r="AM101" s="137">
        <f t="shared" si="19"/>
        <v>0</v>
      </c>
      <c r="AN101" s="251"/>
      <c r="AO101" s="1736"/>
      <c r="AP101" s="1737"/>
    </row>
    <row r="102" spans="1:42" s="85" customFormat="1" ht="13.5" thickBot="1">
      <c r="A102" s="240"/>
      <c r="B102" s="241"/>
      <c r="C102" s="242"/>
      <c r="D102" s="242"/>
      <c r="E102" s="243"/>
      <c r="F102" s="244"/>
      <c r="G102" s="244"/>
      <c r="H102" s="243"/>
      <c r="I102" s="258"/>
      <c r="J102" s="245"/>
      <c r="K102" s="245"/>
      <c r="L102" s="76">
        <f t="shared" si="10"/>
        <v>0</v>
      </c>
      <c r="M102" s="246"/>
      <c r="N102" s="247"/>
      <c r="O102" s="248"/>
      <c r="P102" s="246"/>
      <c r="Q102" s="249"/>
      <c r="R102" s="250"/>
      <c r="S102" s="259"/>
      <c r="T102" s="260"/>
      <c r="U102" s="250"/>
      <c r="V102" s="78">
        <f t="shared" si="11"/>
        <v>0</v>
      </c>
      <c r="W102" s="261">
        <f t="shared" si="12"/>
        <v>0</v>
      </c>
      <c r="X102" s="133">
        <f t="shared" si="13"/>
        <v>0</v>
      </c>
      <c r="Y102" s="251"/>
      <c r="Z102" s="1736"/>
      <c r="AA102" s="1737"/>
      <c r="AB102" s="77">
        <f t="shared" si="14"/>
        <v>0</v>
      </c>
      <c r="AC102" s="134">
        <f t="shared" si="15"/>
        <v>0</v>
      </c>
      <c r="AD102" s="251"/>
      <c r="AE102" s="1736"/>
      <c r="AF102" s="1737"/>
      <c r="AG102" s="77">
        <f t="shared" si="16"/>
        <v>0</v>
      </c>
      <c r="AH102" s="136">
        <f t="shared" si="17"/>
        <v>0</v>
      </c>
      <c r="AI102" s="251"/>
      <c r="AJ102" s="1736"/>
      <c r="AK102" s="1737"/>
      <c r="AL102" s="79">
        <f t="shared" si="18"/>
        <v>0</v>
      </c>
      <c r="AM102" s="137">
        <f t="shared" si="19"/>
        <v>0</v>
      </c>
      <c r="AN102" s="251"/>
      <c r="AO102" s="1736"/>
      <c r="AP102" s="1737"/>
    </row>
    <row r="103" spans="1:42" s="85" customFormat="1" ht="13.5" thickBot="1">
      <c r="A103" s="240"/>
      <c r="B103" s="241"/>
      <c r="C103" s="242"/>
      <c r="D103" s="242"/>
      <c r="E103" s="243"/>
      <c r="F103" s="244"/>
      <c r="G103" s="244"/>
      <c r="H103" s="243"/>
      <c r="I103" s="258"/>
      <c r="J103" s="245"/>
      <c r="K103" s="245"/>
      <c r="L103" s="76">
        <f t="shared" si="10"/>
        <v>0</v>
      </c>
      <c r="M103" s="246"/>
      <c r="N103" s="247"/>
      <c r="O103" s="248"/>
      <c r="P103" s="246"/>
      <c r="Q103" s="249"/>
      <c r="R103" s="250"/>
      <c r="S103" s="259"/>
      <c r="T103" s="260"/>
      <c r="U103" s="250"/>
      <c r="V103" s="78">
        <f t="shared" si="11"/>
        <v>0</v>
      </c>
      <c r="W103" s="261">
        <f t="shared" si="12"/>
        <v>0</v>
      </c>
      <c r="X103" s="133">
        <f t="shared" si="13"/>
        <v>0</v>
      </c>
      <c r="Y103" s="251"/>
      <c r="Z103" s="1736"/>
      <c r="AA103" s="1737"/>
      <c r="AB103" s="77">
        <f t="shared" si="14"/>
        <v>0</v>
      </c>
      <c r="AC103" s="134">
        <f t="shared" si="15"/>
        <v>0</v>
      </c>
      <c r="AD103" s="251"/>
      <c r="AE103" s="1736"/>
      <c r="AF103" s="1737"/>
      <c r="AG103" s="77">
        <f t="shared" si="16"/>
        <v>0</v>
      </c>
      <c r="AH103" s="136">
        <f t="shared" si="17"/>
        <v>0</v>
      </c>
      <c r="AI103" s="251"/>
      <c r="AJ103" s="1736"/>
      <c r="AK103" s="1737"/>
      <c r="AL103" s="79">
        <f t="shared" si="18"/>
        <v>0</v>
      </c>
      <c r="AM103" s="137">
        <f t="shared" si="19"/>
        <v>0</v>
      </c>
      <c r="AN103" s="251"/>
      <c r="AO103" s="1736"/>
      <c r="AP103" s="1737"/>
    </row>
    <row r="104" spans="1:42" s="85" customFormat="1" ht="13.5" thickBot="1">
      <c r="A104" s="240"/>
      <c r="B104" s="241"/>
      <c r="C104" s="242"/>
      <c r="D104" s="242"/>
      <c r="E104" s="243"/>
      <c r="F104" s="244"/>
      <c r="G104" s="244"/>
      <c r="H104" s="243"/>
      <c r="I104" s="258"/>
      <c r="J104" s="245"/>
      <c r="K104" s="245"/>
      <c r="L104" s="76">
        <f t="shared" si="10"/>
        <v>0</v>
      </c>
      <c r="M104" s="246"/>
      <c r="N104" s="247"/>
      <c r="O104" s="248"/>
      <c r="P104" s="246"/>
      <c r="Q104" s="249"/>
      <c r="R104" s="250"/>
      <c r="S104" s="259"/>
      <c r="T104" s="260"/>
      <c r="U104" s="250"/>
      <c r="V104" s="78">
        <f t="shared" si="11"/>
        <v>0</v>
      </c>
      <c r="W104" s="261">
        <f t="shared" si="12"/>
        <v>0</v>
      </c>
      <c r="X104" s="133">
        <f t="shared" si="13"/>
        <v>0</v>
      </c>
      <c r="Y104" s="251"/>
      <c r="Z104" s="1736"/>
      <c r="AA104" s="1737"/>
      <c r="AB104" s="77">
        <f t="shared" si="14"/>
        <v>0</v>
      </c>
      <c r="AC104" s="134">
        <f t="shared" si="15"/>
        <v>0</v>
      </c>
      <c r="AD104" s="251"/>
      <c r="AE104" s="1736"/>
      <c r="AF104" s="1737"/>
      <c r="AG104" s="77">
        <f t="shared" si="16"/>
        <v>0</v>
      </c>
      <c r="AH104" s="136">
        <f t="shared" si="17"/>
        <v>0</v>
      </c>
      <c r="AI104" s="251"/>
      <c r="AJ104" s="1736"/>
      <c r="AK104" s="1737"/>
      <c r="AL104" s="79">
        <f t="shared" si="18"/>
        <v>0</v>
      </c>
      <c r="AM104" s="137">
        <f t="shared" si="19"/>
        <v>0</v>
      </c>
      <c r="AN104" s="251"/>
      <c r="AO104" s="1736"/>
      <c r="AP104" s="1737"/>
    </row>
    <row r="105" spans="1:42" s="85" customFormat="1" ht="13.5" thickBot="1">
      <c r="A105" s="240"/>
      <c r="B105" s="241"/>
      <c r="C105" s="242"/>
      <c r="D105" s="242"/>
      <c r="E105" s="243"/>
      <c r="F105" s="244"/>
      <c r="G105" s="244"/>
      <c r="H105" s="243"/>
      <c r="I105" s="258"/>
      <c r="J105" s="245"/>
      <c r="K105" s="245"/>
      <c r="L105" s="76">
        <f t="shared" si="10"/>
        <v>0</v>
      </c>
      <c r="M105" s="246"/>
      <c r="N105" s="247"/>
      <c r="O105" s="248"/>
      <c r="P105" s="246"/>
      <c r="Q105" s="249"/>
      <c r="R105" s="250"/>
      <c r="S105" s="259"/>
      <c r="T105" s="260"/>
      <c r="U105" s="250"/>
      <c r="V105" s="78">
        <f t="shared" si="11"/>
        <v>0</v>
      </c>
      <c r="W105" s="261">
        <f t="shared" si="12"/>
        <v>0</v>
      </c>
      <c r="X105" s="133">
        <f t="shared" si="13"/>
        <v>0</v>
      </c>
      <c r="Y105" s="251"/>
      <c r="Z105" s="1736"/>
      <c r="AA105" s="1737"/>
      <c r="AB105" s="77">
        <f t="shared" si="14"/>
        <v>0</v>
      </c>
      <c r="AC105" s="134">
        <f t="shared" si="15"/>
        <v>0</v>
      </c>
      <c r="AD105" s="251"/>
      <c r="AE105" s="1736"/>
      <c r="AF105" s="1737"/>
      <c r="AG105" s="77">
        <f t="shared" si="16"/>
        <v>0</v>
      </c>
      <c r="AH105" s="136">
        <f t="shared" si="17"/>
        <v>0</v>
      </c>
      <c r="AI105" s="251"/>
      <c r="AJ105" s="1736"/>
      <c r="AK105" s="1737"/>
      <c r="AL105" s="79">
        <f t="shared" si="18"/>
        <v>0</v>
      </c>
      <c r="AM105" s="137">
        <f t="shared" si="19"/>
        <v>0</v>
      </c>
      <c r="AN105" s="251"/>
      <c r="AO105" s="1736"/>
      <c r="AP105" s="1737"/>
    </row>
    <row r="106" spans="1:42" s="85" customFormat="1" ht="13.5" thickBot="1">
      <c r="A106" s="240"/>
      <c r="B106" s="241"/>
      <c r="C106" s="242"/>
      <c r="D106" s="242"/>
      <c r="E106" s="243"/>
      <c r="F106" s="244"/>
      <c r="G106" s="244"/>
      <c r="H106" s="243"/>
      <c r="I106" s="258"/>
      <c r="J106" s="245"/>
      <c r="K106" s="245"/>
      <c r="L106" s="76">
        <f t="shared" si="10"/>
        <v>0</v>
      </c>
      <c r="M106" s="246"/>
      <c r="N106" s="247"/>
      <c r="O106" s="248"/>
      <c r="P106" s="246"/>
      <c r="Q106" s="249"/>
      <c r="R106" s="250"/>
      <c r="S106" s="259"/>
      <c r="T106" s="260"/>
      <c r="U106" s="250"/>
      <c r="V106" s="78">
        <f t="shared" si="11"/>
        <v>0</v>
      </c>
      <c r="W106" s="261">
        <f t="shared" si="12"/>
        <v>0</v>
      </c>
      <c r="X106" s="133">
        <f t="shared" si="13"/>
        <v>0</v>
      </c>
      <c r="Y106" s="251"/>
      <c r="Z106" s="1736"/>
      <c r="AA106" s="1737"/>
      <c r="AB106" s="77">
        <f t="shared" si="14"/>
        <v>0</v>
      </c>
      <c r="AC106" s="134">
        <f t="shared" si="15"/>
        <v>0</v>
      </c>
      <c r="AD106" s="251"/>
      <c r="AE106" s="1736"/>
      <c r="AF106" s="1737"/>
      <c r="AG106" s="77">
        <f t="shared" si="16"/>
        <v>0</v>
      </c>
      <c r="AH106" s="136">
        <f t="shared" si="17"/>
        <v>0</v>
      </c>
      <c r="AI106" s="251"/>
      <c r="AJ106" s="1736"/>
      <c r="AK106" s="1737"/>
      <c r="AL106" s="79">
        <f t="shared" si="18"/>
        <v>0</v>
      </c>
      <c r="AM106" s="137">
        <f t="shared" si="19"/>
        <v>0</v>
      </c>
      <c r="AN106" s="251"/>
      <c r="AO106" s="1736"/>
      <c r="AP106" s="1737"/>
    </row>
    <row r="107" spans="1:42" s="85" customFormat="1" ht="13.5" thickBot="1">
      <c r="A107" s="240"/>
      <c r="B107" s="241"/>
      <c r="C107" s="242"/>
      <c r="D107" s="242"/>
      <c r="E107" s="243"/>
      <c r="F107" s="244"/>
      <c r="G107" s="244"/>
      <c r="H107" s="243"/>
      <c r="I107" s="258"/>
      <c r="J107" s="245"/>
      <c r="K107" s="245"/>
      <c r="L107" s="76">
        <f t="shared" si="10"/>
        <v>0</v>
      </c>
      <c r="M107" s="246"/>
      <c r="N107" s="247"/>
      <c r="O107" s="248"/>
      <c r="P107" s="246"/>
      <c r="Q107" s="249"/>
      <c r="R107" s="250"/>
      <c r="S107" s="259"/>
      <c r="T107" s="260"/>
      <c r="U107" s="250"/>
      <c r="V107" s="78">
        <f t="shared" si="11"/>
        <v>0</v>
      </c>
      <c r="W107" s="261">
        <f t="shared" si="12"/>
        <v>0</v>
      </c>
      <c r="X107" s="133">
        <f t="shared" si="13"/>
        <v>0</v>
      </c>
      <c r="Y107" s="251"/>
      <c r="Z107" s="1736"/>
      <c r="AA107" s="1737"/>
      <c r="AB107" s="77">
        <f t="shared" si="14"/>
        <v>0</v>
      </c>
      <c r="AC107" s="134">
        <f t="shared" si="15"/>
        <v>0</v>
      </c>
      <c r="AD107" s="251"/>
      <c r="AE107" s="1736"/>
      <c r="AF107" s="1737"/>
      <c r="AG107" s="77">
        <f t="shared" si="16"/>
        <v>0</v>
      </c>
      <c r="AH107" s="136">
        <f t="shared" si="17"/>
        <v>0</v>
      </c>
      <c r="AI107" s="251"/>
      <c r="AJ107" s="1736"/>
      <c r="AK107" s="1737"/>
      <c r="AL107" s="79">
        <f t="shared" si="18"/>
        <v>0</v>
      </c>
      <c r="AM107" s="137">
        <f t="shared" si="19"/>
        <v>0</v>
      </c>
      <c r="AN107" s="251"/>
      <c r="AO107" s="1736"/>
      <c r="AP107" s="1737"/>
    </row>
    <row r="108" spans="1:42" s="85" customFormat="1" ht="13.5" thickBot="1">
      <c r="A108" s="240"/>
      <c r="B108" s="241"/>
      <c r="C108" s="242"/>
      <c r="D108" s="242"/>
      <c r="E108" s="243"/>
      <c r="F108" s="244"/>
      <c r="G108" s="244"/>
      <c r="H108" s="243"/>
      <c r="I108" s="258"/>
      <c r="J108" s="245"/>
      <c r="K108" s="245"/>
      <c r="L108" s="76">
        <f t="shared" si="10"/>
        <v>0</v>
      </c>
      <c r="M108" s="246"/>
      <c r="N108" s="247"/>
      <c r="O108" s="248"/>
      <c r="P108" s="246"/>
      <c r="Q108" s="249"/>
      <c r="R108" s="250"/>
      <c r="S108" s="259"/>
      <c r="T108" s="260"/>
      <c r="U108" s="250"/>
      <c r="V108" s="78">
        <f t="shared" si="11"/>
        <v>0</v>
      </c>
      <c r="W108" s="261">
        <f t="shared" si="12"/>
        <v>0</v>
      </c>
      <c r="X108" s="133">
        <f t="shared" si="13"/>
        <v>0</v>
      </c>
      <c r="Y108" s="251"/>
      <c r="Z108" s="1736"/>
      <c r="AA108" s="1737"/>
      <c r="AB108" s="77">
        <f t="shared" si="14"/>
        <v>0</v>
      </c>
      <c r="AC108" s="134">
        <f t="shared" si="15"/>
        <v>0</v>
      </c>
      <c r="AD108" s="251"/>
      <c r="AE108" s="1736"/>
      <c r="AF108" s="1737"/>
      <c r="AG108" s="77">
        <f t="shared" si="16"/>
        <v>0</v>
      </c>
      <c r="AH108" s="136">
        <f t="shared" si="17"/>
        <v>0</v>
      </c>
      <c r="AI108" s="251"/>
      <c r="AJ108" s="1736"/>
      <c r="AK108" s="1737"/>
      <c r="AL108" s="79">
        <f t="shared" si="18"/>
        <v>0</v>
      </c>
      <c r="AM108" s="137">
        <f t="shared" si="19"/>
        <v>0</v>
      </c>
      <c r="AN108" s="251"/>
      <c r="AO108" s="1736"/>
      <c r="AP108" s="1737"/>
    </row>
    <row r="109" spans="1:42" s="85" customFormat="1" ht="13.5" thickBot="1">
      <c r="A109" s="240"/>
      <c r="B109" s="241"/>
      <c r="C109" s="242"/>
      <c r="D109" s="242"/>
      <c r="E109" s="243"/>
      <c r="F109" s="244"/>
      <c r="G109" s="244"/>
      <c r="H109" s="243"/>
      <c r="I109" s="258"/>
      <c r="J109" s="245"/>
      <c r="K109" s="245"/>
      <c r="L109" s="76">
        <f t="shared" si="10"/>
        <v>0</v>
      </c>
      <c r="M109" s="246"/>
      <c r="N109" s="247"/>
      <c r="O109" s="248"/>
      <c r="P109" s="246"/>
      <c r="Q109" s="249"/>
      <c r="R109" s="250"/>
      <c r="S109" s="259"/>
      <c r="T109" s="260"/>
      <c r="U109" s="250"/>
      <c r="V109" s="78">
        <f t="shared" si="11"/>
        <v>0</v>
      </c>
      <c r="W109" s="261">
        <f t="shared" si="12"/>
        <v>0</v>
      </c>
      <c r="X109" s="133">
        <f t="shared" si="13"/>
        <v>0</v>
      </c>
      <c r="Y109" s="251"/>
      <c r="Z109" s="1736"/>
      <c r="AA109" s="1737"/>
      <c r="AB109" s="77">
        <f t="shared" si="14"/>
        <v>0</v>
      </c>
      <c r="AC109" s="134">
        <f t="shared" si="15"/>
        <v>0</v>
      </c>
      <c r="AD109" s="251"/>
      <c r="AE109" s="1736"/>
      <c r="AF109" s="1737"/>
      <c r="AG109" s="77">
        <f t="shared" si="16"/>
        <v>0</v>
      </c>
      <c r="AH109" s="136">
        <f t="shared" si="17"/>
        <v>0</v>
      </c>
      <c r="AI109" s="251"/>
      <c r="AJ109" s="1736"/>
      <c r="AK109" s="1737"/>
      <c r="AL109" s="79">
        <f t="shared" si="18"/>
        <v>0</v>
      </c>
      <c r="AM109" s="137">
        <f t="shared" si="19"/>
        <v>0</v>
      </c>
      <c r="AN109" s="251"/>
      <c r="AO109" s="1736"/>
      <c r="AP109" s="1737"/>
    </row>
    <row r="110" spans="1:42" s="85" customFormat="1" ht="13.5" thickBot="1">
      <c r="A110" s="240"/>
      <c r="B110" s="241"/>
      <c r="C110" s="242"/>
      <c r="D110" s="242"/>
      <c r="E110" s="243"/>
      <c r="F110" s="244"/>
      <c r="G110" s="244"/>
      <c r="H110" s="243"/>
      <c r="I110" s="258"/>
      <c r="J110" s="245"/>
      <c r="K110" s="245"/>
      <c r="L110" s="76">
        <f t="shared" si="10"/>
        <v>0</v>
      </c>
      <c r="M110" s="246"/>
      <c r="N110" s="247"/>
      <c r="O110" s="248"/>
      <c r="P110" s="246"/>
      <c r="Q110" s="249"/>
      <c r="R110" s="250"/>
      <c r="S110" s="259"/>
      <c r="T110" s="260"/>
      <c r="U110" s="250"/>
      <c r="V110" s="78">
        <f t="shared" si="11"/>
        <v>0</v>
      </c>
      <c r="W110" s="261">
        <f t="shared" si="12"/>
        <v>0</v>
      </c>
      <c r="X110" s="133">
        <f t="shared" si="13"/>
        <v>0</v>
      </c>
      <c r="Y110" s="251"/>
      <c r="Z110" s="1736"/>
      <c r="AA110" s="1737"/>
      <c r="AB110" s="77">
        <f t="shared" si="14"/>
        <v>0</v>
      </c>
      <c r="AC110" s="134">
        <f t="shared" si="15"/>
        <v>0</v>
      </c>
      <c r="AD110" s="251"/>
      <c r="AE110" s="1736"/>
      <c r="AF110" s="1737"/>
      <c r="AG110" s="77">
        <f t="shared" si="16"/>
        <v>0</v>
      </c>
      <c r="AH110" s="136">
        <f t="shared" si="17"/>
        <v>0</v>
      </c>
      <c r="AI110" s="251"/>
      <c r="AJ110" s="1736"/>
      <c r="AK110" s="1737"/>
      <c r="AL110" s="79">
        <f t="shared" si="18"/>
        <v>0</v>
      </c>
      <c r="AM110" s="137">
        <f t="shared" si="19"/>
        <v>0</v>
      </c>
      <c r="AN110" s="251"/>
      <c r="AO110" s="1736"/>
      <c r="AP110" s="1737"/>
    </row>
    <row r="111" spans="1:42" s="85" customFormat="1" ht="13.5" thickBot="1">
      <c r="A111" s="240"/>
      <c r="B111" s="241"/>
      <c r="C111" s="242"/>
      <c r="D111" s="242"/>
      <c r="E111" s="243"/>
      <c r="F111" s="244"/>
      <c r="G111" s="244"/>
      <c r="H111" s="243"/>
      <c r="I111" s="258"/>
      <c r="J111" s="245"/>
      <c r="K111" s="245"/>
      <c r="L111" s="76">
        <f t="shared" si="10"/>
        <v>0</v>
      </c>
      <c r="M111" s="246"/>
      <c r="N111" s="247"/>
      <c r="O111" s="248"/>
      <c r="P111" s="246"/>
      <c r="Q111" s="249"/>
      <c r="R111" s="250"/>
      <c r="S111" s="259"/>
      <c r="T111" s="260"/>
      <c r="U111" s="250"/>
      <c r="V111" s="78">
        <f t="shared" si="11"/>
        <v>0</v>
      </c>
      <c r="W111" s="261">
        <f t="shared" si="12"/>
        <v>0</v>
      </c>
      <c r="X111" s="133">
        <f t="shared" si="13"/>
        <v>0</v>
      </c>
      <c r="Y111" s="251"/>
      <c r="Z111" s="1736"/>
      <c r="AA111" s="1737"/>
      <c r="AB111" s="77">
        <f t="shared" si="14"/>
        <v>0</v>
      </c>
      <c r="AC111" s="134">
        <f t="shared" si="15"/>
        <v>0</v>
      </c>
      <c r="AD111" s="251"/>
      <c r="AE111" s="1736"/>
      <c r="AF111" s="1737"/>
      <c r="AG111" s="77">
        <f t="shared" si="16"/>
        <v>0</v>
      </c>
      <c r="AH111" s="136">
        <f t="shared" si="17"/>
        <v>0</v>
      </c>
      <c r="AI111" s="251"/>
      <c r="AJ111" s="1736"/>
      <c r="AK111" s="1737"/>
      <c r="AL111" s="79">
        <f t="shared" si="18"/>
        <v>0</v>
      </c>
      <c r="AM111" s="137">
        <f t="shared" si="19"/>
        <v>0</v>
      </c>
      <c r="AN111" s="251"/>
      <c r="AO111" s="1736"/>
      <c r="AP111" s="1737"/>
    </row>
    <row r="112" spans="1:42" s="85" customFormat="1" ht="13.5" thickBot="1">
      <c r="A112" s="240"/>
      <c r="B112" s="241"/>
      <c r="C112" s="242"/>
      <c r="D112" s="242"/>
      <c r="E112" s="243"/>
      <c r="F112" s="244"/>
      <c r="G112" s="244"/>
      <c r="H112" s="243"/>
      <c r="I112" s="258"/>
      <c r="J112" s="245"/>
      <c r="K112" s="245"/>
      <c r="L112" s="76">
        <f t="shared" si="10"/>
        <v>0</v>
      </c>
      <c r="M112" s="246"/>
      <c r="N112" s="247"/>
      <c r="O112" s="248"/>
      <c r="P112" s="246"/>
      <c r="Q112" s="249"/>
      <c r="R112" s="250"/>
      <c r="S112" s="259"/>
      <c r="T112" s="260"/>
      <c r="U112" s="250"/>
      <c r="V112" s="78">
        <f t="shared" si="11"/>
        <v>0</v>
      </c>
      <c r="W112" s="261">
        <f t="shared" si="12"/>
        <v>0</v>
      </c>
      <c r="X112" s="133">
        <f t="shared" si="13"/>
        <v>0</v>
      </c>
      <c r="Y112" s="251"/>
      <c r="Z112" s="1736"/>
      <c r="AA112" s="1737"/>
      <c r="AB112" s="77">
        <f t="shared" si="14"/>
        <v>0</v>
      </c>
      <c r="AC112" s="134">
        <f t="shared" si="15"/>
        <v>0</v>
      </c>
      <c r="AD112" s="251"/>
      <c r="AE112" s="1736"/>
      <c r="AF112" s="1737"/>
      <c r="AG112" s="77">
        <f t="shared" si="16"/>
        <v>0</v>
      </c>
      <c r="AH112" s="136">
        <f t="shared" si="17"/>
        <v>0</v>
      </c>
      <c r="AI112" s="251"/>
      <c r="AJ112" s="1736"/>
      <c r="AK112" s="1737"/>
      <c r="AL112" s="79">
        <f t="shared" si="18"/>
        <v>0</v>
      </c>
      <c r="AM112" s="137">
        <f t="shared" si="19"/>
        <v>0</v>
      </c>
      <c r="AN112" s="251"/>
      <c r="AO112" s="1736"/>
      <c r="AP112" s="1737"/>
    </row>
    <row r="113" spans="1:42" s="85" customFormat="1" ht="13.5" thickBot="1">
      <c r="A113" s="240"/>
      <c r="B113" s="241"/>
      <c r="C113" s="242"/>
      <c r="D113" s="242"/>
      <c r="E113" s="243"/>
      <c r="F113" s="244"/>
      <c r="G113" s="244"/>
      <c r="H113" s="243"/>
      <c r="I113" s="258"/>
      <c r="J113" s="245"/>
      <c r="K113" s="245"/>
      <c r="L113" s="76">
        <f t="shared" si="10"/>
        <v>0</v>
      </c>
      <c r="M113" s="246"/>
      <c r="N113" s="247"/>
      <c r="O113" s="248"/>
      <c r="P113" s="246"/>
      <c r="Q113" s="249"/>
      <c r="R113" s="250"/>
      <c r="S113" s="259"/>
      <c r="T113" s="260"/>
      <c r="U113" s="250"/>
      <c r="V113" s="78">
        <f t="shared" si="11"/>
        <v>0</v>
      </c>
      <c r="W113" s="261">
        <f t="shared" si="12"/>
        <v>0</v>
      </c>
      <c r="X113" s="133">
        <f t="shared" si="13"/>
        <v>0</v>
      </c>
      <c r="Y113" s="251"/>
      <c r="Z113" s="1736"/>
      <c r="AA113" s="1737"/>
      <c r="AB113" s="77">
        <f t="shared" si="14"/>
        <v>0</v>
      </c>
      <c r="AC113" s="134">
        <f t="shared" si="15"/>
        <v>0</v>
      </c>
      <c r="AD113" s="251"/>
      <c r="AE113" s="1736"/>
      <c r="AF113" s="1737"/>
      <c r="AG113" s="77">
        <f t="shared" si="16"/>
        <v>0</v>
      </c>
      <c r="AH113" s="136">
        <f t="shared" si="17"/>
        <v>0</v>
      </c>
      <c r="AI113" s="251"/>
      <c r="AJ113" s="1736"/>
      <c r="AK113" s="1737"/>
      <c r="AL113" s="79">
        <f t="shared" si="18"/>
        <v>0</v>
      </c>
      <c r="AM113" s="137">
        <f t="shared" si="19"/>
        <v>0</v>
      </c>
      <c r="AN113" s="251"/>
      <c r="AO113" s="1736"/>
      <c r="AP113" s="1737"/>
    </row>
    <row r="114" spans="1:42" s="85" customFormat="1" ht="13.5" thickBot="1">
      <c r="A114" s="240"/>
      <c r="B114" s="241"/>
      <c r="C114" s="242"/>
      <c r="D114" s="242"/>
      <c r="E114" s="243"/>
      <c r="F114" s="244"/>
      <c r="G114" s="244"/>
      <c r="H114" s="243"/>
      <c r="I114" s="258"/>
      <c r="J114" s="245"/>
      <c r="K114" s="245"/>
      <c r="L114" s="76">
        <f t="shared" si="10"/>
        <v>0</v>
      </c>
      <c r="M114" s="246"/>
      <c r="N114" s="247"/>
      <c r="O114" s="248"/>
      <c r="P114" s="246"/>
      <c r="Q114" s="249"/>
      <c r="R114" s="250"/>
      <c r="S114" s="259"/>
      <c r="T114" s="260"/>
      <c r="U114" s="250"/>
      <c r="V114" s="78">
        <f t="shared" si="11"/>
        <v>0</v>
      </c>
      <c r="W114" s="261">
        <f t="shared" si="12"/>
        <v>0</v>
      </c>
      <c r="X114" s="133">
        <f t="shared" si="13"/>
        <v>0</v>
      </c>
      <c r="Y114" s="251"/>
      <c r="Z114" s="1736"/>
      <c r="AA114" s="1737"/>
      <c r="AB114" s="77">
        <f t="shared" si="14"/>
        <v>0</v>
      </c>
      <c r="AC114" s="134">
        <f t="shared" si="15"/>
        <v>0</v>
      </c>
      <c r="AD114" s="251"/>
      <c r="AE114" s="1736"/>
      <c r="AF114" s="1737"/>
      <c r="AG114" s="77">
        <f t="shared" si="16"/>
        <v>0</v>
      </c>
      <c r="AH114" s="136">
        <f t="shared" si="17"/>
        <v>0</v>
      </c>
      <c r="AI114" s="251"/>
      <c r="AJ114" s="1736"/>
      <c r="AK114" s="1737"/>
      <c r="AL114" s="79">
        <f t="shared" si="18"/>
        <v>0</v>
      </c>
      <c r="AM114" s="137">
        <f t="shared" si="19"/>
        <v>0</v>
      </c>
      <c r="AN114" s="251"/>
      <c r="AO114" s="1736"/>
      <c r="AP114" s="1737"/>
    </row>
    <row r="115" spans="1:42" s="85" customFormat="1" ht="13.5" thickBot="1">
      <c r="A115" s="240"/>
      <c r="B115" s="241"/>
      <c r="C115" s="242"/>
      <c r="D115" s="242"/>
      <c r="E115" s="243"/>
      <c r="F115" s="244"/>
      <c r="G115" s="244"/>
      <c r="H115" s="243"/>
      <c r="I115" s="258"/>
      <c r="J115" s="245"/>
      <c r="K115" s="245"/>
      <c r="L115" s="76">
        <f t="shared" si="10"/>
        <v>0</v>
      </c>
      <c r="M115" s="246"/>
      <c r="N115" s="247"/>
      <c r="O115" s="248"/>
      <c r="P115" s="246"/>
      <c r="Q115" s="249"/>
      <c r="R115" s="250"/>
      <c r="S115" s="259"/>
      <c r="T115" s="260"/>
      <c r="U115" s="250"/>
      <c r="V115" s="78">
        <f t="shared" si="11"/>
        <v>0</v>
      </c>
      <c r="W115" s="261">
        <f t="shared" si="12"/>
        <v>0</v>
      </c>
      <c r="X115" s="133">
        <f t="shared" si="13"/>
        <v>0</v>
      </c>
      <c r="Y115" s="251"/>
      <c r="Z115" s="1736"/>
      <c r="AA115" s="1737"/>
      <c r="AB115" s="77">
        <f t="shared" si="14"/>
        <v>0</v>
      </c>
      <c r="AC115" s="134">
        <f t="shared" si="15"/>
        <v>0</v>
      </c>
      <c r="AD115" s="251"/>
      <c r="AE115" s="1736"/>
      <c r="AF115" s="1737"/>
      <c r="AG115" s="77">
        <f t="shared" si="16"/>
        <v>0</v>
      </c>
      <c r="AH115" s="136">
        <f t="shared" si="17"/>
        <v>0</v>
      </c>
      <c r="AI115" s="251"/>
      <c r="AJ115" s="1736"/>
      <c r="AK115" s="1737"/>
      <c r="AL115" s="79">
        <f t="shared" si="18"/>
        <v>0</v>
      </c>
      <c r="AM115" s="137">
        <f t="shared" si="19"/>
        <v>0</v>
      </c>
      <c r="AN115" s="251"/>
      <c r="AO115" s="1736"/>
      <c r="AP115" s="1737"/>
    </row>
    <row r="116" spans="1:42" s="85" customFormat="1" ht="13.5" thickBot="1">
      <c r="A116" s="240"/>
      <c r="B116" s="241"/>
      <c r="C116" s="242"/>
      <c r="D116" s="242"/>
      <c r="E116" s="243"/>
      <c r="F116" s="244"/>
      <c r="G116" s="244"/>
      <c r="H116" s="243"/>
      <c r="I116" s="258"/>
      <c r="J116" s="245"/>
      <c r="K116" s="245"/>
      <c r="L116" s="76">
        <f t="shared" si="10"/>
        <v>0</v>
      </c>
      <c r="M116" s="246"/>
      <c r="N116" s="247"/>
      <c r="O116" s="248"/>
      <c r="P116" s="246"/>
      <c r="Q116" s="249"/>
      <c r="R116" s="250"/>
      <c r="S116" s="259"/>
      <c r="T116" s="260"/>
      <c r="U116" s="250"/>
      <c r="V116" s="78">
        <f t="shared" si="11"/>
        <v>0</v>
      </c>
      <c r="W116" s="261">
        <f t="shared" si="12"/>
        <v>0</v>
      </c>
      <c r="X116" s="133">
        <f t="shared" si="13"/>
        <v>0</v>
      </c>
      <c r="Y116" s="251"/>
      <c r="Z116" s="1736"/>
      <c r="AA116" s="1737"/>
      <c r="AB116" s="77">
        <f t="shared" si="14"/>
        <v>0</v>
      </c>
      <c r="AC116" s="134">
        <f t="shared" si="15"/>
        <v>0</v>
      </c>
      <c r="AD116" s="251"/>
      <c r="AE116" s="1736"/>
      <c r="AF116" s="1737"/>
      <c r="AG116" s="77">
        <f t="shared" si="16"/>
        <v>0</v>
      </c>
      <c r="AH116" s="136">
        <f t="shared" si="17"/>
        <v>0</v>
      </c>
      <c r="AI116" s="251"/>
      <c r="AJ116" s="1736"/>
      <c r="AK116" s="1737"/>
      <c r="AL116" s="79">
        <f t="shared" si="18"/>
        <v>0</v>
      </c>
      <c r="AM116" s="137">
        <f t="shared" si="19"/>
        <v>0</v>
      </c>
      <c r="AN116" s="251"/>
      <c r="AO116" s="1736"/>
      <c r="AP116" s="1737"/>
    </row>
    <row r="117" spans="1:42" s="85" customFormat="1" ht="13.5" thickBot="1">
      <c r="A117" s="240"/>
      <c r="B117" s="241"/>
      <c r="C117" s="242"/>
      <c r="D117" s="242"/>
      <c r="E117" s="243"/>
      <c r="F117" s="244"/>
      <c r="G117" s="244"/>
      <c r="H117" s="243"/>
      <c r="I117" s="258"/>
      <c r="J117" s="245"/>
      <c r="K117" s="245"/>
      <c r="L117" s="76">
        <f t="shared" si="10"/>
        <v>0</v>
      </c>
      <c r="M117" s="246"/>
      <c r="N117" s="247"/>
      <c r="O117" s="248"/>
      <c r="P117" s="246"/>
      <c r="Q117" s="249"/>
      <c r="R117" s="250"/>
      <c r="S117" s="259"/>
      <c r="T117" s="260"/>
      <c r="U117" s="250"/>
      <c r="V117" s="78">
        <f t="shared" si="11"/>
        <v>0</v>
      </c>
      <c r="W117" s="261">
        <f t="shared" si="12"/>
        <v>0</v>
      </c>
      <c r="X117" s="133">
        <f t="shared" si="13"/>
        <v>0</v>
      </c>
      <c r="Y117" s="251"/>
      <c r="Z117" s="1736"/>
      <c r="AA117" s="1737"/>
      <c r="AB117" s="77">
        <f t="shared" si="14"/>
        <v>0</v>
      </c>
      <c r="AC117" s="134">
        <f t="shared" si="15"/>
        <v>0</v>
      </c>
      <c r="AD117" s="251"/>
      <c r="AE117" s="1736"/>
      <c r="AF117" s="1737"/>
      <c r="AG117" s="77">
        <f t="shared" si="16"/>
        <v>0</v>
      </c>
      <c r="AH117" s="136">
        <f t="shared" si="17"/>
        <v>0</v>
      </c>
      <c r="AI117" s="251"/>
      <c r="AJ117" s="1736"/>
      <c r="AK117" s="1737"/>
      <c r="AL117" s="79">
        <f t="shared" si="18"/>
        <v>0</v>
      </c>
      <c r="AM117" s="137">
        <f t="shared" si="19"/>
        <v>0</v>
      </c>
      <c r="AN117" s="251"/>
      <c r="AO117" s="1736"/>
      <c r="AP117" s="1737"/>
    </row>
    <row r="118" spans="1:42" s="85" customFormat="1" ht="13.5" thickBot="1">
      <c r="A118" s="240"/>
      <c r="B118" s="241"/>
      <c r="C118" s="242"/>
      <c r="D118" s="242"/>
      <c r="E118" s="243"/>
      <c r="F118" s="244"/>
      <c r="G118" s="244"/>
      <c r="H118" s="243"/>
      <c r="I118" s="258"/>
      <c r="J118" s="245"/>
      <c r="K118" s="245"/>
      <c r="L118" s="76">
        <f t="shared" si="10"/>
        <v>0</v>
      </c>
      <c r="M118" s="246"/>
      <c r="N118" s="247"/>
      <c r="O118" s="248"/>
      <c r="P118" s="246"/>
      <c r="Q118" s="249"/>
      <c r="R118" s="250"/>
      <c r="S118" s="259"/>
      <c r="T118" s="260"/>
      <c r="U118" s="250"/>
      <c r="V118" s="78">
        <f t="shared" si="11"/>
        <v>0</v>
      </c>
      <c r="W118" s="261">
        <f t="shared" si="12"/>
        <v>0</v>
      </c>
      <c r="X118" s="133">
        <f t="shared" si="13"/>
        <v>0</v>
      </c>
      <c r="Y118" s="251"/>
      <c r="Z118" s="1736"/>
      <c r="AA118" s="1737"/>
      <c r="AB118" s="77">
        <f t="shared" si="14"/>
        <v>0</v>
      </c>
      <c r="AC118" s="134">
        <f t="shared" si="15"/>
        <v>0</v>
      </c>
      <c r="AD118" s="251"/>
      <c r="AE118" s="1736"/>
      <c r="AF118" s="1737"/>
      <c r="AG118" s="77">
        <f t="shared" si="16"/>
        <v>0</v>
      </c>
      <c r="AH118" s="136">
        <f t="shared" si="17"/>
        <v>0</v>
      </c>
      <c r="AI118" s="251"/>
      <c r="AJ118" s="1736"/>
      <c r="AK118" s="1737"/>
      <c r="AL118" s="79">
        <f t="shared" si="18"/>
        <v>0</v>
      </c>
      <c r="AM118" s="137">
        <f t="shared" si="19"/>
        <v>0</v>
      </c>
      <c r="AN118" s="251"/>
      <c r="AO118" s="1736"/>
      <c r="AP118" s="1737"/>
    </row>
    <row r="119" spans="1:42" s="85" customFormat="1" ht="13.5" thickBot="1">
      <c r="A119" s="240"/>
      <c r="B119" s="241"/>
      <c r="C119" s="242"/>
      <c r="D119" s="242"/>
      <c r="E119" s="243"/>
      <c r="F119" s="244"/>
      <c r="G119" s="244"/>
      <c r="H119" s="243"/>
      <c r="I119" s="258"/>
      <c r="J119" s="245"/>
      <c r="K119" s="245"/>
      <c r="L119" s="76">
        <f t="shared" si="10"/>
        <v>0</v>
      </c>
      <c r="M119" s="246"/>
      <c r="N119" s="247"/>
      <c r="O119" s="248"/>
      <c r="P119" s="246"/>
      <c r="Q119" s="249"/>
      <c r="R119" s="250"/>
      <c r="S119" s="259"/>
      <c r="T119" s="260"/>
      <c r="U119" s="250"/>
      <c r="V119" s="78">
        <f t="shared" si="11"/>
        <v>0</v>
      </c>
      <c r="W119" s="261">
        <f t="shared" si="12"/>
        <v>0</v>
      </c>
      <c r="X119" s="133">
        <f t="shared" si="13"/>
        <v>0</v>
      </c>
      <c r="Y119" s="251"/>
      <c r="Z119" s="1736"/>
      <c r="AA119" s="1737"/>
      <c r="AB119" s="77">
        <f t="shared" si="14"/>
        <v>0</v>
      </c>
      <c r="AC119" s="134">
        <f t="shared" si="15"/>
        <v>0</v>
      </c>
      <c r="AD119" s="251"/>
      <c r="AE119" s="1736"/>
      <c r="AF119" s="1737"/>
      <c r="AG119" s="77">
        <f t="shared" si="16"/>
        <v>0</v>
      </c>
      <c r="AH119" s="136">
        <f t="shared" si="17"/>
        <v>0</v>
      </c>
      <c r="AI119" s="251"/>
      <c r="AJ119" s="1736"/>
      <c r="AK119" s="1737"/>
      <c r="AL119" s="79">
        <f t="shared" si="18"/>
        <v>0</v>
      </c>
      <c r="AM119" s="137">
        <f t="shared" si="19"/>
        <v>0</v>
      </c>
      <c r="AN119" s="251"/>
      <c r="AO119" s="1736"/>
      <c r="AP119" s="1737"/>
    </row>
    <row r="120" spans="1:42" s="85" customFormat="1" ht="13.5" thickBot="1">
      <c r="A120" s="240"/>
      <c r="B120" s="241"/>
      <c r="C120" s="242"/>
      <c r="D120" s="242"/>
      <c r="E120" s="243"/>
      <c r="F120" s="244"/>
      <c r="G120" s="244"/>
      <c r="H120" s="243"/>
      <c r="I120" s="258"/>
      <c r="J120" s="245"/>
      <c r="K120" s="245"/>
      <c r="L120" s="76">
        <f t="shared" si="10"/>
        <v>0</v>
      </c>
      <c r="M120" s="246"/>
      <c r="N120" s="247"/>
      <c r="O120" s="248"/>
      <c r="P120" s="246"/>
      <c r="Q120" s="249"/>
      <c r="R120" s="250"/>
      <c r="S120" s="259"/>
      <c r="T120" s="260"/>
      <c r="U120" s="250"/>
      <c r="V120" s="78">
        <f t="shared" si="11"/>
        <v>0</v>
      </c>
      <c r="W120" s="261">
        <f t="shared" si="12"/>
        <v>0</v>
      </c>
      <c r="X120" s="133">
        <f t="shared" si="13"/>
        <v>0</v>
      </c>
      <c r="Y120" s="251"/>
      <c r="Z120" s="1736"/>
      <c r="AA120" s="1737"/>
      <c r="AB120" s="77">
        <f t="shared" si="14"/>
        <v>0</v>
      </c>
      <c r="AC120" s="134">
        <f t="shared" si="15"/>
        <v>0</v>
      </c>
      <c r="AD120" s="251"/>
      <c r="AE120" s="1736"/>
      <c r="AF120" s="1737"/>
      <c r="AG120" s="77">
        <f t="shared" si="16"/>
        <v>0</v>
      </c>
      <c r="AH120" s="136">
        <f t="shared" si="17"/>
        <v>0</v>
      </c>
      <c r="AI120" s="251"/>
      <c r="AJ120" s="1736"/>
      <c r="AK120" s="1737"/>
      <c r="AL120" s="79">
        <f t="shared" si="18"/>
        <v>0</v>
      </c>
      <c r="AM120" s="137">
        <f t="shared" si="19"/>
        <v>0</v>
      </c>
      <c r="AN120" s="251"/>
      <c r="AO120" s="1736"/>
      <c r="AP120" s="1737"/>
    </row>
    <row r="121" spans="1:42" s="85" customFormat="1" ht="13.5" thickBot="1">
      <c r="A121" s="240"/>
      <c r="B121" s="241"/>
      <c r="C121" s="242"/>
      <c r="D121" s="242"/>
      <c r="E121" s="243"/>
      <c r="F121" s="244"/>
      <c r="G121" s="244"/>
      <c r="H121" s="243"/>
      <c r="I121" s="258"/>
      <c r="J121" s="245"/>
      <c r="K121" s="245"/>
      <c r="L121" s="76">
        <f t="shared" si="10"/>
        <v>0</v>
      </c>
      <c r="M121" s="246"/>
      <c r="N121" s="247"/>
      <c r="O121" s="248"/>
      <c r="P121" s="246"/>
      <c r="Q121" s="249"/>
      <c r="R121" s="250"/>
      <c r="S121" s="259"/>
      <c r="T121" s="260"/>
      <c r="U121" s="250"/>
      <c r="V121" s="78">
        <f t="shared" si="11"/>
        <v>0</v>
      </c>
      <c r="W121" s="261">
        <f t="shared" si="12"/>
        <v>0</v>
      </c>
      <c r="X121" s="133">
        <f t="shared" si="13"/>
        <v>0</v>
      </c>
      <c r="Y121" s="251"/>
      <c r="Z121" s="1736"/>
      <c r="AA121" s="1737"/>
      <c r="AB121" s="77">
        <f t="shared" si="14"/>
        <v>0</v>
      </c>
      <c r="AC121" s="134">
        <f t="shared" si="15"/>
        <v>0</v>
      </c>
      <c r="AD121" s="251"/>
      <c r="AE121" s="1736"/>
      <c r="AF121" s="1737"/>
      <c r="AG121" s="77">
        <f t="shared" si="16"/>
        <v>0</v>
      </c>
      <c r="AH121" s="136">
        <f t="shared" si="17"/>
        <v>0</v>
      </c>
      <c r="AI121" s="251"/>
      <c r="AJ121" s="1736"/>
      <c r="AK121" s="1737"/>
      <c r="AL121" s="79">
        <f t="shared" si="18"/>
        <v>0</v>
      </c>
      <c r="AM121" s="137">
        <f t="shared" si="19"/>
        <v>0</v>
      </c>
      <c r="AN121" s="251"/>
      <c r="AO121" s="1736"/>
      <c r="AP121" s="1737"/>
    </row>
    <row r="122" spans="1:42" s="85" customFormat="1" ht="13.5" thickBot="1">
      <c r="A122" s="240"/>
      <c r="B122" s="241"/>
      <c r="C122" s="242"/>
      <c r="D122" s="242"/>
      <c r="E122" s="243"/>
      <c r="F122" s="244"/>
      <c r="G122" s="244"/>
      <c r="H122" s="243"/>
      <c r="I122" s="258"/>
      <c r="J122" s="245"/>
      <c r="K122" s="245"/>
      <c r="L122" s="76">
        <f t="shared" si="10"/>
        <v>0</v>
      </c>
      <c r="M122" s="246"/>
      <c r="N122" s="247"/>
      <c r="O122" s="248"/>
      <c r="P122" s="246"/>
      <c r="Q122" s="249"/>
      <c r="R122" s="250"/>
      <c r="S122" s="259"/>
      <c r="T122" s="260"/>
      <c r="U122" s="250"/>
      <c r="V122" s="78">
        <f t="shared" si="11"/>
        <v>0</v>
      </c>
      <c r="W122" s="261">
        <f t="shared" si="12"/>
        <v>0</v>
      </c>
      <c r="X122" s="133">
        <f t="shared" si="13"/>
        <v>0</v>
      </c>
      <c r="Y122" s="251"/>
      <c r="Z122" s="1736"/>
      <c r="AA122" s="1737"/>
      <c r="AB122" s="77">
        <f t="shared" si="14"/>
        <v>0</v>
      </c>
      <c r="AC122" s="134">
        <f t="shared" si="15"/>
        <v>0</v>
      </c>
      <c r="AD122" s="251"/>
      <c r="AE122" s="1736"/>
      <c r="AF122" s="1737"/>
      <c r="AG122" s="77">
        <f t="shared" si="16"/>
        <v>0</v>
      </c>
      <c r="AH122" s="136">
        <f t="shared" si="17"/>
        <v>0</v>
      </c>
      <c r="AI122" s="251"/>
      <c r="AJ122" s="1736"/>
      <c r="AK122" s="1737"/>
      <c r="AL122" s="79">
        <f t="shared" si="18"/>
        <v>0</v>
      </c>
      <c r="AM122" s="137">
        <f t="shared" si="19"/>
        <v>0</v>
      </c>
      <c r="AN122" s="251"/>
      <c r="AO122" s="1736"/>
      <c r="AP122" s="1737"/>
    </row>
    <row r="123" spans="1:42" s="85" customFormat="1" ht="13.5" thickBot="1">
      <c r="A123" s="240"/>
      <c r="B123" s="241"/>
      <c r="C123" s="242"/>
      <c r="D123" s="242"/>
      <c r="E123" s="243"/>
      <c r="F123" s="244"/>
      <c r="G123" s="244"/>
      <c r="H123" s="243"/>
      <c r="I123" s="258"/>
      <c r="J123" s="245"/>
      <c r="K123" s="245"/>
      <c r="L123" s="76">
        <f t="shared" si="10"/>
        <v>0</v>
      </c>
      <c r="M123" s="246"/>
      <c r="N123" s="247"/>
      <c r="O123" s="248"/>
      <c r="P123" s="246"/>
      <c r="Q123" s="249"/>
      <c r="R123" s="250"/>
      <c r="S123" s="259"/>
      <c r="T123" s="260"/>
      <c r="U123" s="250"/>
      <c r="V123" s="78">
        <f t="shared" si="11"/>
        <v>0</v>
      </c>
      <c r="W123" s="261">
        <f t="shared" si="12"/>
        <v>0</v>
      </c>
      <c r="X123" s="133">
        <f t="shared" si="13"/>
        <v>0</v>
      </c>
      <c r="Y123" s="251"/>
      <c r="Z123" s="1736"/>
      <c r="AA123" s="1737"/>
      <c r="AB123" s="77">
        <f t="shared" si="14"/>
        <v>0</v>
      </c>
      <c r="AC123" s="134">
        <f t="shared" si="15"/>
        <v>0</v>
      </c>
      <c r="AD123" s="251"/>
      <c r="AE123" s="1736"/>
      <c r="AF123" s="1737"/>
      <c r="AG123" s="77">
        <f t="shared" si="16"/>
        <v>0</v>
      </c>
      <c r="AH123" s="136">
        <f t="shared" si="17"/>
        <v>0</v>
      </c>
      <c r="AI123" s="251"/>
      <c r="AJ123" s="1736"/>
      <c r="AK123" s="1737"/>
      <c r="AL123" s="79">
        <f t="shared" si="18"/>
        <v>0</v>
      </c>
      <c r="AM123" s="137">
        <f t="shared" si="19"/>
        <v>0</v>
      </c>
      <c r="AN123" s="251"/>
      <c r="AO123" s="1736"/>
      <c r="AP123" s="1737"/>
    </row>
    <row r="124" spans="1:42" s="85" customFormat="1" ht="13.5" thickBot="1">
      <c r="A124" s="240"/>
      <c r="B124" s="241"/>
      <c r="C124" s="242"/>
      <c r="D124" s="242"/>
      <c r="E124" s="243"/>
      <c r="F124" s="244"/>
      <c r="G124" s="244"/>
      <c r="H124" s="243"/>
      <c r="I124" s="258"/>
      <c r="J124" s="245"/>
      <c r="K124" s="245"/>
      <c r="L124" s="76">
        <f t="shared" si="10"/>
        <v>0</v>
      </c>
      <c r="M124" s="246"/>
      <c r="N124" s="247"/>
      <c r="O124" s="248"/>
      <c r="P124" s="246"/>
      <c r="Q124" s="249"/>
      <c r="R124" s="250"/>
      <c r="S124" s="259"/>
      <c r="T124" s="260"/>
      <c r="U124" s="250"/>
      <c r="V124" s="78">
        <f t="shared" si="11"/>
        <v>0</v>
      </c>
      <c r="W124" s="261">
        <f t="shared" si="12"/>
        <v>0</v>
      </c>
      <c r="X124" s="133">
        <f t="shared" si="13"/>
        <v>0</v>
      </c>
      <c r="Y124" s="251"/>
      <c r="Z124" s="1736"/>
      <c r="AA124" s="1737"/>
      <c r="AB124" s="77">
        <f t="shared" si="14"/>
        <v>0</v>
      </c>
      <c r="AC124" s="134">
        <f t="shared" si="15"/>
        <v>0</v>
      </c>
      <c r="AD124" s="251"/>
      <c r="AE124" s="1736"/>
      <c r="AF124" s="1737"/>
      <c r="AG124" s="77">
        <f t="shared" si="16"/>
        <v>0</v>
      </c>
      <c r="AH124" s="136">
        <f t="shared" si="17"/>
        <v>0</v>
      </c>
      <c r="AI124" s="251"/>
      <c r="AJ124" s="1736"/>
      <c r="AK124" s="1737"/>
      <c r="AL124" s="79">
        <f t="shared" si="18"/>
        <v>0</v>
      </c>
      <c r="AM124" s="137">
        <f t="shared" si="19"/>
        <v>0</v>
      </c>
      <c r="AN124" s="251"/>
      <c r="AO124" s="1736"/>
      <c r="AP124" s="1737"/>
    </row>
    <row r="125" spans="1:42" s="85" customFormat="1" ht="13.5" thickBot="1">
      <c r="A125" s="240"/>
      <c r="B125" s="241"/>
      <c r="C125" s="242"/>
      <c r="D125" s="242"/>
      <c r="E125" s="243"/>
      <c r="F125" s="244"/>
      <c r="G125" s="244"/>
      <c r="H125" s="243"/>
      <c r="I125" s="258"/>
      <c r="J125" s="245"/>
      <c r="K125" s="245"/>
      <c r="L125" s="76">
        <f t="shared" si="10"/>
        <v>0</v>
      </c>
      <c r="M125" s="246"/>
      <c r="N125" s="247"/>
      <c r="O125" s="248"/>
      <c r="P125" s="246"/>
      <c r="Q125" s="249"/>
      <c r="R125" s="250"/>
      <c r="S125" s="259"/>
      <c r="T125" s="260"/>
      <c r="U125" s="250"/>
      <c r="V125" s="78">
        <f t="shared" si="11"/>
        <v>0</v>
      </c>
      <c r="W125" s="261">
        <f t="shared" si="12"/>
        <v>0</v>
      </c>
      <c r="X125" s="133">
        <f t="shared" si="13"/>
        <v>0</v>
      </c>
      <c r="Y125" s="251"/>
      <c r="Z125" s="1736"/>
      <c r="AA125" s="1737"/>
      <c r="AB125" s="77">
        <f t="shared" si="14"/>
        <v>0</v>
      </c>
      <c r="AC125" s="134">
        <f t="shared" si="15"/>
        <v>0</v>
      </c>
      <c r="AD125" s="251"/>
      <c r="AE125" s="1736"/>
      <c r="AF125" s="1737"/>
      <c r="AG125" s="77">
        <f t="shared" si="16"/>
        <v>0</v>
      </c>
      <c r="AH125" s="136">
        <f t="shared" si="17"/>
        <v>0</v>
      </c>
      <c r="AI125" s="251"/>
      <c r="AJ125" s="1736"/>
      <c r="AK125" s="1737"/>
      <c r="AL125" s="79">
        <f t="shared" si="18"/>
        <v>0</v>
      </c>
      <c r="AM125" s="137">
        <f t="shared" si="19"/>
        <v>0</v>
      </c>
      <c r="AN125" s="251"/>
      <c r="AO125" s="1736"/>
      <c r="AP125" s="1737"/>
    </row>
    <row r="126" spans="1:42" s="85" customFormat="1" ht="13.5" thickBot="1">
      <c r="A126" s="240"/>
      <c r="B126" s="241"/>
      <c r="C126" s="242"/>
      <c r="D126" s="242"/>
      <c r="E126" s="243"/>
      <c r="F126" s="244"/>
      <c r="G126" s="244"/>
      <c r="H126" s="243"/>
      <c r="I126" s="258"/>
      <c r="J126" s="245"/>
      <c r="K126" s="245"/>
      <c r="L126" s="76">
        <f t="shared" si="10"/>
        <v>0</v>
      </c>
      <c r="M126" s="246"/>
      <c r="N126" s="247"/>
      <c r="O126" s="248"/>
      <c r="P126" s="246"/>
      <c r="Q126" s="249"/>
      <c r="R126" s="250"/>
      <c r="S126" s="259"/>
      <c r="T126" s="260"/>
      <c r="U126" s="250"/>
      <c r="V126" s="78">
        <f t="shared" si="11"/>
        <v>0</v>
      </c>
      <c r="W126" s="261">
        <f t="shared" si="12"/>
        <v>0</v>
      </c>
      <c r="X126" s="133">
        <f t="shared" si="13"/>
        <v>0</v>
      </c>
      <c r="Y126" s="251"/>
      <c r="Z126" s="1736"/>
      <c r="AA126" s="1737"/>
      <c r="AB126" s="77">
        <f t="shared" si="14"/>
        <v>0</v>
      </c>
      <c r="AC126" s="134">
        <f t="shared" si="15"/>
        <v>0</v>
      </c>
      <c r="AD126" s="251"/>
      <c r="AE126" s="1736"/>
      <c r="AF126" s="1737"/>
      <c r="AG126" s="77">
        <f t="shared" si="16"/>
        <v>0</v>
      </c>
      <c r="AH126" s="136">
        <f t="shared" si="17"/>
        <v>0</v>
      </c>
      <c r="AI126" s="251"/>
      <c r="AJ126" s="1736"/>
      <c r="AK126" s="1737"/>
      <c r="AL126" s="79">
        <f t="shared" si="18"/>
        <v>0</v>
      </c>
      <c r="AM126" s="137">
        <f t="shared" si="19"/>
        <v>0</v>
      </c>
      <c r="AN126" s="251"/>
      <c r="AO126" s="1736"/>
      <c r="AP126" s="1737"/>
    </row>
    <row r="127" spans="1:42" s="85" customFormat="1" ht="13.5" thickBot="1">
      <c r="A127" s="240"/>
      <c r="B127" s="241"/>
      <c r="C127" s="242"/>
      <c r="D127" s="242"/>
      <c r="E127" s="243"/>
      <c r="F127" s="244"/>
      <c r="G127" s="244"/>
      <c r="H127" s="243"/>
      <c r="I127" s="258"/>
      <c r="J127" s="245"/>
      <c r="K127" s="245"/>
      <c r="L127" s="76">
        <f t="shared" si="10"/>
        <v>0</v>
      </c>
      <c r="M127" s="246"/>
      <c r="N127" s="247"/>
      <c r="O127" s="248"/>
      <c r="P127" s="246"/>
      <c r="Q127" s="249"/>
      <c r="R127" s="250"/>
      <c r="S127" s="259"/>
      <c r="T127" s="260"/>
      <c r="U127" s="250"/>
      <c r="V127" s="78">
        <f t="shared" si="11"/>
        <v>0</v>
      </c>
      <c r="W127" s="261">
        <f t="shared" si="12"/>
        <v>0</v>
      </c>
      <c r="X127" s="133">
        <f t="shared" si="13"/>
        <v>0</v>
      </c>
      <c r="Y127" s="251"/>
      <c r="Z127" s="1736"/>
      <c r="AA127" s="1737"/>
      <c r="AB127" s="77">
        <f t="shared" si="14"/>
        <v>0</v>
      </c>
      <c r="AC127" s="134">
        <f t="shared" si="15"/>
        <v>0</v>
      </c>
      <c r="AD127" s="251"/>
      <c r="AE127" s="1736"/>
      <c r="AF127" s="1737"/>
      <c r="AG127" s="77">
        <f t="shared" si="16"/>
        <v>0</v>
      </c>
      <c r="AH127" s="136">
        <f t="shared" si="17"/>
        <v>0</v>
      </c>
      <c r="AI127" s="251"/>
      <c r="AJ127" s="1736"/>
      <c r="AK127" s="1737"/>
      <c r="AL127" s="79">
        <f t="shared" si="18"/>
        <v>0</v>
      </c>
      <c r="AM127" s="137">
        <f t="shared" si="19"/>
        <v>0</v>
      </c>
      <c r="AN127" s="251"/>
      <c r="AO127" s="1736"/>
      <c r="AP127" s="1737"/>
    </row>
    <row r="128" spans="1:42" s="85" customFormat="1" ht="13.5" thickBot="1">
      <c r="A128" s="240"/>
      <c r="B128" s="241"/>
      <c r="C128" s="242"/>
      <c r="D128" s="242"/>
      <c r="E128" s="243"/>
      <c r="F128" s="244"/>
      <c r="G128" s="244"/>
      <c r="H128" s="243"/>
      <c r="I128" s="258"/>
      <c r="J128" s="245"/>
      <c r="K128" s="245"/>
      <c r="L128" s="76">
        <f t="shared" si="10"/>
        <v>0</v>
      </c>
      <c r="M128" s="246"/>
      <c r="N128" s="247"/>
      <c r="O128" s="248"/>
      <c r="P128" s="246"/>
      <c r="Q128" s="249"/>
      <c r="R128" s="250"/>
      <c r="S128" s="259"/>
      <c r="T128" s="260"/>
      <c r="U128" s="250"/>
      <c r="V128" s="78">
        <f t="shared" si="11"/>
        <v>0</v>
      </c>
      <c r="W128" s="261">
        <f t="shared" si="12"/>
        <v>0</v>
      </c>
      <c r="X128" s="133">
        <f t="shared" si="13"/>
        <v>0</v>
      </c>
      <c r="Y128" s="251"/>
      <c r="Z128" s="1736"/>
      <c r="AA128" s="1737"/>
      <c r="AB128" s="77">
        <f t="shared" si="14"/>
        <v>0</v>
      </c>
      <c r="AC128" s="134">
        <f t="shared" si="15"/>
        <v>0</v>
      </c>
      <c r="AD128" s="251"/>
      <c r="AE128" s="1736"/>
      <c r="AF128" s="1737"/>
      <c r="AG128" s="77">
        <f t="shared" si="16"/>
        <v>0</v>
      </c>
      <c r="AH128" s="136">
        <f t="shared" si="17"/>
        <v>0</v>
      </c>
      <c r="AI128" s="251"/>
      <c r="AJ128" s="1736"/>
      <c r="AK128" s="1737"/>
      <c r="AL128" s="79">
        <f t="shared" si="18"/>
        <v>0</v>
      </c>
      <c r="AM128" s="137">
        <f t="shared" si="19"/>
        <v>0</v>
      </c>
      <c r="AN128" s="251"/>
      <c r="AO128" s="1736"/>
      <c r="AP128" s="1737"/>
    </row>
    <row r="129" spans="1:42" s="85" customFormat="1" ht="13.5" thickBot="1">
      <c r="A129" s="240"/>
      <c r="B129" s="241"/>
      <c r="C129" s="242"/>
      <c r="D129" s="242"/>
      <c r="E129" s="243"/>
      <c r="F129" s="244"/>
      <c r="G129" s="244"/>
      <c r="H129" s="243"/>
      <c r="I129" s="258"/>
      <c r="J129" s="245"/>
      <c r="K129" s="245"/>
      <c r="L129" s="76">
        <f t="shared" si="10"/>
        <v>0</v>
      </c>
      <c r="M129" s="246"/>
      <c r="N129" s="247"/>
      <c r="O129" s="248"/>
      <c r="P129" s="246"/>
      <c r="Q129" s="249"/>
      <c r="R129" s="250"/>
      <c r="S129" s="259"/>
      <c r="T129" s="260"/>
      <c r="U129" s="250"/>
      <c r="V129" s="78">
        <f t="shared" si="11"/>
        <v>0</v>
      </c>
      <c r="W129" s="261">
        <f t="shared" si="12"/>
        <v>0</v>
      </c>
      <c r="X129" s="133">
        <f t="shared" si="13"/>
        <v>0</v>
      </c>
      <c r="Y129" s="251"/>
      <c r="Z129" s="1736"/>
      <c r="AA129" s="1737"/>
      <c r="AB129" s="77">
        <f t="shared" si="14"/>
        <v>0</v>
      </c>
      <c r="AC129" s="134">
        <f t="shared" si="15"/>
        <v>0</v>
      </c>
      <c r="AD129" s="251"/>
      <c r="AE129" s="1736"/>
      <c r="AF129" s="1737"/>
      <c r="AG129" s="77">
        <f t="shared" si="16"/>
        <v>0</v>
      </c>
      <c r="AH129" s="136">
        <f t="shared" si="17"/>
        <v>0</v>
      </c>
      <c r="AI129" s="251"/>
      <c r="AJ129" s="1736"/>
      <c r="AK129" s="1737"/>
      <c r="AL129" s="79">
        <f t="shared" si="18"/>
        <v>0</v>
      </c>
      <c r="AM129" s="137">
        <f t="shared" si="19"/>
        <v>0</v>
      </c>
      <c r="AN129" s="251"/>
      <c r="AO129" s="1736"/>
      <c r="AP129" s="1737"/>
    </row>
    <row r="130" spans="1:42" s="85" customFormat="1" ht="13.5" thickBot="1">
      <c r="A130" s="240"/>
      <c r="B130" s="241"/>
      <c r="C130" s="242"/>
      <c r="D130" s="242"/>
      <c r="E130" s="243"/>
      <c r="F130" s="244"/>
      <c r="G130" s="244"/>
      <c r="H130" s="243"/>
      <c r="I130" s="258"/>
      <c r="J130" s="245"/>
      <c r="K130" s="245"/>
      <c r="L130" s="76">
        <f t="shared" si="10"/>
        <v>0</v>
      </c>
      <c r="M130" s="246"/>
      <c r="N130" s="247"/>
      <c r="O130" s="248"/>
      <c r="P130" s="246"/>
      <c r="Q130" s="249"/>
      <c r="R130" s="250"/>
      <c r="S130" s="259"/>
      <c r="T130" s="260"/>
      <c r="U130" s="250"/>
      <c r="V130" s="78">
        <f t="shared" si="11"/>
        <v>0</v>
      </c>
      <c r="W130" s="261">
        <f t="shared" si="12"/>
        <v>0</v>
      </c>
      <c r="X130" s="133">
        <f t="shared" si="13"/>
        <v>0</v>
      </c>
      <c r="Y130" s="251"/>
      <c r="Z130" s="1736"/>
      <c r="AA130" s="1737"/>
      <c r="AB130" s="77">
        <f t="shared" si="14"/>
        <v>0</v>
      </c>
      <c r="AC130" s="134">
        <f t="shared" si="15"/>
        <v>0</v>
      </c>
      <c r="AD130" s="251"/>
      <c r="AE130" s="1736"/>
      <c r="AF130" s="1737"/>
      <c r="AG130" s="77">
        <f t="shared" si="16"/>
        <v>0</v>
      </c>
      <c r="AH130" s="136">
        <f t="shared" si="17"/>
        <v>0</v>
      </c>
      <c r="AI130" s="251"/>
      <c r="AJ130" s="1736"/>
      <c r="AK130" s="1737"/>
      <c r="AL130" s="79">
        <f t="shared" si="18"/>
        <v>0</v>
      </c>
      <c r="AM130" s="137">
        <f t="shared" si="19"/>
        <v>0</v>
      </c>
      <c r="AN130" s="251"/>
      <c r="AO130" s="1736"/>
      <c r="AP130" s="1737"/>
    </row>
    <row r="131" spans="1:42" s="85" customFormat="1" ht="13.5" thickBot="1">
      <c r="A131" s="240"/>
      <c r="B131" s="241"/>
      <c r="C131" s="242"/>
      <c r="D131" s="242"/>
      <c r="E131" s="243"/>
      <c r="F131" s="244"/>
      <c r="G131" s="244"/>
      <c r="H131" s="243"/>
      <c r="I131" s="258"/>
      <c r="J131" s="245"/>
      <c r="K131" s="245"/>
      <c r="L131" s="76">
        <f t="shared" si="10"/>
        <v>0</v>
      </c>
      <c r="M131" s="246"/>
      <c r="N131" s="247"/>
      <c r="O131" s="248"/>
      <c r="P131" s="246"/>
      <c r="Q131" s="249"/>
      <c r="R131" s="250"/>
      <c r="S131" s="259"/>
      <c r="T131" s="260"/>
      <c r="U131" s="250"/>
      <c r="V131" s="78">
        <f t="shared" si="11"/>
        <v>0</v>
      </c>
      <c r="W131" s="261">
        <f t="shared" si="12"/>
        <v>0</v>
      </c>
      <c r="X131" s="133">
        <f t="shared" si="13"/>
        <v>0</v>
      </c>
      <c r="Y131" s="251"/>
      <c r="Z131" s="1736"/>
      <c r="AA131" s="1737"/>
      <c r="AB131" s="77">
        <f t="shared" si="14"/>
        <v>0</v>
      </c>
      <c r="AC131" s="134">
        <f t="shared" si="15"/>
        <v>0</v>
      </c>
      <c r="AD131" s="251"/>
      <c r="AE131" s="1736"/>
      <c r="AF131" s="1737"/>
      <c r="AG131" s="77">
        <f t="shared" si="16"/>
        <v>0</v>
      </c>
      <c r="AH131" s="136">
        <f t="shared" si="17"/>
        <v>0</v>
      </c>
      <c r="AI131" s="251"/>
      <c r="AJ131" s="1736"/>
      <c r="AK131" s="1737"/>
      <c r="AL131" s="79">
        <f t="shared" si="18"/>
        <v>0</v>
      </c>
      <c r="AM131" s="137">
        <f t="shared" si="19"/>
        <v>0</v>
      </c>
      <c r="AN131" s="251"/>
      <c r="AO131" s="1736"/>
      <c r="AP131" s="1737"/>
    </row>
    <row r="132" spans="1:42" s="85" customFormat="1" ht="13.5" thickBot="1">
      <c r="A132" s="240"/>
      <c r="B132" s="241"/>
      <c r="C132" s="242"/>
      <c r="D132" s="242"/>
      <c r="E132" s="243"/>
      <c r="F132" s="244"/>
      <c r="G132" s="244"/>
      <c r="H132" s="243"/>
      <c r="I132" s="258"/>
      <c r="J132" s="245"/>
      <c r="K132" s="245"/>
      <c r="L132" s="76">
        <f t="shared" si="10"/>
        <v>0</v>
      </c>
      <c r="M132" s="246"/>
      <c r="N132" s="247"/>
      <c r="O132" s="248"/>
      <c r="P132" s="246"/>
      <c r="Q132" s="249"/>
      <c r="R132" s="250"/>
      <c r="S132" s="259"/>
      <c r="T132" s="260"/>
      <c r="U132" s="250"/>
      <c r="V132" s="78">
        <f t="shared" si="11"/>
        <v>0</v>
      </c>
      <c r="W132" s="261">
        <f t="shared" si="12"/>
        <v>0</v>
      </c>
      <c r="X132" s="133">
        <f t="shared" si="13"/>
        <v>0</v>
      </c>
      <c r="Y132" s="251"/>
      <c r="Z132" s="1736"/>
      <c r="AA132" s="1737"/>
      <c r="AB132" s="77">
        <f t="shared" si="14"/>
        <v>0</v>
      </c>
      <c r="AC132" s="134">
        <f t="shared" si="15"/>
        <v>0</v>
      </c>
      <c r="AD132" s="251"/>
      <c r="AE132" s="1736"/>
      <c r="AF132" s="1737"/>
      <c r="AG132" s="77">
        <f t="shared" si="16"/>
        <v>0</v>
      </c>
      <c r="AH132" s="136">
        <f t="shared" si="17"/>
        <v>0</v>
      </c>
      <c r="AI132" s="251"/>
      <c r="AJ132" s="1736"/>
      <c r="AK132" s="1737"/>
      <c r="AL132" s="79">
        <f t="shared" si="18"/>
        <v>0</v>
      </c>
      <c r="AM132" s="137">
        <f t="shared" si="19"/>
        <v>0</v>
      </c>
      <c r="AN132" s="251"/>
      <c r="AO132" s="1736"/>
      <c r="AP132" s="1737"/>
    </row>
    <row r="133" spans="1:42" s="85" customFormat="1" ht="13.5" thickBot="1">
      <c r="A133" s="240"/>
      <c r="B133" s="241"/>
      <c r="C133" s="242"/>
      <c r="D133" s="242"/>
      <c r="E133" s="243"/>
      <c r="F133" s="244"/>
      <c r="G133" s="244"/>
      <c r="H133" s="243"/>
      <c r="I133" s="258"/>
      <c r="J133" s="245"/>
      <c r="K133" s="245"/>
      <c r="L133" s="76">
        <f t="shared" si="10"/>
        <v>0</v>
      </c>
      <c r="M133" s="246"/>
      <c r="N133" s="247"/>
      <c r="O133" s="248"/>
      <c r="P133" s="246"/>
      <c r="Q133" s="249"/>
      <c r="R133" s="250"/>
      <c r="S133" s="259"/>
      <c r="T133" s="260"/>
      <c r="U133" s="250"/>
      <c r="V133" s="78">
        <f t="shared" si="11"/>
        <v>0</v>
      </c>
      <c r="W133" s="261">
        <f t="shared" si="12"/>
        <v>0</v>
      </c>
      <c r="X133" s="133">
        <f t="shared" si="13"/>
        <v>0</v>
      </c>
      <c r="Y133" s="251"/>
      <c r="Z133" s="1736"/>
      <c r="AA133" s="1737"/>
      <c r="AB133" s="77">
        <f t="shared" si="14"/>
        <v>0</v>
      </c>
      <c r="AC133" s="134">
        <f t="shared" si="15"/>
        <v>0</v>
      </c>
      <c r="AD133" s="251"/>
      <c r="AE133" s="1736"/>
      <c r="AF133" s="1737"/>
      <c r="AG133" s="77">
        <f t="shared" si="16"/>
        <v>0</v>
      </c>
      <c r="AH133" s="136">
        <f t="shared" si="17"/>
        <v>0</v>
      </c>
      <c r="AI133" s="251"/>
      <c r="AJ133" s="1736"/>
      <c r="AK133" s="1737"/>
      <c r="AL133" s="79">
        <f t="shared" si="18"/>
        <v>0</v>
      </c>
      <c r="AM133" s="137">
        <f t="shared" si="19"/>
        <v>0</v>
      </c>
      <c r="AN133" s="251"/>
      <c r="AO133" s="1736"/>
      <c r="AP133" s="1737"/>
    </row>
    <row r="134" spans="1:42" s="85" customFormat="1" ht="13.5" thickBot="1">
      <c r="A134" s="240"/>
      <c r="B134" s="241"/>
      <c r="C134" s="242"/>
      <c r="D134" s="242"/>
      <c r="E134" s="243"/>
      <c r="F134" s="244"/>
      <c r="G134" s="244"/>
      <c r="H134" s="243"/>
      <c r="I134" s="258"/>
      <c r="J134" s="245"/>
      <c r="K134" s="245"/>
      <c r="L134" s="76">
        <f t="shared" si="10"/>
        <v>0</v>
      </c>
      <c r="M134" s="246"/>
      <c r="N134" s="247"/>
      <c r="O134" s="248"/>
      <c r="P134" s="246"/>
      <c r="Q134" s="249"/>
      <c r="R134" s="250"/>
      <c r="S134" s="259"/>
      <c r="T134" s="260"/>
      <c r="U134" s="250"/>
      <c r="V134" s="78">
        <f t="shared" si="11"/>
        <v>0</v>
      </c>
      <c r="W134" s="261">
        <f t="shared" si="12"/>
        <v>0</v>
      </c>
      <c r="X134" s="133">
        <f t="shared" si="13"/>
        <v>0</v>
      </c>
      <c r="Y134" s="251"/>
      <c r="Z134" s="1736"/>
      <c r="AA134" s="1737"/>
      <c r="AB134" s="77">
        <f t="shared" si="14"/>
        <v>0</v>
      </c>
      <c r="AC134" s="134">
        <f t="shared" si="15"/>
        <v>0</v>
      </c>
      <c r="AD134" s="251"/>
      <c r="AE134" s="1736"/>
      <c r="AF134" s="1737"/>
      <c r="AG134" s="77">
        <f t="shared" si="16"/>
        <v>0</v>
      </c>
      <c r="AH134" s="136">
        <f t="shared" si="17"/>
        <v>0</v>
      </c>
      <c r="AI134" s="251"/>
      <c r="AJ134" s="1736"/>
      <c r="AK134" s="1737"/>
      <c r="AL134" s="79">
        <f t="shared" si="18"/>
        <v>0</v>
      </c>
      <c r="AM134" s="137">
        <f t="shared" si="19"/>
        <v>0</v>
      </c>
      <c r="AN134" s="251"/>
      <c r="AO134" s="1736"/>
      <c r="AP134" s="1737"/>
    </row>
    <row r="135" spans="1:42" s="85" customFormat="1" ht="13.5" thickBot="1">
      <c r="A135" s="240"/>
      <c r="B135" s="241"/>
      <c r="C135" s="242"/>
      <c r="D135" s="242"/>
      <c r="E135" s="243"/>
      <c r="F135" s="244"/>
      <c r="G135" s="244"/>
      <c r="H135" s="243"/>
      <c r="I135" s="258"/>
      <c r="J135" s="245"/>
      <c r="K135" s="245"/>
      <c r="L135" s="76">
        <f t="shared" si="10"/>
        <v>0</v>
      </c>
      <c r="M135" s="246"/>
      <c r="N135" s="247"/>
      <c r="O135" s="248"/>
      <c r="P135" s="246"/>
      <c r="Q135" s="249"/>
      <c r="R135" s="250"/>
      <c r="S135" s="259"/>
      <c r="T135" s="260"/>
      <c r="U135" s="250"/>
      <c r="V135" s="78">
        <f t="shared" si="11"/>
        <v>0</v>
      </c>
      <c r="W135" s="261">
        <f t="shared" si="12"/>
        <v>0</v>
      </c>
      <c r="X135" s="133">
        <f t="shared" si="13"/>
        <v>0</v>
      </c>
      <c r="Y135" s="251"/>
      <c r="Z135" s="1736"/>
      <c r="AA135" s="1737"/>
      <c r="AB135" s="77">
        <f t="shared" si="14"/>
        <v>0</v>
      </c>
      <c r="AC135" s="134">
        <f t="shared" si="15"/>
        <v>0</v>
      </c>
      <c r="AD135" s="251"/>
      <c r="AE135" s="1736"/>
      <c r="AF135" s="1737"/>
      <c r="AG135" s="77">
        <f t="shared" si="16"/>
        <v>0</v>
      </c>
      <c r="AH135" s="136">
        <f t="shared" si="17"/>
        <v>0</v>
      </c>
      <c r="AI135" s="251"/>
      <c r="AJ135" s="1736"/>
      <c r="AK135" s="1737"/>
      <c r="AL135" s="79">
        <f t="shared" si="18"/>
        <v>0</v>
      </c>
      <c r="AM135" s="137">
        <f t="shared" si="19"/>
        <v>0</v>
      </c>
      <c r="AN135" s="251"/>
      <c r="AO135" s="1736"/>
      <c r="AP135" s="1737"/>
    </row>
    <row r="136" spans="1:42" s="85" customFormat="1" ht="13.5" thickBot="1">
      <c r="A136" s="240"/>
      <c r="B136" s="241"/>
      <c r="C136" s="242"/>
      <c r="D136" s="242"/>
      <c r="E136" s="243"/>
      <c r="F136" s="244"/>
      <c r="G136" s="244"/>
      <c r="H136" s="243"/>
      <c r="I136" s="258"/>
      <c r="J136" s="245"/>
      <c r="K136" s="245"/>
      <c r="L136" s="76">
        <f t="shared" si="10"/>
        <v>0</v>
      </c>
      <c r="M136" s="246"/>
      <c r="N136" s="247"/>
      <c r="O136" s="248"/>
      <c r="P136" s="246"/>
      <c r="Q136" s="249"/>
      <c r="R136" s="250"/>
      <c r="S136" s="259"/>
      <c r="T136" s="260"/>
      <c r="U136" s="250"/>
      <c r="V136" s="78">
        <f t="shared" si="11"/>
        <v>0</v>
      </c>
      <c r="W136" s="261">
        <f t="shared" si="12"/>
        <v>0</v>
      </c>
      <c r="X136" s="133">
        <f t="shared" si="13"/>
        <v>0</v>
      </c>
      <c r="Y136" s="251"/>
      <c r="Z136" s="1736"/>
      <c r="AA136" s="1737"/>
      <c r="AB136" s="77">
        <f t="shared" si="14"/>
        <v>0</v>
      </c>
      <c r="AC136" s="134">
        <f t="shared" si="15"/>
        <v>0</v>
      </c>
      <c r="AD136" s="251"/>
      <c r="AE136" s="1736"/>
      <c r="AF136" s="1737"/>
      <c r="AG136" s="77">
        <f t="shared" si="16"/>
        <v>0</v>
      </c>
      <c r="AH136" s="136">
        <f t="shared" si="17"/>
        <v>0</v>
      </c>
      <c r="AI136" s="251"/>
      <c r="AJ136" s="1736"/>
      <c r="AK136" s="1737"/>
      <c r="AL136" s="79">
        <f t="shared" si="18"/>
        <v>0</v>
      </c>
      <c r="AM136" s="137">
        <f t="shared" si="19"/>
        <v>0</v>
      </c>
      <c r="AN136" s="251"/>
      <c r="AO136" s="1736"/>
      <c r="AP136" s="1737"/>
    </row>
    <row r="137" spans="1:42" s="85" customFormat="1" ht="13.5" thickBot="1">
      <c r="A137" s="240"/>
      <c r="B137" s="241"/>
      <c r="C137" s="242"/>
      <c r="D137" s="242"/>
      <c r="E137" s="243"/>
      <c r="F137" s="244"/>
      <c r="G137" s="244"/>
      <c r="H137" s="243"/>
      <c r="I137" s="258"/>
      <c r="J137" s="245"/>
      <c r="K137" s="245"/>
      <c r="L137" s="76">
        <f t="shared" si="10"/>
        <v>0</v>
      </c>
      <c r="M137" s="246"/>
      <c r="N137" s="247"/>
      <c r="O137" s="248"/>
      <c r="P137" s="246"/>
      <c r="Q137" s="249"/>
      <c r="R137" s="250"/>
      <c r="S137" s="259"/>
      <c r="T137" s="260"/>
      <c r="U137" s="250"/>
      <c r="V137" s="78">
        <f t="shared" si="11"/>
        <v>0</v>
      </c>
      <c r="W137" s="261">
        <f t="shared" si="12"/>
        <v>0</v>
      </c>
      <c r="X137" s="133">
        <f t="shared" si="13"/>
        <v>0</v>
      </c>
      <c r="Y137" s="251"/>
      <c r="Z137" s="1736"/>
      <c r="AA137" s="1737"/>
      <c r="AB137" s="77">
        <f t="shared" si="14"/>
        <v>0</v>
      </c>
      <c r="AC137" s="134">
        <f t="shared" si="15"/>
        <v>0</v>
      </c>
      <c r="AD137" s="251"/>
      <c r="AE137" s="1736"/>
      <c r="AF137" s="1737"/>
      <c r="AG137" s="77">
        <f t="shared" si="16"/>
        <v>0</v>
      </c>
      <c r="AH137" s="136">
        <f t="shared" si="17"/>
        <v>0</v>
      </c>
      <c r="AI137" s="251"/>
      <c r="AJ137" s="1736"/>
      <c r="AK137" s="1737"/>
      <c r="AL137" s="79">
        <f t="shared" si="18"/>
        <v>0</v>
      </c>
      <c r="AM137" s="137">
        <f t="shared" si="19"/>
        <v>0</v>
      </c>
      <c r="AN137" s="251"/>
      <c r="AO137" s="1736"/>
      <c r="AP137" s="1737"/>
    </row>
    <row r="138" spans="1:42" s="85" customFormat="1" ht="13.5" thickBot="1">
      <c r="A138" s="240"/>
      <c r="B138" s="241"/>
      <c r="C138" s="242"/>
      <c r="D138" s="242"/>
      <c r="E138" s="243"/>
      <c r="F138" s="244"/>
      <c r="G138" s="244"/>
      <c r="H138" s="243"/>
      <c r="I138" s="258"/>
      <c r="J138" s="245"/>
      <c r="K138" s="245"/>
      <c r="L138" s="76">
        <f t="shared" si="10"/>
        <v>0</v>
      </c>
      <c r="M138" s="246"/>
      <c r="N138" s="247"/>
      <c r="O138" s="248"/>
      <c r="P138" s="246"/>
      <c r="Q138" s="249"/>
      <c r="R138" s="250"/>
      <c r="S138" s="259"/>
      <c r="T138" s="260"/>
      <c r="U138" s="250"/>
      <c r="V138" s="78">
        <f t="shared" si="11"/>
        <v>0</v>
      </c>
      <c r="W138" s="261">
        <f t="shared" si="12"/>
        <v>0</v>
      </c>
      <c r="X138" s="133">
        <f t="shared" si="13"/>
        <v>0</v>
      </c>
      <c r="Y138" s="251"/>
      <c r="Z138" s="1736"/>
      <c r="AA138" s="1737"/>
      <c r="AB138" s="77">
        <f t="shared" si="14"/>
        <v>0</v>
      </c>
      <c r="AC138" s="134">
        <f t="shared" si="15"/>
        <v>0</v>
      </c>
      <c r="AD138" s="251"/>
      <c r="AE138" s="1736"/>
      <c r="AF138" s="1737"/>
      <c r="AG138" s="77">
        <f t="shared" si="16"/>
        <v>0</v>
      </c>
      <c r="AH138" s="136">
        <f t="shared" si="17"/>
        <v>0</v>
      </c>
      <c r="AI138" s="251"/>
      <c r="AJ138" s="1736"/>
      <c r="AK138" s="1737"/>
      <c r="AL138" s="79">
        <f t="shared" si="18"/>
        <v>0</v>
      </c>
      <c r="AM138" s="137">
        <f t="shared" si="19"/>
        <v>0</v>
      </c>
      <c r="AN138" s="251"/>
      <c r="AO138" s="1736"/>
      <c r="AP138" s="1737"/>
    </row>
    <row r="139" spans="1:42" s="85" customFormat="1" ht="13.5" thickBot="1">
      <c r="A139" s="240"/>
      <c r="B139" s="241"/>
      <c r="C139" s="242"/>
      <c r="D139" s="242"/>
      <c r="E139" s="243"/>
      <c r="F139" s="244"/>
      <c r="G139" s="244"/>
      <c r="H139" s="243"/>
      <c r="I139" s="258"/>
      <c r="J139" s="245"/>
      <c r="K139" s="245"/>
      <c r="L139" s="76">
        <f t="shared" ref="L139:L202" si="20">IF(I139=0,0,(K139+J139)/I139)</f>
        <v>0</v>
      </c>
      <c r="M139" s="246"/>
      <c r="N139" s="247"/>
      <c r="O139" s="248"/>
      <c r="P139" s="246"/>
      <c r="Q139" s="249"/>
      <c r="R139" s="250"/>
      <c r="S139" s="259"/>
      <c r="T139" s="260"/>
      <c r="U139" s="250"/>
      <c r="V139" s="78">
        <f t="shared" ref="V139:V202" si="21">IF(U139=0,0,((U139*S139)-AB139-AL139))</f>
        <v>0</v>
      </c>
      <c r="W139" s="261">
        <f t="shared" ref="W139:W202" si="22">+S139-I139</f>
        <v>0</v>
      </c>
      <c r="X139" s="133">
        <f t="shared" ref="X139:X202" si="23">(V139-J139)</f>
        <v>0</v>
      </c>
      <c r="Y139" s="251"/>
      <c r="Z139" s="1736"/>
      <c r="AA139" s="1737"/>
      <c r="AB139" s="77">
        <f t="shared" ref="AB139:AB202" si="24">(IF(I139=0,0,M139/H139))*S139</f>
        <v>0</v>
      </c>
      <c r="AC139" s="134">
        <f t="shared" ref="AC139:AC202" si="25">+AB139-P139</f>
        <v>0</v>
      </c>
      <c r="AD139" s="251"/>
      <c r="AE139" s="1736"/>
      <c r="AF139" s="1737"/>
      <c r="AG139" s="77">
        <f t="shared" ref="AG139:AG202" si="26">(IF(H139=0,0,N139/H139))*T139</f>
        <v>0</v>
      </c>
      <c r="AH139" s="136">
        <f t="shared" ref="AH139:AH202" si="27">+AG139-Q139</f>
        <v>0</v>
      </c>
      <c r="AI139" s="251"/>
      <c r="AJ139" s="1736"/>
      <c r="AK139" s="1737"/>
      <c r="AL139" s="79">
        <f t="shared" ref="AL139:AL202" si="28">+O139*S139</f>
        <v>0</v>
      </c>
      <c r="AM139" s="137">
        <f t="shared" ref="AM139:AM202" si="29">+AL139-R139</f>
        <v>0</v>
      </c>
      <c r="AN139" s="251"/>
      <c r="AO139" s="1736"/>
      <c r="AP139" s="1737"/>
    </row>
    <row r="140" spans="1:42" s="85" customFormat="1" ht="13.5" thickBot="1">
      <c r="A140" s="240"/>
      <c r="B140" s="241"/>
      <c r="C140" s="242"/>
      <c r="D140" s="242"/>
      <c r="E140" s="243"/>
      <c r="F140" s="244"/>
      <c r="G140" s="244"/>
      <c r="H140" s="243"/>
      <c r="I140" s="258"/>
      <c r="J140" s="245"/>
      <c r="K140" s="245"/>
      <c r="L140" s="76">
        <f t="shared" si="20"/>
        <v>0</v>
      </c>
      <c r="M140" s="246"/>
      <c r="N140" s="247"/>
      <c r="O140" s="248"/>
      <c r="P140" s="246"/>
      <c r="Q140" s="249"/>
      <c r="R140" s="250"/>
      <c r="S140" s="259"/>
      <c r="T140" s="260"/>
      <c r="U140" s="250"/>
      <c r="V140" s="78">
        <f t="shared" si="21"/>
        <v>0</v>
      </c>
      <c r="W140" s="261">
        <f t="shared" si="22"/>
        <v>0</v>
      </c>
      <c r="X140" s="133">
        <f t="shared" si="23"/>
        <v>0</v>
      </c>
      <c r="Y140" s="251"/>
      <c r="Z140" s="1736"/>
      <c r="AA140" s="1737"/>
      <c r="AB140" s="77">
        <f t="shared" si="24"/>
        <v>0</v>
      </c>
      <c r="AC140" s="134">
        <f t="shared" si="25"/>
        <v>0</v>
      </c>
      <c r="AD140" s="251"/>
      <c r="AE140" s="1736"/>
      <c r="AF140" s="1737"/>
      <c r="AG140" s="77">
        <f t="shared" si="26"/>
        <v>0</v>
      </c>
      <c r="AH140" s="136">
        <f t="shared" si="27"/>
        <v>0</v>
      </c>
      <c r="AI140" s="251"/>
      <c r="AJ140" s="1736"/>
      <c r="AK140" s="1737"/>
      <c r="AL140" s="79">
        <f t="shared" si="28"/>
        <v>0</v>
      </c>
      <c r="AM140" s="137">
        <f t="shared" si="29"/>
        <v>0</v>
      </c>
      <c r="AN140" s="251"/>
      <c r="AO140" s="1736"/>
      <c r="AP140" s="1737"/>
    </row>
    <row r="141" spans="1:42" s="85" customFormat="1" ht="13.5" thickBot="1">
      <c r="A141" s="240"/>
      <c r="B141" s="241"/>
      <c r="C141" s="242"/>
      <c r="D141" s="242"/>
      <c r="E141" s="243"/>
      <c r="F141" s="244"/>
      <c r="G141" s="244"/>
      <c r="H141" s="243"/>
      <c r="I141" s="258"/>
      <c r="J141" s="245"/>
      <c r="K141" s="245"/>
      <c r="L141" s="76">
        <f t="shared" si="20"/>
        <v>0</v>
      </c>
      <c r="M141" s="246"/>
      <c r="N141" s="247"/>
      <c r="O141" s="248"/>
      <c r="P141" s="246"/>
      <c r="Q141" s="249"/>
      <c r="R141" s="250"/>
      <c r="S141" s="259"/>
      <c r="T141" s="260"/>
      <c r="U141" s="250"/>
      <c r="V141" s="78">
        <f t="shared" si="21"/>
        <v>0</v>
      </c>
      <c r="W141" s="261">
        <f t="shared" si="22"/>
        <v>0</v>
      </c>
      <c r="X141" s="133">
        <f t="shared" si="23"/>
        <v>0</v>
      </c>
      <c r="Y141" s="251"/>
      <c r="Z141" s="1736"/>
      <c r="AA141" s="1737"/>
      <c r="AB141" s="77">
        <f t="shared" si="24"/>
        <v>0</v>
      </c>
      <c r="AC141" s="134">
        <f t="shared" si="25"/>
        <v>0</v>
      </c>
      <c r="AD141" s="251"/>
      <c r="AE141" s="1736"/>
      <c r="AF141" s="1737"/>
      <c r="AG141" s="77">
        <f t="shared" si="26"/>
        <v>0</v>
      </c>
      <c r="AH141" s="136">
        <f t="shared" si="27"/>
        <v>0</v>
      </c>
      <c r="AI141" s="251"/>
      <c r="AJ141" s="1736"/>
      <c r="AK141" s="1737"/>
      <c r="AL141" s="79">
        <f t="shared" si="28"/>
        <v>0</v>
      </c>
      <c r="AM141" s="137">
        <f t="shared" si="29"/>
        <v>0</v>
      </c>
      <c r="AN141" s="251"/>
      <c r="AO141" s="1736"/>
      <c r="AP141" s="1737"/>
    </row>
    <row r="142" spans="1:42" s="85" customFormat="1" ht="13.5" thickBot="1">
      <c r="A142" s="240"/>
      <c r="B142" s="241"/>
      <c r="C142" s="242"/>
      <c r="D142" s="242"/>
      <c r="E142" s="243"/>
      <c r="F142" s="244"/>
      <c r="G142" s="244"/>
      <c r="H142" s="243"/>
      <c r="I142" s="258"/>
      <c r="J142" s="245"/>
      <c r="K142" s="245"/>
      <c r="L142" s="76">
        <f t="shared" si="20"/>
        <v>0</v>
      </c>
      <c r="M142" s="246"/>
      <c r="N142" s="247"/>
      <c r="O142" s="248"/>
      <c r="P142" s="246"/>
      <c r="Q142" s="249"/>
      <c r="R142" s="250"/>
      <c r="S142" s="259"/>
      <c r="T142" s="260"/>
      <c r="U142" s="250"/>
      <c r="V142" s="78">
        <f t="shared" si="21"/>
        <v>0</v>
      </c>
      <c r="W142" s="261">
        <f t="shared" si="22"/>
        <v>0</v>
      </c>
      <c r="X142" s="133">
        <f t="shared" si="23"/>
        <v>0</v>
      </c>
      <c r="Y142" s="251"/>
      <c r="Z142" s="1736"/>
      <c r="AA142" s="1737"/>
      <c r="AB142" s="77">
        <f t="shared" si="24"/>
        <v>0</v>
      </c>
      <c r="AC142" s="134">
        <f t="shared" si="25"/>
        <v>0</v>
      </c>
      <c r="AD142" s="251"/>
      <c r="AE142" s="1736"/>
      <c r="AF142" s="1737"/>
      <c r="AG142" s="77">
        <f t="shared" si="26"/>
        <v>0</v>
      </c>
      <c r="AH142" s="136">
        <f t="shared" si="27"/>
        <v>0</v>
      </c>
      <c r="AI142" s="251"/>
      <c r="AJ142" s="1736"/>
      <c r="AK142" s="1737"/>
      <c r="AL142" s="79">
        <f t="shared" si="28"/>
        <v>0</v>
      </c>
      <c r="AM142" s="137">
        <f t="shared" si="29"/>
        <v>0</v>
      </c>
      <c r="AN142" s="251"/>
      <c r="AO142" s="1736"/>
      <c r="AP142" s="1737"/>
    </row>
    <row r="143" spans="1:42" s="85" customFormat="1" ht="13.5" thickBot="1">
      <c r="A143" s="240"/>
      <c r="B143" s="241"/>
      <c r="C143" s="242"/>
      <c r="D143" s="242"/>
      <c r="E143" s="243"/>
      <c r="F143" s="244"/>
      <c r="G143" s="244"/>
      <c r="H143" s="243"/>
      <c r="I143" s="258"/>
      <c r="J143" s="245"/>
      <c r="K143" s="245"/>
      <c r="L143" s="76">
        <f t="shared" si="20"/>
        <v>0</v>
      </c>
      <c r="M143" s="246"/>
      <c r="N143" s="247"/>
      <c r="O143" s="248"/>
      <c r="P143" s="246"/>
      <c r="Q143" s="249"/>
      <c r="R143" s="250"/>
      <c r="S143" s="259"/>
      <c r="T143" s="260"/>
      <c r="U143" s="250"/>
      <c r="V143" s="78">
        <f t="shared" si="21"/>
        <v>0</v>
      </c>
      <c r="W143" s="261">
        <f t="shared" si="22"/>
        <v>0</v>
      </c>
      <c r="X143" s="133">
        <f t="shared" si="23"/>
        <v>0</v>
      </c>
      <c r="Y143" s="251"/>
      <c r="Z143" s="1736"/>
      <c r="AA143" s="1737"/>
      <c r="AB143" s="77">
        <f t="shared" si="24"/>
        <v>0</v>
      </c>
      <c r="AC143" s="134">
        <f t="shared" si="25"/>
        <v>0</v>
      </c>
      <c r="AD143" s="251"/>
      <c r="AE143" s="1736"/>
      <c r="AF143" s="1737"/>
      <c r="AG143" s="77">
        <f t="shared" si="26"/>
        <v>0</v>
      </c>
      <c r="AH143" s="136">
        <f t="shared" si="27"/>
        <v>0</v>
      </c>
      <c r="AI143" s="251"/>
      <c r="AJ143" s="1736"/>
      <c r="AK143" s="1737"/>
      <c r="AL143" s="79">
        <f t="shared" si="28"/>
        <v>0</v>
      </c>
      <c r="AM143" s="137">
        <f t="shared" si="29"/>
        <v>0</v>
      </c>
      <c r="AN143" s="251"/>
      <c r="AO143" s="1736"/>
      <c r="AP143" s="1737"/>
    </row>
    <row r="144" spans="1:42" s="85" customFormat="1" ht="13.5" thickBot="1">
      <c r="A144" s="240"/>
      <c r="B144" s="241"/>
      <c r="C144" s="242"/>
      <c r="D144" s="242"/>
      <c r="E144" s="243"/>
      <c r="F144" s="244"/>
      <c r="G144" s="244"/>
      <c r="H144" s="243"/>
      <c r="I144" s="258"/>
      <c r="J144" s="245"/>
      <c r="K144" s="245"/>
      <c r="L144" s="76">
        <f t="shared" si="20"/>
        <v>0</v>
      </c>
      <c r="M144" s="246"/>
      <c r="N144" s="247"/>
      <c r="O144" s="248"/>
      <c r="P144" s="246"/>
      <c r="Q144" s="249"/>
      <c r="R144" s="250"/>
      <c r="S144" s="259"/>
      <c r="T144" s="260"/>
      <c r="U144" s="250"/>
      <c r="V144" s="78">
        <f t="shared" si="21"/>
        <v>0</v>
      </c>
      <c r="W144" s="261">
        <f t="shared" si="22"/>
        <v>0</v>
      </c>
      <c r="X144" s="133">
        <f t="shared" si="23"/>
        <v>0</v>
      </c>
      <c r="Y144" s="251"/>
      <c r="Z144" s="1736"/>
      <c r="AA144" s="1737"/>
      <c r="AB144" s="77">
        <f t="shared" si="24"/>
        <v>0</v>
      </c>
      <c r="AC144" s="134">
        <f t="shared" si="25"/>
        <v>0</v>
      </c>
      <c r="AD144" s="251"/>
      <c r="AE144" s="1736"/>
      <c r="AF144" s="1737"/>
      <c r="AG144" s="77">
        <f t="shared" si="26"/>
        <v>0</v>
      </c>
      <c r="AH144" s="136">
        <f t="shared" si="27"/>
        <v>0</v>
      </c>
      <c r="AI144" s="251"/>
      <c r="AJ144" s="1736"/>
      <c r="AK144" s="1737"/>
      <c r="AL144" s="79">
        <f t="shared" si="28"/>
        <v>0</v>
      </c>
      <c r="AM144" s="137">
        <f t="shared" si="29"/>
        <v>0</v>
      </c>
      <c r="AN144" s="251"/>
      <c r="AO144" s="1736"/>
      <c r="AP144" s="1737"/>
    </row>
    <row r="145" spans="1:42" s="85" customFormat="1" ht="13.5" thickBot="1">
      <c r="A145" s="240"/>
      <c r="B145" s="241"/>
      <c r="C145" s="242"/>
      <c r="D145" s="242"/>
      <c r="E145" s="243"/>
      <c r="F145" s="244"/>
      <c r="G145" s="244"/>
      <c r="H145" s="243"/>
      <c r="I145" s="258"/>
      <c r="J145" s="245"/>
      <c r="K145" s="245"/>
      <c r="L145" s="76">
        <f t="shared" si="20"/>
        <v>0</v>
      </c>
      <c r="M145" s="246"/>
      <c r="N145" s="247"/>
      <c r="O145" s="248"/>
      <c r="P145" s="246"/>
      <c r="Q145" s="249"/>
      <c r="R145" s="250"/>
      <c r="S145" s="259"/>
      <c r="T145" s="260"/>
      <c r="U145" s="250"/>
      <c r="V145" s="78">
        <f t="shared" si="21"/>
        <v>0</v>
      </c>
      <c r="W145" s="261">
        <f t="shared" si="22"/>
        <v>0</v>
      </c>
      <c r="X145" s="133">
        <f t="shared" si="23"/>
        <v>0</v>
      </c>
      <c r="Y145" s="251"/>
      <c r="Z145" s="1736"/>
      <c r="AA145" s="1737"/>
      <c r="AB145" s="77">
        <f t="shared" si="24"/>
        <v>0</v>
      </c>
      <c r="AC145" s="134">
        <f t="shared" si="25"/>
        <v>0</v>
      </c>
      <c r="AD145" s="251"/>
      <c r="AE145" s="1736"/>
      <c r="AF145" s="1737"/>
      <c r="AG145" s="77">
        <f t="shared" si="26"/>
        <v>0</v>
      </c>
      <c r="AH145" s="136">
        <f t="shared" si="27"/>
        <v>0</v>
      </c>
      <c r="AI145" s="251"/>
      <c r="AJ145" s="1736"/>
      <c r="AK145" s="1737"/>
      <c r="AL145" s="79">
        <f t="shared" si="28"/>
        <v>0</v>
      </c>
      <c r="AM145" s="137">
        <f t="shared" si="29"/>
        <v>0</v>
      </c>
      <c r="AN145" s="251"/>
      <c r="AO145" s="1736"/>
      <c r="AP145" s="1737"/>
    </row>
    <row r="146" spans="1:42" s="85" customFormat="1" ht="13.5" thickBot="1">
      <c r="A146" s="240"/>
      <c r="B146" s="241"/>
      <c r="C146" s="242"/>
      <c r="D146" s="242"/>
      <c r="E146" s="243"/>
      <c r="F146" s="244"/>
      <c r="G146" s="244"/>
      <c r="H146" s="243"/>
      <c r="I146" s="258"/>
      <c r="J146" s="245"/>
      <c r="K146" s="245"/>
      <c r="L146" s="76">
        <f t="shared" si="20"/>
        <v>0</v>
      </c>
      <c r="M146" s="246"/>
      <c r="N146" s="247"/>
      <c r="O146" s="248"/>
      <c r="P146" s="246"/>
      <c r="Q146" s="249"/>
      <c r="R146" s="250"/>
      <c r="S146" s="259"/>
      <c r="T146" s="260"/>
      <c r="U146" s="250"/>
      <c r="V146" s="78">
        <f t="shared" si="21"/>
        <v>0</v>
      </c>
      <c r="W146" s="261">
        <f t="shared" si="22"/>
        <v>0</v>
      </c>
      <c r="X146" s="133">
        <f t="shared" si="23"/>
        <v>0</v>
      </c>
      <c r="Y146" s="251"/>
      <c r="Z146" s="1736"/>
      <c r="AA146" s="1737"/>
      <c r="AB146" s="77">
        <f t="shared" si="24"/>
        <v>0</v>
      </c>
      <c r="AC146" s="134">
        <f t="shared" si="25"/>
        <v>0</v>
      </c>
      <c r="AD146" s="251"/>
      <c r="AE146" s="1736"/>
      <c r="AF146" s="1737"/>
      <c r="AG146" s="77">
        <f t="shared" si="26"/>
        <v>0</v>
      </c>
      <c r="AH146" s="136">
        <f t="shared" si="27"/>
        <v>0</v>
      </c>
      <c r="AI146" s="251"/>
      <c r="AJ146" s="1736"/>
      <c r="AK146" s="1737"/>
      <c r="AL146" s="79">
        <f t="shared" si="28"/>
        <v>0</v>
      </c>
      <c r="AM146" s="137">
        <f t="shared" si="29"/>
        <v>0</v>
      </c>
      <c r="AN146" s="251"/>
      <c r="AO146" s="1736"/>
      <c r="AP146" s="1737"/>
    </row>
    <row r="147" spans="1:42" s="85" customFormat="1" ht="13.5" thickBot="1">
      <c r="A147" s="240"/>
      <c r="B147" s="241"/>
      <c r="C147" s="242"/>
      <c r="D147" s="242"/>
      <c r="E147" s="243"/>
      <c r="F147" s="244"/>
      <c r="G147" s="244"/>
      <c r="H147" s="243"/>
      <c r="I147" s="258"/>
      <c r="J147" s="245"/>
      <c r="K147" s="245"/>
      <c r="L147" s="76">
        <f t="shared" si="20"/>
        <v>0</v>
      </c>
      <c r="M147" s="246"/>
      <c r="N147" s="247"/>
      <c r="O147" s="248"/>
      <c r="P147" s="246"/>
      <c r="Q147" s="249"/>
      <c r="R147" s="250"/>
      <c r="S147" s="259"/>
      <c r="T147" s="260"/>
      <c r="U147" s="250"/>
      <c r="V147" s="78">
        <f t="shared" si="21"/>
        <v>0</v>
      </c>
      <c r="W147" s="261">
        <f t="shared" si="22"/>
        <v>0</v>
      </c>
      <c r="X147" s="133">
        <f t="shared" si="23"/>
        <v>0</v>
      </c>
      <c r="Y147" s="251"/>
      <c r="Z147" s="1736"/>
      <c r="AA147" s="1737"/>
      <c r="AB147" s="77">
        <f t="shared" si="24"/>
        <v>0</v>
      </c>
      <c r="AC147" s="134">
        <f t="shared" si="25"/>
        <v>0</v>
      </c>
      <c r="AD147" s="251"/>
      <c r="AE147" s="1736"/>
      <c r="AF147" s="1737"/>
      <c r="AG147" s="77">
        <f t="shared" si="26"/>
        <v>0</v>
      </c>
      <c r="AH147" s="136">
        <f t="shared" si="27"/>
        <v>0</v>
      </c>
      <c r="AI147" s="251"/>
      <c r="AJ147" s="1736"/>
      <c r="AK147" s="1737"/>
      <c r="AL147" s="79">
        <f t="shared" si="28"/>
        <v>0</v>
      </c>
      <c r="AM147" s="137">
        <f t="shared" si="29"/>
        <v>0</v>
      </c>
      <c r="AN147" s="251"/>
      <c r="AO147" s="1736"/>
      <c r="AP147" s="1737"/>
    </row>
    <row r="148" spans="1:42" s="85" customFormat="1" ht="13.5" thickBot="1">
      <c r="A148" s="240"/>
      <c r="B148" s="241"/>
      <c r="C148" s="242"/>
      <c r="D148" s="242"/>
      <c r="E148" s="243"/>
      <c r="F148" s="244"/>
      <c r="G148" s="244"/>
      <c r="H148" s="243"/>
      <c r="I148" s="258"/>
      <c r="J148" s="245"/>
      <c r="K148" s="245"/>
      <c r="L148" s="76">
        <f t="shared" si="20"/>
        <v>0</v>
      </c>
      <c r="M148" s="246"/>
      <c r="N148" s="247"/>
      <c r="O148" s="248"/>
      <c r="P148" s="246"/>
      <c r="Q148" s="249"/>
      <c r="R148" s="250"/>
      <c r="S148" s="259"/>
      <c r="T148" s="260"/>
      <c r="U148" s="250"/>
      <c r="V148" s="78">
        <f t="shared" si="21"/>
        <v>0</v>
      </c>
      <c r="W148" s="261">
        <f t="shared" si="22"/>
        <v>0</v>
      </c>
      <c r="X148" s="133">
        <f t="shared" si="23"/>
        <v>0</v>
      </c>
      <c r="Y148" s="251"/>
      <c r="Z148" s="1736"/>
      <c r="AA148" s="1737"/>
      <c r="AB148" s="77">
        <f t="shared" si="24"/>
        <v>0</v>
      </c>
      <c r="AC148" s="134">
        <f t="shared" si="25"/>
        <v>0</v>
      </c>
      <c r="AD148" s="251"/>
      <c r="AE148" s="1736"/>
      <c r="AF148" s="1737"/>
      <c r="AG148" s="77">
        <f t="shared" si="26"/>
        <v>0</v>
      </c>
      <c r="AH148" s="136">
        <f t="shared" si="27"/>
        <v>0</v>
      </c>
      <c r="AI148" s="251"/>
      <c r="AJ148" s="1736"/>
      <c r="AK148" s="1737"/>
      <c r="AL148" s="79">
        <f t="shared" si="28"/>
        <v>0</v>
      </c>
      <c r="AM148" s="137">
        <f t="shared" si="29"/>
        <v>0</v>
      </c>
      <c r="AN148" s="251"/>
      <c r="AO148" s="1736"/>
      <c r="AP148" s="1737"/>
    </row>
    <row r="149" spans="1:42" s="85" customFormat="1" ht="13.5" thickBot="1">
      <c r="A149" s="240"/>
      <c r="B149" s="241"/>
      <c r="C149" s="242"/>
      <c r="D149" s="242"/>
      <c r="E149" s="243"/>
      <c r="F149" s="244"/>
      <c r="G149" s="244"/>
      <c r="H149" s="243"/>
      <c r="I149" s="258"/>
      <c r="J149" s="245"/>
      <c r="K149" s="245"/>
      <c r="L149" s="76">
        <f t="shared" si="20"/>
        <v>0</v>
      </c>
      <c r="M149" s="246"/>
      <c r="N149" s="247"/>
      <c r="O149" s="248"/>
      <c r="P149" s="246"/>
      <c r="Q149" s="249"/>
      <c r="R149" s="250"/>
      <c r="S149" s="259"/>
      <c r="T149" s="260"/>
      <c r="U149" s="250"/>
      <c r="V149" s="78">
        <f t="shared" si="21"/>
        <v>0</v>
      </c>
      <c r="W149" s="261">
        <f t="shared" si="22"/>
        <v>0</v>
      </c>
      <c r="X149" s="133">
        <f t="shared" si="23"/>
        <v>0</v>
      </c>
      <c r="Y149" s="251"/>
      <c r="Z149" s="1736"/>
      <c r="AA149" s="1737"/>
      <c r="AB149" s="77">
        <f t="shared" si="24"/>
        <v>0</v>
      </c>
      <c r="AC149" s="134">
        <f t="shared" si="25"/>
        <v>0</v>
      </c>
      <c r="AD149" s="251"/>
      <c r="AE149" s="1736"/>
      <c r="AF149" s="1737"/>
      <c r="AG149" s="77">
        <f t="shared" si="26"/>
        <v>0</v>
      </c>
      <c r="AH149" s="136">
        <f t="shared" si="27"/>
        <v>0</v>
      </c>
      <c r="AI149" s="251"/>
      <c r="AJ149" s="1736"/>
      <c r="AK149" s="1737"/>
      <c r="AL149" s="79">
        <f t="shared" si="28"/>
        <v>0</v>
      </c>
      <c r="AM149" s="137">
        <f t="shared" si="29"/>
        <v>0</v>
      </c>
      <c r="AN149" s="251"/>
      <c r="AO149" s="1736"/>
      <c r="AP149" s="1737"/>
    </row>
    <row r="150" spans="1:42" s="85" customFormat="1" ht="13.5" thickBot="1">
      <c r="A150" s="240"/>
      <c r="B150" s="241"/>
      <c r="C150" s="242"/>
      <c r="D150" s="242"/>
      <c r="E150" s="243"/>
      <c r="F150" s="244"/>
      <c r="G150" s="244"/>
      <c r="H150" s="243"/>
      <c r="I150" s="258"/>
      <c r="J150" s="245"/>
      <c r="K150" s="245"/>
      <c r="L150" s="76">
        <f t="shared" si="20"/>
        <v>0</v>
      </c>
      <c r="M150" s="246"/>
      <c r="N150" s="247"/>
      <c r="O150" s="248"/>
      <c r="P150" s="246"/>
      <c r="Q150" s="249"/>
      <c r="R150" s="250"/>
      <c r="S150" s="259"/>
      <c r="T150" s="260"/>
      <c r="U150" s="250"/>
      <c r="V150" s="78">
        <f t="shared" si="21"/>
        <v>0</v>
      </c>
      <c r="W150" s="261">
        <f t="shared" si="22"/>
        <v>0</v>
      </c>
      <c r="X150" s="133">
        <f t="shared" si="23"/>
        <v>0</v>
      </c>
      <c r="Y150" s="251"/>
      <c r="Z150" s="1736"/>
      <c r="AA150" s="1737"/>
      <c r="AB150" s="77">
        <f t="shared" si="24"/>
        <v>0</v>
      </c>
      <c r="AC150" s="134">
        <f t="shared" si="25"/>
        <v>0</v>
      </c>
      <c r="AD150" s="251"/>
      <c r="AE150" s="1736"/>
      <c r="AF150" s="1737"/>
      <c r="AG150" s="77">
        <f t="shared" si="26"/>
        <v>0</v>
      </c>
      <c r="AH150" s="136">
        <f t="shared" si="27"/>
        <v>0</v>
      </c>
      <c r="AI150" s="251"/>
      <c r="AJ150" s="1736"/>
      <c r="AK150" s="1737"/>
      <c r="AL150" s="79">
        <f t="shared" si="28"/>
        <v>0</v>
      </c>
      <c r="AM150" s="137">
        <f t="shared" si="29"/>
        <v>0</v>
      </c>
      <c r="AN150" s="251"/>
      <c r="AO150" s="1736"/>
      <c r="AP150" s="1737"/>
    </row>
    <row r="151" spans="1:42" s="85" customFormat="1" ht="13.5" thickBot="1">
      <c r="A151" s="240"/>
      <c r="B151" s="241"/>
      <c r="C151" s="242"/>
      <c r="D151" s="242"/>
      <c r="E151" s="243"/>
      <c r="F151" s="244"/>
      <c r="G151" s="244"/>
      <c r="H151" s="243"/>
      <c r="I151" s="258"/>
      <c r="J151" s="245"/>
      <c r="K151" s="245"/>
      <c r="L151" s="76">
        <f t="shared" si="20"/>
        <v>0</v>
      </c>
      <c r="M151" s="246"/>
      <c r="N151" s="247"/>
      <c r="O151" s="248"/>
      <c r="P151" s="246"/>
      <c r="Q151" s="249"/>
      <c r="R151" s="250"/>
      <c r="S151" s="259"/>
      <c r="T151" s="260"/>
      <c r="U151" s="250"/>
      <c r="V151" s="78">
        <f t="shared" si="21"/>
        <v>0</v>
      </c>
      <c r="W151" s="261">
        <f t="shared" si="22"/>
        <v>0</v>
      </c>
      <c r="X151" s="133">
        <f t="shared" si="23"/>
        <v>0</v>
      </c>
      <c r="Y151" s="251"/>
      <c r="Z151" s="1736"/>
      <c r="AA151" s="1737"/>
      <c r="AB151" s="77">
        <f t="shared" si="24"/>
        <v>0</v>
      </c>
      <c r="AC151" s="134">
        <f t="shared" si="25"/>
        <v>0</v>
      </c>
      <c r="AD151" s="251"/>
      <c r="AE151" s="1736"/>
      <c r="AF151" s="1737"/>
      <c r="AG151" s="77">
        <f t="shared" si="26"/>
        <v>0</v>
      </c>
      <c r="AH151" s="136">
        <f t="shared" si="27"/>
        <v>0</v>
      </c>
      <c r="AI151" s="251"/>
      <c r="AJ151" s="1736"/>
      <c r="AK151" s="1737"/>
      <c r="AL151" s="79">
        <f t="shared" si="28"/>
        <v>0</v>
      </c>
      <c r="AM151" s="137">
        <f t="shared" si="29"/>
        <v>0</v>
      </c>
      <c r="AN151" s="251"/>
      <c r="AO151" s="1736"/>
      <c r="AP151" s="1737"/>
    </row>
    <row r="152" spans="1:42" s="85" customFormat="1" ht="13.5" thickBot="1">
      <c r="A152" s="240"/>
      <c r="B152" s="241"/>
      <c r="C152" s="242"/>
      <c r="D152" s="242"/>
      <c r="E152" s="243"/>
      <c r="F152" s="244"/>
      <c r="G152" s="244"/>
      <c r="H152" s="243"/>
      <c r="I152" s="258"/>
      <c r="J152" s="245"/>
      <c r="K152" s="245"/>
      <c r="L152" s="76">
        <f t="shared" si="20"/>
        <v>0</v>
      </c>
      <c r="M152" s="246"/>
      <c r="N152" s="247"/>
      <c r="O152" s="248"/>
      <c r="P152" s="246"/>
      <c r="Q152" s="249"/>
      <c r="R152" s="250"/>
      <c r="S152" s="259"/>
      <c r="T152" s="260"/>
      <c r="U152" s="250"/>
      <c r="V152" s="78">
        <f t="shared" si="21"/>
        <v>0</v>
      </c>
      <c r="W152" s="261">
        <f t="shared" si="22"/>
        <v>0</v>
      </c>
      <c r="X152" s="133">
        <f t="shared" si="23"/>
        <v>0</v>
      </c>
      <c r="Y152" s="251"/>
      <c r="Z152" s="1736"/>
      <c r="AA152" s="1737"/>
      <c r="AB152" s="77">
        <f t="shared" si="24"/>
        <v>0</v>
      </c>
      <c r="AC152" s="134">
        <f t="shared" si="25"/>
        <v>0</v>
      </c>
      <c r="AD152" s="251"/>
      <c r="AE152" s="1736"/>
      <c r="AF152" s="1737"/>
      <c r="AG152" s="77">
        <f t="shared" si="26"/>
        <v>0</v>
      </c>
      <c r="AH152" s="136">
        <f t="shared" si="27"/>
        <v>0</v>
      </c>
      <c r="AI152" s="251"/>
      <c r="AJ152" s="1736"/>
      <c r="AK152" s="1737"/>
      <c r="AL152" s="79">
        <f t="shared" si="28"/>
        <v>0</v>
      </c>
      <c r="AM152" s="137">
        <f t="shared" si="29"/>
        <v>0</v>
      </c>
      <c r="AN152" s="251"/>
      <c r="AO152" s="1736"/>
      <c r="AP152" s="1737"/>
    </row>
    <row r="153" spans="1:42" s="85" customFormat="1" ht="13.5" thickBot="1">
      <c r="A153" s="240"/>
      <c r="B153" s="241"/>
      <c r="C153" s="242"/>
      <c r="D153" s="242"/>
      <c r="E153" s="243"/>
      <c r="F153" s="244"/>
      <c r="G153" s="244"/>
      <c r="H153" s="243"/>
      <c r="I153" s="258"/>
      <c r="J153" s="245"/>
      <c r="K153" s="245"/>
      <c r="L153" s="76">
        <f t="shared" si="20"/>
        <v>0</v>
      </c>
      <c r="M153" s="246"/>
      <c r="N153" s="247"/>
      <c r="O153" s="248"/>
      <c r="P153" s="246"/>
      <c r="Q153" s="249"/>
      <c r="R153" s="250"/>
      <c r="S153" s="259"/>
      <c r="T153" s="260"/>
      <c r="U153" s="250"/>
      <c r="V153" s="78">
        <f t="shared" si="21"/>
        <v>0</v>
      </c>
      <c r="W153" s="261">
        <f t="shared" si="22"/>
        <v>0</v>
      </c>
      <c r="X153" s="133">
        <f t="shared" si="23"/>
        <v>0</v>
      </c>
      <c r="Y153" s="251"/>
      <c r="Z153" s="1736"/>
      <c r="AA153" s="1737"/>
      <c r="AB153" s="77">
        <f t="shared" si="24"/>
        <v>0</v>
      </c>
      <c r="AC153" s="134">
        <f t="shared" si="25"/>
        <v>0</v>
      </c>
      <c r="AD153" s="251"/>
      <c r="AE153" s="1736"/>
      <c r="AF153" s="1737"/>
      <c r="AG153" s="77">
        <f t="shared" si="26"/>
        <v>0</v>
      </c>
      <c r="AH153" s="136">
        <f t="shared" si="27"/>
        <v>0</v>
      </c>
      <c r="AI153" s="251"/>
      <c r="AJ153" s="1736"/>
      <c r="AK153" s="1737"/>
      <c r="AL153" s="79">
        <f t="shared" si="28"/>
        <v>0</v>
      </c>
      <c r="AM153" s="137">
        <f t="shared" si="29"/>
        <v>0</v>
      </c>
      <c r="AN153" s="251"/>
      <c r="AO153" s="1736"/>
      <c r="AP153" s="1737"/>
    </row>
    <row r="154" spans="1:42" s="85" customFormat="1" ht="13.5" thickBot="1">
      <c r="A154" s="240"/>
      <c r="B154" s="241"/>
      <c r="C154" s="242"/>
      <c r="D154" s="242"/>
      <c r="E154" s="243"/>
      <c r="F154" s="244"/>
      <c r="G154" s="244"/>
      <c r="H154" s="243"/>
      <c r="I154" s="258"/>
      <c r="J154" s="245"/>
      <c r="K154" s="245"/>
      <c r="L154" s="76">
        <f t="shared" si="20"/>
        <v>0</v>
      </c>
      <c r="M154" s="246"/>
      <c r="N154" s="247"/>
      <c r="O154" s="248"/>
      <c r="P154" s="246"/>
      <c r="Q154" s="249"/>
      <c r="R154" s="250"/>
      <c r="S154" s="259"/>
      <c r="T154" s="260"/>
      <c r="U154" s="250"/>
      <c r="V154" s="78">
        <f t="shared" si="21"/>
        <v>0</v>
      </c>
      <c r="W154" s="261">
        <f t="shared" si="22"/>
        <v>0</v>
      </c>
      <c r="X154" s="133">
        <f t="shared" si="23"/>
        <v>0</v>
      </c>
      <c r="Y154" s="251"/>
      <c r="Z154" s="1736"/>
      <c r="AA154" s="1737"/>
      <c r="AB154" s="77">
        <f t="shared" si="24"/>
        <v>0</v>
      </c>
      <c r="AC154" s="134">
        <f t="shared" si="25"/>
        <v>0</v>
      </c>
      <c r="AD154" s="251"/>
      <c r="AE154" s="1736"/>
      <c r="AF154" s="1737"/>
      <c r="AG154" s="77">
        <f t="shared" si="26"/>
        <v>0</v>
      </c>
      <c r="AH154" s="136">
        <f t="shared" si="27"/>
        <v>0</v>
      </c>
      <c r="AI154" s="251"/>
      <c r="AJ154" s="1736"/>
      <c r="AK154" s="1737"/>
      <c r="AL154" s="79">
        <f t="shared" si="28"/>
        <v>0</v>
      </c>
      <c r="AM154" s="137">
        <f t="shared" si="29"/>
        <v>0</v>
      </c>
      <c r="AN154" s="251"/>
      <c r="AO154" s="1736"/>
      <c r="AP154" s="1737"/>
    </row>
    <row r="155" spans="1:42" s="85" customFormat="1" ht="13.5" thickBot="1">
      <c r="A155" s="240"/>
      <c r="B155" s="241"/>
      <c r="C155" s="242"/>
      <c r="D155" s="242"/>
      <c r="E155" s="243"/>
      <c r="F155" s="244"/>
      <c r="G155" s="244"/>
      <c r="H155" s="243"/>
      <c r="I155" s="258"/>
      <c r="J155" s="245"/>
      <c r="K155" s="245"/>
      <c r="L155" s="76">
        <f t="shared" si="20"/>
        <v>0</v>
      </c>
      <c r="M155" s="246"/>
      <c r="N155" s="247"/>
      <c r="O155" s="248"/>
      <c r="P155" s="246"/>
      <c r="Q155" s="249"/>
      <c r="R155" s="250"/>
      <c r="S155" s="259"/>
      <c r="T155" s="260"/>
      <c r="U155" s="250"/>
      <c r="V155" s="78">
        <f t="shared" si="21"/>
        <v>0</v>
      </c>
      <c r="W155" s="261">
        <f t="shared" si="22"/>
        <v>0</v>
      </c>
      <c r="X155" s="133">
        <f t="shared" si="23"/>
        <v>0</v>
      </c>
      <c r="Y155" s="251"/>
      <c r="Z155" s="1736"/>
      <c r="AA155" s="1737"/>
      <c r="AB155" s="77">
        <f t="shared" si="24"/>
        <v>0</v>
      </c>
      <c r="AC155" s="134">
        <f t="shared" si="25"/>
        <v>0</v>
      </c>
      <c r="AD155" s="251"/>
      <c r="AE155" s="1736"/>
      <c r="AF155" s="1737"/>
      <c r="AG155" s="77">
        <f t="shared" si="26"/>
        <v>0</v>
      </c>
      <c r="AH155" s="136">
        <f t="shared" si="27"/>
        <v>0</v>
      </c>
      <c r="AI155" s="251"/>
      <c r="AJ155" s="1736"/>
      <c r="AK155" s="1737"/>
      <c r="AL155" s="79">
        <f t="shared" si="28"/>
        <v>0</v>
      </c>
      <c r="AM155" s="137">
        <f t="shared" si="29"/>
        <v>0</v>
      </c>
      <c r="AN155" s="251"/>
      <c r="AO155" s="1736"/>
      <c r="AP155" s="1737"/>
    </row>
    <row r="156" spans="1:42" s="85" customFormat="1" ht="13.5" thickBot="1">
      <c r="A156" s="240"/>
      <c r="B156" s="241"/>
      <c r="C156" s="242"/>
      <c r="D156" s="242"/>
      <c r="E156" s="243"/>
      <c r="F156" s="244"/>
      <c r="G156" s="244"/>
      <c r="H156" s="243"/>
      <c r="I156" s="258"/>
      <c r="J156" s="245"/>
      <c r="K156" s="245"/>
      <c r="L156" s="76">
        <f t="shared" si="20"/>
        <v>0</v>
      </c>
      <c r="M156" s="246"/>
      <c r="N156" s="247"/>
      <c r="O156" s="248"/>
      <c r="P156" s="246"/>
      <c r="Q156" s="249"/>
      <c r="R156" s="250"/>
      <c r="S156" s="259"/>
      <c r="T156" s="260"/>
      <c r="U156" s="250"/>
      <c r="V156" s="78">
        <f t="shared" si="21"/>
        <v>0</v>
      </c>
      <c r="W156" s="261">
        <f t="shared" si="22"/>
        <v>0</v>
      </c>
      <c r="X156" s="133">
        <f t="shared" si="23"/>
        <v>0</v>
      </c>
      <c r="Y156" s="251"/>
      <c r="Z156" s="1736"/>
      <c r="AA156" s="1737"/>
      <c r="AB156" s="77">
        <f t="shared" si="24"/>
        <v>0</v>
      </c>
      <c r="AC156" s="134">
        <f t="shared" si="25"/>
        <v>0</v>
      </c>
      <c r="AD156" s="251"/>
      <c r="AE156" s="1736"/>
      <c r="AF156" s="1737"/>
      <c r="AG156" s="77">
        <f t="shared" si="26"/>
        <v>0</v>
      </c>
      <c r="AH156" s="136">
        <f t="shared" si="27"/>
        <v>0</v>
      </c>
      <c r="AI156" s="251"/>
      <c r="AJ156" s="1736"/>
      <c r="AK156" s="1737"/>
      <c r="AL156" s="79">
        <f t="shared" si="28"/>
        <v>0</v>
      </c>
      <c r="AM156" s="137">
        <f t="shared" si="29"/>
        <v>0</v>
      </c>
      <c r="AN156" s="251"/>
      <c r="AO156" s="1736"/>
      <c r="AP156" s="1737"/>
    </row>
    <row r="157" spans="1:42" s="85" customFormat="1" ht="13.5" thickBot="1">
      <c r="A157" s="240"/>
      <c r="B157" s="241"/>
      <c r="C157" s="242"/>
      <c r="D157" s="242"/>
      <c r="E157" s="243"/>
      <c r="F157" s="244"/>
      <c r="G157" s="244"/>
      <c r="H157" s="243"/>
      <c r="I157" s="258"/>
      <c r="J157" s="245"/>
      <c r="K157" s="245"/>
      <c r="L157" s="76">
        <f t="shared" si="20"/>
        <v>0</v>
      </c>
      <c r="M157" s="246"/>
      <c r="N157" s="247"/>
      <c r="O157" s="248"/>
      <c r="P157" s="246"/>
      <c r="Q157" s="249"/>
      <c r="R157" s="250"/>
      <c r="S157" s="259"/>
      <c r="T157" s="260"/>
      <c r="U157" s="250"/>
      <c r="V157" s="78">
        <f t="shared" si="21"/>
        <v>0</v>
      </c>
      <c r="W157" s="261">
        <f t="shared" si="22"/>
        <v>0</v>
      </c>
      <c r="X157" s="133">
        <f t="shared" si="23"/>
        <v>0</v>
      </c>
      <c r="Y157" s="251"/>
      <c r="Z157" s="1736"/>
      <c r="AA157" s="1737"/>
      <c r="AB157" s="77">
        <f t="shared" si="24"/>
        <v>0</v>
      </c>
      <c r="AC157" s="134">
        <f t="shared" si="25"/>
        <v>0</v>
      </c>
      <c r="AD157" s="251"/>
      <c r="AE157" s="1736"/>
      <c r="AF157" s="1737"/>
      <c r="AG157" s="77">
        <f t="shared" si="26"/>
        <v>0</v>
      </c>
      <c r="AH157" s="136">
        <f t="shared" si="27"/>
        <v>0</v>
      </c>
      <c r="AI157" s="251"/>
      <c r="AJ157" s="1736"/>
      <c r="AK157" s="1737"/>
      <c r="AL157" s="79">
        <f t="shared" si="28"/>
        <v>0</v>
      </c>
      <c r="AM157" s="137">
        <f t="shared" si="29"/>
        <v>0</v>
      </c>
      <c r="AN157" s="251"/>
      <c r="AO157" s="1736"/>
      <c r="AP157" s="1737"/>
    </row>
    <row r="158" spans="1:42" s="85" customFormat="1" ht="13.5" thickBot="1">
      <c r="A158" s="240"/>
      <c r="B158" s="241"/>
      <c r="C158" s="242"/>
      <c r="D158" s="242"/>
      <c r="E158" s="243"/>
      <c r="F158" s="244"/>
      <c r="G158" s="244"/>
      <c r="H158" s="243"/>
      <c r="I158" s="258"/>
      <c r="J158" s="245"/>
      <c r="K158" s="245"/>
      <c r="L158" s="76">
        <f t="shared" si="20"/>
        <v>0</v>
      </c>
      <c r="M158" s="246"/>
      <c r="N158" s="247"/>
      <c r="O158" s="248"/>
      <c r="P158" s="246"/>
      <c r="Q158" s="249"/>
      <c r="R158" s="250"/>
      <c r="S158" s="259"/>
      <c r="T158" s="260"/>
      <c r="U158" s="250"/>
      <c r="V158" s="78">
        <f t="shared" si="21"/>
        <v>0</v>
      </c>
      <c r="W158" s="261">
        <f t="shared" si="22"/>
        <v>0</v>
      </c>
      <c r="X158" s="133">
        <f t="shared" si="23"/>
        <v>0</v>
      </c>
      <c r="Y158" s="251"/>
      <c r="Z158" s="1736"/>
      <c r="AA158" s="1737"/>
      <c r="AB158" s="77">
        <f t="shared" si="24"/>
        <v>0</v>
      </c>
      <c r="AC158" s="134">
        <f t="shared" si="25"/>
        <v>0</v>
      </c>
      <c r="AD158" s="251"/>
      <c r="AE158" s="1736"/>
      <c r="AF158" s="1737"/>
      <c r="AG158" s="77">
        <f t="shared" si="26"/>
        <v>0</v>
      </c>
      <c r="AH158" s="136">
        <f t="shared" si="27"/>
        <v>0</v>
      </c>
      <c r="AI158" s="251"/>
      <c r="AJ158" s="1736"/>
      <c r="AK158" s="1737"/>
      <c r="AL158" s="79">
        <f t="shared" si="28"/>
        <v>0</v>
      </c>
      <c r="AM158" s="137">
        <f t="shared" si="29"/>
        <v>0</v>
      </c>
      <c r="AN158" s="251"/>
      <c r="AO158" s="1736"/>
      <c r="AP158" s="1737"/>
    </row>
    <row r="159" spans="1:42" s="85" customFormat="1" ht="13.5" thickBot="1">
      <c r="A159" s="240"/>
      <c r="B159" s="241"/>
      <c r="C159" s="242"/>
      <c r="D159" s="242"/>
      <c r="E159" s="243"/>
      <c r="F159" s="244"/>
      <c r="G159" s="244"/>
      <c r="H159" s="243"/>
      <c r="I159" s="258"/>
      <c r="J159" s="245"/>
      <c r="K159" s="245"/>
      <c r="L159" s="76">
        <f t="shared" si="20"/>
        <v>0</v>
      </c>
      <c r="M159" s="246"/>
      <c r="N159" s="247"/>
      <c r="O159" s="248"/>
      <c r="P159" s="246"/>
      <c r="Q159" s="249"/>
      <c r="R159" s="250"/>
      <c r="S159" s="259"/>
      <c r="T159" s="260"/>
      <c r="U159" s="250"/>
      <c r="V159" s="78">
        <f t="shared" si="21"/>
        <v>0</v>
      </c>
      <c r="W159" s="261">
        <f t="shared" si="22"/>
        <v>0</v>
      </c>
      <c r="X159" s="133">
        <f t="shared" si="23"/>
        <v>0</v>
      </c>
      <c r="Y159" s="251"/>
      <c r="Z159" s="1736"/>
      <c r="AA159" s="1737"/>
      <c r="AB159" s="77">
        <f t="shared" si="24"/>
        <v>0</v>
      </c>
      <c r="AC159" s="134">
        <f t="shared" si="25"/>
        <v>0</v>
      </c>
      <c r="AD159" s="251"/>
      <c r="AE159" s="1736"/>
      <c r="AF159" s="1737"/>
      <c r="AG159" s="77">
        <f t="shared" si="26"/>
        <v>0</v>
      </c>
      <c r="AH159" s="136">
        <f t="shared" si="27"/>
        <v>0</v>
      </c>
      <c r="AI159" s="251"/>
      <c r="AJ159" s="1736"/>
      <c r="AK159" s="1737"/>
      <c r="AL159" s="79">
        <f t="shared" si="28"/>
        <v>0</v>
      </c>
      <c r="AM159" s="137">
        <f t="shared" si="29"/>
        <v>0</v>
      </c>
      <c r="AN159" s="251"/>
      <c r="AO159" s="1736"/>
      <c r="AP159" s="1737"/>
    </row>
    <row r="160" spans="1:42" s="85" customFormat="1" ht="13.5" thickBot="1">
      <c r="A160" s="240"/>
      <c r="B160" s="241"/>
      <c r="C160" s="242"/>
      <c r="D160" s="242"/>
      <c r="E160" s="243"/>
      <c r="F160" s="244"/>
      <c r="G160" s="244"/>
      <c r="H160" s="243"/>
      <c r="I160" s="258"/>
      <c r="J160" s="245"/>
      <c r="K160" s="245"/>
      <c r="L160" s="76">
        <f t="shared" si="20"/>
        <v>0</v>
      </c>
      <c r="M160" s="246"/>
      <c r="N160" s="247"/>
      <c r="O160" s="248"/>
      <c r="P160" s="246"/>
      <c r="Q160" s="249"/>
      <c r="R160" s="250"/>
      <c r="S160" s="259"/>
      <c r="T160" s="260"/>
      <c r="U160" s="250"/>
      <c r="V160" s="78">
        <f t="shared" si="21"/>
        <v>0</v>
      </c>
      <c r="W160" s="261">
        <f t="shared" si="22"/>
        <v>0</v>
      </c>
      <c r="X160" s="133">
        <f t="shared" si="23"/>
        <v>0</v>
      </c>
      <c r="Y160" s="251"/>
      <c r="Z160" s="1736"/>
      <c r="AA160" s="1737"/>
      <c r="AB160" s="77">
        <f t="shared" si="24"/>
        <v>0</v>
      </c>
      <c r="AC160" s="134">
        <f t="shared" si="25"/>
        <v>0</v>
      </c>
      <c r="AD160" s="251"/>
      <c r="AE160" s="1736"/>
      <c r="AF160" s="1737"/>
      <c r="AG160" s="77">
        <f t="shared" si="26"/>
        <v>0</v>
      </c>
      <c r="AH160" s="136">
        <f t="shared" si="27"/>
        <v>0</v>
      </c>
      <c r="AI160" s="251"/>
      <c r="AJ160" s="1736"/>
      <c r="AK160" s="1737"/>
      <c r="AL160" s="79">
        <f t="shared" si="28"/>
        <v>0</v>
      </c>
      <c r="AM160" s="137">
        <f t="shared" si="29"/>
        <v>0</v>
      </c>
      <c r="AN160" s="251"/>
      <c r="AO160" s="1736"/>
      <c r="AP160" s="1737"/>
    </row>
    <row r="161" spans="1:42" s="85" customFormat="1" ht="13.5" thickBot="1">
      <c r="A161" s="240"/>
      <c r="B161" s="241"/>
      <c r="C161" s="242"/>
      <c r="D161" s="242"/>
      <c r="E161" s="243"/>
      <c r="F161" s="244"/>
      <c r="G161" s="244"/>
      <c r="H161" s="243"/>
      <c r="I161" s="258"/>
      <c r="J161" s="245"/>
      <c r="K161" s="245"/>
      <c r="L161" s="76">
        <f t="shared" si="20"/>
        <v>0</v>
      </c>
      <c r="M161" s="246"/>
      <c r="N161" s="247"/>
      <c r="O161" s="248"/>
      <c r="P161" s="246"/>
      <c r="Q161" s="249"/>
      <c r="R161" s="250"/>
      <c r="S161" s="259"/>
      <c r="T161" s="260"/>
      <c r="U161" s="250"/>
      <c r="V161" s="78">
        <f t="shared" si="21"/>
        <v>0</v>
      </c>
      <c r="W161" s="261">
        <f t="shared" si="22"/>
        <v>0</v>
      </c>
      <c r="X161" s="133">
        <f t="shared" si="23"/>
        <v>0</v>
      </c>
      <c r="Y161" s="251"/>
      <c r="Z161" s="1736"/>
      <c r="AA161" s="1737"/>
      <c r="AB161" s="77">
        <f t="shared" si="24"/>
        <v>0</v>
      </c>
      <c r="AC161" s="134">
        <f t="shared" si="25"/>
        <v>0</v>
      </c>
      <c r="AD161" s="251"/>
      <c r="AE161" s="1736"/>
      <c r="AF161" s="1737"/>
      <c r="AG161" s="77">
        <f t="shared" si="26"/>
        <v>0</v>
      </c>
      <c r="AH161" s="136">
        <f t="shared" si="27"/>
        <v>0</v>
      </c>
      <c r="AI161" s="251"/>
      <c r="AJ161" s="1736"/>
      <c r="AK161" s="1737"/>
      <c r="AL161" s="79">
        <f t="shared" si="28"/>
        <v>0</v>
      </c>
      <c r="AM161" s="137">
        <f t="shared" si="29"/>
        <v>0</v>
      </c>
      <c r="AN161" s="251"/>
      <c r="AO161" s="1736"/>
      <c r="AP161" s="1737"/>
    </row>
    <row r="162" spans="1:42" s="85" customFormat="1" ht="13.5" thickBot="1">
      <c r="A162" s="240"/>
      <c r="B162" s="241"/>
      <c r="C162" s="242"/>
      <c r="D162" s="242"/>
      <c r="E162" s="243"/>
      <c r="F162" s="244"/>
      <c r="G162" s="244"/>
      <c r="H162" s="243"/>
      <c r="I162" s="258"/>
      <c r="J162" s="245"/>
      <c r="K162" s="245"/>
      <c r="L162" s="76">
        <f t="shared" si="20"/>
        <v>0</v>
      </c>
      <c r="M162" s="246"/>
      <c r="N162" s="247"/>
      <c r="O162" s="248"/>
      <c r="P162" s="246"/>
      <c r="Q162" s="249"/>
      <c r="R162" s="250"/>
      <c r="S162" s="259"/>
      <c r="T162" s="260"/>
      <c r="U162" s="250"/>
      <c r="V162" s="78">
        <f t="shared" si="21"/>
        <v>0</v>
      </c>
      <c r="W162" s="261">
        <f t="shared" si="22"/>
        <v>0</v>
      </c>
      <c r="X162" s="133">
        <f t="shared" si="23"/>
        <v>0</v>
      </c>
      <c r="Y162" s="251"/>
      <c r="Z162" s="1736"/>
      <c r="AA162" s="1737"/>
      <c r="AB162" s="77">
        <f t="shared" si="24"/>
        <v>0</v>
      </c>
      <c r="AC162" s="134">
        <f t="shared" si="25"/>
        <v>0</v>
      </c>
      <c r="AD162" s="251"/>
      <c r="AE162" s="1736"/>
      <c r="AF162" s="1737"/>
      <c r="AG162" s="77">
        <f t="shared" si="26"/>
        <v>0</v>
      </c>
      <c r="AH162" s="136">
        <f t="shared" si="27"/>
        <v>0</v>
      </c>
      <c r="AI162" s="251"/>
      <c r="AJ162" s="1736"/>
      <c r="AK162" s="1737"/>
      <c r="AL162" s="79">
        <f t="shared" si="28"/>
        <v>0</v>
      </c>
      <c r="AM162" s="137">
        <f t="shared" si="29"/>
        <v>0</v>
      </c>
      <c r="AN162" s="251"/>
      <c r="AO162" s="1736"/>
      <c r="AP162" s="1737"/>
    </row>
    <row r="163" spans="1:42" s="85" customFormat="1" ht="13.5" thickBot="1">
      <c r="A163" s="240"/>
      <c r="B163" s="241"/>
      <c r="C163" s="242"/>
      <c r="D163" s="242"/>
      <c r="E163" s="243"/>
      <c r="F163" s="244"/>
      <c r="G163" s="244"/>
      <c r="H163" s="243"/>
      <c r="I163" s="258"/>
      <c r="J163" s="245"/>
      <c r="K163" s="245"/>
      <c r="L163" s="76">
        <f t="shared" si="20"/>
        <v>0</v>
      </c>
      <c r="M163" s="246"/>
      <c r="N163" s="247"/>
      <c r="O163" s="248"/>
      <c r="P163" s="246"/>
      <c r="Q163" s="249"/>
      <c r="R163" s="250"/>
      <c r="S163" s="259"/>
      <c r="T163" s="260"/>
      <c r="U163" s="250"/>
      <c r="V163" s="78">
        <f t="shared" si="21"/>
        <v>0</v>
      </c>
      <c r="W163" s="261">
        <f t="shared" si="22"/>
        <v>0</v>
      </c>
      <c r="X163" s="133">
        <f t="shared" si="23"/>
        <v>0</v>
      </c>
      <c r="Y163" s="251"/>
      <c r="Z163" s="1736"/>
      <c r="AA163" s="1737"/>
      <c r="AB163" s="77">
        <f t="shared" si="24"/>
        <v>0</v>
      </c>
      <c r="AC163" s="134">
        <f t="shared" si="25"/>
        <v>0</v>
      </c>
      <c r="AD163" s="251"/>
      <c r="AE163" s="1736"/>
      <c r="AF163" s="1737"/>
      <c r="AG163" s="77">
        <f t="shared" si="26"/>
        <v>0</v>
      </c>
      <c r="AH163" s="136">
        <f t="shared" si="27"/>
        <v>0</v>
      </c>
      <c r="AI163" s="251"/>
      <c r="AJ163" s="1736"/>
      <c r="AK163" s="1737"/>
      <c r="AL163" s="79">
        <f t="shared" si="28"/>
        <v>0</v>
      </c>
      <c r="AM163" s="137">
        <f t="shared" si="29"/>
        <v>0</v>
      </c>
      <c r="AN163" s="251"/>
      <c r="AO163" s="1736"/>
      <c r="AP163" s="1737"/>
    </row>
    <row r="164" spans="1:42" s="85" customFormat="1" ht="13.5" thickBot="1">
      <c r="A164" s="240"/>
      <c r="B164" s="241"/>
      <c r="C164" s="242"/>
      <c r="D164" s="242"/>
      <c r="E164" s="243"/>
      <c r="F164" s="244"/>
      <c r="G164" s="244"/>
      <c r="H164" s="243"/>
      <c r="I164" s="258"/>
      <c r="J164" s="245"/>
      <c r="K164" s="245"/>
      <c r="L164" s="76">
        <f t="shared" si="20"/>
        <v>0</v>
      </c>
      <c r="M164" s="246"/>
      <c r="N164" s="247"/>
      <c r="O164" s="248"/>
      <c r="P164" s="246"/>
      <c r="Q164" s="249"/>
      <c r="R164" s="250"/>
      <c r="S164" s="259"/>
      <c r="T164" s="260"/>
      <c r="U164" s="250"/>
      <c r="V164" s="78">
        <f t="shared" si="21"/>
        <v>0</v>
      </c>
      <c r="W164" s="261">
        <f t="shared" si="22"/>
        <v>0</v>
      </c>
      <c r="X164" s="133">
        <f t="shared" si="23"/>
        <v>0</v>
      </c>
      <c r="Y164" s="251"/>
      <c r="Z164" s="1736"/>
      <c r="AA164" s="1737"/>
      <c r="AB164" s="77">
        <f t="shared" si="24"/>
        <v>0</v>
      </c>
      <c r="AC164" s="134">
        <f t="shared" si="25"/>
        <v>0</v>
      </c>
      <c r="AD164" s="251"/>
      <c r="AE164" s="1736"/>
      <c r="AF164" s="1737"/>
      <c r="AG164" s="77">
        <f t="shared" si="26"/>
        <v>0</v>
      </c>
      <c r="AH164" s="136">
        <f t="shared" si="27"/>
        <v>0</v>
      </c>
      <c r="AI164" s="251"/>
      <c r="AJ164" s="1736"/>
      <c r="AK164" s="1737"/>
      <c r="AL164" s="79">
        <f t="shared" si="28"/>
        <v>0</v>
      </c>
      <c r="AM164" s="137">
        <f t="shared" si="29"/>
        <v>0</v>
      </c>
      <c r="AN164" s="251"/>
      <c r="AO164" s="1736"/>
      <c r="AP164" s="1737"/>
    </row>
    <row r="165" spans="1:42" s="85" customFormat="1" ht="13.5" thickBot="1">
      <c r="A165" s="240"/>
      <c r="B165" s="241"/>
      <c r="C165" s="242"/>
      <c r="D165" s="242"/>
      <c r="E165" s="243"/>
      <c r="F165" s="244"/>
      <c r="G165" s="244"/>
      <c r="H165" s="243"/>
      <c r="I165" s="258"/>
      <c r="J165" s="245"/>
      <c r="K165" s="245"/>
      <c r="L165" s="76">
        <f t="shared" si="20"/>
        <v>0</v>
      </c>
      <c r="M165" s="246"/>
      <c r="N165" s="247"/>
      <c r="O165" s="248"/>
      <c r="P165" s="246"/>
      <c r="Q165" s="249"/>
      <c r="R165" s="250"/>
      <c r="S165" s="259"/>
      <c r="T165" s="260"/>
      <c r="U165" s="250"/>
      <c r="V165" s="78">
        <f t="shared" si="21"/>
        <v>0</v>
      </c>
      <c r="W165" s="261">
        <f t="shared" si="22"/>
        <v>0</v>
      </c>
      <c r="X165" s="133">
        <f t="shared" si="23"/>
        <v>0</v>
      </c>
      <c r="Y165" s="251"/>
      <c r="Z165" s="1736"/>
      <c r="AA165" s="1737"/>
      <c r="AB165" s="77">
        <f t="shared" si="24"/>
        <v>0</v>
      </c>
      <c r="AC165" s="134">
        <f t="shared" si="25"/>
        <v>0</v>
      </c>
      <c r="AD165" s="251"/>
      <c r="AE165" s="1736"/>
      <c r="AF165" s="1737"/>
      <c r="AG165" s="77">
        <f t="shared" si="26"/>
        <v>0</v>
      </c>
      <c r="AH165" s="136">
        <f t="shared" si="27"/>
        <v>0</v>
      </c>
      <c r="AI165" s="251"/>
      <c r="AJ165" s="1736"/>
      <c r="AK165" s="1737"/>
      <c r="AL165" s="79">
        <f t="shared" si="28"/>
        <v>0</v>
      </c>
      <c r="AM165" s="137">
        <f t="shared" si="29"/>
        <v>0</v>
      </c>
      <c r="AN165" s="251"/>
      <c r="AO165" s="1736"/>
      <c r="AP165" s="1737"/>
    </row>
    <row r="166" spans="1:42" s="85" customFormat="1" ht="13.5" thickBot="1">
      <c r="A166" s="240"/>
      <c r="B166" s="241"/>
      <c r="C166" s="242"/>
      <c r="D166" s="242"/>
      <c r="E166" s="243"/>
      <c r="F166" s="244"/>
      <c r="G166" s="244"/>
      <c r="H166" s="243"/>
      <c r="I166" s="258"/>
      <c r="J166" s="245"/>
      <c r="K166" s="245"/>
      <c r="L166" s="76">
        <f t="shared" si="20"/>
        <v>0</v>
      </c>
      <c r="M166" s="246"/>
      <c r="N166" s="247"/>
      <c r="O166" s="248"/>
      <c r="P166" s="246"/>
      <c r="Q166" s="249"/>
      <c r="R166" s="250"/>
      <c r="S166" s="259"/>
      <c r="T166" s="260"/>
      <c r="U166" s="250"/>
      <c r="V166" s="78">
        <f t="shared" si="21"/>
        <v>0</v>
      </c>
      <c r="W166" s="261">
        <f t="shared" si="22"/>
        <v>0</v>
      </c>
      <c r="X166" s="133">
        <f t="shared" si="23"/>
        <v>0</v>
      </c>
      <c r="Y166" s="251"/>
      <c r="Z166" s="1736"/>
      <c r="AA166" s="1737"/>
      <c r="AB166" s="77">
        <f t="shared" si="24"/>
        <v>0</v>
      </c>
      <c r="AC166" s="134">
        <f t="shared" si="25"/>
        <v>0</v>
      </c>
      <c r="AD166" s="251"/>
      <c r="AE166" s="1736"/>
      <c r="AF166" s="1737"/>
      <c r="AG166" s="77">
        <f t="shared" si="26"/>
        <v>0</v>
      </c>
      <c r="AH166" s="136">
        <f t="shared" si="27"/>
        <v>0</v>
      </c>
      <c r="AI166" s="251"/>
      <c r="AJ166" s="1736"/>
      <c r="AK166" s="1737"/>
      <c r="AL166" s="79">
        <f t="shared" si="28"/>
        <v>0</v>
      </c>
      <c r="AM166" s="137">
        <f t="shared" si="29"/>
        <v>0</v>
      </c>
      <c r="AN166" s="251"/>
      <c r="AO166" s="1736"/>
      <c r="AP166" s="1737"/>
    </row>
    <row r="167" spans="1:42" s="85" customFormat="1" ht="13.5" thickBot="1">
      <c r="A167" s="240"/>
      <c r="B167" s="241"/>
      <c r="C167" s="242"/>
      <c r="D167" s="242"/>
      <c r="E167" s="243"/>
      <c r="F167" s="244"/>
      <c r="G167" s="244"/>
      <c r="H167" s="243"/>
      <c r="I167" s="258"/>
      <c r="J167" s="245"/>
      <c r="K167" s="245"/>
      <c r="L167" s="76">
        <f t="shared" si="20"/>
        <v>0</v>
      </c>
      <c r="M167" s="246"/>
      <c r="N167" s="247"/>
      <c r="O167" s="248"/>
      <c r="P167" s="246"/>
      <c r="Q167" s="249"/>
      <c r="R167" s="250"/>
      <c r="S167" s="259"/>
      <c r="T167" s="260"/>
      <c r="U167" s="250"/>
      <c r="V167" s="78">
        <f t="shared" si="21"/>
        <v>0</v>
      </c>
      <c r="W167" s="261">
        <f t="shared" si="22"/>
        <v>0</v>
      </c>
      <c r="X167" s="133">
        <f t="shared" si="23"/>
        <v>0</v>
      </c>
      <c r="Y167" s="251"/>
      <c r="Z167" s="1736"/>
      <c r="AA167" s="1737"/>
      <c r="AB167" s="77">
        <f t="shared" si="24"/>
        <v>0</v>
      </c>
      <c r="AC167" s="134">
        <f t="shared" si="25"/>
        <v>0</v>
      </c>
      <c r="AD167" s="251"/>
      <c r="AE167" s="1736"/>
      <c r="AF167" s="1737"/>
      <c r="AG167" s="77">
        <f t="shared" si="26"/>
        <v>0</v>
      </c>
      <c r="AH167" s="136">
        <f t="shared" si="27"/>
        <v>0</v>
      </c>
      <c r="AI167" s="251"/>
      <c r="AJ167" s="1736"/>
      <c r="AK167" s="1737"/>
      <c r="AL167" s="79">
        <f t="shared" si="28"/>
        <v>0</v>
      </c>
      <c r="AM167" s="137">
        <f t="shared" si="29"/>
        <v>0</v>
      </c>
      <c r="AN167" s="251"/>
      <c r="AO167" s="1736"/>
      <c r="AP167" s="1737"/>
    </row>
    <row r="168" spans="1:42" s="85" customFormat="1" ht="13.5" thickBot="1">
      <c r="A168" s="240"/>
      <c r="B168" s="241"/>
      <c r="C168" s="242"/>
      <c r="D168" s="242"/>
      <c r="E168" s="243"/>
      <c r="F168" s="244"/>
      <c r="G168" s="244"/>
      <c r="H168" s="243"/>
      <c r="I168" s="258"/>
      <c r="J168" s="245"/>
      <c r="K168" s="245"/>
      <c r="L168" s="76">
        <f t="shared" si="20"/>
        <v>0</v>
      </c>
      <c r="M168" s="246"/>
      <c r="N168" s="247"/>
      <c r="O168" s="248"/>
      <c r="P168" s="246"/>
      <c r="Q168" s="249"/>
      <c r="R168" s="250"/>
      <c r="S168" s="259"/>
      <c r="T168" s="260"/>
      <c r="U168" s="250"/>
      <c r="V168" s="78">
        <f t="shared" si="21"/>
        <v>0</v>
      </c>
      <c r="W168" s="261">
        <f t="shared" si="22"/>
        <v>0</v>
      </c>
      <c r="X168" s="133">
        <f t="shared" si="23"/>
        <v>0</v>
      </c>
      <c r="Y168" s="251"/>
      <c r="Z168" s="1736"/>
      <c r="AA168" s="1737"/>
      <c r="AB168" s="77">
        <f t="shared" si="24"/>
        <v>0</v>
      </c>
      <c r="AC168" s="134">
        <f t="shared" si="25"/>
        <v>0</v>
      </c>
      <c r="AD168" s="251"/>
      <c r="AE168" s="1736"/>
      <c r="AF168" s="1737"/>
      <c r="AG168" s="77">
        <f t="shared" si="26"/>
        <v>0</v>
      </c>
      <c r="AH168" s="136">
        <f t="shared" si="27"/>
        <v>0</v>
      </c>
      <c r="AI168" s="251"/>
      <c r="AJ168" s="1736"/>
      <c r="AK168" s="1737"/>
      <c r="AL168" s="79">
        <f t="shared" si="28"/>
        <v>0</v>
      </c>
      <c r="AM168" s="137">
        <f t="shared" si="29"/>
        <v>0</v>
      </c>
      <c r="AN168" s="251"/>
      <c r="AO168" s="1736"/>
      <c r="AP168" s="1737"/>
    </row>
    <row r="169" spans="1:42" s="85" customFormat="1" ht="13.5" thickBot="1">
      <c r="A169" s="240"/>
      <c r="B169" s="241"/>
      <c r="C169" s="242"/>
      <c r="D169" s="242"/>
      <c r="E169" s="243"/>
      <c r="F169" s="244"/>
      <c r="G169" s="244"/>
      <c r="H169" s="243"/>
      <c r="I169" s="258"/>
      <c r="J169" s="245"/>
      <c r="K169" s="245"/>
      <c r="L169" s="76">
        <f t="shared" si="20"/>
        <v>0</v>
      </c>
      <c r="M169" s="246"/>
      <c r="N169" s="247"/>
      <c r="O169" s="248"/>
      <c r="P169" s="246"/>
      <c r="Q169" s="249"/>
      <c r="R169" s="250"/>
      <c r="S169" s="259"/>
      <c r="T169" s="260"/>
      <c r="U169" s="250"/>
      <c r="V169" s="78">
        <f t="shared" si="21"/>
        <v>0</v>
      </c>
      <c r="W169" s="261">
        <f t="shared" si="22"/>
        <v>0</v>
      </c>
      <c r="X169" s="133">
        <f t="shared" si="23"/>
        <v>0</v>
      </c>
      <c r="Y169" s="251"/>
      <c r="Z169" s="1736"/>
      <c r="AA169" s="1737"/>
      <c r="AB169" s="77">
        <f t="shared" si="24"/>
        <v>0</v>
      </c>
      <c r="AC169" s="134">
        <f t="shared" si="25"/>
        <v>0</v>
      </c>
      <c r="AD169" s="251"/>
      <c r="AE169" s="1736"/>
      <c r="AF169" s="1737"/>
      <c r="AG169" s="77">
        <f t="shared" si="26"/>
        <v>0</v>
      </c>
      <c r="AH169" s="136">
        <f t="shared" si="27"/>
        <v>0</v>
      </c>
      <c r="AI169" s="251"/>
      <c r="AJ169" s="1736"/>
      <c r="AK169" s="1737"/>
      <c r="AL169" s="79">
        <f t="shared" si="28"/>
        <v>0</v>
      </c>
      <c r="AM169" s="137">
        <f t="shared" si="29"/>
        <v>0</v>
      </c>
      <c r="AN169" s="251"/>
      <c r="AO169" s="1736"/>
      <c r="AP169" s="1737"/>
    </row>
    <row r="170" spans="1:42" s="85" customFormat="1" ht="13.5" thickBot="1">
      <c r="A170" s="240"/>
      <c r="B170" s="241"/>
      <c r="C170" s="242"/>
      <c r="D170" s="242"/>
      <c r="E170" s="243"/>
      <c r="F170" s="244"/>
      <c r="G170" s="244"/>
      <c r="H170" s="243"/>
      <c r="I170" s="258"/>
      <c r="J170" s="245"/>
      <c r="K170" s="245"/>
      <c r="L170" s="76">
        <f t="shared" si="20"/>
        <v>0</v>
      </c>
      <c r="M170" s="246"/>
      <c r="N170" s="247"/>
      <c r="O170" s="248"/>
      <c r="P170" s="246"/>
      <c r="Q170" s="249"/>
      <c r="R170" s="250"/>
      <c r="S170" s="259"/>
      <c r="T170" s="260"/>
      <c r="U170" s="250"/>
      <c r="V170" s="78">
        <f t="shared" si="21"/>
        <v>0</v>
      </c>
      <c r="W170" s="261">
        <f t="shared" si="22"/>
        <v>0</v>
      </c>
      <c r="X170" s="133">
        <f t="shared" si="23"/>
        <v>0</v>
      </c>
      <c r="Y170" s="251"/>
      <c r="Z170" s="1736"/>
      <c r="AA170" s="1737"/>
      <c r="AB170" s="77">
        <f t="shared" si="24"/>
        <v>0</v>
      </c>
      <c r="AC170" s="134">
        <f t="shared" si="25"/>
        <v>0</v>
      </c>
      <c r="AD170" s="251"/>
      <c r="AE170" s="1736"/>
      <c r="AF170" s="1737"/>
      <c r="AG170" s="77">
        <f t="shared" si="26"/>
        <v>0</v>
      </c>
      <c r="AH170" s="136">
        <f t="shared" si="27"/>
        <v>0</v>
      </c>
      <c r="AI170" s="251"/>
      <c r="AJ170" s="1736"/>
      <c r="AK170" s="1737"/>
      <c r="AL170" s="79">
        <f t="shared" si="28"/>
        <v>0</v>
      </c>
      <c r="AM170" s="137">
        <f t="shared" si="29"/>
        <v>0</v>
      </c>
      <c r="AN170" s="251"/>
      <c r="AO170" s="1736"/>
      <c r="AP170" s="1737"/>
    </row>
    <row r="171" spans="1:42" s="85" customFormat="1" ht="13.5" thickBot="1">
      <c r="A171" s="240"/>
      <c r="B171" s="241"/>
      <c r="C171" s="242"/>
      <c r="D171" s="242"/>
      <c r="E171" s="243"/>
      <c r="F171" s="244"/>
      <c r="G171" s="244"/>
      <c r="H171" s="243"/>
      <c r="I171" s="258"/>
      <c r="J171" s="245"/>
      <c r="K171" s="245"/>
      <c r="L171" s="76">
        <f t="shared" si="20"/>
        <v>0</v>
      </c>
      <c r="M171" s="246"/>
      <c r="N171" s="247"/>
      <c r="O171" s="248"/>
      <c r="P171" s="246"/>
      <c r="Q171" s="249"/>
      <c r="R171" s="250"/>
      <c r="S171" s="259"/>
      <c r="T171" s="260"/>
      <c r="U171" s="250"/>
      <c r="V171" s="78">
        <f t="shared" si="21"/>
        <v>0</v>
      </c>
      <c r="W171" s="261">
        <f t="shared" si="22"/>
        <v>0</v>
      </c>
      <c r="X171" s="133">
        <f t="shared" si="23"/>
        <v>0</v>
      </c>
      <c r="Y171" s="251"/>
      <c r="Z171" s="1736"/>
      <c r="AA171" s="1737"/>
      <c r="AB171" s="77">
        <f t="shared" si="24"/>
        <v>0</v>
      </c>
      <c r="AC171" s="134">
        <f t="shared" si="25"/>
        <v>0</v>
      </c>
      <c r="AD171" s="251"/>
      <c r="AE171" s="1736"/>
      <c r="AF171" s="1737"/>
      <c r="AG171" s="77">
        <f t="shared" si="26"/>
        <v>0</v>
      </c>
      <c r="AH171" s="136">
        <f t="shared" si="27"/>
        <v>0</v>
      </c>
      <c r="AI171" s="251"/>
      <c r="AJ171" s="1736"/>
      <c r="AK171" s="1737"/>
      <c r="AL171" s="79">
        <f t="shared" si="28"/>
        <v>0</v>
      </c>
      <c r="AM171" s="137">
        <f t="shared" si="29"/>
        <v>0</v>
      </c>
      <c r="AN171" s="251"/>
      <c r="AO171" s="1736"/>
      <c r="AP171" s="1737"/>
    </row>
    <row r="172" spans="1:42" s="85" customFormat="1" ht="13.5" thickBot="1">
      <c r="A172" s="240"/>
      <c r="B172" s="241"/>
      <c r="C172" s="242"/>
      <c r="D172" s="242"/>
      <c r="E172" s="243"/>
      <c r="F172" s="244"/>
      <c r="G172" s="244"/>
      <c r="H172" s="243"/>
      <c r="I172" s="258"/>
      <c r="J172" s="245"/>
      <c r="K172" s="245"/>
      <c r="L172" s="76">
        <f t="shared" si="20"/>
        <v>0</v>
      </c>
      <c r="M172" s="246"/>
      <c r="N172" s="247"/>
      <c r="O172" s="248"/>
      <c r="P172" s="246"/>
      <c r="Q172" s="249"/>
      <c r="R172" s="250"/>
      <c r="S172" s="259"/>
      <c r="T172" s="260"/>
      <c r="U172" s="250"/>
      <c r="V172" s="78">
        <f t="shared" si="21"/>
        <v>0</v>
      </c>
      <c r="W172" s="261">
        <f t="shared" si="22"/>
        <v>0</v>
      </c>
      <c r="X172" s="133">
        <f t="shared" si="23"/>
        <v>0</v>
      </c>
      <c r="Y172" s="251"/>
      <c r="Z172" s="1736"/>
      <c r="AA172" s="1737"/>
      <c r="AB172" s="77">
        <f t="shared" si="24"/>
        <v>0</v>
      </c>
      <c r="AC172" s="134">
        <f t="shared" si="25"/>
        <v>0</v>
      </c>
      <c r="AD172" s="251"/>
      <c r="AE172" s="1736"/>
      <c r="AF172" s="1737"/>
      <c r="AG172" s="77">
        <f t="shared" si="26"/>
        <v>0</v>
      </c>
      <c r="AH172" s="136">
        <f t="shared" si="27"/>
        <v>0</v>
      </c>
      <c r="AI172" s="251"/>
      <c r="AJ172" s="1736"/>
      <c r="AK172" s="1737"/>
      <c r="AL172" s="79">
        <f t="shared" si="28"/>
        <v>0</v>
      </c>
      <c r="AM172" s="137">
        <f t="shared" si="29"/>
        <v>0</v>
      </c>
      <c r="AN172" s="251"/>
      <c r="AO172" s="1736"/>
      <c r="AP172" s="1737"/>
    </row>
    <row r="173" spans="1:42" s="85" customFormat="1" ht="13.5" thickBot="1">
      <c r="A173" s="240"/>
      <c r="B173" s="241"/>
      <c r="C173" s="242"/>
      <c r="D173" s="242"/>
      <c r="E173" s="243"/>
      <c r="F173" s="244"/>
      <c r="G173" s="244"/>
      <c r="H173" s="243"/>
      <c r="I173" s="258"/>
      <c r="J173" s="245"/>
      <c r="K173" s="245"/>
      <c r="L173" s="76">
        <f t="shared" si="20"/>
        <v>0</v>
      </c>
      <c r="M173" s="246"/>
      <c r="N173" s="247"/>
      <c r="O173" s="248"/>
      <c r="P173" s="246"/>
      <c r="Q173" s="249"/>
      <c r="R173" s="250"/>
      <c r="S173" s="259"/>
      <c r="T173" s="260"/>
      <c r="U173" s="250"/>
      <c r="V173" s="78">
        <f t="shared" si="21"/>
        <v>0</v>
      </c>
      <c r="W173" s="261">
        <f t="shared" si="22"/>
        <v>0</v>
      </c>
      <c r="X173" s="133">
        <f t="shared" si="23"/>
        <v>0</v>
      </c>
      <c r="Y173" s="251"/>
      <c r="Z173" s="1736"/>
      <c r="AA173" s="1737"/>
      <c r="AB173" s="77">
        <f t="shared" si="24"/>
        <v>0</v>
      </c>
      <c r="AC173" s="134">
        <f t="shared" si="25"/>
        <v>0</v>
      </c>
      <c r="AD173" s="251"/>
      <c r="AE173" s="1736"/>
      <c r="AF173" s="1737"/>
      <c r="AG173" s="77">
        <f t="shared" si="26"/>
        <v>0</v>
      </c>
      <c r="AH173" s="136">
        <f t="shared" si="27"/>
        <v>0</v>
      </c>
      <c r="AI173" s="251"/>
      <c r="AJ173" s="1736"/>
      <c r="AK173" s="1737"/>
      <c r="AL173" s="79">
        <f t="shared" si="28"/>
        <v>0</v>
      </c>
      <c r="AM173" s="137">
        <f t="shared" si="29"/>
        <v>0</v>
      </c>
      <c r="AN173" s="251"/>
      <c r="AO173" s="1736"/>
      <c r="AP173" s="1737"/>
    </row>
    <row r="174" spans="1:42" s="85" customFormat="1" ht="13.5" thickBot="1">
      <c r="A174" s="240"/>
      <c r="B174" s="241"/>
      <c r="C174" s="242"/>
      <c r="D174" s="242"/>
      <c r="E174" s="243"/>
      <c r="F174" s="244"/>
      <c r="G174" s="244"/>
      <c r="H174" s="243"/>
      <c r="I174" s="258"/>
      <c r="J174" s="245"/>
      <c r="K174" s="245"/>
      <c r="L174" s="76">
        <f t="shared" si="20"/>
        <v>0</v>
      </c>
      <c r="M174" s="246"/>
      <c r="N174" s="247"/>
      <c r="O174" s="248"/>
      <c r="P174" s="246"/>
      <c r="Q174" s="249"/>
      <c r="R174" s="250"/>
      <c r="S174" s="259"/>
      <c r="T174" s="260"/>
      <c r="U174" s="250"/>
      <c r="V174" s="78">
        <f t="shared" si="21"/>
        <v>0</v>
      </c>
      <c r="W174" s="261">
        <f t="shared" si="22"/>
        <v>0</v>
      </c>
      <c r="X174" s="133">
        <f t="shared" si="23"/>
        <v>0</v>
      </c>
      <c r="Y174" s="251"/>
      <c r="Z174" s="1736"/>
      <c r="AA174" s="1737"/>
      <c r="AB174" s="77">
        <f t="shared" si="24"/>
        <v>0</v>
      </c>
      <c r="AC174" s="134">
        <f t="shared" si="25"/>
        <v>0</v>
      </c>
      <c r="AD174" s="251"/>
      <c r="AE174" s="1736"/>
      <c r="AF174" s="1737"/>
      <c r="AG174" s="77">
        <f t="shared" si="26"/>
        <v>0</v>
      </c>
      <c r="AH174" s="136">
        <f t="shared" si="27"/>
        <v>0</v>
      </c>
      <c r="AI174" s="251"/>
      <c r="AJ174" s="1736"/>
      <c r="AK174" s="1737"/>
      <c r="AL174" s="79">
        <f t="shared" si="28"/>
        <v>0</v>
      </c>
      <c r="AM174" s="137">
        <f t="shared" si="29"/>
        <v>0</v>
      </c>
      <c r="AN174" s="251"/>
      <c r="AO174" s="1736"/>
      <c r="AP174" s="1737"/>
    </row>
    <row r="175" spans="1:42" s="85" customFormat="1" ht="13.5" thickBot="1">
      <c r="A175" s="240"/>
      <c r="B175" s="241"/>
      <c r="C175" s="242"/>
      <c r="D175" s="242"/>
      <c r="E175" s="243"/>
      <c r="F175" s="244"/>
      <c r="G175" s="244"/>
      <c r="H175" s="243"/>
      <c r="I175" s="258"/>
      <c r="J175" s="245"/>
      <c r="K175" s="245"/>
      <c r="L175" s="76">
        <f t="shared" si="20"/>
        <v>0</v>
      </c>
      <c r="M175" s="246"/>
      <c r="N175" s="247"/>
      <c r="O175" s="248"/>
      <c r="P175" s="246"/>
      <c r="Q175" s="249"/>
      <c r="R175" s="250"/>
      <c r="S175" s="259"/>
      <c r="T175" s="260"/>
      <c r="U175" s="250"/>
      <c r="V175" s="78">
        <f t="shared" si="21"/>
        <v>0</v>
      </c>
      <c r="W175" s="261">
        <f t="shared" si="22"/>
        <v>0</v>
      </c>
      <c r="X175" s="133">
        <f t="shared" si="23"/>
        <v>0</v>
      </c>
      <c r="Y175" s="251"/>
      <c r="Z175" s="1736"/>
      <c r="AA175" s="1737"/>
      <c r="AB175" s="77">
        <f t="shared" si="24"/>
        <v>0</v>
      </c>
      <c r="AC175" s="134">
        <f t="shared" si="25"/>
        <v>0</v>
      </c>
      <c r="AD175" s="251"/>
      <c r="AE175" s="1736"/>
      <c r="AF175" s="1737"/>
      <c r="AG175" s="77">
        <f t="shared" si="26"/>
        <v>0</v>
      </c>
      <c r="AH175" s="136">
        <f t="shared" si="27"/>
        <v>0</v>
      </c>
      <c r="AI175" s="251"/>
      <c r="AJ175" s="1736"/>
      <c r="AK175" s="1737"/>
      <c r="AL175" s="79">
        <f t="shared" si="28"/>
        <v>0</v>
      </c>
      <c r="AM175" s="137">
        <f t="shared" si="29"/>
        <v>0</v>
      </c>
      <c r="AN175" s="251"/>
      <c r="AO175" s="1736"/>
      <c r="AP175" s="1737"/>
    </row>
    <row r="176" spans="1:42" s="85" customFormat="1" ht="13.5" thickBot="1">
      <c r="A176" s="240"/>
      <c r="B176" s="241"/>
      <c r="C176" s="242"/>
      <c r="D176" s="242"/>
      <c r="E176" s="243"/>
      <c r="F176" s="244"/>
      <c r="G176" s="244"/>
      <c r="H176" s="243"/>
      <c r="I176" s="258"/>
      <c r="J176" s="245"/>
      <c r="K176" s="245"/>
      <c r="L176" s="76">
        <f t="shared" si="20"/>
        <v>0</v>
      </c>
      <c r="M176" s="246"/>
      <c r="N176" s="247"/>
      <c r="O176" s="248"/>
      <c r="P176" s="246"/>
      <c r="Q176" s="249"/>
      <c r="R176" s="250"/>
      <c r="S176" s="259"/>
      <c r="T176" s="260"/>
      <c r="U176" s="250"/>
      <c r="V176" s="78">
        <f t="shared" si="21"/>
        <v>0</v>
      </c>
      <c r="W176" s="261">
        <f t="shared" si="22"/>
        <v>0</v>
      </c>
      <c r="X176" s="133">
        <f t="shared" si="23"/>
        <v>0</v>
      </c>
      <c r="Y176" s="251"/>
      <c r="Z176" s="1736"/>
      <c r="AA176" s="1737"/>
      <c r="AB176" s="77">
        <f t="shared" si="24"/>
        <v>0</v>
      </c>
      <c r="AC176" s="134">
        <f t="shared" si="25"/>
        <v>0</v>
      </c>
      <c r="AD176" s="251"/>
      <c r="AE176" s="1736"/>
      <c r="AF176" s="1737"/>
      <c r="AG176" s="77">
        <f t="shared" si="26"/>
        <v>0</v>
      </c>
      <c r="AH176" s="136">
        <f t="shared" si="27"/>
        <v>0</v>
      </c>
      <c r="AI176" s="251"/>
      <c r="AJ176" s="1736"/>
      <c r="AK176" s="1737"/>
      <c r="AL176" s="79">
        <f t="shared" si="28"/>
        <v>0</v>
      </c>
      <c r="AM176" s="137">
        <f t="shared" si="29"/>
        <v>0</v>
      </c>
      <c r="AN176" s="251"/>
      <c r="AO176" s="1736"/>
      <c r="AP176" s="1737"/>
    </row>
    <row r="177" spans="1:42" s="85" customFormat="1" ht="13.5" thickBot="1">
      <c r="A177" s="240"/>
      <c r="B177" s="241"/>
      <c r="C177" s="242"/>
      <c r="D177" s="242"/>
      <c r="E177" s="243"/>
      <c r="F177" s="244"/>
      <c r="G177" s="244"/>
      <c r="H177" s="243"/>
      <c r="I177" s="258"/>
      <c r="J177" s="245"/>
      <c r="K177" s="245"/>
      <c r="L177" s="76">
        <f t="shared" si="20"/>
        <v>0</v>
      </c>
      <c r="M177" s="246"/>
      <c r="N177" s="247"/>
      <c r="O177" s="248"/>
      <c r="P177" s="246"/>
      <c r="Q177" s="249"/>
      <c r="R177" s="250"/>
      <c r="S177" s="259"/>
      <c r="T177" s="260"/>
      <c r="U177" s="250"/>
      <c r="V177" s="78">
        <f t="shared" si="21"/>
        <v>0</v>
      </c>
      <c r="W177" s="261">
        <f t="shared" si="22"/>
        <v>0</v>
      </c>
      <c r="X177" s="133">
        <f t="shared" si="23"/>
        <v>0</v>
      </c>
      <c r="Y177" s="251"/>
      <c r="Z177" s="1736"/>
      <c r="AA177" s="1737"/>
      <c r="AB177" s="77">
        <f t="shared" si="24"/>
        <v>0</v>
      </c>
      <c r="AC177" s="134">
        <f t="shared" si="25"/>
        <v>0</v>
      </c>
      <c r="AD177" s="251"/>
      <c r="AE177" s="1736"/>
      <c r="AF177" s="1737"/>
      <c r="AG177" s="77">
        <f t="shared" si="26"/>
        <v>0</v>
      </c>
      <c r="AH177" s="136">
        <f t="shared" si="27"/>
        <v>0</v>
      </c>
      <c r="AI177" s="251"/>
      <c r="AJ177" s="1736"/>
      <c r="AK177" s="1737"/>
      <c r="AL177" s="79">
        <f t="shared" si="28"/>
        <v>0</v>
      </c>
      <c r="AM177" s="137">
        <f t="shared" si="29"/>
        <v>0</v>
      </c>
      <c r="AN177" s="251"/>
      <c r="AO177" s="1736"/>
      <c r="AP177" s="1737"/>
    </row>
    <row r="178" spans="1:42" s="85" customFormat="1" ht="13.5" thickBot="1">
      <c r="A178" s="240"/>
      <c r="B178" s="241"/>
      <c r="C178" s="242"/>
      <c r="D178" s="242"/>
      <c r="E178" s="243"/>
      <c r="F178" s="244"/>
      <c r="G178" s="244"/>
      <c r="H178" s="243"/>
      <c r="I178" s="258"/>
      <c r="J178" s="245"/>
      <c r="K178" s="245"/>
      <c r="L178" s="76">
        <f t="shared" si="20"/>
        <v>0</v>
      </c>
      <c r="M178" s="246"/>
      <c r="N178" s="247"/>
      <c r="O178" s="248"/>
      <c r="P178" s="246"/>
      <c r="Q178" s="249"/>
      <c r="R178" s="250"/>
      <c r="S178" s="259"/>
      <c r="T178" s="260"/>
      <c r="U178" s="250"/>
      <c r="V178" s="78">
        <f t="shared" si="21"/>
        <v>0</v>
      </c>
      <c r="W178" s="261">
        <f t="shared" si="22"/>
        <v>0</v>
      </c>
      <c r="X178" s="133">
        <f t="shared" si="23"/>
        <v>0</v>
      </c>
      <c r="Y178" s="251"/>
      <c r="Z178" s="1736"/>
      <c r="AA178" s="1737"/>
      <c r="AB178" s="77">
        <f t="shared" si="24"/>
        <v>0</v>
      </c>
      <c r="AC178" s="134">
        <f t="shared" si="25"/>
        <v>0</v>
      </c>
      <c r="AD178" s="251"/>
      <c r="AE178" s="1736"/>
      <c r="AF178" s="1737"/>
      <c r="AG178" s="77">
        <f t="shared" si="26"/>
        <v>0</v>
      </c>
      <c r="AH178" s="136">
        <f t="shared" si="27"/>
        <v>0</v>
      </c>
      <c r="AI178" s="251"/>
      <c r="AJ178" s="1736"/>
      <c r="AK178" s="1737"/>
      <c r="AL178" s="79">
        <f t="shared" si="28"/>
        <v>0</v>
      </c>
      <c r="AM178" s="137">
        <f t="shared" si="29"/>
        <v>0</v>
      </c>
      <c r="AN178" s="251"/>
      <c r="AO178" s="1736"/>
      <c r="AP178" s="1737"/>
    </row>
    <row r="179" spans="1:42" s="85" customFormat="1" ht="13.5" thickBot="1">
      <c r="A179" s="240"/>
      <c r="B179" s="241"/>
      <c r="C179" s="242"/>
      <c r="D179" s="242"/>
      <c r="E179" s="243"/>
      <c r="F179" s="244"/>
      <c r="G179" s="244"/>
      <c r="H179" s="243"/>
      <c r="I179" s="258"/>
      <c r="J179" s="245"/>
      <c r="K179" s="245"/>
      <c r="L179" s="76">
        <f t="shared" si="20"/>
        <v>0</v>
      </c>
      <c r="M179" s="246"/>
      <c r="N179" s="247"/>
      <c r="O179" s="248"/>
      <c r="P179" s="246"/>
      <c r="Q179" s="249"/>
      <c r="R179" s="250"/>
      <c r="S179" s="259"/>
      <c r="T179" s="260"/>
      <c r="U179" s="250"/>
      <c r="V179" s="78">
        <f t="shared" si="21"/>
        <v>0</v>
      </c>
      <c r="W179" s="261">
        <f t="shared" si="22"/>
        <v>0</v>
      </c>
      <c r="X179" s="133">
        <f t="shared" si="23"/>
        <v>0</v>
      </c>
      <c r="Y179" s="251"/>
      <c r="Z179" s="1736"/>
      <c r="AA179" s="1737"/>
      <c r="AB179" s="77">
        <f t="shared" si="24"/>
        <v>0</v>
      </c>
      <c r="AC179" s="134">
        <f t="shared" si="25"/>
        <v>0</v>
      </c>
      <c r="AD179" s="251"/>
      <c r="AE179" s="1736"/>
      <c r="AF179" s="1737"/>
      <c r="AG179" s="77">
        <f t="shared" si="26"/>
        <v>0</v>
      </c>
      <c r="AH179" s="136">
        <f t="shared" si="27"/>
        <v>0</v>
      </c>
      <c r="AI179" s="251"/>
      <c r="AJ179" s="1736"/>
      <c r="AK179" s="1737"/>
      <c r="AL179" s="79">
        <f t="shared" si="28"/>
        <v>0</v>
      </c>
      <c r="AM179" s="137">
        <f t="shared" si="29"/>
        <v>0</v>
      </c>
      <c r="AN179" s="251"/>
      <c r="AO179" s="1736"/>
      <c r="AP179" s="1737"/>
    </row>
    <row r="180" spans="1:42" s="85" customFormat="1" ht="13.5" thickBot="1">
      <c r="A180" s="240"/>
      <c r="B180" s="241"/>
      <c r="C180" s="242"/>
      <c r="D180" s="242"/>
      <c r="E180" s="243"/>
      <c r="F180" s="244"/>
      <c r="G180" s="244"/>
      <c r="H180" s="243"/>
      <c r="I180" s="258"/>
      <c r="J180" s="245"/>
      <c r="K180" s="245"/>
      <c r="L180" s="76">
        <f t="shared" si="20"/>
        <v>0</v>
      </c>
      <c r="M180" s="246"/>
      <c r="N180" s="247"/>
      <c r="O180" s="248"/>
      <c r="P180" s="246"/>
      <c r="Q180" s="249"/>
      <c r="R180" s="250"/>
      <c r="S180" s="259"/>
      <c r="T180" s="260"/>
      <c r="U180" s="250"/>
      <c r="V180" s="78">
        <f t="shared" si="21"/>
        <v>0</v>
      </c>
      <c r="W180" s="261">
        <f t="shared" si="22"/>
        <v>0</v>
      </c>
      <c r="X180" s="133">
        <f t="shared" si="23"/>
        <v>0</v>
      </c>
      <c r="Y180" s="251"/>
      <c r="Z180" s="1736"/>
      <c r="AA180" s="1737"/>
      <c r="AB180" s="77">
        <f t="shared" si="24"/>
        <v>0</v>
      </c>
      <c r="AC180" s="134">
        <f t="shared" si="25"/>
        <v>0</v>
      </c>
      <c r="AD180" s="251"/>
      <c r="AE180" s="1736"/>
      <c r="AF180" s="1737"/>
      <c r="AG180" s="77">
        <f t="shared" si="26"/>
        <v>0</v>
      </c>
      <c r="AH180" s="136">
        <f t="shared" si="27"/>
        <v>0</v>
      </c>
      <c r="AI180" s="251"/>
      <c r="AJ180" s="1736"/>
      <c r="AK180" s="1737"/>
      <c r="AL180" s="79">
        <f t="shared" si="28"/>
        <v>0</v>
      </c>
      <c r="AM180" s="137">
        <f t="shared" si="29"/>
        <v>0</v>
      </c>
      <c r="AN180" s="251"/>
      <c r="AO180" s="1736"/>
      <c r="AP180" s="1737"/>
    </row>
    <row r="181" spans="1:42" s="85" customFormat="1" ht="13.5" thickBot="1">
      <c r="A181" s="240"/>
      <c r="B181" s="241"/>
      <c r="C181" s="242"/>
      <c r="D181" s="242"/>
      <c r="E181" s="243"/>
      <c r="F181" s="244"/>
      <c r="G181" s="244"/>
      <c r="H181" s="243"/>
      <c r="I181" s="258"/>
      <c r="J181" s="245"/>
      <c r="K181" s="245"/>
      <c r="L181" s="76">
        <f t="shared" si="20"/>
        <v>0</v>
      </c>
      <c r="M181" s="246"/>
      <c r="N181" s="247"/>
      <c r="O181" s="248"/>
      <c r="P181" s="246"/>
      <c r="Q181" s="249"/>
      <c r="R181" s="250"/>
      <c r="S181" s="259"/>
      <c r="T181" s="260"/>
      <c r="U181" s="250"/>
      <c r="V181" s="78">
        <f t="shared" si="21"/>
        <v>0</v>
      </c>
      <c r="W181" s="261">
        <f t="shared" si="22"/>
        <v>0</v>
      </c>
      <c r="X181" s="133">
        <f t="shared" si="23"/>
        <v>0</v>
      </c>
      <c r="Y181" s="251"/>
      <c r="Z181" s="1736"/>
      <c r="AA181" s="1737"/>
      <c r="AB181" s="77">
        <f t="shared" si="24"/>
        <v>0</v>
      </c>
      <c r="AC181" s="134">
        <f t="shared" si="25"/>
        <v>0</v>
      </c>
      <c r="AD181" s="251"/>
      <c r="AE181" s="1736"/>
      <c r="AF181" s="1737"/>
      <c r="AG181" s="77">
        <f t="shared" si="26"/>
        <v>0</v>
      </c>
      <c r="AH181" s="136">
        <f t="shared" si="27"/>
        <v>0</v>
      </c>
      <c r="AI181" s="251"/>
      <c r="AJ181" s="1736"/>
      <c r="AK181" s="1737"/>
      <c r="AL181" s="79">
        <f t="shared" si="28"/>
        <v>0</v>
      </c>
      <c r="AM181" s="137">
        <f t="shared" si="29"/>
        <v>0</v>
      </c>
      <c r="AN181" s="251"/>
      <c r="AO181" s="1736"/>
      <c r="AP181" s="1737"/>
    </row>
    <row r="182" spans="1:42" s="85" customFormat="1" ht="13.5" thickBot="1">
      <c r="A182" s="240"/>
      <c r="B182" s="241"/>
      <c r="C182" s="242"/>
      <c r="D182" s="242"/>
      <c r="E182" s="243"/>
      <c r="F182" s="244"/>
      <c r="G182" s="244"/>
      <c r="H182" s="243"/>
      <c r="I182" s="258"/>
      <c r="J182" s="245"/>
      <c r="K182" s="245"/>
      <c r="L182" s="76">
        <f t="shared" si="20"/>
        <v>0</v>
      </c>
      <c r="M182" s="246"/>
      <c r="N182" s="247"/>
      <c r="O182" s="248"/>
      <c r="P182" s="246"/>
      <c r="Q182" s="249"/>
      <c r="R182" s="250"/>
      <c r="S182" s="259"/>
      <c r="T182" s="260"/>
      <c r="U182" s="250"/>
      <c r="V182" s="78">
        <f t="shared" si="21"/>
        <v>0</v>
      </c>
      <c r="W182" s="261">
        <f t="shared" si="22"/>
        <v>0</v>
      </c>
      <c r="X182" s="133">
        <f t="shared" si="23"/>
        <v>0</v>
      </c>
      <c r="Y182" s="251"/>
      <c r="Z182" s="1736"/>
      <c r="AA182" s="1737"/>
      <c r="AB182" s="77">
        <f t="shared" si="24"/>
        <v>0</v>
      </c>
      <c r="AC182" s="134">
        <f t="shared" si="25"/>
        <v>0</v>
      </c>
      <c r="AD182" s="251"/>
      <c r="AE182" s="1736"/>
      <c r="AF182" s="1737"/>
      <c r="AG182" s="77">
        <f t="shared" si="26"/>
        <v>0</v>
      </c>
      <c r="AH182" s="136">
        <f t="shared" si="27"/>
        <v>0</v>
      </c>
      <c r="AI182" s="251"/>
      <c r="AJ182" s="1736"/>
      <c r="AK182" s="1737"/>
      <c r="AL182" s="79">
        <f t="shared" si="28"/>
        <v>0</v>
      </c>
      <c r="AM182" s="137">
        <f t="shared" si="29"/>
        <v>0</v>
      </c>
      <c r="AN182" s="251"/>
      <c r="AO182" s="1736"/>
      <c r="AP182" s="1737"/>
    </row>
    <row r="183" spans="1:42" s="85" customFormat="1" ht="13.5" thickBot="1">
      <c r="A183" s="240"/>
      <c r="B183" s="241"/>
      <c r="C183" s="242"/>
      <c r="D183" s="242"/>
      <c r="E183" s="243"/>
      <c r="F183" s="244"/>
      <c r="G183" s="244"/>
      <c r="H183" s="243"/>
      <c r="I183" s="258"/>
      <c r="J183" s="245"/>
      <c r="K183" s="245"/>
      <c r="L183" s="76">
        <f t="shared" si="20"/>
        <v>0</v>
      </c>
      <c r="M183" s="246"/>
      <c r="N183" s="247"/>
      <c r="O183" s="248"/>
      <c r="P183" s="246"/>
      <c r="Q183" s="249"/>
      <c r="R183" s="250"/>
      <c r="S183" s="259"/>
      <c r="T183" s="260"/>
      <c r="U183" s="250"/>
      <c r="V183" s="78">
        <f t="shared" si="21"/>
        <v>0</v>
      </c>
      <c r="W183" s="261">
        <f t="shared" si="22"/>
        <v>0</v>
      </c>
      <c r="X183" s="133">
        <f t="shared" si="23"/>
        <v>0</v>
      </c>
      <c r="Y183" s="251"/>
      <c r="Z183" s="1736"/>
      <c r="AA183" s="1737"/>
      <c r="AB183" s="77">
        <f t="shared" si="24"/>
        <v>0</v>
      </c>
      <c r="AC183" s="134">
        <f t="shared" si="25"/>
        <v>0</v>
      </c>
      <c r="AD183" s="251"/>
      <c r="AE183" s="1736"/>
      <c r="AF183" s="1737"/>
      <c r="AG183" s="77">
        <f t="shared" si="26"/>
        <v>0</v>
      </c>
      <c r="AH183" s="136">
        <f t="shared" si="27"/>
        <v>0</v>
      </c>
      <c r="AI183" s="251"/>
      <c r="AJ183" s="1736"/>
      <c r="AK183" s="1737"/>
      <c r="AL183" s="79">
        <f t="shared" si="28"/>
        <v>0</v>
      </c>
      <c r="AM183" s="137">
        <f t="shared" si="29"/>
        <v>0</v>
      </c>
      <c r="AN183" s="251"/>
      <c r="AO183" s="1736"/>
      <c r="AP183" s="1737"/>
    </row>
    <row r="184" spans="1:42" s="85" customFormat="1" ht="13.5" thickBot="1">
      <c r="A184" s="240"/>
      <c r="B184" s="241"/>
      <c r="C184" s="242"/>
      <c r="D184" s="242"/>
      <c r="E184" s="243"/>
      <c r="F184" s="244"/>
      <c r="G184" s="244"/>
      <c r="H184" s="243"/>
      <c r="I184" s="258"/>
      <c r="J184" s="245"/>
      <c r="K184" s="245"/>
      <c r="L184" s="76">
        <f t="shared" si="20"/>
        <v>0</v>
      </c>
      <c r="M184" s="246"/>
      <c r="N184" s="247"/>
      <c r="O184" s="248"/>
      <c r="P184" s="246"/>
      <c r="Q184" s="249"/>
      <c r="R184" s="250"/>
      <c r="S184" s="259"/>
      <c r="T184" s="260"/>
      <c r="U184" s="250"/>
      <c r="V184" s="78">
        <f t="shared" si="21"/>
        <v>0</v>
      </c>
      <c r="W184" s="261">
        <f t="shared" si="22"/>
        <v>0</v>
      </c>
      <c r="X184" s="133">
        <f t="shared" si="23"/>
        <v>0</v>
      </c>
      <c r="Y184" s="251"/>
      <c r="Z184" s="1736"/>
      <c r="AA184" s="1737"/>
      <c r="AB184" s="77">
        <f t="shared" si="24"/>
        <v>0</v>
      </c>
      <c r="AC184" s="134">
        <f t="shared" si="25"/>
        <v>0</v>
      </c>
      <c r="AD184" s="251"/>
      <c r="AE184" s="1736"/>
      <c r="AF184" s="1737"/>
      <c r="AG184" s="77">
        <f t="shared" si="26"/>
        <v>0</v>
      </c>
      <c r="AH184" s="136">
        <f t="shared" si="27"/>
        <v>0</v>
      </c>
      <c r="AI184" s="251"/>
      <c r="AJ184" s="1736"/>
      <c r="AK184" s="1737"/>
      <c r="AL184" s="79">
        <f t="shared" si="28"/>
        <v>0</v>
      </c>
      <c r="AM184" s="137">
        <f t="shared" si="29"/>
        <v>0</v>
      </c>
      <c r="AN184" s="251"/>
      <c r="AO184" s="1736"/>
      <c r="AP184" s="1737"/>
    </row>
    <row r="185" spans="1:42" s="85" customFormat="1" ht="13.5" thickBot="1">
      <c r="A185" s="240"/>
      <c r="B185" s="241"/>
      <c r="C185" s="242"/>
      <c r="D185" s="242"/>
      <c r="E185" s="243"/>
      <c r="F185" s="244"/>
      <c r="G185" s="244"/>
      <c r="H185" s="243"/>
      <c r="I185" s="258"/>
      <c r="J185" s="245"/>
      <c r="K185" s="245"/>
      <c r="L185" s="76">
        <f t="shared" si="20"/>
        <v>0</v>
      </c>
      <c r="M185" s="246"/>
      <c r="N185" s="247"/>
      <c r="O185" s="248"/>
      <c r="P185" s="246"/>
      <c r="Q185" s="249"/>
      <c r="R185" s="250"/>
      <c r="S185" s="259"/>
      <c r="T185" s="260"/>
      <c r="U185" s="250"/>
      <c r="V185" s="78">
        <f t="shared" si="21"/>
        <v>0</v>
      </c>
      <c r="W185" s="261">
        <f t="shared" si="22"/>
        <v>0</v>
      </c>
      <c r="X185" s="133">
        <f t="shared" si="23"/>
        <v>0</v>
      </c>
      <c r="Y185" s="251"/>
      <c r="Z185" s="1736"/>
      <c r="AA185" s="1737"/>
      <c r="AB185" s="77">
        <f t="shared" si="24"/>
        <v>0</v>
      </c>
      <c r="AC185" s="134">
        <f t="shared" si="25"/>
        <v>0</v>
      </c>
      <c r="AD185" s="251"/>
      <c r="AE185" s="1736"/>
      <c r="AF185" s="1737"/>
      <c r="AG185" s="77">
        <f t="shared" si="26"/>
        <v>0</v>
      </c>
      <c r="AH185" s="136">
        <f t="shared" si="27"/>
        <v>0</v>
      </c>
      <c r="AI185" s="251"/>
      <c r="AJ185" s="1736"/>
      <c r="AK185" s="1737"/>
      <c r="AL185" s="79">
        <f t="shared" si="28"/>
        <v>0</v>
      </c>
      <c r="AM185" s="137">
        <f t="shared" si="29"/>
        <v>0</v>
      </c>
      <c r="AN185" s="251"/>
      <c r="AO185" s="1736"/>
      <c r="AP185" s="1737"/>
    </row>
    <row r="186" spans="1:42" s="85" customFormat="1" ht="13.5" thickBot="1">
      <c r="A186" s="240"/>
      <c r="B186" s="241"/>
      <c r="C186" s="242"/>
      <c r="D186" s="242"/>
      <c r="E186" s="243"/>
      <c r="F186" s="244"/>
      <c r="G186" s="244"/>
      <c r="H186" s="243"/>
      <c r="I186" s="258"/>
      <c r="J186" s="245"/>
      <c r="K186" s="245"/>
      <c r="L186" s="76">
        <f t="shared" si="20"/>
        <v>0</v>
      </c>
      <c r="M186" s="246"/>
      <c r="N186" s="247"/>
      <c r="O186" s="248"/>
      <c r="P186" s="246"/>
      <c r="Q186" s="249"/>
      <c r="R186" s="250"/>
      <c r="S186" s="259"/>
      <c r="T186" s="260"/>
      <c r="U186" s="250"/>
      <c r="V186" s="78">
        <f t="shared" si="21"/>
        <v>0</v>
      </c>
      <c r="W186" s="261">
        <f t="shared" si="22"/>
        <v>0</v>
      </c>
      <c r="X186" s="133">
        <f t="shared" si="23"/>
        <v>0</v>
      </c>
      <c r="Y186" s="251"/>
      <c r="Z186" s="1736"/>
      <c r="AA186" s="1737"/>
      <c r="AB186" s="77">
        <f t="shared" si="24"/>
        <v>0</v>
      </c>
      <c r="AC186" s="134">
        <f t="shared" si="25"/>
        <v>0</v>
      </c>
      <c r="AD186" s="251"/>
      <c r="AE186" s="1736"/>
      <c r="AF186" s="1737"/>
      <c r="AG186" s="77">
        <f t="shared" si="26"/>
        <v>0</v>
      </c>
      <c r="AH186" s="136">
        <f t="shared" si="27"/>
        <v>0</v>
      </c>
      <c r="AI186" s="251"/>
      <c r="AJ186" s="1736"/>
      <c r="AK186" s="1737"/>
      <c r="AL186" s="79">
        <f t="shared" si="28"/>
        <v>0</v>
      </c>
      <c r="AM186" s="137">
        <f t="shared" si="29"/>
        <v>0</v>
      </c>
      <c r="AN186" s="251"/>
      <c r="AO186" s="1736"/>
      <c r="AP186" s="1737"/>
    </row>
    <row r="187" spans="1:42" s="85" customFormat="1" ht="13.5" thickBot="1">
      <c r="A187" s="240"/>
      <c r="B187" s="241"/>
      <c r="C187" s="242"/>
      <c r="D187" s="242"/>
      <c r="E187" s="243"/>
      <c r="F187" s="244"/>
      <c r="G187" s="244"/>
      <c r="H187" s="243"/>
      <c r="I187" s="258"/>
      <c r="J187" s="245"/>
      <c r="K187" s="245"/>
      <c r="L187" s="76">
        <f t="shared" si="20"/>
        <v>0</v>
      </c>
      <c r="M187" s="246"/>
      <c r="N187" s="247"/>
      <c r="O187" s="248"/>
      <c r="P187" s="246"/>
      <c r="Q187" s="249"/>
      <c r="R187" s="250"/>
      <c r="S187" s="259"/>
      <c r="T187" s="260"/>
      <c r="U187" s="250"/>
      <c r="V187" s="78">
        <f t="shared" si="21"/>
        <v>0</v>
      </c>
      <c r="W187" s="261">
        <f t="shared" si="22"/>
        <v>0</v>
      </c>
      <c r="X187" s="133">
        <f t="shared" si="23"/>
        <v>0</v>
      </c>
      <c r="Y187" s="251"/>
      <c r="Z187" s="1736"/>
      <c r="AA187" s="1737"/>
      <c r="AB187" s="77">
        <f t="shared" si="24"/>
        <v>0</v>
      </c>
      <c r="AC187" s="134">
        <f t="shared" si="25"/>
        <v>0</v>
      </c>
      <c r="AD187" s="251"/>
      <c r="AE187" s="1736"/>
      <c r="AF187" s="1737"/>
      <c r="AG187" s="77">
        <f t="shared" si="26"/>
        <v>0</v>
      </c>
      <c r="AH187" s="136">
        <f t="shared" si="27"/>
        <v>0</v>
      </c>
      <c r="AI187" s="251"/>
      <c r="AJ187" s="1736"/>
      <c r="AK187" s="1737"/>
      <c r="AL187" s="79">
        <f t="shared" si="28"/>
        <v>0</v>
      </c>
      <c r="AM187" s="137">
        <f t="shared" si="29"/>
        <v>0</v>
      </c>
      <c r="AN187" s="251"/>
      <c r="AO187" s="1736"/>
      <c r="AP187" s="1737"/>
    </row>
    <row r="188" spans="1:42" s="85" customFormat="1" ht="13.5" thickBot="1">
      <c r="A188" s="240"/>
      <c r="B188" s="241"/>
      <c r="C188" s="242"/>
      <c r="D188" s="242"/>
      <c r="E188" s="243"/>
      <c r="F188" s="244"/>
      <c r="G188" s="244"/>
      <c r="H188" s="243"/>
      <c r="I188" s="258"/>
      <c r="J188" s="245"/>
      <c r="K188" s="245"/>
      <c r="L188" s="76">
        <f t="shared" si="20"/>
        <v>0</v>
      </c>
      <c r="M188" s="246"/>
      <c r="N188" s="247"/>
      <c r="O188" s="248"/>
      <c r="P188" s="246"/>
      <c r="Q188" s="249"/>
      <c r="R188" s="250"/>
      <c r="S188" s="259"/>
      <c r="T188" s="260"/>
      <c r="U188" s="250"/>
      <c r="V188" s="78">
        <f t="shared" si="21"/>
        <v>0</v>
      </c>
      <c r="W188" s="261">
        <f t="shared" si="22"/>
        <v>0</v>
      </c>
      <c r="X188" s="133">
        <f t="shared" si="23"/>
        <v>0</v>
      </c>
      <c r="Y188" s="251"/>
      <c r="Z188" s="1736"/>
      <c r="AA188" s="1737"/>
      <c r="AB188" s="77">
        <f t="shared" si="24"/>
        <v>0</v>
      </c>
      <c r="AC188" s="134">
        <f t="shared" si="25"/>
        <v>0</v>
      </c>
      <c r="AD188" s="251"/>
      <c r="AE188" s="1736"/>
      <c r="AF188" s="1737"/>
      <c r="AG188" s="77">
        <f t="shared" si="26"/>
        <v>0</v>
      </c>
      <c r="AH188" s="136">
        <f t="shared" si="27"/>
        <v>0</v>
      </c>
      <c r="AI188" s="251"/>
      <c r="AJ188" s="1736"/>
      <c r="AK188" s="1737"/>
      <c r="AL188" s="79">
        <f t="shared" si="28"/>
        <v>0</v>
      </c>
      <c r="AM188" s="137">
        <f t="shared" si="29"/>
        <v>0</v>
      </c>
      <c r="AN188" s="251"/>
      <c r="AO188" s="1736"/>
      <c r="AP188" s="1737"/>
    </row>
    <row r="189" spans="1:42" s="85" customFormat="1" ht="13.5" thickBot="1">
      <c r="A189" s="240"/>
      <c r="B189" s="241"/>
      <c r="C189" s="242"/>
      <c r="D189" s="242"/>
      <c r="E189" s="243"/>
      <c r="F189" s="244"/>
      <c r="G189" s="244"/>
      <c r="H189" s="243"/>
      <c r="I189" s="258"/>
      <c r="J189" s="245"/>
      <c r="K189" s="245"/>
      <c r="L189" s="76">
        <f t="shared" si="20"/>
        <v>0</v>
      </c>
      <c r="M189" s="246"/>
      <c r="N189" s="247"/>
      <c r="O189" s="248"/>
      <c r="P189" s="246"/>
      <c r="Q189" s="249"/>
      <c r="R189" s="250"/>
      <c r="S189" s="259"/>
      <c r="T189" s="260"/>
      <c r="U189" s="250"/>
      <c r="V189" s="78">
        <f t="shared" si="21"/>
        <v>0</v>
      </c>
      <c r="W189" s="261">
        <f t="shared" si="22"/>
        <v>0</v>
      </c>
      <c r="X189" s="133">
        <f t="shared" si="23"/>
        <v>0</v>
      </c>
      <c r="Y189" s="251"/>
      <c r="Z189" s="1736"/>
      <c r="AA189" s="1737"/>
      <c r="AB189" s="77">
        <f t="shared" si="24"/>
        <v>0</v>
      </c>
      <c r="AC189" s="134">
        <f t="shared" si="25"/>
        <v>0</v>
      </c>
      <c r="AD189" s="251"/>
      <c r="AE189" s="1736"/>
      <c r="AF189" s="1737"/>
      <c r="AG189" s="77">
        <f t="shared" si="26"/>
        <v>0</v>
      </c>
      <c r="AH189" s="136">
        <f t="shared" si="27"/>
        <v>0</v>
      </c>
      <c r="AI189" s="251"/>
      <c r="AJ189" s="1736"/>
      <c r="AK189" s="1737"/>
      <c r="AL189" s="79">
        <f t="shared" si="28"/>
        <v>0</v>
      </c>
      <c r="AM189" s="137">
        <f t="shared" si="29"/>
        <v>0</v>
      </c>
      <c r="AN189" s="251"/>
      <c r="AO189" s="1736"/>
      <c r="AP189" s="1737"/>
    </row>
    <row r="190" spans="1:42" s="85" customFormat="1" ht="13.5" thickBot="1">
      <c r="A190" s="240"/>
      <c r="B190" s="241"/>
      <c r="C190" s="242"/>
      <c r="D190" s="242"/>
      <c r="E190" s="243"/>
      <c r="F190" s="244"/>
      <c r="G190" s="244"/>
      <c r="H190" s="243"/>
      <c r="I190" s="258"/>
      <c r="J190" s="245"/>
      <c r="K190" s="245"/>
      <c r="L190" s="76">
        <f t="shared" si="20"/>
        <v>0</v>
      </c>
      <c r="M190" s="246"/>
      <c r="N190" s="247"/>
      <c r="O190" s="248"/>
      <c r="P190" s="246"/>
      <c r="Q190" s="249"/>
      <c r="R190" s="250"/>
      <c r="S190" s="259"/>
      <c r="T190" s="260"/>
      <c r="U190" s="250"/>
      <c r="V190" s="78">
        <f t="shared" si="21"/>
        <v>0</v>
      </c>
      <c r="W190" s="261">
        <f t="shared" si="22"/>
        <v>0</v>
      </c>
      <c r="X190" s="133">
        <f t="shared" si="23"/>
        <v>0</v>
      </c>
      <c r="Y190" s="251"/>
      <c r="Z190" s="1736"/>
      <c r="AA190" s="1737"/>
      <c r="AB190" s="77">
        <f t="shared" si="24"/>
        <v>0</v>
      </c>
      <c r="AC190" s="134">
        <f t="shared" si="25"/>
        <v>0</v>
      </c>
      <c r="AD190" s="251"/>
      <c r="AE190" s="1736"/>
      <c r="AF190" s="1737"/>
      <c r="AG190" s="77">
        <f t="shared" si="26"/>
        <v>0</v>
      </c>
      <c r="AH190" s="136">
        <f t="shared" si="27"/>
        <v>0</v>
      </c>
      <c r="AI190" s="251"/>
      <c r="AJ190" s="1736"/>
      <c r="AK190" s="1737"/>
      <c r="AL190" s="79">
        <f t="shared" si="28"/>
        <v>0</v>
      </c>
      <c r="AM190" s="137">
        <f t="shared" si="29"/>
        <v>0</v>
      </c>
      <c r="AN190" s="251"/>
      <c r="AO190" s="1736"/>
      <c r="AP190" s="1737"/>
    </row>
    <row r="191" spans="1:42" s="85" customFormat="1" ht="13.5" thickBot="1">
      <c r="A191" s="240"/>
      <c r="B191" s="241"/>
      <c r="C191" s="242"/>
      <c r="D191" s="242"/>
      <c r="E191" s="243"/>
      <c r="F191" s="244"/>
      <c r="G191" s="244"/>
      <c r="H191" s="243"/>
      <c r="I191" s="258"/>
      <c r="J191" s="245"/>
      <c r="K191" s="245"/>
      <c r="L191" s="76">
        <f t="shared" si="20"/>
        <v>0</v>
      </c>
      <c r="M191" s="246"/>
      <c r="N191" s="247"/>
      <c r="O191" s="248"/>
      <c r="P191" s="246"/>
      <c r="Q191" s="249"/>
      <c r="R191" s="250"/>
      <c r="S191" s="259"/>
      <c r="T191" s="260"/>
      <c r="U191" s="250"/>
      <c r="V191" s="78">
        <f t="shared" si="21"/>
        <v>0</v>
      </c>
      <c r="W191" s="261">
        <f t="shared" si="22"/>
        <v>0</v>
      </c>
      <c r="X191" s="133">
        <f t="shared" si="23"/>
        <v>0</v>
      </c>
      <c r="Y191" s="251"/>
      <c r="Z191" s="1736"/>
      <c r="AA191" s="1737"/>
      <c r="AB191" s="77">
        <f t="shared" si="24"/>
        <v>0</v>
      </c>
      <c r="AC191" s="134">
        <f t="shared" si="25"/>
        <v>0</v>
      </c>
      <c r="AD191" s="251"/>
      <c r="AE191" s="1736"/>
      <c r="AF191" s="1737"/>
      <c r="AG191" s="77">
        <f t="shared" si="26"/>
        <v>0</v>
      </c>
      <c r="AH191" s="136">
        <f t="shared" si="27"/>
        <v>0</v>
      </c>
      <c r="AI191" s="251"/>
      <c r="AJ191" s="1736"/>
      <c r="AK191" s="1737"/>
      <c r="AL191" s="79">
        <f t="shared" si="28"/>
        <v>0</v>
      </c>
      <c r="AM191" s="137">
        <f t="shared" si="29"/>
        <v>0</v>
      </c>
      <c r="AN191" s="251"/>
      <c r="AO191" s="1736"/>
      <c r="AP191" s="1737"/>
    </row>
    <row r="192" spans="1:42" s="85" customFormat="1" ht="13.5" thickBot="1">
      <c r="A192" s="240"/>
      <c r="B192" s="241"/>
      <c r="C192" s="242"/>
      <c r="D192" s="242"/>
      <c r="E192" s="243"/>
      <c r="F192" s="244"/>
      <c r="G192" s="244"/>
      <c r="H192" s="243"/>
      <c r="I192" s="258"/>
      <c r="J192" s="245"/>
      <c r="K192" s="245"/>
      <c r="L192" s="76">
        <f t="shared" si="20"/>
        <v>0</v>
      </c>
      <c r="M192" s="246"/>
      <c r="N192" s="247"/>
      <c r="O192" s="248"/>
      <c r="P192" s="246"/>
      <c r="Q192" s="249"/>
      <c r="R192" s="250"/>
      <c r="S192" s="259"/>
      <c r="T192" s="260"/>
      <c r="U192" s="250"/>
      <c r="V192" s="78">
        <f t="shared" si="21"/>
        <v>0</v>
      </c>
      <c r="W192" s="261">
        <f t="shared" si="22"/>
        <v>0</v>
      </c>
      <c r="X192" s="133">
        <f t="shared" si="23"/>
        <v>0</v>
      </c>
      <c r="Y192" s="251"/>
      <c r="Z192" s="1736"/>
      <c r="AA192" s="1737"/>
      <c r="AB192" s="77">
        <f t="shared" si="24"/>
        <v>0</v>
      </c>
      <c r="AC192" s="134">
        <f t="shared" si="25"/>
        <v>0</v>
      </c>
      <c r="AD192" s="251"/>
      <c r="AE192" s="1736"/>
      <c r="AF192" s="1737"/>
      <c r="AG192" s="77">
        <f t="shared" si="26"/>
        <v>0</v>
      </c>
      <c r="AH192" s="136">
        <f t="shared" si="27"/>
        <v>0</v>
      </c>
      <c r="AI192" s="251"/>
      <c r="AJ192" s="1736"/>
      <c r="AK192" s="1737"/>
      <c r="AL192" s="79">
        <f t="shared" si="28"/>
        <v>0</v>
      </c>
      <c r="AM192" s="137">
        <f t="shared" si="29"/>
        <v>0</v>
      </c>
      <c r="AN192" s="251"/>
      <c r="AO192" s="1736"/>
      <c r="AP192" s="1737"/>
    </row>
    <row r="193" spans="1:42" s="85" customFormat="1" ht="13.5" thickBot="1">
      <c r="A193" s="240"/>
      <c r="B193" s="241"/>
      <c r="C193" s="242"/>
      <c r="D193" s="242"/>
      <c r="E193" s="243"/>
      <c r="F193" s="244"/>
      <c r="G193" s="244"/>
      <c r="H193" s="243"/>
      <c r="I193" s="258"/>
      <c r="J193" s="245"/>
      <c r="K193" s="245"/>
      <c r="L193" s="76">
        <f t="shared" si="20"/>
        <v>0</v>
      </c>
      <c r="M193" s="246"/>
      <c r="N193" s="247"/>
      <c r="O193" s="248"/>
      <c r="P193" s="246"/>
      <c r="Q193" s="249"/>
      <c r="R193" s="250"/>
      <c r="S193" s="259"/>
      <c r="T193" s="260"/>
      <c r="U193" s="250"/>
      <c r="V193" s="78">
        <f t="shared" si="21"/>
        <v>0</v>
      </c>
      <c r="W193" s="261">
        <f t="shared" si="22"/>
        <v>0</v>
      </c>
      <c r="X193" s="133">
        <f t="shared" si="23"/>
        <v>0</v>
      </c>
      <c r="Y193" s="251"/>
      <c r="Z193" s="1736"/>
      <c r="AA193" s="1737"/>
      <c r="AB193" s="77">
        <f t="shared" si="24"/>
        <v>0</v>
      </c>
      <c r="AC193" s="134">
        <f t="shared" si="25"/>
        <v>0</v>
      </c>
      <c r="AD193" s="251"/>
      <c r="AE193" s="1736"/>
      <c r="AF193" s="1737"/>
      <c r="AG193" s="77">
        <f t="shared" si="26"/>
        <v>0</v>
      </c>
      <c r="AH193" s="136">
        <f t="shared" si="27"/>
        <v>0</v>
      </c>
      <c r="AI193" s="251"/>
      <c r="AJ193" s="1736"/>
      <c r="AK193" s="1737"/>
      <c r="AL193" s="79">
        <f t="shared" si="28"/>
        <v>0</v>
      </c>
      <c r="AM193" s="137">
        <f t="shared" si="29"/>
        <v>0</v>
      </c>
      <c r="AN193" s="251"/>
      <c r="AO193" s="1736"/>
      <c r="AP193" s="1737"/>
    </row>
    <row r="194" spans="1:42" s="85" customFormat="1" ht="13.5" thickBot="1">
      <c r="A194" s="240"/>
      <c r="B194" s="241"/>
      <c r="C194" s="242"/>
      <c r="D194" s="242"/>
      <c r="E194" s="243"/>
      <c r="F194" s="244"/>
      <c r="G194" s="244"/>
      <c r="H194" s="243"/>
      <c r="I194" s="258"/>
      <c r="J194" s="245"/>
      <c r="K194" s="245"/>
      <c r="L194" s="76">
        <f t="shared" si="20"/>
        <v>0</v>
      </c>
      <c r="M194" s="246"/>
      <c r="N194" s="247"/>
      <c r="O194" s="248"/>
      <c r="P194" s="246"/>
      <c r="Q194" s="249"/>
      <c r="R194" s="250"/>
      <c r="S194" s="259"/>
      <c r="T194" s="260"/>
      <c r="U194" s="250"/>
      <c r="V194" s="78">
        <f t="shared" si="21"/>
        <v>0</v>
      </c>
      <c r="W194" s="261">
        <f t="shared" si="22"/>
        <v>0</v>
      </c>
      <c r="X194" s="133">
        <f t="shared" si="23"/>
        <v>0</v>
      </c>
      <c r="Y194" s="251"/>
      <c r="Z194" s="1736"/>
      <c r="AA194" s="1737"/>
      <c r="AB194" s="77">
        <f t="shared" si="24"/>
        <v>0</v>
      </c>
      <c r="AC194" s="134">
        <f t="shared" si="25"/>
        <v>0</v>
      </c>
      <c r="AD194" s="251"/>
      <c r="AE194" s="1736"/>
      <c r="AF194" s="1737"/>
      <c r="AG194" s="77">
        <f t="shared" si="26"/>
        <v>0</v>
      </c>
      <c r="AH194" s="136">
        <f t="shared" si="27"/>
        <v>0</v>
      </c>
      <c r="AI194" s="251"/>
      <c r="AJ194" s="1736"/>
      <c r="AK194" s="1737"/>
      <c r="AL194" s="79">
        <f t="shared" si="28"/>
        <v>0</v>
      </c>
      <c r="AM194" s="137">
        <f t="shared" si="29"/>
        <v>0</v>
      </c>
      <c r="AN194" s="251"/>
      <c r="AO194" s="1736"/>
      <c r="AP194" s="1737"/>
    </row>
    <row r="195" spans="1:42" s="85" customFormat="1" ht="13.5" thickBot="1">
      <c r="A195" s="240"/>
      <c r="B195" s="241"/>
      <c r="C195" s="242"/>
      <c r="D195" s="242"/>
      <c r="E195" s="243"/>
      <c r="F195" s="244"/>
      <c r="G195" s="244"/>
      <c r="H195" s="243"/>
      <c r="I195" s="258"/>
      <c r="J195" s="245"/>
      <c r="K195" s="245"/>
      <c r="L195" s="76">
        <f t="shared" si="20"/>
        <v>0</v>
      </c>
      <c r="M195" s="246"/>
      <c r="N195" s="247"/>
      <c r="O195" s="248"/>
      <c r="P195" s="246"/>
      <c r="Q195" s="249"/>
      <c r="R195" s="250"/>
      <c r="S195" s="259"/>
      <c r="T195" s="260"/>
      <c r="U195" s="250"/>
      <c r="V195" s="78">
        <f t="shared" si="21"/>
        <v>0</v>
      </c>
      <c r="W195" s="261">
        <f t="shared" si="22"/>
        <v>0</v>
      </c>
      <c r="X195" s="133">
        <f t="shared" si="23"/>
        <v>0</v>
      </c>
      <c r="Y195" s="251"/>
      <c r="Z195" s="1736"/>
      <c r="AA195" s="1737"/>
      <c r="AB195" s="77">
        <f t="shared" si="24"/>
        <v>0</v>
      </c>
      <c r="AC195" s="134">
        <f t="shared" si="25"/>
        <v>0</v>
      </c>
      <c r="AD195" s="251"/>
      <c r="AE195" s="1736"/>
      <c r="AF195" s="1737"/>
      <c r="AG195" s="77">
        <f t="shared" si="26"/>
        <v>0</v>
      </c>
      <c r="AH195" s="136">
        <f t="shared" si="27"/>
        <v>0</v>
      </c>
      <c r="AI195" s="251"/>
      <c r="AJ195" s="1736"/>
      <c r="AK195" s="1737"/>
      <c r="AL195" s="79">
        <f t="shared" si="28"/>
        <v>0</v>
      </c>
      <c r="AM195" s="137">
        <f t="shared" si="29"/>
        <v>0</v>
      </c>
      <c r="AN195" s="251"/>
      <c r="AO195" s="1736"/>
      <c r="AP195" s="1737"/>
    </row>
    <row r="196" spans="1:42" s="85" customFormat="1" ht="13.5" thickBot="1">
      <c r="A196" s="240"/>
      <c r="B196" s="241"/>
      <c r="C196" s="242"/>
      <c r="D196" s="242"/>
      <c r="E196" s="243"/>
      <c r="F196" s="244"/>
      <c r="G196" s="244"/>
      <c r="H196" s="243"/>
      <c r="I196" s="258"/>
      <c r="J196" s="245"/>
      <c r="K196" s="245"/>
      <c r="L196" s="76">
        <f t="shared" si="20"/>
        <v>0</v>
      </c>
      <c r="M196" s="246"/>
      <c r="N196" s="247"/>
      <c r="O196" s="248"/>
      <c r="P196" s="246"/>
      <c r="Q196" s="249"/>
      <c r="R196" s="250"/>
      <c r="S196" s="259"/>
      <c r="T196" s="260"/>
      <c r="U196" s="250"/>
      <c r="V196" s="78">
        <f t="shared" si="21"/>
        <v>0</v>
      </c>
      <c r="W196" s="261">
        <f t="shared" si="22"/>
        <v>0</v>
      </c>
      <c r="X196" s="133">
        <f t="shared" si="23"/>
        <v>0</v>
      </c>
      <c r="Y196" s="251"/>
      <c r="Z196" s="1736"/>
      <c r="AA196" s="1737"/>
      <c r="AB196" s="77">
        <f t="shared" si="24"/>
        <v>0</v>
      </c>
      <c r="AC196" s="134">
        <f t="shared" si="25"/>
        <v>0</v>
      </c>
      <c r="AD196" s="251"/>
      <c r="AE196" s="1736"/>
      <c r="AF196" s="1737"/>
      <c r="AG196" s="77">
        <f t="shared" si="26"/>
        <v>0</v>
      </c>
      <c r="AH196" s="136">
        <f t="shared" si="27"/>
        <v>0</v>
      </c>
      <c r="AI196" s="251"/>
      <c r="AJ196" s="1736"/>
      <c r="AK196" s="1737"/>
      <c r="AL196" s="79">
        <f t="shared" si="28"/>
        <v>0</v>
      </c>
      <c r="AM196" s="137">
        <f t="shared" si="29"/>
        <v>0</v>
      </c>
      <c r="AN196" s="251"/>
      <c r="AO196" s="1736"/>
      <c r="AP196" s="1737"/>
    </row>
    <row r="197" spans="1:42" s="85" customFormat="1" ht="13.5" thickBot="1">
      <c r="A197" s="240"/>
      <c r="B197" s="241"/>
      <c r="C197" s="242"/>
      <c r="D197" s="242"/>
      <c r="E197" s="243"/>
      <c r="F197" s="244"/>
      <c r="G197" s="244"/>
      <c r="H197" s="243"/>
      <c r="I197" s="258"/>
      <c r="J197" s="245"/>
      <c r="K197" s="245"/>
      <c r="L197" s="76">
        <f t="shared" si="20"/>
        <v>0</v>
      </c>
      <c r="M197" s="246"/>
      <c r="N197" s="247"/>
      <c r="O197" s="248"/>
      <c r="P197" s="246"/>
      <c r="Q197" s="249"/>
      <c r="R197" s="250"/>
      <c r="S197" s="259"/>
      <c r="T197" s="260"/>
      <c r="U197" s="250"/>
      <c r="V197" s="78">
        <f t="shared" si="21"/>
        <v>0</v>
      </c>
      <c r="W197" s="261">
        <f t="shared" si="22"/>
        <v>0</v>
      </c>
      <c r="X197" s="133">
        <f t="shared" si="23"/>
        <v>0</v>
      </c>
      <c r="Y197" s="251"/>
      <c r="Z197" s="1736"/>
      <c r="AA197" s="1737"/>
      <c r="AB197" s="77">
        <f t="shared" si="24"/>
        <v>0</v>
      </c>
      <c r="AC197" s="134">
        <f t="shared" si="25"/>
        <v>0</v>
      </c>
      <c r="AD197" s="251"/>
      <c r="AE197" s="1736"/>
      <c r="AF197" s="1737"/>
      <c r="AG197" s="77">
        <f t="shared" si="26"/>
        <v>0</v>
      </c>
      <c r="AH197" s="136">
        <f t="shared" si="27"/>
        <v>0</v>
      </c>
      <c r="AI197" s="251"/>
      <c r="AJ197" s="1736"/>
      <c r="AK197" s="1737"/>
      <c r="AL197" s="79">
        <f t="shared" si="28"/>
        <v>0</v>
      </c>
      <c r="AM197" s="137">
        <f t="shared" si="29"/>
        <v>0</v>
      </c>
      <c r="AN197" s="251"/>
      <c r="AO197" s="1736"/>
      <c r="AP197" s="1737"/>
    </row>
    <row r="198" spans="1:42" s="85" customFormat="1" ht="13.5" thickBot="1">
      <c r="A198" s="240"/>
      <c r="B198" s="241"/>
      <c r="C198" s="242"/>
      <c r="D198" s="242"/>
      <c r="E198" s="243"/>
      <c r="F198" s="244"/>
      <c r="G198" s="244"/>
      <c r="H198" s="243"/>
      <c r="I198" s="258"/>
      <c r="J198" s="245"/>
      <c r="K198" s="245"/>
      <c r="L198" s="76">
        <f t="shared" si="20"/>
        <v>0</v>
      </c>
      <c r="M198" s="246"/>
      <c r="N198" s="247"/>
      <c r="O198" s="248"/>
      <c r="P198" s="246"/>
      <c r="Q198" s="249"/>
      <c r="R198" s="250"/>
      <c r="S198" s="259"/>
      <c r="T198" s="260"/>
      <c r="U198" s="250"/>
      <c r="V198" s="78">
        <f t="shared" si="21"/>
        <v>0</v>
      </c>
      <c r="W198" s="261">
        <f t="shared" si="22"/>
        <v>0</v>
      </c>
      <c r="X198" s="133">
        <f t="shared" si="23"/>
        <v>0</v>
      </c>
      <c r="Y198" s="251"/>
      <c r="Z198" s="1736"/>
      <c r="AA198" s="1737"/>
      <c r="AB198" s="77">
        <f t="shared" si="24"/>
        <v>0</v>
      </c>
      <c r="AC198" s="134">
        <f t="shared" si="25"/>
        <v>0</v>
      </c>
      <c r="AD198" s="251"/>
      <c r="AE198" s="1736"/>
      <c r="AF198" s="1737"/>
      <c r="AG198" s="77">
        <f t="shared" si="26"/>
        <v>0</v>
      </c>
      <c r="AH198" s="136">
        <f t="shared" si="27"/>
        <v>0</v>
      </c>
      <c r="AI198" s="251"/>
      <c r="AJ198" s="1736"/>
      <c r="AK198" s="1737"/>
      <c r="AL198" s="79">
        <f t="shared" si="28"/>
        <v>0</v>
      </c>
      <c r="AM198" s="137">
        <f t="shared" si="29"/>
        <v>0</v>
      </c>
      <c r="AN198" s="251"/>
      <c r="AO198" s="1736"/>
      <c r="AP198" s="1737"/>
    </row>
    <row r="199" spans="1:42" s="85" customFormat="1" ht="13.5" thickBot="1">
      <c r="A199" s="240"/>
      <c r="B199" s="241"/>
      <c r="C199" s="242"/>
      <c r="D199" s="242"/>
      <c r="E199" s="243"/>
      <c r="F199" s="244"/>
      <c r="G199" s="244"/>
      <c r="H199" s="243"/>
      <c r="I199" s="258"/>
      <c r="J199" s="245"/>
      <c r="K199" s="245"/>
      <c r="L199" s="76">
        <f t="shared" si="20"/>
        <v>0</v>
      </c>
      <c r="M199" s="246"/>
      <c r="N199" s="247"/>
      <c r="O199" s="248"/>
      <c r="P199" s="246"/>
      <c r="Q199" s="249"/>
      <c r="R199" s="250"/>
      <c r="S199" s="259"/>
      <c r="T199" s="260"/>
      <c r="U199" s="250"/>
      <c r="V199" s="78">
        <f t="shared" si="21"/>
        <v>0</v>
      </c>
      <c r="W199" s="261">
        <f t="shared" si="22"/>
        <v>0</v>
      </c>
      <c r="X199" s="133">
        <f t="shared" si="23"/>
        <v>0</v>
      </c>
      <c r="Y199" s="251"/>
      <c r="Z199" s="1736"/>
      <c r="AA199" s="1737"/>
      <c r="AB199" s="77">
        <f t="shared" si="24"/>
        <v>0</v>
      </c>
      <c r="AC199" s="134">
        <f t="shared" si="25"/>
        <v>0</v>
      </c>
      <c r="AD199" s="251"/>
      <c r="AE199" s="1736"/>
      <c r="AF199" s="1737"/>
      <c r="AG199" s="77">
        <f t="shared" si="26"/>
        <v>0</v>
      </c>
      <c r="AH199" s="136">
        <f t="shared" si="27"/>
        <v>0</v>
      </c>
      <c r="AI199" s="251"/>
      <c r="AJ199" s="1736"/>
      <c r="AK199" s="1737"/>
      <c r="AL199" s="79">
        <f t="shared" si="28"/>
        <v>0</v>
      </c>
      <c r="AM199" s="137">
        <f t="shared" si="29"/>
        <v>0</v>
      </c>
      <c r="AN199" s="251"/>
      <c r="AO199" s="1736"/>
      <c r="AP199" s="1737"/>
    </row>
    <row r="200" spans="1:42" s="85" customFormat="1" ht="13.5" thickBot="1">
      <c r="A200" s="240"/>
      <c r="B200" s="241"/>
      <c r="C200" s="242"/>
      <c r="D200" s="242"/>
      <c r="E200" s="243"/>
      <c r="F200" s="244"/>
      <c r="G200" s="244"/>
      <c r="H200" s="243"/>
      <c r="I200" s="258"/>
      <c r="J200" s="245"/>
      <c r="K200" s="245"/>
      <c r="L200" s="76">
        <f t="shared" si="20"/>
        <v>0</v>
      </c>
      <c r="M200" s="246"/>
      <c r="N200" s="247"/>
      <c r="O200" s="248"/>
      <c r="P200" s="246"/>
      <c r="Q200" s="249"/>
      <c r="R200" s="250"/>
      <c r="S200" s="259"/>
      <c r="T200" s="260"/>
      <c r="U200" s="250"/>
      <c r="V200" s="78">
        <f t="shared" si="21"/>
        <v>0</v>
      </c>
      <c r="W200" s="261">
        <f t="shared" si="22"/>
        <v>0</v>
      </c>
      <c r="X200" s="133">
        <f t="shared" si="23"/>
        <v>0</v>
      </c>
      <c r="Y200" s="251"/>
      <c r="Z200" s="1736"/>
      <c r="AA200" s="1737"/>
      <c r="AB200" s="77">
        <f t="shared" si="24"/>
        <v>0</v>
      </c>
      <c r="AC200" s="134">
        <f t="shared" si="25"/>
        <v>0</v>
      </c>
      <c r="AD200" s="251"/>
      <c r="AE200" s="1736"/>
      <c r="AF200" s="1737"/>
      <c r="AG200" s="77">
        <f t="shared" si="26"/>
        <v>0</v>
      </c>
      <c r="AH200" s="136">
        <f t="shared" si="27"/>
        <v>0</v>
      </c>
      <c r="AI200" s="251"/>
      <c r="AJ200" s="1736"/>
      <c r="AK200" s="1737"/>
      <c r="AL200" s="79">
        <f t="shared" si="28"/>
        <v>0</v>
      </c>
      <c r="AM200" s="137">
        <f t="shared" si="29"/>
        <v>0</v>
      </c>
      <c r="AN200" s="251"/>
      <c r="AO200" s="1736"/>
      <c r="AP200" s="1737"/>
    </row>
    <row r="201" spans="1:42" s="85" customFormat="1" ht="13.5" thickBot="1">
      <c r="A201" s="240"/>
      <c r="B201" s="241"/>
      <c r="C201" s="242"/>
      <c r="D201" s="242"/>
      <c r="E201" s="243"/>
      <c r="F201" s="244"/>
      <c r="G201" s="244"/>
      <c r="H201" s="243"/>
      <c r="I201" s="258"/>
      <c r="J201" s="245"/>
      <c r="K201" s="245"/>
      <c r="L201" s="76">
        <f t="shared" si="20"/>
        <v>0</v>
      </c>
      <c r="M201" s="246"/>
      <c r="N201" s="247"/>
      <c r="O201" s="248"/>
      <c r="P201" s="246"/>
      <c r="Q201" s="249"/>
      <c r="R201" s="250"/>
      <c r="S201" s="259"/>
      <c r="T201" s="260"/>
      <c r="U201" s="250"/>
      <c r="V201" s="78">
        <f t="shared" si="21"/>
        <v>0</v>
      </c>
      <c r="W201" s="261">
        <f t="shared" si="22"/>
        <v>0</v>
      </c>
      <c r="X201" s="133">
        <f t="shared" si="23"/>
        <v>0</v>
      </c>
      <c r="Y201" s="251"/>
      <c r="Z201" s="1736"/>
      <c r="AA201" s="1737"/>
      <c r="AB201" s="77">
        <f t="shared" si="24"/>
        <v>0</v>
      </c>
      <c r="AC201" s="134">
        <f t="shared" si="25"/>
        <v>0</v>
      </c>
      <c r="AD201" s="251"/>
      <c r="AE201" s="1736"/>
      <c r="AF201" s="1737"/>
      <c r="AG201" s="77">
        <f t="shared" si="26"/>
        <v>0</v>
      </c>
      <c r="AH201" s="136">
        <f t="shared" si="27"/>
        <v>0</v>
      </c>
      <c r="AI201" s="251"/>
      <c r="AJ201" s="1736"/>
      <c r="AK201" s="1737"/>
      <c r="AL201" s="79">
        <f t="shared" si="28"/>
        <v>0</v>
      </c>
      <c r="AM201" s="137">
        <f t="shared" si="29"/>
        <v>0</v>
      </c>
      <c r="AN201" s="251"/>
      <c r="AO201" s="1736"/>
      <c r="AP201" s="1737"/>
    </row>
    <row r="202" spans="1:42" s="85" customFormat="1" ht="13.5" thickBot="1">
      <c r="A202" s="240"/>
      <c r="B202" s="241"/>
      <c r="C202" s="242"/>
      <c r="D202" s="242"/>
      <c r="E202" s="243"/>
      <c r="F202" s="244"/>
      <c r="G202" s="244"/>
      <c r="H202" s="243"/>
      <c r="I202" s="258"/>
      <c r="J202" s="245"/>
      <c r="K202" s="245"/>
      <c r="L202" s="76">
        <f t="shared" si="20"/>
        <v>0</v>
      </c>
      <c r="M202" s="246"/>
      <c r="N202" s="247"/>
      <c r="O202" s="248"/>
      <c r="P202" s="246"/>
      <c r="Q202" s="249"/>
      <c r="R202" s="250"/>
      <c r="S202" s="259"/>
      <c r="T202" s="260"/>
      <c r="U202" s="250"/>
      <c r="V202" s="78">
        <f t="shared" si="21"/>
        <v>0</v>
      </c>
      <c r="W202" s="261">
        <f t="shared" si="22"/>
        <v>0</v>
      </c>
      <c r="X202" s="133">
        <f t="shared" si="23"/>
        <v>0</v>
      </c>
      <c r="Y202" s="251"/>
      <c r="Z202" s="1736"/>
      <c r="AA202" s="1737"/>
      <c r="AB202" s="77">
        <f t="shared" si="24"/>
        <v>0</v>
      </c>
      <c r="AC202" s="134">
        <f t="shared" si="25"/>
        <v>0</v>
      </c>
      <c r="AD202" s="251"/>
      <c r="AE202" s="1736"/>
      <c r="AF202" s="1737"/>
      <c r="AG202" s="77">
        <f t="shared" si="26"/>
        <v>0</v>
      </c>
      <c r="AH202" s="136">
        <f t="shared" si="27"/>
        <v>0</v>
      </c>
      <c r="AI202" s="251"/>
      <c r="AJ202" s="1736"/>
      <c r="AK202" s="1737"/>
      <c r="AL202" s="79">
        <f t="shared" si="28"/>
        <v>0</v>
      </c>
      <c r="AM202" s="137">
        <f t="shared" si="29"/>
        <v>0</v>
      </c>
      <c r="AN202" s="251"/>
      <c r="AO202" s="1736"/>
      <c r="AP202" s="1737"/>
    </row>
    <row r="203" spans="1:42" s="85" customFormat="1" ht="13.5" thickBot="1">
      <c r="A203" s="240"/>
      <c r="B203" s="241"/>
      <c r="C203" s="242"/>
      <c r="D203" s="242"/>
      <c r="E203" s="243"/>
      <c r="F203" s="244"/>
      <c r="G203" s="244"/>
      <c r="H203" s="243"/>
      <c r="I203" s="258"/>
      <c r="J203" s="245"/>
      <c r="K203" s="245"/>
      <c r="L203" s="76">
        <f t="shared" ref="L203:L266" si="30">IF(I203=0,0,(K203+J203)/I203)</f>
        <v>0</v>
      </c>
      <c r="M203" s="246"/>
      <c r="N203" s="247"/>
      <c r="O203" s="248"/>
      <c r="P203" s="246"/>
      <c r="Q203" s="249"/>
      <c r="R203" s="250"/>
      <c r="S203" s="259"/>
      <c r="T203" s="260"/>
      <c r="U203" s="250"/>
      <c r="V203" s="78">
        <f t="shared" ref="V203:V266" si="31">IF(U203=0,0,((U203*S203)-AB203-AL203))</f>
        <v>0</v>
      </c>
      <c r="W203" s="261">
        <f t="shared" ref="W203:W266" si="32">+S203-I203</f>
        <v>0</v>
      </c>
      <c r="X203" s="133">
        <f t="shared" ref="X203:X266" si="33">(V203-J203)</f>
        <v>0</v>
      </c>
      <c r="Y203" s="251"/>
      <c r="Z203" s="1736"/>
      <c r="AA203" s="1737"/>
      <c r="AB203" s="77">
        <f t="shared" ref="AB203:AB266" si="34">(IF(I203=0,0,M203/H203))*S203</f>
        <v>0</v>
      </c>
      <c r="AC203" s="134">
        <f t="shared" ref="AC203:AC266" si="35">+AB203-P203</f>
        <v>0</v>
      </c>
      <c r="AD203" s="251"/>
      <c r="AE203" s="1736"/>
      <c r="AF203" s="1737"/>
      <c r="AG203" s="77">
        <f t="shared" ref="AG203:AG266" si="36">(IF(H203=0,0,N203/H203))*T203</f>
        <v>0</v>
      </c>
      <c r="AH203" s="136">
        <f t="shared" ref="AH203:AH266" si="37">+AG203-Q203</f>
        <v>0</v>
      </c>
      <c r="AI203" s="251"/>
      <c r="AJ203" s="1736"/>
      <c r="AK203" s="1737"/>
      <c r="AL203" s="79">
        <f t="shared" ref="AL203:AL266" si="38">+O203*S203</f>
        <v>0</v>
      </c>
      <c r="AM203" s="137">
        <f t="shared" ref="AM203:AM266" si="39">+AL203-R203</f>
        <v>0</v>
      </c>
      <c r="AN203" s="251"/>
      <c r="AO203" s="1736"/>
      <c r="AP203" s="1737"/>
    </row>
    <row r="204" spans="1:42" s="85" customFormat="1" ht="13.5" thickBot="1">
      <c r="A204" s="240"/>
      <c r="B204" s="241"/>
      <c r="C204" s="242"/>
      <c r="D204" s="242"/>
      <c r="E204" s="243"/>
      <c r="F204" s="244"/>
      <c r="G204" s="244"/>
      <c r="H204" s="243"/>
      <c r="I204" s="258"/>
      <c r="J204" s="245"/>
      <c r="K204" s="245"/>
      <c r="L204" s="76">
        <f t="shared" si="30"/>
        <v>0</v>
      </c>
      <c r="M204" s="246"/>
      <c r="N204" s="247"/>
      <c r="O204" s="248"/>
      <c r="P204" s="246"/>
      <c r="Q204" s="249"/>
      <c r="R204" s="250"/>
      <c r="S204" s="259"/>
      <c r="T204" s="260"/>
      <c r="U204" s="250"/>
      <c r="V204" s="78">
        <f t="shared" si="31"/>
        <v>0</v>
      </c>
      <c r="W204" s="261">
        <f t="shared" si="32"/>
        <v>0</v>
      </c>
      <c r="X204" s="133">
        <f t="shared" si="33"/>
        <v>0</v>
      </c>
      <c r="Y204" s="251"/>
      <c r="Z204" s="1736"/>
      <c r="AA204" s="1737"/>
      <c r="AB204" s="77">
        <f t="shared" si="34"/>
        <v>0</v>
      </c>
      <c r="AC204" s="134">
        <f t="shared" si="35"/>
        <v>0</v>
      </c>
      <c r="AD204" s="251"/>
      <c r="AE204" s="1736"/>
      <c r="AF204" s="1737"/>
      <c r="AG204" s="77">
        <f t="shared" si="36"/>
        <v>0</v>
      </c>
      <c r="AH204" s="136">
        <f t="shared" si="37"/>
        <v>0</v>
      </c>
      <c r="AI204" s="251"/>
      <c r="AJ204" s="1736"/>
      <c r="AK204" s="1737"/>
      <c r="AL204" s="79">
        <f t="shared" si="38"/>
        <v>0</v>
      </c>
      <c r="AM204" s="137">
        <f t="shared" si="39"/>
        <v>0</v>
      </c>
      <c r="AN204" s="251"/>
      <c r="AO204" s="1736"/>
      <c r="AP204" s="1737"/>
    </row>
    <row r="205" spans="1:42" s="85" customFormat="1" ht="13.5" thickBot="1">
      <c r="A205" s="240"/>
      <c r="B205" s="241"/>
      <c r="C205" s="242"/>
      <c r="D205" s="242"/>
      <c r="E205" s="243"/>
      <c r="F205" s="244"/>
      <c r="G205" s="244"/>
      <c r="H205" s="243"/>
      <c r="I205" s="258"/>
      <c r="J205" s="245"/>
      <c r="K205" s="245"/>
      <c r="L205" s="76">
        <f t="shared" si="30"/>
        <v>0</v>
      </c>
      <c r="M205" s="246"/>
      <c r="N205" s="247"/>
      <c r="O205" s="248"/>
      <c r="P205" s="246"/>
      <c r="Q205" s="249"/>
      <c r="R205" s="250"/>
      <c r="S205" s="259"/>
      <c r="T205" s="260"/>
      <c r="U205" s="250"/>
      <c r="V205" s="78">
        <f t="shared" si="31"/>
        <v>0</v>
      </c>
      <c r="W205" s="261">
        <f t="shared" si="32"/>
        <v>0</v>
      </c>
      <c r="X205" s="133">
        <f t="shared" si="33"/>
        <v>0</v>
      </c>
      <c r="Y205" s="251"/>
      <c r="Z205" s="1736"/>
      <c r="AA205" s="1737"/>
      <c r="AB205" s="77">
        <f t="shared" si="34"/>
        <v>0</v>
      </c>
      <c r="AC205" s="134">
        <f t="shared" si="35"/>
        <v>0</v>
      </c>
      <c r="AD205" s="251"/>
      <c r="AE205" s="1736"/>
      <c r="AF205" s="1737"/>
      <c r="AG205" s="77">
        <f t="shared" si="36"/>
        <v>0</v>
      </c>
      <c r="AH205" s="136">
        <f t="shared" si="37"/>
        <v>0</v>
      </c>
      <c r="AI205" s="251"/>
      <c r="AJ205" s="1736"/>
      <c r="AK205" s="1737"/>
      <c r="AL205" s="79">
        <f t="shared" si="38"/>
        <v>0</v>
      </c>
      <c r="AM205" s="137">
        <f t="shared" si="39"/>
        <v>0</v>
      </c>
      <c r="AN205" s="251"/>
      <c r="AO205" s="1736"/>
      <c r="AP205" s="1737"/>
    </row>
    <row r="206" spans="1:42" s="85" customFormat="1" ht="13.5" thickBot="1">
      <c r="A206" s="240"/>
      <c r="B206" s="241"/>
      <c r="C206" s="242"/>
      <c r="D206" s="242"/>
      <c r="E206" s="243"/>
      <c r="F206" s="244"/>
      <c r="G206" s="244"/>
      <c r="H206" s="243"/>
      <c r="I206" s="258"/>
      <c r="J206" s="245"/>
      <c r="K206" s="245"/>
      <c r="L206" s="76">
        <f t="shared" si="30"/>
        <v>0</v>
      </c>
      <c r="M206" s="246"/>
      <c r="N206" s="247"/>
      <c r="O206" s="248"/>
      <c r="P206" s="246"/>
      <c r="Q206" s="249"/>
      <c r="R206" s="250"/>
      <c r="S206" s="259"/>
      <c r="T206" s="260"/>
      <c r="U206" s="250"/>
      <c r="V206" s="78">
        <f t="shared" si="31"/>
        <v>0</v>
      </c>
      <c r="W206" s="261">
        <f t="shared" si="32"/>
        <v>0</v>
      </c>
      <c r="X206" s="133">
        <f t="shared" si="33"/>
        <v>0</v>
      </c>
      <c r="Y206" s="251"/>
      <c r="Z206" s="1736"/>
      <c r="AA206" s="1737"/>
      <c r="AB206" s="77">
        <f t="shared" si="34"/>
        <v>0</v>
      </c>
      <c r="AC206" s="134">
        <f t="shared" si="35"/>
        <v>0</v>
      </c>
      <c r="AD206" s="251"/>
      <c r="AE206" s="1736"/>
      <c r="AF206" s="1737"/>
      <c r="AG206" s="77">
        <f t="shared" si="36"/>
        <v>0</v>
      </c>
      <c r="AH206" s="136">
        <f t="shared" si="37"/>
        <v>0</v>
      </c>
      <c r="AI206" s="251"/>
      <c r="AJ206" s="1736"/>
      <c r="AK206" s="1737"/>
      <c r="AL206" s="79">
        <f t="shared" si="38"/>
        <v>0</v>
      </c>
      <c r="AM206" s="137">
        <f t="shared" si="39"/>
        <v>0</v>
      </c>
      <c r="AN206" s="251"/>
      <c r="AO206" s="1736"/>
      <c r="AP206" s="1737"/>
    </row>
    <row r="207" spans="1:42" s="85" customFormat="1" ht="13.5" thickBot="1">
      <c r="A207" s="240"/>
      <c r="B207" s="241"/>
      <c r="C207" s="242"/>
      <c r="D207" s="242"/>
      <c r="E207" s="243"/>
      <c r="F207" s="244"/>
      <c r="G207" s="244"/>
      <c r="H207" s="243"/>
      <c r="I207" s="258"/>
      <c r="J207" s="245"/>
      <c r="K207" s="245"/>
      <c r="L207" s="76">
        <f t="shared" si="30"/>
        <v>0</v>
      </c>
      <c r="M207" s="246"/>
      <c r="N207" s="247"/>
      <c r="O207" s="248"/>
      <c r="P207" s="246"/>
      <c r="Q207" s="249"/>
      <c r="R207" s="250"/>
      <c r="S207" s="259"/>
      <c r="T207" s="260"/>
      <c r="U207" s="250"/>
      <c r="V207" s="78">
        <f t="shared" si="31"/>
        <v>0</v>
      </c>
      <c r="W207" s="261">
        <f t="shared" si="32"/>
        <v>0</v>
      </c>
      <c r="X207" s="133">
        <f t="shared" si="33"/>
        <v>0</v>
      </c>
      <c r="Y207" s="251"/>
      <c r="Z207" s="1736"/>
      <c r="AA207" s="1737"/>
      <c r="AB207" s="77">
        <f t="shared" si="34"/>
        <v>0</v>
      </c>
      <c r="AC207" s="134">
        <f t="shared" si="35"/>
        <v>0</v>
      </c>
      <c r="AD207" s="251"/>
      <c r="AE207" s="1736"/>
      <c r="AF207" s="1737"/>
      <c r="AG207" s="77">
        <f t="shared" si="36"/>
        <v>0</v>
      </c>
      <c r="AH207" s="136">
        <f t="shared" si="37"/>
        <v>0</v>
      </c>
      <c r="AI207" s="251"/>
      <c r="AJ207" s="1736"/>
      <c r="AK207" s="1737"/>
      <c r="AL207" s="79">
        <f t="shared" si="38"/>
        <v>0</v>
      </c>
      <c r="AM207" s="137">
        <f t="shared" si="39"/>
        <v>0</v>
      </c>
      <c r="AN207" s="251"/>
      <c r="AO207" s="1736"/>
      <c r="AP207" s="1737"/>
    </row>
    <row r="208" spans="1:42" s="85" customFormat="1" ht="13.5" thickBot="1">
      <c r="A208" s="240"/>
      <c r="B208" s="241"/>
      <c r="C208" s="242"/>
      <c r="D208" s="242"/>
      <c r="E208" s="243"/>
      <c r="F208" s="244"/>
      <c r="G208" s="244"/>
      <c r="H208" s="243"/>
      <c r="I208" s="258"/>
      <c r="J208" s="245"/>
      <c r="K208" s="245"/>
      <c r="L208" s="76">
        <f t="shared" si="30"/>
        <v>0</v>
      </c>
      <c r="M208" s="246"/>
      <c r="N208" s="247"/>
      <c r="O208" s="248"/>
      <c r="P208" s="246"/>
      <c r="Q208" s="249"/>
      <c r="R208" s="250"/>
      <c r="S208" s="259"/>
      <c r="T208" s="260"/>
      <c r="U208" s="250"/>
      <c r="V208" s="78">
        <f t="shared" si="31"/>
        <v>0</v>
      </c>
      <c r="W208" s="261">
        <f t="shared" si="32"/>
        <v>0</v>
      </c>
      <c r="X208" s="133">
        <f t="shared" si="33"/>
        <v>0</v>
      </c>
      <c r="Y208" s="251"/>
      <c r="Z208" s="1736"/>
      <c r="AA208" s="1737"/>
      <c r="AB208" s="77">
        <f t="shared" si="34"/>
        <v>0</v>
      </c>
      <c r="AC208" s="134">
        <f t="shared" si="35"/>
        <v>0</v>
      </c>
      <c r="AD208" s="251"/>
      <c r="AE208" s="1736"/>
      <c r="AF208" s="1737"/>
      <c r="AG208" s="77">
        <f t="shared" si="36"/>
        <v>0</v>
      </c>
      <c r="AH208" s="136">
        <f t="shared" si="37"/>
        <v>0</v>
      </c>
      <c r="AI208" s="251"/>
      <c r="AJ208" s="1736"/>
      <c r="AK208" s="1737"/>
      <c r="AL208" s="79">
        <f t="shared" si="38"/>
        <v>0</v>
      </c>
      <c r="AM208" s="137">
        <f t="shared" si="39"/>
        <v>0</v>
      </c>
      <c r="AN208" s="251"/>
      <c r="AO208" s="1736"/>
      <c r="AP208" s="1737"/>
    </row>
    <row r="209" spans="1:42" s="85" customFormat="1" ht="13.5" thickBot="1">
      <c r="A209" s="240"/>
      <c r="B209" s="241"/>
      <c r="C209" s="242"/>
      <c r="D209" s="242"/>
      <c r="E209" s="243"/>
      <c r="F209" s="244"/>
      <c r="G209" s="244"/>
      <c r="H209" s="243"/>
      <c r="I209" s="258"/>
      <c r="J209" s="245"/>
      <c r="K209" s="245"/>
      <c r="L209" s="76">
        <f t="shared" si="30"/>
        <v>0</v>
      </c>
      <c r="M209" s="246"/>
      <c r="N209" s="247"/>
      <c r="O209" s="248"/>
      <c r="P209" s="246"/>
      <c r="Q209" s="249"/>
      <c r="R209" s="250"/>
      <c r="S209" s="259"/>
      <c r="T209" s="260"/>
      <c r="U209" s="250"/>
      <c r="V209" s="78">
        <f t="shared" si="31"/>
        <v>0</v>
      </c>
      <c r="W209" s="261">
        <f t="shared" si="32"/>
        <v>0</v>
      </c>
      <c r="X209" s="133">
        <f t="shared" si="33"/>
        <v>0</v>
      </c>
      <c r="Y209" s="251"/>
      <c r="Z209" s="1736"/>
      <c r="AA209" s="1737"/>
      <c r="AB209" s="77">
        <f t="shared" si="34"/>
        <v>0</v>
      </c>
      <c r="AC209" s="134">
        <f t="shared" si="35"/>
        <v>0</v>
      </c>
      <c r="AD209" s="251"/>
      <c r="AE209" s="1736"/>
      <c r="AF209" s="1737"/>
      <c r="AG209" s="77">
        <f t="shared" si="36"/>
        <v>0</v>
      </c>
      <c r="AH209" s="136">
        <f t="shared" si="37"/>
        <v>0</v>
      </c>
      <c r="AI209" s="251"/>
      <c r="AJ209" s="1736"/>
      <c r="AK209" s="1737"/>
      <c r="AL209" s="79">
        <f t="shared" si="38"/>
        <v>0</v>
      </c>
      <c r="AM209" s="137">
        <f t="shared" si="39"/>
        <v>0</v>
      </c>
      <c r="AN209" s="251"/>
      <c r="AO209" s="1736"/>
      <c r="AP209" s="1737"/>
    </row>
    <row r="210" spans="1:42" s="85" customFormat="1" ht="13.5" thickBot="1">
      <c r="A210" s="240"/>
      <c r="B210" s="241"/>
      <c r="C210" s="242"/>
      <c r="D210" s="242"/>
      <c r="E210" s="243"/>
      <c r="F210" s="244"/>
      <c r="G210" s="244"/>
      <c r="H210" s="243"/>
      <c r="I210" s="258"/>
      <c r="J210" s="245"/>
      <c r="K210" s="245"/>
      <c r="L210" s="76">
        <f t="shared" si="30"/>
        <v>0</v>
      </c>
      <c r="M210" s="246"/>
      <c r="N210" s="247"/>
      <c r="O210" s="248"/>
      <c r="P210" s="246"/>
      <c r="Q210" s="249"/>
      <c r="R210" s="250"/>
      <c r="S210" s="259"/>
      <c r="T210" s="260"/>
      <c r="U210" s="250"/>
      <c r="V210" s="78">
        <f t="shared" si="31"/>
        <v>0</v>
      </c>
      <c r="W210" s="261">
        <f t="shared" si="32"/>
        <v>0</v>
      </c>
      <c r="X210" s="133">
        <f t="shared" si="33"/>
        <v>0</v>
      </c>
      <c r="Y210" s="251"/>
      <c r="Z210" s="1736"/>
      <c r="AA210" s="1737"/>
      <c r="AB210" s="77">
        <f t="shared" si="34"/>
        <v>0</v>
      </c>
      <c r="AC210" s="134">
        <f t="shared" si="35"/>
        <v>0</v>
      </c>
      <c r="AD210" s="251"/>
      <c r="AE210" s="1736"/>
      <c r="AF210" s="1737"/>
      <c r="AG210" s="77">
        <f t="shared" si="36"/>
        <v>0</v>
      </c>
      <c r="AH210" s="136">
        <f t="shared" si="37"/>
        <v>0</v>
      </c>
      <c r="AI210" s="251"/>
      <c r="AJ210" s="1736"/>
      <c r="AK210" s="1737"/>
      <c r="AL210" s="79">
        <f t="shared" si="38"/>
        <v>0</v>
      </c>
      <c r="AM210" s="137">
        <f t="shared" si="39"/>
        <v>0</v>
      </c>
      <c r="AN210" s="251"/>
      <c r="AO210" s="1736"/>
      <c r="AP210" s="1737"/>
    </row>
    <row r="211" spans="1:42" s="85" customFormat="1" ht="13.5" thickBot="1">
      <c r="A211" s="240"/>
      <c r="B211" s="241"/>
      <c r="C211" s="242"/>
      <c r="D211" s="242"/>
      <c r="E211" s="243"/>
      <c r="F211" s="244"/>
      <c r="G211" s="244"/>
      <c r="H211" s="243"/>
      <c r="I211" s="258"/>
      <c r="J211" s="245"/>
      <c r="K211" s="245"/>
      <c r="L211" s="76">
        <f t="shared" si="30"/>
        <v>0</v>
      </c>
      <c r="M211" s="246"/>
      <c r="N211" s="247"/>
      <c r="O211" s="248"/>
      <c r="P211" s="246"/>
      <c r="Q211" s="249"/>
      <c r="R211" s="250"/>
      <c r="S211" s="259"/>
      <c r="T211" s="260"/>
      <c r="U211" s="250"/>
      <c r="V211" s="78">
        <f t="shared" si="31"/>
        <v>0</v>
      </c>
      <c r="W211" s="261">
        <f t="shared" si="32"/>
        <v>0</v>
      </c>
      <c r="X211" s="133">
        <f t="shared" si="33"/>
        <v>0</v>
      </c>
      <c r="Y211" s="251"/>
      <c r="Z211" s="1736"/>
      <c r="AA211" s="1737"/>
      <c r="AB211" s="77">
        <f t="shared" si="34"/>
        <v>0</v>
      </c>
      <c r="AC211" s="134">
        <f t="shared" si="35"/>
        <v>0</v>
      </c>
      <c r="AD211" s="251"/>
      <c r="AE211" s="1736"/>
      <c r="AF211" s="1737"/>
      <c r="AG211" s="77">
        <f t="shared" si="36"/>
        <v>0</v>
      </c>
      <c r="AH211" s="136">
        <f t="shared" si="37"/>
        <v>0</v>
      </c>
      <c r="AI211" s="251"/>
      <c r="AJ211" s="1736"/>
      <c r="AK211" s="1737"/>
      <c r="AL211" s="79">
        <f t="shared" si="38"/>
        <v>0</v>
      </c>
      <c r="AM211" s="137">
        <f t="shared" si="39"/>
        <v>0</v>
      </c>
      <c r="AN211" s="251"/>
      <c r="AO211" s="1736"/>
      <c r="AP211" s="1737"/>
    </row>
    <row r="212" spans="1:42" s="85" customFormat="1" ht="13.5" thickBot="1">
      <c r="A212" s="240"/>
      <c r="B212" s="241"/>
      <c r="C212" s="242"/>
      <c r="D212" s="242"/>
      <c r="E212" s="243"/>
      <c r="F212" s="244"/>
      <c r="G212" s="244"/>
      <c r="H212" s="243"/>
      <c r="I212" s="258"/>
      <c r="J212" s="245"/>
      <c r="K212" s="245"/>
      <c r="L212" s="76">
        <f t="shared" si="30"/>
        <v>0</v>
      </c>
      <c r="M212" s="246"/>
      <c r="N212" s="247"/>
      <c r="O212" s="248"/>
      <c r="P212" s="246"/>
      <c r="Q212" s="249"/>
      <c r="R212" s="250"/>
      <c r="S212" s="259"/>
      <c r="T212" s="260"/>
      <c r="U212" s="250"/>
      <c r="V212" s="78">
        <f t="shared" si="31"/>
        <v>0</v>
      </c>
      <c r="W212" s="261">
        <f t="shared" si="32"/>
        <v>0</v>
      </c>
      <c r="X212" s="133">
        <f t="shared" si="33"/>
        <v>0</v>
      </c>
      <c r="Y212" s="251"/>
      <c r="Z212" s="1736"/>
      <c r="AA212" s="1737"/>
      <c r="AB212" s="77">
        <f t="shared" si="34"/>
        <v>0</v>
      </c>
      <c r="AC212" s="134">
        <f t="shared" si="35"/>
        <v>0</v>
      </c>
      <c r="AD212" s="251"/>
      <c r="AE212" s="1736"/>
      <c r="AF212" s="1737"/>
      <c r="AG212" s="77">
        <f t="shared" si="36"/>
        <v>0</v>
      </c>
      <c r="AH212" s="136">
        <f t="shared" si="37"/>
        <v>0</v>
      </c>
      <c r="AI212" s="251"/>
      <c r="AJ212" s="1736"/>
      <c r="AK212" s="1737"/>
      <c r="AL212" s="79">
        <f t="shared" si="38"/>
        <v>0</v>
      </c>
      <c r="AM212" s="137">
        <f t="shared" si="39"/>
        <v>0</v>
      </c>
      <c r="AN212" s="251"/>
      <c r="AO212" s="1736"/>
      <c r="AP212" s="1737"/>
    </row>
    <row r="213" spans="1:42" s="85" customFormat="1" ht="13.5" thickBot="1">
      <c r="A213" s="240"/>
      <c r="B213" s="241"/>
      <c r="C213" s="242"/>
      <c r="D213" s="242"/>
      <c r="E213" s="243"/>
      <c r="F213" s="244"/>
      <c r="G213" s="244"/>
      <c r="H213" s="243"/>
      <c r="I213" s="258"/>
      <c r="J213" s="245"/>
      <c r="K213" s="245"/>
      <c r="L213" s="76">
        <f t="shared" si="30"/>
        <v>0</v>
      </c>
      <c r="M213" s="246"/>
      <c r="N213" s="247"/>
      <c r="O213" s="248"/>
      <c r="P213" s="246"/>
      <c r="Q213" s="249"/>
      <c r="R213" s="250"/>
      <c r="S213" s="259"/>
      <c r="T213" s="260"/>
      <c r="U213" s="250"/>
      <c r="V213" s="78">
        <f t="shared" si="31"/>
        <v>0</v>
      </c>
      <c r="W213" s="261">
        <f t="shared" si="32"/>
        <v>0</v>
      </c>
      <c r="X213" s="133">
        <f t="shared" si="33"/>
        <v>0</v>
      </c>
      <c r="Y213" s="251"/>
      <c r="Z213" s="1736"/>
      <c r="AA213" s="1737"/>
      <c r="AB213" s="77">
        <f t="shared" si="34"/>
        <v>0</v>
      </c>
      <c r="AC213" s="134">
        <f t="shared" si="35"/>
        <v>0</v>
      </c>
      <c r="AD213" s="251"/>
      <c r="AE213" s="1736"/>
      <c r="AF213" s="1737"/>
      <c r="AG213" s="77">
        <f t="shared" si="36"/>
        <v>0</v>
      </c>
      <c r="AH213" s="136">
        <f t="shared" si="37"/>
        <v>0</v>
      </c>
      <c r="AI213" s="251"/>
      <c r="AJ213" s="1736"/>
      <c r="AK213" s="1737"/>
      <c r="AL213" s="79">
        <f t="shared" si="38"/>
        <v>0</v>
      </c>
      <c r="AM213" s="137">
        <f t="shared" si="39"/>
        <v>0</v>
      </c>
      <c r="AN213" s="251"/>
      <c r="AO213" s="1736"/>
      <c r="AP213" s="1737"/>
    </row>
    <row r="214" spans="1:42" s="85" customFormat="1" ht="13.5" thickBot="1">
      <c r="A214" s="240"/>
      <c r="B214" s="241"/>
      <c r="C214" s="242"/>
      <c r="D214" s="242"/>
      <c r="E214" s="243"/>
      <c r="F214" s="244"/>
      <c r="G214" s="244"/>
      <c r="H214" s="243"/>
      <c r="I214" s="258"/>
      <c r="J214" s="245"/>
      <c r="K214" s="245"/>
      <c r="L214" s="76">
        <f t="shared" si="30"/>
        <v>0</v>
      </c>
      <c r="M214" s="246"/>
      <c r="N214" s="247"/>
      <c r="O214" s="248"/>
      <c r="P214" s="246"/>
      <c r="Q214" s="249"/>
      <c r="R214" s="250"/>
      <c r="S214" s="259"/>
      <c r="T214" s="260"/>
      <c r="U214" s="250"/>
      <c r="V214" s="78">
        <f t="shared" si="31"/>
        <v>0</v>
      </c>
      <c r="W214" s="261">
        <f t="shared" si="32"/>
        <v>0</v>
      </c>
      <c r="X214" s="133">
        <f t="shared" si="33"/>
        <v>0</v>
      </c>
      <c r="Y214" s="251"/>
      <c r="Z214" s="1736"/>
      <c r="AA214" s="1737"/>
      <c r="AB214" s="77">
        <f t="shared" si="34"/>
        <v>0</v>
      </c>
      <c r="AC214" s="134">
        <f t="shared" si="35"/>
        <v>0</v>
      </c>
      <c r="AD214" s="251"/>
      <c r="AE214" s="1736"/>
      <c r="AF214" s="1737"/>
      <c r="AG214" s="77">
        <f t="shared" si="36"/>
        <v>0</v>
      </c>
      <c r="AH214" s="136">
        <f t="shared" si="37"/>
        <v>0</v>
      </c>
      <c r="AI214" s="251"/>
      <c r="AJ214" s="1736"/>
      <c r="AK214" s="1737"/>
      <c r="AL214" s="79">
        <f t="shared" si="38"/>
        <v>0</v>
      </c>
      <c r="AM214" s="137">
        <f t="shared" si="39"/>
        <v>0</v>
      </c>
      <c r="AN214" s="251"/>
      <c r="AO214" s="1736"/>
      <c r="AP214" s="1737"/>
    </row>
    <row r="215" spans="1:42" s="85" customFormat="1" ht="13.5" thickBot="1">
      <c r="A215" s="240"/>
      <c r="B215" s="241"/>
      <c r="C215" s="242"/>
      <c r="D215" s="242"/>
      <c r="E215" s="243"/>
      <c r="F215" s="244"/>
      <c r="G215" s="244"/>
      <c r="H215" s="243"/>
      <c r="I215" s="258"/>
      <c r="J215" s="245"/>
      <c r="K215" s="245"/>
      <c r="L215" s="76">
        <f t="shared" si="30"/>
        <v>0</v>
      </c>
      <c r="M215" s="246"/>
      <c r="N215" s="247"/>
      <c r="O215" s="248"/>
      <c r="P215" s="246"/>
      <c r="Q215" s="249"/>
      <c r="R215" s="250"/>
      <c r="S215" s="259"/>
      <c r="T215" s="260"/>
      <c r="U215" s="250"/>
      <c r="V215" s="78">
        <f t="shared" si="31"/>
        <v>0</v>
      </c>
      <c r="W215" s="261">
        <f t="shared" si="32"/>
        <v>0</v>
      </c>
      <c r="X215" s="133">
        <f t="shared" si="33"/>
        <v>0</v>
      </c>
      <c r="Y215" s="251"/>
      <c r="Z215" s="1736"/>
      <c r="AA215" s="1737"/>
      <c r="AB215" s="77">
        <f t="shared" si="34"/>
        <v>0</v>
      </c>
      <c r="AC215" s="134">
        <f t="shared" si="35"/>
        <v>0</v>
      </c>
      <c r="AD215" s="251"/>
      <c r="AE215" s="1736"/>
      <c r="AF215" s="1737"/>
      <c r="AG215" s="77">
        <f t="shared" si="36"/>
        <v>0</v>
      </c>
      <c r="AH215" s="136">
        <f t="shared" si="37"/>
        <v>0</v>
      </c>
      <c r="AI215" s="251"/>
      <c r="AJ215" s="1736"/>
      <c r="AK215" s="1737"/>
      <c r="AL215" s="79">
        <f t="shared" si="38"/>
        <v>0</v>
      </c>
      <c r="AM215" s="137">
        <f t="shared" si="39"/>
        <v>0</v>
      </c>
      <c r="AN215" s="251"/>
      <c r="AO215" s="1736"/>
      <c r="AP215" s="1737"/>
    </row>
    <row r="216" spans="1:42" s="85" customFormat="1" ht="13.5" thickBot="1">
      <c r="A216" s="240"/>
      <c r="B216" s="241"/>
      <c r="C216" s="242"/>
      <c r="D216" s="242"/>
      <c r="E216" s="243"/>
      <c r="F216" s="244"/>
      <c r="G216" s="244"/>
      <c r="H216" s="243"/>
      <c r="I216" s="258"/>
      <c r="J216" s="245"/>
      <c r="K216" s="245"/>
      <c r="L216" s="76">
        <f t="shared" si="30"/>
        <v>0</v>
      </c>
      <c r="M216" s="246"/>
      <c r="N216" s="247"/>
      <c r="O216" s="248"/>
      <c r="P216" s="246"/>
      <c r="Q216" s="249"/>
      <c r="R216" s="250"/>
      <c r="S216" s="259"/>
      <c r="T216" s="260"/>
      <c r="U216" s="250"/>
      <c r="V216" s="78">
        <f t="shared" si="31"/>
        <v>0</v>
      </c>
      <c r="W216" s="261">
        <f t="shared" si="32"/>
        <v>0</v>
      </c>
      <c r="X216" s="133">
        <f t="shared" si="33"/>
        <v>0</v>
      </c>
      <c r="Y216" s="251"/>
      <c r="Z216" s="1736"/>
      <c r="AA216" s="1737"/>
      <c r="AB216" s="77">
        <f t="shared" si="34"/>
        <v>0</v>
      </c>
      <c r="AC216" s="134">
        <f t="shared" si="35"/>
        <v>0</v>
      </c>
      <c r="AD216" s="251"/>
      <c r="AE216" s="1736"/>
      <c r="AF216" s="1737"/>
      <c r="AG216" s="77">
        <f t="shared" si="36"/>
        <v>0</v>
      </c>
      <c r="AH216" s="136">
        <f t="shared" si="37"/>
        <v>0</v>
      </c>
      <c r="AI216" s="251"/>
      <c r="AJ216" s="1736"/>
      <c r="AK216" s="1737"/>
      <c r="AL216" s="79">
        <f t="shared" si="38"/>
        <v>0</v>
      </c>
      <c r="AM216" s="137">
        <f t="shared" si="39"/>
        <v>0</v>
      </c>
      <c r="AN216" s="251"/>
      <c r="AO216" s="1736"/>
      <c r="AP216" s="1737"/>
    </row>
    <row r="217" spans="1:42" s="85" customFormat="1" ht="13.5" thickBot="1">
      <c r="A217" s="240"/>
      <c r="B217" s="241"/>
      <c r="C217" s="242"/>
      <c r="D217" s="242"/>
      <c r="E217" s="243"/>
      <c r="F217" s="244"/>
      <c r="G217" s="244"/>
      <c r="H217" s="243"/>
      <c r="I217" s="258"/>
      <c r="J217" s="245"/>
      <c r="K217" s="245"/>
      <c r="L217" s="76">
        <f t="shared" si="30"/>
        <v>0</v>
      </c>
      <c r="M217" s="246"/>
      <c r="N217" s="247"/>
      <c r="O217" s="248"/>
      <c r="P217" s="246"/>
      <c r="Q217" s="249"/>
      <c r="R217" s="250"/>
      <c r="S217" s="259"/>
      <c r="T217" s="260"/>
      <c r="U217" s="250"/>
      <c r="V217" s="78">
        <f t="shared" si="31"/>
        <v>0</v>
      </c>
      <c r="W217" s="261">
        <f t="shared" si="32"/>
        <v>0</v>
      </c>
      <c r="X217" s="133">
        <f t="shared" si="33"/>
        <v>0</v>
      </c>
      <c r="Y217" s="251"/>
      <c r="Z217" s="1736"/>
      <c r="AA217" s="1737"/>
      <c r="AB217" s="77">
        <f t="shared" si="34"/>
        <v>0</v>
      </c>
      <c r="AC217" s="134">
        <f t="shared" si="35"/>
        <v>0</v>
      </c>
      <c r="AD217" s="251"/>
      <c r="AE217" s="1736"/>
      <c r="AF217" s="1737"/>
      <c r="AG217" s="77">
        <f t="shared" si="36"/>
        <v>0</v>
      </c>
      <c r="AH217" s="136">
        <f t="shared" si="37"/>
        <v>0</v>
      </c>
      <c r="AI217" s="251"/>
      <c r="AJ217" s="1736"/>
      <c r="AK217" s="1737"/>
      <c r="AL217" s="79">
        <f t="shared" si="38"/>
        <v>0</v>
      </c>
      <c r="AM217" s="137">
        <f t="shared" si="39"/>
        <v>0</v>
      </c>
      <c r="AN217" s="251"/>
      <c r="AO217" s="1736"/>
      <c r="AP217" s="1737"/>
    </row>
    <row r="218" spans="1:42" s="85" customFormat="1" ht="13.5" thickBot="1">
      <c r="A218" s="240"/>
      <c r="B218" s="241"/>
      <c r="C218" s="242"/>
      <c r="D218" s="242"/>
      <c r="E218" s="243"/>
      <c r="F218" s="244"/>
      <c r="G218" s="244"/>
      <c r="H218" s="243"/>
      <c r="I218" s="258"/>
      <c r="J218" s="245"/>
      <c r="K218" s="245"/>
      <c r="L218" s="76">
        <f t="shared" si="30"/>
        <v>0</v>
      </c>
      <c r="M218" s="246"/>
      <c r="N218" s="247"/>
      <c r="O218" s="248"/>
      <c r="P218" s="246"/>
      <c r="Q218" s="249"/>
      <c r="R218" s="250"/>
      <c r="S218" s="259"/>
      <c r="T218" s="260"/>
      <c r="U218" s="250"/>
      <c r="V218" s="78">
        <f t="shared" si="31"/>
        <v>0</v>
      </c>
      <c r="W218" s="261">
        <f t="shared" si="32"/>
        <v>0</v>
      </c>
      <c r="X218" s="133">
        <f t="shared" si="33"/>
        <v>0</v>
      </c>
      <c r="Y218" s="251"/>
      <c r="Z218" s="1736"/>
      <c r="AA218" s="1737"/>
      <c r="AB218" s="77">
        <f t="shared" si="34"/>
        <v>0</v>
      </c>
      <c r="AC218" s="134">
        <f t="shared" si="35"/>
        <v>0</v>
      </c>
      <c r="AD218" s="251"/>
      <c r="AE218" s="1736"/>
      <c r="AF218" s="1737"/>
      <c r="AG218" s="77">
        <f t="shared" si="36"/>
        <v>0</v>
      </c>
      <c r="AH218" s="136">
        <f t="shared" si="37"/>
        <v>0</v>
      </c>
      <c r="AI218" s="251"/>
      <c r="AJ218" s="1736"/>
      <c r="AK218" s="1737"/>
      <c r="AL218" s="79">
        <f t="shared" si="38"/>
        <v>0</v>
      </c>
      <c r="AM218" s="137">
        <f t="shared" si="39"/>
        <v>0</v>
      </c>
      <c r="AN218" s="251"/>
      <c r="AO218" s="1736"/>
      <c r="AP218" s="1737"/>
    </row>
    <row r="219" spans="1:42" s="85" customFormat="1" ht="13.5" thickBot="1">
      <c r="A219" s="240"/>
      <c r="B219" s="241"/>
      <c r="C219" s="242"/>
      <c r="D219" s="242"/>
      <c r="E219" s="243"/>
      <c r="F219" s="244"/>
      <c r="G219" s="244"/>
      <c r="H219" s="243"/>
      <c r="I219" s="258"/>
      <c r="J219" s="245"/>
      <c r="K219" s="245"/>
      <c r="L219" s="76">
        <f t="shared" si="30"/>
        <v>0</v>
      </c>
      <c r="M219" s="246"/>
      <c r="N219" s="247"/>
      <c r="O219" s="248"/>
      <c r="P219" s="246"/>
      <c r="Q219" s="249"/>
      <c r="R219" s="250"/>
      <c r="S219" s="259"/>
      <c r="T219" s="260"/>
      <c r="U219" s="250"/>
      <c r="V219" s="78">
        <f t="shared" si="31"/>
        <v>0</v>
      </c>
      <c r="W219" s="261">
        <f t="shared" si="32"/>
        <v>0</v>
      </c>
      <c r="X219" s="133">
        <f t="shared" si="33"/>
        <v>0</v>
      </c>
      <c r="Y219" s="251"/>
      <c r="Z219" s="1736"/>
      <c r="AA219" s="1737"/>
      <c r="AB219" s="77">
        <f t="shared" si="34"/>
        <v>0</v>
      </c>
      <c r="AC219" s="134">
        <f t="shared" si="35"/>
        <v>0</v>
      </c>
      <c r="AD219" s="251"/>
      <c r="AE219" s="1736"/>
      <c r="AF219" s="1737"/>
      <c r="AG219" s="77">
        <f t="shared" si="36"/>
        <v>0</v>
      </c>
      <c r="AH219" s="136">
        <f t="shared" si="37"/>
        <v>0</v>
      </c>
      <c r="AI219" s="251"/>
      <c r="AJ219" s="1736"/>
      <c r="AK219" s="1737"/>
      <c r="AL219" s="79">
        <f t="shared" si="38"/>
        <v>0</v>
      </c>
      <c r="AM219" s="137">
        <f t="shared" si="39"/>
        <v>0</v>
      </c>
      <c r="AN219" s="251"/>
      <c r="AO219" s="1736"/>
      <c r="AP219" s="1737"/>
    </row>
    <row r="220" spans="1:42" s="85" customFormat="1" ht="13.5" thickBot="1">
      <c r="A220" s="240"/>
      <c r="B220" s="241"/>
      <c r="C220" s="242"/>
      <c r="D220" s="242"/>
      <c r="E220" s="243"/>
      <c r="F220" s="244"/>
      <c r="G220" s="244"/>
      <c r="H220" s="243"/>
      <c r="I220" s="258"/>
      <c r="J220" s="245"/>
      <c r="K220" s="245"/>
      <c r="L220" s="76">
        <f t="shared" si="30"/>
        <v>0</v>
      </c>
      <c r="M220" s="246"/>
      <c r="N220" s="247"/>
      <c r="O220" s="248"/>
      <c r="P220" s="246"/>
      <c r="Q220" s="249"/>
      <c r="R220" s="250"/>
      <c r="S220" s="259"/>
      <c r="T220" s="260"/>
      <c r="U220" s="250"/>
      <c r="V220" s="78">
        <f t="shared" si="31"/>
        <v>0</v>
      </c>
      <c r="W220" s="261">
        <f t="shared" si="32"/>
        <v>0</v>
      </c>
      <c r="X220" s="133">
        <f t="shared" si="33"/>
        <v>0</v>
      </c>
      <c r="Y220" s="251"/>
      <c r="Z220" s="1736"/>
      <c r="AA220" s="1737"/>
      <c r="AB220" s="77">
        <f t="shared" si="34"/>
        <v>0</v>
      </c>
      <c r="AC220" s="134">
        <f t="shared" si="35"/>
        <v>0</v>
      </c>
      <c r="AD220" s="251"/>
      <c r="AE220" s="1736"/>
      <c r="AF220" s="1737"/>
      <c r="AG220" s="77">
        <f t="shared" si="36"/>
        <v>0</v>
      </c>
      <c r="AH220" s="136">
        <f t="shared" si="37"/>
        <v>0</v>
      </c>
      <c r="AI220" s="251"/>
      <c r="AJ220" s="1736"/>
      <c r="AK220" s="1737"/>
      <c r="AL220" s="79">
        <f t="shared" si="38"/>
        <v>0</v>
      </c>
      <c r="AM220" s="137">
        <f t="shared" si="39"/>
        <v>0</v>
      </c>
      <c r="AN220" s="251"/>
      <c r="AO220" s="1736"/>
      <c r="AP220" s="1737"/>
    </row>
    <row r="221" spans="1:42" s="85" customFormat="1" ht="13.5" thickBot="1">
      <c r="A221" s="240"/>
      <c r="B221" s="241"/>
      <c r="C221" s="242"/>
      <c r="D221" s="242"/>
      <c r="E221" s="243"/>
      <c r="F221" s="244"/>
      <c r="G221" s="244"/>
      <c r="H221" s="243"/>
      <c r="I221" s="258"/>
      <c r="J221" s="245"/>
      <c r="K221" s="245"/>
      <c r="L221" s="76">
        <f t="shared" si="30"/>
        <v>0</v>
      </c>
      <c r="M221" s="246"/>
      <c r="N221" s="247"/>
      <c r="O221" s="248"/>
      <c r="P221" s="246"/>
      <c r="Q221" s="249"/>
      <c r="R221" s="250"/>
      <c r="S221" s="259"/>
      <c r="T221" s="260"/>
      <c r="U221" s="250"/>
      <c r="V221" s="78">
        <f t="shared" si="31"/>
        <v>0</v>
      </c>
      <c r="W221" s="261">
        <f t="shared" si="32"/>
        <v>0</v>
      </c>
      <c r="X221" s="133">
        <f t="shared" si="33"/>
        <v>0</v>
      </c>
      <c r="Y221" s="251"/>
      <c r="Z221" s="1736"/>
      <c r="AA221" s="1737"/>
      <c r="AB221" s="77">
        <f t="shared" si="34"/>
        <v>0</v>
      </c>
      <c r="AC221" s="134">
        <f t="shared" si="35"/>
        <v>0</v>
      </c>
      <c r="AD221" s="251"/>
      <c r="AE221" s="1736"/>
      <c r="AF221" s="1737"/>
      <c r="AG221" s="77">
        <f t="shared" si="36"/>
        <v>0</v>
      </c>
      <c r="AH221" s="136">
        <f t="shared" si="37"/>
        <v>0</v>
      </c>
      <c r="AI221" s="251"/>
      <c r="AJ221" s="1736"/>
      <c r="AK221" s="1737"/>
      <c r="AL221" s="79">
        <f t="shared" si="38"/>
        <v>0</v>
      </c>
      <c r="AM221" s="137">
        <f t="shared" si="39"/>
        <v>0</v>
      </c>
      <c r="AN221" s="251"/>
      <c r="AO221" s="1736"/>
      <c r="AP221" s="1737"/>
    </row>
    <row r="222" spans="1:42" s="85" customFormat="1" ht="13.5" thickBot="1">
      <c r="A222" s="240"/>
      <c r="B222" s="241"/>
      <c r="C222" s="242"/>
      <c r="D222" s="242"/>
      <c r="E222" s="243"/>
      <c r="F222" s="244"/>
      <c r="G222" s="244"/>
      <c r="H222" s="243"/>
      <c r="I222" s="258"/>
      <c r="J222" s="245"/>
      <c r="K222" s="245"/>
      <c r="L222" s="76">
        <f t="shared" si="30"/>
        <v>0</v>
      </c>
      <c r="M222" s="246"/>
      <c r="N222" s="247"/>
      <c r="O222" s="248"/>
      <c r="P222" s="246"/>
      <c r="Q222" s="249"/>
      <c r="R222" s="250"/>
      <c r="S222" s="259"/>
      <c r="T222" s="260"/>
      <c r="U222" s="250"/>
      <c r="V222" s="78">
        <f t="shared" si="31"/>
        <v>0</v>
      </c>
      <c r="W222" s="261">
        <f t="shared" si="32"/>
        <v>0</v>
      </c>
      <c r="X222" s="133">
        <f t="shared" si="33"/>
        <v>0</v>
      </c>
      <c r="Y222" s="251"/>
      <c r="Z222" s="1736"/>
      <c r="AA222" s="1737"/>
      <c r="AB222" s="77">
        <f t="shared" si="34"/>
        <v>0</v>
      </c>
      <c r="AC222" s="134">
        <f t="shared" si="35"/>
        <v>0</v>
      </c>
      <c r="AD222" s="251"/>
      <c r="AE222" s="1736"/>
      <c r="AF222" s="1737"/>
      <c r="AG222" s="77">
        <f t="shared" si="36"/>
        <v>0</v>
      </c>
      <c r="AH222" s="136">
        <f t="shared" si="37"/>
        <v>0</v>
      </c>
      <c r="AI222" s="251"/>
      <c r="AJ222" s="1736"/>
      <c r="AK222" s="1737"/>
      <c r="AL222" s="79">
        <f t="shared" si="38"/>
        <v>0</v>
      </c>
      <c r="AM222" s="137">
        <f t="shared" si="39"/>
        <v>0</v>
      </c>
      <c r="AN222" s="251"/>
      <c r="AO222" s="1736"/>
      <c r="AP222" s="1737"/>
    </row>
    <row r="223" spans="1:42" s="85" customFormat="1" ht="13.5" thickBot="1">
      <c r="A223" s="240"/>
      <c r="B223" s="241"/>
      <c r="C223" s="242"/>
      <c r="D223" s="242"/>
      <c r="E223" s="243"/>
      <c r="F223" s="244"/>
      <c r="G223" s="244"/>
      <c r="H223" s="243"/>
      <c r="I223" s="258"/>
      <c r="J223" s="245"/>
      <c r="K223" s="245"/>
      <c r="L223" s="76">
        <f t="shared" si="30"/>
        <v>0</v>
      </c>
      <c r="M223" s="246"/>
      <c r="N223" s="247"/>
      <c r="O223" s="248"/>
      <c r="P223" s="246"/>
      <c r="Q223" s="249"/>
      <c r="R223" s="250"/>
      <c r="S223" s="259"/>
      <c r="T223" s="260"/>
      <c r="U223" s="250"/>
      <c r="V223" s="78">
        <f t="shared" si="31"/>
        <v>0</v>
      </c>
      <c r="W223" s="261">
        <f t="shared" si="32"/>
        <v>0</v>
      </c>
      <c r="X223" s="133">
        <f t="shared" si="33"/>
        <v>0</v>
      </c>
      <c r="Y223" s="251"/>
      <c r="Z223" s="1736"/>
      <c r="AA223" s="1737"/>
      <c r="AB223" s="77">
        <f t="shared" si="34"/>
        <v>0</v>
      </c>
      <c r="AC223" s="134">
        <f t="shared" si="35"/>
        <v>0</v>
      </c>
      <c r="AD223" s="251"/>
      <c r="AE223" s="1736"/>
      <c r="AF223" s="1737"/>
      <c r="AG223" s="77">
        <f t="shared" si="36"/>
        <v>0</v>
      </c>
      <c r="AH223" s="136">
        <f t="shared" si="37"/>
        <v>0</v>
      </c>
      <c r="AI223" s="251"/>
      <c r="AJ223" s="1736"/>
      <c r="AK223" s="1737"/>
      <c r="AL223" s="79">
        <f t="shared" si="38"/>
        <v>0</v>
      </c>
      <c r="AM223" s="137">
        <f t="shared" si="39"/>
        <v>0</v>
      </c>
      <c r="AN223" s="251"/>
      <c r="AO223" s="1736"/>
      <c r="AP223" s="1737"/>
    </row>
    <row r="224" spans="1:42" s="85" customFormat="1" ht="13.5" thickBot="1">
      <c r="A224" s="240"/>
      <c r="B224" s="241"/>
      <c r="C224" s="242"/>
      <c r="D224" s="242"/>
      <c r="E224" s="243"/>
      <c r="F224" s="244"/>
      <c r="G224" s="244"/>
      <c r="H224" s="243"/>
      <c r="I224" s="258"/>
      <c r="J224" s="245"/>
      <c r="K224" s="245"/>
      <c r="L224" s="76">
        <f t="shared" si="30"/>
        <v>0</v>
      </c>
      <c r="M224" s="246"/>
      <c r="N224" s="247"/>
      <c r="O224" s="248"/>
      <c r="P224" s="246"/>
      <c r="Q224" s="249"/>
      <c r="R224" s="250"/>
      <c r="S224" s="259"/>
      <c r="T224" s="260"/>
      <c r="U224" s="250"/>
      <c r="V224" s="78">
        <f t="shared" si="31"/>
        <v>0</v>
      </c>
      <c r="W224" s="261">
        <f t="shared" si="32"/>
        <v>0</v>
      </c>
      <c r="X224" s="133">
        <f t="shared" si="33"/>
        <v>0</v>
      </c>
      <c r="Y224" s="251"/>
      <c r="Z224" s="1736"/>
      <c r="AA224" s="1737"/>
      <c r="AB224" s="77">
        <f t="shared" si="34"/>
        <v>0</v>
      </c>
      <c r="AC224" s="134">
        <f t="shared" si="35"/>
        <v>0</v>
      </c>
      <c r="AD224" s="251"/>
      <c r="AE224" s="1736"/>
      <c r="AF224" s="1737"/>
      <c r="AG224" s="77">
        <f t="shared" si="36"/>
        <v>0</v>
      </c>
      <c r="AH224" s="136">
        <f t="shared" si="37"/>
        <v>0</v>
      </c>
      <c r="AI224" s="251"/>
      <c r="AJ224" s="1736"/>
      <c r="AK224" s="1737"/>
      <c r="AL224" s="79">
        <f t="shared" si="38"/>
        <v>0</v>
      </c>
      <c r="AM224" s="137">
        <f t="shared" si="39"/>
        <v>0</v>
      </c>
      <c r="AN224" s="251"/>
      <c r="AO224" s="1736"/>
      <c r="AP224" s="1737"/>
    </row>
    <row r="225" spans="1:42" s="85" customFormat="1" ht="13.5" thickBot="1">
      <c r="A225" s="240"/>
      <c r="B225" s="241"/>
      <c r="C225" s="242"/>
      <c r="D225" s="242"/>
      <c r="E225" s="243"/>
      <c r="F225" s="244"/>
      <c r="G225" s="244"/>
      <c r="H225" s="243"/>
      <c r="I225" s="258"/>
      <c r="J225" s="245"/>
      <c r="K225" s="245"/>
      <c r="L225" s="76">
        <f t="shared" si="30"/>
        <v>0</v>
      </c>
      <c r="M225" s="246"/>
      <c r="N225" s="247"/>
      <c r="O225" s="248"/>
      <c r="P225" s="246"/>
      <c r="Q225" s="249"/>
      <c r="R225" s="250"/>
      <c r="S225" s="259"/>
      <c r="T225" s="260"/>
      <c r="U225" s="250"/>
      <c r="V225" s="78">
        <f t="shared" si="31"/>
        <v>0</v>
      </c>
      <c r="W225" s="261">
        <f t="shared" si="32"/>
        <v>0</v>
      </c>
      <c r="X225" s="133">
        <f t="shared" si="33"/>
        <v>0</v>
      </c>
      <c r="Y225" s="251"/>
      <c r="Z225" s="1736"/>
      <c r="AA225" s="1737"/>
      <c r="AB225" s="77">
        <f t="shared" si="34"/>
        <v>0</v>
      </c>
      <c r="AC225" s="134">
        <f t="shared" si="35"/>
        <v>0</v>
      </c>
      <c r="AD225" s="251"/>
      <c r="AE225" s="1736"/>
      <c r="AF225" s="1737"/>
      <c r="AG225" s="77">
        <f t="shared" si="36"/>
        <v>0</v>
      </c>
      <c r="AH225" s="136">
        <f t="shared" si="37"/>
        <v>0</v>
      </c>
      <c r="AI225" s="251"/>
      <c r="AJ225" s="1736"/>
      <c r="AK225" s="1737"/>
      <c r="AL225" s="79">
        <f t="shared" si="38"/>
        <v>0</v>
      </c>
      <c r="AM225" s="137">
        <f t="shared" si="39"/>
        <v>0</v>
      </c>
      <c r="AN225" s="251"/>
      <c r="AO225" s="1736"/>
      <c r="AP225" s="1737"/>
    </row>
    <row r="226" spans="1:42" s="85" customFormat="1" ht="13.5" thickBot="1">
      <c r="A226" s="240"/>
      <c r="B226" s="241"/>
      <c r="C226" s="242"/>
      <c r="D226" s="242"/>
      <c r="E226" s="243"/>
      <c r="F226" s="244"/>
      <c r="G226" s="244"/>
      <c r="H226" s="243"/>
      <c r="I226" s="258"/>
      <c r="J226" s="245"/>
      <c r="K226" s="245"/>
      <c r="L226" s="76">
        <f t="shared" si="30"/>
        <v>0</v>
      </c>
      <c r="M226" s="246"/>
      <c r="N226" s="247"/>
      <c r="O226" s="248"/>
      <c r="P226" s="246"/>
      <c r="Q226" s="249"/>
      <c r="R226" s="250"/>
      <c r="S226" s="259"/>
      <c r="T226" s="260"/>
      <c r="U226" s="250"/>
      <c r="V226" s="78">
        <f t="shared" si="31"/>
        <v>0</v>
      </c>
      <c r="W226" s="261">
        <f t="shared" si="32"/>
        <v>0</v>
      </c>
      <c r="X226" s="133">
        <f t="shared" si="33"/>
        <v>0</v>
      </c>
      <c r="Y226" s="251"/>
      <c r="Z226" s="1736"/>
      <c r="AA226" s="1737"/>
      <c r="AB226" s="77">
        <f t="shared" si="34"/>
        <v>0</v>
      </c>
      <c r="AC226" s="134">
        <f t="shared" si="35"/>
        <v>0</v>
      </c>
      <c r="AD226" s="251"/>
      <c r="AE226" s="1736"/>
      <c r="AF226" s="1737"/>
      <c r="AG226" s="77">
        <f t="shared" si="36"/>
        <v>0</v>
      </c>
      <c r="AH226" s="136">
        <f t="shared" si="37"/>
        <v>0</v>
      </c>
      <c r="AI226" s="251"/>
      <c r="AJ226" s="1736"/>
      <c r="AK226" s="1737"/>
      <c r="AL226" s="79">
        <f t="shared" si="38"/>
        <v>0</v>
      </c>
      <c r="AM226" s="137">
        <f t="shared" si="39"/>
        <v>0</v>
      </c>
      <c r="AN226" s="251"/>
      <c r="AO226" s="1736"/>
      <c r="AP226" s="1737"/>
    </row>
    <row r="227" spans="1:42" s="85" customFormat="1" ht="13.5" thickBot="1">
      <c r="A227" s="240"/>
      <c r="B227" s="241"/>
      <c r="C227" s="242"/>
      <c r="D227" s="242"/>
      <c r="E227" s="243"/>
      <c r="F227" s="244"/>
      <c r="G227" s="244"/>
      <c r="H227" s="243"/>
      <c r="I227" s="258"/>
      <c r="J227" s="245"/>
      <c r="K227" s="245"/>
      <c r="L227" s="76">
        <f t="shared" si="30"/>
        <v>0</v>
      </c>
      <c r="M227" s="246"/>
      <c r="N227" s="247"/>
      <c r="O227" s="248"/>
      <c r="P227" s="246"/>
      <c r="Q227" s="249"/>
      <c r="R227" s="250"/>
      <c r="S227" s="259"/>
      <c r="T227" s="260"/>
      <c r="U227" s="250"/>
      <c r="V227" s="78">
        <f t="shared" si="31"/>
        <v>0</v>
      </c>
      <c r="W227" s="261">
        <f t="shared" si="32"/>
        <v>0</v>
      </c>
      <c r="X227" s="133">
        <f t="shared" si="33"/>
        <v>0</v>
      </c>
      <c r="Y227" s="251"/>
      <c r="Z227" s="1736"/>
      <c r="AA227" s="1737"/>
      <c r="AB227" s="77">
        <f t="shared" si="34"/>
        <v>0</v>
      </c>
      <c r="AC227" s="134">
        <f t="shared" si="35"/>
        <v>0</v>
      </c>
      <c r="AD227" s="251"/>
      <c r="AE227" s="1736"/>
      <c r="AF227" s="1737"/>
      <c r="AG227" s="77">
        <f t="shared" si="36"/>
        <v>0</v>
      </c>
      <c r="AH227" s="136">
        <f t="shared" si="37"/>
        <v>0</v>
      </c>
      <c r="AI227" s="251"/>
      <c r="AJ227" s="1736"/>
      <c r="AK227" s="1737"/>
      <c r="AL227" s="79">
        <f t="shared" si="38"/>
        <v>0</v>
      </c>
      <c r="AM227" s="137">
        <f t="shared" si="39"/>
        <v>0</v>
      </c>
      <c r="AN227" s="251"/>
      <c r="AO227" s="1736"/>
      <c r="AP227" s="1737"/>
    </row>
    <row r="228" spans="1:42" s="85" customFormat="1" ht="13.5" thickBot="1">
      <c r="A228" s="240"/>
      <c r="B228" s="241"/>
      <c r="C228" s="242"/>
      <c r="D228" s="242"/>
      <c r="E228" s="243"/>
      <c r="F228" s="244"/>
      <c r="G228" s="244"/>
      <c r="H228" s="243"/>
      <c r="I228" s="258"/>
      <c r="J228" s="245"/>
      <c r="K228" s="245"/>
      <c r="L228" s="76">
        <f t="shared" si="30"/>
        <v>0</v>
      </c>
      <c r="M228" s="246"/>
      <c r="N228" s="247"/>
      <c r="O228" s="248"/>
      <c r="P228" s="246"/>
      <c r="Q228" s="249"/>
      <c r="R228" s="250"/>
      <c r="S228" s="259"/>
      <c r="T228" s="260"/>
      <c r="U228" s="250"/>
      <c r="V228" s="78">
        <f t="shared" si="31"/>
        <v>0</v>
      </c>
      <c r="W228" s="261">
        <f t="shared" si="32"/>
        <v>0</v>
      </c>
      <c r="X228" s="133">
        <f t="shared" si="33"/>
        <v>0</v>
      </c>
      <c r="Y228" s="251"/>
      <c r="Z228" s="1736"/>
      <c r="AA228" s="1737"/>
      <c r="AB228" s="77">
        <f t="shared" si="34"/>
        <v>0</v>
      </c>
      <c r="AC228" s="134">
        <f t="shared" si="35"/>
        <v>0</v>
      </c>
      <c r="AD228" s="251"/>
      <c r="AE228" s="1736"/>
      <c r="AF228" s="1737"/>
      <c r="AG228" s="77">
        <f t="shared" si="36"/>
        <v>0</v>
      </c>
      <c r="AH228" s="136">
        <f t="shared" si="37"/>
        <v>0</v>
      </c>
      <c r="AI228" s="251"/>
      <c r="AJ228" s="1736"/>
      <c r="AK228" s="1737"/>
      <c r="AL228" s="79">
        <f t="shared" si="38"/>
        <v>0</v>
      </c>
      <c r="AM228" s="137">
        <f t="shared" si="39"/>
        <v>0</v>
      </c>
      <c r="AN228" s="251"/>
      <c r="AO228" s="1736"/>
      <c r="AP228" s="1737"/>
    </row>
    <row r="229" spans="1:42" s="85" customFormat="1" ht="13.5" thickBot="1">
      <c r="A229" s="240"/>
      <c r="B229" s="241"/>
      <c r="C229" s="242"/>
      <c r="D229" s="242"/>
      <c r="E229" s="243"/>
      <c r="F229" s="244"/>
      <c r="G229" s="244"/>
      <c r="H229" s="243"/>
      <c r="I229" s="258"/>
      <c r="J229" s="245"/>
      <c r="K229" s="245"/>
      <c r="L229" s="76">
        <f t="shared" si="30"/>
        <v>0</v>
      </c>
      <c r="M229" s="246"/>
      <c r="N229" s="247"/>
      <c r="O229" s="248"/>
      <c r="P229" s="246"/>
      <c r="Q229" s="249"/>
      <c r="R229" s="250"/>
      <c r="S229" s="259"/>
      <c r="T229" s="260"/>
      <c r="U229" s="250"/>
      <c r="V229" s="78">
        <f t="shared" si="31"/>
        <v>0</v>
      </c>
      <c r="W229" s="261">
        <f t="shared" si="32"/>
        <v>0</v>
      </c>
      <c r="X229" s="133">
        <f t="shared" si="33"/>
        <v>0</v>
      </c>
      <c r="Y229" s="251"/>
      <c r="Z229" s="1736"/>
      <c r="AA229" s="1737"/>
      <c r="AB229" s="77">
        <f t="shared" si="34"/>
        <v>0</v>
      </c>
      <c r="AC229" s="134">
        <f t="shared" si="35"/>
        <v>0</v>
      </c>
      <c r="AD229" s="251"/>
      <c r="AE229" s="1736"/>
      <c r="AF229" s="1737"/>
      <c r="AG229" s="77">
        <f t="shared" si="36"/>
        <v>0</v>
      </c>
      <c r="AH229" s="136">
        <f t="shared" si="37"/>
        <v>0</v>
      </c>
      <c r="AI229" s="251"/>
      <c r="AJ229" s="1736"/>
      <c r="AK229" s="1737"/>
      <c r="AL229" s="79">
        <f t="shared" si="38"/>
        <v>0</v>
      </c>
      <c r="AM229" s="137">
        <f t="shared" si="39"/>
        <v>0</v>
      </c>
      <c r="AN229" s="251"/>
      <c r="AO229" s="1736"/>
      <c r="AP229" s="1737"/>
    </row>
    <row r="230" spans="1:42" s="85" customFormat="1" ht="13.5" thickBot="1">
      <c r="A230" s="240"/>
      <c r="B230" s="241"/>
      <c r="C230" s="242"/>
      <c r="D230" s="242"/>
      <c r="E230" s="243"/>
      <c r="F230" s="244"/>
      <c r="G230" s="244"/>
      <c r="H230" s="243"/>
      <c r="I230" s="258"/>
      <c r="J230" s="245"/>
      <c r="K230" s="245"/>
      <c r="L230" s="76">
        <f t="shared" si="30"/>
        <v>0</v>
      </c>
      <c r="M230" s="246"/>
      <c r="N230" s="247"/>
      <c r="O230" s="248"/>
      <c r="P230" s="246"/>
      <c r="Q230" s="249"/>
      <c r="R230" s="250"/>
      <c r="S230" s="259"/>
      <c r="T230" s="260"/>
      <c r="U230" s="250"/>
      <c r="V230" s="78">
        <f t="shared" si="31"/>
        <v>0</v>
      </c>
      <c r="W230" s="261">
        <f t="shared" si="32"/>
        <v>0</v>
      </c>
      <c r="X230" s="133">
        <f t="shared" si="33"/>
        <v>0</v>
      </c>
      <c r="Y230" s="251"/>
      <c r="Z230" s="1736"/>
      <c r="AA230" s="1737"/>
      <c r="AB230" s="77">
        <f t="shared" si="34"/>
        <v>0</v>
      </c>
      <c r="AC230" s="134">
        <f t="shared" si="35"/>
        <v>0</v>
      </c>
      <c r="AD230" s="251"/>
      <c r="AE230" s="1736"/>
      <c r="AF230" s="1737"/>
      <c r="AG230" s="77">
        <f t="shared" si="36"/>
        <v>0</v>
      </c>
      <c r="AH230" s="136">
        <f t="shared" si="37"/>
        <v>0</v>
      </c>
      <c r="AI230" s="251"/>
      <c r="AJ230" s="1736"/>
      <c r="AK230" s="1737"/>
      <c r="AL230" s="79">
        <f t="shared" si="38"/>
        <v>0</v>
      </c>
      <c r="AM230" s="137">
        <f t="shared" si="39"/>
        <v>0</v>
      </c>
      <c r="AN230" s="251"/>
      <c r="AO230" s="1736"/>
      <c r="AP230" s="1737"/>
    </row>
    <row r="231" spans="1:42" s="85" customFormat="1" ht="13.5" thickBot="1">
      <c r="A231" s="240"/>
      <c r="B231" s="241"/>
      <c r="C231" s="242"/>
      <c r="D231" s="242"/>
      <c r="E231" s="243"/>
      <c r="F231" s="244"/>
      <c r="G231" s="244"/>
      <c r="H231" s="243"/>
      <c r="I231" s="258"/>
      <c r="J231" s="245"/>
      <c r="K231" s="245"/>
      <c r="L231" s="76">
        <f t="shared" si="30"/>
        <v>0</v>
      </c>
      <c r="M231" s="246"/>
      <c r="N231" s="247"/>
      <c r="O231" s="248"/>
      <c r="P231" s="246"/>
      <c r="Q231" s="249"/>
      <c r="R231" s="250"/>
      <c r="S231" s="259"/>
      <c r="T231" s="260"/>
      <c r="U231" s="250"/>
      <c r="V231" s="78">
        <f t="shared" si="31"/>
        <v>0</v>
      </c>
      <c r="W231" s="261">
        <f t="shared" si="32"/>
        <v>0</v>
      </c>
      <c r="X231" s="133">
        <f t="shared" si="33"/>
        <v>0</v>
      </c>
      <c r="Y231" s="251"/>
      <c r="Z231" s="1736"/>
      <c r="AA231" s="1737"/>
      <c r="AB231" s="77">
        <f t="shared" si="34"/>
        <v>0</v>
      </c>
      <c r="AC231" s="134">
        <f t="shared" si="35"/>
        <v>0</v>
      </c>
      <c r="AD231" s="251"/>
      <c r="AE231" s="1736"/>
      <c r="AF231" s="1737"/>
      <c r="AG231" s="77">
        <f t="shared" si="36"/>
        <v>0</v>
      </c>
      <c r="AH231" s="136">
        <f t="shared" si="37"/>
        <v>0</v>
      </c>
      <c r="AI231" s="251"/>
      <c r="AJ231" s="1736"/>
      <c r="AK231" s="1737"/>
      <c r="AL231" s="79">
        <f t="shared" si="38"/>
        <v>0</v>
      </c>
      <c r="AM231" s="137">
        <f t="shared" si="39"/>
        <v>0</v>
      </c>
      <c r="AN231" s="251"/>
      <c r="AO231" s="1736"/>
      <c r="AP231" s="1737"/>
    </row>
    <row r="232" spans="1:42" s="85" customFormat="1" ht="13.5" thickBot="1">
      <c r="A232" s="240"/>
      <c r="B232" s="241"/>
      <c r="C232" s="242"/>
      <c r="D232" s="242"/>
      <c r="E232" s="243"/>
      <c r="F232" s="244"/>
      <c r="G232" s="244"/>
      <c r="H232" s="243"/>
      <c r="I232" s="258"/>
      <c r="J232" s="245"/>
      <c r="K232" s="245"/>
      <c r="L232" s="76">
        <f t="shared" si="30"/>
        <v>0</v>
      </c>
      <c r="M232" s="246"/>
      <c r="N232" s="247"/>
      <c r="O232" s="248"/>
      <c r="P232" s="246"/>
      <c r="Q232" s="249"/>
      <c r="R232" s="250"/>
      <c r="S232" s="259"/>
      <c r="T232" s="260"/>
      <c r="U232" s="250"/>
      <c r="V232" s="78">
        <f t="shared" si="31"/>
        <v>0</v>
      </c>
      <c r="W232" s="261">
        <f t="shared" si="32"/>
        <v>0</v>
      </c>
      <c r="X232" s="133">
        <f t="shared" si="33"/>
        <v>0</v>
      </c>
      <c r="Y232" s="251"/>
      <c r="Z232" s="1736"/>
      <c r="AA232" s="1737"/>
      <c r="AB232" s="77">
        <f t="shared" si="34"/>
        <v>0</v>
      </c>
      <c r="AC232" s="134">
        <f t="shared" si="35"/>
        <v>0</v>
      </c>
      <c r="AD232" s="251"/>
      <c r="AE232" s="1736"/>
      <c r="AF232" s="1737"/>
      <c r="AG232" s="77">
        <f t="shared" si="36"/>
        <v>0</v>
      </c>
      <c r="AH232" s="136">
        <f t="shared" si="37"/>
        <v>0</v>
      </c>
      <c r="AI232" s="251"/>
      <c r="AJ232" s="1736"/>
      <c r="AK232" s="1737"/>
      <c r="AL232" s="79">
        <f t="shared" si="38"/>
        <v>0</v>
      </c>
      <c r="AM232" s="137">
        <f t="shared" si="39"/>
        <v>0</v>
      </c>
      <c r="AN232" s="251"/>
      <c r="AO232" s="1736"/>
      <c r="AP232" s="1737"/>
    </row>
    <row r="233" spans="1:42" s="85" customFormat="1" ht="13.5" thickBot="1">
      <c r="A233" s="240"/>
      <c r="B233" s="241"/>
      <c r="C233" s="242"/>
      <c r="D233" s="242"/>
      <c r="E233" s="243"/>
      <c r="F233" s="244"/>
      <c r="G233" s="244"/>
      <c r="H233" s="243"/>
      <c r="I233" s="258"/>
      <c r="J233" s="245"/>
      <c r="K233" s="245"/>
      <c r="L233" s="76">
        <f t="shared" si="30"/>
        <v>0</v>
      </c>
      <c r="M233" s="246"/>
      <c r="N233" s="247"/>
      <c r="O233" s="248"/>
      <c r="P233" s="246"/>
      <c r="Q233" s="249"/>
      <c r="R233" s="250"/>
      <c r="S233" s="259"/>
      <c r="T233" s="260"/>
      <c r="U233" s="250"/>
      <c r="V233" s="78">
        <f t="shared" si="31"/>
        <v>0</v>
      </c>
      <c r="W233" s="261">
        <f t="shared" si="32"/>
        <v>0</v>
      </c>
      <c r="X233" s="133">
        <f t="shared" si="33"/>
        <v>0</v>
      </c>
      <c r="Y233" s="251"/>
      <c r="Z233" s="1736"/>
      <c r="AA233" s="1737"/>
      <c r="AB233" s="77">
        <f t="shared" si="34"/>
        <v>0</v>
      </c>
      <c r="AC233" s="134">
        <f t="shared" si="35"/>
        <v>0</v>
      </c>
      <c r="AD233" s="251"/>
      <c r="AE233" s="1736"/>
      <c r="AF233" s="1737"/>
      <c r="AG233" s="77">
        <f t="shared" si="36"/>
        <v>0</v>
      </c>
      <c r="AH233" s="136">
        <f t="shared" si="37"/>
        <v>0</v>
      </c>
      <c r="AI233" s="251"/>
      <c r="AJ233" s="1736"/>
      <c r="AK233" s="1737"/>
      <c r="AL233" s="79">
        <f t="shared" si="38"/>
        <v>0</v>
      </c>
      <c r="AM233" s="137">
        <f t="shared" si="39"/>
        <v>0</v>
      </c>
      <c r="AN233" s="251"/>
      <c r="AO233" s="1736"/>
      <c r="AP233" s="1737"/>
    </row>
    <row r="234" spans="1:42" s="85" customFormat="1" ht="13.5" thickBot="1">
      <c r="A234" s="240"/>
      <c r="B234" s="241"/>
      <c r="C234" s="242"/>
      <c r="D234" s="242"/>
      <c r="E234" s="243"/>
      <c r="F234" s="244"/>
      <c r="G234" s="244"/>
      <c r="H234" s="243"/>
      <c r="I234" s="258"/>
      <c r="J234" s="245"/>
      <c r="K234" s="245"/>
      <c r="L234" s="76">
        <f t="shared" si="30"/>
        <v>0</v>
      </c>
      <c r="M234" s="246"/>
      <c r="N234" s="247"/>
      <c r="O234" s="248"/>
      <c r="P234" s="246"/>
      <c r="Q234" s="249"/>
      <c r="R234" s="250"/>
      <c r="S234" s="259"/>
      <c r="T234" s="260"/>
      <c r="U234" s="250"/>
      <c r="V234" s="78">
        <f t="shared" si="31"/>
        <v>0</v>
      </c>
      <c r="W234" s="261">
        <f t="shared" si="32"/>
        <v>0</v>
      </c>
      <c r="X234" s="133">
        <f t="shared" si="33"/>
        <v>0</v>
      </c>
      <c r="Y234" s="251"/>
      <c r="Z234" s="1736"/>
      <c r="AA234" s="1737"/>
      <c r="AB234" s="77">
        <f t="shared" si="34"/>
        <v>0</v>
      </c>
      <c r="AC234" s="134">
        <f t="shared" si="35"/>
        <v>0</v>
      </c>
      <c r="AD234" s="251"/>
      <c r="AE234" s="1736"/>
      <c r="AF234" s="1737"/>
      <c r="AG234" s="77">
        <f t="shared" si="36"/>
        <v>0</v>
      </c>
      <c r="AH234" s="136">
        <f t="shared" si="37"/>
        <v>0</v>
      </c>
      <c r="AI234" s="251"/>
      <c r="AJ234" s="1736"/>
      <c r="AK234" s="1737"/>
      <c r="AL234" s="79">
        <f t="shared" si="38"/>
        <v>0</v>
      </c>
      <c r="AM234" s="137">
        <f t="shared" si="39"/>
        <v>0</v>
      </c>
      <c r="AN234" s="251"/>
      <c r="AO234" s="1736"/>
      <c r="AP234" s="1737"/>
    </row>
    <row r="235" spans="1:42" s="85" customFormat="1" ht="13.5" thickBot="1">
      <c r="A235" s="240"/>
      <c r="B235" s="241"/>
      <c r="C235" s="242"/>
      <c r="D235" s="242"/>
      <c r="E235" s="243"/>
      <c r="F235" s="244"/>
      <c r="G235" s="244"/>
      <c r="H235" s="243"/>
      <c r="I235" s="258"/>
      <c r="J235" s="245"/>
      <c r="K235" s="245"/>
      <c r="L235" s="76">
        <f t="shared" si="30"/>
        <v>0</v>
      </c>
      <c r="M235" s="246"/>
      <c r="N235" s="247"/>
      <c r="O235" s="248"/>
      <c r="P235" s="246"/>
      <c r="Q235" s="249"/>
      <c r="R235" s="250"/>
      <c r="S235" s="259"/>
      <c r="T235" s="260"/>
      <c r="U235" s="250"/>
      <c r="V235" s="78">
        <f t="shared" si="31"/>
        <v>0</v>
      </c>
      <c r="W235" s="261">
        <f t="shared" si="32"/>
        <v>0</v>
      </c>
      <c r="X235" s="133">
        <f t="shared" si="33"/>
        <v>0</v>
      </c>
      <c r="Y235" s="251"/>
      <c r="Z235" s="1736"/>
      <c r="AA235" s="1737"/>
      <c r="AB235" s="77">
        <f t="shared" si="34"/>
        <v>0</v>
      </c>
      <c r="AC235" s="134">
        <f t="shared" si="35"/>
        <v>0</v>
      </c>
      <c r="AD235" s="251"/>
      <c r="AE235" s="1736"/>
      <c r="AF235" s="1737"/>
      <c r="AG235" s="77">
        <f t="shared" si="36"/>
        <v>0</v>
      </c>
      <c r="AH235" s="136">
        <f t="shared" si="37"/>
        <v>0</v>
      </c>
      <c r="AI235" s="251"/>
      <c r="AJ235" s="1736"/>
      <c r="AK235" s="1737"/>
      <c r="AL235" s="79">
        <f t="shared" si="38"/>
        <v>0</v>
      </c>
      <c r="AM235" s="137">
        <f t="shared" si="39"/>
        <v>0</v>
      </c>
      <c r="AN235" s="251"/>
      <c r="AO235" s="1736"/>
      <c r="AP235" s="1737"/>
    </row>
    <row r="236" spans="1:42" s="85" customFormat="1" ht="13.5" thickBot="1">
      <c r="A236" s="240"/>
      <c r="B236" s="241"/>
      <c r="C236" s="242"/>
      <c r="D236" s="242"/>
      <c r="E236" s="243"/>
      <c r="F236" s="244"/>
      <c r="G236" s="244"/>
      <c r="H236" s="243"/>
      <c r="I236" s="258"/>
      <c r="J236" s="245"/>
      <c r="K236" s="245"/>
      <c r="L236" s="76">
        <f t="shared" si="30"/>
        <v>0</v>
      </c>
      <c r="M236" s="246"/>
      <c r="N236" s="247"/>
      <c r="O236" s="248"/>
      <c r="P236" s="246"/>
      <c r="Q236" s="249"/>
      <c r="R236" s="250"/>
      <c r="S236" s="259"/>
      <c r="T236" s="260"/>
      <c r="U236" s="250"/>
      <c r="V236" s="78">
        <f t="shared" si="31"/>
        <v>0</v>
      </c>
      <c r="W236" s="261">
        <f t="shared" si="32"/>
        <v>0</v>
      </c>
      <c r="X236" s="133">
        <f t="shared" si="33"/>
        <v>0</v>
      </c>
      <c r="Y236" s="251"/>
      <c r="Z236" s="1736"/>
      <c r="AA236" s="1737"/>
      <c r="AB236" s="77">
        <f t="shared" si="34"/>
        <v>0</v>
      </c>
      <c r="AC236" s="134">
        <f t="shared" si="35"/>
        <v>0</v>
      </c>
      <c r="AD236" s="251"/>
      <c r="AE236" s="1736"/>
      <c r="AF236" s="1737"/>
      <c r="AG236" s="77">
        <f t="shared" si="36"/>
        <v>0</v>
      </c>
      <c r="AH236" s="136">
        <f t="shared" si="37"/>
        <v>0</v>
      </c>
      <c r="AI236" s="251"/>
      <c r="AJ236" s="1736"/>
      <c r="AK236" s="1737"/>
      <c r="AL236" s="79">
        <f t="shared" si="38"/>
        <v>0</v>
      </c>
      <c r="AM236" s="137">
        <f t="shared" si="39"/>
        <v>0</v>
      </c>
      <c r="AN236" s="251"/>
      <c r="AO236" s="1736"/>
      <c r="AP236" s="1737"/>
    </row>
    <row r="237" spans="1:42" s="85" customFormat="1" ht="13.5" thickBot="1">
      <c r="A237" s="240"/>
      <c r="B237" s="241"/>
      <c r="C237" s="242"/>
      <c r="D237" s="242"/>
      <c r="E237" s="243"/>
      <c r="F237" s="244"/>
      <c r="G237" s="244"/>
      <c r="H237" s="243"/>
      <c r="I237" s="258"/>
      <c r="J237" s="245"/>
      <c r="K237" s="245"/>
      <c r="L237" s="76">
        <f t="shared" si="30"/>
        <v>0</v>
      </c>
      <c r="M237" s="246"/>
      <c r="N237" s="247"/>
      <c r="O237" s="248"/>
      <c r="P237" s="246"/>
      <c r="Q237" s="249"/>
      <c r="R237" s="250"/>
      <c r="S237" s="259"/>
      <c r="T237" s="260"/>
      <c r="U237" s="250"/>
      <c r="V237" s="78">
        <f t="shared" si="31"/>
        <v>0</v>
      </c>
      <c r="W237" s="261">
        <f t="shared" si="32"/>
        <v>0</v>
      </c>
      <c r="X237" s="133">
        <f t="shared" si="33"/>
        <v>0</v>
      </c>
      <c r="Y237" s="251"/>
      <c r="Z237" s="1736"/>
      <c r="AA237" s="1737"/>
      <c r="AB237" s="77">
        <f t="shared" si="34"/>
        <v>0</v>
      </c>
      <c r="AC237" s="134">
        <f t="shared" si="35"/>
        <v>0</v>
      </c>
      <c r="AD237" s="251"/>
      <c r="AE237" s="1736"/>
      <c r="AF237" s="1737"/>
      <c r="AG237" s="77">
        <f t="shared" si="36"/>
        <v>0</v>
      </c>
      <c r="AH237" s="136">
        <f t="shared" si="37"/>
        <v>0</v>
      </c>
      <c r="AI237" s="251"/>
      <c r="AJ237" s="1736"/>
      <c r="AK237" s="1737"/>
      <c r="AL237" s="79">
        <f t="shared" si="38"/>
        <v>0</v>
      </c>
      <c r="AM237" s="137">
        <f t="shared" si="39"/>
        <v>0</v>
      </c>
      <c r="AN237" s="251"/>
      <c r="AO237" s="1736"/>
      <c r="AP237" s="1737"/>
    </row>
    <row r="238" spans="1:42" s="85" customFormat="1" ht="13.5" thickBot="1">
      <c r="A238" s="240"/>
      <c r="B238" s="241"/>
      <c r="C238" s="242"/>
      <c r="D238" s="242"/>
      <c r="E238" s="243"/>
      <c r="F238" s="244"/>
      <c r="G238" s="244"/>
      <c r="H238" s="243"/>
      <c r="I238" s="258"/>
      <c r="J238" s="245"/>
      <c r="K238" s="245"/>
      <c r="L238" s="76">
        <f t="shared" si="30"/>
        <v>0</v>
      </c>
      <c r="M238" s="246"/>
      <c r="N238" s="247"/>
      <c r="O238" s="248"/>
      <c r="P238" s="246"/>
      <c r="Q238" s="249"/>
      <c r="R238" s="250"/>
      <c r="S238" s="259"/>
      <c r="T238" s="260"/>
      <c r="U238" s="250"/>
      <c r="V238" s="78">
        <f t="shared" si="31"/>
        <v>0</v>
      </c>
      <c r="W238" s="261">
        <f t="shared" si="32"/>
        <v>0</v>
      </c>
      <c r="X238" s="133">
        <f t="shared" si="33"/>
        <v>0</v>
      </c>
      <c r="Y238" s="251"/>
      <c r="Z238" s="1736"/>
      <c r="AA238" s="1737"/>
      <c r="AB238" s="77">
        <f t="shared" si="34"/>
        <v>0</v>
      </c>
      <c r="AC238" s="134">
        <f t="shared" si="35"/>
        <v>0</v>
      </c>
      <c r="AD238" s="251"/>
      <c r="AE238" s="1736"/>
      <c r="AF238" s="1737"/>
      <c r="AG238" s="77">
        <f t="shared" si="36"/>
        <v>0</v>
      </c>
      <c r="AH238" s="136">
        <f t="shared" si="37"/>
        <v>0</v>
      </c>
      <c r="AI238" s="251"/>
      <c r="AJ238" s="1736"/>
      <c r="AK238" s="1737"/>
      <c r="AL238" s="79">
        <f t="shared" si="38"/>
        <v>0</v>
      </c>
      <c r="AM238" s="137">
        <f t="shared" si="39"/>
        <v>0</v>
      </c>
      <c r="AN238" s="251"/>
      <c r="AO238" s="1736"/>
      <c r="AP238" s="1737"/>
    </row>
    <row r="239" spans="1:42" s="85" customFormat="1" ht="13.5" thickBot="1">
      <c r="A239" s="240"/>
      <c r="B239" s="241"/>
      <c r="C239" s="242"/>
      <c r="D239" s="242"/>
      <c r="E239" s="243"/>
      <c r="F239" s="244"/>
      <c r="G239" s="244"/>
      <c r="H239" s="243"/>
      <c r="I239" s="258"/>
      <c r="J239" s="245"/>
      <c r="K239" s="245"/>
      <c r="L239" s="76">
        <f t="shared" si="30"/>
        <v>0</v>
      </c>
      <c r="M239" s="246"/>
      <c r="N239" s="247"/>
      <c r="O239" s="248"/>
      <c r="P239" s="246"/>
      <c r="Q239" s="249"/>
      <c r="R239" s="250"/>
      <c r="S239" s="259"/>
      <c r="T239" s="260"/>
      <c r="U239" s="250"/>
      <c r="V239" s="78">
        <f t="shared" si="31"/>
        <v>0</v>
      </c>
      <c r="W239" s="261">
        <f t="shared" si="32"/>
        <v>0</v>
      </c>
      <c r="X239" s="133">
        <f t="shared" si="33"/>
        <v>0</v>
      </c>
      <c r="Y239" s="251"/>
      <c r="Z239" s="1736"/>
      <c r="AA239" s="1737"/>
      <c r="AB239" s="77">
        <f t="shared" si="34"/>
        <v>0</v>
      </c>
      <c r="AC239" s="134">
        <f t="shared" si="35"/>
        <v>0</v>
      </c>
      <c r="AD239" s="251"/>
      <c r="AE239" s="1736"/>
      <c r="AF239" s="1737"/>
      <c r="AG239" s="77">
        <f t="shared" si="36"/>
        <v>0</v>
      </c>
      <c r="AH239" s="136">
        <f t="shared" si="37"/>
        <v>0</v>
      </c>
      <c r="AI239" s="251"/>
      <c r="AJ239" s="1736"/>
      <c r="AK239" s="1737"/>
      <c r="AL239" s="79">
        <f t="shared" si="38"/>
        <v>0</v>
      </c>
      <c r="AM239" s="137">
        <f t="shared" si="39"/>
        <v>0</v>
      </c>
      <c r="AN239" s="251"/>
      <c r="AO239" s="1736"/>
      <c r="AP239" s="1737"/>
    </row>
    <row r="240" spans="1:42" s="85" customFormat="1" ht="13.5" thickBot="1">
      <c r="A240" s="240"/>
      <c r="B240" s="241"/>
      <c r="C240" s="242"/>
      <c r="D240" s="242"/>
      <c r="E240" s="243"/>
      <c r="F240" s="244"/>
      <c r="G240" s="244"/>
      <c r="H240" s="243"/>
      <c r="I240" s="258"/>
      <c r="J240" s="245"/>
      <c r="K240" s="245"/>
      <c r="L240" s="76">
        <f t="shared" si="30"/>
        <v>0</v>
      </c>
      <c r="M240" s="246"/>
      <c r="N240" s="247"/>
      <c r="O240" s="248"/>
      <c r="P240" s="246"/>
      <c r="Q240" s="249"/>
      <c r="R240" s="250"/>
      <c r="S240" s="259"/>
      <c r="T240" s="260"/>
      <c r="U240" s="250"/>
      <c r="V240" s="78">
        <f t="shared" si="31"/>
        <v>0</v>
      </c>
      <c r="W240" s="261">
        <f t="shared" si="32"/>
        <v>0</v>
      </c>
      <c r="X240" s="133">
        <f t="shared" si="33"/>
        <v>0</v>
      </c>
      <c r="Y240" s="251"/>
      <c r="Z240" s="1736"/>
      <c r="AA240" s="1737"/>
      <c r="AB240" s="77">
        <f t="shared" si="34"/>
        <v>0</v>
      </c>
      <c r="AC240" s="134">
        <f t="shared" si="35"/>
        <v>0</v>
      </c>
      <c r="AD240" s="251"/>
      <c r="AE240" s="1736"/>
      <c r="AF240" s="1737"/>
      <c r="AG240" s="77">
        <f t="shared" si="36"/>
        <v>0</v>
      </c>
      <c r="AH240" s="136">
        <f t="shared" si="37"/>
        <v>0</v>
      </c>
      <c r="AI240" s="251"/>
      <c r="AJ240" s="1736"/>
      <c r="AK240" s="1737"/>
      <c r="AL240" s="79">
        <f t="shared" si="38"/>
        <v>0</v>
      </c>
      <c r="AM240" s="137">
        <f t="shared" si="39"/>
        <v>0</v>
      </c>
      <c r="AN240" s="251"/>
      <c r="AO240" s="1736"/>
      <c r="AP240" s="1737"/>
    </row>
    <row r="241" spans="1:42" s="85" customFormat="1" ht="13.5" thickBot="1">
      <c r="A241" s="240"/>
      <c r="B241" s="241"/>
      <c r="C241" s="242"/>
      <c r="D241" s="242"/>
      <c r="E241" s="243"/>
      <c r="F241" s="244"/>
      <c r="G241" s="244"/>
      <c r="H241" s="243"/>
      <c r="I241" s="258"/>
      <c r="J241" s="245"/>
      <c r="K241" s="245"/>
      <c r="L241" s="76">
        <f t="shared" si="30"/>
        <v>0</v>
      </c>
      <c r="M241" s="246"/>
      <c r="N241" s="247"/>
      <c r="O241" s="248"/>
      <c r="P241" s="246"/>
      <c r="Q241" s="249"/>
      <c r="R241" s="250"/>
      <c r="S241" s="259"/>
      <c r="T241" s="260"/>
      <c r="U241" s="250"/>
      <c r="V241" s="78">
        <f t="shared" si="31"/>
        <v>0</v>
      </c>
      <c r="W241" s="261">
        <f t="shared" si="32"/>
        <v>0</v>
      </c>
      <c r="X241" s="133">
        <f t="shared" si="33"/>
        <v>0</v>
      </c>
      <c r="Y241" s="251"/>
      <c r="Z241" s="1736"/>
      <c r="AA241" s="1737"/>
      <c r="AB241" s="77">
        <f t="shared" si="34"/>
        <v>0</v>
      </c>
      <c r="AC241" s="134">
        <f t="shared" si="35"/>
        <v>0</v>
      </c>
      <c r="AD241" s="251"/>
      <c r="AE241" s="1736"/>
      <c r="AF241" s="1737"/>
      <c r="AG241" s="77">
        <f t="shared" si="36"/>
        <v>0</v>
      </c>
      <c r="AH241" s="136">
        <f t="shared" si="37"/>
        <v>0</v>
      </c>
      <c r="AI241" s="251"/>
      <c r="AJ241" s="1736"/>
      <c r="AK241" s="1737"/>
      <c r="AL241" s="79">
        <f t="shared" si="38"/>
        <v>0</v>
      </c>
      <c r="AM241" s="137">
        <f t="shared" si="39"/>
        <v>0</v>
      </c>
      <c r="AN241" s="251"/>
      <c r="AO241" s="1736"/>
      <c r="AP241" s="1737"/>
    </row>
    <row r="242" spans="1:42" s="85" customFormat="1" ht="13.5" thickBot="1">
      <c r="A242" s="240"/>
      <c r="B242" s="241"/>
      <c r="C242" s="242"/>
      <c r="D242" s="242"/>
      <c r="E242" s="243"/>
      <c r="F242" s="244"/>
      <c r="G242" s="244"/>
      <c r="H242" s="243"/>
      <c r="I242" s="258"/>
      <c r="J242" s="245"/>
      <c r="K242" s="245"/>
      <c r="L242" s="76">
        <f t="shared" si="30"/>
        <v>0</v>
      </c>
      <c r="M242" s="246"/>
      <c r="N242" s="247"/>
      <c r="O242" s="248"/>
      <c r="P242" s="246"/>
      <c r="Q242" s="249"/>
      <c r="R242" s="250"/>
      <c r="S242" s="259"/>
      <c r="T242" s="260"/>
      <c r="U242" s="250"/>
      <c r="V242" s="78">
        <f t="shared" si="31"/>
        <v>0</v>
      </c>
      <c r="W242" s="261">
        <f t="shared" si="32"/>
        <v>0</v>
      </c>
      <c r="X242" s="133">
        <f t="shared" si="33"/>
        <v>0</v>
      </c>
      <c r="Y242" s="251"/>
      <c r="Z242" s="1736"/>
      <c r="AA242" s="1737"/>
      <c r="AB242" s="77">
        <f t="shared" si="34"/>
        <v>0</v>
      </c>
      <c r="AC242" s="134">
        <f t="shared" si="35"/>
        <v>0</v>
      </c>
      <c r="AD242" s="251"/>
      <c r="AE242" s="1736"/>
      <c r="AF242" s="1737"/>
      <c r="AG242" s="77">
        <f t="shared" si="36"/>
        <v>0</v>
      </c>
      <c r="AH242" s="136">
        <f t="shared" si="37"/>
        <v>0</v>
      </c>
      <c r="AI242" s="251"/>
      <c r="AJ242" s="1736"/>
      <c r="AK242" s="1737"/>
      <c r="AL242" s="79">
        <f t="shared" si="38"/>
        <v>0</v>
      </c>
      <c r="AM242" s="137">
        <f t="shared" si="39"/>
        <v>0</v>
      </c>
      <c r="AN242" s="251"/>
      <c r="AO242" s="1736"/>
      <c r="AP242" s="1737"/>
    </row>
    <row r="243" spans="1:42" s="85" customFormat="1" ht="13.5" thickBot="1">
      <c r="A243" s="240"/>
      <c r="B243" s="241"/>
      <c r="C243" s="242"/>
      <c r="D243" s="242"/>
      <c r="E243" s="243"/>
      <c r="F243" s="244"/>
      <c r="G243" s="244"/>
      <c r="H243" s="243"/>
      <c r="I243" s="258"/>
      <c r="J243" s="245"/>
      <c r="K243" s="245"/>
      <c r="L243" s="76">
        <f t="shared" si="30"/>
        <v>0</v>
      </c>
      <c r="M243" s="246"/>
      <c r="N243" s="247"/>
      <c r="O243" s="248"/>
      <c r="P243" s="246"/>
      <c r="Q243" s="249"/>
      <c r="R243" s="250"/>
      <c r="S243" s="259"/>
      <c r="T243" s="260"/>
      <c r="U243" s="250"/>
      <c r="V243" s="78">
        <f t="shared" si="31"/>
        <v>0</v>
      </c>
      <c r="W243" s="261">
        <f t="shared" si="32"/>
        <v>0</v>
      </c>
      <c r="X243" s="133">
        <f t="shared" si="33"/>
        <v>0</v>
      </c>
      <c r="Y243" s="251"/>
      <c r="Z243" s="1736"/>
      <c r="AA243" s="1737"/>
      <c r="AB243" s="77">
        <f t="shared" si="34"/>
        <v>0</v>
      </c>
      <c r="AC243" s="134">
        <f t="shared" si="35"/>
        <v>0</v>
      </c>
      <c r="AD243" s="251"/>
      <c r="AE243" s="1736"/>
      <c r="AF243" s="1737"/>
      <c r="AG243" s="77">
        <f t="shared" si="36"/>
        <v>0</v>
      </c>
      <c r="AH243" s="136">
        <f t="shared" si="37"/>
        <v>0</v>
      </c>
      <c r="AI243" s="251"/>
      <c r="AJ243" s="1736"/>
      <c r="AK243" s="1737"/>
      <c r="AL243" s="79">
        <f t="shared" si="38"/>
        <v>0</v>
      </c>
      <c r="AM243" s="137">
        <f t="shared" si="39"/>
        <v>0</v>
      </c>
      <c r="AN243" s="251"/>
      <c r="AO243" s="1736"/>
      <c r="AP243" s="1737"/>
    </row>
    <row r="244" spans="1:42" s="85" customFormat="1" ht="13.5" thickBot="1">
      <c r="A244" s="240"/>
      <c r="B244" s="241"/>
      <c r="C244" s="242"/>
      <c r="D244" s="242"/>
      <c r="E244" s="243"/>
      <c r="F244" s="244"/>
      <c r="G244" s="244"/>
      <c r="H244" s="243"/>
      <c r="I244" s="258"/>
      <c r="J244" s="245"/>
      <c r="K244" s="245"/>
      <c r="L244" s="76">
        <f t="shared" si="30"/>
        <v>0</v>
      </c>
      <c r="M244" s="246"/>
      <c r="N244" s="247"/>
      <c r="O244" s="248"/>
      <c r="P244" s="246"/>
      <c r="Q244" s="249"/>
      <c r="R244" s="250"/>
      <c r="S244" s="259"/>
      <c r="T244" s="260"/>
      <c r="U244" s="250"/>
      <c r="V244" s="78">
        <f t="shared" si="31"/>
        <v>0</v>
      </c>
      <c r="W244" s="261">
        <f t="shared" si="32"/>
        <v>0</v>
      </c>
      <c r="X244" s="133">
        <f t="shared" si="33"/>
        <v>0</v>
      </c>
      <c r="Y244" s="251"/>
      <c r="Z244" s="1736"/>
      <c r="AA244" s="1737"/>
      <c r="AB244" s="77">
        <f t="shared" si="34"/>
        <v>0</v>
      </c>
      <c r="AC244" s="134">
        <f t="shared" si="35"/>
        <v>0</v>
      </c>
      <c r="AD244" s="251"/>
      <c r="AE244" s="1736"/>
      <c r="AF244" s="1737"/>
      <c r="AG244" s="77">
        <f t="shared" si="36"/>
        <v>0</v>
      </c>
      <c r="AH244" s="136">
        <f t="shared" si="37"/>
        <v>0</v>
      </c>
      <c r="AI244" s="251"/>
      <c r="AJ244" s="1736"/>
      <c r="AK244" s="1737"/>
      <c r="AL244" s="79">
        <f t="shared" si="38"/>
        <v>0</v>
      </c>
      <c r="AM244" s="137">
        <f t="shared" si="39"/>
        <v>0</v>
      </c>
      <c r="AN244" s="251"/>
      <c r="AO244" s="1736"/>
      <c r="AP244" s="1737"/>
    </row>
    <row r="245" spans="1:42" s="85" customFormat="1" ht="13.5" thickBot="1">
      <c r="A245" s="240"/>
      <c r="B245" s="241"/>
      <c r="C245" s="242"/>
      <c r="D245" s="242"/>
      <c r="E245" s="243"/>
      <c r="F245" s="244"/>
      <c r="G245" s="244"/>
      <c r="H245" s="243"/>
      <c r="I245" s="258"/>
      <c r="J245" s="245"/>
      <c r="K245" s="245"/>
      <c r="L245" s="76">
        <f t="shared" si="30"/>
        <v>0</v>
      </c>
      <c r="M245" s="246"/>
      <c r="N245" s="247"/>
      <c r="O245" s="248"/>
      <c r="P245" s="246"/>
      <c r="Q245" s="249"/>
      <c r="R245" s="250"/>
      <c r="S245" s="259"/>
      <c r="T245" s="260"/>
      <c r="U245" s="250"/>
      <c r="V245" s="78">
        <f t="shared" si="31"/>
        <v>0</v>
      </c>
      <c r="W245" s="261">
        <f t="shared" si="32"/>
        <v>0</v>
      </c>
      <c r="X245" s="133">
        <f t="shared" si="33"/>
        <v>0</v>
      </c>
      <c r="Y245" s="251"/>
      <c r="Z245" s="1736"/>
      <c r="AA245" s="1737"/>
      <c r="AB245" s="77">
        <f t="shared" si="34"/>
        <v>0</v>
      </c>
      <c r="AC245" s="134">
        <f t="shared" si="35"/>
        <v>0</v>
      </c>
      <c r="AD245" s="251"/>
      <c r="AE245" s="1736"/>
      <c r="AF245" s="1737"/>
      <c r="AG245" s="77">
        <f t="shared" si="36"/>
        <v>0</v>
      </c>
      <c r="AH245" s="136">
        <f t="shared" si="37"/>
        <v>0</v>
      </c>
      <c r="AI245" s="251"/>
      <c r="AJ245" s="1736"/>
      <c r="AK245" s="1737"/>
      <c r="AL245" s="79">
        <f t="shared" si="38"/>
        <v>0</v>
      </c>
      <c r="AM245" s="137">
        <f t="shared" si="39"/>
        <v>0</v>
      </c>
      <c r="AN245" s="251"/>
      <c r="AO245" s="1736"/>
      <c r="AP245" s="1737"/>
    </row>
    <row r="246" spans="1:42" s="85" customFormat="1" ht="13.5" thickBot="1">
      <c r="A246" s="240"/>
      <c r="B246" s="241"/>
      <c r="C246" s="242"/>
      <c r="D246" s="242"/>
      <c r="E246" s="243"/>
      <c r="F246" s="244"/>
      <c r="G246" s="244"/>
      <c r="H246" s="243"/>
      <c r="I246" s="258"/>
      <c r="J246" s="245"/>
      <c r="K246" s="245"/>
      <c r="L246" s="76">
        <f t="shared" si="30"/>
        <v>0</v>
      </c>
      <c r="M246" s="246"/>
      <c r="N246" s="247"/>
      <c r="O246" s="248"/>
      <c r="P246" s="246"/>
      <c r="Q246" s="249"/>
      <c r="R246" s="250"/>
      <c r="S246" s="259"/>
      <c r="T246" s="260"/>
      <c r="U246" s="250"/>
      <c r="V246" s="78">
        <f t="shared" si="31"/>
        <v>0</v>
      </c>
      <c r="W246" s="261">
        <f t="shared" si="32"/>
        <v>0</v>
      </c>
      <c r="X246" s="133">
        <f t="shared" si="33"/>
        <v>0</v>
      </c>
      <c r="Y246" s="251"/>
      <c r="Z246" s="1736"/>
      <c r="AA246" s="1737"/>
      <c r="AB246" s="77">
        <f t="shared" si="34"/>
        <v>0</v>
      </c>
      <c r="AC246" s="134">
        <f t="shared" si="35"/>
        <v>0</v>
      </c>
      <c r="AD246" s="251"/>
      <c r="AE246" s="1736"/>
      <c r="AF246" s="1737"/>
      <c r="AG246" s="77">
        <f t="shared" si="36"/>
        <v>0</v>
      </c>
      <c r="AH246" s="136">
        <f t="shared" si="37"/>
        <v>0</v>
      </c>
      <c r="AI246" s="251"/>
      <c r="AJ246" s="1736"/>
      <c r="AK246" s="1737"/>
      <c r="AL246" s="79">
        <f t="shared" si="38"/>
        <v>0</v>
      </c>
      <c r="AM246" s="137">
        <f t="shared" si="39"/>
        <v>0</v>
      </c>
      <c r="AN246" s="251"/>
      <c r="AO246" s="1736"/>
      <c r="AP246" s="1737"/>
    </row>
    <row r="247" spans="1:42" s="85" customFormat="1" ht="13.5" thickBot="1">
      <c r="A247" s="240"/>
      <c r="B247" s="241"/>
      <c r="C247" s="242"/>
      <c r="D247" s="242"/>
      <c r="E247" s="243"/>
      <c r="F247" s="244"/>
      <c r="G247" s="244"/>
      <c r="H247" s="243"/>
      <c r="I247" s="258"/>
      <c r="J247" s="245"/>
      <c r="K247" s="245"/>
      <c r="L247" s="76">
        <f t="shared" si="30"/>
        <v>0</v>
      </c>
      <c r="M247" s="246"/>
      <c r="N247" s="247"/>
      <c r="O247" s="248"/>
      <c r="P247" s="246"/>
      <c r="Q247" s="249"/>
      <c r="R247" s="250"/>
      <c r="S247" s="259"/>
      <c r="T247" s="260"/>
      <c r="U247" s="250"/>
      <c r="V247" s="78">
        <f t="shared" si="31"/>
        <v>0</v>
      </c>
      <c r="W247" s="261">
        <f t="shared" si="32"/>
        <v>0</v>
      </c>
      <c r="X247" s="133">
        <f t="shared" si="33"/>
        <v>0</v>
      </c>
      <c r="Y247" s="251"/>
      <c r="Z247" s="1736"/>
      <c r="AA247" s="1737"/>
      <c r="AB247" s="77">
        <f t="shared" si="34"/>
        <v>0</v>
      </c>
      <c r="AC247" s="134">
        <f t="shared" si="35"/>
        <v>0</v>
      </c>
      <c r="AD247" s="251"/>
      <c r="AE247" s="1736"/>
      <c r="AF247" s="1737"/>
      <c r="AG247" s="77">
        <f t="shared" si="36"/>
        <v>0</v>
      </c>
      <c r="AH247" s="136">
        <f t="shared" si="37"/>
        <v>0</v>
      </c>
      <c r="AI247" s="251"/>
      <c r="AJ247" s="1736"/>
      <c r="AK247" s="1737"/>
      <c r="AL247" s="79">
        <f t="shared" si="38"/>
        <v>0</v>
      </c>
      <c r="AM247" s="137">
        <f t="shared" si="39"/>
        <v>0</v>
      </c>
      <c r="AN247" s="251"/>
      <c r="AO247" s="1736"/>
      <c r="AP247" s="1737"/>
    </row>
    <row r="248" spans="1:42" s="85" customFormat="1" ht="13.5" thickBot="1">
      <c r="A248" s="240"/>
      <c r="B248" s="241"/>
      <c r="C248" s="242"/>
      <c r="D248" s="242"/>
      <c r="E248" s="243"/>
      <c r="F248" s="244"/>
      <c r="G248" s="244"/>
      <c r="H248" s="243"/>
      <c r="I248" s="258"/>
      <c r="J248" s="245"/>
      <c r="K248" s="245"/>
      <c r="L248" s="76">
        <f t="shared" si="30"/>
        <v>0</v>
      </c>
      <c r="M248" s="246"/>
      <c r="N248" s="247"/>
      <c r="O248" s="248"/>
      <c r="P248" s="246"/>
      <c r="Q248" s="249"/>
      <c r="R248" s="250"/>
      <c r="S248" s="259"/>
      <c r="T248" s="260"/>
      <c r="U248" s="250"/>
      <c r="V248" s="78">
        <f t="shared" si="31"/>
        <v>0</v>
      </c>
      <c r="W248" s="261">
        <f t="shared" si="32"/>
        <v>0</v>
      </c>
      <c r="X248" s="133">
        <f t="shared" si="33"/>
        <v>0</v>
      </c>
      <c r="Y248" s="251"/>
      <c r="Z248" s="1736"/>
      <c r="AA248" s="1737"/>
      <c r="AB248" s="77">
        <f t="shared" si="34"/>
        <v>0</v>
      </c>
      <c r="AC248" s="134">
        <f t="shared" si="35"/>
        <v>0</v>
      </c>
      <c r="AD248" s="251"/>
      <c r="AE248" s="1736"/>
      <c r="AF248" s="1737"/>
      <c r="AG248" s="77">
        <f t="shared" si="36"/>
        <v>0</v>
      </c>
      <c r="AH248" s="136">
        <f t="shared" si="37"/>
        <v>0</v>
      </c>
      <c r="AI248" s="251"/>
      <c r="AJ248" s="1736"/>
      <c r="AK248" s="1737"/>
      <c r="AL248" s="79">
        <f t="shared" si="38"/>
        <v>0</v>
      </c>
      <c r="AM248" s="137">
        <f t="shared" si="39"/>
        <v>0</v>
      </c>
      <c r="AN248" s="251"/>
      <c r="AO248" s="1736"/>
      <c r="AP248" s="1737"/>
    </row>
    <row r="249" spans="1:42" s="85" customFormat="1" ht="13.5" thickBot="1">
      <c r="A249" s="240"/>
      <c r="B249" s="241"/>
      <c r="C249" s="242"/>
      <c r="D249" s="242"/>
      <c r="E249" s="243"/>
      <c r="F249" s="244"/>
      <c r="G249" s="244"/>
      <c r="H249" s="243"/>
      <c r="I249" s="258"/>
      <c r="J249" s="245"/>
      <c r="K249" s="245"/>
      <c r="L249" s="76">
        <f t="shared" si="30"/>
        <v>0</v>
      </c>
      <c r="M249" s="246"/>
      <c r="N249" s="247"/>
      <c r="O249" s="248"/>
      <c r="P249" s="246"/>
      <c r="Q249" s="249"/>
      <c r="R249" s="250"/>
      <c r="S249" s="259"/>
      <c r="T249" s="260"/>
      <c r="U249" s="250"/>
      <c r="V249" s="78">
        <f t="shared" si="31"/>
        <v>0</v>
      </c>
      <c r="W249" s="261">
        <f t="shared" si="32"/>
        <v>0</v>
      </c>
      <c r="X249" s="133">
        <f t="shared" si="33"/>
        <v>0</v>
      </c>
      <c r="Y249" s="251"/>
      <c r="Z249" s="1736"/>
      <c r="AA249" s="1737"/>
      <c r="AB249" s="77">
        <f t="shared" si="34"/>
        <v>0</v>
      </c>
      <c r="AC249" s="134">
        <f t="shared" si="35"/>
        <v>0</v>
      </c>
      <c r="AD249" s="251"/>
      <c r="AE249" s="1736"/>
      <c r="AF249" s="1737"/>
      <c r="AG249" s="77">
        <f t="shared" si="36"/>
        <v>0</v>
      </c>
      <c r="AH249" s="136">
        <f t="shared" si="37"/>
        <v>0</v>
      </c>
      <c r="AI249" s="251"/>
      <c r="AJ249" s="1736"/>
      <c r="AK249" s="1737"/>
      <c r="AL249" s="79">
        <f t="shared" si="38"/>
        <v>0</v>
      </c>
      <c r="AM249" s="137">
        <f t="shared" si="39"/>
        <v>0</v>
      </c>
      <c r="AN249" s="251"/>
      <c r="AO249" s="1736"/>
      <c r="AP249" s="1737"/>
    </row>
    <row r="250" spans="1:42" s="85" customFormat="1" ht="13.5" thickBot="1">
      <c r="A250" s="240"/>
      <c r="B250" s="241"/>
      <c r="C250" s="242"/>
      <c r="D250" s="242"/>
      <c r="E250" s="243"/>
      <c r="F250" s="244"/>
      <c r="G250" s="244"/>
      <c r="H250" s="243"/>
      <c r="I250" s="258"/>
      <c r="J250" s="245"/>
      <c r="K250" s="245"/>
      <c r="L250" s="76">
        <f t="shared" si="30"/>
        <v>0</v>
      </c>
      <c r="M250" s="246"/>
      <c r="N250" s="247"/>
      <c r="O250" s="248"/>
      <c r="P250" s="246"/>
      <c r="Q250" s="249"/>
      <c r="R250" s="250"/>
      <c r="S250" s="259"/>
      <c r="T250" s="260"/>
      <c r="U250" s="250"/>
      <c r="V250" s="78">
        <f t="shared" si="31"/>
        <v>0</v>
      </c>
      <c r="W250" s="261">
        <f t="shared" si="32"/>
        <v>0</v>
      </c>
      <c r="X250" s="133">
        <f t="shared" si="33"/>
        <v>0</v>
      </c>
      <c r="Y250" s="251"/>
      <c r="Z250" s="1736"/>
      <c r="AA250" s="1737"/>
      <c r="AB250" s="77">
        <f t="shared" si="34"/>
        <v>0</v>
      </c>
      <c r="AC250" s="134">
        <f t="shared" si="35"/>
        <v>0</v>
      </c>
      <c r="AD250" s="251"/>
      <c r="AE250" s="1736"/>
      <c r="AF250" s="1737"/>
      <c r="AG250" s="77">
        <f t="shared" si="36"/>
        <v>0</v>
      </c>
      <c r="AH250" s="136">
        <f t="shared" si="37"/>
        <v>0</v>
      </c>
      <c r="AI250" s="251"/>
      <c r="AJ250" s="1736"/>
      <c r="AK250" s="1737"/>
      <c r="AL250" s="79">
        <f t="shared" si="38"/>
        <v>0</v>
      </c>
      <c r="AM250" s="137">
        <f t="shared" si="39"/>
        <v>0</v>
      </c>
      <c r="AN250" s="251"/>
      <c r="AO250" s="1736"/>
      <c r="AP250" s="1737"/>
    </row>
    <row r="251" spans="1:42" s="85" customFormat="1" ht="13.5" thickBot="1">
      <c r="A251" s="240"/>
      <c r="B251" s="241"/>
      <c r="C251" s="242"/>
      <c r="D251" s="242"/>
      <c r="E251" s="243"/>
      <c r="F251" s="244"/>
      <c r="G251" s="244"/>
      <c r="H251" s="243"/>
      <c r="I251" s="258"/>
      <c r="J251" s="245"/>
      <c r="K251" s="245"/>
      <c r="L251" s="76">
        <f t="shared" si="30"/>
        <v>0</v>
      </c>
      <c r="M251" s="246"/>
      <c r="N251" s="247"/>
      <c r="O251" s="248"/>
      <c r="P251" s="246"/>
      <c r="Q251" s="249"/>
      <c r="R251" s="250"/>
      <c r="S251" s="259"/>
      <c r="T251" s="260"/>
      <c r="U251" s="250"/>
      <c r="V251" s="78">
        <f t="shared" si="31"/>
        <v>0</v>
      </c>
      <c r="W251" s="261">
        <f t="shared" si="32"/>
        <v>0</v>
      </c>
      <c r="X251" s="133">
        <f t="shared" si="33"/>
        <v>0</v>
      </c>
      <c r="Y251" s="251"/>
      <c r="Z251" s="1736"/>
      <c r="AA251" s="1737"/>
      <c r="AB251" s="77">
        <f t="shared" si="34"/>
        <v>0</v>
      </c>
      <c r="AC251" s="134">
        <f t="shared" si="35"/>
        <v>0</v>
      </c>
      <c r="AD251" s="251"/>
      <c r="AE251" s="1736"/>
      <c r="AF251" s="1737"/>
      <c r="AG251" s="77">
        <f t="shared" si="36"/>
        <v>0</v>
      </c>
      <c r="AH251" s="136">
        <f t="shared" si="37"/>
        <v>0</v>
      </c>
      <c r="AI251" s="251"/>
      <c r="AJ251" s="1736"/>
      <c r="AK251" s="1737"/>
      <c r="AL251" s="79">
        <f t="shared" si="38"/>
        <v>0</v>
      </c>
      <c r="AM251" s="137">
        <f t="shared" si="39"/>
        <v>0</v>
      </c>
      <c r="AN251" s="251"/>
      <c r="AO251" s="1736"/>
      <c r="AP251" s="1737"/>
    </row>
    <row r="252" spans="1:42" s="85" customFormat="1" ht="13.5" thickBot="1">
      <c r="A252" s="240"/>
      <c r="B252" s="241"/>
      <c r="C252" s="242"/>
      <c r="D252" s="242"/>
      <c r="E252" s="243"/>
      <c r="F252" s="244"/>
      <c r="G252" s="244"/>
      <c r="H252" s="243"/>
      <c r="I252" s="258"/>
      <c r="J252" s="245"/>
      <c r="K252" s="245"/>
      <c r="L252" s="76">
        <f t="shared" si="30"/>
        <v>0</v>
      </c>
      <c r="M252" s="246"/>
      <c r="N252" s="247"/>
      <c r="O252" s="248"/>
      <c r="P252" s="246"/>
      <c r="Q252" s="249"/>
      <c r="R252" s="250"/>
      <c r="S252" s="259"/>
      <c r="T252" s="260"/>
      <c r="U252" s="250"/>
      <c r="V252" s="78">
        <f t="shared" si="31"/>
        <v>0</v>
      </c>
      <c r="W252" s="261">
        <f t="shared" si="32"/>
        <v>0</v>
      </c>
      <c r="X252" s="133">
        <f t="shared" si="33"/>
        <v>0</v>
      </c>
      <c r="Y252" s="251"/>
      <c r="Z252" s="1736"/>
      <c r="AA252" s="1737"/>
      <c r="AB252" s="77">
        <f t="shared" si="34"/>
        <v>0</v>
      </c>
      <c r="AC252" s="134">
        <f t="shared" si="35"/>
        <v>0</v>
      </c>
      <c r="AD252" s="251"/>
      <c r="AE252" s="1736"/>
      <c r="AF252" s="1737"/>
      <c r="AG252" s="77">
        <f t="shared" si="36"/>
        <v>0</v>
      </c>
      <c r="AH252" s="136">
        <f t="shared" si="37"/>
        <v>0</v>
      </c>
      <c r="AI252" s="251"/>
      <c r="AJ252" s="1736"/>
      <c r="AK252" s="1737"/>
      <c r="AL252" s="79">
        <f t="shared" si="38"/>
        <v>0</v>
      </c>
      <c r="AM252" s="137">
        <f t="shared" si="39"/>
        <v>0</v>
      </c>
      <c r="AN252" s="251"/>
      <c r="AO252" s="1736"/>
      <c r="AP252" s="1737"/>
    </row>
    <row r="253" spans="1:42" s="85" customFormat="1" ht="13.5" thickBot="1">
      <c r="A253" s="240"/>
      <c r="B253" s="241"/>
      <c r="C253" s="242"/>
      <c r="D253" s="242"/>
      <c r="E253" s="243"/>
      <c r="F253" s="244"/>
      <c r="G253" s="244"/>
      <c r="H253" s="243"/>
      <c r="I253" s="258"/>
      <c r="J253" s="245"/>
      <c r="K253" s="245"/>
      <c r="L253" s="76">
        <f t="shared" si="30"/>
        <v>0</v>
      </c>
      <c r="M253" s="246"/>
      <c r="N253" s="247"/>
      <c r="O253" s="248"/>
      <c r="P253" s="246"/>
      <c r="Q253" s="249"/>
      <c r="R253" s="250"/>
      <c r="S253" s="259"/>
      <c r="T253" s="260"/>
      <c r="U253" s="250"/>
      <c r="V253" s="78">
        <f t="shared" si="31"/>
        <v>0</v>
      </c>
      <c r="W253" s="261">
        <f t="shared" si="32"/>
        <v>0</v>
      </c>
      <c r="X253" s="133">
        <f t="shared" si="33"/>
        <v>0</v>
      </c>
      <c r="Y253" s="251"/>
      <c r="Z253" s="1736"/>
      <c r="AA253" s="1737"/>
      <c r="AB253" s="77">
        <f t="shared" si="34"/>
        <v>0</v>
      </c>
      <c r="AC253" s="134">
        <f t="shared" si="35"/>
        <v>0</v>
      </c>
      <c r="AD253" s="251"/>
      <c r="AE253" s="1736"/>
      <c r="AF253" s="1737"/>
      <c r="AG253" s="77">
        <f t="shared" si="36"/>
        <v>0</v>
      </c>
      <c r="AH253" s="136">
        <f t="shared" si="37"/>
        <v>0</v>
      </c>
      <c r="AI253" s="251"/>
      <c r="AJ253" s="1736"/>
      <c r="AK253" s="1737"/>
      <c r="AL253" s="79">
        <f t="shared" si="38"/>
        <v>0</v>
      </c>
      <c r="AM253" s="137">
        <f t="shared" si="39"/>
        <v>0</v>
      </c>
      <c r="AN253" s="251"/>
      <c r="AO253" s="1736"/>
      <c r="AP253" s="1737"/>
    </row>
    <row r="254" spans="1:42" s="85" customFormat="1" ht="13.5" thickBot="1">
      <c r="A254" s="240"/>
      <c r="B254" s="241"/>
      <c r="C254" s="242"/>
      <c r="D254" s="242"/>
      <c r="E254" s="243"/>
      <c r="F254" s="244"/>
      <c r="G254" s="244"/>
      <c r="H254" s="243"/>
      <c r="I254" s="258"/>
      <c r="J254" s="245"/>
      <c r="K254" s="245"/>
      <c r="L254" s="76">
        <f t="shared" si="30"/>
        <v>0</v>
      </c>
      <c r="M254" s="246"/>
      <c r="N254" s="247"/>
      <c r="O254" s="248"/>
      <c r="P254" s="246"/>
      <c r="Q254" s="249"/>
      <c r="R254" s="250"/>
      <c r="S254" s="259"/>
      <c r="T254" s="260"/>
      <c r="U254" s="250"/>
      <c r="V254" s="78">
        <f t="shared" si="31"/>
        <v>0</v>
      </c>
      <c r="W254" s="261">
        <f t="shared" si="32"/>
        <v>0</v>
      </c>
      <c r="X254" s="133">
        <f t="shared" si="33"/>
        <v>0</v>
      </c>
      <c r="Y254" s="251"/>
      <c r="Z254" s="1736"/>
      <c r="AA254" s="1737"/>
      <c r="AB254" s="77">
        <f t="shared" si="34"/>
        <v>0</v>
      </c>
      <c r="AC254" s="134">
        <f t="shared" si="35"/>
        <v>0</v>
      </c>
      <c r="AD254" s="251"/>
      <c r="AE254" s="1736"/>
      <c r="AF254" s="1737"/>
      <c r="AG254" s="77">
        <f t="shared" si="36"/>
        <v>0</v>
      </c>
      <c r="AH254" s="136">
        <f t="shared" si="37"/>
        <v>0</v>
      </c>
      <c r="AI254" s="251"/>
      <c r="AJ254" s="1736"/>
      <c r="AK254" s="1737"/>
      <c r="AL254" s="79">
        <f t="shared" si="38"/>
        <v>0</v>
      </c>
      <c r="AM254" s="137">
        <f t="shared" si="39"/>
        <v>0</v>
      </c>
      <c r="AN254" s="251"/>
      <c r="AO254" s="1736"/>
      <c r="AP254" s="1737"/>
    </row>
    <row r="255" spans="1:42" s="85" customFormat="1" ht="13.5" thickBot="1">
      <c r="A255" s="240"/>
      <c r="B255" s="241"/>
      <c r="C255" s="242"/>
      <c r="D255" s="242"/>
      <c r="E255" s="243"/>
      <c r="F255" s="244"/>
      <c r="G255" s="244"/>
      <c r="H255" s="243"/>
      <c r="I255" s="258"/>
      <c r="J255" s="245"/>
      <c r="K255" s="245"/>
      <c r="L255" s="76">
        <f t="shared" si="30"/>
        <v>0</v>
      </c>
      <c r="M255" s="246"/>
      <c r="N255" s="247"/>
      <c r="O255" s="248"/>
      <c r="P255" s="246"/>
      <c r="Q255" s="249"/>
      <c r="R255" s="250"/>
      <c r="S255" s="259"/>
      <c r="T255" s="260"/>
      <c r="U255" s="250"/>
      <c r="V255" s="78">
        <f t="shared" si="31"/>
        <v>0</v>
      </c>
      <c r="W255" s="261">
        <f t="shared" si="32"/>
        <v>0</v>
      </c>
      <c r="X255" s="133">
        <f t="shared" si="33"/>
        <v>0</v>
      </c>
      <c r="Y255" s="251"/>
      <c r="Z255" s="1736"/>
      <c r="AA255" s="1737"/>
      <c r="AB255" s="77">
        <f t="shared" si="34"/>
        <v>0</v>
      </c>
      <c r="AC255" s="134">
        <f t="shared" si="35"/>
        <v>0</v>
      </c>
      <c r="AD255" s="251"/>
      <c r="AE255" s="1736"/>
      <c r="AF255" s="1737"/>
      <c r="AG255" s="77">
        <f t="shared" si="36"/>
        <v>0</v>
      </c>
      <c r="AH255" s="136">
        <f t="shared" si="37"/>
        <v>0</v>
      </c>
      <c r="AI255" s="251"/>
      <c r="AJ255" s="1736"/>
      <c r="AK255" s="1737"/>
      <c r="AL255" s="79">
        <f t="shared" si="38"/>
        <v>0</v>
      </c>
      <c r="AM255" s="137">
        <f t="shared" si="39"/>
        <v>0</v>
      </c>
      <c r="AN255" s="251"/>
      <c r="AO255" s="1736"/>
      <c r="AP255" s="1737"/>
    </row>
    <row r="256" spans="1:42" s="85" customFormat="1" ht="13.5" thickBot="1">
      <c r="A256" s="240"/>
      <c r="B256" s="241"/>
      <c r="C256" s="242"/>
      <c r="D256" s="242"/>
      <c r="E256" s="243"/>
      <c r="F256" s="244"/>
      <c r="G256" s="244"/>
      <c r="H256" s="243"/>
      <c r="I256" s="258"/>
      <c r="J256" s="245"/>
      <c r="K256" s="245"/>
      <c r="L256" s="76">
        <f t="shared" si="30"/>
        <v>0</v>
      </c>
      <c r="M256" s="246"/>
      <c r="N256" s="247"/>
      <c r="O256" s="248"/>
      <c r="P256" s="246"/>
      <c r="Q256" s="249"/>
      <c r="R256" s="250"/>
      <c r="S256" s="259"/>
      <c r="T256" s="260"/>
      <c r="U256" s="250"/>
      <c r="V256" s="78">
        <f t="shared" si="31"/>
        <v>0</v>
      </c>
      <c r="W256" s="261">
        <f t="shared" si="32"/>
        <v>0</v>
      </c>
      <c r="X256" s="133">
        <f t="shared" si="33"/>
        <v>0</v>
      </c>
      <c r="Y256" s="251"/>
      <c r="Z256" s="1736"/>
      <c r="AA256" s="1737"/>
      <c r="AB256" s="77">
        <f t="shared" si="34"/>
        <v>0</v>
      </c>
      <c r="AC256" s="134">
        <f t="shared" si="35"/>
        <v>0</v>
      </c>
      <c r="AD256" s="251"/>
      <c r="AE256" s="1736"/>
      <c r="AF256" s="1737"/>
      <c r="AG256" s="77">
        <f t="shared" si="36"/>
        <v>0</v>
      </c>
      <c r="AH256" s="136">
        <f t="shared" si="37"/>
        <v>0</v>
      </c>
      <c r="AI256" s="251"/>
      <c r="AJ256" s="1736"/>
      <c r="AK256" s="1737"/>
      <c r="AL256" s="79">
        <f t="shared" si="38"/>
        <v>0</v>
      </c>
      <c r="AM256" s="137">
        <f t="shared" si="39"/>
        <v>0</v>
      </c>
      <c r="AN256" s="251"/>
      <c r="AO256" s="1736"/>
      <c r="AP256" s="1737"/>
    </row>
    <row r="257" spans="1:42" s="85" customFormat="1" ht="13.5" thickBot="1">
      <c r="A257" s="240"/>
      <c r="B257" s="241"/>
      <c r="C257" s="242"/>
      <c r="D257" s="242"/>
      <c r="E257" s="243"/>
      <c r="F257" s="244"/>
      <c r="G257" s="244"/>
      <c r="H257" s="243"/>
      <c r="I257" s="258"/>
      <c r="J257" s="245"/>
      <c r="K257" s="245"/>
      <c r="L257" s="76">
        <f t="shared" si="30"/>
        <v>0</v>
      </c>
      <c r="M257" s="246"/>
      <c r="N257" s="247"/>
      <c r="O257" s="248"/>
      <c r="P257" s="246"/>
      <c r="Q257" s="249"/>
      <c r="R257" s="250"/>
      <c r="S257" s="259"/>
      <c r="T257" s="260"/>
      <c r="U257" s="250"/>
      <c r="V257" s="78">
        <f t="shared" si="31"/>
        <v>0</v>
      </c>
      <c r="W257" s="261">
        <f t="shared" si="32"/>
        <v>0</v>
      </c>
      <c r="X257" s="133">
        <f t="shared" si="33"/>
        <v>0</v>
      </c>
      <c r="Y257" s="251"/>
      <c r="Z257" s="1736"/>
      <c r="AA257" s="1737"/>
      <c r="AB257" s="77">
        <f t="shared" si="34"/>
        <v>0</v>
      </c>
      <c r="AC257" s="134">
        <f t="shared" si="35"/>
        <v>0</v>
      </c>
      <c r="AD257" s="251"/>
      <c r="AE257" s="1736"/>
      <c r="AF257" s="1737"/>
      <c r="AG257" s="77">
        <f t="shared" si="36"/>
        <v>0</v>
      </c>
      <c r="AH257" s="136">
        <f t="shared" si="37"/>
        <v>0</v>
      </c>
      <c r="AI257" s="251"/>
      <c r="AJ257" s="1736"/>
      <c r="AK257" s="1737"/>
      <c r="AL257" s="79">
        <f t="shared" si="38"/>
        <v>0</v>
      </c>
      <c r="AM257" s="137">
        <f t="shared" si="39"/>
        <v>0</v>
      </c>
      <c r="AN257" s="251"/>
      <c r="AO257" s="1736"/>
      <c r="AP257" s="1737"/>
    </row>
    <row r="258" spans="1:42" s="85" customFormat="1" ht="13.5" thickBot="1">
      <c r="A258" s="240"/>
      <c r="B258" s="241"/>
      <c r="C258" s="242"/>
      <c r="D258" s="242"/>
      <c r="E258" s="243"/>
      <c r="F258" s="244"/>
      <c r="G258" s="244"/>
      <c r="H258" s="243"/>
      <c r="I258" s="258"/>
      <c r="J258" s="245"/>
      <c r="K258" s="245"/>
      <c r="L258" s="76">
        <f t="shared" si="30"/>
        <v>0</v>
      </c>
      <c r="M258" s="246"/>
      <c r="N258" s="247"/>
      <c r="O258" s="248"/>
      <c r="P258" s="246"/>
      <c r="Q258" s="249"/>
      <c r="R258" s="250"/>
      <c r="S258" s="259"/>
      <c r="T258" s="260"/>
      <c r="U258" s="250"/>
      <c r="V258" s="78">
        <f t="shared" si="31"/>
        <v>0</v>
      </c>
      <c r="W258" s="261">
        <f t="shared" si="32"/>
        <v>0</v>
      </c>
      <c r="X258" s="133">
        <f t="shared" si="33"/>
        <v>0</v>
      </c>
      <c r="Y258" s="251"/>
      <c r="Z258" s="1736"/>
      <c r="AA258" s="1737"/>
      <c r="AB258" s="77">
        <f t="shared" si="34"/>
        <v>0</v>
      </c>
      <c r="AC258" s="134">
        <f t="shared" si="35"/>
        <v>0</v>
      </c>
      <c r="AD258" s="251"/>
      <c r="AE258" s="1736"/>
      <c r="AF258" s="1737"/>
      <c r="AG258" s="77">
        <f t="shared" si="36"/>
        <v>0</v>
      </c>
      <c r="AH258" s="136">
        <f t="shared" si="37"/>
        <v>0</v>
      </c>
      <c r="AI258" s="251"/>
      <c r="AJ258" s="1736"/>
      <c r="AK258" s="1737"/>
      <c r="AL258" s="79">
        <f t="shared" si="38"/>
        <v>0</v>
      </c>
      <c r="AM258" s="137">
        <f t="shared" si="39"/>
        <v>0</v>
      </c>
      <c r="AN258" s="251"/>
      <c r="AO258" s="1736"/>
      <c r="AP258" s="1737"/>
    </row>
    <row r="259" spans="1:42" s="85" customFormat="1" ht="13.5" thickBot="1">
      <c r="A259" s="240"/>
      <c r="B259" s="241"/>
      <c r="C259" s="242"/>
      <c r="D259" s="242"/>
      <c r="E259" s="243"/>
      <c r="F259" s="244"/>
      <c r="G259" s="244"/>
      <c r="H259" s="243"/>
      <c r="I259" s="258"/>
      <c r="J259" s="245"/>
      <c r="K259" s="245"/>
      <c r="L259" s="76">
        <f t="shared" si="30"/>
        <v>0</v>
      </c>
      <c r="M259" s="246"/>
      <c r="N259" s="247"/>
      <c r="O259" s="248"/>
      <c r="P259" s="246"/>
      <c r="Q259" s="249"/>
      <c r="R259" s="250"/>
      <c r="S259" s="259"/>
      <c r="T259" s="260"/>
      <c r="U259" s="250"/>
      <c r="V259" s="78">
        <f t="shared" si="31"/>
        <v>0</v>
      </c>
      <c r="W259" s="261">
        <f t="shared" si="32"/>
        <v>0</v>
      </c>
      <c r="X259" s="133">
        <f t="shared" si="33"/>
        <v>0</v>
      </c>
      <c r="Y259" s="251"/>
      <c r="Z259" s="1736"/>
      <c r="AA259" s="1737"/>
      <c r="AB259" s="77">
        <f t="shared" si="34"/>
        <v>0</v>
      </c>
      <c r="AC259" s="134">
        <f t="shared" si="35"/>
        <v>0</v>
      </c>
      <c r="AD259" s="251"/>
      <c r="AE259" s="1736"/>
      <c r="AF259" s="1737"/>
      <c r="AG259" s="77">
        <f t="shared" si="36"/>
        <v>0</v>
      </c>
      <c r="AH259" s="136">
        <f t="shared" si="37"/>
        <v>0</v>
      </c>
      <c r="AI259" s="251"/>
      <c r="AJ259" s="1736"/>
      <c r="AK259" s="1737"/>
      <c r="AL259" s="79">
        <f t="shared" si="38"/>
        <v>0</v>
      </c>
      <c r="AM259" s="137">
        <f t="shared" si="39"/>
        <v>0</v>
      </c>
      <c r="AN259" s="251"/>
      <c r="AO259" s="1736"/>
      <c r="AP259" s="1737"/>
    </row>
    <row r="260" spans="1:42" s="85" customFormat="1" ht="13.5" thickBot="1">
      <c r="A260" s="240"/>
      <c r="B260" s="241"/>
      <c r="C260" s="242"/>
      <c r="D260" s="242"/>
      <c r="E260" s="243"/>
      <c r="F260" s="244"/>
      <c r="G260" s="244"/>
      <c r="H260" s="243"/>
      <c r="I260" s="258"/>
      <c r="J260" s="245"/>
      <c r="K260" s="245"/>
      <c r="L260" s="76">
        <f t="shared" si="30"/>
        <v>0</v>
      </c>
      <c r="M260" s="246"/>
      <c r="N260" s="247"/>
      <c r="O260" s="248"/>
      <c r="P260" s="246"/>
      <c r="Q260" s="249"/>
      <c r="R260" s="250"/>
      <c r="S260" s="259"/>
      <c r="T260" s="260"/>
      <c r="U260" s="250"/>
      <c r="V260" s="78">
        <f t="shared" si="31"/>
        <v>0</v>
      </c>
      <c r="W260" s="261">
        <f t="shared" si="32"/>
        <v>0</v>
      </c>
      <c r="X260" s="133">
        <f t="shared" si="33"/>
        <v>0</v>
      </c>
      <c r="Y260" s="251"/>
      <c r="Z260" s="1736"/>
      <c r="AA260" s="1737"/>
      <c r="AB260" s="77">
        <f t="shared" si="34"/>
        <v>0</v>
      </c>
      <c r="AC260" s="134">
        <f t="shared" si="35"/>
        <v>0</v>
      </c>
      <c r="AD260" s="251"/>
      <c r="AE260" s="1736"/>
      <c r="AF260" s="1737"/>
      <c r="AG260" s="77">
        <f t="shared" si="36"/>
        <v>0</v>
      </c>
      <c r="AH260" s="136">
        <f t="shared" si="37"/>
        <v>0</v>
      </c>
      <c r="AI260" s="251"/>
      <c r="AJ260" s="1736"/>
      <c r="AK260" s="1737"/>
      <c r="AL260" s="79">
        <f t="shared" si="38"/>
        <v>0</v>
      </c>
      <c r="AM260" s="137">
        <f t="shared" si="39"/>
        <v>0</v>
      </c>
      <c r="AN260" s="251"/>
      <c r="AO260" s="1736"/>
      <c r="AP260" s="1737"/>
    </row>
    <row r="261" spans="1:42" s="85" customFormat="1" ht="13.5" thickBot="1">
      <c r="A261" s="240"/>
      <c r="B261" s="241"/>
      <c r="C261" s="242"/>
      <c r="D261" s="242"/>
      <c r="E261" s="243"/>
      <c r="F261" s="244"/>
      <c r="G261" s="244"/>
      <c r="H261" s="243"/>
      <c r="I261" s="258"/>
      <c r="J261" s="245"/>
      <c r="K261" s="245"/>
      <c r="L261" s="76">
        <f t="shared" si="30"/>
        <v>0</v>
      </c>
      <c r="M261" s="246"/>
      <c r="N261" s="247"/>
      <c r="O261" s="248"/>
      <c r="P261" s="246"/>
      <c r="Q261" s="249"/>
      <c r="R261" s="250"/>
      <c r="S261" s="259"/>
      <c r="T261" s="260"/>
      <c r="U261" s="250"/>
      <c r="V261" s="78">
        <f t="shared" si="31"/>
        <v>0</v>
      </c>
      <c r="W261" s="261">
        <f t="shared" si="32"/>
        <v>0</v>
      </c>
      <c r="X261" s="133">
        <f t="shared" si="33"/>
        <v>0</v>
      </c>
      <c r="Y261" s="251"/>
      <c r="Z261" s="1736"/>
      <c r="AA261" s="1737"/>
      <c r="AB261" s="77">
        <f t="shared" si="34"/>
        <v>0</v>
      </c>
      <c r="AC261" s="134">
        <f t="shared" si="35"/>
        <v>0</v>
      </c>
      <c r="AD261" s="251"/>
      <c r="AE261" s="1736"/>
      <c r="AF261" s="1737"/>
      <c r="AG261" s="77">
        <f t="shared" si="36"/>
        <v>0</v>
      </c>
      <c r="AH261" s="136">
        <f t="shared" si="37"/>
        <v>0</v>
      </c>
      <c r="AI261" s="251"/>
      <c r="AJ261" s="1736"/>
      <c r="AK261" s="1737"/>
      <c r="AL261" s="79">
        <f t="shared" si="38"/>
        <v>0</v>
      </c>
      <c r="AM261" s="137">
        <f t="shared" si="39"/>
        <v>0</v>
      </c>
      <c r="AN261" s="251"/>
      <c r="AO261" s="1736"/>
      <c r="AP261" s="1737"/>
    </row>
    <row r="262" spans="1:42" s="85" customFormat="1" ht="13.5" thickBot="1">
      <c r="A262" s="240"/>
      <c r="B262" s="241"/>
      <c r="C262" s="242"/>
      <c r="D262" s="242"/>
      <c r="E262" s="243"/>
      <c r="F262" s="244"/>
      <c r="G262" s="244"/>
      <c r="H262" s="243"/>
      <c r="I262" s="258"/>
      <c r="J262" s="245"/>
      <c r="K262" s="245"/>
      <c r="L262" s="76">
        <f t="shared" si="30"/>
        <v>0</v>
      </c>
      <c r="M262" s="246"/>
      <c r="N262" s="247"/>
      <c r="O262" s="248"/>
      <c r="P262" s="246"/>
      <c r="Q262" s="249"/>
      <c r="R262" s="250"/>
      <c r="S262" s="259"/>
      <c r="T262" s="260"/>
      <c r="U262" s="250"/>
      <c r="V262" s="78">
        <f t="shared" si="31"/>
        <v>0</v>
      </c>
      <c r="W262" s="261">
        <f t="shared" si="32"/>
        <v>0</v>
      </c>
      <c r="X262" s="133">
        <f t="shared" si="33"/>
        <v>0</v>
      </c>
      <c r="Y262" s="251"/>
      <c r="Z262" s="1736"/>
      <c r="AA262" s="1737"/>
      <c r="AB262" s="77">
        <f t="shared" si="34"/>
        <v>0</v>
      </c>
      <c r="AC262" s="134">
        <f t="shared" si="35"/>
        <v>0</v>
      </c>
      <c r="AD262" s="251"/>
      <c r="AE262" s="1736"/>
      <c r="AF262" s="1737"/>
      <c r="AG262" s="77">
        <f t="shared" si="36"/>
        <v>0</v>
      </c>
      <c r="AH262" s="136">
        <f t="shared" si="37"/>
        <v>0</v>
      </c>
      <c r="AI262" s="251"/>
      <c r="AJ262" s="1736"/>
      <c r="AK262" s="1737"/>
      <c r="AL262" s="79">
        <f t="shared" si="38"/>
        <v>0</v>
      </c>
      <c r="AM262" s="137">
        <f t="shared" si="39"/>
        <v>0</v>
      </c>
      <c r="AN262" s="251"/>
      <c r="AO262" s="1736"/>
      <c r="AP262" s="1737"/>
    </row>
    <row r="263" spans="1:42" s="85" customFormat="1" ht="13.5" thickBot="1">
      <c r="A263" s="240"/>
      <c r="B263" s="241"/>
      <c r="C263" s="242"/>
      <c r="D263" s="242"/>
      <c r="E263" s="243"/>
      <c r="F263" s="244"/>
      <c r="G263" s="244"/>
      <c r="H263" s="243"/>
      <c r="I263" s="258"/>
      <c r="J263" s="245"/>
      <c r="K263" s="245"/>
      <c r="L263" s="76">
        <f t="shared" si="30"/>
        <v>0</v>
      </c>
      <c r="M263" s="246"/>
      <c r="N263" s="247"/>
      <c r="O263" s="248"/>
      <c r="P263" s="246"/>
      <c r="Q263" s="249"/>
      <c r="R263" s="250"/>
      <c r="S263" s="259"/>
      <c r="T263" s="260"/>
      <c r="U263" s="250"/>
      <c r="V263" s="78">
        <f t="shared" si="31"/>
        <v>0</v>
      </c>
      <c r="W263" s="261">
        <f t="shared" si="32"/>
        <v>0</v>
      </c>
      <c r="X263" s="133">
        <f t="shared" si="33"/>
        <v>0</v>
      </c>
      <c r="Y263" s="251"/>
      <c r="Z263" s="1736"/>
      <c r="AA263" s="1737"/>
      <c r="AB263" s="77">
        <f t="shared" si="34"/>
        <v>0</v>
      </c>
      <c r="AC263" s="134">
        <f t="shared" si="35"/>
        <v>0</v>
      </c>
      <c r="AD263" s="251"/>
      <c r="AE263" s="1736"/>
      <c r="AF263" s="1737"/>
      <c r="AG263" s="77">
        <f t="shared" si="36"/>
        <v>0</v>
      </c>
      <c r="AH263" s="136">
        <f t="shared" si="37"/>
        <v>0</v>
      </c>
      <c r="AI263" s="251"/>
      <c r="AJ263" s="1736"/>
      <c r="AK263" s="1737"/>
      <c r="AL263" s="79">
        <f t="shared" si="38"/>
        <v>0</v>
      </c>
      <c r="AM263" s="137">
        <f t="shared" si="39"/>
        <v>0</v>
      </c>
      <c r="AN263" s="251"/>
      <c r="AO263" s="1736"/>
      <c r="AP263" s="1737"/>
    </row>
    <row r="264" spans="1:42" s="85" customFormat="1" ht="13.5" thickBot="1">
      <c r="A264" s="240"/>
      <c r="B264" s="241"/>
      <c r="C264" s="242"/>
      <c r="D264" s="242"/>
      <c r="E264" s="243"/>
      <c r="F264" s="244"/>
      <c r="G264" s="244"/>
      <c r="H264" s="243"/>
      <c r="I264" s="258"/>
      <c r="J264" s="245"/>
      <c r="K264" s="245"/>
      <c r="L264" s="76">
        <f t="shared" si="30"/>
        <v>0</v>
      </c>
      <c r="M264" s="246"/>
      <c r="N264" s="247"/>
      <c r="O264" s="248"/>
      <c r="P264" s="246"/>
      <c r="Q264" s="249"/>
      <c r="R264" s="250"/>
      <c r="S264" s="259"/>
      <c r="T264" s="260"/>
      <c r="U264" s="250"/>
      <c r="V264" s="78">
        <f t="shared" si="31"/>
        <v>0</v>
      </c>
      <c r="W264" s="261">
        <f t="shared" si="32"/>
        <v>0</v>
      </c>
      <c r="X264" s="133">
        <f t="shared" si="33"/>
        <v>0</v>
      </c>
      <c r="Y264" s="251"/>
      <c r="Z264" s="1736"/>
      <c r="AA264" s="1737"/>
      <c r="AB264" s="77">
        <f t="shared" si="34"/>
        <v>0</v>
      </c>
      <c r="AC264" s="134">
        <f t="shared" si="35"/>
        <v>0</v>
      </c>
      <c r="AD264" s="251"/>
      <c r="AE264" s="1736"/>
      <c r="AF264" s="1737"/>
      <c r="AG264" s="77">
        <f t="shared" si="36"/>
        <v>0</v>
      </c>
      <c r="AH264" s="136">
        <f t="shared" si="37"/>
        <v>0</v>
      </c>
      <c r="AI264" s="251"/>
      <c r="AJ264" s="1736"/>
      <c r="AK264" s="1737"/>
      <c r="AL264" s="79">
        <f t="shared" si="38"/>
        <v>0</v>
      </c>
      <c r="AM264" s="137">
        <f t="shared" si="39"/>
        <v>0</v>
      </c>
      <c r="AN264" s="251"/>
      <c r="AO264" s="1736"/>
      <c r="AP264" s="1737"/>
    </row>
    <row r="265" spans="1:42" s="85" customFormat="1" ht="13.5" thickBot="1">
      <c r="A265" s="240"/>
      <c r="B265" s="241"/>
      <c r="C265" s="242"/>
      <c r="D265" s="242"/>
      <c r="E265" s="243"/>
      <c r="F265" s="244"/>
      <c r="G265" s="244"/>
      <c r="H265" s="243"/>
      <c r="I265" s="258"/>
      <c r="J265" s="245"/>
      <c r="K265" s="245"/>
      <c r="L265" s="76">
        <f t="shared" si="30"/>
        <v>0</v>
      </c>
      <c r="M265" s="246"/>
      <c r="N265" s="247"/>
      <c r="O265" s="248"/>
      <c r="P265" s="246"/>
      <c r="Q265" s="249"/>
      <c r="R265" s="250"/>
      <c r="S265" s="259"/>
      <c r="T265" s="260"/>
      <c r="U265" s="250"/>
      <c r="V265" s="78">
        <f t="shared" si="31"/>
        <v>0</v>
      </c>
      <c r="W265" s="261">
        <f t="shared" si="32"/>
        <v>0</v>
      </c>
      <c r="X265" s="133">
        <f t="shared" si="33"/>
        <v>0</v>
      </c>
      <c r="Y265" s="251"/>
      <c r="Z265" s="1736"/>
      <c r="AA265" s="1737"/>
      <c r="AB265" s="77">
        <f t="shared" si="34"/>
        <v>0</v>
      </c>
      <c r="AC265" s="134">
        <f t="shared" si="35"/>
        <v>0</v>
      </c>
      <c r="AD265" s="251"/>
      <c r="AE265" s="1736"/>
      <c r="AF265" s="1737"/>
      <c r="AG265" s="77">
        <f t="shared" si="36"/>
        <v>0</v>
      </c>
      <c r="AH265" s="136">
        <f t="shared" si="37"/>
        <v>0</v>
      </c>
      <c r="AI265" s="251"/>
      <c r="AJ265" s="1736"/>
      <c r="AK265" s="1737"/>
      <c r="AL265" s="79">
        <f t="shared" si="38"/>
        <v>0</v>
      </c>
      <c r="AM265" s="137">
        <f t="shared" si="39"/>
        <v>0</v>
      </c>
      <c r="AN265" s="251"/>
      <c r="AO265" s="1736"/>
      <c r="AP265" s="1737"/>
    </row>
    <row r="266" spans="1:42" s="85" customFormat="1" ht="13.5" thickBot="1">
      <c r="A266" s="240"/>
      <c r="B266" s="241"/>
      <c r="C266" s="242"/>
      <c r="D266" s="242"/>
      <c r="E266" s="243"/>
      <c r="F266" s="244"/>
      <c r="G266" s="244"/>
      <c r="H266" s="243"/>
      <c r="I266" s="258"/>
      <c r="J266" s="245"/>
      <c r="K266" s="245"/>
      <c r="L266" s="76">
        <f t="shared" si="30"/>
        <v>0</v>
      </c>
      <c r="M266" s="246"/>
      <c r="N266" s="247"/>
      <c r="O266" s="248"/>
      <c r="P266" s="246"/>
      <c r="Q266" s="249"/>
      <c r="R266" s="250"/>
      <c r="S266" s="259"/>
      <c r="T266" s="260"/>
      <c r="U266" s="250"/>
      <c r="V266" s="78">
        <f t="shared" si="31"/>
        <v>0</v>
      </c>
      <c r="W266" s="261">
        <f t="shared" si="32"/>
        <v>0</v>
      </c>
      <c r="X266" s="133">
        <f t="shared" si="33"/>
        <v>0</v>
      </c>
      <c r="Y266" s="251"/>
      <c r="Z266" s="1736"/>
      <c r="AA266" s="1737"/>
      <c r="AB266" s="77">
        <f t="shared" si="34"/>
        <v>0</v>
      </c>
      <c r="AC266" s="134">
        <f t="shared" si="35"/>
        <v>0</v>
      </c>
      <c r="AD266" s="251"/>
      <c r="AE266" s="1736"/>
      <c r="AF266" s="1737"/>
      <c r="AG266" s="77">
        <f t="shared" si="36"/>
        <v>0</v>
      </c>
      <c r="AH266" s="136">
        <f t="shared" si="37"/>
        <v>0</v>
      </c>
      <c r="AI266" s="251"/>
      <c r="AJ266" s="1736"/>
      <c r="AK266" s="1737"/>
      <c r="AL266" s="79">
        <f t="shared" si="38"/>
        <v>0</v>
      </c>
      <c r="AM266" s="137">
        <f t="shared" si="39"/>
        <v>0</v>
      </c>
      <c r="AN266" s="251"/>
      <c r="AO266" s="1736"/>
      <c r="AP266" s="1737"/>
    </row>
    <row r="267" spans="1:42" s="85" customFormat="1" ht="13.5" thickBot="1">
      <c r="A267" s="240"/>
      <c r="B267" s="241"/>
      <c r="C267" s="242"/>
      <c r="D267" s="242"/>
      <c r="E267" s="243"/>
      <c r="F267" s="244"/>
      <c r="G267" s="244"/>
      <c r="H267" s="243"/>
      <c r="I267" s="258"/>
      <c r="J267" s="245"/>
      <c r="K267" s="245"/>
      <c r="L267" s="76">
        <f t="shared" ref="L267:L330" si="40">IF(I267=0,0,(K267+J267)/I267)</f>
        <v>0</v>
      </c>
      <c r="M267" s="246"/>
      <c r="N267" s="247"/>
      <c r="O267" s="248"/>
      <c r="P267" s="246"/>
      <c r="Q267" s="249"/>
      <c r="R267" s="250"/>
      <c r="S267" s="259"/>
      <c r="T267" s="260"/>
      <c r="U267" s="250"/>
      <c r="V267" s="78">
        <f t="shared" ref="V267:V330" si="41">IF(U267=0,0,((U267*S267)-AB267-AL267))</f>
        <v>0</v>
      </c>
      <c r="W267" s="261">
        <f t="shared" ref="W267:W330" si="42">+S267-I267</f>
        <v>0</v>
      </c>
      <c r="X267" s="133">
        <f t="shared" ref="X267:X330" si="43">(V267-J267)</f>
        <v>0</v>
      </c>
      <c r="Y267" s="251"/>
      <c r="Z267" s="1736"/>
      <c r="AA267" s="1737"/>
      <c r="AB267" s="77">
        <f t="shared" ref="AB267:AB330" si="44">(IF(I267=0,0,M267/H267))*S267</f>
        <v>0</v>
      </c>
      <c r="AC267" s="134">
        <f t="shared" ref="AC267:AC330" si="45">+AB267-P267</f>
        <v>0</v>
      </c>
      <c r="AD267" s="251"/>
      <c r="AE267" s="1736"/>
      <c r="AF267" s="1737"/>
      <c r="AG267" s="77">
        <f t="shared" ref="AG267:AG330" si="46">(IF(H267=0,0,N267/H267))*T267</f>
        <v>0</v>
      </c>
      <c r="AH267" s="136">
        <f t="shared" ref="AH267:AH330" si="47">+AG267-Q267</f>
        <v>0</v>
      </c>
      <c r="AI267" s="251"/>
      <c r="AJ267" s="1736"/>
      <c r="AK267" s="1737"/>
      <c r="AL267" s="79">
        <f t="shared" ref="AL267:AL330" si="48">+O267*S267</f>
        <v>0</v>
      </c>
      <c r="AM267" s="137">
        <f t="shared" ref="AM267:AM330" si="49">+AL267-R267</f>
        <v>0</v>
      </c>
      <c r="AN267" s="251"/>
      <c r="AO267" s="1736"/>
      <c r="AP267" s="1737"/>
    </row>
    <row r="268" spans="1:42" s="85" customFormat="1" ht="13.5" thickBot="1">
      <c r="A268" s="240"/>
      <c r="B268" s="241"/>
      <c r="C268" s="242"/>
      <c r="D268" s="242"/>
      <c r="E268" s="243"/>
      <c r="F268" s="244"/>
      <c r="G268" s="244"/>
      <c r="H268" s="243"/>
      <c r="I268" s="258"/>
      <c r="J268" s="245"/>
      <c r="K268" s="245"/>
      <c r="L268" s="76">
        <f t="shared" si="40"/>
        <v>0</v>
      </c>
      <c r="M268" s="246"/>
      <c r="N268" s="247"/>
      <c r="O268" s="248"/>
      <c r="P268" s="246"/>
      <c r="Q268" s="249"/>
      <c r="R268" s="250"/>
      <c r="S268" s="259"/>
      <c r="T268" s="260"/>
      <c r="U268" s="250"/>
      <c r="V268" s="78">
        <f t="shared" si="41"/>
        <v>0</v>
      </c>
      <c r="W268" s="261">
        <f t="shared" si="42"/>
        <v>0</v>
      </c>
      <c r="X268" s="133">
        <f t="shared" si="43"/>
        <v>0</v>
      </c>
      <c r="Y268" s="251"/>
      <c r="Z268" s="1736"/>
      <c r="AA268" s="1737"/>
      <c r="AB268" s="77">
        <f t="shared" si="44"/>
        <v>0</v>
      </c>
      <c r="AC268" s="134">
        <f t="shared" si="45"/>
        <v>0</v>
      </c>
      <c r="AD268" s="251"/>
      <c r="AE268" s="1736"/>
      <c r="AF268" s="1737"/>
      <c r="AG268" s="77">
        <f t="shared" si="46"/>
        <v>0</v>
      </c>
      <c r="AH268" s="136">
        <f t="shared" si="47"/>
        <v>0</v>
      </c>
      <c r="AI268" s="251"/>
      <c r="AJ268" s="1736"/>
      <c r="AK268" s="1737"/>
      <c r="AL268" s="79">
        <f t="shared" si="48"/>
        <v>0</v>
      </c>
      <c r="AM268" s="137">
        <f t="shared" si="49"/>
        <v>0</v>
      </c>
      <c r="AN268" s="251"/>
      <c r="AO268" s="1736"/>
      <c r="AP268" s="1737"/>
    </row>
    <row r="269" spans="1:42" s="85" customFormat="1" ht="13.5" thickBot="1">
      <c r="A269" s="240"/>
      <c r="B269" s="241"/>
      <c r="C269" s="242"/>
      <c r="D269" s="242"/>
      <c r="E269" s="243"/>
      <c r="F269" s="244"/>
      <c r="G269" s="244"/>
      <c r="H269" s="243"/>
      <c r="I269" s="258"/>
      <c r="J269" s="245"/>
      <c r="K269" s="245"/>
      <c r="L269" s="76">
        <f t="shared" si="40"/>
        <v>0</v>
      </c>
      <c r="M269" s="246"/>
      <c r="N269" s="247"/>
      <c r="O269" s="248"/>
      <c r="P269" s="246"/>
      <c r="Q269" s="249"/>
      <c r="R269" s="250"/>
      <c r="S269" s="259"/>
      <c r="T269" s="260"/>
      <c r="U269" s="250"/>
      <c r="V269" s="78">
        <f t="shared" si="41"/>
        <v>0</v>
      </c>
      <c r="W269" s="261">
        <f t="shared" si="42"/>
        <v>0</v>
      </c>
      <c r="X269" s="133">
        <f t="shared" si="43"/>
        <v>0</v>
      </c>
      <c r="Y269" s="251"/>
      <c r="Z269" s="1736"/>
      <c r="AA269" s="1737"/>
      <c r="AB269" s="77">
        <f t="shared" si="44"/>
        <v>0</v>
      </c>
      <c r="AC269" s="134">
        <f t="shared" si="45"/>
        <v>0</v>
      </c>
      <c r="AD269" s="251"/>
      <c r="AE269" s="1736"/>
      <c r="AF269" s="1737"/>
      <c r="AG269" s="77">
        <f t="shared" si="46"/>
        <v>0</v>
      </c>
      <c r="AH269" s="136">
        <f t="shared" si="47"/>
        <v>0</v>
      </c>
      <c r="AI269" s="251"/>
      <c r="AJ269" s="1736"/>
      <c r="AK269" s="1737"/>
      <c r="AL269" s="79">
        <f t="shared" si="48"/>
        <v>0</v>
      </c>
      <c r="AM269" s="137">
        <f t="shared" si="49"/>
        <v>0</v>
      </c>
      <c r="AN269" s="251"/>
      <c r="AO269" s="1736"/>
      <c r="AP269" s="1737"/>
    </row>
    <row r="270" spans="1:42" s="85" customFormat="1" ht="13.5" thickBot="1">
      <c r="A270" s="240"/>
      <c r="B270" s="241"/>
      <c r="C270" s="242"/>
      <c r="D270" s="242"/>
      <c r="E270" s="243"/>
      <c r="F270" s="244"/>
      <c r="G270" s="244"/>
      <c r="H270" s="243"/>
      <c r="I270" s="258"/>
      <c r="J270" s="245"/>
      <c r="K270" s="245"/>
      <c r="L270" s="76">
        <f t="shared" si="40"/>
        <v>0</v>
      </c>
      <c r="M270" s="246"/>
      <c r="N270" s="247"/>
      <c r="O270" s="248"/>
      <c r="P270" s="246"/>
      <c r="Q270" s="249"/>
      <c r="R270" s="250"/>
      <c r="S270" s="259"/>
      <c r="T270" s="260"/>
      <c r="U270" s="250"/>
      <c r="V270" s="78">
        <f t="shared" si="41"/>
        <v>0</v>
      </c>
      <c r="W270" s="261">
        <f t="shared" si="42"/>
        <v>0</v>
      </c>
      <c r="X270" s="133">
        <f t="shared" si="43"/>
        <v>0</v>
      </c>
      <c r="Y270" s="251"/>
      <c r="Z270" s="1736"/>
      <c r="AA270" s="1737"/>
      <c r="AB270" s="77">
        <f t="shared" si="44"/>
        <v>0</v>
      </c>
      <c r="AC270" s="134">
        <f t="shared" si="45"/>
        <v>0</v>
      </c>
      <c r="AD270" s="251"/>
      <c r="AE270" s="1736"/>
      <c r="AF270" s="1737"/>
      <c r="AG270" s="77">
        <f t="shared" si="46"/>
        <v>0</v>
      </c>
      <c r="AH270" s="136">
        <f t="shared" si="47"/>
        <v>0</v>
      </c>
      <c r="AI270" s="251"/>
      <c r="AJ270" s="1736"/>
      <c r="AK270" s="1737"/>
      <c r="AL270" s="79">
        <f t="shared" si="48"/>
        <v>0</v>
      </c>
      <c r="AM270" s="137">
        <f t="shared" si="49"/>
        <v>0</v>
      </c>
      <c r="AN270" s="251"/>
      <c r="AO270" s="1736"/>
      <c r="AP270" s="1737"/>
    </row>
    <row r="271" spans="1:42" s="85" customFormat="1" ht="13.5" thickBot="1">
      <c r="A271" s="240"/>
      <c r="B271" s="241"/>
      <c r="C271" s="242"/>
      <c r="D271" s="242"/>
      <c r="E271" s="243"/>
      <c r="F271" s="244"/>
      <c r="G271" s="244"/>
      <c r="H271" s="243"/>
      <c r="I271" s="258"/>
      <c r="J271" s="245"/>
      <c r="K271" s="245"/>
      <c r="L271" s="76">
        <f t="shared" si="40"/>
        <v>0</v>
      </c>
      <c r="M271" s="246"/>
      <c r="N271" s="247"/>
      <c r="O271" s="248"/>
      <c r="P271" s="246"/>
      <c r="Q271" s="249"/>
      <c r="R271" s="250"/>
      <c r="S271" s="259"/>
      <c r="T271" s="260"/>
      <c r="U271" s="250"/>
      <c r="V271" s="78">
        <f t="shared" si="41"/>
        <v>0</v>
      </c>
      <c r="W271" s="261">
        <f t="shared" si="42"/>
        <v>0</v>
      </c>
      <c r="X271" s="133">
        <f t="shared" si="43"/>
        <v>0</v>
      </c>
      <c r="Y271" s="251"/>
      <c r="Z271" s="1736"/>
      <c r="AA271" s="1737"/>
      <c r="AB271" s="77">
        <f t="shared" si="44"/>
        <v>0</v>
      </c>
      <c r="AC271" s="134">
        <f t="shared" si="45"/>
        <v>0</v>
      </c>
      <c r="AD271" s="251"/>
      <c r="AE271" s="1736"/>
      <c r="AF271" s="1737"/>
      <c r="AG271" s="77">
        <f t="shared" si="46"/>
        <v>0</v>
      </c>
      <c r="AH271" s="136">
        <f t="shared" si="47"/>
        <v>0</v>
      </c>
      <c r="AI271" s="251"/>
      <c r="AJ271" s="1736"/>
      <c r="AK271" s="1737"/>
      <c r="AL271" s="79">
        <f t="shared" si="48"/>
        <v>0</v>
      </c>
      <c r="AM271" s="137">
        <f t="shared" si="49"/>
        <v>0</v>
      </c>
      <c r="AN271" s="251"/>
      <c r="AO271" s="1736"/>
      <c r="AP271" s="1737"/>
    </row>
    <row r="272" spans="1:42" s="85" customFormat="1" ht="13.5" thickBot="1">
      <c r="A272" s="240"/>
      <c r="B272" s="241"/>
      <c r="C272" s="242"/>
      <c r="D272" s="242"/>
      <c r="E272" s="243"/>
      <c r="F272" s="244"/>
      <c r="G272" s="244"/>
      <c r="H272" s="243"/>
      <c r="I272" s="258"/>
      <c r="J272" s="245"/>
      <c r="K272" s="245"/>
      <c r="L272" s="76">
        <f t="shared" si="40"/>
        <v>0</v>
      </c>
      <c r="M272" s="246"/>
      <c r="N272" s="247"/>
      <c r="O272" s="248"/>
      <c r="P272" s="246"/>
      <c r="Q272" s="249"/>
      <c r="R272" s="250"/>
      <c r="S272" s="259"/>
      <c r="T272" s="260"/>
      <c r="U272" s="250"/>
      <c r="V272" s="78">
        <f t="shared" si="41"/>
        <v>0</v>
      </c>
      <c r="W272" s="261">
        <f t="shared" si="42"/>
        <v>0</v>
      </c>
      <c r="X272" s="133">
        <f t="shared" si="43"/>
        <v>0</v>
      </c>
      <c r="Y272" s="251"/>
      <c r="Z272" s="1736"/>
      <c r="AA272" s="1737"/>
      <c r="AB272" s="77">
        <f t="shared" si="44"/>
        <v>0</v>
      </c>
      <c r="AC272" s="134">
        <f t="shared" si="45"/>
        <v>0</v>
      </c>
      <c r="AD272" s="251"/>
      <c r="AE272" s="1736"/>
      <c r="AF272" s="1737"/>
      <c r="AG272" s="77">
        <f t="shared" si="46"/>
        <v>0</v>
      </c>
      <c r="AH272" s="136">
        <f t="shared" si="47"/>
        <v>0</v>
      </c>
      <c r="AI272" s="251"/>
      <c r="AJ272" s="1736"/>
      <c r="AK272" s="1737"/>
      <c r="AL272" s="79">
        <f t="shared" si="48"/>
        <v>0</v>
      </c>
      <c r="AM272" s="137">
        <f t="shared" si="49"/>
        <v>0</v>
      </c>
      <c r="AN272" s="251"/>
      <c r="AO272" s="1736"/>
      <c r="AP272" s="1737"/>
    </row>
    <row r="273" spans="1:42" s="85" customFormat="1" ht="13.5" thickBot="1">
      <c r="A273" s="240"/>
      <c r="B273" s="241"/>
      <c r="C273" s="242"/>
      <c r="D273" s="242"/>
      <c r="E273" s="243"/>
      <c r="F273" s="244"/>
      <c r="G273" s="244"/>
      <c r="H273" s="243"/>
      <c r="I273" s="258"/>
      <c r="J273" s="245"/>
      <c r="K273" s="245"/>
      <c r="L273" s="76">
        <f t="shared" si="40"/>
        <v>0</v>
      </c>
      <c r="M273" s="246"/>
      <c r="N273" s="247"/>
      <c r="O273" s="248"/>
      <c r="P273" s="246"/>
      <c r="Q273" s="249"/>
      <c r="R273" s="250"/>
      <c r="S273" s="259"/>
      <c r="T273" s="260"/>
      <c r="U273" s="250"/>
      <c r="V273" s="78">
        <f t="shared" si="41"/>
        <v>0</v>
      </c>
      <c r="W273" s="261">
        <f t="shared" si="42"/>
        <v>0</v>
      </c>
      <c r="X273" s="133">
        <f t="shared" si="43"/>
        <v>0</v>
      </c>
      <c r="Y273" s="251"/>
      <c r="Z273" s="1736"/>
      <c r="AA273" s="1737"/>
      <c r="AB273" s="77">
        <f t="shared" si="44"/>
        <v>0</v>
      </c>
      <c r="AC273" s="134">
        <f t="shared" si="45"/>
        <v>0</v>
      </c>
      <c r="AD273" s="251"/>
      <c r="AE273" s="1736"/>
      <c r="AF273" s="1737"/>
      <c r="AG273" s="77">
        <f t="shared" si="46"/>
        <v>0</v>
      </c>
      <c r="AH273" s="136">
        <f t="shared" si="47"/>
        <v>0</v>
      </c>
      <c r="AI273" s="251"/>
      <c r="AJ273" s="1736"/>
      <c r="AK273" s="1737"/>
      <c r="AL273" s="79">
        <f t="shared" si="48"/>
        <v>0</v>
      </c>
      <c r="AM273" s="137">
        <f t="shared" si="49"/>
        <v>0</v>
      </c>
      <c r="AN273" s="251"/>
      <c r="AO273" s="1736"/>
      <c r="AP273" s="1737"/>
    </row>
    <row r="274" spans="1:42" s="85" customFormat="1" ht="13.5" thickBot="1">
      <c r="A274" s="240"/>
      <c r="B274" s="241"/>
      <c r="C274" s="242"/>
      <c r="D274" s="242"/>
      <c r="E274" s="243"/>
      <c r="F274" s="244"/>
      <c r="G274" s="244"/>
      <c r="H274" s="243"/>
      <c r="I274" s="258"/>
      <c r="J274" s="245"/>
      <c r="K274" s="245"/>
      <c r="L274" s="76">
        <f t="shared" si="40"/>
        <v>0</v>
      </c>
      <c r="M274" s="246"/>
      <c r="N274" s="247"/>
      <c r="O274" s="248"/>
      <c r="P274" s="246"/>
      <c r="Q274" s="249"/>
      <c r="R274" s="250"/>
      <c r="S274" s="259"/>
      <c r="T274" s="260"/>
      <c r="U274" s="250"/>
      <c r="V274" s="78">
        <f t="shared" si="41"/>
        <v>0</v>
      </c>
      <c r="W274" s="261">
        <f t="shared" si="42"/>
        <v>0</v>
      </c>
      <c r="X274" s="133">
        <f t="shared" si="43"/>
        <v>0</v>
      </c>
      <c r="Y274" s="251"/>
      <c r="Z274" s="1736"/>
      <c r="AA274" s="1737"/>
      <c r="AB274" s="77">
        <f t="shared" si="44"/>
        <v>0</v>
      </c>
      <c r="AC274" s="134">
        <f t="shared" si="45"/>
        <v>0</v>
      </c>
      <c r="AD274" s="251"/>
      <c r="AE274" s="1736"/>
      <c r="AF274" s="1737"/>
      <c r="AG274" s="77">
        <f t="shared" si="46"/>
        <v>0</v>
      </c>
      <c r="AH274" s="136">
        <f t="shared" si="47"/>
        <v>0</v>
      </c>
      <c r="AI274" s="251"/>
      <c r="AJ274" s="1736"/>
      <c r="AK274" s="1737"/>
      <c r="AL274" s="79">
        <f t="shared" si="48"/>
        <v>0</v>
      </c>
      <c r="AM274" s="137">
        <f t="shared" si="49"/>
        <v>0</v>
      </c>
      <c r="AN274" s="251"/>
      <c r="AO274" s="1736"/>
      <c r="AP274" s="1737"/>
    </row>
    <row r="275" spans="1:42" s="85" customFormat="1" ht="13.5" thickBot="1">
      <c r="A275" s="240"/>
      <c r="B275" s="241"/>
      <c r="C275" s="242"/>
      <c r="D275" s="242"/>
      <c r="E275" s="243"/>
      <c r="F275" s="244"/>
      <c r="G275" s="244"/>
      <c r="H275" s="243"/>
      <c r="I275" s="258"/>
      <c r="J275" s="245"/>
      <c r="K275" s="245"/>
      <c r="L275" s="76">
        <f t="shared" si="40"/>
        <v>0</v>
      </c>
      <c r="M275" s="246"/>
      <c r="N275" s="247"/>
      <c r="O275" s="248"/>
      <c r="P275" s="246"/>
      <c r="Q275" s="249"/>
      <c r="R275" s="250"/>
      <c r="S275" s="259"/>
      <c r="T275" s="260"/>
      <c r="U275" s="250"/>
      <c r="V275" s="78">
        <f t="shared" si="41"/>
        <v>0</v>
      </c>
      <c r="W275" s="261">
        <f t="shared" si="42"/>
        <v>0</v>
      </c>
      <c r="X275" s="133">
        <f t="shared" si="43"/>
        <v>0</v>
      </c>
      <c r="Y275" s="251"/>
      <c r="Z275" s="1736"/>
      <c r="AA275" s="1737"/>
      <c r="AB275" s="77">
        <f t="shared" si="44"/>
        <v>0</v>
      </c>
      <c r="AC275" s="134">
        <f t="shared" si="45"/>
        <v>0</v>
      </c>
      <c r="AD275" s="251"/>
      <c r="AE275" s="1736"/>
      <c r="AF275" s="1737"/>
      <c r="AG275" s="77">
        <f t="shared" si="46"/>
        <v>0</v>
      </c>
      <c r="AH275" s="136">
        <f t="shared" si="47"/>
        <v>0</v>
      </c>
      <c r="AI275" s="251"/>
      <c r="AJ275" s="1736"/>
      <c r="AK275" s="1737"/>
      <c r="AL275" s="79">
        <f t="shared" si="48"/>
        <v>0</v>
      </c>
      <c r="AM275" s="137">
        <f t="shared" si="49"/>
        <v>0</v>
      </c>
      <c r="AN275" s="251"/>
      <c r="AO275" s="1736"/>
      <c r="AP275" s="1737"/>
    </row>
    <row r="276" spans="1:42" s="85" customFormat="1" ht="13.5" thickBot="1">
      <c r="A276" s="240"/>
      <c r="B276" s="241"/>
      <c r="C276" s="242"/>
      <c r="D276" s="242"/>
      <c r="E276" s="243"/>
      <c r="F276" s="244"/>
      <c r="G276" s="244"/>
      <c r="H276" s="243"/>
      <c r="I276" s="258"/>
      <c r="J276" s="245"/>
      <c r="K276" s="245"/>
      <c r="L276" s="76">
        <f t="shared" si="40"/>
        <v>0</v>
      </c>
      <c r="M276" s="246"/>
      <c r="N276" s="247"/>
      <c r="O276" s="248"/>
      <c r="P276" s="246"/>
      <c r="Q276" s="249"/>
      <c r="R276" s="250"/>
      <c r="S276" s="259"/>
      <c r="T276" s="260"/>
      <c r="U276" s="250"/>
      <c r="V276" s="78">
        <f t="shared" si="41"/>
        <v>0</v>
      </c>
      <c r="W276" s="261">
        <f t="shared" si="42"/>
        <v>0</v>
      </c>
      <c r="X276" s="133">
        <f t="shared" si="43"/>
        <v>0</v>
      </c>
      <c r="Y276" s="251"/>
      <c r="Z276" s="1736"/>
      <c r="AA276" s="1737"/>
      <c r="AB276" s="77">
        <f t="shared" si="44"/>
        <v>0</v>
      </c>
      <c r="AC276" s="134">
        <f t="shared" si="45"/>
        <v>0</v>
      </c>
      <c r="AD276" s="251"/>
      <c r="AE276" s="1736"/>
      <c r="AF276" s="1737"/>
      <c r="AG276" s="77">
        <f t="shared" si="46"/>
        <v>0</v>
      </c>
      <c r="AH276" s="136">
        <f t="shared" si="47"/>
        <v>0</v>
      </c>
      <c r="AI276" s="251"/>
      <c r="AJ276" s="1736"/>
      <c r="AK276" s="1737"/>
      <c r="AL276" s="79">
        <f t="shared" si="48"/>
        <v>0</v>
      </c>
      <c r="AM276" s="137">
        <f t="shared" si="49"/>
        <v>0</v>
      </c>
      <c r="AN276" s="251"/>
      <c r="AO276" s="1736"/>
      <c r="AP276" s="1737"/>
    </row>
    <row r="277" spans="1:42" s="85" customFormat="1" ht="13.5" thickBot="1">
      <c r="A277" s="240"/>
      <c r="B277" s="241"/>
      <c r="C277" s="242"/>
      <c r="D277" s="242"/>
      <c r="E277" s="243"/>
      <c r="F277" s="244"/>
      <c r="G277" s="244"/>
      <c r="H277" s="243"/>
      <c r="I277" s="258"/>
      <c r="J277" s="245"/>
      <c r="K277" s="245"/>
      <c r="L277" s="76">
        <f t="shared" si="40"/>
        <v>0</v>
      </c>
      <c r="M277" s="246"/>
      <c r="N277" s="247"/>
      <c r="O277" s="248"/>
      <c r="P277" s="246"/>
      <c r="Q277" s="249"/>
      <c r="R277" s="250"/>
      <c r="S277" s="259"/>
      <c r="T277" s="260"/>
      <c r="U277" s="250"/>
      <c r="V277" s="78">
        <f t="shared" si="41"/>
        <v>0</v>
      </c>
      <c r="W277" s="261">
        <f t="shared" si="42"/>
        <v>0</v>
      </c>
      <c r="X277" s="133">
        <f t="shared" si="43"/>
        <v>0</v>
      </c>
      <c r="Y277" s="251"/>
      <c r="Z277" s="1736"/>
      <c r="AA277" s="1737"/>
      <c r="AB277" s="77">
        <f t="shared" si="44"/>
        <v>0</v>
      </c>
      <c r="AC277" s="134">
        <f t="shared" si="45"/>
        <v>0</v>
      </c>
      <c r="AD277" s="251"/>
      <c r="AE277" s="1736"/>
      <c r="AF277" s="1737"/>
      <c r="AG277" s="77">
        <f t="shared" si="46"/>
        <v>0</v>
      </c>
      <c r="AH277" s="136">
        <f t="shared" si="47"/>
        <v>0</v>
      </c>
      <c r="AI277" s="251"/>
      <c r="AJ277" s="1736"/>
      <c r="AK277" s="1737"/>
      <c r="AL277" s="79">
        <f t="shared" si="48"/>
        <v>0</v>
      </c>
      <c r="AM277" s="137">
        <f t="shared" si="49"/>
        <v>0</v>
      </c>
      <c r="AN277" s="251"/>
      <c r="AO277" s="1736"/>
      <c r="AP277" s="1737"/>
    </row>
    <row r="278" spans="1:42" s="85" customFormat="1" ht="13.5" thickBot="1">
      <c r="A278" s="240"/>
      <c r="B278" s="241"/>
      <c r="C278" s="242"/>
      <c r="D278" s="242"/>
      <c r="E278" s="243"/>
      <c r="F278" s="244"/>
      <c r="G278" s="244"/>
      <c r="H278" s="243"/>
      <c r="I278" s="258"/>
      <c r="J278" s="245"/>
      <c r="K278" s="245"/>
      <c r="L278" s="76">
        <f t="shared" si="40"/>
        <v>0</v>
      </c>
      <c r="M278" s="246"/>
      <c r="N278" s="247"/>
      <c r="O278" s="248"/>
      <c r="P278" s="246"/>
      <c r="Q278" s="249"/>
      <c r="R278" s="250"/>
      <c r="S278" s="259"/>
      <c r="T278" s="260"/>
      <c r="U278" s="250"/>
      <c r="V278" s="78">
        <f t="shared" si="41"/>
        <v>0</v>
      </c>
      <c r="W278" s="261">
        <f t="shared" si="42"/>
        <v>0</v>
      </c>
      <c r="X278" s="133">
        <f t="shared" si="43"/>
        <v>0</v>
      </c>
      <c r="Y278" s="251"/>
      <c r="Z278" s="1736"/>
      <c r="AA278" s="1737"/>
      <c r="AB278" s="77">
        <f t="shared" si="44"/>
        <v>0</v>
      </c>
      <c r="AC278" s="134">
        <f t="shared" si="45"/>
        <v>0</v>
      </c>
      <c r="AD278" s="251"/>
      <c r="AE278" s="1736"/>
      <c r="AF278" s="1737"/>
      <c r="AG278" s="77">
        <f t="shared" si="46"/>
        <v>0</v>
      </c>
      <c r="AH278" s="136">
        <f t="shared" si="47"/>
        <v>0</v>
      </c>
      <c r="AI278" s="251"/>
      <c r="AJ278" s="1736"/>
      <c r="AK278" s="1737"/>
      <c r="AL278" s="79">
        <f t="shared" si="48"/>
        <v>0</v>
      </c>
      <c r="AM278" s="137">
        <f t="shared" si="49"/>
        <v>0</v>
      </c>
      <c r="AN278" s="251"/>
      <c r="AO278" s="1736"/>
      <c r="AP278" s="1737"/>
    </row>
    <row r="279" spans="1:42" s="85" customFormat="1" ht="13.5" thickBot="1">
      <c r="A279" s="240"/>
      <c r="B279" s="241"/>
      <c r="C279" s="242"/>
      <c r="D279" s="242"/>
      <c r="E279" s="243"/>
      <c r="F279" s="244"/>
      <c r="G279" s="244"/>
      <c r="H279" s="243"/>
      <c r="I279" s="258"/>
      <c r="J279" s="245"/>
      <c r="K279" s="245"/>
      <c r="L279" s="76">
        <f t="shared" si="40"/>
        <v>0</v>
      </c>
      <c r="M279" s="246"/>
      <c r="N279" s="247"/>
      <c r="O279" s="248"/>
      <c r="P279" s="246"/>
      <c r="Q279" s="249"/>
      <c r="R279" s="250"/>
      <c r="S279" s="259"/>
      <c r="T279" s="260"/>
      <c r="U279" s="250"/>
      <c r="V279" s="78">
        <f t="shared" si="41"/>
        <v>0</v>
      </c>
      <c r="W279" s="261">
        <f t="shared" si="42"/>
        <v>0</v>
      </c>
      <c r="X279" s="133">
        <f t="shared" si="43"/>
        <v>0</v>
      </c>
      <c r="Y279" s="251"/>
      <c r="Z279" s="1736"/>
      <c r="AA279" s="1737"/>
      <c r="AB279" s="77">
        <f t="shared" si="44"/>
        <v>0</v>
      </c>
      <c r="AC279" s="134">
        <f t="shared" si="45"/>
        <v>0</v>
      </c>
      <c r="AD279" s="251"/>
      <c r="AE279" s="1736"/>
      <c r="AF279" s="1737"/>
      <c r="AG279" s="77">
        <f t="shared" si="46"/>
        <v>0</v>
      </c>
      <c r="AH279" s="136">
        <f t="shared" si="47"/>
        <v>0</v>
      </c>
      <c r="AI279" s="251"/>
      <c r="AJ279" s="1736"/>
      <c r="AK279" s="1737"/>
      <c r="AL279" s="79">
        <f t="shared" si="48"/>
        <v>0</v>
      </c>
      <c r="AM279" s="137">
        <f t="shared" si="49"/>
        <v>0</v>
      </c>
      <c r="AN279" s="251"/>
      <c r="AO279" s="1736"/>
      <c r="AP279" s="1737"/>
    </row>
    <row r="280" spans="1:42" s="85" customFormat="1" ht="13.5" thickBot="1">
      <c r="A280" s="240"/>
      <c r="B280" s="241"/>
      <c r="C280" s="242"/>
      <c r="D280" s="242"/>
      <c r="E280" s="243"/>
      <c r="F280" s="244"/>
      <c r="G280" s="244"/>
      <c r="H280" s="243"/>
      <c r="I280" s="258"/>
      <c r="J280" s="245"/>
      <c r="K280" s="245"/>
      <c r="L280" s="76">
        <f t="shared" si="40"/>
        <v>0</v>
      </c>
      <c r="M280" s="246"/>
      <c r="N280" s="247"/>
      <c r="O280" s="248"/>
      <c r="P280" s="246"/>
      <c r="Q280" s="249"/>
      <c r="R280" s="250"/>
      <c r="S280" s="259"/>
      <c r="T280" s="260"/>
      <c r="U280" s="250"/>
      <c r="V280" s="78">
        <f t="shared" si="41"/>
        <v>0</v>
      </c>
      <c r="W280" s="261">
        <f t="shared" si="42"/>
        <v>0</v>
      </c>
      <c r="X280" s="133">
        <f t="shared" si="43"/>
        <v>0</v>
      </c>
      <c r="Y280" s="251"/>
      <c r="Z280" s="1736"/>
      <c r="AA280" s="1737"/>
      <c r="AB280" s="77">
        <f t="shared" si="44"/>
        <v>0</v>
      </c>
      <c r="AC280" s="134">
        <f t="shared" si="45"/>
        <v>0</v>
      </c>
      <c r="AD280" s="251"/>
      <c r="AE280" s="1736"/>
      <c r="AF280" s="1737"/>
      <c r="AG280" s="77">
        <f t="shared" si="46"/>
        <v>0</v>
      </c>
      <c r="AH280" s="136">
        <f t="shared" si="47"/>
        <v>0</v>
      </c>
      <c r="AI280" s="251"/>
      <c r="AJ280" s="1736"/>
      <c r="AK280" s="1737"/>
      <c r="AL280" s="79">
        <f t="shared" si="48"/>
        <v>0</v>
      </c>
      <c r="AM280" s="137">
        <f t="shared" si="49"/>
        <v>0</v>
      </c>
      <c r="AN280" s="251"/>
      <c r="AO280" s="1736"/>
      <c r="AP280" s="1737"/>
    </row>
    <row r="281" spans="1:42" s="85" customFormat="1" ht="13.5" thickBot="1">
      <c r="A281" s="240"/>
      <c r="B281" s="241"/>
      <c r="C281" s="242"/>
      <c r="D281" s="242"/>
      <c r="E281" s="243"/>
      <c r="F281" s="244"/>
      <c r="G281" s="244"/>
      <c r="H281" s="243"/>
      <c r="I281" s="258"/>
      <c r="J281" s="245"/>
      <c r="K281" s="245"/>
      <c r="L281" s="76">
        <f t="shared" si="40"/>
        <v>0</v>
      </c>
      <c r="M281" s="246"/>
      <c r="N281" s="247"/>
      <c r="O281" s="248"/>
      <c r="P281" s="246"/>
      <c r="Q281" s="249"/>
      <c r="R281" s="250"/>
      <c r="S281" s="259"/>
      <c r="T281" s="260"/>
      <c r="U281" s="250"/>
      <c r="V281" s="78">
        <f t="shared" si="41"/>
        <v>0</v>
      </c>
      <c r="W281" s="261">
        <f t="shared" si="42"/>
        <v>0</v>
      </c>
      <c r="X281" s="133">
        <f t="shared" si="43"/>
        <v>0</v>
      </c>
      <c r="Y281" s="251"/>
      <c r="Z281" s="1736"/>
      <c r="AA281" s="1737"/>
      <c r="AB281" s="77">
        <f t="shared" si="44"/>
        <v>0</v>
      </c>
      <c r="AC281" s="134">
        <f t="shared" si="45"/>
        <v>0</v>
      </c>
      <c r="AD281" s="251"/>
      <c r="AE281" s="1736"/>
      <c r="AF281" s="1737"/>
      <c r="AG281" s="77">
        <f t="shared" si="46"/>
        <v>0</v>
      </c>
      <c r="AH281" s="136">
        <f t="shared" si="47"/>
        <v>0</v>
      </c>
      <c r="AI281" s="251"/>
      <c r="AJ281" s="1736"/>
      <c r="AK281" s="1737"/>
      <c r="AL281" s="79">
        <f t="shared" si="48"/>
        <v>0</v>
      </c>
      <c r="AM281" s="137">
        <f t="shared" si="49"/>
        <v>0</v>
      </c>
      <c r="AN281" s="251"/>
      <c r="AO281" s="1736"/>
      <c r="AP281" s="1737"/>
    </row>
    <row r="282" spans="1:42" s="85" customFormat="1" ht="13.5" thickBot="1">
      <c r="A282" s="240"/>
      <c r="B282" s="241"/>
      <c r="C282" s="242"/>
      <c r="D282" s="242"/>
      <c r="E282" s="243"/>
      <c r="F282" s="244"/>
      <c r="G282" s="244"/>
      <c r="H282" s="243"/>
      <c r="I282" s="258"/>
      <c r="J282" s="245"/>
      <c r="K282" s="245"/>
      <c r="L282" s="76">
        <f t="shared" si="40"/>
        <v>0</v>
      </c>
      <c r="M282" s="246"/>
      <c r="N282" s="247"/>
      <c r="O282" s="248"/>
      <c r="P282" s="246"/>
      <c r="Q282" s="249"/>
      <c r="R282" s="250"/>
      <c r="S282" s="259"/>
      <c r="T282" s="260"/>
      <c r="U282" s="250"/>
      <c r="V282" s="78">
        <f t="shared" si="41"/>
        <v>0</v>
      </c>
      <c r="W282" s="261">
        <f t="shared" si="42"/>
        <v>0</v>
      </c>
      <c r="X282" s="133">
        <f t="shared" si="43"/>
        <v>0</v>
      </c>
      <c r="Y282" s="251"/>
      <c r="Z282" s="1736"/>
      <c r="AA282" s="1737"/>
      <c r="AB282" s="77">
        <f t="shared" si="44"/>
        <v>0</v>
      </c>
      <c r="AC282" s="134">
        <f t="shared" si="45"/>
        <v>0</v>
      </c>
      <c r="AD282" s="251"/>
      <c r="AE282" s="1736"/>
      <c r="AF282" s="1737"/>
      <c r="AG282" s="77">
        <f t="shared" si="46"/>
        <v>0</v>
      </c>
      <c r="AH282" s="136">
        <f t="shared" si="47"/>
        <v>0</v>
      </c>
      <c r="AI282" s="251"/>
      <c r="AJ282" s="1736"/>
      <c r="AK282" s="1737"/>
      <c r="AL282" s="79">
        <f t="shared" si="48"/>
        <v>0</v>
      </c>
      <c r="AM282" s="137">
        <f t="shared" si="49"/>
        <v>0</v>
      </c>
      <c r="AN282" s="251"/>
      <c r="AO282" s="1736"/>
      <c r="AP282" s="1737"/>
    </row>
    <row r="283" spans="1:42" s="85" customFormat="1" ht="13.5" thickBot="1">
      <c r="A283" s="240"/>
      <c r="B283" s="241"/>
      <c r="C283" s="242"/>
      <c r="D283" s="242"/>
      <c r="E283" s="243"/>
      <c r="F283" s="244"/>
      <c r="G283" s="244"/>
      <c r="H283" s="243"/>
      <c r="I283" s="258"/>
      <c r="J283" s="245"/>
      <c r="K283" s="245"/>
      <c r="L283" s="76">
        <f t="shared" si="40"/>
        <v>0</v>
      </c>
      <c r="M283" s="246"/>
      <c r="N283" s="247"/>
      <c r="O283" s="248"/>
      <c r="P283" s="246"/>
      <c r="Q283" s="249"/>
      <c r="R283" s="250"/>
      <c r="S283" s="259"/>
      <c r="T283" s="260"/>
      <c r="U283" s="250"/>
      <c r="V283" s="78">
        <f t="shared" si="41"/>
        <v>0</v>
      </c>
      <c r="W283" s="261">
        <f t="shared" si="42"/>
        <v>0</v>
      </c>
      <c r="X283" s="133">
        <f t="shared" si="43"/>
        <v>0</v>
      </c>
      <c r="Y283" s="251"/>
      <c r="Z283" s="1736"/>
      <c r="AA283" s="1737"/>
      <c r="AB283" s="77">
        <f t="shared" si="44"/>
        <v>0</v>
      </c>
      <c r="AC283" s="134">
        <f t="shared" si="45"/>
        <v>0</v>
      </c>
      <c r="AD283" s="251"/>
      <c r="AE283" s="1736"/>
      <c r="AF283" s="1737"/>
      <c r="AG283" s="77">
        <f t="shared" si="46"/>
        <v>0</v>
      </c>
      <c r="AH283" s="136">
        <f t="shared" si="47"/>
        <v>0</v>
      </c>
      <c r="AI283" s="251"/>
      <c r="AJ283" s="1736"/>
      <c r="AK283" s="1737"/>
      <c r="AL283" s="79">
        <f t="shared" si="48"/>
        <v>0</v>
      </c>
      <c r="AM283" s="137">
        <f t="shared" si="49"/>
        <v>0</v>
      </c>
      <c r="AN283" s="251"/>
      <c r="AO283" s="1736"/>
      <c r="AP283" s="1737"/>
    </row>
    <row r="284" spans="1:42" s="85" customFormat="1" ht="13.5" thickBot="1">
      <c r="A284" s="240"/>
      <c r="B284" s="241"/>
      <c r="C284" s="242"/>
      <c r="D284" s="242"/>
      <c r="E284" s="243"/>
      <c r="F284" s="244"/>
      <c r="G284" s="244"/>
      <c r="H284" s="243"/>
      <c r="I284" s="258"/>
      <c r="J284" s="245"/>
      <c r="K284" s="245"/>
      <c r="L284" s="76">
        <f t="shared" si="40"/>
        <v>0</v>
      </c>
      <c r="M284" s="246"/>
      <c r="N284" s="247"/>
      <c r="O284" s="248"/>
      <c r="P284" s="246"/>
      <c r="Q284" s="249"/>
      <c r="R284" s="250"/>
      <c r="S284" s="259"/>
      <c r="T284" s="260"/>
      <c r="U284" s="250"/>
      <c r="V284" s="78">
        <f t="shared" si="41"/>
        <v>0</v>
      </c>
      <c r="W284" s="261">
        <f t="shared" si="42"/>
        <v>0</v>
      </c>
      <c r="X284" s="133">
        <f t="shared" si="43"/>
        <v>0</v>
      </c>
      <c r="Y284" s="251"/>
      <c r="Z284" s="1736"/>
      <c r="AA284" s="1737"/>
      <c r="AB284" s="77">
        <f t="shared" si="44"/>
        <v>0</v>
      </c>
      <c r="AC284" s="134">
        <f t="shared" si="45"/>
        <v>0</v>
      </c>
      <c r="AD284" s="251"/>
      <c r="AE284" s="1736"/>
      <c r="AF284" s="1737"/>
      <c r="AG284" s="77">
        <f t="shared" si="46"/>
        <v>0</v>
      </c>
      <c r="AH284" s="136">
        <f t="shared" si="47"/>
        <v>0</v>
      </c>
      <c r="AI284" s="251"/>
      <c r="AJ284" s="1736"/>
      <c r="AK284" s="1737"/>
      <c r="AL284" s="79">
        <f t="shared" si="48"/>
        <v>0</v>
      </c>
      <c r="AM284" s="137">
        <f t="shared" si="49"/>
        <v>0</v>
      </c>
      <c r="AN284" s="251"/>
      <c r="AO284" s="1736"/>
      <c r="AP284" s="1737"/>
    </row>
    <row r="285" spans="1:42" s="85" customFormat="1" ht="13.5" thickBot="1">
      <c r="A285" s="240"/>
      <c r="B285" s="241"/>
      <c r="C285" s="242"/>
      <c r="D285" s="242"/>
      <c r="E285" s="243"/>
      <c r="F285" s="244"/>
      <c r="G285" s="244"/>
      <c r="H285" s="243"/>
      <c r="I285" s="258"/>
      <c r="J285" s="245"/>
      <c r="K285" s="245"/>
      <c r="L285" s="76">
        <f t="shared" si="40"/>
        <v>0</v>
      </c>
      <c r="M285" s="246"/>
      <c r="N285" s="247"/>
      <c r="O285" s="248"/>
      <c r="P285" s="246"/>
      <c r="Q285" s="249"/>
      <c r="R285" s="250"/>
      <c r="S285" s="259"/>
      <c r="T285" s="260"/>
      <c r="U285" s="250"/>
      <c r="V285" s="78">
        <f t="shared" si="41"/>
        <v>0</v>
      </c>
      <c r="W285" s="261">
        <f t="shared" si="42"/>
        <v>0</v>
      </c>
      <c r="X285" s="133">
        <f t="shared" si="43"/>
        <v>0</v>
      </c>
      <c r="Y285" s="251"/>
      <c r="Z285" s="1736"/>
      <c r="AA285" s="1737"/>
      <c r="AB285" s="77">
        <f t="shared" si="44"/>
        <v>0</v>
      </c>
      <c r="AC285" s="134">
        <f t="shared" si="45"/>
        <v>0</v>
      </c>
      <c r="AD285" s="251"/>
      <c r="AE285" s="1736"/>
      <c r="AF285" s="1737"/>
      <c r="AG285" s="77">
        <f t="shared" si="46"/>
        <v>0</v>
      </c>
      <c r="AH285" s="136">
        <f t="shared" si="47"/>
        <v>0</v>
      </c>
      <c r="AI285" s="251"/>
      <c r="AJ285" s="1736"/>
      <c r="AK285" s="1737"/>
      <c r="AL285" s="79">
        <f t="shared" si="48"/>
        <v>0</v>
      </c>
      <c r="AM285" s="137">
        <f t="shared" si="49"/>
        <v>0</v>
      </c>
      <c r="AN285" s="251"/>
      <c r="AO285" s="1736"/>
      <c r="AP285" s="1737"/>
    </row>
    <row r="286" spans="1:42" s="85" customFormat="1" ht="13.5" thickBot="1">
      <c r="A286" s="240"/>
      <c r="B286" s="241"/>
      <c r="C286" s="242"/>
      <c r="D286" s="242"/>
      <c r="E286" s="243"/>
      <c r="F286" s="244"/>
      <c r="G286" s="244"/>
      <c r="H286" s="243"/>
      <c r="I286" s="258"/>
      <c r="J286" s="245"/>
      <c r="K286" s="245"/>
      <c r="L286" s="76">
        <f t="shared" si="40"/>
        <v>0</v>
      </c>
      <c r="M286" s="246"/>
      <c r="N286" s="247"/>
      <c r="O286" s="248"/>
      <c r="P286" s="246"/>
      <c r="Q286" s="249"/>
      <c r="R286" s="250"/>
      <c r="S286" s="259"/>
      <c r="T286" s="260"/>
      <c r="U286" s="250"/>
      <c r="V286" s="78">
        <f t="shared" si="41"/>
        <v>0</v>
      </c>
      <c r="W286" s="261">
        <f t="shared" si="42"/>
        <v>0</v>
      </c>
      <c r="X286" s="133">
        <f t="shared" si="43"/>
        <v>0</v>
      </c>
      <c r="Y286" s="251"/>
      <c r="Z286" s="1736"/>
      <c r="AA286" s="1737"/>
      <c r="AB286" s="77">
        <f t="shared" si="44"/>
        <v>0</v>
      </c>
      <c r="AC286" s="134">
        <f t="shared" si="45"/>
        <v>0</v>
      </c>
      <c r="AD286" s="251"/>
      <c r="AE286" s="1736"/>
      <c r="AF286" s="1737"/>
      <c r="AG286" s="77">
        <f t="shared" si="46"/>
        <v>0</v>
      </c>
      <c r="AH286" s="136">
        <f t="shared" si="47"/>
        <v>0</v>
      </c>
      <c r="AI286" s="251"/>
      <c r="AJ286" s="1736"/>
      <c r="AK286" s="1737"/>
      <c r="AL286" s="79">
        <f t="shared" si="48"/>
        <v>0</v>
      </c>
      <c r="AM286" s="137">
        <f t="shared" si="49"/>
        <v>0</v>
      </c>
      <c r="AN286" s="251"/>
      <c r="AO286" s="1736"/>
      <c r="AP286" s="1737"/>
    </row>
    <row r="287" spans="1:42" s="85" customFormat="1" ht="13.5" thickBot="1">
      <c r="A287" s="240"/>
      <c r="B287" s="241"/>
      <c r="C287" s="242"/>
      <c r="D287" s="242"/>
      <c r="E287" s="243"/>
      <c r="F287" s="244"/>
      <c r="G287" s="244"/>
      <c r="H287" s="243"/>
      <c r="I287" s="258"/>
      <c r="J287" s="245"/>
      <c r="K287" s="245"/>
      <c r="L287" s="76">
        <f t="shared" si="40"/>
        <v>0</v>
      </c>
      <c r="M287" s="246"/>
      <c r="N287" s="247"/>
      <c r="O287" s="248"/>
      <c r="P287" s="246"/>
      <c r="Q287" s="249"/>
      <c r="R287" s="250"/>
      <c r="S287" s="259"/>
      <c r="T287" s="260"/>
      <c r="U287" s="250"/>
      <c r="V287" s="78">
        <f t="shared" si="41"/>
        <v>0</v>
      </c>
      <c r="W287" s="261">
        <f t="shared" si="42"/>
        <v>0</v>
      </c>
      <c r="X287" s="133">
        <f t="shared" si="43"/>
        <v>0</v>
      </c>
      <c r="Y287" s="251"/>
      <c r="Z287" s="1736"/>
      <c r="AA287" s="1737"/>
      <c r="AB287" s="77">
        <f t="shared" si="44"/>
        <v>0</v>
      </c>
      <c r="AC287" s="134">
        <f t="shared" si="45"/>
        <v>0</v>
      </c>
      <c r="AD287" s="251"/>
      <c r="AE287" s="1736"/>
      <c r="AF287" s="1737"/>
      <c r="AG287" s="77">
        <f t="shared" si="46"/>
        <v>0</v>
      </c>
      <c r="AH287" s="136">
        <f t="shared" si="47"/>
        <v>0</v>
      </c>
      <c r="AI287" s="251"/>
      <c r="AJ287" s="1736"/>
      <c r="AK287" s="1737"/>
      <c r="AL287" s="79">
        <f t="shared" si="48"/>
        <v>0</v>
      </c>
      <c r="AM287" s="137">
        <f t="shared" si="49"/>
        <v>0</v>
      </c>
      <c r="AN287" s="251"/>
      <c r="AO287" s="1736"/>
      <c r="AP287" s="1737"/>
    </row>
    <row r="288" spans="1:42" s="85" customFormat="1" ht="13.5" thickBot="1">
      <c r="A288" s="240"/>
      <c r="B288" s="241"/>
      <c r="C288" s="242"/>
      <c r="D288" s="242"/>
      <c r="E288" s="243"/>
      <c r="F288" s="244"/>
      <c r="G288" s="244"/>
      <c r="H288" s="243"/>
      <c r="I288" s="258"/>
      <c r="J288" s="245"/>
      <c r="K288" s="245"/>
      <c r="L288" s="76">
        <f t="shared" si="40"/>
        <v>0</v>
      </c>
      <c r="M288" s="246"/>
      <c r="N288" s="247"/>
      <c r="O288" s="248"/>
      <c r="P288" s="246"/>
      <c r="Q288" s="249"/>
      <c r="R288" s="250"/>
      <c r="S288" s="259"/>
      <c r="T288" s="260"/>
      <c r="U288" s="250"/>
      <c r="V288" s="78">
        <f t="shared" si="41"/>
        <v>0</v>
      </c>
      <c r="W288" s="261">
        <f t="shared" si="42"/>
        <v>0</v>
      </c>
      <c r="X288" s="133">
        <f t="shared" si="43"/>
        <v>0</v>
      </c>
      <c r="Y288" s="251"/>
      <c r="Z288" s="1736"/>
      <c r="AA288" s="1737"/>
      <c r="AB288" s="77">
        <f t="shared" si="44"/>
        <v>0</v>
      </c>
      <c r="AC288" s="134">
        <f t="shared" si="45"/>
        <v>0</v>
      </c>
      <c r="AD288" s="251"/>
      <c r="AE288" s="1736"/>
      <c r="AF288" s="1737"/>
      <c r="AG288" s="77">
        <f t="shared" si="46"/>
        <v>0</v>
      </c>
      <c r="AH288" s="136">
        <f t="shared" si="47"/>
        <v>0</v>
      </c>
      <c r="AI288" s="251"/>
      <c r="AJ288" s="1736"/>
      <c r="AK288" s="1737"/>
      <c r="AL288" s="79">
        <f t="shared" si="48"/>
        <v>0</v>
      </c>
      <c r="AM288" s="137">
        <f t="shared" si="49"/>
        <v>0</v>
      </c>
      <c r="AN288" s="251"/>
      <c r="AO288" s="1736"/>
      <c r="AP288" s="1737"/>
    </row>
    <row r="289" spans="1:42" s="85" customFormat="1" ht="13.5" thickBot="1">
      <c r="A289" s="240"/>
      <c r="B289" s="241"/>
      <c r="C289" s="242"/>
      <c r="D289" s="242"/>
      <c r="E289" s="243"/>
      <c r="F289" s="244"/>
      <c r="G289" s="244"/>
      <c r="H289" s="243"/>
      <c r="I289" s="258"/>
      <c r="J289" s="245"/>
      <c r="K289" s="245"/>
      <c r="L289" s="76">
        <f t="shared" si="40"/>
        <v>0</v>
      </c>
      <c r="M289" s="246"/>
      <c r="N289" s="247"/>
      <c r="O289" s="248"/>
      <c r="P289" s="246"/>
      <c r="Q289" s="249"/>
      <c r="R289" s="250"/>
      <c r="S289" s="259"/>
      <c r="T289" s="260"/>
      <c r="U289" s="250"/>
      <c r="V289" s="78">
        <f t="shared" si="41"/>
        <v>0</v>
      </c>
      <c r="W289" s="261">
        <f t="shared" si="42"/>
        <v>0</v>
      </c>
      <c r="X289" s="133">
        <f t="shared" si="43"/>
        <v>0</v>
      </c>
      <c r="Y289" s="251"/>
      <c r="Z289" s="1736"/>
      <c r="AA289" s="1737"/>
      <c r="AB289" s="77">
        <f t="shared" si="44"/>
        <v>0</v>
      </c>
      <c r="AC289" s="134">
        <f t="shared" si="45"/>
        <v>0</v>
      </c>
      <c r="AD289" s="251"/>
      <c r="AE289" s="1736"/>
      <c r="AF289" s="1737"/>
      <c r="AG289" s="77">
        <f t="shared" si="46"/>
        <v>0</v>
      </c>
      <c r="AH289" s="136">
        <f t="shared" si="47"/>
        <v>0</v>
      </c>
      <c r="AI289" s="251"/>
      <c r="AJ289" s="1736"/>
      <c r="AK289" s="1737"/>
      <c r="AL289" s="79">
        <f t="shared" si="48"/>
        <v>0</v>
      </c>
      <c r="AM289" s="137">
        <f t="shared" si="49"/>
        <v>0</v>
      </c>
      <c r="AN289" s="251"/>
      <c r="AO289" s="1736"/>
      <c r="AP289" s="1737"/>
    </row>
    <row r="290" spans="1:42" s="85" customFormat="1" ht="13.5" thickBot="1">
      <c r="A290" s="240"/>
      <c r="B290" s="241"/>
      <c r="C290" s="242"/>
      <c r="D290" s="242"/>
      <c r="E290" s="243"/>
      <c r="F290" s="244"/>
      <c r="G290" s="244"/>
      <c r="H290" s="243"/>
      <c r="I290" s="258"/>
      <c r="J290" s="245"/>
      <c r="K290" s="245"/>
      <c r="L290" s="76">
        <f t="shared" si="40"/>
        <v>0</v>
      </c>
      <c r="M290" s="246"/>
      <c r="N290" s="247"/>
      <c r="O290" s="248"/>
      <c r="P290" s="246"/>
      <c r="Q290" s="249"/>
      <c r="R290" s="250"/>
      <c r="S290" s="259"/>
      <c r="T290" s="260"/>
      <c r="U290" s="250"/>
      <c r="V290" s="78">
        <f t="shared" si="41"/>
        <v>0</v>
      </c>
      <c r="W290" s="261">
        <f t="shared" si="42"/>
        <v>0</v>
      </c>
      <c r="X290" s="133">
        <f t="shared" si="43"/>
        <v>0</v>
      </c>
      <c r="Y290" s="251"/>
      <c r="Z290" s="1736"/>
      <c r="AA290" s="1737"/>
      <c r="AB290" s="77">
        <f t="shared" si="44"/>
        <v>0</v>
      </c>
      <c r="AC290" s="134">
        <f t="shared" si="45"/>
        <v>0</v>
      </c>
      <c r="AD290" s="251"/>
      <c r="AE290" s="1736"/>
      <c r="AF290" s="1737"/>
      <c r="AG290" s="77">
        <f t="shared" si="46"/>
        <v>0</v>
      </c>
      <c r="AH290" s="136">
        <f t="shared" si="47"/>
        <v>0</v>
      </c>
      <c r="AI290" s="251"/>
      <c r="AJ290" s="1736"/>
      <c r="AK290" s="1737"/>
      <c r="AL290" s="79">
        <f t="shared" si="48"/>
        <v>0</v>
      </c>
      <c r="AM290" s="137">
        <f t="shared" si="49"/>
        <v>0</v>
      </c>
      <c r="AN290" s="251"/>
      <c r="AO290" s="1736"/>
      <c r="AP290" s="1737"/>
    </row>
    <row r="291" spans="1:42" s="85" customFormat="1" ht="13.5" thickBot="1">
      <c r="A291" s="240"/>
      <c r="B291" s="241"/>
      <c r="C291" s="242"/>
      <c r="D291" s="242"/>
      <c r="E291" s="243"/>
      <c r="F291" s="244"/>
      <c r="G291" s="244"/>
      <c r="H291" s="243"/>
      <c r="I291" s="258"/>
      <c r="J291" s="245"/>
      <c r="K291" s="245"/>
      <c r="L291" s="76">
        <f t="shared" si="40"/>
        <v>0</v>
      </c>
      <c r="M291" s="246"/>
      <c r="N291" s="247"/>
      <c r="O291" s="248"/>
      <c r="P291" s="246"/>
      <c r="Q291" s="249"/>
      <c r="R291" s="250"/>
      <c r="S291" s="259"/>
      <c r="T291" s="260"/>
      <c r="U291" s="250"/>
      <c r="V291" s="78">
        <f t="shared" si="41"/>
        <v>0</v>
      </c>
      <c r="W291" s="261">
        <f t="shared" si="42"/>
        <v>0</v>
      </c>
      <c r="X291" s="133">
        <f t="shared" si="43"/>
        <v>0</v>
      </c>
      <c r="Y291" s="251"/>
      <c r="Z291" s="1736"/>
      <c r="AA291" s="1737"/>
      <c r="AB291" s="77">
        <f t="shared" si="44"/>
        <v>0</v>
      </c>
      <c r="AC291" s="134">
        <f t="shared" si="45"/>
        <v>0</v>
      </c>
      <c r="AD291" s="251"/>
      <c r="AE291" s="1736"/>
      <c r="AF291" s="1737"/>
      <c r="AG291" s="77">
        <f t="shared" si="46"/>
        <v>0</v>
      </c>
      <c r="AH291" s="136">
        <f t="shared" si="47"/>
        <v>0</v>
      </c>
      <c r="AI291" s="251"/>
      <c r="AJ291" s="1736"/>
      <c r="AK291" s="1737"/>
      <c r="AL291" s="79">
        <f t="shared" si="48"/>
        <v>0</v>
      </c>
      <c r="AM291" s="137">
        <f t="shared" si="49"/>
        <v>0</v>
      </c>
      <c r="AN291" s="251"/>
      <c r="AO291" s="1736"/>
      <c r="AP291" s="1737"/>
    </row>
    <row r="292" spans="1:42" s="85" customFormat="1" ht="13.5" thickBot="1">
      <c r="A292" s="240"/>
      <c r="B292" s="241"/>
      <c r="C292" s="242"/>
      <c r="D292" s="242"/>
      <c r="E292" s="243"/>
      <c r="F292" s="244"/>
      <c r="G292" s="244"/>
      <c r="H292" s="243"/>
      <c r="I292" s="258"/>
      <c r="J292" s="245"/>
      <c r="K292" s="245"/>
      <c r="L292" s="76">
        <f t="shared" si="40"/>
        <v>0</v>
      </c>
      <c r="M292" s="246"/>
      <c r="N292" s="247"/>
      <c r="O292" s="248"/>
      <c r="P292" s="246"/>
      <c r="Q292" s="249"/>
      <c r="R292" s="250"/>
      <c r="S292" s="259"/>
      <c r="T292" s="260"/>
      <c r="U292" s="250"/>
      <c r="V292" s="78">
        <f t="shared" si="41"/>
        <v>0</v>
      </c>
      <c r="W292" s="261">
        <f t="shared" si="42"/>
        <v>0</v>
      </c>
      <c r="X292" s="133">
        <f t="shared" si="43"/>
        <v>0</v>
      </c>
      <c r="Y292" s="251"/>
      <c r="Z292" s="1736"/>
      <c r="AA292" s="1737"/>
      <c r="AB292" s="77">
        <f t="shared" si="44"/>
        <v>0</v>
      </c>
      <c r="AC292" s="134">
        <f t="shared" si="45"/>
        <v>0</v>
      </c>
      <c r="AD292" s="251"/>
      <c r="AE292" s="1736"/>
      <c r="AF292" s="1737"/>
      <c r="AG292" s="77">
        <f t="shared" si="46"/>
        <v>0</v>
      </c>
      <c r="AH292" s="136">
        <f t="shared" si="47"/>
        <v>0</v>
      </c>
      <c r="AI292" s="251"/>
      <c r="AJ292" s="1736"/>
      <c r="AK292" s="1737"/>
      <c r="AL292" s="79">
        <f t="shared" si="48"/>
        <v>0</v>
      </c>
      <c r="AM292" s="137">
        <f t="shared" si="49"/>
        <v>0</v>
      </c>
      <c r="AN292" s="251"/>
      <c r="AO292" s="1736"/>
      <c r="AP292" s="1737"/>
    </row>
    <row r="293" spans="1:42" s="85" customFormat="1" ht="13.5" thickBot="1">
      <c r="A293" s="240"/>
      <c r="B293" s="241"/>
      <c r="C293" s="242"/>
      <c r="D293" s="242"/>
      <c r="E293" s="243"/>
      <c r="F293" s="244"/>
      <c r="G293" s="244"/>
      <c r="H293" s="243"/>
      <c r="I293" s="258"/>
      <c r="J293" s="245"/>
      <c r="K293" s="245"/>
      <c r="L293" s="76">
        <f t="shared" si="40"/>
        <v>0</v>
      </c>
      <c r="M293" s="246"/>
      <c r="N293" s="247"/>
      <c r="O293" s="248"/>
      <c r="P293" s="246"/>
      <c r="Q293" s="249"/>
      <c r="R293" s="250"/>
      <c r="S293" s="259"/>
      <c r="T293" s="260"/>
      <c r="U293" s="250"/>
      <c r="V293" s="78">
        <f t="shared" si="41"/>
        <v>0</v>
      </c>
      <c r="W293" s="261">
        <f t="shared" si="42"/>
        <v>0</v>
      </c>
      <c r="X293" s="133">
        <f t="shared" si="43"/>
        <v>0</v>
      </c>
      <c r="Y293" s="251"/>
      <c r="Z293" s="1736"/>
      <c r="AA293" s="1737"/>
      <c r="AB293" s="77">
        <f t="shared" si="44"/>
        <v>0</v>
      </c>
      <c r="AC293" s="134">
        <f t="shared" si="45"/>
        <v>0</v>
      </c>
      <c r="AD293" s="251"/>
      <c r="AE293" s="1736"/>
      <c r="AF293" s="1737"/>
      <c r="AG293" s="77">
        <f t="shared" si="46"/>
        <v>0</v>
      </c>
      <c r="AH293" s="136">
        <f t="shared" si="47"/>
        <v>0</v>
      </c>
      <c r="AI293" s="251"/>
      <c r="AJ293" s="1736"/>
      <c r="AK293" s="1737"/>
      <c r="AL293" s="79">
        <f t="shared" si="48"/>
        <v>0</v>
      </c>
      <c r="AM293" s="137">
        <f t="shared" si="49"/>
        <v>0</v>
      </c>
      <c r="AN293" s="251"/>
      <c r="AO293" s="1736"/>
      <c r="AP293" s="1737"/>
    </row>
    <row r="294" spans="1:42" s="85" customFormat="1" ht="13.5" thickBot="1">
      <c r="A294" s="240"/>
      <c r="B294" s="241"/>
      <c r="C294" s="242"/>
      <c r="D294" s="242"/>
      <c r="E294" s="243"/>
      <c r="F294" s="244"/>
      <c r="G294" s="244"/>
      <c r="H294" s="243"/>
      <c r="I294" s="258"/>
      <c r="J294" s="245"/>
      <c r="K294" s="245"/>
      <c r="L294" s="76">
        <f t="shared" si="40"/>
        <v>0</v>
      </c>
      <c r="M294" s="246"/>
      <c r="N294" s="247"/>
      <c r="O294" s="248"/>
      <c r="P294" s="246"/>
      <c r="Q294" s="249"/>
      <c r="R294" s="250"/>
      <c r="S294" s="259"/>
      <c r="T294" s="260"/>
      <c r="U294" s="250"/>
      <c r="V294" s="78">
        <f t="shared" si="41"/>
        <v>0</v>
      </c>
      <c r="W294" s="261">
        <f t="shared" si="42"/>
        <v>0</v>
      </c>
      <c r="X294" s="133">
        <f t="shared" si="43"/>
        <v>0</v>
      </c>
      <c r="Y294" s="251"/>
      <c r="Z294" s="1736"/>
      <c r="AA294" s="1737"/>
      <c r="AB294" s="77">
        <f t="shared" si="44"/>
        <v>0</v>
      </c>
      <c r="AC294" s="134">
        <f t="shared" si="45"/>
        <v>0</v>
      </c>
      <c r="AD294" s="251"/>
      <c r="AE294" s="1736"/>
      <c r="AF294" s="1737"/>
      <c r="AG294" s="77">
        <f t="shared" si="46"/>
        <v>0</v>
      </c>
      <c r="AH294" s="136">
        <f t="shared" si="47"/>
        <v>0</v>
      </c>
      <c r="AI294" s="251"/>
      <c r="AJ294" s="1736"/>
      <c r="AK294" s="1737"/>
      <c r="AL294" s="79">
        <f t="shared" si="48"/>
        <v>0</v>
      </c>
      <c r="AM294" s="137">
        <f t="shared" si="49"/>
        <v>0</v>
      </c>
      <c r="AN294" s="251"/>
      <c r="AO294" s="1736"/>
      <c r="AP294" s="1737"/>
    </row>
    <row r="295" spans="1:42" s="85" customFormat="1" ht="13.5" thickBot="1">
      <c r="A295" s="240"/>
      <c r="B295" s="241"/>
      <c r="C295" s="242"/>
      <c r="D295" s="242"/>
      <c r="E295" s="243"/>
      <c r="F295" s="244"/>
      <c r="G295" s="244"/>
      <c r="H295" s="243"/>
      <c r="I295" s="258"/>
      <c r="J295" s="245"/>
      <c r="K295" s="245"/>
      <c r="L295" s="76">
        <f t="shared" si="40"/>
        <v>0</v>
      </c>
      <c r="M295" s="246"/>
      <c r="N295" s="247"/>
      <c r="O295" s="248"/>
      <c r="P295" s="246"/>
      <c r="Q295" s="249"/>
      <c r="R295" s="250"/>
      <c r="S295" s="259"/>
      <c r="T295" s="260"/>
      <c r="U295" s="250"/>
      <c r="V295" s="78">
        <f t="shared" si="41"/>
        <v>0</v>
      </c>
      <c r="W295" s="261">
        <f t="shared" si="42"/>
        <v>0</v>
      </c>
      <c r="X295" s="133">
        <f t="shared" si="43"/>
        <v>0</v>
      </c>
      <c r="Y295" s="251"/>
      <c r="Z295" s="1736"/>
      <c r="AA295" s="1737"/>
      <c r="AB295" s="77">
        <f t="shared" si="44"/>
        <v>0</v>
      </c>
      <c r="AC295" s="134">
        <f t="shared" si="45"/>
        <v>0</v>
      </c>
      <c r="AD295" s="251"/>
      <c r="AE295" s="1736"/>
      <c r="AF295" s="1737"/>
      <c r="AG295" s="77">
        <f t="shared" si="46"/>
        <v>0</v>
      </c>
      <c r="AH295" s="136">
        <f t="shared" si="47"/>
        <v>0</v>
      </c>
      <c r="AI295" s="251"/>
      <c r="AJ295" s="1736"/>
      <c r="AK295" s="1737"/>
      <c r="AL295" s="79">
        <f t="shared" si="48"/>
        <v>0</v>
      </c>
      <c r="AM295" s="137">
        <f t="shared" si="49"/>
        <v>0</v>
      </c>
      <c r="AN295" s="251"/>
      <c r="AO295" s="1736"/>
      <c r="AP295" s="1737"/>
    </row>
    <row r="296" spans="1:42" s="85" customFormat="1" ht="13.5" thickBot="1">
      <c r="A296" s="240"/>
      <c r="B296" s="241"/>
      <c r="C296" s="242"/>
      <c r="D296" s="242"/>
      <c r="E296" s="243"/>
      <c r="F296" s="244"/>
      <c r="G296" s="244"/>
      <c r="H296" s="243"/>
      <c r="I296" s="258"/>
      <c r="J296" s="245"/>
      <c r="K296" s="245"/>
      <c r="L296" s="76">
        <f t="shared" si="40"/>
        <v>0</v>
      </c>
      <c r="M296" s="246"/>
      <c r="N296" s="247"/>
      <c r="O296" s="248"/>
      <c r="P296" s="246"/>
      <c r="Q296" s="249"/>
      <c r="R296" s="250"/>
      <c r="S296" s="259"/>
      <c r="T296" s="260"/>
      <c r="U296" s="250"/>
      <c r="V296" s="78">
        <f t="shared" si="41"/>
        <v>0</v>
      </c>
      <c r="W296" s="261">
        <f t="shared" si="42"/>
        <v>0</v>
      </c>
      <c r="X296" s="133">
        <f t="shared" si="43"/>
        <v>0</v>
      </c>
      <c r="Y296" s="251"/>
      <c r="Z296" s="1736"/>
      <c r="AA296" s="1737"/>
      <c r="AB296" s="77">
        <f t="shared" si="44"/>
        <v>0</v>
      </c>
      <c r="AC296" s="134">
        <f t="shared" si="45"/>
        <v>0</v>
      </c>
      <c r="AD296" s="251"/>
      <c r="AE296" s="1736"/>
      <c r="AF296" s="1737"/>
      <c r="AG296" s="77">
        <f t="shared" si="46"/>
        <v>0</v>
      </c>
      <c r="AH296" s="136">
        <f t="shared" si="47"/>
        <v>0</v>
      </c>
      <c r="AI296" s="251"/>
      <c r="AJ296" s="1736"/>
      <c r="AK296" s="1737"/>
      <c r="AL296" s="79">
        <f t="shared" si="48"/>
        <v>0</v>
      </c>
      <c r="AM296" s="137">
        <f t="shared" si="49"/>
        <v>0</v>
      </c>
      <c r="AN296" s="251"/>
      <c r="AO296" s="1736"/>
      <c r="AP296" s="1737"/>
    </row>
    <row r="297" spans="1:42" s="85" customFormat="1" ht="13.5" thickBot="1">
      <c r="A297" s="240"/>
      <c r="B297" s="241"/>
      <c r="C297" s="242"/>
      <c r="D297" s="242"/>
      <c r="E297" s="243"/>
      <c r="F297" s="244"/>
      <c r="G297" s="244"/>
      <c r="H297" s="243"/>
      <c r="I297" s="258"/>
      <c r="J297" s="245"/>
      <c r="K297" s="245"/>
      <c r="L297" s="76">
        <f t="shared" si="40"/>
        <v>0</v>
      </c>
      <c r="M297" s="246"/>
      <c r="N297" s="247"/>
      <c r="O297" s="248"/>
      <c r="P297" s="246"/>
      <c r="Q297" s="249"/>
      <c r="R297" s="250"/>
      <c r="S297" s="259"/>
      <c r="T297" s="260"/>
      <c r="U297" s="250"/>
      <c r="V297" s="78">
        <f t="shared" si="41"/>
        <v>0</v>
      </c>
      <c r="W297" s="261">
        <f t="shared" si="42"/>
        <v>0</v>
      </c>
      <c r="X297" s="133">
        <f t="shared" si="43"/>
        <v>0</v>
      </c>
      <c r="Y297" s="251"/>
      <c r="Z297" s="1736"/>
      <c r="AA297" s="1737"/>
      <c r="AB297" s="77">
        <f t="shared" si="44"/>
        <v>0</v>
      </c>
      <c r="AC297" s="134">
        <f t="shared" si="45"/>
        <v>0</v>
      </c>
      <c r="AD297" s="251"/>
      <c r="AE297" s="1736"/>
      <c r="AF297" s="1737"/>
      <c r="AG297" s="77">
        <f t="shared" si="46"/>
        <v>0</v>
      </c>
      <c r="AH297" s="136">
        <f t="shared" si="47"/>
        <v>0</v>
      </c>
      <c r="AI297" s="251"/>
      <c r="AJ297" s="1736"/>
      <c r="AK297" s="1737"/>
      <c r="AL297" s="79">
        <f t="shared" si="48"/>
        <v>0</v>
      </c>
      <c r="AM297" s="137">
        <f t="shared" si="49"/>
        <v>0</v>
      </c>
      <c r="AN297" s="251"/>
      <c r="AO297" s="1736"/>
      <c r="AP297" s="1737"/>
    </row>
    <row r="298" spans="1:42" s="85" customFormat="1" ht="13.5" thickBot="1">
      <c r="A298" s="240"/>
      <c r="B298" s="241"/>
      <c r="C298" s="242"/>
      <c r="D298" s="242"/>
      <c r="E298" s="243"/>
      <c r="F298" s="244"/>
      <c r="G298" s="244"/>
      <c r="H298" s="243"/>
      <c r="I298" s="258"/>
      <c r="J298" s="245"/>
      <c r="K298" s="245"/>
      <c r="L298" s="76">
        <f t="shared" si="40"/>
        <v>0</v>
      </c>
      <c r="M298" s="246"/>
      <c r="N298" s="247"/>
      <c r="O298" s="248"/>
      <c r="P298" s="246"/>
      <c r="Q298" s="249"/>
      <c r="R298" s="250"/>
      <c r="S298" s="259"/>
      <c r="T298" s="260"/>
      <c r="U298" s="250"/>
      <c r="V298" s="78">
        <f t="shared" si="41"/>
        <v>0</v>
      </c>
      <c r="W298" s="261">
        <f t="shared" si="42"/>
        <v>0</v>
      </c>
      <c r="X298" s="133">
        <f t="shared" si="43"/>
        <v>0</v>
      </c>
      <c r="Y298" s="251"/>
      <c r="Z298" s="1736"/>
      <c r="AA298" s="1737"/>
      <c r="AB298" s="77">
        <f t="shared" si="44"/>
        <v>0</v>
      </c>
      <c r="AC298" s="134">
        <f t="shared" si="45"/>
        <v>0</v>
      </c>
      <c r="AD298" s="251"/>
      <c r="AE298" s="1736"/>
      <c r="AF298" s="1737"/>
      <c r="AG298" s="77">
        <f t="shared" si="46"/>
        <v>0</v>
      </c>
      <c r="AH298" s="136">
        <f t="shared" si="47"/>
        <v>0</v>
      </c>
      <c r="AI298" s="251"/>
      <c r="AJ298" s="1736"/>
      <c r="AK298" s="1737"/>
      <c r="AL298" s="79">
        <f t="shared" si="48"/>
        <v>0</v>
      </c>
      <c r="AM298" s="137">
        <f t="shared" si="49"/>
        <v>0</v>
      </c>
      <c r="AN298" s="251"/>
      <c r="AO298" s="1736"/>
      <c r="AP298" s="1737"/>
    </row>
    <row r="299" spans="1:42" s="85" customFormat="1" ht="13.5" thickBot="1">
      <c r="A299" s="240"/>
      <c r="B299" s="241"/>
      <c r="C299" s="242"/>
      <c r="D299" s="242"/>
      <c r="E299" s="243"/>
      <c r="F299" s="244"/>
      <c r="G299" s="244"/>
      <c r="H299" s="243"/>
      <c r="I299" s="258"/>
      <c r="J299" s="245"/>
      <c r="K299" s="245"/>
      <c r="L299" s="76">
        <f t="shared" si="40"/>
        <v>0</v>
      </c>
      <c r="M299" s="246"/>
      <c r="N299" s="247"/>
      <c r="O299" s="248"/>
      <c r="P299" s="246"/>
      <c r="Q299" s="249"/>
      <c r="R299" s="250"/>
      <c r="S299" s="259"/>
      <c r="T299" s="260"/>
      <c r="U299" s="250"/>
      <c r="V299" s="78">
        <f t="shared" si="41"/>
        <v>0</v>
      </c>
      <c r="W299" s="261">
        <f t="shared" si="42"/>
        <v>0</v>
      </c>
      <c r="X299" s="133">
        <f t="shared" si="43"/>
        <v>0</v>
      </c>
      <c r="Y299" s="251"/>
      <c r="Z299" s="1736"/>
      <c r="AA299" s="1737"/>
      <c r="AB299" s="77">
        <f t="shared" si="44"/>
        <v>0</v>
      </c>
      <c r="AC299" s="134">
        <f t="shared" si="45"/>
        <v>0</v>
      </c>
      <c r="AD299" s="251"/>
      <c r="AE299" s="1736"/>
      <c r="AF299" s="1737"/>
      <c r="AG299" s="77">
        <f t="shared" si="46"/>
        <v>0</v>
      </c>
      <c r="AH299" s="136">
        <f t="shared" si="47"/>
        <v>0</v>
      </c>
      <c r="AI299" s="251"/>
      <c r="AJ299" s="1736"/>
      <c r="AK299" s="1737"/>
      <c r="AL299" s="79">
        <f t="shared" si="48"/>
        <v>0</v>
      </c>
      <c r="AM299" s="137">
        <f t="shared" si="49"/>
        <v>0</v>
      </c>
      <c r="AN299" s="251"/>
      <c r="AO299" s="1736"/>
      <c r="AP299" s="1737"/>
    </row>
    <row r="300" spans="1:42" s="85" customFormat="1" ht="13.5" thickBot="1">
      <c r="A300" s="240"/>
      <c r="B300" s="241"/>
      <c r="C300" s="242"/>
      <c r="D300" s="242"/>
      <c r="E300" s="243"/>
      <c r="F300" s="244"/>
      <c r="G300" s="244"/>
      <c r="H300" s="243"/>
      <c r="I300" s="258"/>
      <c r="J300" s="245"/>
      <c r="K300" s="245"/>
      <c r="L300" s="76">
        <f t="shared" si="40"/>
        <v>0</v>
      </c>
      <c r="M300" s="246"/>
      <c r="N300" s="247"/>
      <c r="O300" s="248"/>
      <c r="P300" s="246"/>
      <c r="Q300" s="249"/>
      <c r="R300" s="250"/>
      <c r="S300" s="259"/>
      <c r="T300" s="260"/>
      <c r="U300" s="250"/>
      <c r="V300" s="78">
        <f t="shared" si="41"/>
        <v>0</v>
      </c>
      <c r="W300" s="261">
        <f t="shared" si="42"/>
        <v>0</v>
      </c>
      <c r="X300" s="133">
        <f t="shared" si="43"/>
        <v>0</v>
      </c>
      <c r="Y300" s="251"/>
      <c r="Z300" s="1736"/>
      <c r="AA300" s="1737"/>
      <c r="AB300" s="77">
        <f t="shared" si="44"/>
        <v>0</v>
      </c>
      <c r="AC300" s="134">
        <f t="shared" si="45"/>
        <v>0</v>
      </c>
      <c r="AD300" s="251"/>
      <c r="AE300" s="1736"/>
      <c r="AF300" s="1737"/>
      <c r="AG300" s="77">
        <f t="shared" si="46"/>
        <v>0</v>
      </c>
      <c r="AH300" s="136">
        <f t="shared" si="47"/>
        <v>0</v>
      </c>
      <c r="AI300" s="251"/>
      <c r="AJ300" s="1736"/>
      <c r="AK300" s="1737"/>
      <c r="AL300" s="79">
        <f t="shared" si="48"/>
        <v>0</v>
      </c>
      <c r="AM300" s="137">
        <f t="shared" si="49"/>
        <v>0</v>
      </c>
      <c r="AN300" s="251"/>
      <c r="AO300" s="1736"/>
      <c r="AP300" s="1737"/>
    </row>
    <row r="301" spans="1:42" s="85" customFormat="1" ht="13.5" thickBot="1">
      <c r="A301" s="240"/>
      <c r="B301" s="241"/>
      <c r="C301" s="242"/>
      <c r="D301" s="242"/>
      <c r="E301" s="243"/>
      <c r="F301" s="244"/>
      <c r="G301" s="244"/>
      <c r="H301" s="243"/>
      <c r="I301" s="258"/>
      <c r="J301" s="245"/>
      <c r="K301" s="245"/>
      <c r="L301" s="76">
        <f t="shared" si="40"/>
        <v>0</v>
      </c>
      <c r="M301" s="246"/>
      <c r="N301" s="247"/>
      <c r="O301" s="248"/>
      <c r="P301" s="246"/>
      <c r="Q301" s="249"/>
      <c r="R301" s="250"/>
      <c r="S301" s="259"/>
      <c r="T301" s="260"/>
      <c r="U301" s="250"/>
      <c r="V301" s="78">
        <f t="shared" si="41"/>
        <v>0</v>
      </c>
      <c r="W301" s="261">
        <f t="shared" si="42"/>
        <v>0</v>
      </c>
      <c r="X301" s="133">
        <f t="shared" si="43"/>
        <v>0</v>
      </c>
      <c r="Y301" s="251"/>
      <c r="Z301" s="1736"/>
      <c r="AA301" s="1737"/>
      <c r="AB301" s="77">
        <f t="shared" si="44"/>
        <v>0</v>
      </c>
      <c r="AC301" s="134">
        <f t="shared" si="45"/>
        <v>0</v>
      </c>
      <c r="AD301" s="251"/>
      <c r="AE301" s="1736"/>
      <c r="AF301" s="1737"/>
      <c r="AG301" s="77">
        <f t="shared" si="46"/>
        <v>0</v>
      </c>
      <c r="AH301" s="136">
        <f t="shared" si="47"/>
        <v>0</v>
      </c>
      <c r="AI301" s="251"/>
      <c r="AJ301" s="1736"/>
      <c r="AK301" s="1737"/>
      <c r="AL301" s="79">
        <f t="shared" si="48"/>
        <v>0</v>
      </c>
      <c r="AM301" s="137">
        <f t="shared" si="49"/>
        <v>0</v>
      </c>
      <c r="AN301" s="251"/>
      <c r="AO301" s="1736"/>
      <c r="AP301" s="1737"/>
    </row>
    <row r="302" spans="1:42" s="85" customFormat="1" ht="13.5" thickBot="1">
      <c r="A302" s="240"/>
      <c r="B302" s="241"/>
      <c r="C302" s="242"/>
      <c r="D302" s="242"/>
      <c r="E302" s="243"/>
      <c r="F302" s="244"/>
      <c r="G302" s="244"/>
      <c r="H302" s="243"/>
      <c r="I302" s="258"/>
      <c r="J302" s="245"/>
      <c r="K302" s="245"/>
      <c r="L302" s="76">
        <f t="shared" si="40"/>
        <v>0</v>
      </c>
      <c r="M302" s="246"/>
      <c r="N302" s="247"/>
      <c r="O302" s="248"/>
      <c r="P302" s="246"/>
      <c r="Q302" s="249"/>
      <c r="R302" s="250"/>
      <c r="S302" s="259"/>
      <c r="T302" s="260"/>
      <c r="U302" s="250"/>
      <c r="V302" s="78">
        <f t="shared" si="41"/>
        <v>0</v>
      </c>
      <c r="W302" s="261">
        <f t="shared" si="42"/>
        <v>0</v>
      </c>
      <c r="X302" s="133">
        <f t="shared" si="43"/>
        <v>0</v>
      </c>
      <c r="Y302" s="251"/>
      <c r="Z302" s="1736"/>
      <c r="AA302" s="1737"/>
      <c r="AB302" s="77">
        <f t="shared" si="44"/>
        <v>0</v>
      </c>
      <c r="AC302" s="134">
        <f t="shared" si="45"/>
        <v>0</v>
      </c>
      <c r="AD302" s="251"/>
      <c r="AE302" s="1736"/>
      <c r="AF302" s="1737"/>
      <c r="AG302" s="77">
        <f t="shared" si="46"/>
        <v>0</v>
      </c>
      <c r="AH302" s="136">
        <f t="shared" si="47"/>
        <v>0</v>
      </c>
      <c r="AI302" s="251"/>
      <c r="AJ302" s="1736"/>
      <c r="AK302" s="1737"/>
      <c r="AL302" s="79">
        <f t="shared" si="48"/>
        <v>0</v>
      </c>
      <c r="AM302" s="137">
        <f t="shared" si="49"/>
        <v>0</v>
      </c>
      <c r="AN302" s="251"/>
      <c r="AO302" s="1736"/>
      <c r="AP302" s="1737"/>
    </row>
    <row r="303" spans="1:42" s="85" customFormat="1" ht="13.5" thickBot="1">
      <c r="A303" s="240"/>
      <c r="B303" s="241"/>
      <c r="C303" s="242"/>
      <c r="D303" s="242"/>
      <c r="E303" s="243"/>
      <c r="F303" s="244"/>
      <c r="G303" s="244"/>
      <c r="H303" s="243"/>
      <c r="I303" s="258"/>
      <c r="J303" s="245"/>
      <c r="K303" s="245"/>
      <c r="L303" s="76">
        <f t="shared" si="40"/>
        <v>0</v>
      </c>
      <c r="M303" s="246"/>
      <c r="N303" s="247"/>
      <c r="O303" s="248"/>
      <c r="P303" s="246"/>
      <c r="Q303" s="249"/>
      <c r="R303" s="250"/>
      <c r="S303" s="259"/>
      <c r="T303" s="260"/>
      <c r="U303" s="250"/>
      <c r="V303" s="78">
        <f t="shared" si="41"/>
        <v>0</v>
      </c>
      <c r="W303" s="261">
        <f t="shared" si="42"/>
        <v>0</v>
      </c>
      <c r="X303" s="133">
        <f t="shared" si="43"/>
        <v>0</v>
      </c>
      <c r="Y303" s="251"/>
      <c r="Z303" s="1736"/>
      <c r="AA303" s="1737"/>
      <c r="AB303" s="77">
        <f t="shared" si="44"/>
        <v>0</v>
      </c>
      <c r="AC303" s="134">
        <f t="shared" si="45"/>
        <v>0</v>
      </c>
      <c r="AD303" s="251"/>
      <c r="AE303" s="1736"/>
      <c r="AF303" s="1737"/>
      <c r="AG303" s="77">
        <f t="shared" si="46"/>
        <v>0</v>
      </c>
      <c r="AH303" s="136">
        <f t="shared" si="47"/>
        <v>0</v>
      </c>
      <c r="AI303" s="251"/>
      <c r="AJ303" s="1736"/>
      <c r="AK303" s="1737"/>
      <c r="AL303" s="79">
        <f t="shared" si="48"/>
        <v>0</v>
      </c>
      <c r="AM303" s="137">
        <f t="shared" si="49"/>
        <v>0</v>
      </c>
      <c r="AN303" s="251"/>
      <c r="AO303" s="1736"/>
      <c r="AP303" s="1737"/>
    </row>
    <row r="304" spans="1:42" s="85" customFormat="1" ht="13.5" thickBot="1">
      <c r="A304" s="240"/>
      <c r="B304" s="241"/>
      <c r="C304" s="242"/>
      <c r="D304" s="242"/>
      <c r="E304" s="243"/>
      <c r="F304" s="244"/>
      <c r="G304" s="244"/>
      <c r="H304" s="243"/>
      <c r="I304" s="258"/>
      <c r="J304" s="245"/>
      <c r="K304" s="245"/>
      <c r="L304" s="76">
        <f t="shared" si="40"/>
        <v>0</v>
      </c>
      <c r="M304" s="246"/>
      <c r="N304" s="247"/>
      <c r="O304" s="248"/>
      <c r="P304" s="246"/>
      <c r="Q304" s="249"/>
      <c r="R304" s="250"/>
      <c r="S304" s="259"/>
      <c r="T304" s="260"/>
      <c r="U304" s="250"/>
      <c r="V304" s="78">
        <f t="shared" si="41"/>
        <v>0</v>
      </c>
      <c r="W304" s="261">
        <f t="shared" si="42"/>
        <v>0</v>
      </c>
      <c r="X304" s="133">
        <f t="shared" si="43"/>
        <v>0</v>
      </c>
      <c r="Y304" s="251"/>
      <c r="Z304" s="1736"/>
      <c r="AA304" s="1737"/>
      <c r="AB304" s="77">
        <f t="shared" si="44"/>
        <v>0</v>
      </c>
      <c r="AC304" s="134">
        <f t="shared" si="45"/>
        <v>0</v>
      </c>
      <c r="AD304" s="251"/>
      <c r="AE304" s="1736"/>
      <c r="AF304" s="1737"/>
      <c r="AG304" s="77">
        <f t="shared" si="46"/>
        <v>0</v>
      </c>
      <c r="AH304" s="136">
        <f t="shared" si="47"/>
        <v>0</v>
      </c>
      <c r="AI304" s="251"/>
      <c r="AJ304" s="1736"/>
      <c r="AK304" s="1737"/>
      <c r="AL304" s="79">
        <f t="shared" si="48"/>
        <v>0</v>
      </c>
      <c r="AM304" s="137">
        <f t="shared" si="49"/>
        <v>0</v>
      </c>
      <c r="AN304" s="251"/>
      <c r="AO304" s="1736"/>
      <c r="AP304" s="1737"/>
    </row>
    <row r="305" spans="1:42" s="85" customFormat="1" ht="13.5" thickBot="1">
      <c r="A305" s="240"/>
      <c r="B305" s="241"/>
      <c r="C305" s="242"/>
      <c r="D305" s="242"/>
      <c r="E305" s="243"/>
      <c r="F305" s="244"/>
      <c r="G305" s="244"/>
      <c r="H305" s="243"/>
      <c r="I305" s="258"/>
      <c r="J305" s="245"/>
      <c r="K305" s="245"/>
      <c r="L305" s="76">
        <f t="shared" si="40"/>
        <v>0</v>
      </c>
      <c r="M305" s="246"/>
      <c r="N305" s="247"/>
      <c r="O305" s="248"/>
      <c r="P305" s="246"/>
      <c r="Q305" s="249"/>
      <c r="R305" s="250"/>
      <c r="S305" s="259"/>
      <c r="T305" s="260"/>
      <c r="U305" s="250"/>
      <c r="V305" s="78">
        <f t="shared" si="41"/>
        <v>0</v>
      </c>
      <c r="W305" s="261">
        <f t="shared" si="42"/>
        <v>0</v>
      </c>
      <c r="X305" s="133">
        <f t="shared" si="43"/>
        <v>0</v>
      </c>
      <c r="Y305" s="251"/>
      <c r="Z305" s="1736"/>
      <c r="AA305" s="1737"/>
      <c r="AB305" s="77">
        <f t="shared" si="44"/>
        <v>0</v>
      </c>
      <c r="AC305" s="134">
        <f t="shared" si="45"/>
        <v>0</v>
      </c>
      <c r="AD305" s="251"/>
      <c r="AE305" s="1736"/>
      <c r="AF305" s="1737"/>
      <c r="AG305" s="77">
        <f t="shared" si="46"/>
        <v>0</v>
      </c>
      <c r="AH305" s="136">
        <f t="shared" si="47"/>
        <v>0</v>
      </c>
      <c r="AI305" s="251"/>
      <c r="AJ305" s="1736"/>
      <c r="AK305" s="1737"/>
      <c r="AL305" s="79">
        <f t="shared" si="48"/>
        <v>0</v>
      </c>
      <c r="AM305" s="137">
        <f t="shared" si="49"/>
        <v>0</v>
      </c>
      <c r="AN305" s="251"/>
      <c r="AO305" s="1736"/>
      <c r="AP305" s="1737"/>
    </row>
    <row r="306" spans="1:42" s="85" customFormat="1" ht="13.5" thickBot="1">
      <c r="A306" s="240"/>
      <c r="B306" s="241"/>
      <c r="C306" s="242"/>
      <c r="D306" s="242"/>
      <c r="E306" s="243"/>
      <c r="F306" s="244"/>
      <c r="G306" s="244"/>
      <c r="H306" s="243"/>
      <c r="I306" s="258"/>
      <c r="J306" s="245"/>
      <c r="K306" s="245"/>
      <c r="L306" s="76">
        <f t="shared" si="40"/>
        <v>0</v>
      </c>
      <c r="M306" s="246"/>
      <c r="N306" s="247"/>
      <c r="O306" s="248"/>
      <c r="P306" s="246"/>
      <c r="Q306" s="249"/>
      <c r="R306" s="250"/>
      <c r="S306" s="259"/>
      <c r="T306" s="260"/>
      <c r="U306" s="250"/>
      <c r="V306" s="78">
        <f t="shared" si="41"/>
        <v>0</v>
      </c>
      <c r="W306" s="261">
        <f t="shared" si="42"/>
        <v>0</v>
      </c>
      <c r="X306" s="133">
        <f t="shared" si="43"/>
        <v>0</v>
      </c>
      <c r="Y306" s="251"/>
      <c r="Z306" s="1736"/>
      <c r="AA306" s="1737"/>
      <c r="AB306" s="77">
        <f t="shared" si="44"/>
        <v>0</v>
      </c>
      <c r="AC306" s="134">
        <f t="shared" si="45"/>
        <v>0</v>
      </c>
      <c r="AD306" s="251"/>
      <c r="AE306" s="1736"/>
      <c r="AF306" s="1737"/>
      <c r="AG306" s="77">
        <f t="shared" si="46"/>
        <v>0</v>
      </c>
      <c r="AH306" s="136">
        <f t="shared" si="47"/>
        <v>0</v>
      </c>
      <c r="AI306" s="251"/>
      <c r="AJ306" s="1736"/>
      <c r="AK306" s="1737"/>
      <c r="AL306" s="79">
        <f t="shared" si="48"/>
        <v>0</v>
      </c>
      <c r="AM306" s="137">
        <f t="shared" si="49"/>
        <v>0</v>
      </c>
      <c r="AN306" s="251"/>
      <c r="AO306" s="1736"/>
      <c r="AP306" s="1737"/>
    </row>
    <row r="307" spans="1:42" s="85" customFormat="1" ht="13.5" thickBot="1">
      <c r="A307" s="240"/>
      <c r="B307" s="241"/>
      <c r="C307" s="242"/>
      <c r="D307" s="242"/>
      <c r="E307" s="243"/>
      <c r="F307" s="244"/>
      <c r="G307" s="244"/>
      <c r="H307" s="243"/>
      <c r="I307" s="258"/>
      <c r="J307" s="245"/>
      <c r="K307" s="245"/>
      <c r="L307" s="76">
        <f t="shared" si="40"/>
        <v>0</v>
      </c>
      <c r="M307" s="246"/>
      <c r="N307" s="247"/>
      <c r="O307" s="248"/>
      <c r="P307" s="246"/>
      <c r="Q307" s="249"/>
      <c r="R307" s="250"/>
      <c r="S307" s="259"/>
      <c r="T307" s="260"/>
      <c r="U307" s="250"/>
      <c r="V307" s="78">
        <f t="shared" si="41"/>
        <v>0</v>
      </c>
      <c r="W307" s="261">
        <f t="shared" si="42"/>
        <v>0</v>
      </c>
      <c r="X307" s="133">
        <f t="shared" si="43"/>
        <v>0</v>
      </c>
      <c r="Y307" s="251"/>
      <c r="Z307" s="1736"/>
      <c r="AA307" s="1737"/>
      <c r="AB307" s="77">
        <f t="shared" si="44"/>
        <v>0</v>
      </c>
      <c r="AC307" s="134">
        <f t="shared" si="45"/>
        <v>0</v>
      </c>
      <c r="AD307" s="251"/>
      <c r="AE307" s="1736"/>
      <c r="AF307" s="1737"/>
      <c r="AG307" s="77">
        <f t="shared" si="46"/>
        <v>0</v>
      </c>
      <c r="AH307" s="136">
        <f t="shared" si="47"/>
        <v>0</v>
      </c>
      <c r="AI307" s="251"/>
      <c r="AJ307" s="1736"/>
      <c r="AK307" s="1737"/>
      <c r="AL307" s="79">
        <f t="shared" si="48"/>
        <v>0</v>
      </c>
      <c r="AM307" s="137">
        <f t="shared" si="49"/>
        <v>0</v>
      </c>
      <c r="AN307" s="251"/>
      <c r="AO307" s="1736"/>
      <c r="AP307" s="1737"/>
    </row>
    <row r="308" spans="1:42" s="85" customFormat="1" ht="13.5" thickBot="1">
      <c r="A308" s="240"/>
      <c r="B308" s="241"/>
      <c r="C308" s="242"/>
      <c r="D308" s="242"/>
      <c r="E308" s="243"/>
      <c r="F308" s="244"/>
      <c r="G308" s="244"/>
      <c r="H308" s="243"/>
      <c r="I308" s="258"/>
      <c r="J308" s="245"/>
      <c r="K308" s="245"/>
      <c r="L308" s="76">
        <f t="shared" si="40"/>
        <v>0</v>
      </c>
      <c r="M308" s="246"/>
      <c r="N308" s="247"/>
      <c r="O308" s="248"/>
      <c r="P308" s="246"/>
      <c r="Q308" s="249"/>
      <c r="R308" s="250"/>
      <c r="S308" s="259"/>
      <c r="T308" s="260"/>
      <c r="U308" s="250"/>
      <c r="V308" s="78">
        <f t="shared" si="41"/>
        <v>0</v>
      </c>
      <c r="W308" s="261">
        <f t="shared" si="42"/>
        <v>0</v>
      </c>
      <c r="X308" s="133">
        <f t="shared" si="43"/>
        <v>0</v>
      </c>
      <c r="Y308" s="251"/>
      <c r="Z308" s="1736"/>
      <c r="AA308" s="1737"/>
      <c r="AB308" s="77">
        <f t="shared" si="44"/>
        <v>0</v>
      </c>
      <c r="AC308" s="134">
        <f t="shared" si="45"/>
        <v>0</v>
      </c>
      <c r="AD308" s="251"/>
      <c r="AE308" s="1736"/>
      <c r="AF308" s="1737"/>
      <c r="AG308" s="77">
        <f t="shared" si="46"/>
        <v>0</v>
      </c>
      <c r="AH308" s="136">
        <f t="shared" si="47"/>
        <v>0</v>
      </c>
      <c r="AI308" s="251"/>
      <c r="AJ308" s="1736"/>
      <c r="AK308" s="1737"/>
      <c r="AL308" s="79">
        <f t="shared" si="48"/>
        <v>0</v>
      </c>
      <c r="AM308" s="137">
        <f t="shared" si="49"/>
        <v>0</v>
      </c>
      <c r="AN308" s="251"/>
      <c r="AO308" s="1736"/>
      <c r="AP308" s="1737"/>
    </row>
    <row r="309" spans="1:42" s="85" customFormat="1" ht="13.5" thickBot="1">
      <c r="A309" s="240"/>
      <c r="B309" s="241"/>
      <c r="C309" s="242"/>
      <c r="D309" s="242"/>
      <c r="E309" s="243"/>
      <c r="F309" s="244"/>
      <c r="G309" s="244"/>
      <c r="H309" s="243"/>
      <c r="I309" s="258"/>
      <c r="J309" s="245"/>
      <c r="K309" s="245"/>
      <c r="L309" s="76">
        <f t="shared" si="40"/>
        <v>0</v>
      </c>
      <c r="M309" s="246"/>
      <c r="N309" s="247"/>
      <c r="O309" s="248"/>
      <c r="P309" s="246"/>
      <c r="Q309" s="249"/>
      <c r="R309" s="250"/>
      <c r="S309" s="259"/>
      <c r="T309" s="260"/>
      <c r="U309" s="250"/>
      <c r="V309" s="78">
        <f t="shared" si="41"/>
        <v>0</v>
      </c>
      <c r="W309" s="261">
        <f t="shared" si="42"/>
        <v>0</v>
      </c>
      <c r="X309" s="133">
        <f t="shared" si="43"/>
        <v>0</v>
      </c>
      <c r="Y309" s="251"/>
      <c r="Z309" s="1736"/>
      <c r="AA309" s="1737"/>
      <c r="AB309" s="77">
        <f t="shared" si="44"/>
        <v>0</v>
      </c>
      <c r="AC309" s="134">
        <f t="shared" si="45"/>
        <v>0</v>
      </c>
      <c r="AD309" s="251"/>
      <c r="AE309" s="1736"/>
      <c r="AF309" s="1737"/>
      <c r="AG309" s="77">
        <f t="shared" si="46"/>
        <v>0</v>
      </c>
      <c r="AH309" s="136">
        <f t="shared" si="47"/>
        <v>0</v>
      </c>
      <c r="AI309" s="251"/>
      <c r="AJ309" s="1736"/>
      <c r="AK309" s="1737"/>
      <c r="AL309" s="79">
        <f t="shared" si="48"/>
        <v>0</v>
      </c>
      <c r="AM309" s="137">
        <f t="shared" si="49"/>
        <v>0</v>
      </c>
      <c r="AN309" s="251"/>
      <c r="AO309" s="1736"/>
      <c r="AP309" s="1737"/>
    </row>
    <row r="310" spans="1:42" s="85" customFormat="1" ht="13.5" thickBot="1">
      <c r="A310" s="240"/>
      <c r="B310" s="241"/>
      <c r="C310" s="242"/>
      <c r="D310" s="242"/>
      <c r="E310" s="243"/>
      <c r="F310" s="244"/>
      <c r="G310" s="244"/>
      <c r="H310" s="243"/>
      <c r="I310" s="258"/>
      <c r="J310" s="245"/>
      <c r="K310" s="245"/>
      <c r="L310" s="76">
        <f t="shared" si="40"/>
        <v>0</v>
      </c>
      <c r="M310" s="246"/>
      <c r="N310" s="247"/>
      <c r="O310" s="248"/>
      <c r="P310" s="246"/>
      <c r="Q310" s="249"/>
      <c r="R310" s="250"/>
      <c r="S310" s="259"/>
      <c r="T310" s="260"/>
      <c r="U310" s="250"/>
      <c r="V310" s="78">
        <f t="shared" si="41"/>
        <v>0</v>
      </c>
      <c r="W310" s="261">
        <f t="shared" si="42"/>
        <v>0</v>
      </c>
      <c r="X310" s="133">
        <f t="shared" si="43"/>
        <v>0</v>
      </c>
      <c r="Y310" s="251"/>
      <c r="Z310" s="1736"/>
      <c r="AA310" s="1737"/>
      <c r="AB310" s="77">
        <f t="shared" si="44"/>
        <v>0</v>
      </c>
      <c r="AC310" s="134">
        <f t="shared" si="45"/>
        <v>0</v>
      </c>
      <c r="AD310" s="251"/>
      <c r="AE310" s="1736"/>
      <c r="AF310" s="1737"/>
      <c r="AG310" s="77">
        <f t="shared" si="46"/>
        <v>0</v>
      </c>
      <c r="AH310" s="136">
        <f t="shared" si="47"/>
        <v>0</v>
      </c>
      <c r="AI310" s="251"/>
      <c r="AJ310" s="1736"/>
      <c r="AK310" s="1737"/>
      <c r="AL310" s="79">
        <f t="shared" si="48"/>
        <v>0</v>
      </c>
      <c r="AM310" s="137">
        <f t="shared" si="49"/>
        <v>0</v>
      </c>
      <c r="AN310" s="251"/>
      <c r="AO310" s="1736"/>
      <c r="AP310" s="1737"/>
    </row>
    <row r="311" spans="1:42" s="85" customFormat="1" ht="13.5" thickBot="1">
      <c r="A311" s="240"/>
      <c r="B311" s="241"/>
      <c r="C311" s="242"/>
      <c r="D311" s="242"/>
      <c r="E311" s="243"/>
      <c r="F311" s="244"/>
      <c r="G311" s="244"/>
      <c r="H311" s="243"/>
      <c r="I311" s="258"/>
      <c r="J311" s="245"/>
      <c r="K311" s="245"/>
      <c r="L311" s="76">
        <f t="shared" si="40"/>
        <v>0</v>
      </c>
      <c r="M311" s="246"/>
      <c r="N311" s="247"/>
      <c r="O311" s="248"/>
      <c r="P311" s="246"/>
      <c r="Q311" s="249"/>
      <c r="R311" s="250"/>
      <c r="S311" s="259"/>
      <c r="T311" s="260"/>
      <c r="U311" s="250"/>
      <c r="V311" s="78">
        <f t="shared" si="41"/>
        <v>0</v>
      </c>
      <c r="W311" s="261">
        <f t="shared" si="42"/>
        <v>0</v>
      </c>
      <c r="X311" s="133">
        <f t="shared" si="43"/>
        <v>0</v>
      </c>
      <c r="Y311" s="251"/>
      <c r="Z311" s="1736"/>
      <c r="AA311" s="1737"/>
      <c r="AB311" s="77">
        <f t="shared" si="44"/>
        <v>0</v>
      </c>
      <c r="AC311" s="134">
        <f t="shared" si="45"/>
        <v>0</v>
      </c>
      <c r="AD311" s="251"/>
      <c r="AE311" s="1736"/>
      <c r="AF311" s="1737"/>
      <c r="AG311" s="77">
        <f t="shared" si="46"/>
        <v>0</v>
      </c>
      <c r="AH311" s="136">
        <f t="shared" si="47"/>
        <v>0</v>
      </c>
      <c r="AI311" s="251"/>
      <c r="AJ311" s="1736"/>
      <c r="AK311" s="1737"/>
      <c r="AL311" s="79">
        <f t="shared" si="48"/>
        <v>0</v>
      </c>
      <c r="AM311" s="137">
        <f t="shared" si="49"/>
        <v>0</v>
      </c>
      <c r="AN311" s="251"/>
      <c r="AO311" s="1736"/>
      <c r="AP311" s="1737"/>
    </row>
    <row r="312" spans="1:42" s="85" customFormat="1" ht="13.5" thickBot="1">
      <c r="A312" s="240"/>
      <c r="B312" s="241"/>
      <c r="C312" s="242"/>
      <c r="D312" s="242"/>
      <c r="E312" s="243"/>
      <c r="F312" s="244"/>
      <c r="G312" s="244"/>
      <c r="H312" s="243"/>
      <c r="I312" s="258"/>
      <c r="J312" s="245"/>
      <c r="K312" s="245"/>
      <c r="L312" s="76">
        <f t="shared" si="40"/>
        <v>0</v>
      </c>
      <c r="M312" s="246"/>
      <c r="N312" s="247"/>
      <c r="O312" s="248"/>
      <c r="P312" s="246"/>
      <c r="Q312" s="249"/>
      <c r="R312" s="250"/>
      <c r="S312" s="259"/>
      <c r="T312" s="260"/>
      <c r="U312" s="250"/>
      <c r="V312" s="78">
        <f t="shared" si="41"/>
        <v>0</v>
      </c>
      <c r="W312" s="261">
        <f t="shared" si="42"/>
        <v>0</v>
      </c>
      <c r="X312" s="133">
        <f t="shared" si="43"/>
        <v>0</v>
      </c>
      <c r="Y312" s="251"/>
      <c r="Z312" s="1736"/>
      <c r="AA312" s="1737"/>
      <c r="AB312" s="77">
        <f t="shared" si="44"/>
        <v>0</v>
      </c>
      <c r="AC312" s="134">
        <f t="shared" si="45"/>
        <v>0</v>
      </c>
      <c r="AD312" s="251"/>
      <c r="AE312" s="1736"/>
      <c r="AF312" s="1737"/>
      <c r="AG312" s="77">
        <f t="shared" si="46"/>
        <v>0</v>
      </c>
      <c r="AH312" s="136">
        <f t="shared" si="47"/>
        <v>0</v>
      </c>
      <c r="AI312" s="251"/>
      <c r="AJ312" s="1736"/>
      <c r="AK312" s="1737"/>
      <c r="AL312" s="79">
        <f t="shared" si="48"/>
        <v>0</v>
      </c>
      <c r="AM312" s="137">
        <f t="shared" si="49"/>
        <v>0</v>
      </c>
      <c r="AN312" s="251"/>
      <c r="AO312" s="1736"/>
      <c r="AP312" s="1737"/>
    </row>
    <row r="313" spans="1:42" s="85" customFormat="1" ht="13.5" thickBot="1">
      <c r="A313" s="240"/>
      <c r="B313" s="241"/>
      <c r="C313" s="242"/>
      <c r="D313" s="242"/>
      <c r="E313" s="243"/>
      <c r="F313" s="244"/>
      <c r="G313" s="244"/>
      <c r="H313" s="243"/>
      <c r="I313" s="258"/>
      <c r="J313" s="245"/>
      <c r="K313" s="245"/>
      <c r="L313" s="76">
        <f t="shared" si="40"/>
        <v>0</v>
      </c>
      <c r="M313" s="246"/>
      <c r="N313" s="247"/>
      <c r="O313" s="248"/>
      <c r="P313" s="246"/>
      <c r="Q313" s="249"/>
      <c r="R313" s="250"/>
      <c r="S313" s="259"/>
      <c r="T313" s="260"/>
      <c r="U313" s="250"/>
      <c r="V313" s="78">
        <f t="shared" si="41"/>
        <v>0</v>
      </c>
      <c r="W313" s="261">
        <f t="shared" si="42"/>
        <v>0</v>
      </c>
      <c r="X313" s="133">
        <f t="shared" si="43"/>
        <v>0</v>
      </c>
      <c r="Y313" s="251"/>
      <c r="Z313" s="1736"/>
      <c r="AA313" s="1737"/>
      <c r="AB313" s="77">
        <f t="shared" si="44"/>
        <v>0</v>
      </c>
      <c r="AC313" s="134">
        <f t="shared" si="45"/>
        <v>0</v>
      </c>
      <c r="AD313" s="251"/>
      <c r="AE313" s="1736"/>
      <c r="AF313" s="1737"/>
      <c r="AG313" s="77">
        <f t="shared" si="46"/>
        <v>0</v>
      </c>
      <c r="AH313" s="136">
        <f t="shared" si="47"/>
        <v>0</v>
      </c>
      <c r="AI313" s="251"/>
      <c r="AJ313" s="1736"/>
      <c r="AK313" s="1737"/>
      <c r="AL313" s="79">
        <f t="shared" si="48"/>
        <v>0</v>
      </c>
      <c r="AM313" s="137">
        <f t="shared" si="49"/>
        <v>0</v>
      </c>
      <c r="AN313" s="251"/>
      <c r="AO313" s="1736"/>
      <c r="AP313" s="1737"/>
    </row>
    <row r="314" spans="1:42" s="85" customFormat="1" ht="13.5" thickBot="1">
      <c r="A314" s="240"/>
      <c r="B314" s="241"/>
      <c r="C314" s="242"/>
      <c r="D314" s="242"/>
      <c r="E314" s="243"/>
      <c r="F314" s="244"/>
      <c r="G314" s="244"/>
      <c r="H314" s="243"/>
      <c r="I314" s="258"/>
      <c r="J314" s="245"/>
      <c r="K314" s="245"/>
      <c r="L314" s="76">
        <f t="shared" si="40"/>
        <v>0</v>
      </c>
      <c r="M314" s="246"/>
      <c r="N314" s="247"/>
      <c r="O314" s="248"/>
      <c r="P314" s="246"/>
      <c r="Q314" s="249"/>
      <c r="R314" s="250"/>
      <c r="S314" s="259"/>
      <c r="T314" s="260"/>
      <c r="U314" s="250"/>
      <c r="V314" s="78">
        <f t="shared" si="41"/>
        <v>0</v>
      </c>
      <c r="W314" s="261">
        <f t="shared" si="42"/>
        <v>0</v>
      </c>
      <c r="X314" s="133">
        <f t="shared" si="43"/>
        <v>0</v>
      </c>
      <c r="Y314" s="251"/>
      <c r="Z314" s="1736"/>
      <c r="AA314" s="1737"/>
      <c r="AB314" s="77">
        <f t="shared" si="44"/>
        <v>0</v>
      </c>
      <c r="AC314" s="134">
        <f t="shared" si="45"/>
        <v>0</v>
      </c>
      <c r="AD314" s="251"/>
      <c r="AE314" s="1736"/>
      <c r="AF314" s="1737"/>
      <c r="AG314" s="77">
        <f t="shared" si="46"/>
        <v>0</v>
      </c>
      <c r="AH314" s="136">
        <f t="shared" si="47"/>
        <v>0</v>
      </c>
      <c r="AI314" s="251"/>
      <c r="AJ314" s="1736"/>
      <c r="AK314" s="1737"/>
      <c r="AL314" s="79">
        <f t="shared" si="48"/>
        <v>0</v>
      </c>
      <c r="AM314" s="137">
        <f t="shared" si="49"/>
        <v>0</v>
      </c>
      <c r="AN314" s="251"/>
      <c r="AO314" s="1736"/>
      <c r="AP314" s="1737"/>
    </row>
    <row r="315" spans="1:42" s="85" customFormat="1" ht="13.5" thickBot="1">
      <c r="A315" s="240"/>
      <c r="B315" s="241"/>
      <c r="C315" s="242"/>
      <c r="D315" s="242"/>
      <c r="E315" s="243"/>
      <c r="F315" s="244"/>
      <c r="G315" s="244"/>
      <c r="H315" s="243"/>
      <c r="I315" s="258"/>
      <c r="J315" s="245"/>
      <c r="K315" s="245"/>
      <c r="L315" s="76">
        <f t="shared" si="40"/>
        <v>0</v>
      </c>
      <c r="M315" s="246"/>
      <c r="N315" s="247"/>
      <c r="O315" s="248"/>
      <c r="P315" s="246"/>
      <c r="Q315" s="249"/>
      <c r="R315" s="250"/>
      <c r="S315" s="259"/>
      <c r="T315" s="260"/>
      <c r="U315" s="250"/>
      <c r="V315" s="78">
        <f t="shared" si="41"/>
        <v>0</v>
      </c>
      <c r="W315" s="261">
        <f t="shared" si="42"/>
        <v>0</v>
      </c>
      <c r="X315" s="133">
        <f t="shared" si="43"/>
        <v>0</v>
      </c>
      <c r="Y315" s="251"/>
      <c r="Z315" s="1736"/>
      <c r="AA315" s="1737"/>
      <c r="AB315" s="77">
        <f t="shared" si="44"/>
        <v>0</v>
      </c>
      <c r="AC315" s="134">
        <f t="shared" si="45"/>
        <v>0</v>
      </c>
      <c r="AD315" s="251"/>
      <c r="AE315" s="1736"/>
      <c r="AF315" s="1737"/>
      <c r="AG315" s="77">
        <f t="shared" si="46"/>
        <v>0</v>
      </c>
      <c r="AH315" s="136">
        <f t="shared" si="47"/>
        <v>0</v>
      </c>
      <c r="AI315" s="251"/>
      <c r="AJ315" s="1736"/>
      <c r="AK315" s="1737"/>
      <c r="AL315" s="79">
        <f t="shared" si="48"/>
        <v>0</v>
      </c>
      <c r="AM315" s="137">
        <f t="shared" si="49"/>
        <v>0</v>
      </c>
      <c r="AN315" s="251"/>
      <c r="AO315" s="1736"/>
      <c r="AP315" s="1737"/>
    </row>
    <row r="316" spans="1:42" s="85" customFormat="1" ht="13.5" thickBot="1">
      <c r="A316" s="240"/>
      <c r="B316" s="241"/>
      <c r="C316" s="242"/>
      <c r="D316" s="242"/>
      <c r="E316" s="243"/>
      <c r="F316" s="244"/>
      <c r="G316" s="244"/>
      <c r="H316" s="243"/>
      <c r="I316" s="258"/>
      <c r="J316" s="245"/>
      <c r="K316" s="245"/>
      <c r="L316" s="76">
        <f t="shared" si="40"/>
        <v>0</v>
      </c>
      <c r="M316" s="246"/>
      <c r="N316" s="247"/>
      <c r="O316" s="248"/>
      <c r="P316" s="246"/>
      <c r="Q316" s="249"/>
      <c r="R316" s="250"/>
      <c r="S316" s="259"/>
      <c r="T316" s="260"/>
      <c r="U316" s="250"/>
      <c r="V316" s="78">
        <f t="shared" si="41"/>
        <v>0</v>
      </c>
      <c r="W316" s="261">
        <f t="shared" si="42"/>
        <v>0</v>
      </c>
      <c r="X316" s="133">
        <f t="shared" si="43"/>
        <v>0</v>
      </c>
      <c r="Y316" s="251"/>
      <c r="Z316" s="1736"/>
      <c r="AA316" s="1737"/>
      <c r="AB316" s="77">
        <f t="shared" si="44"/>
        <v>0</v>
      </c>
      <c r="AC316" s="134">
        <f t="shared" si="45"/>
        <v>0</v>
      </c>
      <c r="AD316" s="251"/>
      <c r="AE316" s="1736"/>
      <c r="AF316" s="1737"/>
      <c r="AG316" s="77">
        <f t="shared" si="46"/>
        <v>0</v>
      </c>
      <c r="AH316" s="136">
        <f t="shared" si="47"/>
        <v>0</v>
      </c>
      <c r="AI316" s="251"/>
      <c r="AJ316" s="1736"/>
      <c r="AK316" s="1737"/>
      <c r="AL316" s="79">
        <f t="shared" si="48"/>
        <v>0</v>
      </c>
      <c r="AM316" s="137">
        <f t="shared" si="49"/>
        <v>0</v>
      </c>
      <c r="AN316" s="251"/>
      <c r="AO316" s="1736"/>
      <c r="AP316" s="1737"/>
    </row>
    <row r="317" spans="1:42" s="85" customFormat="1" ht="13.5" thickBot="1">
      <c r="A317" s="240"/>
      <c r="B317" s="241"/>
      <c r="C317" s="242"/>
      <c r="D317" s="242"/>
      <c r="E317" s="243"/>
      <c r="F317" s="244"/>
      <c r="G317" s="244"/>
      <c r="H317" s="243"/>
      <c r="I317" s="258"/>
      <c r="J317" s="245"/>
      <c r="K317" s="245"/>
      <c r="L317" s="76">
        <f t="shared" si="40"/>
        <v>0</v>
      </c>
      <c r="M317" s="246"/>
      <c r="N317" s="247"/>
      <c r="O317" s="248"/>
      <c r="P317" s="246"/>
      <c r="Q317" s="249"/>
      <c r="R317" s="250"/>
      <c r="S317" s="259"/>
      <c r="T317" s="260"/>
      <c r="U317" s="250"/>
      <c r="V317" s="78">
        <f t="shared" si="41"/>
        <v>0</v>
      </c>
      <c r="W317" s="261">
        <f t="shared" si="42"/>
        <v>0</v>
      </c>
      <c r="X317" s="133">
        <f t="shared" si="43"/>
        <v>0</v>
      </c>
      <c r="Y317" s="251"/>
      <c r="Z317" s="1736"/>
      <c r="AA317" s="1737"/>
      <c r="AB317" s="77">
        <f t="shared" si="44"/>
        <v>0</v>
      </c>
      <c r="AC317" s="134">
        <f t="shared" si="45"/>
        <v>0</v>
      </c>
      <c r="AD317" s="251"/>
      <c r="AE317" s="1736"/>
      <c r="AF317" s="1737"/>
      <c r="AG317" s="77">
        <f t="shared" si="46"/>
        <v>0</v>
      </c>
      <c r="AH317" s="136">
        <f t="shared" si="47"/>
        <v>0</v>
      </c>
      <c r="AI317" s="251"/>
      <c r="AJ317" s="1736"/>
      <c r="AK317" s="1737"/>
      <c r="AL317" s="79">
        <f t="shared" si="48"/>
        <v>0</v>
      </c>
      <c r="AM317" s="137">
        <f t="shared" si="49"/>
        <v>0</v>
      </c>
      <c r="AN317" s="251"/>
      <c r="AO317" s="1736"/>
      <c r="AP317" s="1737"/>
    </row>
    <row r="318" spans="1:42" s="85" customFormat="1" ht="13.5" thickBot="1">
      <c r="A318" s="240"/>
      <c r="B318" s="241"/>
      <c r="C318" s="242"/>
      <c r="D318" s="242"/>
      <c r="E318" s="243"/>
      <c r="F318" s="244"/>
      <c r="G318" s="244"/>
      <c r="H318" s="243"/>
      <c r="I318" s="258"/>
      <c r="J318" s="245"/>
      <c r="K318" s="245"/>
      <c r="L318" s="76">
        <f t="shared" si="40"/>
        <v>0</v>
      </c>
      <c r="M318" s="246"/>
      <c r="N318" s="247"/>
      <c r="O318" s="248"/>
      <c r="P318" s="246"/>
      <c r="Q318" s="249"/>
      <c r="R318" s="250"/>
      <c r="S318" s="259"/>
      <c r="T318" s="260"/>
      <c r="U318" s="250"/>
      <c r="V318" s="78">
        <f t="shared" si="41"/>
        <v>0</v>
      </c>
      <c r="W318" s="261">
        <f t="shared" si="42"/>
        <v>0</v>
      </c>
      <c r="X318" s="133">
        <f t="shared" si="43"/>
        <v>0</v>
      </c>
      <c r="Y318" s="251"/>
      <c r="Z318" s="1736"/>
      <c r="AA318" s="1737"/>
      <c r="AB318" s="77">
        <f t="shared" si="44"/>
        <v>0</v>
      </c>
      <c r="AC318" s="134">
        <f t="shared" si="45"/>
        <v>0</v>
      </c>
      <c r="AD318" s="251"/>
      <c r="AE318" s="1736"/>
      <c r="AF318" s="1737"/>
      <c r="AG318" s="77">
        <f t="shared" si="46"/>
        <v>0</v>
      </c>
      <c r="AH318" s="136">
        <f t="shared" si="47"/>
        <v>0</v>
      </c>
      <c r="AI318" s="251"/>
      <c r="AJ318" s="1736"/>
      <c r="AK318" s="1737"/>
      <c r="AL318" s="79">
        <f t="shared" si="48"/>
        <v>0</v>
      </c>
      <c r="AM318" s="137">
        <f t="shared" si="49"/>
        <v>0</v>
      </c>
      <c r="AN318" s="251"/>
      <c r="AO318" s="1736"/>
      <c r="AP318" s="1737"/>
    </row>
    <row r="319" spans="1:42" s="85" customFormat="1" ht="13.5" thickBot="1">
      <c r="A319" s="240"/>
      <c r="B319" s="241"/>
      <c r="C319" s="242"/>
      <c r="D319" s="242"/>
      <c r="E319" s="243"/>
      <c r="F319" s="244"/>
      <c r="G319" s="244"/>
      <c r="H319" s="243"/>
      <c r="I319" s="258"/>
      <c r="J319" s="245"/>
      <c r="K319" s="245"/>
      <c r="L319" s="76">
        <f t="shared" si="40"/>
        <v>0</v>
      </c>
      <c r="M319" s="246"/>
      <c r="N319" s="247"/>
      <c r="O319" s="248"/>
      <c r="P319" s="246"/>
      <c r="Q319" s="249"/>
      <c r="R319" s="250"/>
      <c r="S319" s="259"/>
      <c r="T319" s="260"/>
      <c r="U319" s="250"/>
      <c r="V319" s="78">
        <f t="shared" si="41"/>
        <v>0</v>
      </c>
      <c r="W319" s="261">
        <f t="shared" si="42"/>
        <v>0</v>
      </c>
      <c r="X319" s="133">
        <f t="shared" si="43"/>
        <v>0</v>
      </c>
      <c r="Y319" s="251"/>
      <c r="Z319" s="1736"/>
      <c r="AA319" s="1737"/>
      <c r="AB319" s="77">
        <f t="shared" si="44"/>
        <v>0</v>
      </c>
      <c r="AC319" s="134">
        <f t="shared" si="45"/>
        <v>0</v>
      </c>
      <c r="AD319" s="251"/>
      <c r="AE319" s="1736"/>
      <c r="AF319" s="1737"/>
      <c r="AG319" s="77">
        <f t="shared" si="46"/>
        <v>0</v>
      </c>
      <c r="AH319" s="136">
        <f t="shared" si="47"/>
        <v>0</v>
      </c>
      <c r="AI319" s="251"/>
      <c r="AJ319" s="1736"/>
      <c r="AK319" s="1737"/>
      <c r="AL319" s="79">
        <f t="shared" si="48"/>
        <v>0</v>
      </c>
      <c r="AM319" s="137">
        <f t="shared" si="49"/>
        <v>0</v>
      </c>
      <c r="AN319" s="251"/>
      <c r="AO319" s="1736"/>
      <c r="AP319" s="1737"/>
    </row>
    <row r="320" spans="1:42" s="85" customFormat="1" ht="13.5" thickBot="1">
      <c r="A320" s="240"/>
      <c r="B320" s="241"/>
      <c r="C320" s="242"/>
      <c r="D320" s="242"/>
      <c r="E320" s="243"/>
      <c r="F320" s="244"/>
      <c r="G320" s="244"/>
      <c r="H320" s="243"/>
      <c r="I320" s="258"/>
      <c r="J320" s="245"/>
      <c r="K320" s="245"/>
      <c r="L320" s="76">
        <f t="shared" si="40"/>
        <v>0</v>
      </c>
      <c r="M320" s="246"/>
      <c r="N320" s="247"/>
      <c r="O320" s="248"/>
      <c r="P320" s="246"/>
      <c r="Q320" s="249"/>
      <c r="R320" s="250"/>
      <c r="S320" s="259"/>
      <c r="T320" s="260"/>
      <c r="U320" s="250"/>
      <c r="V320" s="78">
        <f t="shared" si="41"/>
        <v>0</v>
      </c>
      <c r="W320" s="261">
        <f t="shared" si="42"/>
        <v>0</v>
      </c>
      <c r="X320" s="133">
        <f t="shared" si="43"/>
        <v>0</v>
      </c>
      <c r="Y320" s="251"/>
      <c r="Z320" s="1736"/>
      <c r="AA320" s="1737"/>
      <c r="AB320" s="77">
        <f t="shared" si="44"/>
        <v>0</v>
      </c>
      <c r="AC320" s="134">
        <f t="shared" si="45"/>
        <v>0</v>
      </c>
      <c r="AD320" s="251"/>
      <c r="AE320" s="1736"/>
      <c r="AF320" s="1737"/>
      <c r="AG320" s="77">
        <f t="shared" si="46"/>
        <v>0</v>
      </c>
      <c r="AH320" s="136">
        <f t="shared" si="47"/>
        <v>0</v>
      </c>
      <c r="AI320" s="251"/>
      <c r="AJ320" s="1736"/>
      <c r="AK320" s="1737"/>
      <c r="AL320" s="79">
        <f t="shared" si="48"/>
        <v>0</v>
      </c>
      <c r="AM320" s="137">
        <f t="shared" si="49"/>
        <v>0</v>
      </c>
      <c r="AN320" s="251"/>
      <c r="AO320" s="1736"/>
      <c r="AP320" s="1737"/>
    </row>
    <row r="321" spans="1:42" s="85" customFormat="1" ht="13.5" thickBot="1">
      <c r="A321" s="240"/>
      <c r="B321" s="241"/>
      <c r="C321" s="242"/>
      <c r="D321" s="242"/>
      <c r="E321" s="243"/>
      <c r="F321" s="244"/>
      <c r="G321" s="244"/>
      <c r="H321" s="243"/>
      <c r="I321" s="258"/>
      <c r="J321" s="245"/>
      <c r="K321" s="245"/>
      <c r="L321" s="76">
        <f t="shared" si="40"/>
        <v>0</v>
      </c>
      <c r="M321" s="246"/>
      <c r="N321" s="247"/>
      <c r="O321" s="248"/>
      <c r="P321" s="246"/>
      <c r="Q321" s="249"/>
      <c r="R321" s="250"/>
      <c r="S321" s="259"/>
      <c r="T321" s="260"/>
      <c r="U321" s="250"/>
      <c r="V321" s="78">
        <f t="shared" si="41"/>
        <v>0</v>
      </c>
      <c r="W321" s="261">
        <f t="shared" si="42"/>
        <v>0</v>
      </c>
      <c r="X321" s="133">
        <f t="shared" si="43"/>
        <v>0</v>
      </c>
      <c r="Y321" s="251"/>
      <c r="Z321" s="1736"/>
      <c r="AA321" s="1737"/>
      <c r="AB321" s="77">
        <f t="shared" si="44"/>
        <v>0</v>
      </c>
      <c r="AC321" s="134">
        <f t="shared" si="45"/>
        <v>0</v>
      </c>
      <c r="AD321" s="251"/>
      <c r="AE321" s="1736"/>
      <c r="AF321" s="1737"/>
      <c r="AG321" s="77">
        <f t="shared" si="46"/>
        <v>0</v>
      </c>
      <c r="AH321" s="136">
        <f t="shared" si="47"/>
        <v>0</v>
      </c>
      <c r="AI321" s="251"/>
      <c r="AJ321" s="1736"/>
      <c r="AK321" s="1737"/>
      <c r="AL321" s="79">
        <f t="shared" si="48"/>
        <v>0</v>
      </c>
      <c r="AM321" s="137">
        <f t="shared" si="49"/>
        <v>0</v>
      </c>
      <c r="AN321" s="251"/>
      <c r="AO321" s="1736"/>
      <c r="AP321" s="1737"/>
    </row>
    <row r="322" spans="1:42" s="85" customFormat="1" ht="13.5" thickBot="1">
      <c r="A322" s="240"/>
      <c r="B322" s="241"/>
      <c r="C322" s="242"/>
      <c r="D322" s="242"/>
      <c r="E322" s="243"/>
      <c r="F322" s="244"/>
      <c r="G322" s="244"/>
      <c r="H322" s="243"/>
      <c r="I322" s="258"/>
      <c r="J322" s="245"/>
      <c r="K322" s="245"/>
      <c r="L322" s="76">
        <f t="shared" si="40"/>
        <v>0</v>
      </c>
      <c r="M322" s="246"/>
      <c r="N322" s="247"/>
      <c r="O322" s="248"/>
      <c r="P322" s="246"/>
      <c r="Q322" s="249"/>
      <c r="R322" s="250"/>
      <c r="S322" s="259"/>
      <c r="T322" s="260"/>
      <c r="U322" s="250"/>
      <c r="V322" s="78">
        <f t="shared" si="41"/>
        <v>0</v>
      </c>
      <c r="W322" s="261">
        <f t="shared" si="42"/>
        <v>0</v>
      </c>
      <c r="X322" s="133">
        <f t="shared" si="43"/>
        <v>0</v>
      </c>
      <c r="Y322" s="251"/>
      <c r="Z322" s="1736"/>
      <c r="AA322" s="1737"/>
      <c r="AB322" s="77">
        <f t="shared" si="44"/>
        <v>0</v>
      </c>
      <c r="AC322" s="134">
        <f t="shared" si="45"/>
        <v>0</v>
      </c>
      <c r="AD322" s="251"/>
      <c r="AE322" s="1736"/>
      <c r="AF322" s="1737"/>
      <c r="AG322" s="77">
        <f t="shared" si="46"/>
        <v>0</v>
      </c>
      <c r="AH322" s="136">
        <f t="shared" si="47"/>
        <v>0</v>
      </c>
      <c r="AI322" s="251"/>
      <c r="AJ322" s="1736"/>
      <c r="AK322" s="1737"/>
      <c r="AL322" s="79">
        <f t="shared" si="48"/>
        <v>0</v>
      </c>
      <c r="AM322" s="137">
        <f t="shared" si="49"/>
        <v>0</v>
      </c>
      <c r="AN322" s="251"/>
      <c r="AO322" s="1736"/>
      <c r="AP322" s="1737"/>
    </row>
    <row r="323" spans="1:42" s="85" customFormat="1" ht="13.5" thickBot="1">
      <c r="A323" s="240"/>
      <c r="B323" s="241"/>
      <c r="C323" s="242"/>
      <c r="D323" s="242"/>
      <c r="E323" s="243"/>
      <c r="F323" s="244"/>
      <c r="G323" s="244"/>
      <c r="H323" s="243"/>
      <c r="I323" s="258"/>
      <c r="J323" s="245"/>
      <c r="K323" s="245"/>
      <c r="L323" s="76">
        <f t="shared" si="40"/>
        <v>0</v>
      </c>
      <c r="M323" s="246"/>
      <c r="N323" s="247"/>
      <c r="O323" s="248"/>
      <c r="P323" s="246"/>
      <c r="Q323" s="249"/>
      <c r="R323" s="250"/>
      <c r="S323" s="259"/>
      <c r="T323" s="260"/>
      <c r="U323" s="250"/>
      <c r="V323" s="78">
        <f t="shared" si="41"/>
        <v>0</v>
      </c>
      <c r="W323" s="261">
        <f t="shared" si="42"/>
        <v>0</v>
      </c>
      <c r="X323" s="133">
        <f t="shared" si="43"/>
        <v>0</v>
      </c>
      <c r="Y323" s="251"/>
      <c r="Z323" s="1736"/>
      <c r="AA323" s="1737"/>
      <c r="AB323" s="77">
        <f t="shared" si="44"/>
        <v>0</v>
      </c>
      <c r="AC323" s="134">
        <f t="shared" si="45"/>
        <v>0</v>
      </c>
      <c r="AD323" s="251"/>
      <c r="AE323" s="1736"/>
      <c r="AF323" s="1737"/>
      <c r="AG323" s="77">
        <f t="shared" si="46"/>
        <v>0</v>
      </c>
      <c r="AH323" s="136">
        <f t="shared" si="47"/>
        <v>0</v>
      </c>
      <c r="AI323" s="251"/>
      <c r="AJ323" s="1736"/>
      <c r="AK323" s="1737"/>
      <c r="AL323" s="79">
        <f t="shared" si="48"/>
        <v>0</v>
      </c>
      <c r="AM323" s="137">
        <f t="shared" si="49"/>
        <v>0</v>
      </c>
      <c r="AN323" s="251"/>
      <c r="AO323" s="1736"/>
      <c r="AP323" s="1737"/>
    </row>
    <row r="324" spans="1:42" s="85" customFormat="1" ht="13.5" thickBot="1">
      <c r="A324" s="240"/>
      <c r="B324" s="241"/>
      <c r="C324" s="242"/>
      <c r="D324" s="242"/>
      <c r="E324" s="243"/>
      <c r="F324" s="244"/>
      <c r="G324" s="244"/>
      <c r="H324" s="243"/>
      <c r="I324" s="258"/>
      <c r="J324" s="245"/>
      <c r="K324" s="245"/>
      <c r="L324" s="76">
        <f t="shared" si="40"/>
        <v>0</v>
      </c>
      <c r="M324" s="246"/>
      <c r="N324" s="247"/>
      <c r="O324" s="248"/>
      <c r="P324" s="246"/>
      <c r="Q324" s="249"/>
      <c r="R324" s="250"/>
      <c r="S324" s="259"/>
      <c r="T324" s="260"/>
      <c r="U324" s="250"/>
      <c r="V324" s="78">
        <f t="shared" si="41"/>
        <v>0</v>
      </c>
      <c r="W324" s="261">
        <f t="shared" si="42"/>
        <v>0</v>
      </c>
      <c r="X324" s="133">
        <f t="shared" si="43"/>
        <v>0</v>
      </c>
      <c r="Y324" s="251"/>
      <c r="Z324" s="1736"/>
      <c r="AA324" s="1737"/>
      <c r="AB324" s="77">
        <f t="shared" si="44"/>
        <v>0</v>
      </c>
      <c r="AC324" s="134">
        <f t="shared" si="45"/>
        <v>0</v>
      </c>
      <c r="AD324" s="251"/>
      <c r="AE324" s="1736"/>
      <c r="AF324" s="1737"/>
      <c r="AG324" s="77">
        <f t="shared" si="46"/>
        <v>0</v>
      </c>
      <c r="AH324" s="136">
        <f t="shared" si="47"/>
        <v>0</v>
      </c>
      <c r="AI324" s="251"/>
      <c r="AJ324" s="1736"/>
      <c r="AK324" s="1737"/>
      <c r="AL324" s="79">
        <f t="shared" si="48"/>
        <v>0</v>
      </c>
      <c r="AM324" s="137">
        <f t="shared" si="49"/>
        <v>0</v>
      </c>
      <c r="AN324" s="251"/>
      <c r="AO324" s="1736"/>
      <c r="AP324" s="1737"/>
    </row>
    <row r="325" spans="1:42" s="85" customFormat="1" ht="13.5" thickBot="1">
      <c r="A325" s="240"/>
      <c r="B325" s="241"/>
      <c r="C325" s="242"/>
      <c r="D325" s="242"/>
      <c r="E325" s="243"/>
      <c r="F325" s="244"/>
      <c r="G325" s="244"/>
      <c r="H325" s="243"/>
      <c r="I325" s="258"/>
      <c r="J325" s="245"/>
      <c r="K325" s="245"/>
      <c r="L325" s="76">
        <f t="shared" si="40"/>
        <v>0</v>
      </c>
      <c r="M325" s="246"/>
      <c r="N325" s="247"/>
      <c r="O325" s="248"/>
      <c r="P325" s="246"/>
      <c r="Q325" s="249"/>
      <c r="R325" s="250"/>
      <c r="S325" s="259"/>
      <c r="T325" s="260"/>
      <c r="U325" s="250"/>
      <c r="V325" s="78">
        <f t="shared" si="41"/>
        <v>0</v>
      </c>
      <c r="W325" s="261">
        <f t="shared" si="42"/>
        <v>0</v>
      </c>
      <c r="X325" s="133">
        <f t="shared" si="43"/>
        <v>0</v>
      </c>
      <c r="Y325" s="251"/>
      <c r="Z325" s="1736"/>
      <c r="AA325" s="1737"/>
      <c r="AB325" s="77">
        <f t="shared" si="44"/>
        <v>0</v>
      </c>
      <c r="AC325" s="134">
        <f t="shared" si="45"/>
        <v>0</v>
      </c>
      <c r="AD325" s="251"/>
      <c r="AE325" s="1736"/>
      <c r="AF325" s="1737"/>
      <c r="AG325" s="77">
        <f t="shared" si="46"/>
        <v>0</v>
      </c>
      <c r="AH325" s="136">
        <f t="shared" si="47"/>
        <v>0</v>
      </c>
      <c r="AI325" s="251"/>
      <c r="AJ325" s="1736"/>
      <c r="AK325" s="1737"/>
      <c r="AL325" s="79">
        <f t="shared" si="48"/>
        <v>0</v>
      </c>
      <c r="AM325" s="137">
        <f t="shared" si="49"/>
        <v>0</v>
      </c>
      <c r="AN325" s="251"/>
      <c r="AO325" s="1736"/>
      <c r="AP325" s="1737"/>
    </row>
    <row r="326" spans="1:42" s="85" customFormat="1" ht="13.5" thickBot="1">
      <c r="A326" s="240"/>
      <c r="B326" s="241"/>
      <c r="C326" s="242"/>
      <c r="D326" s="242"/>
      <c r="E326" s="243"/>
      <c r="F326" s="244"/>
      <c r="G326" s="244"/>
      <c r="H326" s="243"/>
      <c r="I326" s="258"/>
      <c r="J326" s="245"/>
      <c r="K326" s="245"/>
      <c r="L326" s="76">
        <f t="shared" si="40"/>
        <v>0</v>
      </c>
      <c r="M326" s="246"/>
      <c r="N326" s="247"/>
      <c r="O326" s="248"/>
      <c r="P326" s="246"/>
      <c r="Q326" s="249"/>
      <c r="R326" s="250"/>
      <c r="S326" s="259"/>
      <c r="T326" s="260"/>
      <c r="U326" s="250"/>
      <c r="V326" s="78">
        <f t="shared" si="41"/>
        <v>0</v>
      </c>
      <c r="W326" s="261">
        <f t="shared" si="42"/>
        <v>0</v>
      </c>
      <c r="X326" s="133">
        <f t="shared" si="43"/>
        <v>0</v>
      </c>
      <c r="Y326" s="251"/>
      <c r="Z326" s="1736"/>
      <c r="AA326" s="1737"/>
      <c r="AB326" s="77">
        <f t="shared" si="44"/>
        <v>0</v>
      </c>
      <c r="AC326" s="134">
        <f t="shared" si="45"/>
        <v>0</v>
      </c>
      <c r="AD326" s="251"/>
      <c r="AE326" s="1736"/>
      <c r="AF326" s="1737"/>
      <c r="AG326" s="77">
        <f t="shared" si="46"/>
        <v>0</v>
      </c>
      <c r="AH326" s="136">
        <f t="shared" si="47"/>
        <v>0</v>
      </c>
      <c r="AI326" s="251"/>
      <c r="AJ326" s="1736"/>
      <c r="AK326" s="1737"/>
      <c r="AL326" s="79">
        <f t="shared" si="48"/>
        <v>0</v>
      </c>
      <c r="AM326" s="137">
        <f t="shared" si="49"/>
        <v>0</v>
      </c>
      <c r="AN326" s="251"/>
      <c r="AO326" s="1736"/>
      <c r="AP326" s="1737"/>
    </row>
    <row r="327" spans="1:42" s="85" customFormat="1" ht="13.5" thickBot="1">
      <c r="A327" s="240"/>
      <c r="B327" s="241"/>
      <c r="C327" s="242"/>
      <c r="D327" s="242"/>
      <c r="E327" s="243"/>
      <c r="F327" s="244"/>
      <c r="G327" s="244"/>
      <c r="H327" s="243"/>
      <c r="I327" s="258"/>
      <c r="J327" s="245"/>
      <c r="K327" s="245"/>
      <c r="L327" s="76">
        <f t="shared" si="40"/>
        <v>0</v>
      </c>
      <c r="M327" s="246"/>
      <c r="N327" s="247"/>
      <c r="O327" s="248"/>
      <c r="P327" s="246"/>
      <c r="Q327" s="249"/>
      <c r="R327" s="250"/>
      <c r="S327" s="259"/>
      <c r="T327" s="260"/>
      <c r="U327" s="250"/>
      <c r="V327" s="78">
        <f t="shared" si="41"/>
        <v>0</v>
      </c>
      <c r="W327" s="261">
        <f t="shared" si="42"/>
        <v>0</v>
      </c>
      <c r="X327" s="133">
        <f t="shared" si="43"/>
        <v>0</v>
      </c>
      <c r="Y327" s="251"/>
      <c r="Z327" s="1736"/>
      <c r="AA327" s="1737"/>
      <c r="AB327" s="77">
        <f t="shared" si="44"/>
        <v>0</v>
      </c>
      <c r="AC327" s="134">
        <f t="shared" si="45"/>
        <v>0</v>
      </c>
      <c r="AD327" s="251"/>
      <c r="AE327" s="1736"/>
      <c r="AF327" s="1737"/>
      <c r="AG327" s="77">
        <f t="shared" si="46"/>
        <v>0</v>
      </c>
      <c r="AH327" s="136">
        <f t="shared" si="47"/>
        <v>0</v>
      </c>
      <c r="AI327" s="251"/>
      <c r="AJ327" s="1736"/>
      <c r="AK327" s="1737"/>
      <c r="AL327" s="79">
        <f t="shared" si="48"/>
        <v>0</v>
      </c>
      <c r="AM327" s="137">
        <f t="shared" si="49"/>
        <v>0</v>
      </c>
      <c r="AN327" s="251"/>
      <c r="AO327" s="1736"/>
      <c r="AP327" s="1737"/>
    </row>
    <row r="328" spans="1:42" s="85" customFormat="1" ht="13.5" thickBot="1">
      <c r="A328" s="240"/>
      <c r="B328" s="241"/>
      <c r="C328" s="242"/>
      <c r="D328" s="242"/>
      <c r="E328" s="243"/>
      <c r="F328" s="244"/>
      <c r="G328" s="244"/>
      <c r="H328" s="243"/>
      <c r="I328" s="258"/>
      <c r="J328" s="245"/>
      <c r="K328" s="245"/>
      <c r="L328" s="76">
        <f t="shared" si="40"/>
        <v>0</v>
      </c>
      <c r="M328" s="246"/>
      <c r="N328" s="247"/>
      <c r="O328" s="248"/>
      <c r="P328" s="246"/>
      <c r="Q328" s="249"/>
      <c r="R328" s="250"/>
      <c r="S328" s="259"/>
      <c r="T328" s="260"/>
      <c r="U328" s="250"/>
      <c r="V328" s="78">
        <f t="shared" si="41"/>
        <v>0</v>
      </c>
      <c r="W328" s="261">
        <f t="shared" si="42"/>
        <v>0</v>
      </c>
      <c r="X328" s="133">
        <f t="shared" si="43"/>
        <v>0</v>
      </c>
      <c r="Y328" s="251"/>
      <c r="Z328" s="1736"/>
      <c r="AA328" s="1737"/>
      <c r="AB328" s="77">
        <f t="shared" si="44"/>
        <v>0</v>
      </c>
      <c r="AC328" s="134">
        <f t="shared" si="45"/>
        <v>0</v>
      </c>
      <c r="AD328" s="251"/>
      <c r="AE328" s="1736"/>
      <c r="AF328" s="1737"/>
      <c r="AG328" s="77">
        <f t="shared" si="46"/>
        <v>0</v>
      </c>
      <c r="AH328" s="136">
        <f t="shared" si="47"/>
        <v>0</v>
      </c>
      <c r="AI328" s="251"/>
      <c r="AJ328" s="1736"/>
      <c r="AK328" s="1737"/>
      <c r="AL328" s="79">
        <f t="shared" si="48"/>
        <v>0</v>
      </c>
      <c r="AM328" s="137">
        <f t="shared" si="49"/>
        <v>0</v>
      </c>
      <c r="AN328" s="251"/>
      <c r="AO328" s="1736"/>
      <c r="AP328" s="1737"/>
    </row>
    <row r="329" spans="1:42" s="85" customFormat="1" ht="13.5" thickBot="1">
      <c r="A329" s="240"/>
      <c r="B329" s="241"/>
      <c r="C329" s="242"/>
      <c r="D329" s="242"/>
      <c r="E329" s="243"/>
      <c r="F329" s="244"/>
      <c r="G329" s="244"/>
      <c r="H329" s="243"/>
      <c r="I329" s="258"/>
      <c r="J329" s="245"/>
      <c r="K329" s="245"/>
      <c r="L329" s="76">
        <f t="shared" si="40"/>
        <v>0</v>
      </c>
      <c r="M329" s="246"/>
      <c r="N329" s="247"/>
      <c r="O329" s="248"/>
      <c r="P329" s="246"/>
      <c r="Q329" s="249"/>
      <c r="R329" s="250"/>
      <c r="S329" s="259"/>
      <c r="T329" s="260"/>
      <c r="U329" s="250"/>
      <c r="V329" s="78">
        <f t="shared" si="41"/>
        <v>0</v>
      </c>
      <c r="W329" s="261">
        <f t="shared" si="42"/>
        <v>0</v>
      </c>
      <c r="X329" s="133">
        <f t="shared" si="43"/>
        <v>0</v>
      </c>
      <c r="Y329" s="251"/>
      <c r="Z329" s="1736"/>
      <c r="AA329" s="1737"/>
      <c r="AB329" s="77">
        <f t="shared" si="44"/>
        <v>0</v>
      </c>
      <c r="AC329" s="134">
        <f t="shared" si="45"/>
        <v>0</v>
      </c>
      <c r="AD329" s="251"/>
      <c r="AE329" s="1736"/>
      <c r="AF329" s="1737"/>
      <c r="AG329" s="77">
        <f t="shared" si="46"/>
        <v>0</v>
      </c>
      <c r="AH329" s="136">
        <f t="shared" si="47"/>
        <v>0</v>
      </c>
      <c r="AI329" s="251"/>
      <c r="AJ329" s="1736"/>
      <c r="AK329" s="1737"/>
      <c r="AL329" s="79">
        <f t="shared" si="48"/>
        <v>0</v>
      </c>
      <c r="AM329" s="137">
        <f t="shared" si="49"/>
        <v>0</v>
      </c>
      <c r="AN329" s="251"/>
      <c r="AO329" s="1736"/>
      <c r="AP329" s="1737"/>
    </row>
    <row r="330" spans="1:42" s="85" customFormat="1" ht="13.5" thickBot="1">
      <c r="A330" s="240"/>
      <c r="B330" s="241"/>
      <c r="C330" s="242"/>
      <c r="D330" s="242"/>
      <c r="E330" s="243"/>
      <c r="F330" s="244"/>
      <c r="G330" s="244"/>
      <c r="H330" s="243"/>
      <c r="I330" s="258"/>
      <c r="J330" s="245"/>
      <c r="K330" s="245"/>
      <c r="L330" s="76">
        <f t="shared" si="40"/>
        <v>0</v>
      </c>
      <c r="M330" s="246"/>
      <c r="N330" s="247"/>
      <c r="O330" s="248"/>
      <c r="P330" s="246"/>
      <c r="Q330" s="249"/>
      <c r="R330" s="250"/>
      <c r="S330" s="259"/>
      <c r="T330" s="260"/>
      <c r="U330" s="250"/>
      <c r="V330" s="78">
        <f t="shared" si="41"/>
        <v>0</v>
      </c>
      <c r="W330" s="261">
        <f t="shared" si="42"/>
        <v>0</v>
      </c>
      <c r="X330" s="133">
        <f t="shared" si="43"/>
        <v>0</v>
      </c>
      <c r="Y330" s="251"/>
      <c r="Z330" s="1736"/>
      <c r="AA330" s="1737"/>
      <c r="AB330" s="77">
        <f t="shared" si="44"/>
        <v>0</v>
      </c>
      <c r="AC330" s="134">
        <f t="shared" si="45"/>
        <v>0</v>
      </c>
      <c r="AD330" s="251"/>
      <c r="AE330" s="1736"/>
      <c r="AF330" s="1737"/>
      <c r="AG330" s="77">
        <f t="shared" si="46"/>
        <v>0</v>
      </c>
      <c r="AH330" s="136">
        <f t="shared" si="47"/>
        <v>0</v>
      </c>
      <c r="AI330" s="251"/>
      <c r="AJ330" s="1736"/>
      <c r="AK330" s="1737"/>
      <c r="AL330" s="79">
        <f t="shared" si="48"/>
        <v>0</v>
      </c>
      <c r="AM330" s="137">
        <f t="shared" si="49"/>
        <v>0</v>
      </c>
      <c r="AN330" s="251"/>
      <c r="AO330" s="1736"/>
      <c r="AP330" s="1737"/>
    </row>
    <row r="331" spans="1:42" s="85" customFormat="1" ht="13.5" thickBot="1">
      <c r="A331" s="240"/>
      <c r="B331" s="241"/>
      <c r="C331" s="242"/>
      <c r="D331" s="242"/>
      <c r="E331" s="243"/>
      <c r="F331" s="244"/>
      <c r="G331" s="244"/>
      <c r="H331" s="243"/>
      <c r="I331" s="258"/>
      <c r="J331" s="245"/>
      <c r="K331" s="245"/>
      <c r="L331" s="76">
        <f t="shared" ref="L331:L394" si="50">IF(I331=0,0,(K331+J331)/I331)</f>
        <v>0</v>
      </c>
      <c r="M331" s="246"/>
      <c r="N331" s="247"/>
      <c r="O331" s="248"/>
      <c r="P331" s="246"/>
      <c r="Q331" s="249"/>
      <c r="R331" s="250"/>
      <c r="S331" s="259"/>
      <c r="T331" s="260"/>
      <c r="U331" s="250"/>
      <c r="V331" s="78">
        <f t="shared" ref="V331:V394" si="51">IF(U331=0,0,((U331*S331)-AB331-AL331))</f>
        <v>0</v>
      </c>
      <c r="W331" s="261">
        <f t="shared" ref="W331:W394" si="52">+S331-I331</f>
        <v>0</v>
      </c>
      <c r="X331" s="133">
        <f t="shared" ref="X331:X394" si="53">(V331-J331)</f>
        <v>0</v>
      </c>
      <c r="Y331" s="251"/>
      <c r="Z331" s="1736"/>
      <c r="AA331" s="1737"/>
      <c r="AB331" s="77">
        <f t="shared" ref="AB331:AB394" si="54">(IF(I331=0,0,M331/H331))*S331</f>
        <v>0</v>
      </c>
      <c r="AC331" s="134">
        <f t="shared" ref="AC331:AC394" si="55">+AB331-P331</f>
        <v>0</v>
      </c>
      <c r="AD331" s="251"/>
      <c r="AE331" s="1736"/>
      <c r="AF331" s="1737"/>
      <c r="AG331" s="77">
        <f t="shared" ref="AG331:AG394" si="56">(IF(H331=0,0,N331/H331))*T331</f>
        <v>0</v>
      </c>
      <c r="AH331" s="136">
        <f t="shared" ref="AH331:AH394" si="57">+AG331-Q331</f>
        <v>0</v>
      </c>
      <c r="AI331" s="251"/>
      <c r="AJ331" s="1736"/>
      <c r="AK331" s="1737"/>
      <c r="AL331" s="79">
        <f t="shared" ref="AL331:AL394" si="58">+O331*S331</f>
        <v>0</v>
      </c>
      <c r="AM331" s="137">
        <f t="shared" ref="AM331:AM394" si="59">+AL331-R331</f>
        <v>0</v>
      </c>
      <c r="AN331" s="251"/>
      <c r="AO331" s="1736"/>
      <c r="AP331" s="1737"/>
    </row>
    <row r="332" spans="1:42" s="85" customFormat="1" ht="13.5" thickBot="1">
      <c r="A332" s="240"/>
      <c r="B332" s="241"/>
      <c r="C332" s="242"/>
      <c r="D332" s="242"/>
      <c r="E332" s="243"/>
      <c r="F332" s="244"/>
      <c r="G332" s="244"/>
      <c r="H332" s="243"/>
      <c r="I332" s="258"/>
      <c r="J332" s="245"/>
      <c r="K332" s="245"/>
      <c r="L332" s="76">
        <f t="shared" si="50"/>
        <v>0</v>
      </c>
      <c r="M332" s="246"/>
      <c r="N332" s="247"/>
      <c r="O332" s="248"/>
      <c r="P332" s="246"/>
      <c r="Q332" s="249"/>
      <c r="R332" s="250"/>
      <c r="S332" s="259"/>
      <c r="T332" s="260"/>
      <c r="U332" s="250"/>
      <c r="V332" s="78">
        <f t="shared" si="51"/>
        <v>0</v>
      </c>
      <c r="W332" s="261">
        <f t="shared" si="52"/>
        <v>0</v>
      </c>
      <c r="X332" s="133">
        <f t="shared" si="53"/>
        <v>0</v>
      </c>
      <c r="Y332" s="251"/>
      <c r="Z332" s="1736"/>
      <c r="AA332" s="1737"/>
      <c r="AB332" s="77">
        <f t="shared" si="54"/>
        <v>0</v>
      </c>
      <c r="AC332" s="134">
        <f t="shared" si="55"/>
        <v>0</v>
      </c>
      <c r="AD332" s="251"/>
      <c r="AE332" s="1736"/>
      <c r="AF332" s="1737"/>
      <c r="AG332" s="77">
        <f t="shared" si="56"/>
        <v>0</v>
      </c>
      <c r="AH332" s="136">
        <f t="shared" si="57"/>
        <v>0</v>
      </c>
      <c r="AI332" s="251"/>
      <c r="AJ332" s="1736"/>
      <c r="AK332" s="1737"/>
      <c r="AL332" s="79">
        <f t="shared" si="58"/>
        <v>0</v>
      </c>
      <c r="AM332" s="137">
        <f t="shared" si="59"/>
        <v>0</v>
      </c>
      <c r="AN332" s="251"/>
      <c r="AO332" s="1736"/>
      <c r="AP332" s="1737"/>
    </row>
    <row r="333" spans="1:42" s="85" customFormat="1" ht="13.5" thickBot="1">
      <c r="A333" s="240"/>
      <c r="B333" s="241"/>
      <c r="C333" s="242"/>
      <c r="D333" s="242"/>
      <c r="E333" s="243"/>
      <c r="F333" s="244"/>
      <c r="G333" s="244"/>
      <c r="H333" s="243"/>
      <c r="I333" s="258"/>
      <c r="J333" s="245"/>
      <c r="K333" s="245"/>
      <c r="L333" s="76">
        <f t="shared" si="50"/>
        <v>0</v>
      </c>
      <c r="M333" s="246"/>
      <c r="N333" s="247"/>
      <c r="O333" s="248"/>
      <c r="P333" s="246"/>
      <c r="Q333" s="249"/>
      <c r="R333" s="250"/>
      <c r="S333" s="259"/>
      <c r="T333" s="260"/>
      <c r="U333" s="250"/>
      <c r="V333" s="78">
        <f t="shared" si="51"/>
        <v>0</v>
      </c>
      <c r="W333" s="261">
        <f t="shared" si="52"/>
        <v>0</v>
      </c>
      <c r="X333" s="133">
        <f t="shared" si="53"/>
        <v>0</v>
      </c>
      <c r="Y333" s="251"/>
      <c r="Z333" s="1736"/>
      <c r="AA333" s="1737"/>
      <c r="AB333" s="77">
        <f t="shared" si="54"/>
        <v>0</v>
      </c>
      <c r="AC333" s="134">
        <f t="shared" si="55"/>
        <v>0</v>
      </c>
      <c r="AD333" s="251"/>
      <c r="AE333" s="1736"/>
      <c r="AF333" s="1737"/>
      <c r="AG333" s="77">
        <f t="shared" si="56"/>
        <v>0</v>
      </c>
      <c r="AH333" s="136">
        <f t="shared" si="57"/>
        <v>0</v>
      </c>
      <c r="AI333" s="251"/>
      <c r="AJ333" s="1736"/>
      <c r="AK333" s="1737"/>
      <c r="AL333" s="79">
        <f t="shared" si="58"/>
        <v>0</v>
      </c>
      <c r="AM333" s="137">
        <f t="shared" si="59"/>
        <v>0</v>
      </c>
      <c r="AN333" s="251"/>
      <c r="AO333" s="1736"/>
      <c r="AP333" s="1737"/>
    </row>
    <row r="334" spans="1:42" s="85" customFormat="1" ht="13.5" thickBot="1">
      <c r="A334" s="240"/>
      <c r="B334" s="241"/>
      <c r="C334" s="242"/>
      <c r="D334" s="242"/>
      <c r="E334" s="243"/>
      <c r="F334" s="244"/>
      <c r="G334" s="244"/>
      <c r="H334" s="243"/>
      <c r="I334" s="258"/>
      <c r="J334" s="245"/>
      <c r="K334" s="245"/>
      <c r="L334" s="76">
        <f t="shared" si="50"/>
        <v>0</v>
      </c>
      <c r="M334" s="246"/>
      <c r="N334" s="247"/>
      <c r="O334" s="248"/>
      <c r="P334" s="246"/>
      <c r="Q334" s="249"/>
      <c r="R334" s="250"/>
      <c r="S334" s="259"/>
      <c r="T334" s="260"/>
      <c r="U334" s="250"/>
      <c r="V334" s="78">
        <f t="shared" si="51"/>
        <v>0</v>
      </c>
      <c r="W334" s="261">
        <f t="shared" si="52"/>
        <v>0</v>
      </c>
      <c r="X334" s="133">
        <f t="shared" si="53"/>
        <v>0</v>
      </c>
      <c r="Y334" s="251"/>
      <c r="Z334" s="1736"/>
      <c r="AA334" s="1737"/>
      <c r="AB334" s="77">
        <f t="shared" si="54"/>
        <v>0</v>
      </c>
      <c r="AC334" s="134">
        <f t="shared" si="55"/>
        <v>0</v>
      </c>
      <c r="AD334" s="251"/>
      <c r="AE334" s="1736"/>
      <c r="AF334" s="1737"/>
      <c r="AG334" s="77">
        <f t="shared" si="56"/>
        <v>0</v>
      </c>
      <c r="AH334" s="136">
        <f t="shared" si="57"/>
        <v>0</v>
      </c>
      <c r="AI334" s="251"/>
      <c r="AJ334" s="1736"/>
      <c r="AK334" s="1737"/>
      <c r="AL334" s="79">
        <f t="shared" si="58"/>
        <v>0</v>
      </c>
      <c r="AM334" s="137">
        <f t="shared" si="59"/>
        <v>0</v>
      </c>
      <c r="AN334" s="251"/>
      <c r="AO334" s="1736"/>
      <c r="AP334" s="1737"/>
    </row>
    <row r="335" spans="1:42" s="85" customFormat="1" ht="13.5" thickBot="1">
      <c r="A335" s="240"/>
      <c r="B335" s="241"/>
      <c r="C335" s="242"/>
      <c r="D335" s="242"/>
      <c r="E335" s="243"/>
      <c r="F335" s="244"/>
      <c r="G335" s="244"/>
      <c r="H335" s="243"/>
      <c r="I335" s="258"/>
      <c r="J335" s="245"/>
      <c r="K335" s="245"/>
      <c r="L335" s="76">
        <f t="shared" si="50"/>
        <v>0</v>
      </c>
      <c r="M335" s="246"/>
      <c r="N335" s="247"/>
      <c r="O335" s="248"/>
      <c r="P335" s="246"/>
      <c r="Q335" s="249"/>
      <c r="R335" s="250"/>
      <c r="S335" s="259"/>
      <c r="T335" s="260"/>
      <c r="U335" s="250"/>
      <c r="V335" s="78">
        <f t="shared" si="51"/>
        <v>0</v>
      </c>
      <c r="W335" s="261">
        <f t="shared" si="52"/>
        <v>0</v>
      </c>
      <c r="X335" s="133">
        <f t="shared" si="53"/>
        <v>0</v>
      </c>
      <c r="Y335" s="251"/>
      <c r="Z335" s="1736"/>
      <c r="AA335" s="1737"/>
      <c r="AB335" s="77">
        <f t="shared" si="54"/>
        <v>0</v>
      </c>
      <c r="AC335" s="134">
        <f t="shared" si="55"/>
        <v>0</v>
      </c>
      <c r="AD335" s="251"/>
      <c r="AE335" s="1736"/>
      <c r="AF335" s="1737"/>
      <c r="AG335" s="77">
        <f t="shared" si="56"/>
        <v>0</v>
      </c>
      <c r="AH335" s="136">
        <f t="shared" si="57"/>
        <v>0</v>
      </c>
      <c r="AI335" s="251"/>
      <c r="AJ335" s="1736"/>
      <c r="AK335" s="1737"/>
      <c r="AL335" s="79">
        <f t="shared" si="58"/>
        <v>0</v>
      </c>
      <c r="AM335" s="137">
        <f t="shared" si="59"/>
        <v>0</v>
      </c>
      <c r="AN335" s="251"/>
      <c r="AO335" s="1736"/>
      <c r="AP335" s="1737"/>
    </row>
    <row r="336" spans="1:42" s="85" customFormat="1" ht="13.5" thickBot="1">
      <c r="A336" s="240"/>
      <c r="B336" s="241"/>
      <c r="C336" s="242"/>
      <c r="D336" s="242"/>
      <c r="E336" s="243"/>
      <c r="F336" s="244"/>
      <c r="G336" s="244"/>
      <c r="H336" s="243"/>
      <c r="I336" s="258"/>
      <c r="J336" s="245"/>
      <c r="K336" s="245"/>
      <c r="L336" s="76">
        <f t="shared" si="50"/>
        <v>0</v>
      </c>
      <c r="M336" s="246"/>
      <c r="N336" s="247"/>
      <c r="O336" s="248"/>
      <c r="P336" s="246"/>
      <c r="Q336" s="249"/>
      <c r="R336" s="250"/>
      <c r="S336" s="259"/>
      <c r="T336" s="260"/>
      <c r="U336" s="250"/>
      <c r="V336" s="78">
        <f t="shared" si="51"/>
        <v>0</v>
      </c>
      <c r="W336" s="261">
        <f t="shared" si="52"/>
        <v>0</v>
      </c>
      <c r="X336" s="133">
        <f t="shared" si="53"/>
        <v>0</v>
      </c>
      <c r="Y336" s="251"/>
      <c r="Z336" s="1736"/>
      <c r="AA336" s="1737"/>
      <c r="AB336" s="77">
        <f t="shared" si="54"/>
        <v>0</v>
      </c>
      <c r="AC336" s="134">
        <f t="shared" si="55"/>
        <v>0</v>
      </c>
      <c r="AD336" s="251"/>
      <c r="AE336" s="1736"/>
      <c r="AF336" s="1737"/>
      <c r="AG336" s="77">
        <f t="shared" si="56"/>
        <v>0</v>
      </c>
      <c r="AH336" s="136">
        <f t="shared" si="57"/>
        <v>0</v>
      </c>
      <c r="AI336" s="251"/>
      <c r="AJ336" s="1736"/>
      <c r="AK336" s="1737"/>
      <c r="AL336" s="79">
        <f t="shared" si="58"/>
        <v>0</v>
      </c>
      <c r="AM336" s="137">
        <f t="shared" si="59"/>
        <v>0</v>
      </c>
      <c r="AN336" s="251"/>
      <c r="AO336" s="1736"/>
      <c r="AP336" s="1737"/>
    </row>
    <row r="337" spans="1:42" s="85" customFormat="1" ht="13.5" thickBot="1">
      <c r="A337" s="240"/>
      <c r="B337" s="241"/>
      <c r="C337" s="242"/>
      <c r="D337" s="242"/>
      <c r="E337" s="243"/>
      <c r="F337" s="244"/>
      <c r="G337" s="244"/>
      <c r="H337" s="243"/>
      <c r="I337" s="258"/>
      <c r="J337" s="245"/>
      <c r="K337" s="245"/>
      <c r="L337" s="76">
        <f t="shared" si="50"/>
        <v>0</v>
      </c>
      <c r="M337" s="246"/>
      <c r="N337" s="247"/>
      <c r="O337" s="248"/>
      <c r="P337" s="246"/>
      <c r="Q337" s="249"/>
      <c r="R337" s="250"/>
      <c r="S337" s="259"/>
      <c r="T337" s="260"/>
      <c r="U337" s="250"/>
      <c r="V337" s="78">
        <f t="shared" si="51"/>
        <v>0</v>
      </c>
      <c r="W337" s="261">
        <f t="shared" si="52"/>
        <v>0</v>
      </c>
      <c r="X337" s="133">
        <f t="shared" si="53"/>
        <v>0</v>
      </c>
      <c r="Y337" s="251"/>
      <c r="Z337" s="1736"/>
      <c r="AA337" s="1737"/>
      <c r="AB337" s="77">
        <f t="shared" si="54"/>
        <v>0</v>
      </c>
      <c r="AC337" s="134">
        <f t="shared" si="55"/>
        <v>0</v>
      </c>
      <c r="AD337" s="251"/>
      <c r="AE337" s="1736"/>
      <c r="AF337" s="1737"/>
      <c r="AG337" s="77">
        <f t="shared" si="56"/>
        <v>0</v>
      </c>
      <c r="AH337" s="136">
        <f t="shared" si="57"/>
        <v>0</v>
      </c>
      <c r="AI337" s="251"/>
      <c r="AJ337" s="1736"/>
      <c r="AK337" s="1737"/>
      <c r="AL337" s="79">
        <f t="shared" si="58"/>
        <v>0</v>
      </c>
      <c r="AM337" s="137">
        <f t="shared" si="59"/>
        <v>0</v>
      </c>
      <c r="AN337" s="251"/>
      <c r="AO337" s="1736"/>
      <c r="AP337" s="1737"/>
    </row>
    <row r="338" spans="1:42" s="85" customFormat="1" ht="13.5" thickBot="1">
      <c r="A338" s="240"/>
      <c r="B338" s="241"/>
      <c r="C338" s="242"/>
      <c r="D338" s="242"/>
      <c r="E338" s="243"/>
      <c r="F338" s="244"/>
      <c r="G338" s="244"/>
      <c r="H338" s="243"/>
      <c r="I338" s="258"/>
      <c r="J338" s="245"/>
      <c r="K338" s="245"/>
      <c r="L338" s="76">
        <f t="shared" si="50"/>
        <v>0</v>
      </c>
      <c r="M338" s="246"/>
      <c r="N338" s="247"/>
      <c r="O338" s="248"/>
      <c r="P338" s="246"/>
      <c r="Q338" s="249"/>
      <c r="R338" s="250"/>
      <c r="S338" s="259"/>
      <c r="T338" s="260"/>
      <c r="U338" s="250"/>
      <c r="V338" s="78">
        <f t="shared" si="51"/>
        <v>0</v>
      </c>
      <c r="W338" s="261">
        <f t="shared" si="52"/>
        <v>0</v>
      </c>
      <c r="X338" s="133">
        <f t="shared" si="53"/>
        <v>0</v>
      </c>
      <c r="Y338" s="251"/>
      <c r="Z338" s="1736"/>
      <c r="AA338" s="1737"/>
      <c r="AB338" s="77">
        <f t="shared" si="54"/>
        <v>0</v>
      </c>
      <c r="AC338" s="134">
        <f t="shared" si="55"/>
        <v>0</v>
      </c>
      <c r="AD338" s="251"/>
      <c r="AE338" s="1736"/>
      <c r="AF338" s="1737"/>
      <c r="AG338" s="77">
        <f t="shared" si="56"/>
        <v>0</v>
      </c>
      <c r="AH338" s="136">
        <f t="shared" si="57"/>
        <v>0</v>
      </c>
      <c r="AI338" s="251"/>
      <c r="AJ338" s="1736"/>
      <c r="AK338" s="1737"/>
      <c r="AL338" s="79">
        <f t="shared" si="58"/>
        <v>0</v>
      </c>
      <c r="AM338" s="137">
        <f t="shared" si="59"/>
        <v>0</v>
      </c>
      <c r="AN338" s="251"/>
      <c r="AO338" s="1736"/>
      <c r="AP338" s="1737"/>
    </row>
    <row r="339" spans="1:42" s="85" customFormat="1" ht="13.5" thickBot="1">
      <c r="A339" s="240"/>
      <c r="B339" s="241"/>
      <c r="C339" s="242"/>
      <c r="D339" s="242"/>
      <c r="E339" s="243"/>
      <c r="F339" s="244"/>
      <c r="G339" s="244"/>
      <c r="H339" s="243"/>
      <c r="I339" s="258"/>
      <c r="J339" s="245"/>
      <c r="K339" s="245"/>
      <c r="L339" s="76">
        <f t="shared" si="50"/>
        <v>0</v>
      </c>
      <c r="M339" s="246"/>
      <c r="N339" s="247"/>
      <c r="O339" s="248"/>
      <c r="P339" s="246"/>
      <c r="Q339" s="249"/>
      <c r="R339" s="250"/>
      <c r="S339" s="259"/>
      <c r="T339" s="260"/>
      <c r="U339" s="250"/>
      <c r="V339" s="78">
        <f t="shared" si="51"/>
        <v>0</v>
      </c>
      <c r="W339" s="261">
        <f t="shared" si="52"/>
        <v>0</v>
      </c>
      <c r="X339" s="133">
        <f t="shared" si="53"/>
        <v>0</v>
      </c>
      <c r="Y339" s="251"/>
      <c r="Z339" s="1736"/>
      <c r="AA339" s="1737"/>
      <c r="AB339" s="77">
        <f t="shared" si="54"/>
        <v>0</v>
      </c>
      <c r="AC339" s="134">
        <f t="shared" si="55"/>
        <v>0</v>
      </c>
      <c r="AD339" s="251"/>
      <c r="AE339" s="1736"/>
      <c r="AF339" s="1737"/>
      <c r="AG339" s="77">
        <f t="shared" si="56"/>
        <v>0</v>
      </c>
      <c r="AH339" s="136">
        <f t="shared" si="57"/>
        <v>0</v>
      </c>
      <c r="AI339" s="251"/>
      <c r="AJ339" s="1736"/>
      <c r="AK339" s="1737"/>
      <c r="AL339" s="79">
        <f t="shared" si="58"/>
        <v>0</v>
      </c>
      <c r="AM339" s="137">
        <f t="shared" si="59"/>
        <v>0</v>
      </c>
      <c r="AN339" s="251"/>
      <c r="AO339" s="1736"/>
      <c r="AP339" s="1737"/>
    </row>
    <row r="340" spans="1:42" s="85" customFormat="1" ht="13.5" thickBot="1">
      <c r="A340" s="240"/>
      <c r="B340" s="241"/>
      <c r="C340" s="242"/>
      <c r="D340" s="242"/>
      <c r="E340" s="243"/>
      <c r="F340" s="244"/>
      <c r="G340" s="244"/>
      <c r="H340" s="243"/>
      <c r="I340" s="258"/>
      <c r="J340" s="245"/>
      <c r="K340" s="245"/>
      <c r="L340" s="76">
        <f t="shared" si="50"/>
        <v>0</v>
      </c>
      <c r="M340" s="246"/>
      <c r="N340" s="247"/>
      <c r="O340" s="248"/>
      <c r="P340" s="246"/>
      <c r="Q340" s="249"/>
      <c r="R340" s="250"/>
      <c r="S340" s="259"/>
      <c r="T340" s="260"/>
      <c r="U340" s="250"/>
      <c r="V340" s="78">
        <f t="shared" si="51"/>
        <v>0</v>
      </c>
      <c r="W340" s="261">
        <f t="shared" si="52"/>
        <v>0</v>
      </c>
      <c r="X340" s="133">
        <f t="shared" si="53"/>
        <v>0</v>
      </c>
      <c r="Y340" s="251"/>
      <c r="Z340" s="1736"/>
      <c r="AA340" s="1737"/>
      <c r="AB340" s="77">
        <f t="shared" si="54"/>
        <v>0</v>
      </c>
      <c r="AC340" s="134">
        <f t="shared" si="55"/>
        <v>0</v>
      </c>
      <c r="AD340" s="251"/>
      <c r="AE340" s="1736"/>
      <c r="AF340" s="1737"/>
      <c r="AG340" s="77">
        <f t="shared" si="56"/>
        <v>0</v>
      </c>
      <c r="AH340" s="136">
        <f t="shared" si="57"/>
        <v>0</v>
      </c>
      <c r="AI340" s="251"/>
      <c r="AJ340" s="1736"/>
      <c r="AK340" s="1737"/>
      <c r="AL340" s="79">
        <f t="shared" si="58"/>
        <v>0</v>
      </c>
      <c r="AM340" s="137">
        <f t="shared" si="59"/>
        <v>0</v>
      </c>
      <c r="AN340" s="251"/>
      <c r="AO340" s="1736"/>
      <c r="AP340" s="1737"/>
    </row>
    <row r="341" spans="1:42" s="85" customFormat="1" ht="13.5" thickBot="1">
      <c r="A341" s="240"/>
      <c r="B341" s="241"/>
      <c r="C341" s="242"/>
      <c r="D341" s="242"/>
      <c r="E341" s="243"/>
      <c r="F341" s="244"/>
      <c r="G341" s="244"/>
      <c r="H341" s="243"/>
      <c r="I341" s="258"/>
      <c r="J341" s="245"/>
      <c r="K341" s="245"/>
      <c r="L341" s="76">
        <f t="shared" si="50"/>
        <v>0</v>
      </c>
      <c r="M341" s="246"/>
      <c r="N341" s="247"/>
      <c r="O341" s="248"/>
      <c r="P341" s="246"/>
      <c r="Q341" s="249"/>
      <c r="R341" s="250"/>
      <c r="S341" s="259"/>
      <c r="T341" s="260"/>
      <c r="U341" s="250"/>
      <c r="V341" s="78">
        <f t="shared" si="51"/>
        <v>0</v>
      </c>
      <c r="W341" s="261">
        <f t="shared" si="52"/>
        <v>0</v>
      </c>
      <c r="X341" s="133">
        <f t="shared" si="53"/>
        <v>0</v>
      </c>
      <c r="Y341" s="251"/>
      <c r="Z341" s="1736"/>
      <c r="AA341" s="1737"/>
      <c r="AB341" s="77">
        <f t="shared" si="54"/>
        <v>0</v>
      </c>
      <c r="AC341" s="134">
        <f t="shared" si="55"/>
        <v>0</v>
      </c>
      <c r="AD341" s="251"/>
      <c r="AE341" s="1736"/>
      <c r="AF341" s="1737"/>
      <c r="AG341" s="77">
        <f t="shared" si="56"/>
        <v>0</v>
      </c>
      <c r="AH341" s="136">
        <f t="shared" si="57"/>
        <v>0</v>
      </c>
      <c r="AI341" s="251"/>
      <c r="AJ341" s="1736"/>
      <c r="AK341" s="1737"/>
      <c r="AL341" s="79">
        <f t="shared" si="58"/>
        <v>0</v>
      </c>
      <c r="AM341" s="137">
        <f t="shared" si="59"/>
        <v>0</v>
      </c>
      <c r="AN341" s="251"/>
      <c r="AO341" s="1736"/>
      <c r="AP341" s="1737"/>
    </row>
    <row r="342" spans="1:42" s="85" customFormat="1" ht="13.5" thickBot="1">
      <c r="A342" s="240"/>
      <c r="B342" s="241"/>
      <c r="C342" s="242"/>
      <c r="D342" s="242"/>
      <c r="E342" s="243"/>
      <c r="F342" s="244"/>
      <c r="G342" s="244"/>
      <c r="H342" s="243"/>
      <c r="I342" s="258"/>
      <c r="J342" s="245"/>
      <c r="K342" s="245"/>
      <c r="L342" s="76">
        <f t="shared" si="50"/>
        <v>0</v>
      </c>
      <c r="M342" s="246"/>
      <c r="N342" s="247"/>
      <c r="O342" s="248"/>
      <c r="P342" s="246"/>
      <c r="Q342" s="249"/>
      <c r="R342" s="250"/>
      <c r="S342" s="259"/>
      <c r="T342" s="260"/>
      <c r="U342" s="250"/>
      <c r="V342" s="78">
        <f t="shared" si="51"/>
        <v>0</v>
      </c>
      <c r="W342" s="261">
        <f t="shared" si="52"/>
        <v>0</v>
      </c>
      <c r="X342" s="133">
        <f t="shared" si="53"/>
        <v>0</v>
      </c>
      <c r="Y342" s="251"/>
      <c r="Z342" s="1736"/>
      <c r="AA342" s="1737"/>
      <c r="AB342" s="77">
        <f t="shared" si="54"/>
        <v>0</v>
      </c>
      <c r="AC342" s="134">
        <f t="shared" si="55"/>
        <v>0</v>
      </c>
      <c r="AD342" s="251"/>
      <c r="AE342" s="1736"/>
      <c r="AF342" s="1737"/>
      <c r="AG342" s="77">
        <f t="shared" si="56"/>
        <v>0</v>
      </c>
      <c r="AH342" s="136">
        <f t="shared" si="57"/>
        <v>0</v>
      </c>
      <c r="AI342" s="251"/>
      <c r="AJ342" s="1736"/>
      <c r="AK342" s="1737"/>
      <c r="AL342" s="79">
        <f t="shared" si="58"/>
        <v>0</v>
      </c>
      <c r="AM342" s="137">
        <f t="shared" si="59"/>
        <v>0</v>
      </c>
      <c r="AN342" s="251"/>
      <c r="AO342" s="1736"/>
      <c r="AP342" s="1737"/>
    </row>
    <row r="343" spans="1:42" s="85" customFormat="1" ht="13.5" thickBot="1">
      <c r="A343" s="240"/>
      <c r="B343" s="241"/>
      <c r="C343" s="242"/>
      <c r="D343" s="242"/>
      <c r="E343" s="243"/>
      <c r="F343" s="244"/>
      <c r="G343" s="244"/>
      <c r="H343" s="243"/>
      <c r="I343" s="258"/>
      <c r="J343" s="245"/>
      <c r="K343" s="245"/>
      <c r="L343" s="76">
        <f t="shared" si="50"/>
        <v>0</v>
      </c>
      <c r="M343" s="246"/>
      <c r="N343" s="247"/>
      <c r="O343" s="248"/>
      <c r="P343" s="246"/>
      <c r="Q343" s="249"/>
      <c r="R343" s="250"/>
      <c r="S343" s="259"/>
      <c r="T343" s="260"/>
      <c r="U343" s="250"/>
      <c r="V343" s="78">
        <f t="shared" si="51"/>
        <v>0</v>
      </c>
      <c r="W343" s="261">
        <f t="shared" si="52"/>
        <v>0</v>
      </c>
      <c r="X343" s="133">
        <f t="shared" si="53"/>
        <v>0</v>
      </c>
      <c r="Y343" s="251"/>
      <c r="Z343" s="1736"/>
      <c r="AA343" s="1737"/>
      <c r="AB343" s="77">
        <f t="shared" si="54"/>
        <v>0</v>
      </c>
      <c r="AC343" s="134">
        <f t="shared" si="55"/>
        <v>0</v>
      </c>
      <c r="AD343" s="251"/>
      <c r="AE343" s="1736"/>
      <c r="AF343" s="1737"/>
      <c r="AG343" s="77">
        <f t="shared" si="56"/>
        <v>0</v>
      </c>
      <c r="AH343" s="136">
        <f t="shared" si="57"/>
        <v>0</v>
      </c>
      <c r="AI343" s="251"/>
      <c r="AJ343" s="1736"/>
      <c r="AK343" s="1737"/>
      <c r="AL343" s="79">
        <f t="shared" si="58"/>
        <v>0</v>
      </c>
      <c r="AM343" s="137">
        <f t="shared" si="59"/>
        <v>0</v>
      </c>
      <c r="AN343" s="251"/>
      <c r="AO343" s="1736"/>
      <c r="AP343" s="1737"/>
    </row>
    <row r="344" spans="1:42" s="85" customFormat="1" ht="13.5" thickBot="1">
      <c r="A344" s="240"/>
      <c r="B344" s="241"/>
      <c r="C344" s="242"/>
      <c r="D344" s="242"/>
      <c r="E344" s="243"/>
      <c r="F344" s="244"/>
      <c r="G344" s="244"/>
      <c r="H344" s="243"/>
      <c r="I344" s="258"/>
      <c r="J344" s="245"/>
      <c r="K344" s="245"/>
      <c r="L344" s="76">
        <f t="shared" si="50"/>
        <v>0</v>
      </c>
      <c r="M344" s="246"/>
      <c r="N344" s="247"/>
      <c r="O344" s="248"/>
      <c r="P344" s="246"/>
      <c r="Q344" s="249"/>
      <c r="R344" s="250"/>
      <c r="S344" s="259"/>
      <c r="T344" s="260"/>
      <c r="U344" s="250"/>
      <c r="V344" s="78">
        <f t="shared" si="51"/>
        <v>0</v>
      </c>
      <c r="W344" s="261">
        <f t="shared" si="52"/>
        <v>0</v>
      </c>
      <c r="X344" s="133">
        <f t="shared" si="53"/>
        <v>0</v>
      </c>
      <c r="Y344" s="251"/>
      <c r="Z344" s="1736"/>
      <c r="AA344" s="1737"/>
      <c r="AB344" s="77">
        <f t="shared" si="54"/>
        <v>0</v>
      </c>
      <c r="AC344" s="134">
        <f t="shared" si="55"/>
        <v>0</v>
      </c>
      <c r="AD344" s="251"/>
      <c r="AE344" s="1736"/>
      <c r="AF344" s="1737"/>
      <c r="AG344" s="77">
        <f t="shared" si="56"/>
        <v>0</v>
      </c>
      <c r="AH344" s="136">
        <f t="shared" si="57"/>
        <v>0</v>
      </c>
      <c r="AI344" s="251"/>
      <c r="AJ344" s="1736"/>
      <c r="AK344" s="1737"/>
      <c r="AL344" s="79">
        <f t="shared" si="58"/>
        <v>0</v>
      </c>
      <c r="AM344" s="137">
        <f t="shared" si="59"/>
        <v>0</v>
      </c>
      <c r="AN344" s="251"/>
      <c r="AO344" s="1736"/>
      <c r="AP344" s="1737"/>
    </row>
    <row r="345" spans="1:42" s="85" customFormat="1" ht="13.5" thickBot="1">
      <c r="A345" s="240"/>
      <c r="B345" s="241"/>
      <c r="C345" s="242"/>
      <c r="D345" s="242"/>
      <c r="E345" s="243"/>
      <c r="F345" s="244"/>
      <c r="G345" s="244"/>
      <c r="H345" s="243"/>
      <c r="I345" s="258"/>
      <c r="J345" s="245"/>
      <c r="K345" s="245"/>
      <c r="L345" s="76">
        <f t="shared" si="50"/>
        <v>0</v>
      </c>
      <c r="M345" s="246"/>
      <c r="N345" s="247"/>
      <c r="O345" s="248"/>
      <c r="P345" s="246"/>
      <c r="Q345" s="249"/>
      <c r="R345" s="250"/>
      <c r="S345" s="259"/>
      <c r="T345" s="260"/>
      <c r="U345" s="250"/>
      <c r="V345" s="78">
        <f t="shared" si="51"/>
        <v>0</v>
      </c>
      <c r="W345" s="261">
        <f t="shared" si="52"/>
        <v>0</v>
      </c>
      <c r="X345" s="133">
        <f t="shared" si="53"/>
        <v>0</v>
      </c>
      <c r="Y345" s="251"/>
      <c r="Z345" s="1736"/>
      <c r="AA345" s="1737"/>
      <c r="AB345" s="77">
        <f t="shared" si="54"/>
        <v>0</v>
      </c>
      <c r="AC345" s="134">
        <f t="shared" si="55"/>
        <v>0</v>
      </c>
      <c r="AD345" s="251"/>
      <c r="AE345" s="1736"/>
      <c r="AF345" s="1737"/>
      <c r="AG345" s="77">
        <f t="shared" si="56"/>
        <v>0</v>
      </c>
      <c r="AH345" s="136">
        <f t="shared" si="57"/>
        <v>0</v>
      </c>
      <c r="AI345" s="251"/>
      <c r="AJ345" s="1736"/>
      <c r="AK345" s="1737"/>
      <c r="AL345" s="79">
        <f t="shared" si="58"/>
        <v>0</v>
      </c>
      <c r="AM345" s="137">
        <f t="shared" si="59"/>
        <v>0</v>
      </c>
      <c r="AN345" s="251"/>
      <c r="AO345" s="1736"/>
      <c r="AP345" s="1737"/>
    </row>
    <row r="346" spans="1:42" s="85" customFormat="1" ht="13.5" thickBot="1">
      <c r="A346" s="240"/>
      <c r="B346" s="241"/>
      <c r="C346" s="242"/>
      <c r="D346" s="242"/>
      <c r="E346" s="243"/>
      <c r="F346" s="244"/>
      <c r="G346" s="244"/>
      <c r="H346" s="243"/>
      <c r="I346" s="258"/>
      <c r="J346" s="245"/>
      <c r="K346" s="245"/>
      <c r="L346" s="76">
        <f t="shared" si="50"/>
        <v>0</v>
      </c>
      <c r="M346" s="246"/>
      <c r="N346" s="247"/>
      <c r="O346" s="248"/>
      <c r="P346" s="246"/>
      <c r="Q346" s="249"/>
      <c r="R346" s="250"/>
      <c r="S346" s="259"/>
      <c r="T346" s="260"/>
      <c r="U346" s="250"/>
      <c r="V346" s="78">
        <f t="shared" si="51"/>
        <v>0</v>
      </c>
      <c r="W346" s="261">
        <f t="shared" si="52"/>
        <v>0</v>
      </c>
      <c r="X346" s="133">
        <f t="shared" si="53"/>
        <v>0</v>
      </c>
      <c r="Y346" s="251"/>
      <c r="Z346" s="1736"/>
      <c r="AA346" s="1737"/>
      <c r="AB346" s="77">
        <f t="shared" si="54"/>
        <v>0</v>
      </c>
      <c r="AC346" s="134">
        <f t="shared" si="55"/>
        <v>0</v>
      </c>
      <c r="AD346" s="251"/>
      <c r="AE346" s="1736"/>
      <c r="AF346" s="1737"/>
      <c r="AG346" s="77">
        <f t="shared" si="56"/>
        <v>0</v>
      </c>
      <c r="AH346" s="136">
        <f t="shared" si="57"/>
        <v>0</v>
      </c>
      <c r="AI346" s="251"/>
      <c r="AJ346" s="1736"/>
      <c r="AK346" s="1737"/>
      <c r="AL346" s="79">
        <f t="shared" si="58"/>
        <v>0</v>
      </c>
      <c r="AM346" s="137">
        <f t="shared" si="59"/>
        <v>0</v>
      </c>
      <c r="AN346" s="251"/>
      <c r="AO346" s="1736"/>
      <c r="AP346" s="1737"/>
    </row>
    <row r="347" spans="1:42" s="85" customFormat="1" ht="13.5" thickBot="1">
      <c r="A347" s="240"/>
      <c r="B347" s="241"/>
      <c r="C347" s="242"/>
      <c r="D347" s="242"/>
      <c r="E347" s="243"/>
      <c r="F347" s="244"/>
      <c r="G347" s="244"/>
      <c r="H347" s="243"/>
      <c r="I347" s="258"/>
      <c r="J347" s="245"/>
      <c r="K347" s="245"/>
      <c r="L347" s="76">
        <f t="shared" si="50"/>
        <v>0</v>
      </c>
      <c r="M347" s="246"/>
      <c r="N347" s="247"/>
      <c r="O347" s="248"/>
      <c r="P347" s="246"/>
      <c r="Q347" s="249"/>
      <c r="R347" s="250"/>
      <c r="S347" s="259"/>
      <c r="T347" s="260"/>
      <c r="U347" s="250"/>
      <c r="V347" s="78">
        <f t="shared" si="51"/>
        <v>0</v>
      </c>
      <c r="W347" s="261">
        <f t="shared" si="52"/>
        <v>0</v>
      </c>
      <c r="X347" s="133">
        <f t="shared" si="53"/>
        <v>0</v>
      </c>
      <c r="Y347" s="251"/>
      <c r="Z347" s="1736"/>
      <c r="AA347" s="1737"/>
      <c r="AB347" s="77">
        <f t="shared" si="54"/>
        <v>0</v>
      </c>
      <c r="AC347" s="134">
        <f t="shared" si="55"/>
        <v>0</v>
      </c>
      <c r="AD347" s="251"/>
      <c r="AE347" s="1736"/>
      <c r="AF347" s="1737"/>
      <c r="AG347" s="77">
        <f t="shared" si="56"/>
        <v>0</v>
      </c>
      <c r="AH347" s="136">
        <f t="shared" si="57"/>
        <v>0</v>
      </c>
      <c r="AI347" s="251"/>
      <c r="AJ347" s="1736"/>
      <c r="AK347" s="1737"/>
      <c r="AL347" s="79">
        <f t="shared" si="58"/>
        <v>0</v>
      </c>
      <c r="AM347" s="137">
        <f t="shared" si="59"/>
        <v>0</v>
      </c>
      <c r="AN347" s="251"/>
      <c r="AO347" s="1736"/>
      <c r="AP347" s="1737"/>
    </row>
    <row r="348" spans="1:42" s="85" customFormat="1" ht="13.5" thickBot="1">
      <c r="A348" s="240"/>
      <c r="B348" s="241"/>
      <c r="C348" s="242"/>
      <c r="D348" s="242"/>
      <c r="E348" s="243"/>
      <c r="F348" s="244"/>
      <c r="G348" s="244"/>
      <c r="H348" s="243"/>
      <c r="I348" s="258"/>
      <c r="J348" s="245"/>
      <c r="K348" s="245"/>
      <c r="L348" s="76">
        <f t="shared" si="50"/>
        <v>0</v>
      </c>
      <c r="M348" s="246"/>
      <c r="N348" s="247"/>
      <c r="O348" s="248"/>
      <c r="P348" s="246"/>
      <c r="Q348" s="249"/>
      <c r="R348" s="250"/>
      <c r="S348" s="259"/>
      <c r="T348" s="260"/>
      <c r="U348" s="250"/>
      <c r="V348" s="78">
        <f t="shared" si="51"/>
        <v>0</v>
      </c>
      <c r="W348" s="261">
        <f t="shared" si="52"/>
        <v>0</v>
      </c>
      <c r="X348" s="133">
        <f t="shared" si="53"/>
        <v>0</v>
      </c>
      <c r="Y348" s="251"/>
      <c r="Z348" s="1736"/>
      <c r="AA348" s="1737"/>
      <c r="AB348" s="77">
        <f t="shared" si="54"/>
        <v>0</v>
      </c>
      <c r="AC348" s="134">
        <f t="shared" si="55"/>
        <v>0</v>
      </c>
      <c r="AD348" s="251"/>
      <c r="AE348" s="1736"/>
      <c r="AF348" s="1737"/>
      <c r="AG348" s="77">
        <f t="shared" si="56"/>
        <v>0</v>
      </c>
      <c r="AH348" s="136">
        <f t="shared" si="57"/>
        <v>0</v>
      </c>
      <c r="AI348" s="251"/>
      <c r="AJ348" s="1736"/>
      <c r="AK348" s="1737"/>
      <c r="AL348" s="79">
        <f t="shared" si="58"/>
        <v>0</v>
      </c>
      <c r="AM348" s="137">
        <f t="shared" si="59"/>
        <v>0</v>
      </c>
      <c r="AN348" s="251"/>
      <c r="AO348" s="1736"/>
      <c r="AP348" s="1737"/>
    </row>
    <row r="349" spans="1:42" s="85" customFormat="1" ht="13.5" thickBot="1">
      <c r="A349" s="240"/>
      <c r="B349" s="241"/>
      <c r="C349" s="242"/>
      <c r="D349" s="242"/>
      <c r="E349" s="243"/>
      <c r="F349" s="244"/>
      <c r="G349" s="244"/>
      <c r="H349" s="243"/>
      <c r="I349" s="258"/>
      <c r="J349" s="245"/>
      <c r="K349" s="245"/>
      <c r="L349" s="76">
        <f t="shared" si="50"/>
        <v>0</v>
      </c>
      <c r="M349" s="246"/>
      <c r="N349" s="247"/>
      <c r="O349" s="248"/>
      <c r="P349" s="246"/>
      <c r="Q349" s="249"/>
      <c r="R349" s="250"/>
      <c r="S349" s="259"/>
      <c r="T349" s="260"/>
      <c r="U349" s="250"/>
      <c r="V349" s="78">
        <f t="shared" si="51"/>
        <v>0</v>
      </c>
      <c r="W349" s="261">
        <f t="shared" si="52"/>
        <v>0</v>
      </c>
      <c r="X349" s="133">
        <f t="shared" si="53"/>
        <v>0</v>
      </c>
      <c r="Y349" s="251"/>
      <c r="Z349" s="1736"/>
      <c r="AA349" s="1737"/>
      <c r="AB349" s="77">
        <f t="shared" si="54"/>
        <v>0</v>
      </c>
      <c r="AC349" s="134">
        <f t="shared" si="55"/>
        <v>0</v>
      </c>
      <c r="AD349" s="251"/>
      <c r="AE349" s="1736"/>
      <c r="AF349" s="1737"/>
      <c r="AG349" s="77">
        <f t="shared" si="56"/>
        <v>0</v>
      </c>
      <c r="AH349" s="136">
        <f t="shared" si="57"/>
        <v>0</v>
      </c>
      <c r="AI349" s="251"/>
      <c r="AJ349" s="1736"/>
      <c r="AK349" s="1737"/>
      <c r="AL349" s="79">
        <f t="shared" si="58"/>
        <v>0</v>
      </c>
      <c r="AM349" s="137">
        <f t="shared" si="59"/>
        <v>0</v>
      </c>
      <c r="AN349" s="251"/>
      <c r="AO349" s="1736"/>
      <c r="AP349" s="1737"/>
    </row>
    <row r="350" spans="1:42" s="85" customFormat="1" ht="13.5" thickBot="1">
      <c r="A350" s="240"/>
      <c r="B350" s="241"/>
      <c r="C350" s="242"/>
      <c r="D350" s="242"/>
      <c r="E350" s="243"/>
      <c r="F350" s="244"/>
      <c r="G350" s="244"/>
      <c r="H350" s="243"/>
      <c r="I350" s="258"/>
      <c r="J350" s="245"/>
      <c r="K350" s="245"/>
      <c r="L350" s="76">
        <f t="shared" si="50"/>
        <v>0</v>
      </c>
      <c r="M350" s="246"/>
      <c r="N350" s="247"/>
      <c r="O350" s="248"/>
      <c r="P350" s="246"/>
      <c r="Q350" s="249"/>
      <c r="R350" s="250"/>
      <c r="S350" s="259"/>
      <c r="T350" s="260"/>
      <c r="U350" s="250"/>
      <c r="V350" s="78">
        <f t="shared" si="51"/>
        <v>0</v>
      </c>
      <c r="W350" s="261">
        <f t="shared" si="52"/>
        <v>0</v>
      </c>
      <c r="X350" s="133">
        <f t="shared" si="53"/>
        <v>0</v>
      </c>
      <c r="Y350" s="251"/>
      <c r="Z350" s="1736"/>
      <c r="AA350" s="1737"/>
      <c r="AB350" s="77">
        <f t="shared" si="54"/>
        <v>0</v>
      </c>
      <c r="AC350" s="134">
        <f t="shared" si="55"/>
        <v>0</v>
      </c>
      <c r="AD350" s="251"/>
      <c r="AE350" s="1736"/>
      <c r="AF350" s="1737"/>
      <c r="AG350" s="77">
        <f t="shared" si="56"/>
        <v>0</v>
      </c>
      <c r="AH350" s="136">
        <f t="shared" si="57"/>
        <v>0</v>
      </c>
      <c r="AI350" s="251"/>
      <c r="AJ350" s="1736"/>
      <c r="AK350" s="1737"/>
      <c r="AL350" s="79">
        <f t="shared" si="58"/>
        <v>0</v>
      </c>
      <c r="AM350" s="137">
        <f t="shared" si="59"/>
        <v>0</v>
      </c>
      <c r="AN350" s="251"/>
      <c r="AO350" s="1736"/>
      <c r="AP350" s="1737"/>
    </row>
    <row r="351" spans="1:42" s="85" customFormat="1" ht="13.5" thickBot="1">
      <c r="A351" s="240"/>
      <c r="B351" s="241"/>
      <c r="C351" s="242"/>
      <c r="D351" s="242"/>
      <c r="E351" s="243"/>
      <c r="F351" s="244"/>
      <c r="G351" s="244"/>
      <c r="H351" s="243"/>
      <c r="I351" s="258"/>
      <c r="J351" s="245"/>
      <c r="K351" s="245"/>
      <c r="L351" s="76">
        <f t="shared" si="50"/>
        <v>0</v>
      </c>
      <c r="M351" s="246"/>
      <c r="N351" s="247"/>
      <c r="O351" s="248"/>
      <c r="P351" s="246"/>
      <c r="Q351" s="249"/>
      <c r="R351" s="250"/>
      <c r="S351" s="259"/>
      <c r="T351" s="260"/>
      <c r="U351" s="250"/>
      <c r="V351" s="78">
        <f t="shared" si="51"/>
        <v>0</v>
      </c>
      <c r="W351" s="261">
        <f t="shared" si="52"/>
        <v>0</v>
      </c>
      <c r="X351" s="133">
        <f t="shared" si="53"/>
        <v>0</v>
      </c>
      <c r="Y351" s="251"/>
      <c r="Z351" s="1736"/>
      <c r="AA351" s="1737"/>
      <c r="AB351" s="77">
        <f t="shared" si="54"/>
        <v>0</v>
      </c>
      <c r="AC351" s="134">
        <f t="shared" si="55"/>
        <v>0</v>
      </c>
      <c r="AD351" s="251"/>
      <c r="AE351" s="1736"/>
      <c r="AF351" s="1737"/>
      <c r="AG351" s="77">
        <f t="shared" si="56"/>
        <v>0</v>
      </c>
      <c r="AH351" s="136">
        <f t="shared" si="57"/>
        <v>0</v>
      </c>
      <c r="AI351" s="251"/>
      <c r="AJ351" s="1736"/>
      <c r="AK351" s="1737"/>
      <c r="AL351" s="79">
        <f t="shared" si="58"/>
        <v>0</v>
      </c>
      <c r="AM351" s="137">
        <f t="shared" si="59"/>
        <v>0</v>
      </c>
      <c r="AN351" s="251"/>
      <c r="AO351" s="1736"/>
      <c r="AP351" s="1737"/>
    </row>
    <row r="352" spans="1:42" s="85" customFormat="1" ht="13.5" thickBot="1">
      <c r="A352" s="240"/>
      <c r="B352" s="241"/>
      <c r="C352" s="242"/>
      <c r="D352" s="242"/>
      <c r="E352" s="243"/>
      <c r="F352" s="244"/>
      <c r="G352" s="244"/>
      <c r="H352" s="243"/>
      <c r="I352" s="258"/>
      <c r="J352" s="245"/>
      <c r="K352" s="245"/>
      <c r="L352" s="76">
        <f t="shared" si="50"/>
        <v>0</v>
      </c>
      <c r="M352" s="246"/>
      <c r="N352" s="247"/>
      <c r="O352" s="248"/>
      <c r="P352" s="246"/>
      <c r="Q352" s="249"/>
      <c r="R352" s="250"/>
      <c r="S352" s="259"/>
      <c r="T352" s="260"/>
      <c r="U352" s="250"/>
      <c r="V352" s="78">
        <f t="shared" si="51"/>
        <v>0</v>
      </c>
      <c r="W352" s="261">
        <f t="shared" si="52"/>
        <v>0</v>
      </c>
      <c r="X352" s="133">
        <f t="shared" si="53"/>
        <v>0</v>
      </c>
      <c r="Y352" s="251"/>
      <c r="Z352" s="1736"/>
      <c r="AA352" s="1737"/>
      <c r="AB352" s="77">
        <f t="shared" si="54"/>
        <v>0</v>
      </c>
      <c r="AC352" s="134">
        <f t="shared" si="55"/>
        <v>0</v>
      </c>
      <c r="AD352" s="251"/>
      <c r="AE352" s="1736"/>
      <c r="AF352" s="1737"/>
      <c r="AG352" s="77">
        <f t="shared" si="56"/>
        <v>0</v>
      </c>
      <c r="AH352" s="136">
        <f t="shared" si="57"/>
        <v>0</v>
      </c>
      <c r="AI352" s="251"/>
      <c r="AJ352" s="1736"/>
      <c r="AK352" s="1737"/>
      <c r="AL352" s="79">
        <f t="shared" si="58"/>
        <v>0</v>
      </c>
      <c r="AM352" s="137">
        <f t="shared" si="59"/>
        <v>0</v>
      </c>
      <c r="AN352" s="251"/>
      <c r="AO352" s="1736"/>
      <c r="AP352" s="1737"/>
    </row>
    <row r="353" spans="1:42" s="85" customFormat="1" ht="13.5" thickBot="1">
      <c r="A353" s="240"/>
      <c r="B353" s="241"/>
      <c r="C353" s="242"/>
      <c r="D353" s="242"/>
      <c r="E353" s="243"/>
      <c r="F353" s="244"/>
      <c r="G353" s="244"/>
      <c r="H353" s="243"/>
      <c r="I353" s="258"/>
      <c r="J353" s="245"/>
      <c r="K353" s="245"/>
      <c r="L353" s="76">
        <f t="shared" si="50"/>
        <v>0</v>
      </c>
      <c r="M353" s="246"/>
      <c r="N353" s="247"/>
      <c r="O353" s="248"/>
      <c r="P353" s="246"/>
      <c r="Q353" s="249"/>
      <c r="R353" s="250"/>
      <c r="S353" s="259"/>
      <c r="T353" s="260"/>
      <c r="U353" s="250"/>
      <c r="V353" s="78">
        <f t="shared" si="51"/>
        <v>0</v>
      </c>
      <c r="W353" s="261">
        <f t="shared" si="52"/>
        <v>0</v>
      </c>
      <c r="X353" s="133">
        <f t="shared" si="53"/>
        <v>0</v>
      </c>
      <c r="Y353" s="251"/>
      <c r="Z353" s="1736"/>
      <c r="AA353" s="1737"/>
      <c r="AB353" s="77">
        <f t="shared" si="54"/>
        <v>0</v>
      </c>
      <c r="AC353" s="134">
        <f t="shared" si="55"/>
        <v>0</v>
      </c>
      <c r="AD353" s="251"/>
      <c r="AE353" s="1736"/>
      <c r="AF353" s="1737"/>
      <c r="AG353" s="77">
        <f t="shared" si="56"/>
        <v>0</v>
      </c>
      <c r="AH353" s="136">
        <f t="shared" si="57"/>
        <v>0</v>
      </c>
      <c r="AI353" s="251"/>
      <c r="AJ353" s="1736"/>
      <c r="AK353" s="1737"/>
      <c r="AL353" s="79">
        <f t="shared" si="58"/>
        <v>0</v>
      </c>
      <c r="AM353" s="137">
        <f t="shared" si="59"/>
        <v>0</v>
      </c>
      <c r="AN353" s="251"/>
      <c r="AO353" s="1736"/>
      <c r="AP353" s="1737"/>
    </row>
    <row r="354" spans="1:42" s="85" customFormat="1" ht="13.5" thickBot="1">
      <c r="A354" s="240"/>
      <c r="B354" s="241"/>
      <c r="C354" s="242"/>
      <c r="D354" s="242"/>
      <c r="E354" s="243"/>
      <c r="F354" s="244"/>
      <c r="G354" s="244"/>
      <c r="H354" s="243"/>
      <c r="I354" s="258"/>
      <c r="J354" s="245"/>
      <c r="K354" s="245"/>
      <c r="L354" s="76">
        <f t="shared" si="50"/>
        <v>0</v>
      </c>
      <c r="M354" s="246"/>
      <c r="N354" s="247"/>
      <c r="O354" s="248"/>
      <c r="P354" s="246"/>
      <c r="Q354" s="249"/>
      <c r="R354" s="250"/>
      <c r="S354" s="259"/>
      <c r="T354" s="260"/>
      <c r="U354" s="250"/>
      <c r="V354" s="78">
        <f t="shared" si="51"/>
        <v>0</v>
      </c>
      <c r="W354" s="261">
        <f t="shared" si="52"/>
        <v>0</v>
      </c>
      <c r="X354" s="133">
        <f t="shared" si="53"/>
        <v>0</v>
      </c>
      <c r="Y354" s="251"/>
      <c r="Z354" s="1736"/>
      <c r="AA354" s="1737"/>
      <c r="AB354" s="77">
        <f t="shared" si="54"/>
        <v>0</v>
      </c>
      <c r="AC354" s="134">
        <f t="shared" si="55"/>
        <v>0</v>
      </c>
      <c r="AD354" s="251"/>
      <c r="AE354" s="1736"/>
      <c r="AF354" s="1737"/>
      <c r="AG354" s="77">
        <f t="shared" si="56"/>
        <v>0</v>
      </c>
      <c r="AH354" s="136">
        <f t="shared" si="57"/>
        <v>0</v>
      </c>
      <c r="AI354" s="251"/>
      <c r="AJ354" s="1736"/>
      <c r="AK354" s="1737"/>
      <c r="AL354" s="79">
        <f t="shared" si="58"/>
        <v>0</v>
      </c>
      <c r="AM354" s="137">
        <f t="shared" si="59"/>
        <v>0</v>
      </c>
      <c r="AN354" s="251"/>
      <c r="AO354" s="1736"/>
      <c r="AP354" s="1737"/>
    </row>
    <row r="355" spans="1:42" s="85" customFormat="1" ht="13.5" thickBot="1">
      <c r="A355" s="240"/>
      <c r="B355" s="241"/>
      <c r="C355" s="242"/>
      <c r="D355" s="242"/>
      <c r="E355" s="243"/>
      <c r="F355" s="244"/>
      <c r="G355" s="244"/>
      <c r="H355" s="243"/>
      <c r="I355" s="258"/>
      <c r="J355" s="245"/>
      <c r="K355" s="245"/>
      <c r="L355" s="76">
        <f t="shared" si="50"/>
        <v>0</v>
      </c>
      <c r="M355" s="246"/>
      <c r="N355" s="247"/>
      <c r="O355" s="248"/>
      <c r="P355" s="246"/>
      <c r="Q355" s="249"/>
      <c r="R355" s="250"/>
      <c r="S355" s="259"/>
      <c r="T355" s="260"/>
      <c r="U355" s="250"/>
      <c r="V355" s="78">
        <f t="shared" si="51"/>
        <v>0</v>
      </c>
      <c r="W355" s="261">
        <f t="shared" si="52"/>
        <v>0</v>
      </c>
      <c r="X355" s="133">
        <f t="shared" si="53"/>
        <v>0</v>
      </c>
      <c r="Y355" s="251"/>
      <c r="Z355" s="1736"/>
      <c r="AA355" s="1737"/>
      <c r="AB355" s="77">
        <f t="shared" si="54"/>
        <v>0</v>
      </c>
      <c r="AC355" s="134">
        <f t="shared" si="55"/>
        <v>0</v>
      </c>
      <c r="AD355" s="251"/>
      <c r="AE355" s="1736"/>
      <c r="AF355" s="1737"/>
      <c r="AG355" s="77">
        <f t="shared" si="56"/>
        <v>0</v>
      </c>
      <c r="AH355" s="136">
        <f t="shared" si="57"/>
        <v>0</v>
      </c>
      <c r="AI355" s="251"/>
      <c r="AJ355" s="1736"/>
      <c r="AK355" s="1737"/>
      <c r="AL355" s="79">
        <f t="shared" si="58"/>
        <v>0</v>
      </c>
      <c r="AM355" s="137">
        <f t="shared" si="59"/>
        <v>0</v>
      </c>
      <c r="AN355" s="251"/>
      <c r="AO355" s="1736"/>
      <c r="AP355" s="1737"/>
    </row>
    <row r="356" spans="1:42" s="85" customFormat="1" ht="13.5" thickBot="1">
      <c r="A356" s="240"/>
      <c r="B356" s="241"/>
      <c r="C356" s="242"/>
      <c r="D356" s="242"/>
      <c r="E356" s="243"/>
      <c r="F356" s="244"/>
      <c r="G356" s="244"/>
      <c r="H356" s="243"/>
      <c r="I356" s="258"/>
      <c r="J356" s="245"/>
      <c r="K356" s="245"/>
      <c r="L356" s="76">
        <f t="shared" si="50"/>
        <v>0</v>
      </c>
      <c r="M356" s="246"/>
      <c r="N356" s="247"/>
      <c r="O356" s="248"/>
      <c r="P356" s="246"/>
      <c r="Q356" s="249"/>
      <c r="R356" s="250"/>
      <c r="S356" s="259"/>
      <c r="T356" s="260"/>
      <c r="U356" s="250"/>
      <c r="V356" s="78">
        <f t="shared" si="51"/>
        <v>0</v>
      </c>
      <c r="W356" s="261">
        <f t="shared" si="52"/>
        <v>0</v>
      </c>
      <c r="X356" s="133">
        <f t="shared" si="53"/>
        <v>0</v>
      </c>
      <c r="Y356" s="251"/>
      <c r="Z356" s="1736"/>
      <c r="AA356" s="1737"/>
      <c r="AB356" s="77">
        <f t="shared" si="54"/>
        <v>0</v>
      </c>
      <c r="AC356" s="134">
        <f t="shared" si="55"/>
        <v>0</v>
      </c>
      <c r="AD356" s="251"/>
      <c r="AE356" s="1736"/>
      <c r="AF356" s="1737"/>
      <c r="AG356" s="77">
        <f t="shared" si="56"/>
        <v>0</v>
      </c>
      <c r="AH356" s="136">
        <f t="shared" si="57"/>
        <v>0</v>
      </c>
      <c r="AI356" s="251"/>
      <c r="AJ356" s="1736"/>
      <c r="AK356" s="1737"/>
      <c r="AL356" s="79">
        <f t="shared" si="58"/>
        <v>0</v>
      </c>
      <c r="AM356" s="137">
        <f t="shared" si="59"/>
        <v>0</v>
      </c>
      <c r="AN356" s="251"/>
      <c r="AO356" s="1736"/>
      <c r="AP356" s="1737"/>
    </row>
    <row r="357" spans="1:42" s="85" customFormat="1" ht="13.5" thickBot="1">
      <c r="A357" s="240"/>
      <c r="B357" s="241"/>
      <c r="C357" s="242"/>
      <c r="D357" s="242"/>
      <c r="E357" s="243"/>
      <c r="F357" s="244"/>
      <c r="G357" s="244"/>
      <c r="H357" s="243"/>
      <c r="I357" s="258"/>
      <c r="J357" s="245"/>
      <c r="K357" s="245"/>
      <c r="L357" s="76">
        <f t="shared" si="50"/>
        <v>0</v>
      </c>
      <c r="M357" s="246"/>
      <c r="N357" s="247"/>
      <c r="O357" s="248"/>
      <c r="P357" s="246"/>
      <c r="Q357" s="249"/>
      <c r="R357" s="250"/>
      <c r="S357" s="259"/>
      <c r="T357" s="260"/>
      <c r="U357" s="250"/>
      <c r="V357" s="78">
        <f t="shared" si="51"/>
        <v>0</v>
      </c>
      <c r="W357" s="261">
        <f t="shared" si="52"/>
        <v>0</v>
      </c>
      <c r="X357" s="133">
        <f t="shared" si="53"/>
        <v>0</v>
      </c>
      <c r="Y357" s="251"/>
      <c r="Z357" s="1736"/>
      <c r="AA357" s="1737"/>
      <c r="AB357" s="77">
        <f t="shared" si="54"/>
        <v>0</v>
      </c>
      <c r="AC357" s="134">
        <f t="shared" si="55"/>
        <v>0</v>
      </c>
      <c r="AD357" s="251"/>
      <c r="AE357" s="1736"/>
      <c r="AF357" s="1737"/>
      <c r="AG357" s="77">
        <f t="shared" si="56"/>
        <v>0</v>
      </c>
      <c r="AH357" s="136">
        <f t="shared" si="57"/>
        <v>0</v>
      </c>
      <c r="AI357" s="251"/>
      <c r="AJ357" s="1736"/>
      <c r="AK357" s="1737"/>
      <c r="AL357" s="79">
        <f t="shared" si="58"/>
        <v>0</v>
      </c>
      <c r="AM357" s="137">
        <f t="shared" si="59"/>
        <v>0</v>
      </c>
      <c r="AN357" s="251"/>
      <c r="AO357" s="1736"/>
      <c r="AP357" s="1737"/>
    </row>
    <row r="358" spans="1:42" s="85" customFormat="1" ht="13.5" thickBot="1">
      <c r="A358" s="240"/>
      <c r="B358" s="241"/>
      <c r="C358" s="242"/>
      <c r="D358" s="242"/>
      <c r="E358" s="243"/>
      <c r="F358" s="244"/>
      <c r="G358" s="244"/>
      <c r="H358" s="243"/>
      <c r="I358" s="258"/>
      <c r="J358" s="245"/>
      <c r="K358" s="245"/>
      <c r="L358" s="76">
        <f t="shared" si="50"/>
        <v>0</v>
      </c>
      <c r="M358" s="246"/>
      <c r="N358" s="247"/>
      <c r="O358" s="248"/>
      <c r="P358" s="246"/>
      <c r="Q358" s="249"/>
      <c r="R358" s="250"/>
      <c r="S358" s="259"/>
      <c r="T358" s="260"/>
      <c r="U358" s="250"/>
      <c r="V358" s="78">
        <f t="shared" si="51"/>
        <v>0</v>
      </c>
      <c r="W358" s="261">
        <f t="shared" si="52"/>
        <v>0</v>
      </c>
      <c r="X358" s="133">
        <f t="shared" si="53"/>
        <v>0</v>
      </c>
      <c r="Y358" s="251"/>
      <c r="Z358" s="1736"/>
      <c r="AA358" s="1737"/>
      <c r="AB358" s="77">
        <f t="shared" si="54"/>
        <v>0</v>
      </c>
      <c r="AC358" s="134">
        <f t="shared" si="55"/>
        <v>0</v>
      </c>
      <c r="AD358" s="251"/>
      <c r="AE358" s="1736"/>
      <c r="AF358" s="1737"/>
      <c r="AG358" s="77">
        <f t="shared" si="56"/>
        <v>0</v>
      </c>
      <c r="AH358" s="136">
        <f t="shared" si="57"/>
        <v>0</v>
      </c>
      <c r="AI358" s="251"/>
      <c r="AJ358" s="1736"/>
      <c r="AK358" s="1737"/>
      <c r="AL358" s="79">
        <f t="shared" si="58"/>
        <v>0</v>
      </c>
      <c r="AM358" s="137">
        <f t="shared" si="59"/>
        <v>0</v>
      </c>
      <c r="AN358" s="251"/>
      <c r="AO358" s="1736"/>
      <c r="AP358" s="1737"/>
    </row>
    <row r="359" spans="1:42" s="85" customFormat="1" ht="13.5" thickBot="1">
      <c r="A359" s="240"/>
      <c r="B359" s="241"/>
      <c r="C359" s="242"/>
      <c r="D359" s="242"/>
      <c r="E359" s="243"/>
      <c r="F359" s="244"/>
      <c r="G359" s="244"/>
      <c r="H359" s="243"/>
      <c r="I359" s="258"/>
      <c r="J359" s="245"/>
      <c r="K359" s="245"/>
      <c r="L359" s="76">
        <f t="shared" si="50"/>
        <v>0</v>
      </c>
      <c r="M359" s="246"/>
      <c r="N359" s="247"/>
      <c r="O359" s="248"/>
      <c r="P359" s="246"/>
      <c r="Q359" s="249"/>
      <c r="R359" s="250"/>
      <c r="S359" s="259"/>
      <c r="T359" s="260"/>
      <c r="U359" s="250"/>
      <c r="V359" s="78">
        <f t="shared" si="51"/>
        <v>0</v>
      </c>
      <c r="W359" s="261">
        <f t="shared" si="52"/>
        <v>0</v>
      </c>
      <c r="X359" s="133">
        <f t="shared" si="53"/>
        <v>0</v>
      </c>
      <c r="Y359" s="251"/>
      <c r="Z359" s="1736"/>
      <c r="AA359" s="1737"/>
      <c r="AB359" s="77">
        <f t="shared" si="54"/>
        <v>0</v>
      </c>
      <c r="AC359" s="134">
        <f t="shared" si="55"/>
        <v>0</v>
      </c>
      <c r="AD359" s="251"/>
      <c r="AE359" s="1736"/>
      <c r="AF359" s="1737"/>
      <c r="AG359" s="77">
        <f t="shared" si="56"/>
        <v>0</v>
      </c>
      <c r="AH359" s="136">
        <f t="shared" si="57"/>
        <v>0</v>
      </c>
      <c r="AI359" s="251"/>
      <c r="AJ359" s="1736"/>
      <c r="AK359" s="1737"/>
      <c r="AL359" s="79">
        <f t="shared" si="58"/>
        <v>0</v>
      </c>
      <c r="AM359" s="137">
        <f t="shared" si="59"/>
        <v>0</v>
      </c>
      <c r="AN359" s="251"/>
      <c r="AO359" s="1736"/>
      <c r="AP359" s="1737"/>
    </row>
    <row r="360" spans="1:42" s="85" customFormat="1" ht="13.5" thickBot="1">
      <c r="A360" s="240"/>
      <c r="B360" s="241"/>
      <c r="C360" s="242"/>
      <c r="D360" s="242"/>
      <c r="E360" s="243"/>
      <c r="F360" s="244"/>
      <c r="G360" s="244"/>
      <c r="H360" s="243"/>
      <c r="I360" s="258"/>
      <c r="J360" s="245"/>
      <c r="K360" s="245"/>
      <c r="L360" s="76">
        <f t="shared" si="50"/>
        <v>0</v>
      </c>
      <c r="M360" s="246"/>
      <c r="N360" s="247"/>
      <c r="O360" s="248"/>
      <c r="P360" s="246"/>
      <c r="Q360" s="249"/>
      <c r="R360" s="250"/>
      <c r="S360" s="259"/>
      <c r="T360" s="260"/>
      <c r="U360" s="250"/>
      <c r="V360" s="78">
        <f t="shared" si="51"/>
        <v>0</v>
      </c>
      <c r="W360" s="261">
        <f t="shared" si="52"/>
        <v>0</v>
      </c>
      <c r="X360" s="133">
        <f t="shared" si="53"/>
        <v>0</v>
      </c>
      <c r="Y360" s="251"/>
      <c r="Z360" s="1736"/>
      <c r="AA360" s="1737"/>
      <c r="AB360" s="77">
        <f t="shared" si="54"/>
        <v>0</v>
      </c>
      <c r="AC360" s="134">
        <f t="shared" si="55"/>
        <v>0</v>
      </c>
      <c r="AD360" s="251"/>
      <c r="AE360" s="1736"/>
      <c r="AF360" s="1737"/>
      <c r="AG360" s="77">
        <f t="shared" si="56"/>
        <v>0</v>
      </c>
      <c r="AH360" s="136">
        <f t="shared" si="57"/>
        <v>0</v>
      </c>
      <c r="AI360" s="251"/>
      <c r="AJ360" s="1736"/>
      <c r="AK360" s="1737"/>
      <c r="AL360" s="79">
        <f t="shared" si="58"/>
        <v>0</v>
      </c>
      <c r="AM360" s="137">
        <f t="shared" si="59"/>
        <v>0</v>
      </c>
      <c r="AN360" s="251"/>
      <c r="AO360" s="1736"/>
      <c r="AP360" s="1737"/>
    </row>
    <row r="361" spans="1:42" s="85" customFormat="1" ht="13.5" thickBot="1">
      <c r="A361" s="240"/>
      <c r="B361" s="241"/>
      <c r="C361" s="242"/>
      <c r="D361" s="242"/>
      <c r="E361" s="243"/>
      <c r="F361" s="244"/>
      <c r="G361" s="244"/>
      <c r="H361" s="243"/>
      <c r="I361" s="258"/>
      <c r="J361" s="245"/>
      <c r="K361" s="245"/>
      <c r="L361" s="76">
        <f t="shared" si="50"/>
        <v>0</v>
      </c>
      <c r="M361" s="246"/>
      <c r="N361" s="247"/>
      <c r="O361" s="248"/>
      <c r="P361" s="246"/>
      <c r="Q361" s="249"/>
      <c r="R361" s="250"/>
      <c r="S361" s="259"/>
      <c r="T361" s="260"/>
      <c r="U361" s="250"/>
      <c r="V361" s="78">
        <f t="shared" si="51"/>
        <v>0</v>
      </c>
      <c r="W361" s="261">
        <f t="shared" si="52"/>
        <v>0</v>
      </c>
      <c r="X361" s="133">
        <f t="shared" si="53"/>
        <v>0</v>
      </c>
      <c r="Y361" s="251"/>
      <c r="Z361" s="1736"/>
      <c r="AA361" s="1737"/>
      <c r="AB361" s="77">
        <f t="shared" si="54"/>
        <v>0</v>
      </c>
      <c r="AC361" s="134">
        <f t="shared" si="55"/>
        <v>0</v>
      </c>
      <c r="AD361" s="251"/>
      <c r="AE361" s="1736"/>
      <c r="AF361" s="1737"/>
      <c r="AG361" s="77">
        <f t="shared" si="56"/>
        <v>0</v>
      </c>
      <c r="AH361" s="136">
        <f t="shared" si="57"/>
        <v>0</v>
      </c>
      <c r="AI361" s="251"/>
      <c r="AJ361" s="1736"/>
      <c r="AK361" s="1737"/>
      <c r="AL361" s="79">
        <f t="shared" si="58"/>
        <v>0</v>
      </c>
      <c r="AM361" s="137">
        <f t="shared" si="59"/>
        <v>0</v>
      </c>
      <c r="AN361" s="251"/>
      <c r="AO361" s="1736"/>
      <c r="AP361" s="1737"/>
    </row>
    <row r="362" spans="1:42" s="85" customFormat="1" ht="13.5" thickBot="1">
      <c r="A362" s="240"/>
      <c r="B362" s="241"/>
      <c r="C362" s="242"/>
      <c r="D362" s="242"/>
      <c r="E362" s="243"/>
      <c r="F362" s="244"/>
      <c r="G362" s="244"/>
      <c r="H362" s="243"/>
      <c r="I362" s="258"/>
      <c r="J362" s="245"/>
      <c r="K362" s="245"/>
      <c r="L362" s="76">
        <f t="shared" si="50"/>
        <v>0</v>
      </c>
      <c r="M362" s="246"/>
      <c r="N362" s="247"/>
      <c r="O362" s="248"/>
      <c r="P362" s="246"/>
      <c r="Q362" s="249"/>
      <c r="R362" s="250"/>
      <c r="S362" s="259"/>
      <c r="T362" s="260"/>
      <c r="U362" s="250"/>
      <c r="V362" s="78">
        <f t="shared" si="51"/>
        <v>0</v>
      </c>
      <c r="W362" s="261">
        <f t="shared" si="52"/>
        <v>0</v>
      </c>
      <c r="X362" s="133">
        <f t="shared" si="53"/>
        <v>0</v>
      </c>
      <c r="Y362" s="251"/>
      <c r="Z362" s="1736"/>
      <c r="AA362" s="1737"/>
      <c r="AB362" s="77">
        <f t="shared" si="54"/>
        <v>0</v>
      </c>
      <c r="AC362" s="134">
        <f t="shared" si="55"/>
        <v>0</v>
      </c>
      <c r="AD362" s="251"/>
      <c r="AE362" s="1736"/>
      <c r="AF362" s="1737"/>
      <c r="AG362" s="77">
        <f t="shared" si="56"/>
        <v>0</v>
      </c>
      <c r="AH362" s="136">
        <f t="shared" si="57"/>
        <v>0</v>
      </c>
      <c r="AI362" s="251"/>
      <c r="AJ362" s="1736"/>
      <c r="AK362" s="1737"/>
      <c r="AL362" s="79">
        <f t="shared" si="58"/>
        <v>0</v>
      </c>
      <c r="AM362" s="137">
        <f t="shared" si="59"/>
        <v>0</v>
      </c>
      <c r="AN362" s="251"/>
      <c r="AO362" s="1736"/>
      <c r="AP362" s="1737"/>
    </row>
    <row r="363" spans="1:42" s="85" customFormat="1" ht="13.5" thickBot="1">
      <c r="A363" s="240"/>
      <c r="B363" s="241"/>
      <c r="C363" s="242"/>
      <c r="D363" s="242"/>
      <c r="E363" s="243"/>
      <c r="F363" s="244"/>
      <c r="G363" s="244"/>
      <c r="H363" s="243"/>
      <c r="I363" s="258"/>
      <c r="J363" s="245"/>
      <c r="K363" s="245"/>
      <c r="L363" s="76">
        <f t="shared" si="50"/>
        <v>0</v>
      </c>
      <c r="M363" s="246"/>
      <c r="N363" s="247"/>
      <c r="O363" s="248"/>
      <c r="P363" s="246"/>
      <c r="Q363" s="249"/>
      <c r="R363" s="250"/>
      <c r="S363" s="259"/>
      <c r="T363" s="260"/>
      <c r="U363" s="250"/>
      <c r="V363" s="78">
        <f t="shared" si="51"/>
        <v>0</v>
      </c>
      <c r="W363" s="261">
        <f t="shared" si="52"/>
        <v>0</v>
      </c>
      <c r="X363" s="133">
        <f t="shared" si="53"/>
        <v>0</v>
      </c>
      <c r="Y363" s="251"/>
      <c r="Z363" s="1736"/>
      <c r="AA363" s="1737"/>
      <c r="AB363" s="77">
        <f t="shared" si="54"/>
        <v>0</v>
      </c>
      <c r="AC363" s="134">
        <f t="shared" si="55"/>
        <v>0</v>
      </c>
      <c r="AD363" s="251"/>
      <c r="AE363" s="1736"/>
      <c r="AF363" s="1737"/>
      <c r="AG363" s="77">
        <f t="shared" si="56"/>
        <v>0</v>
      </c>
      <c r="AH363" s="136">
        <f t="shared" si="57"/>
        <v>0</v>
      </c>
      <c r="AI363" s="251"/>
      <c r="AJ363" s="1736"/>
      <c r="AK363" s="1737"/>
      <c r="AL363" s="79">
        <f t="shared" si="58"/>
        <v>0</v>
      </c>
      <c r="AM363" s="137">
        <f t="shared" si="59"/>
        <v>0</v>
      </c>
      <c r="AN363" s="251"/>
      <c r="AO363" s="1736"/>
      <c r="AP363" s="1737"/>
    </row>
    <row r="364" spans="1:42" s="85" customFormat="1" ht="13.5" thickBot="1">
      <c r="A364" s="240"/>
      <c r="B364" s="241"/>
      <c r="C364" s="242"/>
      <c r="D364" s="242"/>
      <c r="E364" s="243"/>
      <c r="F364" s="244"/>
      <c r="G364" s="244"/>
      <c r="H364" s="243"/>
      <c r="I364" s="258"/>
      <c r="J364" s="245"/>
      <c r="K364" s="245"/>
      <c r="L364" s="76">
        <f t="shared" si="50"/>
        <v>0</v>
      </c>
      <c r="M364" s="246"/>
      <c r="N364" s="247"/>
      <c r="O364" s="248"/>
      <c r="P364" s="246"/>
      <c r="Q364" s="249"/>
      <c r="R364" s="250"/>
      <c r="S364" s="259"/>
      <c r="T364" s="260"/>
      <c r="U364" s="250"/>
      <c r="V364" s="78">
        <f t="shared" si="51"/>
        <v>0</v>
      </c>
      <c r="W364" s="261">
        <f t="shared" si="52"/>
        <v>0</v>
      </c>
      <c r="X364" s="133">
        <f t="shared" si="53"/>
        <v>0</v>
      </c>
      <c r="Y364" s="251"/>
      <c r="Z364" s="1736"/>
      <c r="AA364" s="1737"/>
      <c r="AB364" s="77">
        <f t="shared" si="54"/>
        <v>0</v>
      </c>
      <c r="AC364" s="134">
        <f t="shared" si="55"/>
        <v>0</v>
      </c>
      <c r="AD364" s="251"/>
      <c r="AE364" s="1736"/>
      <c r="AF364" s="1737"/>
      <c r="AG364" s="77">
        <f t="shared" si="56"/>
        <v>0</v>
      </c>
      <c r="AH364" s="136">
        <f t="shared" si="57"/>
        <v>0</v>
      </c>
      <c r="AI364" s="251"/>
      <c r="AJ364" s="1736"/>
      <c r="AK364" s="1737"/>
      <c r="AL364" s="79">
        <f t="shared" si="58"/>
        <v>0</v>
      </c>
      <c r="AM364" s="137">
        <f t="shared" si="59"/>
        <v>0</v>
      </c>
      <c r="AN364" s="251"/>
      <c r="AO364" s="1736"/>
      <c r="AP364" s="1737"/>
    </row>
    <row r="365" spans="1:42" s="85" customFormat="1" ht="13.5" thickBot="1">
      <c r="A365" s="240"/>
      <c r="B365" s="241"/>
      <c r="C365" s="242"/>
      <c r="D365" s="242"/>
      <c r="E365" s="243"/>
      <c r="F365" s="244"/>
      <c r="G365" s="244"/>
      <c r="H365" s="243"/>
      <c r="I365" s="258"/>
      <c r="J365" s="245"/>
      <c r="K365" s="245"/>
      <c r="L365" s="76">
        <f t="shared" si="50"/>
        <v>0</v>
      </c>
      <c r="M365" s="246"/>
      <c r="N365" s="247"/>
      <c r="O365" s="248"/>
      <c r="P365" s="246"/>
      <c r="Q365" s="249"/>
      <c r="R365" s="250"/>
      <c r="S365" s="259"/>
      <c r="T365" s="260"/>
      <c r="U365" s="250"/>
      <c r="V365" s="78">
        <f t="shared" si="51"/>
        <v>0</v>
      </c>
      <c r="W365" s="261">
        <f t="shared" si="52"/>
        <v>0</v>
      </c>
      <c r="X365" s="133">
        <f t="shared" si="53"/>
        <v>0</v>
      </c>
      <c r="Y365" s="251"/>
      <c r="Z365" s="1736"/>
      <c r="AA365" s="1737"/>
      <c r="AB365" s="77">
        <f t="shared" si="54"/>
        <v>0</v>
      </c>
      <c r="AC365" s="134">
        <f t="shared" si="55"/>
        <v>0</v>
      </c>
      <c r="AD365" s="251"/>
      <c r="AE365" s="1736"/>
      <c r="AF365" s="1737"/>
      <c r="AG365" s="77">
        <f t="shared" si="56"/>
        <v>0</v>
      </c>
      <c r="AH365" s="136">
        <f t="shared" si="57"/>
        <v>0</v>
      </c>
      <c r="AI365" s="251"/>
      <c r="AJ365" s="1736"/>
      <c r="AK365" s="1737"/>
      <c r="AL365" s="79">
        <f t="shared" si="58"/>
        <v>0</v>
      </c>
      <c r="AM365" s="137">
        <f t="shared" si="59"/>
        <v>0</v>
      </c>
      <c r="AN365" s="251"/>
      <c r="AO365" s="1736"/>
      <c r="AP365" s="1737"/>
    </row>
    <row r="366" spans="1:42" s="85" customFormat="1" ht="13.5" thickBot="1">
      <c r="A366" s="240"/>
      <c r="B366" s="241"/>
      <c r="C366" s="242"/>
      <c r="D366" s="242"/>
      <c r="E366" s="243"/>
      <c r="F366" s="244"/>
      <c r="G366" s="244"/>
      <c r="H366" s="243"/>
      <c r="I366" s="258"/>
      <c r="J366" s="245"/>
      <c r="K366" s="245"/>
      <c r="L366" s="76">
        <f t="shared" si="50"/>
        <v>0</v>
      </c>
      <c r="M366" s="246"/>
      <c r="N366" s="247"/>
      <c r="O366" s="248"/>
      <c r="P366" s="246"/>
      <c r="Q366" s="249"/>
      <c r="R366" s="250"/>
      <c r="S366" s="259"/>
      <c r="T366" s="260"/>
      <c r="U366" s="250"/>
      <c r="V366" s="78">
        <f t="shared" si="51"/>
        <v>0</v>
      </c>
      <c r="W366" s="261">
        <f t="shared" si="52"/>
        <v>0</v>
      </c>
      <c r="X366" s="133">
        <f t="shared" si="53"/>
        <v>0</v>
      </c>
      <c r="Y366" s="251"/>
      <c r="Z366" s="1736"/>
      <c r="AA366" s="1737"/>
      <c r="AB366" s="77">
        <f t="shared" si="54"/>
        <v>0</v>
      </c>
      <c r="AC366" s="134">
        <f t="shared" si="55"/>
        <v>0</v>
      </c>
      <c r="AD366" s="251"/>
      <c r="AE366" s="1736"/>
      <c r="AF366" s="1737"/>
      <c r="AG366" s="77">
        <f t="shared" si="56"/>
        <v>0</v>
      </c>
      <c r="AH366" s="136">
        <f t="shared" si="57"/>
        <v>0</v>
      </c>
      <c r="AI366" s="251"/>
      <c r="AJ366" s="1736"/>
      <c r="AK366" s="1737"/>
      <c r="AL366" s="79">
        <f t="shared" si="58"/>
        <v>0</v>
      </c>
      <c r="AM366" s="137">
        <f t="shared" si="59"/>
        <v>0</v>
      </c>
      <c r="AN366" s="251"/>
      <c r="AO366" s="1736"/>
      <c r="AP366" s="1737"/>
    </row>
    <row r="367" spans="1:42" s="85" customFormat="1" ht="13.5" thickBot="1">
      <c r="A367" s="240"/>
      <c r="B367" s="241"/>
      <c r="C367" s="242"/>
      <c r="D367" s="242"/>
      <c r="E367" s="243"/>
      <c r="F367" s="244"/>
      <c r="G367" s="244"/>
      <c r="H367" s="243"/>
      <c r="I367" s="258"/>
      <c r="J367" s="245"/>
      <c r="K367" s="245"/>
      <c r="L367" s="76">
        <f t="shared" si="50"/>
        <v>0</v>
      </c>
      <c r="M367" s="246"/>
      <c r="N367" s="247"/>
      <c r="O367" s="248"/>
      <c r="P367" s="246"/>
      <c r="Q367" s="249"/>
      <c r="R367" s="250"/>
      <c r="S367" s="259"/>
      <c r="T367" s="260"/>
      <c r="U367" s="250"/>
      <c r="V367" s="78">
        <f t="shared" si="51"/>
        <v>0</v>
      </c>
      <c r="W367" s="261">
        <f t="shared" si="52"/>
        <v>0</v>
      </c>
      <c r="X367" s="133">
        <f t="shared" si="53"/>
        <v>0</v>
      </c>
      <c r="Y367" s="251"/>
      <c r="Z367" s="1736"/>
      <c r="AA367" s="1737"/>
      <c r="AB367" s="77">
        <f t="shared" si="54"/>
        <v>0</v>
      </c>
      <c r="AC367" s="134">
        <f t="shared" si="55"/>
        <v>0</v>
      </c>
      <c r="AD367" s="251"/>
      <c r="AE367" s="1736"/>
      <c r="AF367" s="1737"/>
      <c r="AG367" s="77">
        <f t="shared" si="56"/>
        <v>0</v>
      </c>
      <c r="AH367" s="136">
        <f t="shared" si="57"/>
        <v>0</v>
      </c>
      <c r="AI367" s="251"/>
      <c r="AJ367" s="1736"/>
      <c r="AK367" s="1737"/>
      <c r="AL367" s="79">
        <f t="shared" si="58"/>
        <v>0</v>
      </c>
      <c r="AM367" s="137">
        <f t="shared" si="59"/>
        <v>0</v>
      </c>
      <c r="AN367" s="251"/>
      <c r="AO367" s="1736"/>
      <c r="AP367" s="1737"/>
    </row>
    <row r="368" spans="1:42" s="85" customFormat="1" ht="13.5" thickBot="1">
      <c r="A368" s="240"/>
      <c r="B368" s="241"/>
      <c r="C368" s="242"/>
      <c r="D368" s="242"/>
      <c r="E368" s="243"/>
      <c r="F368" s="244"/>
      <c r="G368" s="244"/>
      <c r="H368" s="243"/>
      <c r="I368" s="258"/>
      <c r="J368" s="245"/>
      <c r="K368" s="245"/>
      <c r="L368" s="76">
        <f t="shared" si="50"/>
        <v>0</v>
      </c>
      <c r="M368" s="246"/>
      <c r="N368" s="247"/>
      <c r="O368" s="248"/>
      <c r="P368" s="246"/>
      <c r="Q368" s="249"/>
      <c r="R368" s="250"/>
      <c r="S368" s="259"/>
      <c r="T368" s="260"/>
      <c r="U368" s="250"/>
      <c r="V368" s="78">
        <f t="shared" si="51"/>
        <v>0</v>
      </c>
      <c r="W368" s="261">
        <f t="shared" si="52"/>
        <v>0</v>
      </c>
      <c r="X368" s="133">
        <f t="shared" si="53"/>
        <v>0</v>
      </c>
      <c r="Y368" s="251"/>
      <c r="Z368" s="1736"/>
      <c r="AA368" s="1737"/>
      <c r="AB368" s="77">
        <f t="shared" si="54"/>
        <v>0</v>
      </c>
      <c r="AC368" s="134">
        <f t="shared" si="55"/>
        <v>0</v>
      </c>
      <c r="AD368" s="251"/>
      <c r="AE368" s="1736"/>
      <c r="AF368" s="1737"/>
      <c r="AG368" s="77">
        <f t="shared" si="56"/>
        <v>0</v>
      </c>
      <c r="AH368" s="136">
        <f t="shared" si="57"/>
        <v>0</v>
      </c>
      <c r="AI368" s="251"/>
      <c r="AJ368" s="1736"/>
      <c r="AK368" s="1737"/>
      <c r="AL368" s="79">
        <f t="shared" si="58"/>
        <v>0</v>
      </c>
      <c r="AM368" s="137">
        <f t="shared" si="59"/>
        <v>0</v>
      </c>
      <c r="AN368" s="251"/>
      <c r="AO368" s="1736"/>
      <c r="AP368" s="1737"/>
    </row>
    <row r="369" spans="1:42" s="85" customFormat="1" ht="13.5" thickBot="1">
      <c r="A369" s="240"/>
      <c r="B369" s="241"/>
      <c r="C369" s="242"/>
      <c r="D369" s="242"/>
      <c r="E369" s="243"/>
      <c r="F369" s="244"/>
      <c r="G369" s="244"/>
      <c r="H369" s="243"/>
      <c r="I369" s="258"/>
      <c r="J369" s="245"/>
      <c r="K369" s="245"/>
      <c r="L369" s="76">
        <f t="shared" si="50"/>
        <v>0</v>
      </c>
      <c r="M369" s="246"/>
      <c r="N369" s="247"/>
      <c r="O369" s="248"/>
      <c r="P369" s="246"/>
      <c r="Q369" s="249"/>
      <c r="R369" s="250"/>
      <c r="S369" s="259"/>
      <c r="T369" s="260"/>
      <c r="U369" s="250"/>
      <c r="V369" s="78">
        <f t="shared" si="51"/>
        <v>0</v>
      </c>
      <c r="W369" s="261">
        <f t="shared" si="52"/>
        <v>0</v>
      </c>
      <c r="X369" s="133">
        <f t="shared" si="53"/>
        <v>0</v>
      </c>
      <c r="Y369" s="251"/>
      <c r="Z369" s="1736"/>
      <c r="AA369" s="1737"/>
      <c r="AB369" s="77">
        <f t="shared" si="54"/>
        <v>0</v>
      </c>
      <c r="AC369" s="134">
        <f t="shared" si="55"/>
        <v>0</v>
      </c>
      <c r="AD369" s="251"/>
      <c r="AE369" s="1736"/>
      <c r="AF369" s="1737"/>
      <c r="AG369" s="77">
        <f t="shared" si="56"/>
        <v>0</v>
      </c>
      <c r="AH369" s="136">
        <f t="shared" si="57"/>
        <v>0</v>
      </c>
      <c r="AI369" s="251"/>
      <c r="AJ369" s="1736"/>
      <c r="AK369" s="1737"/>
      <c r="AL369" s="79">
        <f t="shared" si="58"/>
        <v>0</v>
      </c>
      <c r="AM369" s="137">
        <f t="shared" si="59"/>
        <v>0</v>
      </c>
      <c r="AN369" s="251"/>
      <c r="AO369" s="1736"/>
      <c r="AP369" s="1737"/>
    </row>
    <row r="370" spans="1:42" s="85" customFormat="1" ht="13.5" thickBot="1">
      <c r="A370" s="240"/>
      <c r="B370" s="241"/>
      <c r="C370" s="242"/>
      <c r="D370" s="242"/>
      <c r="E370" s="243"/>
      <c r="F370" s="244"/>
      <c r="G370" s="244"/>
      <c r="H370" s="243"/>
      <c r="I370" s="258"/>
      <c r="J370" s="245"/>
      <c r="K370" s="245"/>
      <c r="L370" s="76">
        <f t="shared" si="50"/>
        <v>0</v>
      </c>
      <c r="M370" s="246"/>
      <c r="N370" s="247"/>
      <c r="O370" s="248"/>
      <c r="P370" s="246"/>
      <c r="Q370" s="249"/>
      <c r="R370" s="250"/>
      <c r="S370" s="259"/>
      <c r="T370" s="260"/>
      <c r="U370" s="250"/>
      <c r="V370" s="78">
        <f t="shared" si="51"/>
        <v>0</v>
      </c>
      <c r="W370" s="261">
        <f t="shared" si="52"/>
        <v>0</v>
      </c>
      <c r="X370" s="133">
        <f t="shared" si="53"/>
        <v>0</v>
      </c>
      <c r="Y370" s="251"/>
      <c r="Z370" s="1736"/>
      <c r="AA370" s="1737"/>
      <c r="AB370" s="77">
        <f t="shared" si="54"/>
        <v>0</v>
      </c>
      <c r="AC370" s="134">
        <f t="shared" si="55"/>
        <v>0</v>
      </c>
      <c r="AD370" s="251"/>
      <c r="AE370" s="1736"/>
      <c r="AF370" s="1737"/>
      <c r="AG370" s="77">
        <f t="shared" si="56"/>
        <v>0</v>
      </c>
      <c r="AH370" s="136">
        <f t="shared" si="57"/>
        <v>0</v>
      </c>
      <c r="AI370" s="251"/>
      <c r="AJ370" s="1736"/>
      <c r="AK370" s="1737"/>
      <c r="AL370" s="79">
        <f t="shared" si="58"/>
        <v>0</v>
      </c>
      <c r="AM370" s="137">
        <f t="shared" si="59"/>
        <v>0</v>
      </c>
      <c r="AN370" s="251"/>
      <c r="AO370" s="1736"/>
      <c r="AP370" s="1737"/>
    </row>
    <row r="371" spans="1:42" s="85" customFormat="1" ht="13.5" thickBot="1">
      <c r="A371" s="240"/>
      <c r="B371" s="241"/>
      <c r="C371" s="242"/>
      <c r="D371" s="242"/>
      <c r="E371" s="243"/>
      <c r="F371" s="244"/>
      <c r="G371" s="244"/>
      <c r="H371" s="243"/>
      <c r="I371" s="258"/>
      <c r="J371" s="245"/>
      <c r="K371" s="245"/>
      <c r="L371" s="76">
        <f t="shared" si="50"/>
        <v>0</v>
      </c>
      <c r="M371" s="246"/>
      <c r="N371" s="247"/>
      <c r="O371" s="248"/>
      <c r="P371" s="246"/>
      <c r="Q371" s="249"/>
      <c r="R371" s="250"/>
      <c r="S371" s="259"/>
      <c r="T371" s="260"/>
      <c r="U371" s="250"/>
      <c r="V371" s="78">
        <f t="shared" si="51"/>
        <v>0</v>
      </c>
      <c r="W371" s="261">
        <f t="shared" si="52"/>
        <v>0</v>
      </c>
      <c r="X371" s="133">
        <f t="shared" si="53"/>
        <v>0</v>
      </c>
      <c r="Y371" s="251"/>
      <c r="Z371" s="1736"/>
      <c r="AA371" s="1737"/>
      <c r="AB371" s="77">
        <f t="shared" si="54"/>
        <v>0</v>
      </c>
      <c r="AC371" s="134">
        <f t="shared" si="55"/>
        <v>0</v>
      </c>
      <c r="AD371" s="251"/>
      <c r="AE371" s="1736"/>
      <c r="AF371" s="1737"/>
      <c r="AG371" s="77">
        <f t="shared" si="56"/>
        <v>0</v>
      </c>
      <c r="AH371" s="136">
        <f t="shared" si="57"/>
        <v>0</v>
      </c>
      <c r="AI371" s="251"/>
      <c r="AJ371" s="1736"/>
      <c r="AK371" s="1737"/>
      <c r="AL371" s="79">
        <f t="shared" si="58"/>
        <v>0</v>
      </c>
      <c r="AM371" s="137">
        <f t="shared" si="59"/>
        <v>0</v>
      </c>
      <c r="AN371" s="251"/>
      <c r="AO371" s="1736"/>
      <c r="AP371" s="1737"/>
    </row>
    <row r="372" spans="1:42" s="85" customFormat="1" ht="13.5" thickBot="1">
      <c r="A372" s="240"/>
      <c r="B372" s="241"/>
      <c r="C372" s="242"/>
      <c r="D372" s="242"/>
      <c r="E372" s="243"/>
      <c r="F372" s="244"/>
      <c r="G372" s="244"/>
      <c r="H372" s="243"/>
      <c r="I372" s="258"/>
      <c r="J372" s="245"/>
      <c r="K372" s="245"/>
      <c r="L372" s="76">
        <f t="shared" si="50"/>
        <v>0</v>
      </c>
      <c r="M372" s="246"/>
      <c r="N372" s="247"/>
      <c r="O372" s="248"/>
      <c r="P372" s="246"/>
      <c r="Q372" s="249"/>
      <c r="R372" s="250"/>
      <c r="S372" s="259"/>
      <c r="T372" s="260"/>
      <c r="U372" s="250"/>
      <c r="V372" s="78">
        <f t="shared" si="51"/>
        <v>0</v>
      </c>
      <c r="W372" s="261">
        <f t="shared" si="52"/>
        <v>0</v>
      </c>
      <c r="X372" s="133">
        <f t="shared" si="53"/>
        <v>0</v>
      </c>
      <c r="Y372" s="251"/>
      <c r="Z372" s="1736"/>
      <c r="AA372" s="1737"/>
      <c r="AB372" s="77">
        <f t="shared" si="54"/>
        <v>0</v>
      </c>
      <c r="AC372" s="134">
        <f t="shared" si="55"/>
        <v>0</v>
      </c>
      <c r="AD372" s="251"/>
      <c r="AE372" s="1736"/>
      <c r="AF372" s="1737"/>
      <c r="AG372" s="77">
        <f t="shared" si="56"/>
        <v>0</v>
      </c>
      <c r="AH372" s="136">
        <f t="shared" si="57"/>
        <v>0</v>
      </c>
      <c r="AI372" s="251"/>
      <c r="AJ372" s="1736"/>
      <c r="AK372" s="1737"/>
      <c r="AL372" s="79">
        <f t="shared" si="58"/>
        <v>0</v>
      </c>
      <c r="AM372" s="137">
        <f t="shared" si="59"/>
        <v>0</v>
      </c>
      <c r="AN372" s="251"/>
      <c r="AO372" s="1736"/>
      <c r="AP372" s="1737"/>
    </row>
    <row r="373" spans="1:42" s="85" customFormat="1" ht="13.5" thickBot="1">
      <c r="A373" s="240"/>
      <c r="B373" s="241"/>
      <c r="C373" s="242"/>
      <c r="D373" s="242"/>
      <c r="E373" s="243"/>
      <c r="F373" s="244"/>
      <c r="G373" s="244"/>
      <c r="H373" s="243"/>
      <c r="I373" s="258"/>
      <c r="J373" s="245"/>
      <c r="K373" s="245"/>
      <c r="L373" s="76">
        <f t="shared" si="50"/>
        <v>0</v>
      </c>
      <c r="M373" s="246"/>
      <c r="N373" s="247"/>
      <c r="O373" s="248"/>
      <c r="P373" s="246"/>
      <c r="Q373" s="249"/>
      <c r="R373" s="250"/>
      <c r="S373" s="259"/>
      <c r="T373" s="260"/>
      <c r="U373" s="250"/>
      <c r="V373" s="78">
        <f t="shared" si="51"/>
        <v>0</v>
      </c>
      <c r="W373" s="261">
        <f t="shared" si="52"/>
        <v>0</v>
      </c>
      <c r="X373" s="133">
        <f t="shared" si="53"/>
        <v>0</v>
      </c>
      <c r="Y373" s="251"/>
      <c r="Z373" s="1736"/>
      <c r="AA373" s="1737"/>
      <c r="AB373" s="77">
        <f t="shared" si="54"/>
        <v>0</v>
      </c>
      <c r="AC373" s="134">
        <f t="shared" si="55"/>
        <v>0</v>
      </c>
      <c r="AD373" s="251"/>
      <c r="AE373" s="1736"/>
      <c r="AF373" s="1737"/>
      <c r="AG373" s="77">
        <f t="shared" si="56"/>
        <v>0</v>
      </c>
      <c r="AH373" s="136">
        <f t="shared" si="57"/>
        <v>0</v>
      </c>
      <c r="AI373" s="251"/>
      <c r="AJ373" s="1736"/>
      <c r="AK373" s="1737"/>
      <c r="AL373" s="79">
        <f t="shared" si="58"/>
        <v>0</v>
      </c>
      <c r="AM373" s="137">
        <f t="shared" si="59"/>
        <v>0</v>
      </c>
      <c r="AN373" s="251"/>
      <c r="AO373" s="1736"/>
      <c r="AP373" s="1737"/>
    </row>
    <row r="374" spans="1:42" s="85" customFormat="1" ht="13.5" thickBot="1">
      <c r="A374" s="240"/>
      <c r="B374" s="241"/>
      <c r="C374" s="242"/>
      <c r="D374" s="242"/>
      <c r="E374" s="243"/>
      <c r="F374" s="244"/>
      <c r="G374" s="244"/>
      <c r="H374" s="243"/>
      <c r="I374" s="258"/>
      <c r="J374" s="245"/>
      <c r="K374" s="245"/>
      <c r="L374" s="76">
        <f t="shared" si="50"/>
        <v>0</v>
      </c>
      <c r="M374" s="246"/>
      <c r="N374" s="247"/>
      <c r="O374" s="248"/>
      <c r="P374" s="246"/>
      <c r="Q374" s="249"/>
      <c r="R374" s="250"/>
      <c r="S374" s="259"/>
      <c r="T374" s="260"/>
      <c r="U374" s="250"/>
      <c r="V374" s="78">
        <f t="shared" si="51"/>
        <v>0</v>
      </c>
      <c r="W374" s="261">
        <f t="shared" si="52"/>
        <v>0</v>
      </c>
      <c r="X374" s="133">
        <f t="shared" si="53"/>
        <v>0</v>
      </c>
      <c r="Y374" s="251"/>
      <c r="Z374" s="1736"/>
      <c r="AA374" s="1737"/>
      <c r="AB374" s="77">
        <f t="shared" si="54"/>
        <v>0</v>
      </c>
      <c r="AC374" s="134">
        <f t="shared" si="55"/>
        <v>0</v>
      </c>
      <c r="AD374" s="251"/>
      <c r="AE374" s="1736"/>
      <c r="AF374" s="1737"/>
      <c r="AG374" s="77">
        <f t="shared" si="56"/>
        <v>0</v>
      </c>
      <c r="AH374" s="136">
        <f t="shared" si="57"/>
        <v>0</v>
      </c>
      <c r="AI374" s="251"/>
      <c r="AJ374" s="1736"/>
      <c r="AK374" s="1737"/>
      <c r="AL374" s="79">
        <f t="shared" si="58"/>
        <v>0</v>
      </c>
      <c r="AM374" s="137">
        <f t="shared" si="59"/>
        <v>0</v>
      </c>
      <c r="AN374" s="251"/>
      <c r="AO374" s="1736"/>
      <c r="AP374" s="1737"/>
    </row>
    <row r="375" spans="1:42" s="85" customFormat="1" ht="13.5" thickBot="1">
      <c r="A375" s="240"/>
      <c r="B375" s="241"/>
      <c r="C375" s="242"/>
      <c r="D375" s="242"/>
      <c r="E375" s="243"/>
      <c r="F375" s="244"/>
      <c r="G375" s="244"/>
      <c r="H375" s="243"/>
      <c r="I375" s="258"/>
      <c r="J375" s="245"/>
      <c r="K375" s="245"/>
      <c r="L375" s="76">
        <f t="shared" si="50"/>
        <v>0</v>
      </c>
      <c r="M375" s="246"/>
      <c r="N375" s="247"/>
      <c r="O375" s="248"/>
      <c r="P375" s="246"/>
      <c r="Q375" s="249"/>
      <c r="R375" s="250"/>
      <c r="S375" s="259"/>
      <c r="T375" s="260"/>
      <c r="U375" s="250"/>
      <c r="V375" s="78">
        <f t="shared" si="51"/>
        <v>0</v>
      </c>
      <c r="W375" s="261">
        <f t="shared" si="52"/>
        <v>0</v>
      </c>
      <c r="X375" s="133">
        <f t="shared" si="53"/>
        <v>0</v>
      </c>
      <c r="Y375" s="251"/>
      <c r="Z375" s="1736"/>
      <c r="AA375" s="1737"/>
      <c r="AB375" s="77">
        <f t="shared" si="54"/>
        <v>0</v>
      </c>
      <c r="AC375" s="134">
        <f t="shared" si="55"/>
        <v>0</v>
      </c>
      <c r="AD375" s="251"/>
      <c r="AE375" s="1736"/>
      <c r="AF375" s="1737"/>
      <c r="AG375" s="77">
        <f t="shared" si="56"/>
        <v>0</v>
      </c>
      <c r="AH375" s="136">
        <f t="shared" si="57"/>
        <v>0</v>
      </c>
      <c r="AI375" s="251"/>
      <c r="AJ375" s="1736"/>
      <c r="AK375" s="1737"/>
      <c r="AL375" s="79">
        <f t="shared" si="58"/>
        <v>0</v>
      </c>
      <c r="AM375" s="137">
        <f t="shared" si="59"/>
        <v>0</v>
      </c>
      <c r="AN375" s="251"/>
      <c r="AO375" s="1736"/>
      <c r="AP375" s="1737"/>
    </row>
    <row r="376" spans="1:42" s="85" customFormat="1" ht="13.5" thickBot="1">
      <c r="A376" s="240"/>
      <c r="B376" s="241"/>
      <c r="C376" s="242"/>
      <c r="D376" s="242"/>
      <c r="E376" s="243"/>
      <c r="F376" s="244"/>
      <c r="G376" s="244"/>
      <c r="H376" s="243"/>
      <c r="I376" s="258"/>
      <c r="J376" s="245"/>
      <c r="K376" s="245"/>
      <c r="L376" s="76">
        <f t="shared" si="50"/>
        <v>0</v>
      </c>
      <c r="M376" s="246"/>
      <c r="N376" s="247"/>
      <c r="O376" s="248"/>
      <c r="P376" s="246"/>
      <c r="Q376" s="249"/>
      <c r="R376" s="250"/>
      <c r="S376" s="259"/>
      <c r="T376" s="260"/>
      <c r="U376" s="250"/>
      <c r="V376" s="78">
        <f t="shared" si="51"/>
        <v>0</v>
      </c>
      <c r="W376" s="261">
        <f t="shared" si="52"/>
        <v>0</v>
      </c>
      <c r="X376" s="133">
        <f t="shared" si="53"/>
        <v>0</v>
      </c>
      <c r="Y376" s="251"/>
      <c r="Z376" s="1736"/>
      <c r="AA376" s="1737"/>
      <c r="AB376" s="77">
        <f t="shared" si="54"/>
        <v>0</v>
      </c>
      <c r="AC376" s="134">
        <f t="shared" si="55"/>
        <v>0</v>
      </c>
      <c r="AD376" s="251"/>
      <c r="AE376" s="1736"/>
      <c r="AF376" s="1737"/>
      <c r="AG376" s="77">
        <f t="shared" si="56"/>
        <v>0</v>
      </c>
      <c r="AH376" s="136">
        <f t="shared" si="57"/>
        <v>0</v>
      </c>
      <c r="AI376" s="251"/>
      <c r="AJ376" s="1736"/>
      <c r="AK376" s="1737"/>
      <c r="AL376" s="79">
        <f t="shared" si="58"/>
        <v>0</v>
      </c>
      <c r="AM376" s="137">
        <f t="shared" si="59"/>
        <v>0</v>
      </c>
      <c r="AN376" s="251"/>
      <c r="AO376" s="1736"/>
      <c r="AP376" s="1737"/>
    </row>
    <row r="377" spans="1:42" s="85" customFormat="1" ht="13.5" thickBot="1">
      <c r="A377" s="240"/>
      <c r="B377" s="241"/>
      <c r="C377" s="242"/>
      <c r="D377" s="242"/>
      <c r="E377" s="243"/>
      <c r="F377" s="244"/>
      <c r="G377" s="244"/>
      <c r="H377" s="243"/>
      <c r="I377" s="258"/>
      <c r="J377" s="245"/>
      <c r="K377" s="245"/>
      <c r="L377" s="76">
        <f t="shared" si="50"/>
        <v>0</v>
      </c>
      <c r="M377" s="246"/>
      <c r="N377" s="247"/>
      <c r="O377" s="248"/>
      <c r="P377" s="246"/>
      <c r="Q377" s="249"/>
      <c r="R377" s="250"/>
      <c r="S377" s="259"/>
      <c r="T377" s="260"/>
      <c r="U377" s="250"/>
      <c r="V377" s="78">
        <f t="shared" si="51"/>
        <v>0</v>
      </c>
      <c r="W377" s="261">
        <f t="shared" si="52"/>
        <v>0</v>
      </c>
      <c r="X377" s="133">
        <f t="shared" si="53"/>
        <v>0</v>
      </c>
      <c r="Y377" s="251"/>
      <c r="Z377" s="1736"/>
      <c r="AA377" s="1737"/>
      <c r="AB377" s="77">
        <f t="shared" si="54"/>
        <v>0</v>
      </c>
      <c r="AC377" s="134">
        <f t="shared" si="55"/>
        <v>0</v>
      </c>
      <c r="AD377" s="251"/>
      <c r="AE377" s="1736"/>
      <c r="AF377" s="1737"/>
      <c r="AG377" s="77">
        <f t="shared" si="56"/>
        <v>0</v>
      </c>
      <c r="AH377" s="136">
        <f t="shared" si="57"/>
        <v>0</v>
      </c>
      <c r="AI377" s="251"/>
      <c r="AJ377" s="1736"/>
      <c r="AK377" s="1737"/>
      <c r="AL377" s="79">
        <f t="shared" si="58"/>
        <v>0</v>
      </c>
      <c r="AM377" s="137">
        <f t="shared" si="59"/>
        <v>0</v>
      </c>
      <c r="AN377" s="251"/>
      <c r="AO377" s="1736"/>
      <c r="AP377" s="1737"/>
    </row>
    <row r="378" spans="1:42" s="85" customFormat="1" ht="13.5" thickBot="1">
      <c r="A378" s="240"/>
      <c r="B378" s="241"/>
      <c r="C378" s="242"/>
      <c r="D378" s="242"/>
      <c r="E378" s="243"/>
      <c r="F378" s="244"/>
      <c r="G378" s="244"/>
      <c r="H378" s="243"/>
      <c r="I378" s="258"/>
      <c r="J378" s="245"/>
      <c r="K378" s="245"/>
      <c r="L378" s="76">
        <f t="shared" si="50"/>
        <v>0</v>
      </c>
      <c r="M378" s="246"/>
      <c r="N378" s="247"/>
      <c r="O378" s="248"/>
      <c r="P378" s="246"/>
      <c r="Q378" s="249"/>
      <c r="R378" s="250"/>
      <c r="S378" s="259"/>
      <c r="T378" s="260"/>
      <c r="U378" s="250"/>
      <c r="V378" s="78">
        <f t="shared" si="51"/>
        <v>0</v>
      </c>
      <c r="W378" s="261">
        <f t="shared" si="52"/>
        <v>0</v>
      </c>
      <c r="X378" s="133">
        <f t="shared" si="53"/>
        <v>0</v>
      </c>
      <c r="Y378" s="251"/>
      <c r="Z378" s="1736"/>
      <c r="AA378" s="1737"/>
      <c r="AB378" s="77">
        <f t="shared" si="54"/>
        <v>0</v>
      </c>
      <c r="AC378" s="134">
        <f t="shared" si="55"/>
        <v>0</v>
      </c>
      <c r="AD378" s="251"/>
      <c r="AE378" s="1736"/>
      <c r="AF378" s="1737"/>
      <c r="AG378" s="77">
        <f t="shared" si="56"/>
        <v>0</v>
      </c>
      <c r="AH378" s="136">
        <f t="shared" si="57"/>
        <v>0</v>
      </c>
      <c r="AI378" s="251"/>
      <c r="AJ378" s="1736"/>
      <c r="AK378" s="1737"/>
      <c r="AL378" s="79">
        <f t="shared" si="58"/>
        <v>0</v>
      </c>
      <c r="AM378" s="137">
        <f t="shared" si="59"/>
        <v>0</v>
      </c>
      <c r="AN378" s="251"/>
      <c r="AO378" s="1736"/>
      <c r="AP378" s="1737"/>
    </row>
    <row r="379" spans="1:42" s="85" customFormat="1" ht="13.5" thickBot="1">
      <c r="A379" s="240"/>
      <c r="B379" s="241"/>
      <c r="C379" s="242"/>
      <c r="D379" s="242"/>
      <c r="E379" s="243"/>
      <c r="F379" s="244"/>
      <c r="G379" s="244"/>
      <c r="H379" s="243"/>
      <c r="I379" s="258"/>
      <c r="J379" s="245"/>
      <c r="K379" s="245"/>
      <c r="L379" s="76">
        <f t="shared" si="50"/>
        <v>0</v>
      </c>
      <c r="M379" s="246"/>
      <c r="N379" s="247"/>
      <c r="O379" s="248"/>
      <c r="P379" s="246"/>
      <c r="Q379" s="249"/>
      <c r="R379" s="250"/>
      <c r="S379" s="259"/>
      <c r="T379" s="260"/>
      <c r="U379" s="250"/>
      <c r="V379" s="78">
        <f t="shared" si="51"/>
        <v>0</v>
      </c>
      <c r="W379" s="261">
        <f t="shared" si="52"/>
        <v>0</v>
      </c>
      <c r="X379" s="133">
        <f t="shared" si="53"/>
        <v>0</v>
      </c>
      <c r="Y379" s="251"/>
      <c r="Z379" s="1736"/>
      <c r="AA379" s="1737"/>
      <c r="AB379" s="77">
        <f t="shared" si="54"/>
        <v>0</v>
      </c>
      <c r="AC379" s="134">
        <f t="shared" si="55"/>
        <v>0</v>
      </c>
      <c r="AD379" s="251"/>
      <c r="AE379" s="1736"/>
      <c r="AF379" s="1737"/>
      <c r="AG379" s="77">
        <f t="shared" si="56"/>
        <v>0</v>
      </c>
      <c r="AH379" s="136">
        <f t="shared" si="57"/>
        <v>0</v>
      </c>
      <c r="AI379" s="251"/>
      <c r="AJ379" s="1736"/>
      <c r="AK379" s="1737"/>
      <c r="AL379" s="79">
        <f t="shared" si="58"/>
        <v>0</v>
      </c>
      <c r="AM379" s="137">
        <f t="shared" si="59"/>
        <v>0</v>
      </c>
      <c r="AN379" s="251"/>
      <c r="AO379" s="1736"/>
      <c r="AP379" s="1737"/>
    </row>
    <row r="380" spans="1:42" s="85" customFormat="1" ht="13.5" thickBot="1">
      <c r="A380" s="240"/>
      <c r="B380" s="241"/>
      <c r="C380" s="242"/>
      <c r="D380" s="242"/>
      <c r="E380" s="243"/>
      <c r="F380" s="244"/>
      <c r="G380" s="244"/>
      <c r="H380" s="243"/>
      <c r="I380" s="258"/>
      <c r="J380" s="245"/>
      <c r="K380" s="245"/>
      <c r="L380" s="76">
        <f t="shared" si="50"/>
        <v>0</v>
      </c>
      <c r="M380" s="246"/>
      <c r="N380" s="247"/>
      <c r="O380" s="248"/>
      <c r="P380" s="246"/>
      <c r="Q380" s="249"/>
      <c r="R380" s="250"/>
      <c r="S380" s="259"/>
      <c r="T380" s="260"/>
      <c r="U380" s="250"/>
      <c r="V380" s="78">
        <f t="shared" si="51"/>
        <v>0</v>
      </c>
      <c r="W380" s="261">
        <f t="shared" si="52"/>
        <v>0</v>
      </c>
      <c r="X380" s="133">
        <f t="shared" si="53"/>
        <v>0</v>
      </c>
      <c r="Y380" s="251"/>
      <c r="Z380" s="1736"/>
      <c r="AA380" s="1737"/>
      <c r="AB380" s="77">
        <f t="shared" si="54"/>
        <v>0</v>
      </c>
      <c r="AC380" s="134">
        <f t="shared" si="55"/>
        <v>0</v>
      </c>
      <c r="AD380" s="251"/>
      <c r="AE380" s="1736"/>
      <c r="AF380" s="1737"/>
      <c r="AG380" s="77">
        <f t="shared" si="56"/>
        <v>0</v>
      </c>
      <c r="AH380" s="136">
        <f t="shared" si="57"/>
        <v>0</v>
      </c>
      <c r="AI380" s="251"/>
      <c r="AJ380" s="1736"/>
      <c r="AK380" s="1737"/>
      <c r="AL380" s="79">
        <f t="shared" si="58"/>
        <v>0</v>
      </c>
      <c r="AM380" s="137">
        <f t="shared" si="59"/>
        <v>0</v>
      </c>
      <c r="AN380" s="251"/>
      <c r="AO380" s="1736"/>
      <c r="AP380" s="1737"/>
    </row>
    <row r="381" spans="1:42" s="85" customFormat="1" ht="13.5" thickBot="1">
      <c r="A381" s="240"/>
      <c r="B381" s="241"/>
      <c r="C381" s="242"/>
      <c r="D381" s="242"/>
      <c r="E381" s="243"/>
      <c r="F381" s="244"/>
      <c r="G381" s="244"/>
      <c r="H381" s="243"/>
      <c r="I381" s="258"/>
      <c r="J381" s="245"/>
      <c r="K381" s="245"/>
      <c r="L381" s="76">
        <f t="shared" si="50"/>
        <v>0</v>
      </c>
      <c r="M381" s="246"/>
      <c r="N381" s="247"/>
      <c r="O381" s="248"/>
      <c r="P381" s="246"/>
      <c r="Q381" s="249"/>
      <c r="R381" s="250"/>
      <c r="S381" s="259"/>
      <c r="T381" s="260"/>
      <c r="U381" s="250"/>
      <c r="V381" s="78">
        <f t="shared" si="51"/>
        <v>0</v>
      </c>
      <c r="W381" s="261">
        <f t="shared" si="52"/>
        <v>0</v>
      </c>
      <c r="X381" s="133">
        <f t="shared" si="53"/>
        <v>0</v>
      </c>
      <c r="Y381" s="251"/>
      <c r="Z381" s="1736"/>
      <c r="AA381" s="1737"/>
      <c r="AB381" s="77">
        <f t="shared" si="54"/>
        <v>0</v>
      </c>
      <c r="AC381" s="134">
        <f t="shared" si="55"/>
        <v>0</v>
      </c>
      <c r="AD381" s="251"/>
      <c r="AE381" s="1736"/>
      <c r="AF381" s="1737"/>
      <c r="AG381" s="77">
        <f t="shared" si="56"/>
        <v>0</v>
      </c>
      <c r="AH381" s="136">
        <f t="shared" si="57"/>
        <v>0</v>
      </c>
      <c r="AI381" s="251"/>
      <c r="AJ381" s="1736"/>
      <c r="AK381" s="1737"/>
      <c r="AL381" s="79">
        <f t="shared" si="58"/>
        <v>0</v>
      </c>
      <c r="AM381" s="137">
        <f t="shared" si="59"/>
        <v>0</v>
      </c>
      <c r="AN381" s="251"/>
      <c r="AO381" s="1736"/>
      <c r="AP381" s="1737"/>
    </row>
    <row r="382" spans="1:42" s="85" customFormat="1" ht="13.5" thickBot="1">
      <c r="A382" s="240"/>
      <c r="B382" s="241"/>
      <c r="C382" s="242"/>
      <c r="D382" s="242"/>
      <c r="E382" s="243"/>
      <c r="F382" s="244"/>
      <c r="G382" s="244"/>
      <c r="H382" s="243"/>
      <c r="I382" s="258"/>
      <c r="J382" s="245"/>
      <c r="K382" s="245"/>
      <c r="L382" s="76">
        <f t="shared" si="50"/>
        <v>0</v>
      </c>
      <c r="M382" s="246"/>
      <c r="N382" s="247"/>
      <c r="O382" s="248"/>
      <c r="P382" s="246"/>
      <c r="Q382" s="249"/>
      <c r="R382" s="250"/>
      <c r="S382" s="259"/>
      <c r="T382" s="260"/>
      <c r="U382" s="250"/>
      <c r="V382" s="78">
        <f t="shared" si="51"/>
        <v>0</v>
      </c>
      <c r="W382" s="261">
        <f t="shared" si="52"/>
        <v>0</v>
      </c>
      <c r="X382" s="133">
        <f t="shared" si="53"/>
        <v>0</v>
      </c>
      <c r="Y382" s="251"/>
      <c r="Z382" s="1736"/>
      <c r="AA382" s="1737"/>
      <c r="AB382" s="77">
        <f t="shared" si="54"/>
        <v>0</v>
      </c>
      <c r="AC382" s="134">
        <f t="shared" si="55"/>
        <v>0</v>
      </c>
      <c r="AD382" s="251"/>
      <c r="AE382" s="1736"/>
      <c r="AF382" s="1737"/>
      <c r="AG382" s="77">
        <f t="shared" si="56"/>
        <v>0</v>
      </c>
      <c r="AH382" s="136">
        <f t="shared" si="57"/>
        <v>0</v>
      </c>
      <c r="AI382" s="251"/>
      <c r="AJ382" s="1736"/>
      <c r="AK382" s="1737"/>
      <c r="AL382" s="79">
        <f t="shared" si="58"/>
        <v>0</v>
      </c>
      <c r="AM382" s="137">
        <f t="shared" si="59"/>
        <v>0</v>
      </c>
      <c r="AN382" s="251"/>
      <c r="AO382" s="1736"/>
      <c r="AP382" s="1737"/>
    </row>
    <row r="383" spans="1:42" s="85" customFormat="1" ht="13.5" thickBot="1">
      <c r="A383" s="240"/>
      <c r="B383" s="241"/>
      <c r="C383" s="242"/>
      <c r="D383" s="242"/>
      <c r="E383" s="243"/>
      <c r="F383" s="244"/>
      <c r="G383" s="244"/>
      <c r="H383" s="243"/>
      <c r="I383" s="258"/>
      <c r="J383" s="245"/>
      <c r="K383" s="245"/>
      <c r="L383" s="76">
        <f t="shared" si="50"/>
        <v>0</v>
      </c>
      <c r="M383" s="246"/>
      <c r="N383" s="247"/>
      <c r="O383" s="248"/>
      <c r="P383" s="246"/>
      <c r="Q383" s="249"/>
      <c r="R383" s="250"/>
      <c r="S383" s="259"/>
      <c r="T383" s="260"/>
      <c r="U383" s="250"/>
      <c r="V383" s="78">
        <f t="shared" si="51"/>
        <v>0</v>
      </c>
      <c r="W383" s="261">
        <f t="shared" si="52"/>
        <v>0</v>
      </c>
      <c r="X383" s="133">
        <f t="shared" si="53"/>
        <v>0</v>
      </c>
      <c r="Y383" s="251"/>
      <c r="Z383" s="1736"/>
      <c r="AA383" s="1737"/>
      <c r="AB383" s="77">
        <f t="shared" si="54"/>
        <v>0</v>
      </c>
      <c r="AC383" s="134">
        <f t="shared" si="55"/>
        <v>0</v>
      </c>
      <c r="AD383" s="251"/>
      <c r="AE383" s="1736"/>
      <c r="AF383" s="1737"/>
      <c r="AG383" s="77">
        <f t="shared" si="56"/>
        <v>0</v>
      </c>
      <c r="AH383" s="136">
        <f t="shared" si="57"/>
        <v>0</v>
      </c>
      <c r="AI383" s="251"/>
      <c r="AJ383" s="1736"/>
      <c r="AK383" s="1737"/>
      <c r="AL383" s="79">
        <f t="shared" si="58"/>
        <v>0</v>
      </c>
      <c r="AM383" s="137">
        <f t="shared" si="59"/>
        <v>0</v>
      </c>
      <c r="AN383" s="251"/>
      <c r="AO383" s="1736"/>
      <c r="AP383" s="1737"/>
    </row>
    <row r="384" spans="1:42" s="85" customFormat="1" ht="13.5" thickBot="1">
      <c r="A384" s="240"/>
      <c r="B384" s="241"/>
      <c r="C384" s="242"/>
      <c r="D384" s="242"/>
      <c r="E384" s="243"/>
      <c r="F384" s="244"/>
      <c r="G384" s="244"/>
      <c r="H384" s="243"/>
      <c r="I384" s="258"/>
      <c r="J384" s="245"/>
      <c r="K384" s="245"/>
      <c r="L384" s="76">
        <f t="shared" si="50"/>
        <v>0</v>
      </c>
      <c r="M384" s="246"/>
      <c r="N384" s="247"/>
      <c r="O384" s="248"/>
      <c r="P384" s="246"/>
      <c r="Q384" s="249"/>
      <c r="R384" s="250"/>
      <c r="S384" s="259"/>
      <c r="T384" s="260"/>
      <c r="U384" s="250"/>
      <c r="V384" s="78">
        <f t="shared" si="51"/>
        <v>0</v>
      </c>
      <c r="W384" s="261">
        <f t="shared" si="52"/>
        <v>0</v>
      </c>
      <c r="X384" s="133">
        <f t="shared" si="53"/>
        <v>0</v>
      </c>
      <c r="Y384" s="251"/>
      <c r="Z384" s="1736"/>
      <c r="AA384" s="1737"/>
      <c r="AB384" s="77">
        <f t="shared" si="54"/>
        <v>0</v>
      </c>
      <c r="AC384" s="134">
        <f t="shared" si="55"/>
        <v>0</v>
      </c>
      <c r="AD384" s="251"/>
      <c r="AE384" s="1736"/>
      <c r="AF384" s="1737"/>
      <c r="AG384" s="77">
        <f t="shared" si="56"/>
        <v>0</v>
      </c>
      <c r="AH384" s="136">
        <f t="shared" si="57"/>
        <v>0</v>
      </c>
      <c r="AI384" s="251"/>
      <c r="AJ384" s="1736"/>
      <c r="AK384" s="1737"/>
      <c r="AL384" s="79">
        <f t="shared" si="58"/>
        <v>0</v>
      </c>
      <c r="AM384" s="137">
        <f t="shared" si="59"/>
        <v>0</v>
      </c>
      <c r="AN384" s="251"/>
      <c r="AO384" s="1736"/>
      <c r="AP384" s="1737"/>
    </row>
    <row r="385" spans="1:42" s="85" customFormat="1" ht="13.5" thickBot="1">
      <c r="A385" s="240"/>
      <c r="B385" s="241"/>
      <c r="C385" s="242"/>
      <c r="D385" s="242"/>
      <c r="E385" s="243"/>
      <c r="F385" s="244"/>
      <c r="G385" s="244"/>
      <c r="H385" s="243"/>
      <c r="I385" s="258"/>
      <c r="J385" s="245"/>
      <c r="K385" s="245"/>
      <c r="L385" s="76">
        <f t="shared" si="50"/>
        <v>0</v>
      </c>
      <c r="M385" s="246"/>
      <c r="N385" s="247"/>
      <c r="O385" s="248"/>
      <c r="P385" s="246"/>
      <c r="Q385" s="249"/>
      <c r="R385" s="250"/>
      <c r="S385" s="259"/>
      <c r="T385" s="260"/>
      <c r="U385" s="250"/>
      <c r="V385" s="78">
        <f t="shared" si="51"/>
        <v>0</v>
      </c>
      <c r="W385" s="261">
        <f t="shared" si="52"/>
        <v>0</v>
      </c>
      <c r="X385" s="133">
        <f t="shared" si="53"/>
        <v>0</v>
      </c>
      <c r="Y385" s="251"/>
      <c r="Z385" s="1736"/>
      <c r="AA385" s="1737"/>
      <c r="AB385" s="77">
        <f t="shared" si="54"/>
        <v>0</v>
      </c>
      <c r="AC385" s="134">
        <f t="shared" si="55"/>
        <v>0</v>
      </c>
      <c r="AD385" s="251"/>
      <c r="AE385" s="1736"/>
      <c r="AF385" s="1737"/>
      <c r="AG385" s="77">
        <f t="shared" si="56"/>
        <v>0</v>
      </c>
      <c r="AH385" s="136">
        <f t="shared" si="57"/>
        <v>0</v>
      </c>
      <c r="AI385" s="251"/>
      <c r="AJ385" s="1736"/>
      <c r="AK385" s="1737"/>
      <c r="AL385" s="79">
        <f t="shared" si="58"/>
        <v>0</v>
      </c>
      <c r="AM385" s="137">
        <f t="shared" si="59"/>
        <v>0</v>
      </c>
      <c r="AN385" s="251"/>
      <c r="AO385" s="1736"/>
      <c r="AP385" s="1737"/>
    </row>
    <row r="386" spans="1:42" s="85" customFormat="1" ht="13.5" thickBot="1">
      <c r="A386" s="240"/>
      <c r="B386" s="241"/>
      <c r="C386" s="242"/>
      <c r="D386" s="242"/>
      <c r="E386" s="243"/>
      <c r="F386" s="244"/>
      <c r="G386" s="244"/>
      <c r="H386" s="243"/>
      <c r="I386" s="258"/>
      <c r="J386" s="245"/>
      <c r="K386" s="245"/>
      <c r="L386" s="76">
        <f t="shared" si="50"/>
        <v>0</v>
      </c>
      <c r="M386" s="246"/>
      <c r="N386" s="247"/>
      <c r="O386" s="248"/>
      <c r="P386" s="246"/>
      <c r="Q386" s="249"/>
      <c r="R386" s="250"/>
      <c r="S386" s="259"/>
      <c r="T386" s="260"/>
      <c r="U386" s="250"/>
      <c r="V386" s="78">
        <f t="shared" si="51"/>
        <v>0</v>
      </c>
      <c r="W386" s="261">
        <f t="shared" si="52"/>
        <v>0</v>
      </c>
      <c r="X386" s="133">
        <f t="shared" si="53"/>
        <v>0</v>
      </c>
      <c r="Y386" s="251"/>
      <c r="Z386" s="1736"/>
      <c r="AA386" s="1737"/>
      <c r="AB386" s="77">
        <f t="shared" si="54"/>
        <v>0</v>
      </c>
      <c r="AC386" s="134">
        <f t="shared" si="55"/>
        <v>0</v>
      </c>
      <c r="AD386" s="251"/>
      <c r="AE386" s="1736"/>
      <c r="AF386" s="1737"/>
      <c r="AG386" s="77">
        <f t="shared" si="56"/>
        <v>0</v>
      </c>
      <c r="AH386" s="136">
        <f t="shared" si="57"/>
        <v>0</v>
      </c>
      <c r="AI386" s="251"/>
      <c r="AJ386" s="1736"/>
      <c r="AK386" s="1737"/>
      <c r="AL386" s="79">
        <f t="shared" si="58"/>
        <v>0</v>
      </c>
      <c r="AM386" s="137">
        <f t="shared" si="59"/>
        <v>0</v>
      </c>
      <c r="AN386" s="251"/>
      <c r="AO386" s="1736"/>
      <c r="AP386" s="1737"/>
    </row>
    <row r="387" spans="1:42" s="85" customFormat="1" ht="13.5" thickBot="1">
      <c r="A387" s="240"/>
      <c r="B387" s="241"/>
      <c r="C387" s="242"/>
      <c r="D387" s="242"/>
      <c r="E387" s="243"/>
      <c r="F387" s="244"/>
      <c r="G387" s="244"/>
      <c r="H387" s="243"/>
      <c r="I387" s="258"/>
      <c r="J387" s="245"/>
      <c r="K387" s="245"/>
      <c r="L387" s="76">
        <f t="shared" si="50"/>
        <v>0</v>
      </c>
      <c r="M387" s="246"/>
      <c r="N387" s="247"/>
      <c r="O387" s="248"/>
      <c r="P387" s="246"/>
      <c r="Q387" s="249"/>
      <c r="R387" s="250"/>
      <c r="S387" s="259"/>
      <c r="T387" s="260"/>
      <c r="U387" s="250"/>
      <c r="V387" s="78">
        <f t="shared" si="51"/>
        <v>0</v>
      </c>
      <c r="W387" s="261">
        <f t="shared" si="52"/>
        <v>0</v>
      </c>
      <c r="X387" s="133">
        <f t="shared" si="53"/>
        <v>0</v>
      </c>
      <c r="Y387" s="251"/>
      <c r="Z387" s="1736"/>
      <c r="AA387" s="1737"/>
      <c r="AB387" s="77">
        <f t="shared" si="54"/>
        <v>0</v>
      </c>
      <c r="AC387" s="134">
        <f t="shared" si="55"/>
        <v>0</v>
      </c>
      <c r="AD387" s="251"/>
      <c r="AE387" s="1736"/>
      <c r="AF387" s="1737"/>
      <c r="AG387" s="77">
        <f t="shared" si="56"/>
        <v>0</v>
      </c>
      <c r="AH387" s="136">
        <f t="shared" si="57"/>
        <v>0</v>
      </c>
      <c r="AI387" s="251"/>
      <c r="AJ387" s="1736"/>
      <c r="AK387" s="1737"/>
      <c r="AL387" s="79">
        <f t="shared" si="58"/>
        <v>0</v>
      </c>
      <c r="AM387" s="137">
        <f t="shared" si="59"/>
        <v>0</v>
      </c>
      <c r="AN387" s="251"/>
      <c r="AO387" s="1736"/>
      <c r="AP387" s="1737"/>
    </row>
    <row r="388" spans="1:42" s="85" customFormat="1" ht="13.5" thickBot="1">
      <c r="A388" s="240"/>
      <c r="B388" s="241"/>
      <c r="C388" s="242"/>
      <c r="D388" s="242"/>
      <c r="E388" s="243"/>
      <c r="F388" s="244"/>
      <c r="G388" s="244"/>
      <c r="H388" s="243"/>
      <c r="I388" s="258"/>
      <c r="J388" s="245"/>
      <c r="K388" s="245"/>
      <c r="L388" s="76">
        <f t="shared" si="50"/>
        <v>0</v>
      </c>
      <c r="M388" s="246"/>
      <c r="N388" s="247"/>
      <c r="O388" s="248"/>
      <c r="P388" s="246"/>
      <c r="Q388" s="249"/>
      <c r="R388" s="250"/>
      <c r="S388" s="259"/>
      <c r="T388" s="260"/>
      <c r="U388" s="250"/>
      <c r="V388" s="78">
        <f t="shared" si="51"/>
        <v>0</v>
      </c>
      <c r="W388" s="261">
        <f t="shared" si="52"/>
        <v>0</v>
      </c>
      <c r="X388" s="133">
        <f t="shared" si="53"/>
        <v>0</v>
      </c>
      <c r="Y388" s="251"/>
      <c r="Z388" s="1736"/>
      <c r="AA388" s="1737"/>
      <c r="AB388" s="77">
        <f t="shared" si="54"/>
        <v>0</v>
      </c>
      <c r="AC388" s="134">
        <f t="shared" si="55"/>
        <v>0</v>
      </c>
      <c r="AD388" s="251"/>
      <c r="AE388" s="1736"/>
      <c r="AF388" s="1737"/>
      <c r="AG388" s="77">
        <f t="shared" si="56"/>
        <v>0</v>
      </c>
      <c r="AH388" s="136">
        <f t="shared" si="57"/>
        <v>0</v>
      </c>
      <c r="AI388" s="251"/>
      <c r="AJ388" s="1736"/>
      <c r="AK388" s="1737"/>
      <c r="AL388" s="79">
        <f t="shared" si="58"/>
        <v>0</v>
      </c>
      <c r="AM388" s="137">
        <f t="shared" si="59"/>
        <v>0</v>
      </c>
      <c r="AN388" s="251"/>
      <c r="AO388" s="1736"/>
      <c r="AP388" s="1737"/>
    </row>
    <row r="389" spans="1:42" s="85" customFormat="1" ht="13.5" thickBot="1">
      <c r="A389" s="240"/>
      <c r="B389" s="241"/>
      <c r="C389" s="242"/>
      <c r="D389" s="242"/>
      <c r="E389" s="243"/>
      <c r="F389" s="244"/>
      <c r="G389" s="244"/>
      <c r="H389" s="243"/>
      <c r="I389" s="258"/>
      <c r="J389" s="245"/>
      <c r="K389" s="245"/>
      <c r="L389" s="76">
        <f t="shared" si="50"/>
        <v>0</v>
      </c>
      <c r="M389" s="246"/>
      <c r="N389" s="247"/>
      <c r="O389" s="248"/>
      <c r="P389" s="246"/>
      <c r="Q389" s="249"/>
      <c r="R389" s="250"/>
      <c r="S389" s="259"/>
      <c r="T389" s="260"/>
      <c r="U389" s="250"/>
      <c r="V389" s="78">
        <f t="shared" si="51"/>
        <v>0</v>
      </c>
      <c r="W389" s="261">
        <f t="shared" si="52"/>
        <v>0</v>
      </c>
      <c r="X389" s="133">
        <f t="shared" si="53"/>
        <v>0</v>
      </c>
      <c r="Y389" s="251"/>
      <c r="Z389" s="1736"/>
      <c r="AA389" s="1737"/>
      <c r="AB389" s="77">
        <f t="shared" si="54"/>
        <v>0</v>
      </c>
      <c r="AC389" s="134">
        <f t="shared" si="55"/>
        <v>0</v>
      </c>
      <c r="AD389" s="251"/>
      <c r="AE389" s="1736"/>
      <c r="AF389" s="1737"/>
      <c r="AG389" s="77">
        <f t="shared" si="56"/>
        <v>0</v>
      </c>
      <c r="AH389" s="136">
        <f t="shared" si="57"/>
        <v>0</v>
      </c>
      <c r="AI389" s="251"/>
      <c r="AJ389" s="1736"/>
      <c r="AK389" s="1737"/>
      <c r="AL389" s="79">
        <f t="shared" si="58"/>
        <v>0</v>
      </c>
      <c r="AM389" s="137">
        <f t="shared" si="59"/>
        <v>0</v>
      </c>
      <c r="AN389" s="251"/>
      <c r="AO389" s="1736"/>
      <c r="AP389" s="1737"/>
    </row>
    <row r="390" spans="1:42" s="85" customFormat="1" ht="13.5" thickBot="1">
      <c r="A390" s="240"/>
      <c r="B390" s="241"/>
      <c r="C390" s="242"/>
      <c r="D390" s="242"/>
      <c r="E390" s="243"/>
      <c r="F390" s="244"/>
      <c r="G390" s="244"/>
      <c r="H390" s="243"/>
      <c r="I390" s="258"/>
      <c r="J390" s="245"/>
      <c r="K390" s="245"/>
      <c r="L390" s="76">
        <f t="shared" si="50"/>
        <v>0</v>
      </c>
      <c r="M390" s="246"/>
      <c r="N390" s="247"/>
      <c r="O390" s="248"/>
      <c r="P390" s="246"/>
      <c r="Q390" s="249"/>
      <c r="R390" s="250"/>
      <c r="S390" s="259"/>
      <c r="T390" s="260"/>
      <c r="U390" s="250"/>
      <c r="V390" s="78">
        <f t="shared" si="51"/>
        <v>0</v>
      </c>
      <c r="W390" s="261">
        <f t="shared" si="52"/>
        <v>0</v>
      </c>
      <c r="X390" s="133">
        <f t="shared" si="53"/>
        <v>0</v>
      </c>
      <c r="Y390" s="251"/>
      <c r="Z390" s="1736"/>
      <c r="AA390" s="1737"/>
      <c r="AB390" s="77">
        <f t="shared" si="54"/>
        <v>0</v>
      </c>
      <c r="AC390" s="134">
        <f t="shared" si="55"/>
        <v>0</v>
      </c>
      <c r="AD390" s="251"/>
      <c r="AE390" s="1736"/>
      <c r="AF390" s="1737"/>
      <c r="AG390" s="77">
        <f t="shared" si="56"/>
        <v>0</v>
      </c>
      <c r="AH390" s="136">
        <f t="shared" si="57"/>
        <v>0</v>
      </c>
      <c r="AI390" s="251"/>
      <c r="AJ390" s="1736"/>
      <c r="AK390" s="1737"/>
      <c r="AL390" s="79">
        <f t="shared" si="58"/>
        <v>0</v>
      </c>
      <c r="AM390" s="137">
        <f t="shared" si="59"/>
        <v>0</v>
      </c>
      <c r="AN390" s="251"/>
      <c r="AO390" s="1736"/>
      <c r="AP390" s="1737"/>
    </row>
    <row r="391" spans="1:42" s="85" customFormat="1" ht="13.5" thickBot="1">
      <c r="A391" s="240"/>
      <c r="B391" s="241"/>
      <c r="C391" s="242"/>
      <c r="D391" s="242"/>
      <c r="E391" s="243"/>
      <c r="F391" s="244"/>
      <c r="G391" s="244"/>
      <c r="H391" s="243"/>
      <c r="I391" s="258"/>
      <c r="J391" s="245"/>
      <c r="K391" s="245"/>
      <c r="L391" s="76">
        <f t="shared" si="50"/>
        <v>0</v>
      </c>
      <c r="M391" s="246"/>
      <c r="N391" s="247"/>
      <c r="O391" s="248"/>
      <c r="P391" s="246"/>
      <c r="Q391" s="249"/>
      <c r="R391" s="250"/>
      <c r="S391" s="259"/>
      <c r="T391" s="260"/>
      <c r="U391" s="250"/>
      <c r="V391" s="78">
        <f t="shared" si="51"/>
        <v>0</v>
      </c>
      <c r="W391" s="261">
        <f t="shared" si="52"/>
        <v>0</v>
      </c>
      <c r="X391" s="133">
        <f t="shared" si="53"/>
        <v>0</v>
      </c>
      <c r="Y391" s="251"/>
      <c r="Z391" s="1736"/>
      <c r="AA391" s="1737"/>
      <c r="AB391" s="77">
        <f t="shared" si="54"/>
        <v>0</v>
      </c>
      <c r="AC391" s="134">
        <f t="shared" si="55"/>
        <v>0</v>
      </c>
      <c r="AD391" s="251"/>
      <c r="AE391" s="1736"/>
      <c r="AF391" s="1737"/>
      <c r="AG391" s="77">
        <f t="shared" si="56"/>
        <v>0</v>
      </c>
      <c r="AH391" s="136">
        <f t="shared" si="57"/>
        <v>0</v>
      </c>
      <c r="AI391" s="251"/>
      <c r="AJ391" s="1736"/>
      <c r="AK391" s="1737"/>
      <c r="AL391" s="79">
        <f t="shared" si="58"/>
        <v>0</v>
      </c>
      <c r="AM391" s="137">
        <f t="shared" si="59"/>
        <v>0</v>
      </c>
      <c r="AN391" s="251"/>
      <c r="AO391" s="1736"/>
      <c r="AP391" s="1737"/>
    </row>
    <row r="392" spans="1:42" s="85" customFormat="1" ht="13.5" thickBot="1">
      <c r="A392" s="240"/>
      <c r="B392" s="241"/>
      <c r="C392" s="242"/>
      <c r="D392" s="242"/>
      <c r="E392" s="243"/>
      <c r="F392" s="244"/>
      <c r="G392" s="244"/>
      <c r="H392" s="243"/>
      <c r="I392" s="258"/>
      <c r="J392" s="245"/>
      <c r="K392" s="245"/>
      <c r="L392" s="76">
        <f t="shared" si="50"/>
        <v>0</v>
      </c>
      <c r="M392" s="246"/>
      <c r="N392" s="247"/>
      <c r="O392" s="248"/>
      <c r="P392" s="246"/>
      <c r="Q392" s="249"/>
      <c r="R392" s="250"/>
      <c r="S392" s="259"/>
      <c r="T392" s="260"/>
      <c r="U392" s="250"/>
      <c r="V392" s="78">
        <f t="shared" si="51"/>
        <v>0</v>
      </c>
      <c r="W392" s="261">
        <f t="shared" si="52"/>
        <v>0</v>
      </c>
      <c r="X392" s="133">
        <f t="shared" si="53"/>
        <v>0</v>
      </c>
      <c r="Y392" s="251"/>
      <c r="Z392" s="1736"/>
      <c r="AA392" s="1737"/>
      <c r="AB392" s="77">
        <f t="shared" si="54"/>
        <v>0</v>
      </c>
      <c r="AC392" s="134">
        <f t="shared" si="55"/>
        <v>0</v>
      </c>
      <c r="AD392" s="251"/>
      <c r="AE392" s="1736"/>
      <c r="AF392" s="1737"/>
      <c r="AG392" s="77">
        <f t="shared" si="56"/>
        <v>0</v>
      </c>
      <c r="AH392" s="136">
        <f t="shared" si="57"/>
        <v>0</v>
      </c>
      <c r="AI392" s="251"/>
      <c r="AJ392" s="1736"/>
      <c r="AK392" s="1737"/>
      <c r="AL392" s="79">
        <f t="shared" si="58"/>
        <v>0</v>
      </c>
      <c r="AM392" s="137">
        <f t="shared" si="59"/>
        <v>0</v>
      </c>
      <c r="AN392" s="251"/>
      <c r="AO392" s="1736"/>
      <c r="AP392" s="1737"/>
    </row>
    <row r="393" spans="1:42" s="85" customFormat="1" ht="13.5" thickBot="1">
      <c r="A393" s="240"/>
      <c r="B393" s="241"/>
      <c r="C393" s="242"/>
      <c r="D393" s="242"/>
      <c r="E393" s="243"/>
      <c r="F393" s="244"/>
      <c r="G393" s="244"/>
      <c r="H393" s="243"/>
      <c r="I393" s="258"/>
      <c r="J393" s="245"/>
      <c r="K393" s="245"/>
      <c r="L393" s="76">
        <f t="shared" si="50"/>
        <v>0</v>
      </c>
      <c r="M393" s="246"/>
      <c r="N393" s="247"/>
      <c r="O393" s="248"/>
      <c r="P393" s="246"/>
      <c r="Q393" s="249"/>
      <c r="R393" s="250"/>
      <c r="S393" s="259"/>
      <c r="T393" s="260"/>
      <c r="U393" s="250"/>
      <c r="V393" s="78">
        <f t="shared" si="51"/>
        <v>0</v>
      </c>
      <c r="W393" s="261">
        <f t="shared" si="52"/>
        <v>0</v>
      </c>
      <c r="X393" s="133">
        <f t="shared" si="53"/>
        <v>0</v>
      </c>
      <c r="Y393" s="251"/>
      <c r="Z393" s="1736"/>
      <c r="AA393" s="1737"/>
      <c r="AB393" s="77">
        <f t="shared" si="54"/>
        <v>0</v>
      </c>
      <c r="AC393" s="134">
        <f t="shared" si="55"/>
        <v>0</v>
      </c>
      <c r="AD393" s="251"/>
      <c r="AE393" s="1736"/>
      <c r="AF393" s="1737"/>
      <c r="AG393" s="77">
        <f t="shared" si="56"/>
        <v>0</v>
      </c>
      <c r="AH393" s="136">
        <f t="shared" si="57"/>
        <v>0</v>
      </c>
      <c r="AI393" s="251"/>
      <c r="AJ393" s="1736"/>
      <c r="AK393" s="1737"/>
      <c r="AL393" s="79">
        <f t="shared" si="58"/>
        <v>0</v>
      </c>
      <c r="AM393" s="137">
        <f t="shared" si="59"/>
        <v>0</v>
      </c>
      <c r="AN393" s="251"/>
      <c r="AO393" s="1736"/>
      <c r="AP393" s="1737"/>
    </row>
    <row r="394" spans="1:42" s="85" customFormat="1" ht="13.5" thickBot="1">
      <c r="A394" s="240"/>
      <c r="B394" s="241"/>
      <c r="C394" s="242"/>
      <c r="D394" s="242"/>
      <c r="E394" s="243"/>
      <c r="F394" s="244"/>
      <c r="G394" s="244"/>
      <c r="H394" s="243"/>
      <c r="I394" s="258"/>
      <c r="J394" s="245"/>
      <c r="K394" s="245"/>
      <c r="L394" s="76">
        <f t="shared" si="50"/>
        <v>0</v>
      </c>
      <c r="M394" s="246"/>
      <c r="N394" s="247"/>
      <c r="O394" s="248"/>
      <c r="P394" s="246"/>
      <c r="Q394" s="249"/>
      <c r="R394" s="250"/>
      <c r="S394" s="259"/>
      <c r="T394" s="260"/>
      <c r="U394" s="250"/>
      <c r="V394" s="78">
        <f t="shared" si="51"/>
        <v>0</v>
      </c>
      <c r="W394" s="261">
        <f t="shared" si="52"/>
        <v>0</v>
      </c>
      <c r="X394" s="133">
        <f t="shared" si="53"/>
        <v>0</v>
      </c>
      <c r="Y394" s="251"/>
      <c r="Z394" s="1736"/>
      <c r="AA394" s="1737"/>
      <c r="AB394" s="77">
        <f t="shared" si="54"/>
        <v>0</v>
      </c>
      <c r="AC394" s="134">
        <f t="shared" si="55"/>
        <v>0</v>
      </c>
      <c r="AD394" s="251"/>
      <c r="AE394" s="1736"/>
      <c r="AF394" s="1737"/>
      <c r="AG394" s="77">
        <f t="shared" si="56"/>
        <v>0</v>
      </c>
      <c r="AH394" s="136">
        <f t="shared" si="57"/>
        <v>0</v>
      </c>
      <c r="AI394" s="251"/>
      <c r="AJ394" s="1736"/>
      <c r="AK394" s="1737"/>
      <c r="AL394" s="79">
        <f t="shared" si="58"/>
        <v>0</v>
      </c>
      <c r="AM394" s="137">
        <f t="shared" si="59"/>
        <v>0</v>
      </c>
      <c r="AN394" s="251"/>
      <c r="AO394" s="1736"/>
      <c r="AP394" s="1737"/>
    </row>
    <row r="395" spans="1:42" s="85" customFormat="1" ht="13.5" thickBot="1">
      <c r="A395" s="240"/>
      <c r="B395" s="241"/>
      <c r="C395" s="242"/>
      <c r="D395" s="242"/>
      <c r="E395" s="243"/>
      <c r="F395" s="244"/>
      <c r="G395" s="244"/>
      <c r="H395" s="243"/>
      <c r="I395" s="258"/>
      <c r="J395" s="245"/>
      <c r="K395" s="245"/>
      <c r="L395" s="76">
        <f t="shared" ref="L395:L458" si="60">IF(I395=0,0,(K395+J395)/I395)</f>
        <v>0</v>
      </c>
      <c r="M395" s="246"/>
      <c r="N395" s="247"/>
      <c r="O395" s="248"/>
      <c r="P395" s="246"/>
      <c r="Q395" s="249"/>
      <c r="R395" s="250"/>
      <c r="S395" s="259"/>
      <c r="T395" s="260"/>
      <c r="U395" s="250"/>
      <c r="V395" s="78">
        <f t="shared" ref="V395:V458" si="61">IF(U395=0,0,((U395*S395)-AB395-AL395))</f>
        <v>0</v>
      </c>
      <c r="W395" s="261">
        <f t="shared" ref="W395:W458" si="62">+S395-I395</f>
        <v>0</v>
      </c>
      <c r="X395" s="133">
        <f t="shared" ref="X395:X458" si="63">(V395-J395)</f>
        <v>0</v>
      </c>
      <c r="Y395" s="251"/>
      <c r="Z395" s="1736"/>
      <c r="AA395" s="1737"/>
      <c r="AB395" s="77">
        <f t="shared" ref="AB395:AB458" si="64">(IF(I395=0,0,M395/H395))*S395</f>
        <v>0</v>
      </c>
      <c r="AC395" s="134">
        <f t="shared" ref="AC395:AC458" si="65">+AB395-P395</f>
        <v>0</v>
      </c>
      <c r="AD395" s="251"/>
      <c r="AE395" s="1736"/>
      <c r="AF395" s="1737"/>
      <c r="AG395" s="77">
        <f t="shared" ref="AG395:AG458" si="66">(IF(H395=0,0,N395/H395))*T395</f>
        <v>0</v>
      </c>
      <c r="AH395" s="136">
        <f t="shared" ref="AH395:AH458" si="67">+AG395-Q395</f>
        <v>0</v>
      </c>
      <c r="AI395" s="251"/>
      <c r="AJ395" s="1736"/>
      <c r="AK395" s="1737"/>
      <c r="AL395" s="79">
        <f t="shared" ref="AL395:AL458" si="68">+O395*S395</f>
        <v>0</v>
      </c>
      <c r="AM395" s="137">
        <f t="shared" ref="AM395:AM458" si="69">+AL395-R395</f>
        <v>0</v>
      </c>
      <c r="AN395" s="251"/>
      <c r="AO395" s="1736"/>
      <c r="AP395" s="1737"/>
    </row>
    <row r="396" spans="1:42" s="85" customFormat="1" ht="13.5" thickBot="1">
      <c r="A396" s="240"/>
      <c r="B396" s="241"/>
      <c r="C396" s="242"/>
      <c r="D396" s="242"/>
      <c r="E396" s="243"/>
      <c r="F396" s="244"/>
      <c r="G396" s="244"/>
      <c r="H396" s="243"/>
      <c r="I396" s="258"/>
      <c r="J396" s="245"/>
      <c r="K396" s="245"/>
      <c r="L396" s="76">
        <f t="shared" si="60"/>
        <v>0</v>
      </c>
      <c r="M396" s="246"/>
      <c r="N396" s="247"/>
      <c r="O396" s="248"/>
      <c r="P396" s="246"/>
      <c r="Q396" s="249"/>
      <c r="R396" s="250"/>
      <c r="S396" s="259"/>
      <c r="T396" s="260"/>
      <c r="U396" s="250"/>
      <c r="V396" s="78">
        <f t="shared" si="61"/>
        <v>0</v>
      </c>
      <c r="W396" s="261">
        <f t="shared" si="62"/>
        <v>0</v>
      </c>
      <c r="X396" s="133">
        <f t="shared" si="63"/>
        <v>0</v>
      </c>
      <c r="Y396" s="251"/>
      <c r="Z396" s="1736"/>
      <c r="AA396" s="1737"/>
      <c r="AB396" s="77">
        <f t="shared" si="64"/>
        <v>0</v>
      </c>
      <c r="AC396" s="134">
        <f t="shared" si="65"/>
        <v>0</v>
      </c>
      <c r="AD396" s="251"/>
      <c r="AE396" s="1736"/>
      <c r="AF396" s="1737"/>
      <c r="AG396" s="77">
        <f t="shared" si="66"/>
        <v>0</v>
      </c>
      <c r="AH396" s="136">
        <f t="shared" si="67"/>
        <v>0</v>
      </c>
      <c r="AI396" s="251"/>
      <c r="AJ396" s="1736"/>
      <c r="AK396" s="1737"/>
      <c r="AL396" s="79">
        <f t="shared" si="68"/>
        <v>0</v>
      </c>
      <c r="AM396" s="137">
        <f t="shared" si="69"/>
        <v>0</v>
      </c>
      <c r="AN396" s="251"/>
      <c r="AO396" s="1736"/>
      <c r="AP396" s="1737"/>
    </row>
    <row r="397" spans="1:42" s="85" customFormat="1" ht="13.5" thickBot="1">
      <c r="A397" s="240"/>
      <c r="B397" s="241"/>
      <c r="C397" s="242"/>
      <c r="D397" s="242"/>
      <c r="E397" s="243"/>
      <c r="F397" s="244"/>
      <c r="G397" s="244"/>
      <c r="H397" s="243"/>
      <c r="I397" s="258"/>
      <c r="J397" s="245"/>
      <c r="K397" s="245"/>
      <c r="L397" s="76">
        <f t="shared" si="60"/>
        <v>0</v>
      </c>
      <c r="M397" s="246"/>
      <c r="N397" s="247"/>
      <c r="O397" s="248"/>
      <c r="P397" s="246"/>
      <c r="Q397" s="249"/>
      <c r="R397" s="250"/>
      <c r="S397" s="259"/>
      <c r="T397" s="260"/>
      <c r="U397" s="250"/>
      <c r="V397" s="78">
        <f t="shared" si="61"/>
        <v>0</v>
      </c>
      <c r="W397" s="261">
        <f t="shared" si="62"/>
        <v>0</v>
      </c>
      <c r="X397" s="133">
        <f t="shared" si="63"/>
        <v>0</v>
      </c>
      <c r="Y397" s="251"/>
      <c r="Z397" s="1736"/>
      <c r="AA397" s="1737"/>
      <c r="AB397" s="77">
        <f t="shared" si="64"/>
        <v>0</v>
      </c>
      <c r="AC397" s="134">
        <f t="shared" si="65"/>
        <v>0</v>
      </c>
      <c r="AD397" s="251"/>
      <c r="AE397" s="1736"/>
      <c r="AF397" s="1737"/>
      <c r="AG397" s="77">
        <f t="shared" si="66"/>
        <v>0</v>
      </c>
      <c r="AH397" s="136">
        <f t="shared" si="67"/>
        <v>0</v>
      </c>
      <c r="AI397" s="251"/>
      <c r="AJ397" s="1736"/>
      <c r="AK397" s="1737"/>
      <c r="AL397" s="79">
        <f t="shared" si="68"/>
        <v>0</v>
      </c>
      <c r="AM397" s="137">
        <f t="shared" si="69"/>
        <v>0</v>
      </c>
      <c r="AN397" s="251"/>
      <c r="AO397" s="1736"/>
      <c r="AP397" s="1737"/>
    </row>
    <row r="398" spans="1:42" s="85" customFormat="1" ht="13.5" thickBot="1">
      <c r="A398" s="240"/>
      <c r="B398" s="241"/>
      <c r="C398" s="242"/>
      <c r="D398" s="242"/>
      <c r="E398" s="243"/>
      <c r="F398" s="244"/>
      <c r="G398" s="244"/>
      <c r="H398" s="243"/>
      <c r="I398" s="258"/>
      <c r="J398" s="245"/>
      <c r="K398" s="245"/>
      <c r="L398" s="76">
        <f t="shared" si="60"/>
        <v>0</v>
      </c>
      <c r="M398" s="246"/>
      <c r="N398" s="247"/>
      <c r="O398" s="248"/>
      <c r="P398" s="246"/>
      <c r="Q398" s="249"/>
      <c r="R398" s="250"/>
      <c r="S398" s="259"/>
      <c r="T398" s="260"/>
      <c r="U398" s="250"/>
      <c r="V398" s="78">
        <f t="shared" si="61"/>
        <v>0</v>
      </c>
      <c r="W398" s="261">
        <f t="shared" si="62"/>
        <v>0</v>
      </c>
      <c r="X398" s="133">
        <f t="shared" si="63"/>
        <v>0</v>
      </c>
      <c r="Y398" s="251"/>
      <c r="Z398" s="1736"/>
      <c r="AA398" s="1737"/>
      <c r="AB398" s="77">
        <f t="shared" si="64"/>
        <v>0</v>
      </c>
      <c r="AC398" s="134">
        <f t="shared" si="65"/>
        <v>0</v>
      </c>
      <c r="AD398" s="251"/>
      <c r="AE398" s="1736"/>
      <c r="AF398" s="1737"/>
      <c r="AG398" s="77">
        <f t="shared" si="66"/>
        <v>0</v>
      </c>
      <c r="AH398" s="136">
        <f t="shared" si="67"/>
        <v>0</v>
      </c>
      <c r="AI398" s="251"/>
      <c r="AJ398" s="1736"/>
      <c r="AK398" s="1737"/>
      <c r="AL398" s="79">
        <f t="shared" si="68"/>
        <v>0</v>
      </c>
      <c r="AM398" s="137">
        <f t="shared" si="69"/>
        <v>0</v>
      </c>
      <c r="AN398" s="251"/>
      <c r="AO398" s="1736"/>
      <c r="AP398" s="1737"/>
    </row>
    <row r="399" spans="1:42" s="85" customFormat="1" ht="13.5" thickBot="1">
      <c r="A399" s="240"/>
      <c r="B399" s="241"/>
      <c r="C399" s="242"/>
      <c r="D399" s="242"/>
      <c r="E399" s="243"/>
      <c r="F399" s="244"/>
      <c r="G399" s="244"/>
      <c r="H399" s="243"/>
      <c r="I399" s="258"/>
      <c r="J399" s="245"/>
      <c r="K399" s="245"/>
      <c r="L399" s="76">
        <f t="shared" si="60"/>
        <v>0</v>
      </c>
      <c r="M399" s="246"/>
      <c r="N399" s="247"/>
      <c r="O399" s="248"/>
      <c r="P399" s="246"/>
      <c r="Q399" s="249"/>
      <c r="R399" s="250"/>
      <c r="S399" s="259"/>
      <c r="T399" s="260"/>
      <c r="U399" s="250"/>
      <c r="V399" s="78">
        <f t="shared" si="61"/>
        <v>0</v>
      </c>
      <c r="W399" s="261">
        <f t="shared" si="62"/>
        <v>0</v>
      </c>
      <c r="X399" s="133">
        <f t="shared" si="63"/>
        <v>0</v>
      </c>
      <c r="Y399" s="251"/>
      <c r="Z399" s="1736"/>
      <c r="AA399" s="1737"/>
      <c r="AB399" s="77">
        <f t="shared" si="64"/>
        <v>0</v>
      </c>
      <c r="AC399" s="134">
        <f t="shared" si="65"/>
        <v>0</v>
      </c>
      <c r="AD399" s="251"/>
      <c r="AE399" s="1736"/>
      <c r="AF399" s="1737"/>
      <c r="AG399" s="77">
        <f t="shared" si="66"/>
        <v>0</v>
      </c>
      <c r="AH399" s="136">
        <f t="shared" si="67"/>
        <v>0</v>
      </c>
      <c r="AI399" s="251"/>
      <c r="AJ399" s="1736"/>
      <c r="AK399" s="1737"/>
      <c r="AL399" s="79">
        <f t="shared" si="68"/>
        <v>0</v>
      </c>
      <c r="AM399" s="137">
        <f t="shared" si="69"/>
        <v>0</v>
      </c>
      <c r="AN399" s="251"/>
      <c r="AO399" s="1736"/>
      <c r="AP399" s="1737"/>
    </row>
    <row r="400" spans="1:42" s="85" customFormat="1" ht="13.5" thickBot="1">
      <c r="A400" s="240"/>
      <c r="B400" s="241"/>
      <c r="C400" s="242"/>
      <c r="D400" s="242"/>
      <c r="E400" s="243"/>
      <c r="F400" s="244"/>
      <c r="G400" s="244"/>
      <c r="H400" s="243"/>
      <c r="I400" s="258"/>
      <c r="J400" s="245"/>
      <c r="K400" s="245"/>
      <c r="L400" s="76">
        <f t="shared" si="60"/>
        <v>0</v>
      </c>
      <c r="M400" s="246"/>
      <c r="N400" s="247"/>
      <c r="O400" s="248"/>
      <c r="P400" s="246"/>
      <c r="Q400" s="249"/>
      <c r="R400" s="250"/>
      <c r="S400" s="259"/>
      <c r="T400" s="260"/>
      <c r="U400" s="250"/>
      <c r="V400" s="78">
        <f t="shared" si="61"/>
        <v>0</v>
      </c>
      <c r="W400" s="261">
        <f t="shared" si="62"/>
        <v>0</v>
      </c>
      <c r="X400" s="133">
        <f t="shared" si="63"/>
        <v>0</v>
      </c>
      <c r="Y400" s="251"/>
      <c r="Z400" s="1736"/>
      <c r="AA400" s="1737"/>
      <c r="AB400" s="77">
        <f t="shared" si="64"/>
        <v>0</v>
      </c>
      <c r="AC400" s="134">
        <f t="shared" si="65"/>
        <v>0</v>
      </c>
      <c r="AD400" s="251"/>
      <c r="AE400" s="1736"/>
      <c r="AF400" s="1737"/>
      <c r="AG400" s="77">
        <f t="shared" si="66"/>
        <v>0</v>
      </c>
      <c r="AH400" s="136">
        <f t="shared" si="67"/>
        <v>0</v>
      </c>
      <c r="AI400" s="251"/>
      <c r="AJ400" s="1736"/>
      <c r="AK400" s="1737"/>
      <c r="AL400" s="79">
        <f t="shared" si="68"/>
        <v>0</v>
      </c>
      <c r="AM400" s="137">
        <f t="shared" si="69"/>
        <v>0</v>
      </c>
      <c r="AN400" s="251"/>
      <c r="AO400" s="1736"/>
      <c r="AP400" s="1737"/>
    </row>
    <row r="401" spans="1:42" s="85" customFormat="1" ht="13.5" thickBot="1">
      <c r="A401" s="240"/>
      <c r="B401" s="241"/>
      <c r="C401" s="242"/>
      <c r="D401" s="242"/>
      <c r="E401" s="243"/>
      <c r="F401" s="244"/>
      <c r="G401" s="244"/>
      <c r="H401" s="243"/>
      <c r="I401" s="258"/>
      <c r="J401" s="245"/>
      <c r="K401" s="245"/>
      <c r="L401" s="76">
        <f t="shared" si="60"/>
        <v>0</v>
      </c>
      <c r="M401" s="246"/>
      <c r="N401" s="247"/>
      <c r="O401" s="248"/>
      <c r="P401" s="246"/>
      <c r="Q401" s="249"/>
      <c r="R401" s="250"/>
      <c r="S401" s="259"/>
      <c r="T401" s="260"/>
      <c r="U401" s="250"/>
      <c r="V401" s="78">
        <f t="shared" si="61"/>
        <v>0</v>
      </c>
      <c r="W401" s="261">
        <f t="shared" si="62"/>
        <v>0</v>
      </c>
      <c r="X401" s="133">
        <f t="shared" si="63"/>
        <v>0</v>
      </c>
      <c r="Y401" s="251"/>
      <c r="Z401" s="1736"/>
      <c r="AA401" s="1737"/>
      <c r="AB401" s="77">
        <f t="shared" si="64"/>
        <v>0</v>
      </c>
      <c r="AC401" s="134">
        <f t="shared" si="65"/>
        <v>0</v>
      </c>
      <c r="AD401" s="251"/>
      <c r="AE401" s="1736"/>
      <c r="AF401" s="1737"/>
      <c r="AG401" s="77">
        <f t="shared" si="66"/>
        <v>0</v>
      </c>
      <c r="AH401" s="136">
        <f t="shared" si="67"/>
        <v>0</v>
      </c>
      <c r="AI401" s="251"/>
      <c r="AJ401" s="1736"/>
      <c r="AK401" s="1737"/>
      <c r="AL401" s="79">
        <f t="shared" si="68"/>
        <v>0</v>
      </c>
      <c r="AM401" s="137">
        <f t="shared" si="69"/>
        <v>0</v>
      </c>
      <c r="AN401" s="251"/>
      <c r="AO401" s="1736"/>
      <c r="AP401" s="1737"/>
    </row>
    <row r="402" spans="1:42" s="85" customFormat="1" ht="13.5" thickBot="1">
      <c r="A402" s="240"/>
      <c r="B402" s="241"/>
      <c r="C402" s="242"/>
      <c r="D402" s="242"/>
      <c r="E402" s="243"/>
      <c r="F402" s="244"/>
      <c r="G402" s="244"/>
      <c r="H402" s="243"/>
      <c r="I402" s="258"/>
      <c r="J402" s="245"/>
      <c r="K402" s="245"/>
      <c r="L402" s="76">
        <f t="shared" si="60"/>
        <v>0</v>
      </c>
      <c r="M402" s="246"/>
      <c r="N402" s="247"/>
      <c r="O402" s="248"/>
      <c r="P402" s="246"/>
      <c r="Q402" s="249"/>
      <c r="R402" s="250"/>
      <c r="S402" s="259"/>
      <c r="T402" s="260"/>
      <c r="U402" s="250"/>
      <c r="V402" s="78">
        <f t="shared" si="61"/>
        <v>0</v>
      </c>
      <c r="W402" s="261">
        <f t="shared" si="62"/>
        <v>0</v>
      </c>
      <c r="X402" s="133">
        <f t="shared" si="63"/>
        <v>0</v>
      </c>
      <c r="Y402" s="251"/>
      <c r="Z402" s="1736"/>
      <c r="AA402" s="1737"/>
      <c r="AB402" s="77">
        <f t="shared" si="64"/>
        <v>0</v>
      </c>
      <c r="AC402" s="134">
        <f t="shared" si="65"/>
        <v>0</v>
      </c>
      <c r="AD402" s="251"/>
      <c r="AE402" s="1736"/>
      <c r="AF402" s="1737"/>
      <c r="AG402" s="77">
        <f t="shared" si="66"/>
        <v>0</v>
      </c>
      <c r="AH402" s="136">
        <f t="shared" si="67"/>
        <v>0</v>
      </c>
      <c r="AI402" s="251"/>
      <c r="AJ402" s="1736"/>
      <c r="AK402" s="1737"/>
      <c r="AL402" s="79">
        <f t="shared" si="68"/>
        <v>0</v>
      </c>
      <c r="AM402" s="137">
        <f t="shared" si="69"/>
        <v>0</v>
      </c>
      <c r="AN402" s="251"/>
      <c r="AO402" s="1736"/>
      <c r="AP402" s="1737"/>
    </row>
    <row r="403" spans="1:42" s="85" customFormat="1" ht="13.5" thickBot="1">
      <c r="A403" s="240"/>
      <c r="B403" s="241"/>
      <c r="C403" s="242"/>
      <c r="D403" s="242"/>
      <c r="E403" s="243"/>
      <c r="F403" s="244"/>
      <c r="G403" s="244"/>
      <c r="H403" s="243"/>
      <c r="I403" s="258"/>
      <c r="J403" s="245"/>
      <c r="K403" s="245"/>
      <c r="L403" s="76">
        <f t="shared" si="60"/>
        <v>0</v>
      </c>
      <c r="M403" s="246"/>
      <c r="N403" s="247"/>
      <c r="O403" s="248"/>
      <c r="P403" s="246"/>
      <c r="Q403" s="249"/>
      <c r="R403" s="250"/>
      <c r="S403" s="259"/>
      <c r="T403" s="260"/>
      <c r="U403" s="250"/>
      <c r="V403" s="78">
        <f t="shared" si="61"/>
        <v>0</v>
      </c>
      <c r="W403" s="261">
        <f t="shared" si="62"/>
        <v>0</v>
      </c>
      <c r="X403" s="133">
        <f t="shared" si="63"/>
        <v>0</v>
      </c>
      <c r="Y403" s="251"/>
      <c r="Z403" s="1736"/>
      <c r="AA403" s="1737"/>
      <c r="AB403" s="77">
        <f t="shared" si="64"/>
        <v>0</v>
      </c>
      <c r="AC403" s="134">
        <f t="shared" si="65"/>
        <v>0</v>
      </c>
      <c r="AD403" s="251"/>
      <c r="AE403" s="1736"/>
      <c r="AF403" s="1737"/>
      <c r="AG403" s="77">
        <f t="shared" si="66"/>
        <v>0</v>
      </c>
      <c r="AH403" s="136">
        <f t="shared" si="67"/>
        <v>0</v>
      </c>
      <c r="AI403" s="251"/>
      <c r="AJ403" s="1736"/>
      <c r="AK403" s="1737"/>
      <c r="AL403" s="79">
        <f t="shared" si="68"/>
        <v>0</v>
      </c>
      <c r="AM403" s="137">
        <f t="shared" si="69"/>
        <v>0</v>
      </c>
      <c r="AN403" s="251"/>
      <c r="AO403" s="1736"/>
      <c r="AP403" s="1737"/>
    </row>
    <row r="404" spans="1:42" s="85" customFormat="1" ht="13.5" thickBot="1">
      <c r="A404" s="240"/>
      <c r="B404" s="241"/>
      <c r="C404" s="242"/>
      <c r="D404" s="242"/>
      <c r="E404" s="243"/>
      <c r="F404" s="244"/>
      <c r="G404" s="244"/>
      <c r="H404" s="243"/>
      <c r="I404" s="258"/>
      <c r="J404" s="245"/>
      <c r="K404" s="245"/>
      <c r="L404" s="76">
        <f t="shared" si="60"/>
        <v>0</v>
      </c>
      <c r="M404" s="246"/>
      <c r="N404" s="247"/>
      <c r="O404" s="248"/>
      <c r="P404" s="246"/>
      <c r="Q404" s="249"/>
      <c r="R404" s="250"/>
      <c r="S404" s="259"/>
      <c r="T404" s="260"/>
      <c r="U404" s="250"/>
      <c r="V404" s="78">
        <f t="shared" si="61"/>
        <v>0</v>
      </c>
      <c r="W404" s="261">
        <f t="shared" si="62"/>
        <v>0</v>
      </c>
      <c r="X404" s="133">
        <f t="shared" si="63"/>
        <v>0</v>
      </c>
      <c r="Y404" s="251"/>
      <c r="Z404" s="1736"/>
      <c r="AA404" s="1737"/>
      <c r="AB404" s="77">
        <f t="shared" si="64"/>
        <v>0</v>
      </c>
      <c r="AC404" s="134">
        <f t="shared" si="65"/>
        <v>0</v>
      </c>
      <c r="AD404" s="251"/>
      <c r="AE404" s="1736"/>
      <c r="AF404" s="1737"/>
      <c r="AG404" s="77">
        <f t="shared" si="66"/>
        <v>0</v>
      </c>
      <c r="AH404" s="136">
        <f t="shared" si="67"/>
        <v>0</v>
      </c>
      <c r="AI404" s="251"/>
      <c r="AJ404" s="1736"/>
      <c r="AK404" s="1737"/>
      <c r="AL404" s="79">
        <f t="shared" si="68"/>
        <v>0</v>
      </c>
      <c r="AM404" s="137">
        <f t="shared" si="69"/>
        <v>0</v>
      </c>
      <c r="AN404" s="251"/>
      <c r="AO404" s="1736"/>
      <c r="AP404" s="1737"/>
    </row>
    <row r="405" spans="1:42" s="85" customFormat="1" ht="13.5" thickBot="1">
      <c r="A405" s="240"/>
      <c r="B405" s="241"/>
      <c r="C405" s="242"/>
      <c r="D405" s="242"/>
      <c r="E405" s="243"/>
      <c r="F405" s="244"/>
      <c r="G405" s="244"/>
      <c r="H405" s="243"/>
      <c r="I405" s="258"/>
      <c r="J405" s="245"/>
      <c r="K405" s="245"/>
      <c r="L405" s="76">
        <f t="shared" si="60"/>
        <v>0</v>
      </c>
      <c r="M405" s="246"/>
      <c r="N405" s="247"/>
      <c r="O405" s="248"/>
      <c r="P405" s="246"/>
      <c r="Q405" s="249"/>
      <c r="R405" s="250"/>
      <c r="S405" s="259"/>
      <c r="T405" s="260"/>
      <c r="U405" s="250"/>
      <c r="V405" s="78">
        <f t="shared" si="61"/>
        <v>0</v>
      </c>
      <c r="W405" s="261">
        <f t="shared" si="62"/>
        <v>0</v>
      </c>
      <c r="X405" s="133">
        <f t="shared" si="63"/>
        <v>0</v>
      </c>
      <c r="Y405" s="251"/>
      <c r="Z405" s="1736"/>
      <c r="AA405" s="1737"/>
      <c r="AB405" s="77">
        <f t="shared" si="64"/>
        <v>0</v>
      </c>
      <c r="AC405" s="134">
        <f t="shared" si="65"/>
        <v>0</v>
      </c>
      <c r="AD405" s="251"/>
      <c r="AE405" s="1736"/>
      <c r="AF405" s="1737"/>
      <c r="AG405" s="77">
        <f t="shared" si="66"/>
        <v>0</v>
      </c>
      <c r="AH405" s="136">
        <f t="shared" si="67"/>
        <v>0</v>
      </c>
      <c r="AI405" s="251"/>
      <c r="AJ405" s="1736"/>
      <c r="AK405" s="1737"/>
      <c r="AL405" s="79">
        <f t="shared" si="68"/>
        <v>0</v>
      </c>
      <c r="AM405" s="137">
        <f t="shared" si="69"/>
        <v>0</v>
      </c>
      <c r="AN405" s="251"/>
      <c r="AO405" s="1736"/>
      <c r="AP405" s="1737"/>
    </row>
    <row r="406" spans="1:42" s="85" customFormat="1" ht="13.5" thickBot="1">
      <c r="A406" s="240"/>
      <c r="B406" s="241"/>
      <c r="C406" s="242"/>
      <c r="D406" s="242"/>
      <c r="E406" s="243"/>
      <c r="F406" s="244"/>
      <c r="G406" s="244"/>
      <c r="H406" s="243"/>
      <c r="I406" s="258"/>
      <c r="J406" s="245"/>
      <c r="K406" s="245"/>
      <c r="L406" s="76">
        <f t="shared" si="60"/>
        <v>0</v>
      </c>
      <c r="M406" s="246"/>
      <c r="N406" s="247"/>
      <c r="O406" s="248"/>
      <c r="P406" s="246"/>
      <c r="Q406" s="249"/>
      <c r="R406" s="250"/>
      <c r="S406" s="259"/>
      <c r="T406" s="260"/>
      <c r="U406" s="250"/>
      <c r="V406" s="78">
        <f t="shared" si="61"/>
        <v>0</v>
      </c>
      <c r="W406" s="261">
        <f t="shared" si="62"/>
        <v>0</v>
      </c>
      <c r="X406" s="133">
        <f t="shared" si="63"/>
        <v>0</v>
      </c>
      <c r="Y406" s="251"/>
      <c r="Z406" s="1736"/>
      <c r="AA406" s="1737"/>
      <c r="AB406" s="77">
        <f t="shared" si="64"/>
        <v>0</v>
      </c>
      <c r="AC406" s="134">
        <f t="shared" si="65"/>
        <v>0</v>
      </c>
      <c r="AD406" s="251"/>
      <c r="AE406" s="1736"/>
      <c r="AF406" s="1737"/>
      <c r="AG406" s="77">
        <f t="shared" si="66"/>
        <v>0</v>
      </c>
      <c r="AH406" s="136">
        <f t="shared" si="67"/>
        <v>0</v>
      </c>
      <c r="AI406" s="251"/>
      <c r="AJ406" s="1736"/>
      <c r="AK406" s="1737"/>
      <c r="AL406" s="79">
        <f t="shared" si="68"/>
        <v>0</v>
      </c>
      <c r="AM406" s="137">
        <f t="shared" si="69"/>
        <v>0</v>
      </c>
      <c r="AN406" s="251"/>
      <c r="AO406" s="1736"/>
      <c r="AP406" s="1737"/>
    </row>
    <row r="407" spans="1:42" s="85" customFormat="1" ht="13.5" thickBot="1">
      <c r="A407" s="240"/>
      <c r="B407" s="241"/>
      <c r="C407" s="242"/>
      <c r="D407" s="242"/>
      <c r="E407" s="243"/>
      <c r="F407" s="244"/>
      <c r="G407" s="244"/>
      <c r="H407" s="243"/>
      <c r="I407" s="258"/>
      <c r="J407" s="245"/>
      <c r="K407" s="245"/>
      <c r="L407" s="76">
        <f t="shared" si="60"/>
        <v>0</v>
      </c>
      <c r="M407" s="246"/>
      <c r="N407" s="247"/>
      <c r="O407" s="248"/>
      <c r="P407" s="246"/>
      <c r="Q407" s="249"/>
      <c r="R407" s="250"/>
      <c r="S407" s="259"/>
      <c r="T407" s="260"/>
      <c r="U407" s="250"/>
      <c r="V407" s="78">
        <f t="shared" si="61"/>
        <v>0</v>
      </c>
      <c r="W407" s="261">
        <f t="shared" si="62"/>
        <v>0</v>
      </c>
      <c r="X407" s="133">
        <f t="shared" si="63"/>
        <v>0</v>
      </c>
      <c r="Y407" s="251"/>
      <c r="Z407" s="1736"/>
      <c r="AA407" s="1737"/>
      <c r="AB407" s="77">
        <f t="shared" si="64"/>
        <v>0</v>
      </c>
      <c r="AC407" s="134">
        <f t="shared" si="65"/>
        <v>0</v>
      </c>
      <c r="AD407" s="251"/>
      <c r="AE407" s="1736"/>
      <c r="AF407" s="1737"/>
      <c r="AG407" s="77">
        <f t="shared" si="66"/>
        <v>0</v>
      </c>
      <c r="AH407" s="136">
        <f t="shared" si="67"/>
        <v>0</v>
      </c>
      <c r="AI407" s="251"/>
      <c r="AJ407" s="1736"/>
      <c r="AK407" s="1737"/>
      <c r="AL407" s="79">
        <f t="shared" si="68"/>
        <v>0</v>
      </c>
      <c r="AM407" s="137">
        <f t="shared" si="69"/>
        <v>0</v>
      </c>
      <c r="AN407" s="251"/>
      <c r="AO407" s="1736"/>
      <c r="AP407" s="1737"/>
    </row>
    <row r="408" spans="1:42" s="85" customFormat="1" ht="13.5" thickBot="1">
      <c r="A408" s="240"/>
      <c r="B408" s="241"/>
      <c r="C408" s="242"/>
      <c r="D408" s="242"/>
      <c r="E408" s="243"/>
      <c r="F408" s="244"/>
      <c r="G408" s="244"/>
      <c r="H408" s="243"/>
      <c r="I408" s="258"/>
      <c r="J408" s="245"/>
      <c r="K408" s="245"/>
      <c r="L408" s="76">
        <f t="shared" si="60"/>
        <v>0</v>
      </c>
      <c r="M408" s="246"/>
      <c r="N408" s="247"/>
      <c r="O408" s="248"/>
      <c r="P408" s="246"/>
      <c r="Q408" s="249"/>
      <c r="R408" s="250"/>
      <c r="S408" s="259"/>
      <c r="T408" s="260"/>
      <c r="U408" s="250"/>
      <c r="V408" s="78">
        <f t="shared" si="61"/>
        <v>0</v>
      </c>
      <c r="W408" s="261">
        <f t="shared" si="62"/>
        <v>0</v>
      </c>
      <c r="X408" s="133">
        <f t="shared" si="63"/>
        <v>0</v>
      </c>
      <c r="Y408" s="251"/>
      <c r="Z408" s="1736"/>
      <c r="AA408" s="1737"/>
      <c r="AB408" s="77">
        <f t="shared" si="64"/>
        <v>0</v>
      </c>
      <c r="AC408" s="134">
        <f t="shared" si="65"/>
        <v>0</v>
      </c>
      <c r="AD408" s="251"/>
      <c r="AE408" s="1736"/>
      <c r="AF408" s="1737"/>
      <c r="AG408" s="77">
        <f t="shared" si="66"/>
        <v>0</v>
      </c>
      <c r="AH408" s="136">
        <f t="shared" si="67"/>
        <v>0</v>
      </c>
      <c r="AI408" s="251"/>
      <c r="AJ408" s="1736"/>
      <c r="AK408" s="1737"/>
      <c r="AL408" s="79">
        <f t="shared" si="68"/>
        <v>0</v>
      </c>
      <c r="AM408" s="137">
        <f t="shared" si="69"/>
        <v>0</v>
      </c>
      <c r="AN408" s="251"/>
      <c r="AO408" s="1736"/>
      <c r="AP408" s="1737"/>
    </row>
    <row r="409" spans="1:42" s="85" customFormat="1" ht="13.5" thickBot="1">
      <c r="A409" s="240"/>
      <c r="B409" s="241"/>
      <c r="C409" s="242"/>
      <c r="D409" s="242"/>
      <c r="E409" s="243"/>
      <c r="F409" s="244"/>
      <c r="G409" s="244"/>
      <c r="H409" s="243"/>
      <c r="I409" s="258"/>
      <c r="J409" s="245"/>
      <c r="K409" s="245"/>
      <c r="L409" s="76">
        <f t="shared" si="60"/>
        <v>0</v>
      </c>
      <c r="M409" s="246"/>
      <c r="N409" s="247"/>
      <c r="O409" s="248"/>
      <c r="P409" s="246"/>
      <c r="Q409" s="249"/>
      <c r="R409" s="250"/>
      <c r="S409" s="259"/>
      <c r="T409" s="260"/>
      <c r="U409" s="250"/>
      <c r="V409" s="78">
        <f t="shared" si="61"/>
        <v>0</v>
      </c>
      <c r="W409" s="261">
        <f t="shared" si="62"/>
        <v>0</v>
      </c>
      <c r="X409" s="133">
        <f t="shared" si="63"/>
        <v>0</v>
      </c>
      <c r="Y409" s="251"/>
      <c r="Z409" s="1736"/>
      <c r="AA409" s="1737"/>
      <c r="AB409" s="77">
        <f t="shared" si="64"/>
        <v>0</v>
      </c>
      <c r="AC409" s="134">
        <f t="shared" si="65"/>
        <v>0</v>
      </c>
      <c r="AD409" s="251"/>
      <c r="AE409" s="1736"/>
      <c r="AF409" s="1737"/>
      <c r="AG409" s="77">
        <f t="shared" si="66"/>
        <v>0</v>
      </c>
      <c r="AH409" s="136">
        <f t="shared" si="67"/>
        <v>0</v>
      </c>
      <c r="AI409" s="251"/>
      <c r="AJ409" s="1736"/>
      <c r="AK409" s="1737"/>
      <c r="AL409" s="79">
        <f t="shared" si="68"/>
        <v>0</v>
      </c>
      <c r="AM409" s="137">
        <f t="shared" si="69"/>
        <v>0</v>
      </c>
      <c r="AN409" s="251"/>
      <c r="AO409" s="1736"/>
      <c r="AP409" s="1737"/>
    </row>
    <row r="410" spans="1:42" s="85" customFormat="1" ht="13.5" thickBot="1">
      <c r="A410" s="240"/>
      <c r="B410" s="241"/>
      <c r="C410" s="242"/>
      <c r="D410" s="242"/>
      <c r="E410" s="243"/>
      <c r="F410" s="244"/>
      <c r="G410" s="244"/>
      <c r="H410" s="243"/>
      <c r="I410" s="258"/>
      <c r="J410" s="245"/>
      <c r="K410" s="245"/>
      <c r="L410" s="76">
        <f t="shared" si="60"/>
        <v>0</v>
      </c>
      <c r="M410" s="246"/>
      <c r="N410" s="247"/>
      <c r="O410" s="248"/>
      <c r="P410" s="246"/>
      <c r="Q410" s="249"/>
      <c r="R410" s="250"/>
      <c r="S410" s="259"/>
      <c r="T410" s="260"/>
      <c r="U410" s="250"/>
      <c r="V410" s="78">
        <f t="shared" si="61"/>
        <v>0</v>
      </c>
      <c r="W410" s="261">
        <f t="shared" si="62"/>
        <v>0</v>
      </c>
      <c r="X410" s="133">
        <f t="shared" si="63"/>
        <v>0</v>
      </c>
      <c r="Y410" s="251"/>
      <c r="Z410" s="1736"/>
      <c r="AA410" s="1737"/>
      <c r="AB410" s="77">
        <f t="shared" si="64"/>
        <v>0</v>
      </c>
      <c r="AC410" s="134">
        <f t="shared" si="65"/>
        <v>0</v>
      </c>
      <c r="AD410" s="251"/>
      <c r="AE410" s="1736"/>
      <c r="AF410" s="1737"/>
      <c r="AG410" s="77">
        <f t="shared" si="66"/>
        <v>0</v>
      </c>
      <c r="AH410" s="136">
        <f t="shared" si="67"/>
        <v>0</v>
      </c>
      <c r="AI410" s="251"/>
      <c r="AJ410" s="1736"/>
      <c r="AK410" s="1737"/>
      <c r="AL410" s="79">
        <f t="shared" si="68"/>
        <v>0</v>
      </c>
      <c r="AM410" s="137">
        <f t="shared" si="69"/>
        <v>0</v>
      </c>
      <c r="AN410" s="251"/>
      <c r="AO410" s="1736"/>
      <c r="AP410" s="1737"/>
    </row>
    <row r="411" spans="1:42" s="85" customFormat="1" ht="13.5" thickBot="1">
      <c r="A411" s="240"/>
      <c r="B411" s="241"/>
      <c r="C411" s="242"/>
      <c r="D411" s="242"/>
      <c r="E411" s="243"/>
      <c r="F411" s="244"/>
      <c r="G411" s="244"/>
      <c r="H411" s="243"/>
      <c r="I411" s="258"/>
      <c r="J411" s="245"/>
      <c r="K411" s="245"/>
      <c r="L411" s="76">
        <f t="shared" si="60"/>
        <v>0</v>
      </c>
      <c r="M411" s="246"/>
      <c r="N411" s="247"/>
      <c r="O411" s="248"/>
      <c r="P411" s="246"/>
      <c r="Q411" s="249"/>
      <c r="R411" s="250"/>
      <c r="S411" s="259"/>
      <c r="T411" s="260"/>
      <c r="U411" s="250"/>
      <c r="V411" s="78">
        <f t="shared" si="61"/>
        <v>0</v>
      </c>
      <c r="W411" s="261">
        <f t="shared" si="62"/>
        <v>0</v>
      </c>
      <c r="X411" s="133">
        <f t="shared" si="63"/>
        <v>0</v>
      </c>
      <c r="Y411" s="251"/>
      <c r="Z411" s="1736"/>
      <c r="AA411" s="1737"/>
      <c r="AB411" s="77">
        <f t="shared" si="64"/>
        <v>0</v>
      </c>
      <c r="AC411" s="134">
        <f t="shared" si="65"/>
        <v>0</v>
      </c>
      <c r="AD411" s="251"/>
      <c r="AE411" s="1736"/>
      <c r="AF411" s="1737"/>
      <c r="AG411" s="77">
        <f t="shared" si="66"/>
        <v>0</v>
      </c>
      <c r="AH411" s="136">
        <f t="shared" si="67"/>
        <v>0</v>
      </c>
      <c r="AI411" s="251"/>
      <c r="AJ411" s="1736"/>
      <c r="AK411" s="1737"/>
      <c r="AL411" s="79">
        <f t="shared" si="68"/>
        <v>0</v>
      </c>
      <c r="AM411" s="137">
        <f t="shared" si="69"/>
        <v>0</v>
      </c>
      <c r="AN411" s="251"/>
      <c r="AO411" s="1736"/>
      <c r="AP411" s="1737"/>
    </row>
    <row r="412" spans="1:42" s="85" customFormat="1" ht="13.5" thickBot="1">
      <c r="A412" s="240"/>
      <c r="B412" s="241"/>
      <c r="C412" s="242"/>
      <c r="D412" s="242"/>
      <c r="E412" s="243"/>
      <c r="F412" s="244"/>
      <c r="G412" s="244"/>
      <c r="H412" s="243"/>
      <c r="I412" s="258"/>
      <c r="J412" s="245"/>
      <c r="K412" s="245"/>
      <c r="L412" s="76">
        <f t="shared" si="60"/>
        <v>0</v>
      </c>
      <c r="M412" s="246"/>
      <c r="N412" s="247"/>
      <c r="O412" s="248"/>
      <c r="P412" s="246"/>
      <c r="Q412" s="249"/>
      <c r="R412" s="250"/>
      <c r="S412" s="259"/>
      <c r="T412" s="260"/>
      <c r="U412" s="250"/>
      <c r="V412" s="78">
        <f t="shared" si="61"/>
        <v>0</v>
      </c>
      <c r="W412" s="261">
        <f t="shared" si="62"/>
        <v>0</v>
      </c>
      <c r="X412" s="133">
        <f t="shared" si="63"/>
        <v>0</v>
      </c>
      <c r="Y412" s="251"/>
      <c r="Z412" s="1736"/>
      <c r="AA412" s="1737"/>
      <c r="AB412" s="77">
        <f t="shared" si="64"/>
        <v>0</v>
      </c>
      <c r="AC412" s="134">
        <f t="shared" si="65"/>
        <v>0</v>
      </c>
      <c r="AD412" s="251"/>
      <c r="AE412" s="1736"/>
      <c r="AF412" s="1737"/>
      <c r="AG412" s="77">
        <f t="shared" si="66"/>
        <v>0</v>
      </c>
      <c r="AH412" s="136">
        <f t="shared" si="67"/>
        <v>0</v>
      </c>
      <c r="AI412" s="251"/>
      <c r="AJ412" s="1736"/>
      <c r="AK412" s="1737"/>
      <c r="AL412" s="79">
        <f t="shared" si="68"/>
        <v>0</v>
      </c>
      <c r="AM412" s="137">
        <f t="shared" si="69"/>
        <v>0</v>
      </c>
      <c r="AN412" s="251"/>
      <c r="AO412" s="1736"/>
      <c r="AP412" s="1737"/>
    </row>
    <row r="413" spans="1:42" s="85" customFormat="1" ht="13.5" thickBot="1">
      <c r="A413" s="240"/>
      <c r="B413" s="241"/>
      <c r="C413" s="242"/>
      <c r="D413" s="242"/>
      <c r="E413" s="243"/>
      <c r="F413" s="244"/>
      <c r="G413" s="244"/>
      <c r="H413" s="243"/>
      <c r="I413" s="258"/>
      <c r="J413" s="245"/>
      <c r="K413" s="245"/>
      <c r="L413" s="76">
        <f t="shared" si="60"/>
        <v>0</v>
      </c>
      <c r="M413" s="246"/>
      <c r="N413" s="247"/>
      <c r="O413" s="248"/>
      <c r="P413" s="246"/>
      <c r="Q413" s="249"/>
      <c r="R413" s="250"/>
      <c r="S413" s="259"/>
      <c r="T413" s="260"/>
      <c r="U413" s="250"/>
      <c r="V413" s="78">
        <f t="shared" si="61"/>
        <v>0</v>
      </c>
      <c r="W413" s="261">
        <f t="shared" si="62"/>
        <v>0</v>
      </c>
      <c r="X413" s="133">
        <f t="shared" si="63"/>
        <v>0</v>
      </c>
      <c r="Y413" s="251"/>
      <c r="Z413" s="1736"/>
      <c r="AA413" s="1737"/>
      <c r="AB413" s="77">
        <f t="shared" si="64"/>
        <v>0</v>
      </c>
      <c r="AC413" s="134">
        <f t="shared" si="65"/>
        <v>0</v>
      </c>
      <c r="AD413" s="251"/>
      <c r="AE413" s="1736"/>
      <c r="AF413" s="1737"/>
      <c r="AG413" s="77">
        <f t="shared" si="66"/>
        <v>0</v>
      </c>
      <c r="AH413" s="136">
        <f t="shared" si="67"/>
        <v>0</v>
      </c>
      <c r="AI413" s="251"/>
      <c r="AJ413" s="1736"/>
      <c r="AK413" s="1737"/>
      <c r="AL413" s="79">
        <f t="shared" si="68"/>
        <v>0</v>
      </c>
      <c r="AM413" s="137">
        <f t="shared" si="69"/>
        <v>0</v>
      </c>
      <c r="AN413" s="251"/>
      <c r="AO413" s="1736"/>
      <c r="AP413" s="1737"/>
    </row>
    <row r="414" spans="1:42" s="85" customFormat="1" ht="13.5" thickBot="1">
      <c r="A414" s="240"/>
      <c r="B414" s="241"/>
      <c r="C414" s="242"/>
      <c r="D414" s="242"/>
      <c r="E414" s="243"/>
      <c r="F414" s="244"/>
      <c r="G414" s="244"/>
      <c r="H414" s="243"/>
      <c r="I414" s="258"/>
      <c r="J414" s="245"/>
      <c r="K414" s="245"/>
      <c r="L414" s="76">
        <f t="shared" si="60"/>
        <v>0</v>
      </c>
      <c r="M414" s="246"/>
      <c r="N414" s="247"/>
      <c r="O414" s="248"/>
      <c r="P414" s="246"/>
      <c r="Q414" s="249"/>
      <c r="R414" s="250"/>
      <c r="S414" s="259"/>
      <c r="T414" s="260"/>
      <c r="U414" s="250"/>
      <c r="V414" s="78">
        <f t="shared" si="61"/>
        <v>0</v>
      </c>
      <c r="W414" s="261">
        <f t="shared" si="62"/>
        <v>0</v>
      </c>
      <c r="X414" s="133">
        <f t="shared" si="63"/>
        <v>0</v>
      </c>
      <c r="Y414" s="251"/>
      <c r="Z414" s="1736"/>
      <c r="AA414" s="1737"/>
      <c r="AB414" s="77">
        <f t="shared" si="64"/>
        <v>0</v>
      </c>
      <c r="AC414" s="134">
        <f t="shared" si="65"/>
        <v>0</v>
      </c>
      <c r="AD414" s="251"/>
      <c r="AE414" s="1736"/>
      <c r="AF414" s="1737"/>
      <c r="AG414" s="77">
        <f t="shared" si="66"/>
        <v>0</v>
      </c>
      <c r="AH414" s="136">
        <f t="shared" si="67"/>
        <v>0</v>
      </c>
      <c r="AI414" s="251"/>
      <c r="AJ414" s="1736"/>
      <c r="AK414" s="1737"/>
      <c r="AL414" s="79">
        <f t="shared" si="68"/>
        <v>0</v>
      </c>
      <c r="AM414" s="137">
        <f t="shared" si="69"/>
        <v>0</v>
      </c>
      <c r="AN414" s="251"/>
      <c r="AO414" s="1736"/>
      <c r="AP414" s="1737"/>
    </row>
    <row r="415" spans="1:42" s="85" customFormat="1" ht="13.5" thickBot="1">
      <c r="A415" s="240"/>
      <c r="B415" s="241"/>
      <c r="C415" s="242"/>
      <c r="D415" s="242"/>
      <c r="E415" s="243"/>
      <c r="F415" s="244"/>
      <c r="G415" s="244"/>
      <c r="H415" s="243"/>
      <c r="I415" s="258"/>
      <c r="J415" s="245"/>
      <c r="K415" s="245"/>
      <c r="L415" s="76">
        <f t="shared" si="60"/>
        <v>0</v>
      </c>
      <c r="M415" s="246"/>
      <c r="N415" s="247"/>
      <c r="O415" s="248"/>
      <c r="P415" s="246"/>
      <c r="Q415" s="249"/>
      <c r="R415" s="250"/>
      <c r="S415" s="259"/>
      <c r="T415" s="260"/>
      <c r="U415" s="250"/>
      <c r="V415" s="78">
        <f t="shared" si="61"/>
        <v>0</v>
      </c>
      <c r="W415" s="261">
        <f t="shared" si="62"/>
        <v>0</v>
      </c>
      <c r="X415" s="133">
        <f t="shared" si="63"/>
        <v>0</v>
      </c>
      <c r="Y415" s="251"/>
      <c r="Z415" s="1736"/>
      <c r="AA415" s="1737"/>
      <c r="AB415" s="77">
        <f t="shared" si="64"/>
        <v>0</v>
      </c>
      <c r="AC415" s="134">
        <f t="shared" si="65"/>
        <v>0</v>
      </c>
      <c r="AD415" s="251"/>
      <c r="AE415" s="1736"/>
      <c r="AF415" s="1737"/>
      <c r="AG415" s="77">
        <f t="shared" si="66"/>
        <v>0</v>
      </c>
      <c r="AH415" s="136">
        <f t="shared" si="67"/>
        <v>0</v>
      </c>
      <c r="AI415" s="251"/>
      <c r="AJ415" s="1736"/>
      <c r="AK415" s="1737"/>
      <c r="AL415" s="79">
        <f t="shared" si="68"/>
        <v>0</v>
      </c>
      <c r="AM415" s="137">
        <f t="shared" si="69"/>
        <v>0</v>
      </c>
      <c r="AN415" s="251"/>
      <c r="AO415" s="1736"/>
      <c r="AP415" s="1737"/>
    </row>
    <row r="416" spans="1:42" s="85" customFormat="1" ht="13.5" thickBot="1">
      <c r="A416" s="240"/>
      <c r="B416" s="241"/>
      <c r="C416" s="242"/>
      <c r="D416" s="242"/>
      <c r="E416" s="243"/>
      <c r="F416" s="244"/>
      <c r="G416" s="244"/>
      <c r="H416" s="243"/>
      <c r="I416" s="258"/>
      <c r="J416" s="245"/>
      <c r="K416" s="245"/>
      <c r="L416" s="76">
        <f t="shared" si="60"/>
        <v>0</v>
      </c>
      <c r="M416" s="246"/>
      <c r="N416" s="247"/>
      <c r="O416" s="248"/>
      <c r="P416" s="246"/>
      <c r="Q416" s="249"/>
      <c r="R416" s="250"/>
      <c r="S416" s="259"/>
      <c r="T416" s="260"/>
      <c r="U416" s="250"/>
      <c r="V416" s="78">
        <f t="shared" si="61"/>
        <v>0</v>
      </c>
      <c r="W416" s="261">
        <f t="shared" si="62"/>
        <v>0</v>
      </c>
      <c r="X416" s="133">
        <f t="shared" si="63"/>
        <v>0</v>
      </c>
      <c r="Y416" s="251"/>
      <c r="Z416" s="1736"/>
      <c r="AA416" s="1737"/>
      <c r="AB416" s="77">
        <f t="shared" si="64"/>
        <v>0</v>
      </c>
      <c r="AC416" s="134">
        <f t="shared" si="65"/>
        <v>0</v>
      </c>
      <c r="AD416" s="251"/>
      <c r="AE416" s="1736"/>
      <c r="AF416" s="1737"/>
      <c r="AG416" s="77">
        <f t="shared" si="66"/>
        <v>0</v>
      </c>
      <c r="AH416" s="136">
        <f t="shared" si="67"/>
        <v>0</v>
      </c>
      <c r="AI416" s="251"/>
      <c r="AJ416" s="1736"/>
      <c r="AK416" s="1737"/>
      <c r="AL416" s="79">
        <f t="shared" si="68"/>
        <v>0</v>
      </c>
      <c r="AM416" s="137">
        <f t="shared" si="69"/>
        <v>0</v>
      </c>
      <c r="AN416" s="251"/>
      <c r="AO416" s="1736"/>
      <c r="AP416" s="1737"/>
    </row>
    <row r="417" spans="1:42" s="85" customFormat="1" ht="13.5" thickBot="1">
      <c r="A417" s="240"/>
      <c r="B417" s="241"/>
      <c r="C417" s="242"/>
      <c r="D417" s="242"/>
      <c r="E417" s="243"/>
      <c r="F417" s="244"/>
      <c r="G417" s="244"/>
      <c r="H417" s="243"/>
      <c r="I417" s="258"/>
      <c r="J417" s="245"/>
      <c r="K417" s="245"/>
      <c r="L417" s="76">
        <f t="shared" si="60"/>
        <v>0</v>
      </c>
      <c r="M417" s="246"/>
      <c r="N417" s="247"/>
      <c r="O417" s="248"/>
      <c r="P417" s="246"/>
      <c r="Q417" s="249"/>
      <c r="R417" s="250"/>
      <c r="S417" s="259"/>
      <c r="T417" s="260"/>
      <c r="U417" s="250"/>
      <c r="V417" s="78">
        <f t="shared" si="61"/>
        <v>0</v>
      </c>
      <c r="W417" s="261">
        <f t="shared" si="62"/>
        <v>0</v>
      </c>
      <c r="X417" s="133">
        <f t="shared" si="63"/>
        <v>0</v>
      </c>
      <c r="Y417" s="251"/>
      <c r="Z417" s="1736"/>
      <c r="AA417" s="1737"/>
      <c r="AB417" s="77">
        <f t="shared" si="64"/>
        <v>0</v>
      </c>
      <c r="AC417" s="134">
        <f t="shared" si="65"/>
        <v>0</v>
      </c>
      <c r="AD417" s="251"/>
      <c r="AE417" s="1736"/>
      <c r="AF417" s="1737"/>
      <c r="AG417" s="77">
        <f t="shared" si="66"/>
        <v>0</v>
      </c>
      <c r="AH417" s="136">
        <f t="shared" si="67"/>
        <v>0</v>
      </c>
      <c r="AI417" s="251"/>
      <c r="AJ417" s="1736"/>
      <c r="AK417" s="1737"/>
      <c r="AL417" s="79">
        <f t="shared" si="68"/>
        <v>0</v>
      </c>
      <c r="AM417" s="137">
        <f t="shared" si="69"/>
        <v>0</v>
      </c>
      <c r="AN417" s="251"/>
      <c r="AO417" s="1736"/>
      <c r="AP417" s="1737"/>
    </row>
    <row r="418" spans="1:42" s="85" customFormat="1" ht="13.5" thickBot="1">
      <c r="A418" s="240"/>
      <c r="B418" s="241"/>
      <c r="C418" s="242"/>
      <c r="D418" s="242"/>
      <c r="E418" s="243"/>
      <c r="F418" s="244"/>
      <c r="G418" s="244"/>
      <c r="H418" s="243"/>
      <c r="I418" s="258"/>
      <c r="J418" s="245"/>
      <c r="K418" s="245"/>
      <c r="L418" s="76">
        <f t="shared" si="60"/>
        <v>0</v>
      </c>
      <c r="M418" s="246"/>
      <c r="N418" s="247"/>
      <c r="O418" s="248"/>
      <c r="P418" s="246"/>
      <c r="Q418" s="249"/>
      <c r="R418" s="250"/>
      <c r="S418" s="259"/>
      <c r="T418" s="260"/>
      <c r="U418" s="250"/>
      <c r="V418" s="78">
        <f t="shared" si="61"/>
        <v>0</v>
      </c>
      <c r="W418" s="261">
        <f t="shared" si="62"/>
        <v>0</v>
      </c>
      <c r="X418" s="133">
        <f t="shared" si="63"/>
        <v>0</v>
      </c>
      <c r="Y418" s="251"/>
      <c r="Z418" s="1736"/>
      <c r="AA418" s="1737"/>
      <c r="AB418" s="77">
        <f t="shared" si="64"/>
        <v>0</v>
      </c>
      <c r="AC418" s="134">
        <f t="shared" si="65"/>
        <v>0</v>
      </c>
      <c r="AD418" s="251"/>
      <c r="AE418" s="1736"/>
      <c r="AF418" s="1737"/>
      <c r="AG418" s="77">
        <f t="shared" si="66"/>
        <v>0</v>
      </c>
      <c r="AH418" s="136">
        <f t="shared" si="67"/>
        <v>0</v>
      </c>
      <c r="AI418" s="251"/>
      <c r="AJ418" s="1736"/>
      <c r="AK418" s="1737"/>
      <c r="AL418" s="79">
        <f t="shared" si="68"/>
        <v>0</v>
      </c>
      <c r="AM418" s="137">
        <f t="shared" si="69"/>
        <v>0</v>
      </c>
      <c r="AN418" s="251"/>
      <c r="AO418" s="1736"/>
      <c r="AP418" s="1737"/>
    </row>
    <row r="419" spans="1:42" s="85" customFormat="1" ht="13.5" thickBot="1">
      <c r="A419" s="240"/>
      <c r="B419" s="241"/>
      <c r="C419" s="242"/>
      <c r="D419" s="242"/>
      <c r="E419" s="243"/>
      <c r="F419" s="244"/>
      <c r="G419" s="244"/>
      <c r="H419" s="243"/>
      <c r="I419" s="258"/>
      <c r="J419" s="245"/>
      <c r="K419" s="245"/>
      <c r="L419" s="76">
        <f t="shared" si="60"/>
        <v>0</v>
      </c>
      <c r="M419" s="246"/>
      <c r="N419" s="247"/>
      <c r="O419" s="248"/>
      <c r="P419" s="246"/>
      <c r="Q419" s="249"/>
      <c r="R419" s="250"/>
      <c r="S419" s="259"/>
      <c r="T419" s="260"/>
      <c r="U419" s="250"/>
      <c r="V419" s="78">
        <f t="shared" si="61"/>
        <v>0</v>
      </c>
      <c r="W419" s="261">
        <f t="shared" si="62"/>
        <v>0</v>
      </c>
      <c r="X419" s="133">
        <f t="shared" si="63"/>
        <v>0</v>
      </c>
      <c r="Y419" s="251"/>
      <c r="Z419" s="1736"/>
      <c r="AA419" s="1737"/>
      <c r="AB419" s="77">
        <f t="shared" si="64"/>
        <v>0</v>
      </c>
      <c r="AC419" s="134">
        <f t="shared" si="65"/>
        <v>0</v>
      </c>
      <c r="AD419" s="251"/>
      <c r="AE419" s="1736"/>
      <c r="AF419" s="1737"/>
      <c r="AG419" s="77">
        <f t="shared" si="66"/>
        <v>0</v>
      </c>
      <c r="AH419" s="136">
        <f t="shared" si="67"/>
        <v>0</v>
      </c>
      <c r="AI419" s="251"/>
      <c r="AJ419" s="1736"/>
      <c r="AK419" s="1737"/>
      <c r="AL419" s="79">
        <f t="shared" si="68"/>
        <v>0</v>
      </c>
      <c r="AM419" s="137">
        <f t="shared" si="69"/>
        <v>0</v>
      </c>
      <c r="AN419" s="251"/>
      <c r="AO419" s="1736"/>
      <c r="AP419" s="1737"/>
    </row>
    <row r="420" spans="1:42" s="85" customFormat="1" ht="13.5" thickBot="1">
      <c r="A420" s="240"/>
      <c r="B420" s="241"/>
      <c r="C420" s="242"/>
      <c r="D420" s="242"/>
      <c r="E420" s="243"/>
      <c r="F420" s="244"/>
      <c r="G420" s="244"/>
      <c r="H420" s="243"/>
      <c r="I420" s="258"/>
      <c r="J420" s="245"/>
      <c r="K420" s="245"/>
      <c r="L420" s="76">
        <f t="shared" si="60"/>
        <v>0</v>
      </c>
      <c r="M420" s="246"/>
      <c r="N420" s="247"/>
      <c r="O420" s="248"/>
      <c r="P420" s="246"/>
      <c r="Q420" s="249"/>
      <c r="R420" s="250"/>
      <c r="S420" s="259"/>
      <c r="T420" s="260"/>
      <c r="U420" s="250"/>
      <c r="V420" s="78">
        <f t="shared" si="61"/>
        <v>0</v>
      </c>
      <c r="W420" s="261">
        <f t="shared" si="62"/>
        <v>0</v>
      </c>
      <c r="X420" s="133">
        <f t="shared" si="63"/>
        <v>0</v>
      </c>
      <c r="Y420" s="251"/>
      <c r="Z420" s="1736"/>
      <c r="AA420" s="1737"/>
      <c r="AB420" s="77">
        <f t="shared" si="64"/>
        <v>0</v>
      </c>
      <c r="AC420" s="134">
        <f t="shared" si="65"/>
        <v>0</v>
      </c>
      <c r="AD420" s="251"/>
      <c r="AE420" s="1736"/>
      <c r="AF420" s="1737"/>
      <c r="AG420" s="77">
        <f t="shared" si="66"/>
        <v>0</v>
      </c>
      <c r="AH420" s="136">
        <f t="shared" si="67"/>
        <v>0</v>
      </c>
      <c r="AI420" s="251"/>
      <c r="AJ420" s="1736"/>
      <c r="AK420" s="1737"/>
      <c r="AL420" s="79">
        <f t="shared" si="68"/>
        <v>0</v>
      </c>
      <c r="AM420" s="137">
        <f t="shared" si="69"/>
        <v>0</v>
      </c>
      <c r="AN420" s="251"/>
      <c r="AO420" s="1736"/>
      <c r="AP420" s="1737"/>
    </row>
    <row r="421" spans="1:42" s="85" customFormat="1" ht="13.5" thickBot="1">
      <c r="A421" s="240"/>
      <c r="B421" s="241"/>
      <c r="C421" s="242"/>
      <c r="D421" s="242"/>
      <c r="E421" s="243"/>
      <c r="F421" s="244"/>
      <c r="G421" s="244"/>
      <c r="H421" s="243"/>
      <c r="I421" s="258"/>
      <c r="J421" s="245"/>
      <c r="K421" s="245"/>
      <c r="L421" s="76">
        <f t="shared" si="60"/>
        <v>0</v>
      </c>
      <c r="M421" s="246"/>
      <c r="N421" s="247"/>
      <c r="O421" s="248"/>
      <c r="P421" s="246"/>
      <c r="Q421" s="249"/>
      <c r="R421" s="250"/>
      <c r="S421" s="259"/>
      <c r="T421" s="260"/>
      <c r="U421" s="250"/>
      <c r="V421" s="78">
        <f t="shared" si="61"/>
        <v>0</v>
      </c>
      <c r="W421" s="261">
        <f t="shared" si="62"/>
        <v>0</v>
      </c>
      <c r="X421" s="133">
        <f t="shared" si="63"/>
        <v>0</v>
      </c>
      <c r="Y421" s="251"/>
      <c r="Z421" s="1736"/>
      <c r="AA421" s="1737"/>
      <c r="AB421" s="77">
        <f t="shared" si="64"/>
        <v>0</v>
      </c>
      <c r="AC421" s="134">
        <f t="shared" si="65"/>
        <v>0</v>
      </c>
      <c r="AD421" s="251"/>
      <c r="AE421" s="1736"/>
      <c r="AF421" s="1737"/>
      <c r="AG421" s="77">
        <f t="shared" si="66"/>
        <v>0</v>
      </c>
      <c r="AH421" s="136">
        <f t="shared" si="67"/>
        <v>0</v>
      </c>
      <c r="AI421" s="251"/>
      <c r="AJ421" s="1736"/>
      <c r="AK421" s="1737"/>
      <c r="AL421" s="79">
        <f t="shared" si="68"/>
        <v>0</v>
      </c>
      <c r="AM421" s="137">
        <f t="shared" si="69"/>
        <v>0</v>
      </c>
      <c r="AN421" s="251"/>
      <c r="AO421" s="1736"/>
      <c r="AP421" s="1737"/>
    </row>
    <row r="422" spans="1:42" s="85" customFormat="1" ht="13.5" thickBot="1">
      <c r="A422" s="240"/>
      <c r="B422" s="241"/>
      <c r="C422" s="242"/>
      <c r="D422" s="242"/>
      <c r="E422" s="243"/>
      <c r="F422" s="244"/>
      <c r="G422" s="244"/>
      <c r="H422" s="243"/>
      <c r="I422" s="258"/>
      <c r="J422" s="245"/>
      <c r="K422" s="245"/>
      <c r="L422" s="76">
        <f t="shared" si="60"/>
        <v>0</v>
      </c>
      <c r="M422" s="246"/>
      <c r="N422" s="247"/>
      <c r="O422" s="248"/>
      <c r="P422" s="246"/>
      <c r="Q422" s="249"/>
      <c r="R422" s="250"/>
      <c r="S422" s="259"/>
      <c r="T422" s="260"/>
      <c r="U422" s="250"/>
      <c r="V422" s="78">
        <f t="shared" si="61"/>
        <v>0</v>
      </c>
      <c r="W422" s="261">
        <f t="shared" si="62"/>
        <v>0</v>
      </c>
      <c r="X422" s="133">
        <f t="shared" si="63"/>
        <v>0</v>
      </c>
      <c r="Y422" s="251"/>
      <c r="Z422" s="1736"/>
      <c r="AA422" s="1737"/>
      <c r="AB422" s="77">
        <f t="shared" si="64"/>
        <v>0</v>
      </c>
      <c r="AC422" s="134">
        <f t="shared" si="65"/>
        <v>0</v>
      </c>
      <c r="AD422" s="251"/>
      <c r="AE422" s="1736"/>
      <c r="AF422" s="1737"/>
      <c r="AG422" s="77">
        <f t="shared" si="66"/>
        <v>0</v>
      </c>
      <c r="AH422" s="136">
        <f t="shared" si="67"/>
        <v>0</v>
      </c>
      <c r="AI422" s="251"/>
      <c r="AJ422" s="1736"/>
      <c r="AK422" s="1737"/>
      <c r="AL422" s="79">
        <f t="shared" si="68"/>
        <v>0</v>
      </c>
      <c r="AM422" s="137">
        <f t="shared" si="69"/>
        <v>0</v>
      </c>
      <c r="AN422" s="251"/>
      <c r="AO422" s="1736"/>
      <c r="AP422" s="1737"/>
    </row>
    <row r="423" spans="1:42" s="85" customFormat="1" ht="13.5" thickBot="1">
      <c r="A423" s="240"/>
      <c r="B423" s="241"/>
      <c r="C423" s="242"/>
      <c r="D423" s="242"/>
      <c r="E423" s="243"/>
      <c r="F423" s="244"/>
      <c r="G423" s="244"/>
      <c r="H423" s="243"/>
      <c r="I423" s="258"/>
      <c r="J423" s="245"/>
      <c r="K423" s="245"/>
      <c r="L423" s="76">
        <f t="shared" si="60"/>
        <v>0</v>
      </c>
      <c r="M423" s="246"/>
      <c r="N423" s="247"/>
      <c r="O423" s="248"/>
      <c r="P423" s="246"/>
      <c r="Q423" s="249"/>
      <c r="R423" s="250"/>
      <c r="S423" s="259"/>
      <c r="T423" s="260"/>
      <c r="U423" s="250"/>
      <c r="V423" s="78">
        <f t="shared" si="61"/>
        <v>0</v>
      </c>
      <c r="W423" s="261">
        <f t="shared" si="62"/>
        <v>0</v>
      </c>
      <c r="X423" s="133">
        <f t="shared" si="63"/>
        <v>0</v>
      </c>
      <c r="Y423" s="251"/>
      <c r="Z423" s="1736"/>
      <c r="AA423" s="1737"/>
      <c r="AB423" s="77">
        <f t="shared" si="64"/>
        <v>0</v>
      </c>
      <c r="AC423" s="134">
        <f t="shared" si="65"/>
        <v>0</v>
      </c>
      <c r="AD423" s="251"/>
      <c r="AE423" s="1736"/>
      <c r="AF423" s="1737"/>
      <c r="AG423" s="77">
        <f t="shared" si="66"/>
        <v>0</v>
      </c>
      <c r="AH423" s="136">
        <f t="shared" si="67"/>
        <v>0</v>
      </c>
      <c r="AI423" s="251"/>
      <c r="AJ423" s="1736"/>
      <c r="AK423" s="1737"/>
      <c r="AL423" s="79">
        <f t="shared" si="68"/>
        <v>0</v>
      </c>
      <c r="AM423" s="137">
        <f t="shared" si="69"/>
        <v>0</v>
      </c>
      <c r="AN423" s="251"/>
      <c r="AO423" s="1736"/>
      <c r="AP423" s="1737"/>
    </row>
    <row r="424" spans="1:42" s="85" customFormat="1" ht="13.5" thickBot="1">
      <c r="A424" s="240"/>
      <c r="B424" s="241"/>
      <c r="C424" s="242"/>
      <c r="D424" s="242"/>
      <c r="E424" s="243"/>
      <c r="F424" s="244"/>
      <c r="G424" s="244"/>
      <c r="H424" s="243"/>
      <c r="I424" s="258"/>
      <c r="J424" s="245"/>
      <c r="K424" s="245"/>
      <c r="L424" s="76">
        <f t="shared" si="60"/>
        <v>0</v>
      </c>
      <c r="M424" s="246"/>
      <c r="N424" s="247"/>
      <c r="O424" s="248"/>
      <c r="P424" s="246"/>
      <c r="Q424" s="249"/>
      <c r="R424" s="250"/>
      <c r="S424" s="259"/>
      <c r="T424" s="260"/>
      <c r="U424" s="250"/>
      <c r="V424" s="78">
        <f t="shared" si="61"/>
        <v>0</v>
      </c>
      <c r="W424" s="261">
        <f t="shared" si="62"/>
        <v>0</v>
      </c>
      <c r="X424" s="133">
        <f t="shared" si="63"/>
        <v>0</v>
      </c>
      <c r="Y424" s="251"/>
      <c r="Z424" s="1736"/>
      <c r="AA424" s="1737"/>
      <c r="AB424" s="77">
        <f t="shared" si="64"/>
        <v>0</v>
      </c>
      <c r="AC424" s="134">
        <f t="shared" si="65"/>
        <v>0</v>
      </c>
      <c r="AD424" s="251"/>
      <c r="AE424" s="1736"/>
      <c r="AF424" s="1737"/>
      <c r="AG424" s="77">
        <f t="shared" si="66"/>
        <v>0</v>
      </c>
      <c r="AH424" s="136">
        <f t="shared" si="67"/>
        <v>0</v>
      </c>
      <c r="AI424" s="251"/>
      <c r="AJ424" s="1736"/>
      <c r="AK424" s="1737"/>
      <c r="AL424" s="79">
        <f t="shared" si="68"/>
        <v>0</v>
      </c>
      <c r="AM424" s="137">
        <f t="shared" si="69"/>
        <v>0</v>
      </c>
      <c r="AN424" s="251"/>
      <c r="AO424" s="1736"/>
      <c r="AP424" s="1737"/>
    </row>
    <row r="425" spans="1:42" s="85" customFormat="1" ht="13.5" thickBot="1">
      <c r="A425" s="240"/>
      <c r="B425" s="241"/>
      <c r="C425" s="242"/>
      <c r="D425" s="242"/>
      <c r="E425" s="243"/>
      <c r="F425" s="244"/>
      <c r="G425" s="244"/>
      <c r="H425" s="243"/>
      <c r="I425" s="258"/>
      <c r="J425" s="245"/>
      <c r="K425" s="245"/>
      <c r="L425" s="76">
        <f t="shared" si="60"/>
        <v>0</v>
      </c>
      <c r="M425" s="246"/>
      <c r="N425" s="247"/>
      <c r="O425" s="248"/>
      <c r="P425" s="246"/>
      <c r="Q425" s="249"/>
      <c r="R425" s="250"/>
      <c r="S425" s="259"/>
      <c r="T425" s="260"/>
      <c r="U425" s="250"/>
      <c r="V425" s="78">
        <f t="shared" si="61"/>
        <v>0</v>
      </c>
      <c r="W425" s="261">
        <f t="shared" si="62"/>
        <v>0</v>
      </c>
      <c r="X425" s="133">
        <f t="shared" si="63"/>
        <v>0</v>
      </c>
      <c r="Y425" s="251"/>
      <c r="Z425" s="1736"/>
      <c r="AA425" s="1737"/>
      <c r="AB425" s="77">
        <f t="shared" si="64"/>
        <v>0</v>
      </c>
      <c r="AC425" s="134">
        <f t="shared" si="65"/>
        <v>0</v>
      </c>
      <c r="AD425" s="251"/>
      <c r="AE425" s="1736"/>
      <c r="AF425" s="1737"/>
      <c r="AG425" s="77">
        <f t="shared" si="66"/>
        <v>0</v>
      </c>
      <c r="AH425" s="136">
        <f t="shared" si="67"/>
        <v>0</v>
      </c>
      <c r="AI425" s="251"/>
      <c r="AJ425" s="1736"/>
      <c r="AK425" s="1737"/>
      <c r="AL425" s="79">
        <f t="shared" si="68"/>
        <v>0</v>
      </c>
      <c r="AM425" s="137">
        <f t="shared" si="69"/>
        <v>0</v>
      </c>
      <c r="AN425" s="251"/>
      <c r="AO425" s="1736"/>
      <c r="AP425" s="1737"/>
    </row>
    <row r="426" spans="1:42" s="85" customFormat="1" ht="13.5" thickBot="1">
      <c r="A426" s="240"/>
      <c r="B426" s="241"/>
      <c r="C426" s="242"/>
      <c r="D426" s="242"/>
      <c r="E426" s="243"/>
      <c r="F426" s="244"/>
      <c r="G426" s="244"/>
      <c r="H426" s="243"/>
      <c r="I426" s="258"/>
      <c r="J426" s="245"/>
      <c r="K426" s="245"/>
      <c r="L426" s="76">
        <f t="shared" si="60"/>
        <v>0</v>
      </c>
      <c r="M426" s="246"/>
      <c r="N426" s="247"/>
      <c r="O426" s="248"/>
      <c r="P426" s="246"/>
      <c r="Q426" s="249"/>
      <c r="R426" s="250"/>
      <c r="S426" s="259"/>
      <c r="T426" s="260"/>
      <c r="U426" s="250"/>
      <c r="V426" s="78">
        <f t="shared" si="61"/>
        <v>0</v>
      </c>
      <c r="W426" s="261">
        <f t="shared" si="62"/>
        <v>0</v>
      </c>
      <c r="X426" s="133">
        <f t="shared" si="63"/>
        <v>0</v>
      </c>
      <c r="Y426" s="251"/>
      <c r="Z426" s="1736"/>
      <c r="AA426" s="1737"/>
      <c r="AB426" s="77">
        <f t="shared" si="64"/>
        <v>0</v>
      </c>
      <c r="AC426" s="134">
        <f t="shared" si="65"/>
        <v>0</v>
      </c>
      <c r="AD426" s="251"/>
      <c r="AE426" s="1736"/>
      <c r="AF426" s="1737"/>
      <c r="AG426" s="77">
        <f t="shared" si="66"/>
        <v>0</v>
      </c>
      <c r="AH426" s="136">
        <f t="shared" si="67"/>
        <v>0</v>
      </c>
      <c r="AI426" s="251"/>
      <c r="AJ426" s="1736"/>
      <c r="AK426" s="1737"/>
      <c r="AL426" s="79">
        <f t="shared" si="68"/>
        <v>0</v>
      </c>
      <c r="AM426" s="137">
        <f t="shared" si="69"/>
        <v>0</v>
      </c>
      <c r="AN426" s="251"/>
      <c r="AO426" s="1736"/>
      <c r="AP426" s="1737"/>
    </row>
    <row r="427" spans="1:42" s="85" customFormat="1" ht="13.5" thickBot="1">
      <c r="A427" s="240"/>
      <c r="B427" s="241"/>
      <c r="C427" s="242"/>
      <c r="D427" s="242"/>
      <c r="E427" s="243"/>
      <c r="F427" s="244"/>
      <c r="G427" s="244"/>
      <c r="H427" s="243"/>
      <c r="I427" s="258"/>
      <c r="J427" s="245"/>
      <c r="K427" s="245"/>
      <c r="L427" s="76">
        <f t="shared" si="60"/>
        <v>0</v>
      </c>
      <c r="M427" s="246"/>
      <c r="N427" s="247"/>
      <c r="O427" s="248"/>
      <c r="P427" s="246"/>
      <c r="Q427" s="249"/>
      <c r="R427" s="250"/>
      <c r="S427" s="259"/>
      <c r="T427" s="260"/>
      <c r="U427" s="250"/>
      <c r="V427" s="78">
        <f t="shared" si="61"/>
        <v>0</v>
      </c>
      <c r="W427" s="261">
        <f t="shared" si="62"/>
        <v>0</v>
      </c>
      <c r="X427" s="133">
        <f t="shared" si="63"/>
        <v>0</v>
      </c>
      <c r="Y427" s="251"/>
      <c r="Z427" s="1736"/>
      <c r="AA427" s="1737"/>
      <c r="AB427" s="77">
        <f t="shared" si="64"/>
        <v>0</v>
      </c>
      <c r="AC427" s="134">
        <f t="shared" si="65"/>
        <v>0</v>
      </c>
      <c r="AD427" s="251"/>
      <c r="AE427" s="1736"/>
      <c r="AF427" s="1737"/>
      <c r="AG427" s="77">
        <f t="shared" si="66"/>
        <v>0</v>
      </c>
      <c r="AH427" s="136">
        <f t="shared" si="67"/>
        <v>0</v>
      </c>
      <c r="AI427" s="251"/>
      <c r="AJ427" s="1736"/>
      <c r="AK427" s="1737"/>
      <c r="AL427" s="79">
        <f t="shared" si="68"/>
        <v>0</v>
      </c>
      <c r="AM427" s="137">
        <f t="shared" si="69"/>
        <v>0</v>
      </c>
      <c r="AN427" s="251"/>
      <c r="AO427" s="1736"/>
      <c r="AP427" s="1737"/>
    </row>
    <row r="428" spans="1:42" s="85" customFormat="1" ht="13.5" thickBot="1">
      <c r="A428" s="240"/>
      <c r="B428" s="241"/>
      <c r="C428" s="242"/>
      <c r="D428" s="242"/>
      <c r="E428" s="243"/>
      <c r="F428" s="244"/>
      <c r="G428" s="244"/>
      <c r="H428" s="243"/>
      <c r="I428" s="258"/>
      <c r="J428" s="245"/>
      <c r="K428" s="245"/>
      <c r="L428" s="76">
        <f t="shared" si="60"/>
        <v>0</v>
      </c>
      <c r="M428" s="246"/>
      <c r="N428" s="247"/>
      <c r="O428" s="248"/>
      <c r="P428" s="246"/>
      <c r="Q428" s="249"/>
      <c r="R428" s="250"/>
      <c r="S428" s="259"/>
      <c r="T428" s="260"/>
      <c r="U428" s="250"/>
      <c r="V428" s="78">
        <f t="shared" si="61"/>
        <v>0</v>
      </c>
      <c r="W428" s="261">
        <f t="shared" si="62"/>
        <v>0</v>
      </c>
      <c r="X428" s="133">
        <f t="shared" si="63"/>
        <v>0</v>
      </c>
      <c r="Y428" s="251"/>
      <c r="Z428" s="1736"/>
      <c r="AA428" s="1737"/>
      <c r="AB428" s="77">
        <f t="shared" si="64"/>
        <v>0</v>
      </c>
      <c r="AC428" s="134">
        <f t="shared" si="65"/>
        <v>0</v>
      </c>
      <c r="AD428" s="251"/>
      <c r="AE428" s="1736"/>
      <c r="AF428" s="1737"/>
      <c r="AG428" s="77">
        <f t="shared" si="66"/>
        <v>0</v>
      </c>
      <c r="AH428" s="136">
        <f t="shared" si="67"/>
        <v>0</v>
      </c>
      <c r="AI428" s="251"/>
      <c r="AJ428" s="1736"/>
      <c r="AK428" s="1737"/>
      <c r="AL428" s="79">
        <f t="shared" si="68"/>
        <v>0</v>
      </c>
      <c r="AM428" s="137">
        <f t="shared" si="69"/>
        <v>0</v>
      </c>
      <c r="AN428" s="251"/>
      <c r="AO428" s="1736"/>
      <c r="AP428" s="1737"/>
    </row>
    <row r="429" spans="1:42" s="85" customFormat="1" ht="13.5" thickBot="1">
      <c r="A429" s="240"/>
      <c r="B429" s="241"/>
      <c r="C429" s="242"/>
      <c r="D429" s="242"/>
      <c r="E429" s="243"/>
      <c r="F429" s="244"/>
      <c r="G429" s="244"/>
      <c r="H429" s="243"/>
      <c r="I429" s="258"/>
      <c r="J429" s="245"/>
      <c r="K429" s="245"/>
      <c r="L429" s="76">
        <f t="shared" si="60"/>
        <v>0</v>
      </c>
      <c r="M429" s="246"/>
      <c r="N429" s="247"/>
      <c r="O429" s="248"/>
      <c r="P429" s="246"/>
      <c r="Q429" s="249"/>
      <c r="R429" s="250"/>
      <c r="S429" s="259"/>
      <c r="T429" s="260"/>
      <c r="U429" s="250"/>
      <c r="V429" s="78">
        <f t="shared" si="61"/>
        <v>0</v>
      </c>
      <c r="W429" s="261">
        <f t="shared" si="62"/>
        <v>0</v>
      </c>
      <c r="X429" s="133">
        <f t="shared" si="63"/>
        <v>0</v>
      </c>
      <c r="Y429" s="251"/>
      <c r="Z429" s="1736"/>
      <c r="AA429" s="1737"/>
      <c r="AB429" s="77">
        <f t="shared" si="64"/>
        <v>0</v>
      </c>
      <c r="AC429" s="134">
        <f t="shared" si="65"/>
        <v>0</v>
      </c>
      <c r="AD429" s="251"/>
      <c r="AE429" s="1736"/>
      <c r="AF429" s="1737"/>
      <c r="AG429" s="77">
        <f t="shared" si="66"/>
        <v>0</v>
      </c>
      <c r="AH429" s="136">
        <f t="shared" si="67"/>
        <v>0</v>
      </c>
      <c r="AI429" s="251"/>
      <c r="AJ429" s="1736"/>
      <c r="AK429" s="1737"/>
      <c r="AL429" s="79">
        <f t="shared" si="68"/>
        <v>0</v>
      </c>
      <c r="AM429" s="137">
        <f t="shared" si="69"/>
        <v>0</v>
      </c>
      <c r="AN429" s="251"/>
      <c r="AO429" s="1736"/>
      <c r="AP429" s="1737"/>
    </row>
    <row r="430" spans="1:42" s="85" customFormat="1" ht="13.5" thickBot="1">
      <c r="A430" s="240"/>
      <c r="B430" s="241"/>
      <c r="C430" s="242"/>
      <c r="D430" s="242"/>
      <c r="E430" s="243"/>
      <c r="F430" s="244"/>
      <c r="G430" s="244"/>
      <c r="H430" s="243"/>
      <c r="I430" s="258"/>
      <c r="J430" s="245"/>
      <c r="K430" s="245"/>
      <c r="L430" s="76">
        <f t="shared" si="60"/>
        <v>0</v>
      </c>
      <c r="M430" s="246"/>
      <c r="N430" s="247"/>
      <c r="O430" s="248"/>
      <c r="P430" s="246"/>
      <c r="Q430" s="249"/>
      <c r="R430" s="250"/>
      <c r="S430" s="259"/>
      <c r="T430" s="260"/>
      <c r="U430" s="250"/>
      <c r="V430" s="78">
        <f t="shared" si="61"/>
        <v>0</v>
      </c>
      <c r="W430" s="261">
        <f t="shared" si="62"/>
        <v>0</v>
      </c>
      <c r="X430" s="133">
        <f t="shared" si="63"/>
        <v>0</v>
      </c>
      <c r="Y430" s="251"/>
      <c r="Z430" s="1736"/>
      <c r="AA430" s="1737"/>
      <c r="AB430" s="77">
        <f t="shared" si="64"/>
        <v>0</v>
      </c>
      <c r="AC430" s="134">
        <f t="shared" si="65"/>
        <v>0</v>
      </c>
      <c r="AD430" s="251"/>
      <c r="AE430" s="1736"/>
      <c r="AF430" s="1737"/>
      <c r="AG430" s="77">
        <f t="shared" si="66"/>
        <v>0</v>
      </c>
      <c r="AH430" s="136">
        <f t="shared" si="67"/>
        <v>0</v>
      </c>
      <c r="AI430" s="251"/>
      <c r="AJ430" s="1736"/>
      <c r="AK430" s="1737"/>
      <c r="AL430" s="79">
        <f t="shared" si="68"/>
        <v>0</v>
      </c>
      <c r="AM430" s="137">
        <f t="shared" si="69"/>
        <v>0</v>
      </c>
      <c r="AN430" s="251"/>
      <c r="AO430" s="1736"/>
      <c r="AP430" s="1737"/>
    </row>
    <row r="431" spans="1:42" s="85" customFormat="1" ht="13.5" thickBot="1">
      <c r="A431" s="240"/>
      <c r="B431" s="241"/>
      <c r="C431" s="242"/>
      <c r="D431" s="242"/>
      <c r="E431" s="243"/>
      <c r="F431" s="244"/>
      <c r="G431" s="244"/>
      <c r="H431" s="243"/>
      <c r="I431" s="258"/>
      <c r="J431" s="245"/>
      <c r="K431" s="245"/>
      <c r="L431" s="76">
        <f t="shared" si="60"/>
        <v>0</v>
      </c>
      <c r="M431" s="246"/>
      <c r="N431" s="247"/>
      <c r="O431" s="248"/>
      <c r="P431" s="246"/>
      <c r="Q431" s="249"/>
      <c r="R431" s="250"/>
      <c r="S431" s="259"/>
      <c r="T431" s="260"/>
      <c r="U431" s="250"/>
      <c r="V431" s="78">
        <f t="shared" si="61"/>
        <v>0</v>
      </c>
      <c r="W431" s="261">
        <f t="shared" si="62"/>
        <v>0</v>
      </c>
      <c r="X431" s="133">
        <f t="shared" si="63"/>
        <v>0</v>
      </c>
      <c r="Y431" s="251"/>
      <c r="Z431" s="1736"/>
      <c r="AA431" s="1737"/>
      <c r="AB431" s="77">
        <f t="shared" si="64"/>
        <v>0</v>
      </c>
      <c r="AC431" s="134">
        <f t="shared" si="65"/>
        <v>0</v>
      </c>
      <c r="AD431" s="251"/>
      <c r="AE431" s="1736"/>
      <c r="AF431" s="1737"/>
      <c r="AG431" s="77">
        <f t="shared" si="66"/>
        <v>0</v>
      </c>
      <c r="AH431" s="136">
        <f t="shared" si="67"/>
        <v>0</v>
      </c>
      <c r="AI431" s="251"/>
      <c r="AJ431" s="1736"/>
      <c r="AK431" s="1737"/>
      <c r="AL431" s="79">
        <f t="shared" si="68"/>
        <v>0</v>
      </c>
      <c r="AM431" s="137">
        <f t="shared" si="69"/>
        <v>0</v>
      </c>
      <c r="AN431" s="251"/>
      <c r="AO431" s="1736"/>
      <c r="AP431" s="1737"/>
    </row>
    <row r="432" spans="1:42" s="85" customFormat="1" ht="13.5" thickBot="1">
      <c r="A432" s="240"/>
      <c r="B432" s="241"/>
      <c r="C432" s="242"/>
      <c r="D432" s="242"/>
      <c r="E432" s="243"/>
      <c r="F432" s="244"/>
      <c r="G432" s="244"/>
      <c r="H432" s="243"/>
      <c r="I432" s="258"/>
      <c r="J432" s="245"/>
      <c r="K432" s="245"/>
      <c r="L432" s="76">
        <f t="shared" si="60"/>
        <v>0</v>
      </c>
      <c r="M432" s="246"/>
      <c r="N432" s="247"/>
      <c r="O432" s="248"/>
      <c r="P432" s="246"/>
      <c r="Q432" s="249"/>
      <c r="R432" s="250"/>
      <c r="S432" s="259"/>
      <c r="T432" s="260"/>
      <c r="U432" s="250"/>
      <c r="V432" s="78">
        <f t="shared" si="61"/>
        <v>0</v>
      </c>
      <c r="W432" s="261">
        <f t="shared" si="62"/>
        <v>0</v>
      </c>
      <c r="X432" s="133">
        <f t="shared" si="63"/>
        <v>0</v>
      </c>
      <c r="Y432" s="251"/>
      <c r="Z432" s="1736"/>
      <c r="AA432" s="1737"/>
      <c r="AB432" s="77">
        <f t="shared" si="64"/>
        <v>0</v>
      </c>
      <c r="AC432" s="134">
        <f t="shared" si="65"/>
        <v>0</v>
      </c>
      <c r="AD432" s="251"/>
      <c r="AE432" s="1736"/>
      <c r="AF432" s="1737"/>
      <c r="AG432" s="77">
        <f t="shared" si="66"/>
        <v>0</v>
      </c>
      <c r="AH432" s="136">
        <f t="shared" si="67"/>
        <v>0</v>
      </c>
      <c r="AI432" s="251"/>
      <c r="AJ432" s="1736"/>
      <c r="AK432" s="1737"/>
      <c r="AL432" s="79">
        <f t="shared" si="68"/>
        <v>0</v>
      </c>
      <c r="AM432" s="137">
        <f t="shared" si="69"/>
        <v>0</v>
      </c>
      <c r="AN432" s="251"/>
      <c r="AO432" s="1736"/>
      <c r="AP432" s="1737"/>
    </row>
    <row r="433" spans="1:42" s="85" customFormat="1" ht="13.5" thickBot="1">
      <c r="A433" s="240"/>
      <c r="B433" s="241"/>
      <c r="C433" s="242"/>
      <c r="D433" s="242"/>
      <c r="E433" s="243"/>
      <c r="F433" s="244"/>
      <c r="G433" s="244"/>
      <c r="H433" s="243"/>
      <c r="I433" s="258"/>
      <c r="J433" s="245"/>
      <c r="K433" s="245"/>
      <c r="L433" s="76">
        <f t="shared" si="60"/>
        <v>0</v>
      </c>
      <c r="M433" s="246"/>
      <c r="N433" s="247"/>
      <c r="O433" s="248"/>
      <c r="P433" s="246"/>
      <c r="Q433" s="249"/>
      <c r="R433" s="250"/>
      <c r="S433" s="259"/>
      <c r="T433" s="260"/>
      <c r="U433" s="250"/>
      <c r="V433" s="78">
        <f t="shared" si="61"/>
        <v>0</v>
      </c>
      <c r="W433" s="261">
        <f t="shared" si="62"/>
        <v>0</v>
      </c>
      <c r="X433" s="133">
        <f t="shared" si="63"/>
        <v>0</v>
      </c>
      <c r="Y433" s="251"/>
      <c r="Z433" s="1736"/>
      <c r="AA433" s="1737"/>
      <c r="AB433" s="77">
        <f t="shared" si="64"/>
        <v>0</v>
      </c>
      <c r="AC433" s="134">
        <f t="shared" si="65"/>
        <v>0</v>
      </c>
      <c r="AD433" s="251"/>
      <c r="AE433" s="1736"/>
      <c r="AF433" s="1737"/>
      <c r="AG433" s="77">
        <f t="shared" si="66"/>
        <v>0</v>
      </c>
      <c r="AH433" s="136">
        <f t="shared" si="67"/>
        <v>0</v>
      </c>
      <c r="AI433" s="251"/>
      <c r="AJ433" s="1736"/>
      <c r="AK433" s="1737"/>
      <c r="AL433" s="79">
        <f t="shared" si="68"/>
        <v>0</v>
      </c>
      <c r="AM433" s="137">
        <f t="shared" si="69"/>
        <v>0</v>
      </c>
      <c r="AN433" s="251"/>
      <c r="AO433" s="1736"/>
      <c r="AP433" s="1737"/>
    </row>
    <row r="434" spans="1:42" s="85" customFormat="1" ht="13.5" thickBot="1">
      <c r="A434" s="240"/>
      <c r="B434" s="241"/>
      <c r="C434" s="242"/>
      <c r="D434" s="242"/>
      <c r="E434" s="243"/>
      <c r="F434" s="244"/>
      <c r="G434" s="244"/>
      <c r="H434" s="243"/>
      <c r="I434" s="258"/>
      <c r="J434" s="245"/>
      <c r="K434" s="245"/>
      <c r="L434" s="76">
        <f t="shared" si="60"/>
        <v>0</v>
      </c>
      <c r="M434" s="246"/>
      <c r="N434" s="247"/>
      <c r="O434" s="248"/>
      <c r="P434" s="246"/>
      <c r="Q434" s="249"/>
      <c r="R434" s="250"/>
      <c r="S434" s="259"/>
      <c r="T434" s="260"/>
      <c r="U434" s="250"/>
      <c r="V434" s="78">
        <f t="shared" si="61"/>
        <v>0</v>
      </c>
      <c r="W434" s="261">
        <f t="shared" si="62"/>
        <v>0</v>
      </c>
      <c r="X434" s="133">
        <f t="shared" si="63"/>
        <v>0</v>
      </c>
      <c r="Y434" s="251"/>
      <c r="Z434" s="1736"/>
      <c r="AA434" s="1737"/>
      <c r="AB434" s="77">
        <f t="shared" si="64"/>
        <v>0</v>
      </c>
      <c r="AC434" s="134">
        <f t="shared" si="65"/>
        <v>0</v>
      </c>
      <c r="AD434" s="251"/>
      <c r="AE434" s="1736"/>
      <c r="AF434" s="1737"/>
      <c r="AG434" s="77">
        <f t="shared" si="66"/>
        <v>0</v>
      </c>
      <c r="AH434" s="136">
        <f t="shared" si="67"/>
        <v>0</v>
      </c>
      <c r="AI434" s="251"/>
      <c r="AJ434" s="1736"/>
      <c r="AK434" s="1737"/>
      <c r="AL434" s="79">
        <f t="shared" si="68"/>
        <v>0</v>
      </c>
      <c r="AM434" s="137">
        <f t="shared" si="69"/>
        <v>0</v>
      </c>
      <c r="AN434" s="251"/>
      <c r="AO434" s="1736"/>
      <c r="AP434" s="1737"/>
    </row>
    <row r="435" spans="1:42" s="85" customFormat="1" ht="13.5" thickBot="1">
      <c r="A435" s="240"/>
      <c r="B435" s="241"/>
      <c r="C435" s="242"/>
      <c r="D435" s="242"/>
      <c r="E435" s="243"/>
      <c r="F435" s="244"/>
      <c r="G435" s="244"/>
      <c r="H435" s="243"/>
      <c r="I435" s="258"/>
      <c r="J435" s="245"/>
      <c r="K435" s="245"/>
      <c r="L435" s="76">
        <f t="shared" si="60"/>
        <v>0</v>
      </c>
      <c r="M435" s="246"/>
      <c r="N435" s="247"/>
      <c r="O435" s="248"/>
      <c r="P435" s="246"/>
      <c r="Q435" s="249"/>
      <c r="R435" s="250"/>
      <c r="S435" s="259"/>
      <c r="T435" s="260"/>
      <c r="U435" s="250"/>
      <c r="V435" s="78">
        <f t="shared" si="61"/>
        <v>0</v>
      </c>
      <c r="W435" s="261">
        <f t="shared" si="62"/>
        <v>0</v>
      </c>
      <c r="X435" s="133">
        <f t="shared" si="63"/>
        <v>0</v>
      </c>
      <c r="Y435" s="251"/>
      <c r="Z435" s="1736"/>
      <c r="AA435" s="1737"/>
      <c r="AB435" s="77">
        <f t="shared" si="64"/>
        <v>0</v>
      </c>
      <c r="AC435" s="134">
        <f t="shared" si="65"/>
        <v>0</v>
      </c>
      <c r="AD435" s="251"/>
      <c r="AE435" s="1736"/>
      <c r="AF435" s="1737"/>
      <c r="AG435" s="77">
        <f t="shared" si="66"/>
        <v>0</v>
      </c>
      <c r="AH435" s="136">
        <f t="shared" si="67"/>
        <v>0</v>
      </c>
      <c r="AI435" s="251"/>
      <c r="AJ435" s="1736"/>
      <c r="AK435" s="1737"/>
      <c r="AL435" s="79">
        <f t="shared" si="68"/>
        <v>0</v>
      </c>
      <c r="AM435" s="137">
        <f t="shared" si="69"/>
        <v>0</v>
      </c>
      <c r="AN435" s="251"/>
      <c r="AO435" s="1736"/>
      <c r="AP435" s="1737"/>
    </row>
    <row r="436" spans="1:42" s="85" customFormat="1" ht="13.5" thickBot="1">
      <c r="A436" s="240"/>
      <c r="B436" s="241"/>
      <c r="C436" s="242"/>
      <c r="D436" s="242"/>
      <c r="E436" s="243"/>
      <c r="F436" s="244"/>
      <c r="G436" s="244"/>
      <c r="H436" s="243"/>
      <c r="I436" s="258"/>
      <c r="J436" s="245"/>
      <c r="K436" s="245"/>
      <c r="L436" s="76">
        <f t="shared" si="60"/>
        <v>0</v>
      </c>
      <c r="M436" s="246"/>
      <c r="N436" s="247"/>
      <c r="O436" s="248"/>
      <c r="P436" s="246"/>
      <c r="Q436" s="249"/>
      <c r="R436" s="250"/>
      <c r="S436" s="259"/>
      <c r="T436" s="260"/>
      <c r="U436" s="250"/>
      <c r="V436" s="78">
        <f t="shared" si="61"/>
        <v>0</v>
      </c>
      <c r="W436" s="261">
        <f t="shared" si="62"/>
        <v>0</v>
      </c>
      <c r="X436" s="133">
        <f t="shared" si="63"/>
        <v>0</v>
      </c>
      <c r="Y436" s="251"/>
      <c r="Z436" s="1736"/>
      <c r="AA436" s="1737"/>
      <c r="AB436" s="77">
        <f t="shared" si="64"/>
        <v>0</v>
      </c>
      <c r="AC436" s="134">
        <f t="shared" si="65"/>
        <v>0</v>
      </c>
      <c r="AD436" s="251"/>
      <c r="AE436" s="1736"/>
      <c r="AF436" s="1737"/>
      <c r="AG436" s="77">
        <f t="shared" si="66"/>
        <v>0</v>
      </c>
      <c r="AH436" s="136">
        <f t="shared" si="67"/>
        <v>0</v>
      </c>
      <c r="AI436" s="251"/>
      <c r="AJ436" s="1736"/>
      <c r="AK436" s="1737"/>
      <c r="AL436" s="79">
        <f t="shared" si="68"/>
        <v>0</v>
      </c>
      <c r="AM436" s="137">
        <f t="shared" si="69"/>
        <v>0</v>
      </c>
      <c r="AN436" s="251"/>
      <c r="AO436" s="1736"/>
      <c r="AP436" s="1737"/>
    </row>
    <row r="437" spans="1:42" s="85" customFormat="1" ht="13.5" thickBot="1">
      <c r="A437" s="240"/>
      <c r="B437" s="241"/>
      <c r="C437" s="242"/>
      <c r="D437" s="242"/>
      <c r="E437" s="243"/>
      <c r="F437" s="244"/>
      <c r="G437" s="244"/>
      <c r="H437" s="243"/>
      <c r="I437" s="258"/>
      <c r="J437" s="245"/>
      <c r="K437" s="245"/>
      <c r="L437" s="76">
        <f t="shared" si="60"/>
        <v>0</v>
      </c>
      <c r="M437" s="246"/>
      <c r="N437" s="247"/>
      <c r="O437" s="248"/>
      <c r="P437" s="246"/>
      <c r="Q437" s="249"/>
      <c r="R437" s="250"/>
      <c r="S437" s="259"/>
      <c r="T437" s="260"/>
      <c r="U437" s="250"/>
      <c r="V437" s="78">
        <f t="shared" si="61"/>
        <v>0</v>
      </c>
      <c r="W437" s="261">
        <f t="shared" si="62"/>
        <v>0</v>
      </c>
      <c r="X437" s="133">
        <f t="shared" si="63"/>
        <v>0</v>
      </c>
      <c r="Y437" s="251"/>
      <c r="Z437" s="1736"/>
      <c r="AA437" s="1737"/>
      <c r="AB437" s="77">
        <f t="shared" si="64"/>
        <v>0</v>
      </c>
      <c r="AC437" s="134">
        <f t="shared" si="65"/>
        <v>0</v>
      </c>
      <c r="AD437" s="251"/>
      <c r="AE437" s="1736"/>
      <c r="AF437" s="1737"/>
      <c r="AG437" s="77">
        <f t="shared" si="66"/>
        <v>0</v>
      </c>
      <c r="AH437" s="136">
        <f t="shared" si="67"/>
        <v>0</v>
      </c>
      <c r="AI437" s="251"/>
      <c r="AJ437" s="1736"/>
      <c r="AK437" s="1737"/>
      <c r="AL437" s="79">
        <f t="shared" si="68"/>
        <v>0</v>
      </c>
      <c r="AM437" s="137">
        <f t="shared" si="69"/>
        <v>0</v>
      </c>
      <c r="AN437" s="251"/>
      <c r="AO437" s="1736"/>
      <c r="AP437" s="1737"/>
    </row>
    <row r="438" spans="1:42" s="85" customFormat="1" ht="13.5" thickBot="1">
      <c r="A438" s="240"/>
      <c r="B438" s="241"/>
      <c r="C438" s="242"/>
      <c r="D438" s="242"/>
      <c r="E438" s="243"/>
      <c r="F438" s="244"/>
      <c r="G438" s="244"/>
      <c r="H438" s="243"/>
      <c r="I438" s="258"/>
      <c r="J438" s="245"/>
      <c r="K438" s="245"/>
      <c r="L438" s="76">
        <f t="shared" si="60"/>
        <v>0</v>
      </c>
      <c r="M438" s="246"/>
      <c r="N438" s="247"/>
      <c r="O438" s="248"/>
      <c r="P438" s="246"/>
      <c r="Q438" s="249"/>
      <c r="R438" s="250"/>
      <c r="S438" s="259"/>
      <c r="T438" s="260"/>
      <c r="U438" s="250"/>
      <c r="V438" s="78">
        <f t="shared" si="61"/>
        <v>0</v>
      </c>
      <c r="W438" s="261">
        <f t="shared" si="62"/>
        <v>0</v>
      </c>
      <c r="X438" s="133">
        <f t="shared" si="63"/>
        <v>0</v>
      </c>
      <c r="Y438" s="251"/>
      <c r="Z438" s="1736"/>
      <c r="AA438" s="1737"/>
      <c r="AB438" s="77">
        <f t="shared" si="64"/>
        <v>0</v>
      </c>
      <c r="AC438" s="134">
        <f t="shared" si="65"/>
        <v>0</v>
      </c>
      <c r="AD438" s="251"/>
      <c r="AE438" s="1736"/>
      <c r="AF438" s="1737"/>
      <c r="AG438" s="77">
        <f t="shared" si="66"/>
        <v>0</v>
      </c>
      <c r="AH438" s="136">
        <f t="shared" si="67"/>
        <v>0</v>
      </c>
      <c r="AI438" s="251"/>
      <c r="AJ438" s="1736"/>
      <c r="AK438" s="1737"/>
      <c r="AL438" s="79">
        <f t="shared" si="68"/>
        <v>0</v>
      </c>
      <c r="AM438" s="137">
        <f t="shared" si="69"/>
        <v>0</v>
      </c>
      <c r="AN438" s="251"/>
      <c r="AO438" s="1736"/>
      <c r="AP438" s="1737"/>
    </row>
    <row r="439" spans="1:42" s="85" customFormat="1" ht="13.5" thickBot="1">
      <c r="A439" s="240"/>
      <c r="B439" s="241"/>
      <c r="C439" s="242"/>
      <c r="D439" s="242"/>
      <c r="E439" s="243"/>
      <c r="F439" s="244"/>
      <c r="G439" s="244"/>
      <c r="H439" s="243"/>
      <c r="I439" s="258"/>
      <c r="J439" s="245"/>
      <c r="K439" s="245"/>
      <c r="L439" s="76">
        <f t="shared" si="60"/>
        <v>0</v>
      </c>
      <c r="M439" s="246"/>
      <c r="N439" s="247"/>
      <c r="O439" s="248"/>
      <c r="P439" s="246"/>
      <c r="Q439" s="249"/>
      <c r="R439" s="250"/>
      <c r="S439" s="259"/>
      <c r="T439" s="260"/>
      <c r="U439" s="250"/>
      <c r="V439" s="78">
        <f t="shared" si="61"/>
        <v>0</v>
      </c>
      <c r="W439" s="261">
        <f t="shared" si="62"/>
        <v>0</v>
      </c>
      <c r="X439" s="133">
        <f t="shared" si="63"/>
        <v>0</v>
      </c>
      <c r="Y439" s="251"/>
      <c r="Z439" s="1736"/>
      <c r="AA439" s="1737"/>
      <c r="AB439" s="77">
        <f t="shared" si="64"/>
        <v>0</v>
      </c>
      <c r="AC439" s="134">
        <f t="shared" si="65"/>
        <v>0</v>
      </c>
      <c r="AD439" s="251"/>
      <c r="AE439" s="1736"/>
      <c r="AF439" s="1737"/>
      <c r="AG439" s="77">
        <f t="shared" si="66"/>
        <v>0</v>
      </c>
      <c r="AH439" s="136">
        <f t="shared" si="67"/>
        <v>0</v>
      </c>
      <c r="AI439" s="251"/>
      <c r="AJ439" s="1736"/>
      <c r="AK439" s="1737"/>
      <c r="AL439" s="79">
        <f t="shared" si="68"/>
        <v>0</v>
      </c>
      <c r="AM439" s="137">
        <f t="shared" si="69"/>
        <v>0</v>
      </c>
      <c r="AN439" s="251"/>
      <c r="AO439" s="1736"/>
      <c r="AP439" s="1737"/>
    </row>
    <row r="440" spans="1:42" s="85" customFormat="1" ht="13.5" thickBot="1">
      <c r="A440" s="240"/>
      <c r="B440" s="241"/>
      <c r="C440" s="242"/>
      <c r="D440" s="242"/>
      <c r="E440" s="243"/>
      <c r="F440" s="244"/>
      <c r="G440" s="244"/>
      <c r="H440" s="243"/>
      <c r="I440" s="258"/>
      <c r="J440" s="245"/>
      <c r="K440" s="245"/>
      <c r="L440" s="76">
        <f t="shared" si="60"/>
        <v>0</v>
      </c>
      <c r="M440" s="246"/>
      <c r="N440" s="247"/>
      <c r="O440" s="248"/>
      <c r="P440" s="246"/>
      <c r="Q440" s="249"/>
      <c r="R440" s="250"/>
      <c r="S440" s="259"/>
      <c r="T440" s="260"/>
      <c r="U440" s="250"/>
      <c r="V440" s="78">
        <f t="shared" si="61"/>
        <v>0</v>
      </c>
      <c r="W440" s="261">
        <f t="shared" si="62"/>
        <v>0</v>
      </c>
      <c r="X440" s="133">
        <f t="shared" si="63"/>
        <v>0</v>
      </c>
      <c r="Y440" s="251"/>
      <c r="Z440" s="1736"/>
      <c r="AA440" s="1737"/>
      <c r="AB440" s="77">
        <f t="shared" si="64"/>
        <v>0</v>
      </c>
      <c r="AC440" s="134">
        <f t="shared" si="65"/>
        <v>0</v>
      </c>
      <c r="AD440" s="251"/>
      <c r="AE440" s="1736"/>
      <c r="AF440" s="1737"/>
      <c r="AG440" s="77">
        <f t="shared" si="66"/>
        <v>0</v>
      </c>
      <c r="AH440" s="136">
        <f t="shared" si="67"/>
        <v>0</v>
      </c>
      <c r="AI440" s="251"/>
      <c r="AJ440" s="1736"/>
      <c r="AK440" s="1737"/>
      <c r="AL440" s="79">
        <f t="shared" si="68"/>
        <v>0</v>
      </c>
      <c r="AM440" s="137">
        <f t="shared" si="69"/>
        <v>0</v>
      </c>
      <c r="AN440" s="251"/>
      <c r="AO440" s="1736"/>
      <c r="AP440" s="1737"/>
    </row>
    <row r="441" spans="1:42" s="85" customFormat="1" ht="13.5" thickBot="1">
      <c r="A441" s="240"/>
      <c r="B441" s="241"/>
      <c r="C441" s="242"/>
      <c r="D441" s="242"/>
      <c r="E441" s="243"/>
      <c r="F441" s="244"/>
      <c r="G441" s="244"/>
      <c r="H441" s="243"/>
      <c r="I441" s="258"/>
      <c r="J441" s="245"/>
      <c r="K441" s="245"/>
      <c r="L441" s="76">
        <f t="shared" si="60"/>
        <v>0</v>
      </c>
      <c r="M441" s="246"/>
      <c r="N441" s="247"/>
      <c r="O441" s="248"/>
      <c r="P441" s="246"/>
      <c r="Q441" s="249"/>
      <c r="R441" s="250"/>
      <c r="S441" s="259"/>
      <c r="T441" s="260"/>
      <c r="U441" s="250"/>
      <c r="V441" s="78">
        <f t="shared" si="61"/>
        <v>0</v>
      </c>
      <c r="W441" s="261">
        <f t="shared" si="62"/>
        <v>0</v>
      </c>
      <c r="X441" s="133">
        <f t="shared" si="63"/>
        <v>0</v>
      </c>
      <c r="Y441" s="251"/>
      <c r="Z441" s="1736"/>
      <c r="AA441" s="1737"/>
      <c r="AB441" s="77">
        <f t="shared" si="64"/>
        <v>0</v>
      </c>
      <c r="AC441" s="134">
        <f t="shared" si="65"/>
        <v>0</v>
      </c>
      <c r="AD441" s="251"/>
      <c r="AE441" s="1736"/>
      <c r="AF441" s="1737"/>
      <c r="AG441" s="77">
        <f t="shared" si="66"/>
        <v>0</v>
      </c>
      <c r="AH441" s="136">
        <f t="shared" si="67"/>
        <v>0</v>
      </c>
      <c r="AI441" s="251"/>
      <c r="AJ441" s="1736"/>
      <c r="AK441" s="1737"/>
      <c r="AL441" s="79">
        <f t="shared" si="68"/>
        <v>0</v>
      </c>
      <c r="AM441" s="137">
        <f t="shared" si="69"/>
        <v>0</v>
      </c>
      <c r="AN441" s="251"/>
      <c r="AO441" s="1736"/>
      <c r="AP441" s="1737"/>
    </row>
    <row r="442" spans="1:42" s="85" customFormat="1" ht="13.5" thickBot="1">
      <c r="A442" s="240"/>
      <c r="B442" s="241"/>
      <c r="C442" s="242"/>
      <c r="D442" s="242"/>
      <c r="E442" s="243"/>
      <c r="F442" s="244"/>
      <c r="G442" s="244"/>
      <c r="H442" s="243"/>
      <c r="I442" s="258"/>
      <c r="J442" s="245"/>
      <c r="K442" s="245"/>
      <c r="L442" s="76">
        <f t="shared" si="60"/>
        <v>0</v>
      </c>
      <c r="M442" s="246"/>
      <c r="N442" s="247"/>
      <c r="O442" s="248"/>
      <c r="P442" s="246"/>
      <c r="Q442" s="249"/>
      <c r="R442" s="250"/>
      <c r="S442" s="259"/>
      <c r="T442" s="260"/>
      <c r="U442" s="250"/>
      <c r="V442" s="78">
        <f t="shared" si="61"/>
        <v>0</v>
      </c>
      <c r="W442" s="261">
        <f t="shared" si="62"/>
        <v>0</v>
      </c>
      <c r="X442" s="133">
        <f t="shared" si="63"/>
        <v>0</v>
      </c>
      <c r="Y442" s="251"/>
      <c r="Z442" s="1736"/>
      <c r="AA442" s="1737"/>
      <c r="AB442" s="77">
        <f t="shared" si="64"/>
        <v>0</v>
      </c>
      <c r="AC442" s="134">
        <f t="shared" si="65"/>
        <v>0</v>
      </c>
      <c r="AD442" s="251"/>
      <c r="AE442" s="1736"/>
      <c r="AF442" s="1737"/>
      <c r="AG442" s="77">
        <f t="shared" si="66"/>
        <v>0</v>
      </c>
      <c r="AH442" s="136">
        <f t="shared" si="67"/>
        <v>0</v>
      </c>
      <c r="AI442" s="251"/>
      <c r="AJ442" s="1736"/>
      <c r="AK442" s="1737"/>
      <c r="AL442" s="79">
        <f t="shared" si="68"/>
        <v>0</v>
      </c>
      <c r="AM442" s="137">
        <f t="shared" si="69"/>
        <v>0</v>
      </c>
      <c r="AN442" s="251"/>
      <c r="AO442" s="1736"/>
      <c r="AP442" s="1737"/>
    </row>
    <row r="443" spans="1:42" s="85" customFormat="1" ht="13.5" thickBot="1">
      <c r="A443" s="240"/>
      <c r="B443" s="241"/>
      <c r="C443" s="242"/>
      <c r="D443" s="242"/>
      <c r="E443" s="243"/>
      <c r="F443" s="244"/>
      <c r="G443" s="244"/>
      <c r="H443" s="243"/>
      <c r="I443" s="258"/>
      <c r="J443" s="245"/>
      <c r="K443" s="245"/>
      <c r="L443" s="76">
        <f t="shared" si="60"/>
        <v>0</v>
      </c>
      <c r="M443" s="246"/>
      <c r="N443" s="247"/>
      <c r="O443" s="248"/>
      <c r="P443" s="246"/>
      <c r="Q443" s="249"/>
      <c r="R443" s="250"/>
      <c r="S443" s="259"/>
      <c r="T443" s="260"/>
      <c r="U443" s="250"/>
      <c r="V443" s="78">
        <f t="shared" si="61"/>
        <v>0</v>
      </c>
      <c r="W443" s="261">
        <f t="shared" si="62"/>
        <v>0</v>
      </c>
      <c r="X443" s="133">
        <f t="shared" si="63"/>
        <v>0</v>
      </c>
      <c r="Y443" s="251"/>
      <c r="Z443" s="1736"/>
      <c r="AA443" s="1737"/>
      <c r="AB443" s="77">
        <f t="shared" si="64"/>
        <v>0</v>
      </c>
      <c r="AC443" s="134">
        <f t="shared" si="65"/>
        <v>0</v>
      </c>
      <c r="AD443" s="251"/>
      <c r="AE443" s="1736"/>
      <c r="AF443" s="1737"/>
      <c r="AG443" s="77">
        <f t="shared" si="66"/>
        <v>0</v>
      </c>
      <c r="AH443" s="136">
        <f t="shared" si="67"/>
        <v>0</v>
      </c>
      <c r="AI443" s="251"/>
      <c r="AJ443" s="1736"/>
      <c r="AK443" s="1737"/>
      <c r="AL443" s="79">
        <f t="shared" si="68"/>
        <v>0</v>
      </c>
      <c r="AM443" s="137">
        <f t="shared" si="69"/>
        <v>0</v>
      </c>
      <c r="AN443" s="251"/>
      <c r="AO443" s="1736"/>
      <c r="AP443" s="1737"/>
    </row>
    <row r="444" spans="1:42" s="85" customFormat="1" ht="13.5" thickBot="1">
      <c r="A444" s="240"/>
      <c r="B444" s="241"/>
      <c r="C444" s="242"/>
      <c r="D444" s="242"/>
      <c r="E444" s="243"/>
      <c r="F444" s="244"/>
      <c r="G444" s="244"/>
      <c r="H444" s="243"/>
      <c r="I444" s="258"/>
      <c r="J444" s="245"/>
      <c r="K444" s="245"/>
      <c r="L444" s="76">
        <f t="shared" si="60"/>
        <v>0</v>
      </c>
      <c r="M444" s="246"/>
      <c r="N444" s="247"/>
      <c r="O444" s="248"/>
      <c r="P444" s="246"/>
      <c r="Q444" s="249"/>
      <c r="R444" s="250"/>
      <c r="S444" s="259"/>
      <c r="T444" s="260"/>
      <c r="U444" s="250"/>
      <c r="V444" s="78">
        <f t="shared" si="61"/>
        <v>0</v>
      </c>
      <c r="W444" s="261">
        <f t="shared" si="62"/>
        <v>0</v>
      </c>
      <c r="X444" s="133">
        <f t="shared" si="63"/>
        <v>0</v>
      </c>
      <c r="Y444" s="251"/>
      <c r="Z444" s="1736"/>
      <c r="AA444" s="1737"/>
      <c r="AB444" s="77">
        <f t="shared" si="64"/>
        <v>0</v>
      </c>
      <c r="AC444" s="134">
        <f t="shared" si="65"/>
        <v>0</v>
      </c>
      <c r="AD444" s="251"/>
      <c r="AE444" s="1736"/>
      <c r="AF444" s="1737"/>
      <c r="AG444" s="77">
        <f t="shared" si="66"/>
        <v>0</v>
      </c>
      <c r="AH444" s="136">
        <f t="shared" si="67"/>
        <v>0</v>
      </c>
      <c r="AI444" s="251"/>
      <c r="AJ444" s="1736"/>
      <c r="AK444" s="1737"/>
      <c r="AL444" s="79">
        <f t="shared" si="68"/>
        <v>0</v>
      </c>
      <c r="AM444" s="137">
        <f t="shared" si="69"/>
        <v>0</v>
      </c>
      <c r="AN444" s="251"/>
      <c r="AO444" s="1736"/>
      <c r="AP444" s="1737"/>
    </row>
    <row r="445" spans="1:42" s="85" customFormat="1" ht="13.5" thickBot="1">
      <c r="A445" s="240"/>
      <c r="B445" s="241"/>
      <c r="C445" s="242"/>
      <c r="D445" s="242"/>
      <c r="E445" s="243"/>
      <c r="F445" s="244"/>
      <c r="G445" s="244"/>
      <c r="H445" s="243"/>
      <c r="I445" s="258"/>
      <c r="J445" s="245"/>
      <c r="K445" s="245"/>
      <c r="L445" s="76">
        <f t="shared" si="60"/>
        <v>0</v>
      </c>
      <c r="M445" s="246"/>
      <c r="N445" s="247"/>
      <c r="O445" s="248"/>
      <c r="P445" s="246"/>
      <c r="Q445" s="249"/>
      <c r="R445" s="250"/>
      <c r="S445" s="259"/>
      <c r="T445" s="260"/>
      <c r="U445" s="250"/>
      <c r="V445" s="78">
        <f t="shared" si="61"/>
        <v>0</v>
      </c>
      <c r="W445" s="261">
        <f t="shared" si="62"/>
        <v>0</v>
      </c>
      <c r="X445" s="133">
        <f t="shared" si="63"/>
        <v>0</v>
      </c>
      <c r="Y445" s="251"/>
      <c r="Z445" s="1736"/>
      <c r="AA445" s="1737"/>
      <c r="AB445" s="77">
        <f t="shared" si="64"/>
        <v>0</v>
      </c>
      <c r="AC445" s="134">
        <f t="shared" si="65"/>
        <v>0</v>
      </c>
      <c r="AD445" s="251"/>
      <c r="AE445" s="1736"/>
      <c r="AF445" s="1737"/>
      <c r="AG445" s="77">
        <f t="shared" si="66"/>
        <v>0</v>
      </c>
      <c r="AH445" s="136">
        <f t="shared" si="67"/>
        <v>0</v>
      </c>
      <c r="AI445" s="251"/>
      <c r="AJ445" s="1736"/>
      <c r="AK445" s="1737"/>
      <c r="AL445" s="79">
        <f t="shared" si="68"/>
        <v>0</v>
      </c>
      <c r="AM445" s="137">
        <f t="shared" si="69"/>
        <v>0</v>
      </c>
      <c r="AN445" s="251"/>
      <c r="AO445" s="1736"/>
      <c r="AP445" s="1737"/>
    </row>
    <row r="446" spans="1:42" s="85" customFormat="1" ht="13.5" thickBot="1">
      <c r="A446" s="240"/>
      <c r="B446" s="241"/>
      <c r="C446" s="242"/>
      <c r="D446" s="242"/>
      <c r="E446" s="243"/>
      <c r="F446" s="244"/>
      <c r="G446" s="244"/>
      <c r="H446" s="243"/>
      <c r="I446" s="258"/>
      <c r="J446" s="245"/>
      <c r="K446" s="245"/>
      <c r="L446" s="76">
        <f t="shared" si="60"/>
        <v>0</v>
      </c>
      <c r="M446" s="246"/>
      <c r="N446" s="247"/>
      <c r="O446" s="248"/>
      <c r="P446" s="246"/>
      <c r="Q446" s="249"/>
      <c r="R446" s="250"/>
      <c r="S446" s="259"/>
      <c r="T446" s="260"/>
      <c r="U446" s="250"/>
      <c r="V446" s="78">
        <f t="shared" si="61"/>
        <v>0</v>
      </c>
      <c r="W446" s="261">
        <f t="shared" si="62"/>
        <v>0</v>
      </c>
      <c r="X446" s="133">
        <f t="shared" si="63"/>
        <v>0</v>
      </c>
      <c r="Y446" s="251"/>
      <c r="Z446" s="1736"/>
      <c r="AA446" s="1737"/>
      <c r="AB446" s="77">
        <f t="shared" si="64"/>
        <v>0</v>
      </c>
      <c r="AC446" s="134">
        <f t="shared" si="65"/>
        <v>0</v>
      </c>
      <c r="AD446" s="251"/>
      <c r="AE446" s="1736"/>
      <c r="AF446" s="1737"/>
      <c r="AG446" s="77">
        <f t="shared" si="66"/>
        <v>0</v>
      </c>
      <c r="AH446" s="136">
        <f t="shared" si="67"/>
        <v>0</v>
      </c>
      <c r="AI446" s="251"/>
      <c r="AJ446" s="1736"/>
      <c r="AK446" s="1737"/>
      <c r="AL446" s="79">
        <f t="shared" si="68"/>
        <v>0</v>
      </c>
      <c r="AM446" s="137">
        <f t="shared" si="69"/>
        <v>0</v>
      </c>
      <c r="AN446" s="251"/>
      <c r="AO446" s="1736"/>
      <c r="AP446" s="1737"/>
    </row>
    <row r="447" spans="1:42" s="85" customFormat="1" ht="13.5" thickBot="1">
      <c r="A447" s="240"/>
      <c r="B447" s="241"/>
      <c r="C447" s="242"/>
      <c r="D447" s="242"/>
      <c r="E447" s="243"/>
      <c r="F447" s="244"/>
      <c r="G447" s="244"/>
      <c r="H447" s="243"/>
      <c r="I447" s="258"/>
      <c r="J447" s="245"/>
      <c r="K447" s="245"/>
      <c r="L447" s="76">
        <f t="shared" si="60"/>
        <v>0</v>
      </c>
      <c r="M447" s="246"/>
      <c r="N447" s="247"/>
      <c r="O447" s="248"/>
      <c r="P447" s="246"/>
      <c r="Q447" s="249"/>
      <c r="R447" s="250"/>
      <c r="S447" s="259"/>
      <c r="T447" s="260"/>
      <c r="U447" s="250"/>
      <c r="V447" s="78">
        <f t="shared" si="61"/>
        <v>0</v>
      </c>
      <c r="W447" s="261">
        <f t="shared" si="62"/>
        <v>0</v>
      </c>
      <c r="X447" s="133">
        <f t="shared" si="63"/>
        <v>0</v>
      </c>
      <c r="Y447" s="251"/>
      <c r="Z447" s="1736"/>
      <c r="AA447" s="1737"/>
      <c r="AB447" s="77">
        <f t="shared" si="64"/>
        <v>0</v>
      </c>
      <c r="AC447" s="134">
        <f t="shared" si="65"/>
        <v>0</v>
      </c>
      <c r="AD447" s="251"/>
      <c r="AE447" s="1736"/>
      <c r="AF447" s="1737"/>
      <c r="AG447" s="77">
        <f t="shared" si="66"/>
        <v>0</v>
      </c>
      <c r="AH447" s="136">
        <f t="shared" si="67"/>
        <v>0</v>
      </c>
      <c r="AI447" s="251"/>
      <c r="AJ447" s="1736"/>
      <c r="AK447" s="1737"/>
      <c r="AL447" s="79">
        <f t="shared" si="68"/>
        <v>0</v>
      </c>
      <c r="AM447" s="137">
        <f t="shared" si="69"/>
        <v>0</v>
      </c>
      <c r="AN447" s="251"/>
      <c r="AO447" s="1736"/>
      <c r="AP447" s="1737"/>
    </row>
    <row r="448" spans="1:42" s="85" customFormat="1" ht="13.5" thickBot="1">
      <c r="A448" s="240"/>
      <c r="B448" s="241"/>
      <c r="C448" s="242"/>
      <c r="D448" s="242"/>
      <c r="E448" s="243"/>
      <c r="F448" s="244"/>
      <c r="G448" s="244"/>
      <c r="H448" s="243"/>
      <c r="I448" s="258"/>
      <c r="J448" s="245"/>
      <c r="K448" s="245"/>
      <c r="L448" s="76">
        <f t="shared" si="60"/>
        <v>0</v>
      </c>
      <c r="M448" s="246"/>
      <c r="N448" s="247"/>
      <c r="O448" s="248"/>
      <c r="P448" s="246"/>
      <c r="Q448" s="249"/>
      <c r="R448" s="250"/>
      <c r="S448" s="259"/>
      <c r="T448" s="260"/>
      <c r="U448" s="250"/>
      <c r="V448" s="78">
        <f t="shared" si="61"/>
        <v>0</v>
      </c>
      <c r="W448" s="261">
        <f t="shared" si="62"/>
        <v>0</v>
      </c>
      <c r="X448" s="133">
        <f t="shared" si="63"/>
        <v>0</v>
      </c>
      <c r="Y448" s="251"/>
      <c r="Z448" s="1736"/>
      <c r="AA448" s="1737"/>
      <c r="AB448" s="77">
        <f t="shared" si="64"/>
        <v>0</v>
      </c>
      <c r="AC448" s="134">
        <f t="shared" si="65"/>
        <v>0</v>
      </c>
      <c r="AD448" s="251"/>
      <c r="AE448" s="1736"/>
      <c r="AF448" s="1737"/>
      <c r="AG448" s="77">
        <f t="shared" si="66"/>
        <v>0</v>
      </c>
      <c r="AH448" s="136">
        <f t="shared" si="67"/>
        <v>0</v>
      </c>
      <c r="AI448" s="251"/>
      <c r="AJ448" s="1736"/>
      <c r="AK448" s="1737"/>
      <c r="AL448" s="79">
        <f t="shared" si="68"/>
        <v>0</v>
      </c>
      <c r="AM448" s="137">
        <f t="shared" si="69"/>
        <v>0</v>
      </c>
      <c r="AN448" s="251"/>
      <c r="AO448" s="1736"/>
      <c r="AP448" s="1737"/>
    </row>
    <row r="449" spans="1:42" s="85" customFormat="1" ht="13.5" thickBot="1">
      <c r="A449" s="240"/>
      <c r="B449" s="241"/>
      <c r="C449" s="242"/>
      <c r="D449" s="242"/>
      <c r="E449" s="243"/>
      <c r="F449" s="244"/>
      <c r="G449" s="244"/>
      <c r="H449" s="243"/>
      <c r="I449" s="258"/>
      <c r="J449" s="245"/>
      <c r="K449" s="245"/>
      <c r="L449" s="76">
        <f t="shared" si="60"/>
        <v>0</v>
      </c>
      <c r="M449" s="246"/>
      <c r="N449" s="247"/>
      <c r="O449" s="248"/>
      <c r="P449" s="246"/>
      <c r="Q449" s="249"/>
      <c r="R449" s="250"/>
      <c r="S449" s="259"/>
      <c r="T449" s="260"/>
      <c r="U449" s="250"/>
      <c r="V449" s="78">
        <f t="shared" si="61"/>
        <v>0</v>
      </c>
      <c r="W449" s="261">
        <f t="shared" si="62"/>
        <v>0</v>
      </c>
      <c r="X449" s="133">
        <f t="shared" si="63"/>
        <v>0</v>
      </c>
      <c r="Y449" s="251"/>
      <c r="Z449" s="1736"/>
      <c r="AA449" s="1737"/>
      <c r="AB449" s="77">
        <f t="shared" si="64"/>
        <v>0</v>
      </c>
      <c r="AC449" s="134">
        <f t="shared" si="65"/>
        <v>0</v>
      </c>
      <c r="AD449" s="251"/>
      <c r="AE449" s="1736"/>
      <c r="AF449" s="1737"/>
      <c r="AG449" s="77">
        <f t="shared" si="66"/>
        <v>0</v>
      </c>
      <c r="AH449" s="136">
        <f t="shared" si="67"/>
        <v>0</v>
      </c>
      <c r="AI449" s="251"/>
      <c r="AJ449" s="1736"/>
      <c r="AK449" s="1737"/>
      <c r="AL449" s="79">
        <f t="shared" si="68"/>
        <v>0</v>
      </c>
      <c r="AM449" s="137">
        <f t="shared" si="69"/>
        <v>0</v>
      </c>
      <c r="AN449" s="251"/>
      <c r="AO449" s="1736"/>
      <c r="AP449" s="1737"/>
    </row>
    <row r="450" spans="1:42" s="85" customFormat="1" ht="13.5" thickBot="1">
      <c r="A450" s="240"/>
      <c r="B450" s="241"/>
      <c r="C450" s="242"/>
      <c r="D450" s="242"/>
      <c r="E450" s="243"/>
      <c r="F450" s="244"/>
      <c r="G450" s="244"/>
      <c r="H450" s="243"/>
      <c r="I450" s="258"/>
      <c r="J450" s="245"/>
      <c r="K450" s="245"/>
      <c r="L450" s="76">
        <f t="shared" si="60"/>
        <v>0</v>
      </c>
      <c r="M450" s="246"/>
      <c r="N450" s="247"/>
      <c r="O450" s="248"/>
      <c r="P450" s="246"/>
      <c r="Q450" s="249"/>
      <c r="R450" s="250"/>
      <c r="S450" s="259"/>
      <c r="T450" s="260"/>
      <c r="U450" s="250"/>
      <c r="V450" s="78">
        <f t="shared" si="61"/>
        <v>0</v>
      </c>
      <c r="W450" s="261">
        <f t="shared" si="62"/>
        <v>0</v>
      </c>
      <c r="X450" s="133">
        <f t="shared" si="63"/>
        <v>0</v>
      </c>
      <c r="Y450" s="251"/>
      <c r="Z450" s="1736"/>
      <c r="AA450" s="1737"/>
      <c r="AB450" s="77">
        <f t="shared" si="64"/>
        <v>0</v>
      </c>
      <c r="AC450" s="134">
        <f t="shared" si="65"/>
        <v>0</v>
      </c>
      <c r="AD450" s="251"/>
      <c r="AE450" s="1736"/>
      <c r="AF450" s="1737"/>
      <c r="AG450" s="77">
        <f t="shared" si="66"/>
        <v>0</v>
      </c>
      <c r="AH450" s="136">
        <f t="shared" si="67"/>
        <v>0</v>
      </c>
      <c r="AI450" s="251"/>
      <c r="AJ450" s="1736"/>
      <c r="AK450" s="1737"/>
      <c r="AL450" s="79">
        <f t="shared" si="68"/>
        <v>0</v>
      </c>
      <c r="AM450" s="137">
        <f t="shared" si="69"/>
        <v>0</v>
      </c>
      <c r="AN450" s="251"/>
      <c r="AO450" s="1736"/>
      <c r="AP450" s="1737"/>
    </row>
    <row r="451" spans="1:42" s="85" customFormat="1" ht="13.5" thickBot="1">
      <c r="A451" s="240"/>
      <c r="B451" s="241"/>
      <c r="C451" s="242"/>
      <c r="D451" s="242"/>
      <c r="E451" s="243"/>
      <c r="F451" s="244"/>
      <c r="G451" s="244"/>
      <c r="H451" s="243"/>
      <c r="I451" s="258"/>
      <c r="J451" s="245"/>
      <c r="K451" s="245"/>
      <c r="L451" s="76">
        <f t="shared" si="60"/>
        <v>0</v>
      </c>
      <c r="M451" s="246"/>
      <c r="N451" s="247"/>
      <c r="O451" s="248"/>
      <c r="P451" s="246"/>
      <c r="Q451" s="249"/>
      <c r="R451" s="250"/>
      <c r="S451" s="259"/>
      <c r="T451" s="260"/>
      <c r="U451" s="250"/>
      <c r="V451" s="78">
        <f t="shared" si="61"/>
        <v>0</v>
      </c>
      <c r="W451" s="261">
        <f t="shared" si="62"/>
        <v>0</v>
      </c>
      <c r="X451" s="133">
        <f t="shared" si="63"/>
        <v>0</v>
      </c>
      <c r="Y451" s="251"/>
      <c r="Z451" s="1736"/>
      <c r="AA451" s="1737"/>
      <c r="AB451" s="77">
        <f t="shared" si="64"/>
        <v>0</v>
      </c>
      <c r="AC451" s="134">
        <f t="shared" si="65"/>
        <v>0</v>
      </c>
      <c r="AD451" s="251"/>
      <c r="AE451" s="1736"/>
      <c r="AF451" s="1737"/>
      <c r="AG451" s="77">
        <f t="shared" si="66"/>
        <v>0</v>
      </c>
      <c r="AH451" s="136">
        <f t="shared" si="67"/>
        <v>0</v>
      </c>
      <c r="AI451" s="251"/>
      <c r="AJ451" s="1736"/>
      <c r="AK451" s="1737"/>
      <c r="AL451" s="79">
        <f t="shared" si="68"/>
        <v>0</v>
      </c>
      <c r="AM451" s="137">
        <f t="shared" si="69"/>
        <v>0</v>
      </c>
      <c r="AN451" s="251"/>
      <c r="AO451" s="1736"/>
      <c r="AP451" s="1737"/>
    </row>
    <row r="452" spans="1:42" s="85" customFormat="1" ht="13.5" thickBot="1">
      <c r="A452" s="240"/>
      <c r="B452" s="241"/>
      <c r="C452" s="242"/>
      <c r="D452" s="242"/>
      <c r="E452" s="243"/>
      <c r="F452" s="244"/>
      <c r="G452" s="244"/>
      <c r="H452" s="243"/>
      <c r="I452" s="258"/>
      <c r="J452" s="245"/>
      <c r="K452" s="245"/>
      <c r="L452" s="76">
        <f t="shared" si="60"/>
        <v>0</v>
      </c>
      <c r="M452" s="246"/>
      <c r="N452" s="247"/>
      <c r="O452" s="248"/>
      <c r="P452" s="246"/>
      <c r="Q452" s="249"/>
      <c r="R452" s="250"/>
      <c r="S452" s="259"/>
      <c r="T452" s="260"/>
      <c r="U452" s="250"/>
      <c r="V452" s="78">
        <f t="shared" si="61"/>
        <v>0</v>
      </c>
      <c r="W452" s="261">
        <f t="shared" si="62"/>
        <v>0</v>
      </c>
      <c r="X452" s="133">
        <f t="shared" si="63"/>
        <v>0</v>
      </c>
      <c r="Y452" s="251"/>
      <c r="Z452" s="1736"/>
      <c r="AA452" s="1737"/>
      <c r="AB452" s="77">
        <f t="shared" si="64"/>
        <v>0</v>
      </c>
      <c r="AC452" s="134">
        <f t="shared" si="65"/>
        <v>0</v>
      </c>
      <c r="AD452" s="251"/>
      <c r="AE452" s="1736"/>
      <c r="AF452" s="1737"/>
      <c r="AG452" s="77">
        <f t="shared" si="66"/>
        <v>0</v>
      </c>
      <c r="AH452" s="136">
        <f t="shared" si="67"/>
        <v>0</v>
      </c>
      <c r="AI452" s="251"/>
      <c r="AJ452" s="1736"/>
      <c r="AK452" s="1737"/>
      <c r="AL452" s="79">
        <f t="shared" si="68"/>
        <v>0</v>
      </c>
      <c r="AM452" s="137">
        <f t="shared" si="69"/>
        <v>0</v>
      </c>
      <c r="AN452" s="251"/>
      <c r="AO452" s="1736"/>
      <c r="AP452" s="1737"/>
    </row>
    <row r="453" spans="1:42" s="85" customFormat="1" ht="13.5" thickBot="1">
      <c r="A453" s="240"/>
      <c r="B453" s="241"/>
      <c r="C453" s="242"/>
      <c r="D453" s="242"/>
      <c r="E453" s="243"/>
      <c r="F453" s="244"/>
      <c r="G453" s="244"/>
      <c r="H453" s="243"/>
      <c r="I453" s="258"/>
      <c r="J453" s="245"/>
      <c r="K453" s="245"/>
      <c r="L453" s="76">
        <f t="shared" si="60"/>
        <v>0</v>
      </c>
      <c r="M453" s="246"/>
      <c r="N453" s="247"/>
      <c r="O453" s="248"/>
      <c r="P453" s="246"/>
      <c r="Q453" s="249"/>
      <c r="R453" s="250"/>
      <c r="S453" s="259"/>
      <c r="T453" s="260"/>
      <c r="U453" s="250"/>
      <c r="V453" s="78">
        <f t="shared" si="61"/>
        <v>0</v>
      </c>
      <c r="W453" s="261">
        <f t="shared" si="62"/>
        <v>0</v>
      </c>
      <c r="X453" s="133">
        <f t="shared" si="63"/>
        <v>0</v>
      </c>
      <c r="Y453" s="251"/>
      <c r="Z453" s="1736"/>
      <c r="AA453" s="1737"/>
      <c r="AB453" s="77">
        <f t="shared" si="64"/>
        <v>0</v>
      </c>
      <c r="AC453" s="134">
        <f t="shared" si="65"/>
        <v>0</v>
      </c>
      <c r="AD453" s="251"/>
      <c r="AE453" s="1736"/>
      <c r="AF453" s="1737"/>
      <c r="AG453" s="77">
        <f t="shared" si="66"/>
        <v>0</v>
      </c>
      <c r="AH453" s="136">
        <f t="shared" si="67"/>
        <v>0</v>
      </c>
      <c r="AI453" s="251"/>
      <c r="AJ453" s="1736"/>
      <c r="AK453" s="1737"/>
      <c r="AL453" s="79">
        <f t="shared" si="68"/>
        <v>0</v>
      </c>
      <c r="AM453" s="137">
        <f t="shared" si="69"/>
        <v>0</v>
      </c>
      <c r="AN453" s="251"/>
      <c r="AO453" s="1736"/>
      <c r="AP453" s="1737"/>
    </row>
    <row r="454" spans="1:42" s="85" customFormat="1" ht="13.5" thickBot="1">
      <c r="A454" s="240"/>
      <c r="B454" s="241"/>
      <c r="C454" s="242"/>
      <c r="D454" s="242"/>
      <c r="E454" s="243"/>
      <c r="F454" s="244"/>
      <c r="G454" s="244"/>
      <c r="H454" s="243"/>
      <c r="I454" s="258"/>
      <c r="J454" s="245"/>
      <c r="K454" s="245"/>
      <c r="L454" s="76">
        <f t="shared" si="60"/>
        <v>0</v>
      </c>
      <c r="M454" s="246"/>
      <c r="N454" s="247"/>
      <c r="O454" s="248"/>
      <c r="P454" s="246"/>
      <c r="Q454" s="249"/>
      <c r="R454" s="250"/>
      <c r="S454" s="259"/>
      <c r="T454" s="260"/>
      <c r="U454" s="250"/>
      <c r="V454" s="78">
        <f t="shared" si="61"/>
        <v>0</v>
      </c>
      <c r="W454" s="261">
        <f t="shared" si="62"/>
        <v>0</v>
      </c>
      <c r="X454" s="133">
        <f t="shared" si="63"/>
        <v>0</v>
      </c>
      <c r="Y454" s="251"/>
      <c r="Z454" s="1736"/>
      <c r="AA454" s="1737"/>
      <c r="AB454" s="77">
        <f t="shared" si="64"/>
        <v>0</v>
      </c>
      <c r="AC454" s="134">
        <f t="shared" si="65"/>
        <v>0</v>
      </c>
      <c r="AD454" s="251"/>
      <c r="AE454" s="1736"/>
      <c r="AF454" s="1737"/>
      <c r="AG454" s="77">
        <f t="shared" si="66"/>
        <v>0</v>
      </c>
      <c r="AH454" s="136">
        <f t="shared" si="67"/>
        <v>0</v>
      </c>
      <c r="AI454" s="251"/>
      <c r="AJ454" s="1736"/>
      <c r="AK454" s="1737"/>
      <c r="AL454" s="79">
        <f t="shared" si="68"/>
        <v>0</v>
      </c>
      <c r="AM454" s="137">
        <f t="shared" si="69"/>
        <v>0</v>
      </c>
      <c r="AN454" s="251"/>
      <c r="AO454" s="1736"/>
      <c r="AP454" s="1737"/>
    </row>
    <row r="455" spans="1:42" s="85" customFormat="1" ht="13.5" thickBot="1">
      <c r="A455" s="240"/>
      <c r="B455" s="241"/>
      <c r="C455" s="242"/>
      <c r="D455" s="242"/>
      <c r="E455" s="243"/>
      <c r="F455" s="244"/>
      <c r="G455" s="244"/>
      <c r="H455" s="243"/>
      <c r="I455" s="258"/>
      <c r="J455" s="245"/>
      <c r="K455" s="245"/>
      <c r="L455" s="76">
        <f t="shared" si="60"/>
        <v>0</v>
      </c>
      <c r="M455" s="246"/>
      <c r="N455" s="247"/>
      <c r="O455" s="248"/>
      <c r="P455" s="246"/>
      <c r="Q455" s="249"/>
      <c r="R455" s="250"/>
      <c r="S455" s="259"/>
      <c r="T455" s="260"/>
      <c r="U455" s="250"/>
      <c r="V455" s="78">
        <f t="shared" si="61"/>
        <v>0</v>
      </c>
      <c r="W455" s="261">
        <f t="shared" si="62"/>
        <v>0</v>
      </c>
      <c r="X455" s="133">
        <f t="shared" si="63"/>
        <v>0</v>
      </c>
      <c r="Y455" s="251"/>
      <c r="Z455" s="1736"/>
      <c r="AA455" s="1737"/>
      <c r="AB455" s="77">
        <f t="shared" si="64"/>
        <v>0</v>
      </c>
      <c r="AC455" s="134">
        <f t="shared" si="65"/>
        <v>0</v>
      </c>
      <c r="AD455" s="251"/>
      <c r="AE455" s="1736"/>
      <c r="AF455" s="1737"/>
      <c r="AG455" s="77">
        <f t="shared" si="66"/>
        <v>0</v>
      </c>
      <c r="AH455" s="136">
        <f t="shared" si="67"/>
        <v>0</v>
      </c>
      <c r="AI455" s="251"/>
      <c r="AJ455" s="1736"/>
      <c r="AK455" s="1737"/>
      <c r="AL455" s="79">
        <f t="shared" si="68"/>
        <v>0</v>
      </c>
      <c r="AM455" s="137">
        <f t="shared" si="69"/>
        <v>0</v>
      </c>
      <c r="AN455" s="251"/>
      <c r="AO455" s="1736"/>
      <c r="AP455" s="1737"/>
    </row>
    <row r="456" spans="1:42" s="85" customFormat="1" ht="13.5" thickBot="1">
      <c r="A456" s="240"/>
      <c r="B456" s="241"/>
      <c r="C456" s="242"/>
      <c r="D456" s="242"/>
      <c r="E456" s="243"/>
      <c r="F456" s="244"/>
      <c r="G456" s="244"/>
      <c r="H456" s="243"/>
      <c r="I456" s="258"/>
      <c r="J456" s="245"/>
      <c r="K456" s="245"/>
      <c r="L456" s="76">
        <f t="shared" si="60"/>
        <v>0</v>
      </c>
      <c r="M456" s="246"/>
      <c r="N456" s="247"/>
      <c r="O456" s="248"/>
      <c r="P456" s="246"/>
      <c r="Q456" s="249"/>
      <c r="R456" s="250"/>
      <c r="S456" s="259"/>
      <c r="T456" s="260"/>
      <c r="U456" s="250"/>
      <c r="V456" s="78">
        <f t="shared" si="61"/>
        <v>0</v>
      </c>
      <c r="W456" s="261">
        <f t="shared" si="62"/>
        <v>0</v>
      </c>
      <c r="X456" s="133">
        <f t="shared" si="63"/>
        <v>0</v>
      </c>
      <c r="Y456" s="251"/>
      <c r="Z456" s="1736"/>
      <c r="AA456" s="1737"/>
      <c r="AB456" s="77">
        <f t="shared" si="64"/>
        <v>0</v>
      </c>
      <c r="AC456" s="134">
        <f t="shared" si="65"/>
        <v>0</v>
      </c>
      <c r="AD456" s="251"/>
      <c r="AE456" s="1736"/>
      <c r="AF456" s="1737"/>
      <c r="AG456" s="77">
        <f t="shared" si="66"/>
        <v>0</v>
      </c>
      <c r="AH456" s="136">
        <f t="shared" si="67"/>
        <v>0</v>
      </c>
      <c r="AI456" s="251"/>
      <c r="AJ456" s="1736"/>
      <c r="AK456" s="1737"/>
      <c r="AL456" s="79">
        <f t="shared" si="68"/>
        <v>0</v>
      </c>
      <c r="AM456" s="137">
        <f t="shared" si="69"/>
        <v>0</v>
      </c>
      <c r="AN456" s="251"/>
      <c r="AO456" s="1736"/>
      <c r="AP456" s="1737"/>
    </row>
    <row r="457" spans="1:42" s="85" customFormat="1" ht="13.5" thickBot="1">
      <c r="A457" s="240"/>
      <c r="B457" s="241"/>
      <c r="C457" s="242"/>
      <c r="D457" s="242"/>
      <c r="E457" s="243"/>
      <c r="F457" s="244"/>
      <c r="G457" s="244"/>
      <c r="H457" s="243"/>
      <c r="I457" s="258"/>
      <c r="J457" s="245"/>
      <c r="K457" s="245"/>
      <c r="L457" s="76">
        <f t="shared" si="60"/>
        <v>0</v>
      </c>
      <c r="M457" s="246"/>
      <c r="N457" s="247"/>
      <c r="O457" s="248"/>
      <c r="P457" s="246"/>
      <c r="Q457" s="249"/>
      <c r="R457" s="250"/>
      <c r="S457" s="259"/>
      <c r="T457" s="260"/>
      <c r="U457" s="250"/>
      <c r="V457" s="78">
        <f t="shared" si="61"/>
        <v>0</v>
      </c>
      <c r="W457" s="261">
        <f t="shared" si="62"/>
        <v>0</v>
      </c>
      <c r="X457" s="133">
        <f t="shared" si="63"/>
        <v>0</v>
      </c>
      <c r="Y457" s="251"/>
      <c r="Z457" s="1736"/>
      <c r="AA457" s="1737"/>
      <c r="AB457" s="77">
        <f t="shared" si="64"/>
        <v>0</v>
      </c>
      <c r="AC457" s="134">
        <f t="shared" si="65"/>
        <v>0</v>
      </c>
      <c r="AD457" s="251"/>
      <c r="AE457" s="1736"/>
      <c r="AF457" s="1737"/>
      <c r="AG457" s="77">
        <f t="shared" si="66"/>
        <v>0</v>
      </c>
      <c r="AH457" s="136">
        <f t="shared" si="67"/>
        <v>0</v>
      </c>
      <c r="AI457" s="251"/>
      <c r="AJ457" s="1736"/>
      <c r="AK457" s="1737"/>
      <c r="AL457" s="79">
        <f t="shared" si="68"/>
        <v>0</v>
      </c>
      <c r="AM457" s="137">
        <f t="shared" si="69"/>
        <v>0</v>
      </c>
      <c r="AN457" s="251"/>
      <c r="AO457" s="1736"/>
      <c r="AP457" s="1737"/>
    </row>
    <row r="458" spans="1:42" s="85" customFormat="1" ht="13.5" thickBot="1">
      <c r="A458" s="240"/>
      <c r="B458" s="241"/>
      <c r="C458" s="242"/>
      <c r="D458" s="242"/>
      <c r="E458" s="243"/>
      <c r="F458" s="244"/>
      <c r="G458" s="244"/>
      <c r="H458" s="243"/>
      <c r="I458" s="258"/>
      <c r="J458" s="245"/>
      <c r="K458" s="245"/>
      <c r="L458" s="76">
        <f t="shared" si="60"/>
        <v>0</v>
      </c>
      <c r="M458" s="246"/>
      <c r="N458" s="247"/>
      <c r="O458" s="248"/>
      <c r="P458" s="246"/>
      <c r="Q458" s="249"/>
      <c r="R458" s="250"/>
      <c r="S458" s="259"/>
      <c r="T458" s="260"/>
      <c r="U458" s="250"/>
      <c r="V458" s="78">
        <f t="shared" si="61"/>
        <v>0</v>
      </c>
      <c r="W458" s="261">
        <f t="shared" si="62"/>
        <v>0</v>
      </c>
      <c r="X458" s="133">
        <f t="shared" si="63"/>
        <v>0</v>
      </c>
      <c r="Y458" s="251"/>
      <c r="Z458" s="1736"/>
      <c r="AA458" s="1737"/>
      <c r="AB458" s="77">
        <f t="shared" si="64"/>
        <v>0</v>
      </c>
      <c r="AC458" s="134">
        <f t="shared" si="65"/>
        <v>0</v>
      </c>
      <c r="AD458" s="251"/>
      <c r="AE458" s="1736"/>
      <c r="AF458" s="1737"/>
      <c r="AG458" s="77">
        <f t="shared" si="66"/>
        <v>0</v>
      </c>
      <c r="AH458" s="136">
        <f t="shared" si="67"/>
        <v>0</v>
      </c>
      <c r="AI458" s="251"/>
      <c r="AJ458" s="1736"/>
      <c r="AK458" s="1737"/>
      <c r="AL458" s="79">
        <f t="shared" si="68"/>
        <v>0</v>
      </c>
      <c r="AM458" s="137">
        <f t="shared" si="69"/>
        <v>0</v>
      </c>
      <c r="AN458" s="251"/>
      <c r="AO458" s="1736"/>
      <c r="AP458" s="1737"/>
    </row>
    <row r="459" spans="1:42" s="85" customFormat="1" ht="13.5" thickBot="1">
      <c r="A459" s="240"/>
      <c r="B459" s="241"/>
      <c r="C459" s="242"/>
      <c r="D459" s="242"/>
      <c r="E459" s="243"/>
      <c r="F459" s="244"/>
      <c r="G459" s="244"/>
      <c r="H459" s="243"/>
      <c r="I459" s="258"/>
      <c r="J459" s="245"/>
      <c r="K459" s="245"/>
      <c r="L459" s="76">
        <f t="shared" ref="L459:L522" si="70">IF(I459=0,0,(K459+J459)/I459)</f>
        <v>0</v>
      </c>
      <c r="M459" s="246"/>
      <c r="N459" s="247"/>
      <c r="O459" s="248"/>
      <c r="P459" s="246"/>
      <c r="Q459" s="249"/>
      <c r="R459" s="250"/>
      <c r="S459" s="259"/>
      <c r="T459" s="260"/>
      <c r="U459" s="250"/>
      <c r="V459" s="78">
        <f t="shared" ref="V459:V522" si="71">IF(U459=0,0,((U459*S459)-AB459-AL459))</f>
        <v>0</v>
      </c>
      <c r="W459" s="261">
        <f t="shared" ref="W459:W522" si="72">+S459-I459</f>
        <v>0</v>
      </c>
      <c r="X459" s="133">
        <f t="shared" ref="X459:X522" si="73">(V459-J459)</f>
        <v>0</v>
      </c>
      <c r="Y459" s="251"/>
      <c r="Z459" s="1736"/>
      <c r="AA459" s="1737"/>
      <c r="AB459" s="77">
        <f t="shared" ref="AB459:AB522" si="74">(IF(I459=0,0,M459/H459))*S459</f>
        <v>0</v>
      </c>
      <c r="AC459" s="134">
        <f t="shared" ref="AC459:AC522" si="75">+AB459-P459</f>
        <v>0</v>
      </c>
      <c r="AD459" s="251"/>
      <c r="AE459" s="1736"/>
      <c r="AF459" s="1737"/>
      <c r="AG459" s="77">
        <f t="shared" ref="AG459:AG522" si="76">(IF(H459=0,0,N459/H459))*T459</f>
        <v>0</v>
      </c>
      <c r="AH459" s="136">
        <f t="shared" ref="AH459:AH522" si="77">+AG459-Q459</f>
        <v>0</v>
      </c>
      <c r="AI459" s="251"/>
      <c r="AJ459" s="1736"/>
      <c r="AK459" s="1737"/>
      <c r="AL459" s="79">
        <f t="shared" ref="AL459:AL522" si="78">+O459*S459</f>
        <v>0</v>
      </c>
      <c r="AM459" s="137">
        <f t="shared" ref="AM459:AM522" si="79">+AL459-R459</f>
        <v>0</v>
      </c>
      <c r="AN459" s="251"/>
      <c r="AO459" s="1736"/>
      <c r="AP459" s="1737"/>
    </row>
    <row r="460" spans="1:42" s="85" customFormat="1" ht="13.5" thickBot="1">
      <c r="A460" s="240"/>
      <c r="B460" s="241"/>
      <c r="C460" s="242"/>
      <c r="D460" s="242"/>
      <c r="E460" s="243"/>
      <c r="F460" s="244"/>
      <c r="G460" s="244"/>
      <c r="H460" s="243"/>
      <c r="I460" s="258"/>
      <c r="J460" s="245"/>
      <c r="K460" s="245"/>
      <c r="L460" s="76">
        <f t="shared" si="70"/>
        <v>0</v>
      </c>
      <c r="M460" s="246"/>
      <c r="N460" s="247"/>
      <c r="O460" s="248"/>
      <c r="P460" s="246"/>
      <c r="Q460" s="249"/>
      <c r="R460" s="250"/>
      <c r="S460" s="259"/>
      <c r="T460" s="260"/>
      <c r="U460" s="250"/>
      <c r="V460" s="78">
        <f t="shared" si="71"/>
        <v>0</v>
      </c>
      <c r="W460" s="261">
        <f t="shared" si="72"/>
        <v>0</v>
      </c>
      <c r="X460" s="133">
        <f t="shared" si="73"/>
        <v>0</v>
      </c>
      <c r="Y460" s="251"/>
      <c r="Z460" s="1736"/>
      <c r="AA460" s="1737"/>
      <c r="AB460" s="77">
        <f t="shared" si="74"/>
        <v>0</v>
      </c>
      <c r="AC460" s="134">
        <f t="shared" si="75"/>
        <v>0</v>
      </c>
      <c r="AD460" s="251"/>
      <c r="AE460" s="1736"/>
      <c r="AF460" s="1737"/>
      <c r="AG460" s="77">
        <f t="shared" si="76"/>
        <v>0</v>
      </c>
      <c r="AH460" s="136">
        <f t="shared" si="77"/>
        <v>0</v>
      </c>
      <c r="AI460" s="251"/>
      <c r="AJ460" s="1736"/>
      <c r="AK460" s="1737"/>
      <c r="AL460" s="79">
        <f t="shared" si="78"/>
        <v>0</v>
      </c>
      <c r="AM460" s="137">
        <f t="shared" si="79"/>
        <v>0</v>
      </c>
      <c r="AN460" s="251"/>
      <c r="AO460" s="1736"/>
      <c r="AP460" s="1737"/>
    </row>
    <row r="461" spans="1:42" s="85" customFormat="1" ht="13.5" thickBot="1">
      <c r="A461" s="240"/>
      <c r="B461" s="241"/>
      <c r="C461" s="242"/>
      <c r="D461" s="242"/>
      <c r="E461" s="243"/>
      <c r="F461" s="244"/>
      <c r="G461" s="244"/>
      <c r="H461" s="243"/>
      <c r="I461" s="258"/>
      <c r="J461" s="245"/>
      <c r="K461" s="245"/>
      <c r="L461" s="76">
        <f t="shared" si="70"/>
        <v>0</v>
      </c>
      <c r="M461" s="246"/>
      <c r="N461" s="247"/>
      <c r="O461" s="248"/>
      <c r="P461" s="246"/>
      <c r="Q461" s="249"/>
      <c r="R461" s="250"/>
      <c r="S461" s="259"/>
      <c r="T461" s="260"/>
      <c r="U461" s="250"/>
      <c r="V461" s="78">
        <f t="shared" si="71"/>
        <v>0</v>
      </c>
      <c r="W461" s="261">
        <f t="shared" si="72"/>
        <v>0</v>
      </c>
      <c r="X461" s="133">
        <f t="shared" si="73"/>
        <v>0</v>
      </c>
      <c r="Y461" s="251"/>
      <c r="Z461" s="1736"/>
      <c r="AA461" s="1737"/>
      <c r="AB461" s="77">
        <f t="shared" si="74"/>
        <v>0</v>
      </c>
      <c r="AC461" s="134">
        <f t="shared" si="75"/>
        <v>0</v>
      </c>
      <c r="AD461" s="251"/>
      <c r="AE461" s="1736"/>
      <c r="AF461" s="1737"/>
      <c r="AG461" s="77">
        <f t="shared" si="76"/>
        <v>0</v>
      </c>
      <c r="AH461" s="136">
        <f t="shared" si="77"/>
        <v>0</v>
      </c>
      <c r="AI461" s="251"/>
      <c r="AJ461" s="1736"/>
      <c r="AK461" s="1737"/>
      <c r="AL461" s="79">
        <f t="shared" si="78"/>
        <v>0</v>
      </c>
      <c r="AM461" s="137">
        <f t="shared" si="79"/>
        <v>0</v>
      </c>
      <c r="AN461" s="251"/>
      <c r="AO461" s="1736"/>
      <c r="AP461" s="1737"/>
    </row>
    <row r="462" spans="1:42" s="85" customFormat="1" ht="13.5" thickBot="1">
      <c r="A462" s="240"/>
      <c r="B462" s="241"/>
      <c r="C462" s="242"/>
      <c r="D462" s="242"/>
      <c r="E462" s="243"/>
      <c r="F462" s="244"/>
      <c r="G462" s="244"/>
      <c r="H462" s="243"/>
      <c r="I462" s="258"/>
      <c r="J462" s="245"/>
      <c r="K462" s="245"/>
      <c r="L462" s="76">
        <f t="shared" si="70"/>
        <v>0</v>
      </c>
      <c r="M462" s="246"/>
      <c r="N462" s="247"/>
      <c r="O462" s="248"/>
      <c r="P462" s="246"/>
      <c r="Q462" s="249"/>
      <c r="R462" s="250"/>
      <c r="S462" s="259"/>
      <c r="T462" s="260"/>
      <c r="U462" s="250"/>
      <c r="V462" s="78">
        <f t="shared" si="71"/>
        <v>0</v>
      </c>
      <c r="W462" s="261">
        <f t="shared" si="72"/>
        <v>0</v>
      </c>
      <c r="X462" s="133">
        <f t="shared" si="73"/>
        <v>0</v>
      </c>
      <c r="Y462" s="251"/>
      <c r="Z462" s="1736"/>
      <c r="AA462" s="1737"/>
      <c r="AB462" s="77">
        <f t="shared" si="74"/>
        <v>0</v>
      </c>
      <c r="AC462" s="134">
        <f t="shared" si="75"/>
        <v>0</v>
      </c>
      <c r="AD462" s="251"/>
      <c r="AE462" s="1736"/>
      <c r="AF462" s="1737"/>
      <c r="AG462" s="77">
        <f t="shared" si="76"/>
        <v>0</v>
      </c>
      <c r="AH462" s="136">
        <f t="shared" si="77"/>
        <v>0</v>
      </c>
      <c r="AI462" s="251"/>
      <c r="AJ462" s="1736"/>
      <c r="AK462" s="1737"/>
      <c r="AL462" s="79">
        <f t="shared" si="78"/>
        <v>0</v>
      </c>
      <c r="AM462" s="137">
        <f t="shared" si="79"/>
        <v>0</v>
      </c>
      <c r="AN462" s="251"/>
      <c r="AO462" s="1736"/>
      <c r="AP462" s="1737"/>
    </row>
    <row r="463" spans="1:42" s="85" customFormat="1" ht="13.5" thickBot="1">
      <c r="A463" s="240"/>
      <c r="B463" s="241"/>
      <c r="C463" s="242"/>
      <c r="D463" s="242"/>
      <c r="E463" s="243"/>
      <c r="F463" s="244"/>
      <c r="G463" s="244"/>
      <c r="H463" s="243"/>
      <c r="I463" s="258"/>
      <c r="J463" s="245"/>
      <c r="K463" s="245"/>
      <c r="L463" s="76">
        <f t="shared" si="70"/>
        <v>0</v>
      </c>
      <c r="M463" s="246"/>
      <c r="N463" s="247"/>
      <c r="O463" s="248"/>
      <c r="P463" s="246"/>
      <c r="Q463" s="249"/>
      <c r="R463" s="250"/>
      <c r="S463" s="259"/>
      <c r="T463" s="260"/>
      <c r="U463" s="250"/>
      <c r="V463" s="78">
        <f t="shared" si="71"/>
        <v>0</v>
      </c>
      <c r="W463" s="261">
        <f t="shared" si="72"/>
        <v>0</v>
      </c>
      <c r="X463" s="133">
        <f t="shared" si="73"/>
        <v>0</v>
      </c>
      <c r="Y463" s="251"/>
      <c r="Z463" s="1736"/>
      <c r="AA463" s="1737"/>
      <c r="AB463" s="77">
        <f t="shared" si="74"/>
        <v>0</v>
      </c>
      <c r="AC463" s="134">
        <f t="shared" si="75"/>
        <v>0</v>
      </c>
      <c r="AD463" s="251"/>
      <c r="AE463" s="1736"/>
      <c r="AF463" s="1737"/>
      <c r="AG463" s="77">
        <f t="shared" si="76"/>
        <v>0</v>
      </c>
      <c r="AH463" s="136">
        <f t="shared" si="77"/>
        <v>0</v>
      </c>
      <c r="AI463" s="251"/>
      <c r="AJ463" s="1736"/>
      <c r="AK463" s="1737"/>
      <c r="AL463" s="79">
        <f t="shared" si="78"/>
        <v>0</v>
      </c>
      <c r="AM463" s="137">
        <f t="shared" si="79"/>
        <v>0</v>
      </c>
      <c r="AN463" s="251"/>
      <c r="AO463" s="1736"/>
      <c r="AP463" s="1737"/>
    </row>
    <row r="464" spans="1:42" s="85" customFormat="1" ht="13.5" thickBot="1">
      <c r="A464" s="240"/>
      <c r="B464" s="241"/>
      <c r="C464" s="242"/>
      <c r="D464" s="242"/>
      <c r="E464" s="243"/>
      <c r="F464" s="244"/>
      <c r="G464" s="244"/>
      <c r="H464" s="243"/>
      <c r="I464" s="258"/>
      <c r="J464" s="245"/>
      <c r="K464" s="245"/>
      <c r="L464" s="76">
        <f t="shared" si="70"/>
        <v>0</v>
      </c>
      <c r="M464" s="246"/>
      <c r="N464" s="247"/>
      <c r="O464" s="248"/>
      <c r="P464" s="246"/>
      <c r="Q464" s="249"/>
      <c r="R464" s="250"/>
      <c r="S464" s="259"/>
      <c r="T464" s="260"/>
      <c r="U464" s="250"/>
      <c r="V464" s="78">
        <f t="shared" si="71"/>
        <v>0</v>
      </c>
      <c r="W464" s="261">
        <f t="shared" si="72"/>
        <v>0</v>
      </c>
      <c r="X464" s="133">
        <f t="shared" si="73"/>
        <v>0</v>
      </c>
      <c r="Y464" s="251"/>
      <c r="Z464" s="1736"/>
      <c r="AA464" s="1737"/>
      <c r="AB464" s="77">
        <f t="shared" si="74"/>
        <v>0</v>
      </c>
      <c r="AC464" s="134">
        <f t="shared" si="75"/>
        <v>0</v>
      </c>
      <c r="AD464" s="251"/>
      <c r="AE464" s="1736"/>
      <c r="AF464" s="1737"/>
      <c r="AG464" s="77">
        <f t="shared" si="76"/>
        <v>0</v>
      </c>
      <c r="AH464" s="136">
        <f t="shared" si="77"/>
        <v>0</v>
      </c>
      <c r="AI464" s="251"/>
      <c r="AJ464" s="1736"/>
      <c r="AK464" s="1737"/>
      <c r="AL464" s="79">
        <f t="shared" si="78"/>
        <v>0</v>
      </c>
      <c r="AM464" s="137">
        <f t="shared" si="79"/>
        <v>0</v>
      </c>
      <c r="AN464" s="251"/>
      <c r="AO464" s="1736"/>
      <c r="AP464" s="1737"/>
    </row>
    <row r="465" spans="1:42" s="85" customFormat="1" ht="13.5" thickBot="1">
      <c r="A465" s="240"/>
      <c r="B465" s="241"/>
      <c r="C465" s="242"/>
      <c r="D465" s="242"/>
      <c r="E465" s="243"/>
      <c r="F465" s="244"/>
      <c r="G465" s="244"/>
      <c r="H465" s="243"/>
      <c r="I465" s="258"/>
      <c r="J465" s="245"/>
      <c r="K465" s="245"/>
      <c r="L465" s="76">
        <f t="shared" si="70"/>
        <v>0</v>
      </c>
      <c r="M465" s="246"/>
      <c r="N465" s="247"/>
      <c r="O465" s="248"/>
      <c r="P465" s="246"/>
      <c r="Q465" s="249"/>
      <c r="R465" s="250"/>
      <c r="S465" s="259"/>
      <c r="T465" s="260"/>
      <c r="U465" s="250"/>
      <c r="V465" s="78">
        <f t="shared" si="71"/>
        <v>0</v>
      </c>
      <c r="W465" s="261">
        <f t="shared" si="72"/>
        <v>0</v>
      </c>
      <c r="X465" s="133">
        <f t="shared" si="73"/>
        <v>0</v>
      </c>
      <c r="Y465" s="251"/>
      <c r="Z465" s="1736"/>
      <c r="AA465" s="1737"/>
      <c r="AB465" s="77">
        <f t="shared" si="74"/>
        <v>0</v>
      </c>
      <c r="AC465" s="134">
        <f t="shared" si="75"/>
        <v>0</v>
      </c>
      <c r="AD465" s="251"/>
      <c r="AE465" s="1736"/>
      <c r="AF465" s="1737"/>
      <c r="AG465" s="77">
        <f t="shared" si="76"/>
        <v>0</v>
      </c>
      <c r="AH465" s="136">
        <f t="shared" si="77"/>
        <v>0</v>
      </c>
      <c r="AI465" s="251"/>
      <c r="AJ465" s="1736"/>
      <c r="AK465" s="1737"/>
      <c r="AL465" s="79">
        <f t="shared" si="78"/>
        <v>0</v>
      </c>
      <c r="AM465" s="137">
        <f t="shared" si="79"/>
        <v>0</v>
      </c>
      <c r="AN465" s="251"/>
      <c r="AO465" s="1736"/>
      <c r="AP465" s="1737"/>
    </row>
    <row r="466" spans="1:42" s="85" customFormat="1" ht="13.5" thickBot="1">
      <c r="A466" s="240"/>
      <c r="B466" s="241"/>
      <c r="C466" s="242"/>
      <c r="D466" s="242"/>
      <c r="E466" s="243"/>
      <c r="F466" s="244"/>
      <c r="G466" s="244"/>
      <c r="H466" s="243"/>
      <c r="I466" s="258"/>
      <c r="J466" s="245"/>
      <c r="K466" s="245"/>
      <c r="L466" s="76">
        <f t="shared" si="70"/>
        <v>0</v>
      </c>
      <c r="M466" s="246"/>
      <c r="N466" s="247"/>
      <c r="O466" s="248"/>
      <c r="P466" s="246"/>
      <c r="Q466" s="249"/>
      <c r="R466" s="250"/>
      <c r="S466" s="259"/>
      <c r="T466" s="260"/>
      <c r="U466" s="250"/>
      <c r="V466" s="78">
        <f t="shared" si="71"/>
        <v>0</v>
      </c>
      <c r="W466" s="261">
        <f t="shared" si="72"/>
        <v>0</v>
      </c>
      <c r="X466" s="133">
        <f t="shared" si="73"/>
        <v>0</v>
      </c>
      <c r="Y466" s="251"/>
      <c r="Z466" s="1736"/>
      <c r="AA466" s="1737"/>
      <c r="AB466" s="77">
        <f t="shared" si="74"/>
        <v>0</v>
      </c>
      <c r="AC466" s="134">
        <f t="shared" si="75"/>
        <v>0</v>
      </c>
      <c r="AD466" s="251"/>
      <c r="AE466" s="1736"/>
      <c r="AF466" s="1737"/>
      <c r="AG466" s="77">
        <f t="shared" si="76"/>
        <v>0</v>
      </c>
      <c r="AH466" s="136">
        <f t="shared" si="77"/>
        <v>0</v>
      </c>
      <c r="AI466" s="251"/>
      <c r="AJ466" s="1736"/>
      <c r="AK466" s="1737"/>
      <c r="AL466" s="79">
        <f t="shared" si="78"/>
        <v>0</v>
      </c>
      <c r="AM466" s="137">
        <f t="shared" si="79"/>
        <v>0</v>
      </c>
      <c r="AN466" s="251"/>
      <c r="AO466" s="1736"/>
      <c r="AP466" s="1737"/>
    </row>
    <row r="467" spans="1:42" s="85" customFormat="1" ht="13.5" thickBot="1">
      <c r="A467" s="240"/>
      <c r="B467" s="241"/>
      <c r="C467" s="242"/>
      <c r="D467" s="242"/>
      <c r="E467" s="243"/>
      <c r="F467" s="244"/>
      <c r="G467" s="244"/>
      <c r="H467" s="243"/>
      <c r="I467" s="258"/>
      <c r="J467" s="245"/>
      <c r="K467" s="245"/>
      <c r="L467" s="76">
        <f t="shared" si="70"/>
        <v>0</v>
      </c>
      <c r="M467" s="246"/>
      <c r="N467" s="247"/>
      <c r="O467" s="248"/>
      <c r="P467" s="246"/>
      <c r="Q467" s="249"/>
      <c r="R467" s="250"/>
      <c r="S467" s="259"/>
      <c r="T467" s="260"/>
      <c r="U467" s="250"/>
      <c r="V467" s="78">
        <f t="shared" si="71"/>
        <v>0</v>
      </c>
      <c r="W467" s="261">
        <f t="shared" si="72"/>
        <v>0</v>
      </c>
      <c r="X467" s="133">
        <f t="shared" si="73"/>
        <v>0</v>
      </c>
      <c r="Y467" s="251"/>
      <c r="Z467" s="1736"/>
      <c r="AA467" s="1737"/>
      <c r="AB467" s="77">
        <f t="shared" si="74"/>
        <v>0</v>
      </c>
      <c r="AC467" s="134">
        <f t="shared" si="75"/>
        <v>0</v>
      </c>
      <c r="AD467" s="251"/>
      <c r="AE467" s="1736"/>
      <c r="AF467" s="1737"/>
      <c r="AG467" s="77">
        <f t="shared" si="76"/>
        <v>0</v>
      </c>
      <c r="AH467" s="136">
        <f t="shared" si="77"/>
        <v>0</v>
      </c>
      <c r="AI467" s="251"/>
      <c r="AJ467" s="1736"/>
      <c r="AK467" s="1737"/>
      <c r="AL467" s="79">
        <f t="shared" si="78"/>
        <v>0</v>
      </c>
      <c r="AM467" s="137">
        <f t="shared" si="79"/>
        <v>0</v>
      </c>
      <c r="AN467" s="251"/>
      <c r="AO467" s="1736"/>
      <c r="AP467" s="1737"/>
    </row>
    <row r="468" spans="1:42" s="85" customFormat="1" ht="13.5" thickBot="1">
      <c r="A468" s="240"/>
      <c r="B468" s="241"/>
      <c r="C468" s="242"/>
      <c r="D468" s="242"/>
      <c r="E468" s="243"/>
      <c r="F468" s="244"/>
      <c r="G468" s="244"/>
      <c r="H468" s="243"/>
      <c r="I468" s="258"/>
      <c r="J468" s="245"/>
      <c r="K468" s="245"/>
      <c r="L468" s="76">
        <f t="shared" si="70"/>
        <v>0</v>
      </c>
      <c r="M468" s="246"/>
      <c r="N468" s="247"/>
      <c r="O468" s="248"/>
      <c r="P468" s="246"/>
      <c r="Q468" s="249"/>
      <c r="R468" s="250"/>
      <c r="S468" s="259"/>
      <c r="T468" s="260"/>
      <c r="U468" s="250"/>
      <c r="V468" s="78">
        <f t="shared" si="71"/>
        <v>0</v>
      </c>
      <c r="W468" s="261">
        <f t="shared" si="72"/>
        <v>0</v>
      </c>
      <c r="X468" s="133">
        <f t="shared" si="73"/>
        <v>0</v>
      </c>
      <c r="Y468" s="251"/>
      <c r="Z468" s="1736"/>
      <c r="AA468" s="1737"/>
      <c r="AB468" s="77">
        <f t="shared" si="74"/>
        <v>0</v>
      </c>
      <c r="AC468" s="134">
        <f t="shared" si="75"/>
        <v>0</v>
      </c>
      <c r="AD468" s="251"/>
      <c r="AE468" s="1736"/>
      <c r="AF468" s="1737"/>
      <c r="AG468" s="77">
        <f t="shared" si="76"/>
        <v>0</v>
      </c>
      <c r="AH468" s="136">
        <f t="shared" si="77"/>
        <v>0</v>
      </c>
      <c r="AI468" s="251"/>
      <c r="AJ468" s="1736"/>
      <c r="AK468" s="1737"/>
      <c r="AL468" s="79">
        <f t="shared" si="78"/>
        <v>0</v>
      </c>
      <c r="AM468" s="137">
        <f t="shared" si="79"/>
        <v>0</v>
      </c>
      <c r="AN468" s="251"/>
      <c r="AO468" s="1736"/>
      <c r="AP468" s="1737"/>
    </row>
    <row r="469" spans="1:42" s="85" customFormat="1" ht="13.5" thickBot="1">
      <c r="A469" s="240"/>
      <c r="B469" s="241"/>
      <c r="C469" s="242"/>
      <c r="D469" s="242"/>
      <c r="E469" s="243"/>
      <c r="F469" s="244"/>
      <c r="G469" s="244"/>
      <c r="H469" s="243"/>
      <c r="I469" s="258"/>
      <c r="J469" s="245"/>
      <c r="K469" s="245"/>
      <c r="L469" s="76">
        <f t="shared" si="70"/>
        <v>0</v>
      </c>
      <c r="M469" s="246"/>
      <c r="N469" s="247"/>
      <c r="O469" s="248"/>
      <c r="P469" s="246"/>
      <c r="Q469" s="249"/>
      <c r="R469" s="250"/>
      <c r="S469" s="259"/>
      <c r="T469" s="260"/>
      <c r="U469" s="250"/>
      <c r="V469" s="78">
        <f t="shared" si="71"/>
        <v>0</v>
      </c>
      <c r="W469" s="261">
        <f t="shared" si="72"/>
        <v>0</v>
      </c>
      <c r="X469" s="133">
        <f t="shared" si="73"/>
        <v>0</v>
      </c>
      <c r="Y469" s="251"/>
      <c r="Z469" s="1736"/>
      <c r="AA469" s="1737"/>
      <c r="AB469" s="77">
        <f t="shared" si="74"/>
        <v>0</v>
      </c>
      <c r="AC469" s="134">
        <f t="shared" si="75"/>
        <v>0</v>
      </c>
      <c r="AD469" s="251"/>
      <c r="AE469" s="1736"/>
      <c r="AF469" s="1737"/>
      <c r="AG469" s="77">
        <f t="shared" si="76"/>
        <v>0</v>
      </c>
      <c r="AH469" s="136">
        <f t="shared" si="77"/>
        <v>0</v>
      </c>
      <c r="AI469" s="251"/>
      <c r="AJ469" s="1736"/>
      <c r="AK469" s="1737"/>
      <c r="AL469" s="79">
        <f t="shared" si="78"/>
        <v>0</v>
      </c>
      <c r="AM469" s="137">
        <f t="shared" si="79"/>
        <v>0</v>
      </c>
      <c r="AN469" s="251"/>
      <c r="AO469" s="1736"/>
      <c r="AP469" s="1737"/>
    </row>
    <row r="470" spans="1:42" s="85" customFormat="1" ht="13.5" thickBot="1">
      <c r="A470" s="240"/>
      <c r="B470" s="241"/>
      <c r="C470" s="242"/>
      <c r="D470" s="242"/>
      <c r="E470" s="243"/>
      <c r="F470" s="244"/>
      <c r="G470" s="244"/>
      <c r="H470" s="243"/>
      <c r="I470" s="258"/>
      <c r="J470" s="245"/>
      <c r="K470" s="245"/>
      <c r="L470" s="76">
        <f t="shared" si="70"/>
        <v>0</v>
      </c>
      <c r="M470" s="246"/>
      <c r="N470" s="247"/>
      <c r="O470" s="248"/>
      <c r="P470" s="246"/>
      <c r="Q470" s="249"/>
      <c r="R470" s="250"/>
      <c r="S470" s="259"/>
      <c r="T470" s="260"/>
      <c r="U470" s="250"/>
      <c r="V470" s="78">
        <f t="shared" si="71"/>
        <v>0</v>
      </c>
      <c r="W470" s="261">
        <f t="shared" si="72"/>
        <v>0</v>
      </c>
      <c r="X470" s="133">
        <f t="shared" si="73"/>
        <v>0</v>
      </c>
      <c r="Y470" s="251"/>
      <c r="Z470" s="1736"/>
      <c r="AA470" s="1737"/>
      <c r="AB470" s="77">
        <f t="shared" si="74"/>
        <v>0</v>
      </c>
      <c r="AC470" s="134">
        <f t="shared" si="75"/>
        <v>0</v>
      </c>
      <c r="AD470" s="251"/>
      <c r="AE470" s="1736"/>
      <c r="AF470" s="1737"/>
      <c r="AG470" s="77">
        <f t="shared" si="76"/>
        <v>0</v>
      </c>
      <c r="AH470" s="136">
        <f t="shared" si="77"/>
        <v>0</v>
      </c>
      <c r="AI470" s="251"/>
      <c r="AJ470" s="1736"/>
      <c r="AK470" s="1737"/>
      <c r="AL470" s="79">
        <f t="shared" si="78"/>
        <v>0</v>
      </c>
      <c r="AM470" s="137">
        <f t="shared" si="79"/>
        <v>0</v>
      </c>
      <c r="AN470" s="251"/>
      <c r="AO470" s="1736"/>
      <c r="AP470" s="1737"/>
    </row>
    <row r="471" spans="1:42" s="85" customFormat="1" ht="13.5" thickBot="1">
      <c r="A471" s="240"/>
      <c r="B471" s="241"/>
      <c r="C471" s="242"/>
      <c r="D471" s="242"/>
      <c r="E471" s="243"/>
      <c r="F471" s="244"/>
      <c r="G471" s="244"/>
      <c r="H471" s="243"/>
      <c r="I471" s="258"/>
      <c r="J471" s="245"/>
      <c r="K471" s="245"/>
      <c r="L471" s="76">
        <f t="shared" si="70"/>
        <v>0</v>
      </c>
      <c r="M471" s="246"/>
      <c r="N471" s="247"/>
      <c r="O471" s="248"/>
      <c r="P471" s="246"/>
      <c r="Q471" s="249"/>
      <c r="R471" s="250"/>
      <c r="S471" s="259"/>
      <c r="T471" s="260"/>
      <c r="U471" s="250"/>
      <c r="V471" s="78">
        <f t="shared" si="71"/>
        <v>0</v>
      </c>
      <c r="W471" s="261">
        <f t="shared" si="72"/>
        <v>0</v>
      </c>
      <c r="X471" s="133">
        <f t="shared" si="73"/>
        <v>0</v>
      </c>
      <c r="Y471" s="251"/>
      <c r="Z471" s="1736"/>
      <c r="AA471" s="1737"/>
      <c r="AB471" s="77">
        <f t="shared" si="74"/>
        <v>0</v>
      </c>
      <c r="AC471" s="134">
        <f t="shared" si="75"/>
        <v>0</v>
      </c>
      <c r="AD471" s="251"/>
      <c r="AE471" s="1736"/>
      <c r="AF471" s="1737"/>
      <c r="AG471" s="77">
        <f t="shared" si="76"/>
        <v>0</v>
      </c>
      <c r="AH471" s="136">
        <f t="shared" si="77"/>
        <v>0</v>
      </c>
      <c r="AI471" s="251"/>
      <c r="AJ471" s="1736"/>
      <c r="AK471" s="1737"/>
      <c r="AL471" s="79">
        <f t="shared" si="78"/>
        <v>0</v>
      </c>
      <c r="AM471" s="137">
        <f t="shared" si="79"/>
        <v>0</v>
      </c>
      <c r="AN471" s="251"/>
      <c r="AO471" s="1736"/>
      <c r="AP471" s="1737"/>
    </row>
    <row r="472" spans="1:42" s="85" customFormat="1" ht="13.5" thickBot="1">
      <c r="A472" s="240"/>
      <c r="B472" s="241"/>
      <c r="C472" s="242"/>
      <c r="D472" s="242"/>
      <c r="E472" s="243"/>
      <c r="F472" s="244"/>
      <c r="G472" s="244"/>
      <c r="H472" s="243"/>
      <c r="I472" s="258"/>
      <c r="J472" s="245"/>
      <c r="K472" s="245"/>
      <c r="L472" s="76">
        <f t="shared" si="70"/>
        <v>0</v>
      </c>
      <c r="M472" s="246"/>
      <c r="N472" s="247"/>
      <c r="O472" s="248"/>
      <c r="P472" s="246"/>
      <c r="Q472" s="249"/>
      <c r="R472" s="250"/>
      <c r="S472" s="259"/>
      <c r="T472" s="260"/>
      <c r="U472" s="250"/>
      <c r="V472" s="78">
        <f t="shared" si="71"/>
        <v>0</v>
      </c>
      <c r="W472" s="261">
        <f t="shared" si="72"/>
        <v>0</v>
      </c>
      <c r="X472" s="133">
        <f t="shared" si="73"/>
        <v>0</v>
      </c>
      <c r="Y472" s="251"/>
      <c r="Z472" s="1736"/>
      <c r="AA472" s="1737"/>
      <c r="AB472" s="77">
        <f t="shared" si="74"/>
        <v>0</v>
      </c>
      <c r="AC472" s="134">
        <f t="shared" si="75"/>
        <v>0</v>
      </c>
      <c r="AD472" s="251"/>
      <c r="AE472" s="1736"/>
      <c r="AF472" s="1737"/>
      <c r="AG472" s="77">
        <f t="shared" si="76"/>
        <v>0</v>
      </c>
      <c r="AH472" s="136">
        <f t="shared" si="77"/>
        <v>0</v>
      </c>
      <c r="AI472" s="251"/>
      <c r="AJ472" s="1736"/>
      <c r="AK472" s="1737"/>
      <c r="AL472" s="79">
        <f t="shared" si="78"/>
        <v>0</v>
      </c>
      <c r="AM472" s="137">
        <f t="shared" si="79"/>
        <v>0</v>
      </c>
      <c r="AN472" s="251"/>
      <c r="AO472" s="1736"/>
      <c r="AP472" s="1737"/>
    </row>
    <row r="473" spans="1:42" s="85" customFormat="1" ht="13.5" thickBot="1">
      <c r="A473" s="240"/>
      <c r="B473" s="241"/>
      <c r="C473" s="242"/>
      <c r="D473" s="242"/>
      <c r="E473" s="243"/>
      <c r="F473" s="244"/>
      <c r="G473" s="244"/>
      <c r="H473" s="243"/>
      <c r="I473" s="258"/>
      <c r="J473" s="245"/>
      <c r="K473" s="245"/>
      <c r="L473" s="76">
        <f t="shared" si="70"/>
        <v>0</v>
      </c>
      <c r="M473" s="246"/>
      <c r="N473" s="247"/>
      <c r="O473" s="248"/>
      <c r="P473" s="246"/>
      <c r="Q473" s="249"/>
      <c r="R473" s="250"/>
      <c r="S473" s="259"/>
      <c r="T473" s="260"/>
      <c r="U473" s="250"/>
      <c r="V473" s="78">
        <f t="shared" si="71"/>
        <v>0</v>
      </c>
      <c r="W473" s="261">
        <f t="shared" si="72"/>
        <v>0</v>
      </c>
      <c r="X473" s="133">
        <f t="shared" si="73"/>
        <v>0</v>
      </c>
      <c r="Y473" s="251"/>
      <c r="Z473" s="1736"/>
      <c r="AA473" s="1737"/>
      <c r="AB473" s="77">
        <f t="shared" si="74"/>
        <v>0</v>
      </c>
      <c r="AC473" s="134">
        <f t="shared" si="75"/>
        <v>0</v>
      </c>
      <c r="AD473" s="251"/>
      <c r="AE473" s="1736"/>
      <c r="AF473" s="1737"/>
      <c r="AG473" s="77">
        <f t="shared" si="76"/>
        <v>0</v>
      </c>
      <c r="AH473" s="136">
        <f t="shared" si="77"/>
        <v>0</v>
      </c>
      <c r="AI473" s="251"/>
      <c r="AJ473" s="1736"/>
      <c r="AK473" s="1737"/>
      <c r="AL473" s="79">
        <f t="shared" si="78"/>
        <v>0</v>
      </c>
      <c r="AM473" s="137">
        <f t="shared" si="79"/>
        <v>0</v>
      </c>
      <c r="AN473" s="251"/>
      <c r="AO473" s="1736"/>
      <c r="AP473" s="1737"/>
    </row>
    <row r="474" spans="1:42" s="85" customFormat="1" ht="13.5" thickBot="1">
      <c r="A474" s="240"/>
      <c r="B474" s="241"/>
      <c r="C474" s="242"/>
      <c r="D474" s="242"/>
      <c r="E474" s="243"/>
      <c r="F474" s="244"/>
      <c r="G474" s="244"/>
      <c r="H474" s="243"/>
      <c r="I474" s="258"/>
      <c r="J474" s="245"/>
      <c r="K474" s="245"/>
      <c r="L474" s="76">
        <f t="shared" si="70"/>
        <v>0</v>
      </c>
      <c r="M474" s="246"/>
      <c r="N474" s="247"/>
      <c r="O474" s="248"/>
      <c r="P474" s="246"/>
      <c r="Q474" s="249"/>
      <c r="R474" s="250"/>
      <c r="S474" s="259"/>
      <c r="T474" s="260"/>
      <c r="U474" s="250"/>
      <c r="V474" s="78">
        <f t="shared" si="71"/>
        <v>0</v>
      </c>
      <c r="W474" s="261">
        <f t="shared" si="72"/>
        <v>0</v>
      </c>
      <c r="X474" s="133">
        <f t="shared" si="73"/>
        <v>0</v>
      </c>
      <c r="Y474" s="251"/>
      <c r="Z474" s="1736"/>
      <c r="AA474" s="1737"/>
      <c r="AB474" s="77">
        <f t="shared" si="74"/>
        <v>0</v>
      </c>
      <c r="AC474" s="134">
        <f t="shared" si="75"/>
        <v>0</v>
      </c>
      <c r="AD474" s="251"/>
      <c r="AE474" s="1736"/>
      <c r="AF474" s="1737"/>
      <c r="AG474" s="77">
        <f t="shared" si="76"/>
        <v>0</v>
      </c>
      <c r="AH474" s="136">
        <f t="shared" si="77"/>
        <v>0</v>
      </c>
      <c r="AI474" s="251"/>
      <c r="AJ474" s="1736"/>
      <c r="AK474" s="1737"/>
      <c r="AL474" s="79">
        <f t="shared" si="78"/>
        <v>0</v>
      </c>
      <c r="AM474" s="137">
        <f t="shared" si="79"/>
        <v>0</v>
      </c>
      <c r="AN474" s="251"/>
      <c r="AO474" s="1736"/>
      <c r="AP474" s="1737"/>
    </row>
    <row r="475" spans="1:42" s="85" customFormat="1" ht="13.5" thickBot="1">
      <c r="A475" s="240"/>
      <c r="B475" s="241"/>
      <c r="C475" s="242"/>
      <c r="D475" s="242"/>
      <c r="E475" s="243"/>
      <c r="F475" s="244"/>
      <c r="G475" s="244"/>
      <c r="H475" s="243"/>
      <c r="I475" s="258"/>
      <c r="J475" s="245"/>
      <c r="K475" s="245"/>
      <c r="L475" s="76">
        <f t="shared" si="70"/>
        <v>0</v>
      </c>
      <c r="M475" s="246"/>
      <c r="N475" s="247"/>
      <c r="O475" s="248"/>
      <c r="P475" s="246"/>
      <c r="Q475" s="249"/>
      <c r="R475" s="250"/>
      <c r="S475" s="259"/>
      <c r="T475" s="260"/>
      <c r="U475" s="250"/>
      <c r="V475" s="78">
        <f t="shared" si="71"/>
        <v>0</v>
      </c>
      <c r="W475" s="261">
        <f t="shared" si="72"/>
        <v>0</v>
      </c>
      <c r="X475" s="133">
        <f t="shared" si="73"/>
        <v>0</v>
      </c>
      <c r="Y475" s="251"/>
      <c r="Z475" s="1736"/>
      <c r="AA475" s="1737"/>
      <c r="AB475" s="77">
        <f t="shared" si="74"/>
        <v>0</v>
      </c>
      <c r="AC475" s="134">
        <f t="shared" si="75"/>
        <v>0</v>
      </c>
      <c r="AD475" s="251"/>
      <c r="AE475" s="1736"/>
      <c r="AF475" s="1737"/>
      <c r="AG475" s="77">
        <f t="shared" si="76"/>
        <v>0</v>
      </c>
      <c r="AH475" s="136">
        <f t="shared" si="77"/>
        <v>0</v>
      </c>
      <c r="AI475" s="251"/>
      <c r="AJ475" s="1736"/>
      <c r="AK475" s="1737"/>
      <c r="AL475" s="79">
        <f t="shared" si="78"/>
        <v>0</v>
      </c>
      <c r="AM475" s="137">
        <f t="shared" si="79"/>
        <v>0</v>
      </c>
      <c r="AN475" s="251"/>
      <c r="AO475" s="1736"/>
      <c r="AP475" s="1737"/>
    </row>
    <row r="476" spans="1:42" s="85" customFormat="1" ht="13.5" thickBot="1">
      <c r="A476" s="240"/>
      <c r="B476" s="241"/>
      <c r="C476" s="242"/>
      <c r="D476" s="242"/>
      <c r="E476" s="243"/>
      <c r="F476" s="244"/>
      <c r="G476" s="244"/>
      <c r="H476" s="243"/>
      <c r="I476" s="258"/>
      <c r="J476" s="245"/>
      <c r="K476" s="245"/>
      <c r="L476" s="76">
        <f t="shared" si="70"/>
        <v>0</v>
      </c>
      <c r="M476" s="246"/>
      <c r="N476" s="247"/>
      <c r="O476" s="248"/>
      <c r="P476" s="246"/>
      <c r="Q476" s="249"/>
      <c r="R476" s="250"/>
      <c r="S476" s="259"/>
      <c r="T476" s="260"/>
      <c r="U476" s="250"/>
      <c r="V476" s="78">
        <f t="shared" si="71"/>
        <v>0</v>
      </c>
      <c r="W476" s="261">
        <f t="shared" si="72"/>
        <v>0</v>
      </c>
      <c r="X476" s="133">
        <f t="shared" si="73"/>
        <v>0</v>
      </c>
      <c r="Y476" s="251"/>
      <c r="Z476" s="1736"/>
      <c r="AA476" s="1737"/>
      <c r="AB476" s="77">
        <f t="shared" si="74"/>
        <v>0</v>
      </c>
      <c r="AC476" s="134">
        <f t="shared" si="75"/>
        <v>0</v>
      </c>
      <c r="AD476" s="251"/>
      <c r="AE476" s="1736"/>
      <c r="AF476" s="1737"/>
      <c r="AG476" s="77">
        <f t="shared" si="76"/>
        <v>0</v>
      </c>
      <c r="AH476" s="136">
        <f t="shared" si="77"/>
        <v>0</v>
      </c>
      <c r="AI476" s="251"/>
      <c r="AJ476" s="1736"/>
      <c r="AK476" s="1737"/>
      <c r="AL476" s="79">
        <f t="shared" si="78"/>
        <v>0</v>
      </c>
      <c r="AM476" s="137">
        <f t="shared" si="79"/>
        <v>0</v>
      </c>
      <c r="AN476" s="251"/>
      <c r="AO476" s="1736"/>
      <c r="AP476" s="1737"/>
    </row>
    <row r="477" spans="1:42" s="85" customFormat="1" ht="13.5" thickBot="1">
      <c r="A477" s="240"/>
      <c r="B477" s="241"/>
      <c r="C477" s="242"/>
      <c r="D477" s="242"/>
      <c r="E477" s="243"/>
      <c r="F477" s="244"/>
      <c r="G477" s="244"/>
      <c r="H477" s="243"/>
      <c r="I477" s="258"/>
      <c r="J477" s="245"/>
      <c r="K477" s="245"/>
      <c r="L477" s="76">
        <f t="shared" si="70"/>
        <v>0</v>
      </c>
      <c r="M477" s="246"/>
      <c r="N477" s="247"/>
      <c r="O477" s="248"/>
      <c r="P477" s="246"/>
      <c r="Q477" s="249"/>
      <c r="R477" s="250"/>
      <c r="S477" s="259"/>
      <c r="T477" s="260"/>
      <c r="U477" s="250"/>
      <c r="V477" s="78">
        <f t="shared" si="71"/>
        <v>0</v>
      </c>
      <c r="W477" s="261">
        <f t="shared" si="72"/>
        <v>0</v>
      </c>
      <c r="X477" s="133">
        <f t="shared" si="73"/>
        <v>0</v>
      </c>
      <c r="Y477" s="251"/>
      <c r="Z477" s="1736"/>
      <c r="AA477" s="1737"/>
      <c r="AB477" s="77">
        <f t="shared" si="74"/>
        <v>0</v>
      </c>
      <c r="AC477" s="134">
        <f t="shared" si="75"/>
        <v>0</v>
      </c>
      <c r="AD477" s="251"/>
      <c r="AE477" s="1736"/>
      <c r="AF477" s="1737"/>
      <c r="AG477" s="77">
        <f t="shared" si="76"/>
        <v>0</v>
      </c>
      <c r="AH477" s="136">
        <f t="shared" si="77"/>
        <v>0</v>
      </c>
      <c r="AI477" s="251"/>
      <c r="AJ477" s="1736"/>
      <c r="AK477" s="1737"/>
      <c r="AL477" s="79">
        <f t="shared" si="78"/>
        <v>0</v>
      </c>
      <c r="AM477" s="137">
        <f t="shared" si="79"/>
        <v>0</v>
      </c>
      <c r="AN477" s="251"/>
      <c r="AO477" s="1736"/>
      <c r="AP477" s="1737"/>
    </row>
    <row r="478" spans="1:42" s="85" customFormat="1" ht="13.5" thickBot="1">
      <c r="A478" s="240"/>
      <c r="B478" s="241"/>
      <c r="C478" s="242"/>
      <c r="D478" s="242"/>
      <c r="E478" s="243"/>
      <c r="F478" s="244"/>
      <c r="G478" s="244"/>
      <c r="H478" s="243"/>
      <c r="I478" s="258"/>
      <c r="J478" s="245"/>
      <c r="K478" s="245"/>
      <c r="L478" s="76">
        <f t="shared" si="70"/>
        <v>0</v>
      </c>
      <c r="M478" s="246"/>
      <c r="N478" s="247"/>
      <c r="O478" s="248"/>
      <c r="P478" s="246"/>
      <c r="Q478" s="249"/>
      <c r="R478" s="250"/>
      <c r="S478" s="259"/>
      <c r="T478" s="260"/>
      <c r="U478" s="250"/>
      <c r="V478" s="78">
        <f t="shared" si="71"/>
        <v>0</v>
      </c>
      <c r="W478" s="261">
        <f t="shared" si="72"/>
        <v>0</v>
      </c>
      <c r="X478" s="133">
        <f t="shared" si="73"/>
        <v>0</v>
      </c>
      <c r="Y478" s="251"/>
      <c r="Z478" s="1736"/>
      <c r="AA478" s="1737"/>
      <c r="AB478" s="77">
        <f t="shared" si="74"/>
        <v>0</v>
      </c>
      <c r="AC478" s="134">
        <f t="shared" si="75"/>
        <v>0</v>
      </c>
      <c r="AD478" s="251"/>
      <c r="AE478" s="1736"/>
      <c r="AF478" s="1737"/>
      <c r="AG478" s="77">
        <f t="shared" si="76"/>
        <v>0</v>
      </c>
      <c r="AH478" s="136">
        <f t="shared" si="77"/>
        <v>0</v>
      </c>
      <c r="AI478" s="251"/>
      <c r="AJ478" s="1736"/>
      <c r="AK478" s="1737"/>
      <c r="AL478" s="79">
        <f t="shared" si="78"/>
        <v>0</v>
      </c>
      <c r="AM478" s="137">
        <f t="shared" si="79"/>
        <v>0</v>
      </c>
      <c r="AN478" s="251"/>
      <c r="AO478" s="1736"/>
      <c r="AP478" s="1737"/>
    </row>
    <row r="479" spans="1:42" s="85" customFormat="1" ht="13.5" thickBot="1">
      <c r="A479" s="240"/>
      <c r="B479" s="241"/>
      <c r="C479" s="242"/>
      <c r="D479" s="242"/>
      <c r="E479" s="243"/>
      <c r="F479" s="244"/>
      <c r="G479" s="244"/>
      <c r="H479" s="243"/>
      <c r="I479" s="258"/>
      <c r="J479" s="245"/>
      <c r="K479" s="245"/>
      <c r="L479" s="76">
        <f t="shared" si="70"/>
        <v>0</v>
      </c>
      <c r="M479" s="246"/>
      <c r="N479" s="247"/>
      <c r="O479" s="248"/>
      <c r="P479" s="246"/>
      <c r="Q479" s="249"/>
      <c r="R479" s="250"/>
      <c r="S479" s="259"/>
      <c r="T479" s="260"/>
      <c r="U479" s="250"/>
      <c r="V479" s="78">
        <f t="shared" si="71"/>
        <v>0</v>
      </c>
      <c r="W479" s="261">
        <f t="shared" si="72"/>
        <v>0</v>
      </c>
      <c r="X479" s="133">
        <f t="shared" si="73"/>
        <v>0</v>
      </c>
      <c r="Y479" s="251"/>
      <c r="Z479" s="1736"/>
      <c r="AA479" s="1737"/>
      <c r="AB479" s="77">
        <f t="shared" si="74"/>
        <v>0</v>
      </c>
      <c r="AC479" s="134">
        <f t="shared" si="75"/>
        <v>0</v>
      </c>
      <c r="AD479" s="251"/>
      <c r="AE479" s="1736"/>
      <c r="AF479" s="1737"/>
      <c r="AG479" s="77">
        <f t="shared" si="76"/>
        <v>0</v>
      </c>
      <c r="AH479" s="136">
        <f t="shared" si="77"/>
        <v>0</v>
      </c>
      <c r="AI479" s="251"/>
      <c r="AJ479" s="1736"/>
      <c r="AK479" s="1737"/>
      <c r="AL479" s="79">
        <f t="shared" si="78"/>
        <v>0</v>
      </c>
      <c r="AM479" s="137">
        <f t="shared" si="79"/>
        <v>0</v>
      </c>
      <c r="AN479" s="251"/>
      <c r="AO479" s="1736"/>
      <c r="AP479" s="1737"/>
    </row>
    <row r="480" spans="1:42" s="85" customFormat="1" ht="13.5" thickBot="1">
      <c r="A480" s="240"/>
      <c r="B480" s="241"/>
      <c r="C480" s="242"/>
      <c r="D480" s="242"/>
      <c r="E480" s="243"/>
      <c r="F480" s="244"/>
      <c r="G480" s="244"/>
      <c r="H480" s="243"/>
      <c r="I480" s="258"/>
      <c r="J480" s="245"/>
      <c r="K480" s="245"/>
      <c r="L480" s="76">
        <f t="shared" si="70"/>
        <v>0</v>
      </c>
      <c r="M480" s="246"/>
      <c r="N480" s="247"/>
      <c r="O480" s="248"/>
      <c r="P480" s="246"/>
      <c r="Q480" s="249"/>
      <c r="R480" s="250"/>
      <c r="S480" s="259"/>
      <c r="T480" s="260"/>
      <c r="U480" s="250"/>
      <c r="V480" s="78">
        <f t="shared" si="71"/>
        <v>0</v>
      </c>
      <c r="W480" s="261">
        <f t="shared" si="72"/>
        <v>0</v>
      </c>
      <c r="X480" s="133">
        <f t="shared" si="73"/>
        <v>0</v>
      </c>
      <c r="Y480" s="251"/>
      <c r="Z480" s="1736"/>
      <c r="AA480" s="1737"/>
      <c r="AB480" s="77">
        <f t="shared" si="74"/>
        <v>0</v>
      </c>
      <c r="AC480" s="134">
        <f t="shared" si="75"/>
        <v>0</v>
      </c>
      <c r="AD480" s="251"/>
      <c r="AE480" s="1736"/>
      <c r="AF480" s="1737"/>
      <c r="AG480" s="77">
        <f t="shared" si="76"/>
        <v>0</v>
      </c>
      <c r="AH480" s="136">
        <f t="shared" si="77"/>
        <v>0</v>
      </c>
      <c r="AI480" s="251"/>
      <c r="AJ480" s="1736"/>
      <c r="AK480" s="1737"/>
      <c r="AL480" s="79">
        <f t="shared" si="78"/>
        <v>0</v>
      </c>
      <c r="AM480" s="137">
        <f t="shared" si="79"/>
        <v>0</v>
      </c>
      <c r="AN480" s="251"/>
      <c r="AO480" s="1736"/>
      <c r="AP480" s="1737"/>
    </row>
    <row r="481" spans="1:42" s="85" customFormat="1" ht="13.5" thickBot="1">
      <c r="A481" s="240"/>
      <c r="B481" s="241"/>
      <c r="C481" s="242"/>
      <c r="D481" s="242"/>
      <c r="E481" s="243"/>
      <c r="F481" s="244"/>
      <c r="G481" s="244"/>
      <c r="H481" s="243"/>
      <c r="I481" s="258"/>
      <c r="J481" s="245"/>
      <c r="K481" s="245"/>
      <c r="L481" s="76">
        <f t="shared" si="70"/>
        <v>0</v>
      </c>
      <c r="M481" s="246"/>
      <c r="N481" s="247"/>
      <c r="O481" s="248"/>
      <c r="P481" s="246"/>
      <c r="Q481" s="249"/>
      <c r="R481" s="250"/>
      <c r="S481" s="259"/>
      <c r="T481" s="260"/>
      <c r="U481" s="250"/>
      <c r="V481" s="78">
        <f t="shared" si="71"/>
        <v>0</v>
      </c>
      <c r="W481" s="261">
        <f t="shared" si="72"/>
        <v>0</v>
      </c>
      <c r="X481" s="133">
        <f t="shared" si="73"/>
        <v>0</v>
      </c>
      <c r="Y481" s="251"/>
      <c r="Z481" s="1736"/>
      <c r="AA481" s="1737"/>
      <c r="AB481" s="77">
        <f t="shared" si="74"/>
        <v>0</v>
      </c>
      <c r="AC481" s="134">
        <f t="shared" si="75"/>
        <v>0</v>
      </c>
      <c r="AD481" s="251"/>
      <c r="AE481" s="1736"/>
      <c r="AF481" s="1737"/>
      <c r="AG481" s="77">
        <f t="shared" si="76"/>
        <v>0</v>
      </c>
      <c r="AH481" s="136">
        <f t="shared" si="77"/>
        <v>0</v>
      </c>
      <c r="AI481" s="251"/>
      <c r="AJ481" s="1736"/>
      <c r="AK481" s="1737"/>
      <c r="AL481" s="79">
        <f t="shared" si="78"/>
        <v>0</v>
      </c>
      <c r="AM481" s="137">
        <f t="shared" si="79"/>
        <v>0</v>
      </c>
      <c r="AN481" s="251"/>
      <c r="AO481" s="1736"/>
      <c r="AP481" s="1737"/>
    </row>
    <row r="482" spans="1:42" s="85" customFormat="1" ht="13.5" thickBot="1">
      <c r="A482" s="240"/>
      <c r="B482" s="241"/>
      <c r="C482" s="242"/>
      <c r="D482" s="242"/>
      <c r="E482" s="243"/>
      <c r="F482" s="244"/>
      <c r="G482" s="244"/>
      <c r="H482" s="243"/>
      <c r="I482" s="258"/>
      <c r="J482" s="245"/>
      <c r="K482" s="245"/>
      <c r="L482" s="76">
        <f t="shared" si="70"/>
        <v>0</v>
      </c>
      <c r="M482" s="246"/>
      <c r="N482" s="247"/>
      <c r="O482" s="248"/>
      <c r="P482" s="246"/>
      <c r="Q482" s="249"/>
      <c r="R482" s="250"/>
      <c r="S482" s="259"/>
      <c r="T482" s="260"/>
      <c r="U482" s="250"/>
      <c r="V482" s="78">
        <f t="shared" si="71"/>
        <v>0</v>
      </c>
      <c r="W482" s="261">
        <f t="shared" si="72"/>
        <v>0</v>
      </c>
      <c r="X482" s="133">
        <f t="shared" si="73"/>
        <v>0</v>
      </c>
      <c r="Y482" s="251"/>
      <c r="Z482" s="1736"/>
      <c r="AA482" s="1737"/>
      <c r="AB482" s="77">
        <f t="shared" si="74"/>
        <v>0</v>
      </c>
      <c r="AC482" s="134">
        <f t="shared" si="75"/>
        <v>0</v>
      </c>
      <c r="AD482" s="251"/>
      <c r="AE482" s="1736"/>
      <c r="AF482" s="1737"/>
      <c r="AG482" s="77">
        <f t="shared" si="76"/>
        <v>0</v>
      </c>
      <c r="AH482" s="136">
        <f t="shared" si="77"/>
        <v>0</v>
      </c>
      <c r="AI482" s="251"/>
      <c r="AJ482" s="1736"/>
      <c r="AK482" s="1737"/>
      <c r="AL482" s="79">
        <f t="shared" si="78"/>
        <v>0</v>
      </c>
      <c r="AM482" s="137">
        <f t="shared" si="79"/>
        <v>0</v>
      </c>
      <c r="AN482" s="251"/>
      <c r="AO482" s="1736"/>
      <c r="AP482" s="1737"/>
    </row>
    <row r="483" spans="1:42" s="85" customFormat="1" ht="13.5" thickBot="1">
      <c r="A483" s="240"/>
      <c r="B483" s="241"/>
      <c r="C483" s="242"/>
      <c r="D483" s="242"/>
      <c r="E483" s="243"/>
      <c r="F483" s="244"/>
      <c r="G483" s="244"/>
      <c r="H483" s="243"/>
      <c r="I483" s="258"/>
      <c r="J483" s="245"/>
      <c r="K483" s="245"/>
      <c r="L483" s="76">
        <f t="shared" si="70"/>
        <v>0</v>
      </c>
      <c r="M483" s="246"/>
      <c r="N483" s="247"/>
      <c r="O483" s="248"/>
      <c r="P483" s="246"/>
      <c r="Q483" s="249"/>
      <c r="R483" s="250"/>
      <c r="S483" s="259"/>
      <c r="T483" s="260"/>
      <c r="U483" s="250"/>
      <c r="V483" s="78">
        <f t="shared" si="71"/>
        <v>0</v>
      </c>
      <c r="W483" s="261">
        <f t="shared" si="72"/>
        <v>0</v>
      </c>
      <c r="X483" s="133">
        <f t="shared" si="73"/>
        <v>0</v>
      </c>
      <c r="Y483" s="251"/>
      <c r="Z483" s="1736"/>
      <c r="AA483" s="1737"/>
      <c r="AB483" s="77">
        <f t="shared" si="74"/>
        <v>0</v>
      </c>
      <c r="AC483" s="134">
        <f t="shared" si="75"/>
        <v>0</v>
      </c>
      <c r="AD483" s="251"/>
      <c r="AE483" s="1736"/>
      <c r="AF483" s="1737"/>
      <c r="AG483" s="77">
        <f t="shared" si="76"/>
        <v>0</v>
      </c>
      <c r="AH483" s="136">
        <f t="shared" si="77"/>
        <v>0</v>
      </c>
      <c r="AI483" s="251"/>
      <c r="AJ483" s="1736"/>
      <c r="AK483" s="1737"/>
      <c r="AL483" s="79">
        <f t="shared" si="78"/>
        <v>0</v>
      </c>
      <c r="AM483" s="137">
        <f t="shared" si="79"/>
        <v>0</v>
      </c>
      <c r="AN483" s="251"/>
      <c r="AO483" s="1736"/>
      <c r="AP483" s="1737"/>
    </row>
    <row r="484" spans="1:42" s="85" customFormat="1" ht="13.5" thickBot="1">
      <c r="A484" s="240"/>
      <c r="B484" s="241"/>
      <c r="C484" s="242"/>
      <c r="D484" s="242"/>
      <c r="E484" s="243"/>
      <c r="F484" s="244"/>
      <c r="G484" s="244"/>
      <c r="H484" s="243"/>
      <c r="I484" s="258"/>
      <c r="J484" s="245"/>
      <c r="K484" s="245"/>
      <c r="L484" s="76">
        <f t="shared" si="70"/>
        <v>0</v>
      </c>
      <c r="M484" s="246"/>
      <c r="N484" s="247"/>
      <c r="O484" s="248"/>
      <c r="P484" s="246"/>
      <c r="Q484" s="249"/>
      <c r="R484" s="250"/>
      <c r="S484" s="259"/>
      <c r="T484" s="260"/>
      <c r="U484" s="250"/>
      <c r="V484" s="78">
        <f t="shared" si="71"/>
        <v>0</v>
      </c>
      <c r="W484" s="261">
        <f t="shared" si="72"/>
        <v>0</v>
      </c>
      <c r="X484" s="133">
        <f t="shared" si="73"/>
        <v>0</v>
      </c>
      <c r="Y484" s="251"/>
      <c r="Z484" s="1736"/>
      <c r="AA484" s="1737"/>
      <c r="AB484" s="77">
        <f t="shared" si="74"/>
        <v>0</v>
      </c>
      <c r="AC484" s="134">
        <f t="shared" si="75"/>
        <v>0</v>
      </c>
      <c r="AD484" s="251"/>
      <c r="AE484" s="1736"/>
      <c r="AF484" s="1737"/>
      <c r="AG484" s="77">
        <f t="shared" si="76"/>
        <v>0</v>
      </c>
      <c r="AH484" s="136">
        <f t="shared" si="77"/>
        <v>0</v>
      </c>
      <c r="AI484" s="251"/>
      <c r="AJ484" s="1736"/>
      <c r="AK484" s="1737"/>
      <c r="AL484" s="79">
        <f t="shared" si="78"/>
        <v>0</v>
      </c>
      <c r="AM484" s="137">
        <f t="shared" si="79"/>
        <v>0</v>
      </c>
      <c r="AN484" s="251"/>
      <c r="AO484" s="1736"/>
      <c r="AP484" s="1737"/>
    </row>
    <row r="485" spans="1:42" s="85" customFormat="1" ht="13.5" thickBot="1">
      <c r="A485" s="240"/>
      <c r="B485" s="241"/>
      <c r="C485" s="242"/>
      <c r="D485" s="242"/>
      <c r="E485" s="243"/>
      <c r="F485" s="244"/>
      <c r="G485" s="244"/>
      <c r="H485" s="243"/>
      <c r="I485" s="258"/>
      <c r="J485" s="245"/>
      <c r="K485" s="245"/>
      <c r="L485" s="76">
        <f t="shared" si="70"/>
        <v>0</v>
      </c>
      <c r="M485" s="246"/>
      <c r="N485" s="247"/>
      <c r="O485" s="248"/>
      <c r="P485" s="246"/>
      <c r="Q485" s="249"/>
      <c r="R485" s="250"/>
      <c r="S485" s="259"/>
      <c r="T485" s="260"/>
      <c r="U485" s="250"/>
      <c r="V485" s="78">
        <f t="shared" si="71"/>
        <v>0</v>
      </c>
      <c r="W485" s="261">
        <f t="shared" si="72"/>
        <v>0</v>
      </c>
      <c r="X485" s="133">
        <f t="shared" si="73"/>
        <v>0</v>
      </c>
      <c r="Y485" s="251"/>
      <c r="Z485" s="1736"/>
      <c r="AA485" s="1737"/>
      <c r="AB485" s="77">
        <f t="shared" si="74"/>
        <v>0</v>
      </c>
      <c r="AC485" s="134">
        <f t="shared" si="75"/>
        <v>0</v>
      </c>
      <c r="AD485" s="251"/>
      <c r="AE485" s="1736"/>
      <c r="AF485" s="1737"/>
      <c r="AG485" s="77">
        <f t="shared" si="76"/>
        <v>0</v>
      </c>
      <c r="AH485" s="136">
        <f t="shared" si="77"/>
        <v>0</v>
      </c>
      <c r="AI485" s="251"/>
      <c r="AJ485" s="1736"/>
      <c r="AK485" s="1737"/>
      <c r="AL485" s="79">
        <f t="shared" si="78"/>
        <v>0</v>
      </c>
      <c r="AM485" s="137">
        <f t="shared" si="79"/>
        <v>0</v>
      </c>
      <c r="AN485" s="251"/>
      <c r="AO485" s="1736"/>
      <c r="AP485" s="1737"/>
    </row>
    <row r="486" spans="1:42" s="85" customFormat="1" ht="13.5" thickBot="1">
      <c r="A486" s="240"/>
      <c r="B486" s="241"/>
      <c r="C486" s="242"/>
      <c r="D486" s="242"/>
      <c r="E486" s="243"/>
      <c r="F486" s="244"/>
      <c r="G486" s="244"/>
      <c r="H486" s="243"/>
      <c r="I486" s="258"/>
      <c r="J486" s="245"/>
      <c r="K486" s="245"/>
      <c r="L486" s="76">
        <f t="shared" si="70"/>
        <v>0</v>
      </c>
      <c r="M486" s="246"/>
      <c r="N486" s="247"/>
      <c r="O486" s="248"/>
      <c r="P486" s="246"/>
      <c r="Q486" s="249"/>
      <c r="R486" s="250"/>
      <c r="S486" s="259"/>
      <c r="T486" s="260"/>
      <c r="U486" s="250"/>
      <c r="V486" s="78">
        <f t="shared" si="71"/>
        <v>0</v>
      </c>
      <c r="W486" s="261">
        <f t="shared" si="72"/>
        <v>0</v>
      </c>
      <c r="X486" s="133">
        <f t="shared" si="73"/>
        <v>0</v>
      </c>
      <c r="Y486" s="251"/>
      <c r="Z486" s="1736"/>
      <c r="AA486" s="1737"/>
      <c r="AB486" s="77">
        <f t="shared" si="74"/>
        <v>0</v>
      </c>
      <c r="AC486" s="134">
        <f t="shared" si="75"/>
        <v>0</v>
      </c>
      <c r="AD486" s="251"/>
      <c r="AE486" s="1736"/>
      <c r="AF486" s="1737"/>
      <c r="AG486" s="77">
        <f t="shared" si="76"/>
        <v>0</v>
      </c>
      <c r="AH486" s="136">
        <f t="shared" si="77"/>
        <v>0</v>
      </c>
      <c r="AI486" s="251"/>
      <c r="AJ486" s="1736"/>
      <c r="AK486" s="1737"/>
      <c r="AL486" s="79">
        <f t="shared" si="78"/>
        <v>0</v>
      </c>
      <c r="AM486" s="137">
        <f t="shared" si="79"/>
        <v>0</v>
      </c>
      <c r="AN486" s="251"/>
      <c r="AO486" s="1736"/>
      <c r="AP486" s="1737"/>
    </row>
    <row r="487" spans="1:42" s="85" customFormat="1" ht="13.5" thickBot="1">
      <c r="A487" s="240"/>
      <c r="B487" s="241"/>
      <c r="C487" s="242"/>
      <c r="D487" s="242"/>
      <c r="E487" s="243"/>
      <c r="F487" s="244"/>
      <c r="G487" s="244"/>
      <c r="H487" s="243"/>
      <c r="I487" s="258"/>
      <c r="J487" s="245"/>
      <c r="K487" s="245"/>
      <c r="L487" s="76">
        <f t="shared" si="70"/>
        <v>0</v>
      </c>
      <c r="M487" s="246"/>
      <c r="N487" s="247"/>
      <c r="O487" s="248"/>
      <c r="P487" s="246"/>
      <c r="Q487" s="249"/>
      <c r="R487" s="250"/>
      <c r="S487" s="259"/>
      <c r="T487" s="260"/>
      <c r="U487" s="250"/>
      <c r="V487" s="78">
        <f t="shared" si="71"/>
        <v>0</v>
      </c>
      <c r="W487" s="261">
        <f t="shared" si="72"/>
        <v>0</v>
      </c>
      <c r="X487" s="133">
        <f t="shared" si="73"/>
        <v>0</v>
      </c>
      <c r="Y487" s="251"/>
      <c r="Z487" s="1736"/>
      <c r="AA487" s="1737"/>
      <c r="AB487" s="77">
        <f t="shared" si="74"/>
        <v>0</v>
      </c>
      <c r="AC487" s="134">
        <f t="shared" si="75"/>
        <v>0</v>
      </c>
      <c r="AD487" s="251"/>
      <c r="AE487" s="1736"/>
      <c r="AF487" s="1737"/>
      <c r="AG487" s="77">
        <f t="shared" si="76"/>
        <v>0</v>
      </c>
      <c r="AH487" s="136">
        <f t="shared" si="77"/>
        <v>0</v>
      </c>
      <c r="AI487" s="251"/>
      <c r="AJ487" s="1736"/>
      <c r="AK487" s="1737"/>
      <c r="AL487" s="79">
        <f t="shared" si="78"/>
        <v>0</v>
      </c>
      <c r="AM487" s="137">
        <f t="shared" si="79"/>
        <v>0</v>
      </c>
      <c r="AN487" s="251"/>
      <c r="AO487" s="1736"/>
      <c r="AP487" s="1737"/>
    </row>
    <row r="488" spans="1:42" s="85" customFormat="1" ht="13.5" thickBot="1">
      <c r="A488" s="240"/>
      <c r="B488" s="241"/>
      <c r="C488" s="242"/>
      <c r="D488" s="242"/>
      <c r="E488" s="243"/>
      <c r="F488" s="244"/>
      <c r="G488" s="244"/>
      <c r="H488" s="243"/>
      <c r="I488" s="258"/>
      <c r="J488" s="245"/>
      <c r="K488" s="245"/>
      <c r="L488" s="76">
        <f t="shared" si="70"/>
        <v>0</v>
      </c>
      <c r="M488" s="246"/>
      <c r="N488" s="247"/>
      <c r="O488" s="248"/>
      <c r="P488" s="246"/>
      <c r="Q488" s="249"/>
      <c r="R488" s="250"/>
      <c r="S488" s="259"/>
      <c r="T488" s="260"/>
      <c r="U488" s="250"/>
      <c r="V488" s="78">
        <f t="shared" si="71"/>
        <v>0</v>
      </c>
      <c r="W488" s="261">
        <f t="shared" si="72"/>
        <v>0</v>
      </c>
      <c r="X488" s="133">
        <f t="shared" si="73"/>
        <v>0</v>
      </c>
      <c r="Y488" s="251"/>
      <c r="Z488" s="1736"/>
      <c r="AA488" s="1737"/>
      <c r="AB488" s="77">
        <f t="shared" si="74"/>
        <v>0</v>
      </c>
      <c r="AC488" s="134">
        <f t="shared" si="75"/>
        <v>0</v>
      </c>
      <c r="AD488" s="251"/>
      <c r="AE488" s="1736"/>
      <c r="AF488" s="1737"/>
      <c r="AG488" s="77">
        <f t="shared" si="76"/>
        <v>0</v>
      </c>
      <c r="AH488" s="136">
        <f t="shared" si="77"/>
        <v>0</v>
      </c>
      <c r="AI488" s="251"/>
      <c r="AJ488" s="1736"/>
      <c r="AK488" s="1737"/>
      <c r="AL488" s="79">
        <f t="shared" si="78"/>
        <v>0</v>
      </c>
      <c r="AM488" s="137">
        <f t="shared" si="79"/>
        <v>0</v>
      </c>
      <c r="AN488" s="251"/>
      <c r="AO488" s="1736"/>
      <c r="AP488" s="1737"/>
    </row>
    <row r="489" spans="1:42" s="85" customFormat="1" ht="13.5" thickBot="1">
      <c r="A489" s="240"/>
      <c r="B489" s="241"/>
      <c r="C489" s="242"/>
      <c r="D489" s="242"/>
      <c r="E489" s="243"/>
      <c r="F489" s="244"/>
      <c r="G489" s="244"/>
      <c r="H489" s="243"/>
      <c r="I489" s="258"/>
      <c r="J489" s="245"/>
      <c r="K489" s="245"/>
      <c r="L489" s="76">
        <f t="shared" si="70"/>
        <v>0</v>
      </c>
      <c r="M489" s="246"/>
      <c r="N489" s="247"/>
      <c r="O489" s="248"/>
      <c r="P489" s="246"/>
      <c r="Q489" s="249"/>
      <c r="R489" s="250"/>
      <c r="S489" s="259"/>
      <c r="T489" s="260"/>
      <c r="U489" s="250"/>
      <c r="V489" s="78">
        <f t="shared" si="71"/>
        <v>0</v>
      </c>
      <c r="W489" s="261">
        <f t="shared" si="72"/>
        <v>0</v>
      </c>
      <c r="X489" s="133">
        <f t="shared" si="73"/>
        <v>0</v>
      </c>
      <c r="Y489" s="251"/>
      <c r="Z489" s="1736"/>
      <c r="AA489" s="1737"/>
      <c r="AB489" s="77">
        <f t="shared" si="74"/>
        <v>0</v>
      </c>
      <c r="AC489" s="134">
        <f t="shared" si="75"/>
        <v>0</v>
      </c>
      <c r="AD489" s="251"/>
      <c r="AE489" s="1736"/>
      <c r="AF489" s="1737"/>
      <c r="AG489" s="77">
        <f t="shared" si="76"/>
        <v>0</v>
      </c>
      <c r="AH489" s="136">
        <f t="shared" si="77"/>
        <v>0</v>
      </c>
      <c r="AI489" s="251"/>
      <c r="AJ489" s="1736"/>
      <c r="AK489" s="1737"/>
      <c r="AL489" s="79">
        <f t="shared" si="78"/>
        <v>0</v>
      </c>
      <c r="AM489" s="137">
        <f t="shared" si="79"/>
        <v>0</v>
      </c>
      <c r="AN489" s="251"/>
      <c r="AO489" s="1736"/>
      <c r="AP489" s="1737"/>
    </row>
    <row r="490" spans="1:42" s="85" customFormat="1" ht="13.5" thickBot="1">
      <c r="A490" s="240"/>
      <c r="B490" s="241"/>
      <c r="C490" s="242"/>
      <c r="D490" s="242"/>
      <c r="E490" s="243"/>
      <c r="F490" s="244"/>
      <c r="G490" s="244"/>
      <c r="H490" s="243"/>
      <c r="I490" s="258"/>
      <c r="J490" s="245"/>
      <c r="K490" s="245"/>
      <c r="L490" s="76">
        <f t="shared" si="70"/>
        <v>0</v>
      </c>
      <c r="M490" s="246"/>
      <c r="N490" s="247"/>
      <c r="O490" s="248"/>
      <c r="P490" s="246"/>
      <c r="Q490" s="249"/>
      <c r="R490" s="250"/>
      <c r="S490" s="259"/>
      <c r="T490" s="260"/>
      <c r="U490" s="250"/>
      <c r="V490" s="78">
        <f t="shared" si="71"/>
        <v>0</v>
      </c>
      <c r="W490" s="261">
        <f t="shared" si="72"/>
        <v>0</v>
      </c>
      <c r="X490" s="133">
        <f t="shared" si="73"/>
        <v>0</v>
      </c>
      <c r="Y490" s="251"/>
      <c r="Z490" s="1736"/>
      <c r="AA490" s="1737"/>
      <c r="AB490" s="77">
        <f t="shared" si="74"/>
        <v>0</v>
      </c>
      <c r="AC490" s="134">
        <f t="shared" si="75"/>
        <v>0</v>
      </c>
      <c r="AD490" s="251"/>
      <c r="AE490" s="1736"/>
      <c r="AF490" s="1737"/>
      <c r="AG490" s="77">
        <f t="shared" si="76"/>
        <v>0</v>
      </c>
      <c r="AH490" s="136">
        <f t="shared" si="77"/>
        <v>0</v>
      </c>
      <c r="AI490" s="251"/>
      <c r="AJ490" s="1736"/>
      <c r="AK490" s="1737"/>
      <c r="AL490" s="79">
        <f t="shared" si="78"/>
        <v>0</v>
      </c>
      <c r="AM490" s="137">
        <f t="shared" si="79"/>
        <v>0</v>
      </c>
      <c r="AN490" s="251"/>
      <c r="AO490" s="1736"/>
      <c r="AP490" s="1737"/>
    </row>
    <row r="491" spans="1:42" s="85" customFormat="1" ht="13.5" thickBot="1">
      <c r="A491" s="240"/>
      <c r="B491" s="241"/>
      <c r="C491" s="242"/>
      <c r="D491" s="242"/>
      <c r="E491" s="243"/>
      <c r="F491" s="244"/>
      <c r="G491" s="244"/>
      <c r="H491" s="243"/>
      <c r="I491" s="258"/>
      <c r="J491" s="245"/>
      <c r="K491" s="245"/>
      <c r="L491" s="76">
        <f t="shared" si="70"/>
        <v>0</v>
      </c>
      <c r="M491" s="246"/>
      <c r="N491" s="247"/>
      <c r="O491" s="248"/>
      <c r="P491" s="246"/>
      <c r="Q491" s="249"/>
      <c r="R491" s="250"/>
      <c r="S491" s="259"/>
      <c r="T491" s="260"/>
      <c r="U491" s="250"/>
      <c r="V491" s="78">
        <f t="shared" si="71"/>
        <v>0</v>
      </c>
      <c r="W491" s="261">
        <f t="shared" si="72"/>
        <v>0</v>
      </c>
      <c r="X491" s="133">
        <f t="shared" si="73"/>
        <v>0</v>
      </c>
      <c r="Y491" s="251"/>
      <c r="Z491" s="1736"/>
      <c r="AA491" s="1737"/>
      <c r="AB491" s="77">
        <f t="shared" si="74"/>
        <v>0</v>
      </c>
      <c r="AC491" s="134">
        <f t="shared" si="75"/>
        <v>0</v>
      </c>
      <c r="AD491" s="251"/>
      <c r="AE491" s="1736"/>
      <c r="AF491" s="1737"/>
      <c r="AG491" s="77">
        <f t="shared" si="76"/>
        <v>0</v>
      </c>
      <c r="AH491" s="136">
        <f t="shared" si="77"/>
        <v>0</v>
      </c>
      <c r="AI491" s="251"/>
      <c r="AJ491" s="1736"/>
      <c r="AK491" s="1737"/>
      <c r="AL491" s="79">
        <f t="shared" si="78"/>
        <v>0</v>
      </c>
      <c r="AM491" s="137">
        <f t="shared" si="79"/>
        <v>0</v>
      </c>
      <c r="AN491" s="251"/>
      <c r="AO491" s="1736"/>
      <c r="AP491" s="1737"/>
    </row>
    <row r="492" spans="1:42" s="85" customFormat="1" ht="13.5" thickBot="1">
      <c r="A492" s="240"/>
      <c r="B492" s="241"/>
      <c r="C492" s="242"/>
      <c r="D492" s="242"/>
      <c r="E492" s="243"/>
      <c r="F492" s="244"/>
      <c r="G492" s="244"/>
      <c r="H492" s="243"/>
      <c r="I492" s="258"/>
      <c r="J492" s="245"/>
      <c r="K492" s="245"/>
      <c r="L492" s="76">
        <f t="shared" si="70"/>
        <v>0</v>
      </c>
      <c r="M492" s="246"/>
      <c r="N492" s="247"/>
      <c r="O492" s="248"/>
      <c r="P492" s="246"/>
      <c r="Q492" s="249"/>
      <c r="R492" s="250"/>
      <c r="S492" s="259"/>
      <c r="T492" s="260"/>
      <c r="U492" s="250"/>
      <c r="V492" s="78">
        <f t="shared" si="71"/>
        <v>0</v>
      </c>
      <c r="W492" s="261">
        <f t="shared" si="72"/>
        <v>0</v>
      </c>
      <c r="X492" s="133">
        <f t="shared" si="73"/>
        <v>0</v>
      </c>
      <c r="Y492" s="251"/>
      <c r="Z492" s="1736"/>
      <c r="AA492" s="1737"/>
      <c r="AB492" s="77">
        <f t="shared" si="74"/>
        <v>0</v>
      </c>
      <c r="AC492" s="134">
        <f t="shared" si="75"/>
        <v>0</v>
      </c>
      <c r="AD492" s="251"/>
      <c r="AE492" s="1736"/>
      <c r="AF492" s="1737"/>
      <c r="AG492" s="77">
        <f t="shared" si="76"/>
        <v>0</v>
      </c>
      <c r="AH492" s="136">
        <f t="shared" si="77"/>
        <v>0</v>
      </c>
      <c r="AI492" s="251"/>
      <c r="AJ492" s="1736"/>
      <c r="AK492" s="1737"/>
      <c r="AL492" s="79">
        <f t="shared" si="78"/>
        <v>0</v>
      </c>
      <c r="AM492" s="137">
        <f t="shared" si="79"/>
        <v>0</v>
      </c>
      <c r="AN492" s="251"/>
      <c r="AO492" s="1736"/>
      <c r="AP492" s="1737"/>
    </row>
    <row r="493" spans="1:42" s="85" customFormat="1" ht="13.5" thickBot="1">
      <c r="A493" s="240"/>
      <c r="B493" s="241"/>
      <c r="C493" s="242"/>
      <c r="D493" s="242"/>
      <c r="E493" s="243"/>
      <c r="F493" s="244"/>
      <c r="G493" s="244"/>
      <c r="H493" s="243"/>
      <c r="I493" s="258"/>
      <c r="J493" s="245"/>
      <c r="K493" s="245"/>
      <c r="L493" s="76">
        <f t="shared" si="70"/>
        <v>0</v>
      </c>
      <c r="M493" s="246"/>
      <c r="N493" s="247"/>
      <c r="O493" s="248"/>
      <c r="P493" s="246"/>
      <c r="Q493" s="249"/>
      <c r="R493" s="250"/>
      <c r="S493" s="259"/>
      <c r="T493" s="260"/>
      <c r="U493" s="250"/>
      <c r="V493" s="78">
        <f t="shared" si="71"/>
        <v>0</v>
      </c>
      <c r="W493" s="261">
        <f t="shared" si="72"/>
        <v>0</v>
      </c>
      <c r="X493" s="133">
        <f t="shared" si="73"/>
        <v>0</v>
      </c>
      <c r="Y493" s="251"/>
      <c r="Z493" s="1736"/>
      <c r="AA493" s="1737"/>
      <c r="AB493" s="77">
        <f t="shared" si="74"/>
        <v>0</v>
      </c>
      <c r="AC493" s="134">
        <f t="shared" si="75"/>
        <v>0</v>
      </c>
      <c r="AD493" s="251"/>
      <c r="AE493" s="1736"/>
      <c r="AF493" s="1737"/>
      <c r="AG493" s="77">
        <f t="shared" si="76"/>
        <v>0</v>
      </c>
      <c r="AH493" s="136">
        <f t="shared" si="77"/>
        <v>0</v>
      </c>
      <c r="AI493" s="251"/>
      <c r="AJ493" s="1736"/>
      <c r="AK493" s="1737"/>
      <c r="AL493" s="79">
        <f t="shared" si="78"/>
        <v>0</v>
      </c>
      <c r="AM493" s="137">
        <f t="shared" si="79"/>
        <v>0</v>
      </c>
      <c r="AN493" s="251"/>
      <c r="AO493" s="1736"/>
      <c r="AP493" s="1737"/>
    </row>
    <row r="494" spans="1:42" s="85" customFormat="1" ht="13.5" thickBot="1">
      <c r="A494" s="240"/>
      <c r="B494" s="241"/>
      <c r="C494" s="242"/>
      <c r="D494" s="242"/>
      <c r="E494" s="243"/>
      <c r="F494" s="244"/>
      <c r="G494" s="244"/>
      <c r="H494" s="243"/>
      <c r="I494" s="258"/>
      <c r="J494" s="245"/>
      <c r="K494" s="245"/>
      <c r="L494" s="76">
        <f t="shared" si="70"/>
        <v>0</v>
      </c>
      <c r="M494" s="246"/>
      <c r="N494" s="247"/>
      <c r="O494" s="248"/>
      <c r="P494" s="246"/>
      <c r="Q494" s="249"/>
      <c r="R494" s="250"/>
      <c r="S494" s="259"/>
      <c r="T494" s="260"/>
      <c r="U494" s="250"/>
      <c r="V494" s="78">
        <f t="shared" si="71"/>
        <v>0</v>
      </c>
      <c r="W494" s="261">
        <f t="shared" si="72"/>
        <v>0</v>
      </c>
      <c r="X494" s="133">
        <f t="shared" si="73"/>
        <v>0</v>
      </c>
      <c r="Y494" s="251"/>
      <c r="Z494" s="1736"/>
      <c r="AA494" s="1737"/>
      <c r="AB494" s="77">
        <f t="shared" si="74"/>
        <v>0</v>
      </c>
      <c r="AC494" s="134">
        <f t="shared" si="75"/>
        <v>0</v>
      </c>
      <c r="AD494" s="251"/>
      <c r="AE494" s="1736"/>
      <c r="AF494" s="1737"/>
      <c r="AG494" s="77">
        <f t="shared" si="76"/>
        <v>0</v>
      </c>
      <c r="AH494" s="136">
        <f t="shared" si="77"/>
        <v>0</v>
      </c>
      <c r="AI494" s="251"/>
      <c r="AJ494" s="1736"/>
      <c r="AK494" s="1737"/>
      <c r="AL494" s="79">
        <f t="shared" si="78"/>
        <v>0</v>
      </c>
      <c r="AM494" s="137">
        <f t="shared" si="79"/>
        <v>0</v>
      </c>
      <c r="AN494" s="251"/>
      <c r="AO494" s="1736"/>
      <c r="AP494" s="1737"/>
    </row>
    <row r="495" spans="1:42" s="85" customFormat="1" ht="13.5" thickBot="1">
      <c r="A495" s="240"/>
      <c r="B495" s="241"/>
      <c r="C495" s="242"/>
      <c r="D495" s="242"/>
      <c r="E495" s="243"/>
      <c r="F495" s="244"/>
      <c r="G495" s="244"/>
      <c r="H495" s="243"/>
      <c r="I495" s="258"/>
      <c r="J495" s="245"/>
      <c r="K495" s="245"/>
      <c r="L495" s="76">
        <f t="shared" si="70"/>
        <v>0</v>
      </c>
      <c r="M495" s="246"/>
      <c r="N495" s="247"/>
      <c r="O495" s="248"/>
      <c r="P495" s="246"/>
      <c r="Q495" s="249"/>
      <c r="R495" s="250"/>
      <c r="S495" s="259"/>
      <c r="T495" s="260"/>
      <c r="U495" s="250"/>
      <c r="V495" s="78">
        <f t="shared" si="71"/>
        <v>0</v>
      </c>
      <c r="W495" s="261">
        <f t="shared" si="72"/>
        <v>0</v>
      </c>
      <c r="X495" s="133">
        <f t="shared" si="73"/>
        <v>0</v>
      </c>
      <c r="Y495" s="251"/>
      <c r="Z495" s="1736"/>
      <c r="AA495" s="1737"/>
      <c r="AB495" s="77">
        <f t="shared" si="74"/>
        <v>0</v>
      </c>
      <c r="AC495" s="134">
        <f t="shared" si="75"/>
        <v>0</v>
      </c>
      <c r="AD495" s="251"/>
      <c r="AE495" s="1736"/>
      <c r="AF495" s="1737"/>
      <c r="AG495" s="77">
        <f t="shared" si="76"/>
        <v>0</v>
      </c>
      <c r="AH495" s="136">
        <f t="shared" si="77"/>
        <v>0</v>
      </c>
      <c r="AI495" s="251"/>
      <c r="AJ495" s="1736"/>
      <c r="AK495" s="1737"/>
      <c r="AL495" s="79">
        <f t="shared" si="78"/>
        <v>0</v>
      </c>
      <c r="AM495" s="137">
        <f t="shared" si="79"/>
        <v>0</v>
      </c>
      <c r="AN495" s="251"/>
      <c r="AO495" s="1736"/>
      <c r="AP495" s="1737"/>
    </row>
    <row r="496" spans="1:42" s="85" customFormat="1" ht="13.5" thickBot="1">
      <c r="A496" s="240"/>
      <c r="B496" s="241"/>
      <c r="C496" s="242"/>
      <c r="D496" s="242"/>
      <c r="E496" s="243"/>
      <c r="F496" s="244"/>
      <c r="G496" s="244"/>
      <c r="H496" s="243"/>
      <c r="I496" s="258"/>
      <c r="J496" s="245"/>
      <c r="K496" s="245"/>
      <c r="L496" s="76">
        <f t="shared" si="70"/>
        <v>0</v>
      </c>
      <c r="M496" s="246"/>
      <c r="N496" s="247"/>
      <c r="O496" s="248"/>
      <c r="P496" s="246"/>
      <c r="Q496" s="249"/>
      <c r="R496" s="250"/>
      <c r="S496" s="259"/>
      <c r="T496" s="260"/>
      <c r="U496" s="250"/>
      <c r="V496" s="78">
        <f t="shared" si="71"/>
        <v>0</v>
      </c>
      <c r="W496" s="261">
        <f t="shared" si="72"/>
        <v>0</v>
      </c>
      <c r="X496" s="133">
        <f t="shared" si="73"/>
        <v>0</v>
      </c>
      <c r="Y496" s="251"/>
      <c r="Z496" s="1736"/>
      <c r="AA496" s="1737"/>
      <c r="AB496" s="77">
        <f t="shared" si="74"/>
        <v>0</v>
      </c>
      <c r="AC496" s="134">
        <f t="shared" si="75"/>
        <v>0</v>
      </c>
      <c r="AD496" s="251"/>
      <c r="AE496" s="1736"/>
      <c r="AF496" s="1737"/>
      <c r="AG496" s="77">
        <f t="shared" si="76"/>
        <v>0</v>
      </c>
      <c r="AH496" s="136">
        <f t="shared" si="77"/>
        <v>0</v>
      </c>
      <c r="AI496" s="251"/>
      <c r="AJ496" s="1736"/>
      <c r="AK496" s="1737"/>
      <c r="AL496" s="79">
        <f t="shared" si="78"/>
        <v>0</v>
      </c>
      <c r="AM496" s="137">
        <f t="shared" si="79"/>
        <v>0</v>
      </c>
      <c r="AN496" s="251"/>
      <c r="AO496" s="1736"/>
      <c r="AP496" s="1737"/>
    </row>
    <row r="497" spans="1:42" s="85" customFormat="1" ht="13.5" thickBot="1">
      <c r="A497" s="240"/>
      <c r="B497" s="241"/>
      <c r="C497" s="242"/>
      <c r="D497" s="242"/>
      <c r="E497" s="243"/>
      <c r="F497" s="244"/>
      <c r="G497" s="244"/>
      <c r="H497" s="243"/>
      <c r="I497" s="258"/>
      <c r="J497" s="245"/>
      <c r="K497" s="245"/>
      <c r="L497" s="76">
        <f t="shared" si="70"/>
        <v>0</v>
      </c>
      <c r="M497" s="246"/>
      <c r="N497" s="247"/>
      <c r="O497" s="248"/>
      <c r="P497" s="246"/>
      <c r="Q497" s="249"/>
      <c r="R497" s="250"/>
      <c r="S497" s="259"/>
      <c r="T497" s="260"/>
      <c r="U497" s="250"/>
      <c r="V497" s="78">
        <f t="shared" si="71"/>
        <v>0</v>
      </c>
      <c r="W497" s="261">
        <f t="shared" si="72"/>
        <v>0</v>
      </c>
      <c r="X497" s="133">
        <f t="shared" si="73"/>
        <v>0</v>
      </c>
      <c r="Y497" s="251"/>
      <c r="Z497" s="1736"/>
      <c r="AA497" s="1737"/>
      <c r="AB497" s="77">
        <f t="shared" si="74"/>
        <v>0</v>
      </c>
      <c r="AC497" s="134">
        <f t="shared" si="75"/>
        <v>0</v>
      </c>
      <c r="AD497" s="251"/>
      <c r="AE497" s="1736"/>
      <c r="AF497" s="1737"/>
      <c r="AG497" s="77">
        <f t="shared" si="76"/>
        <v>0</v>
      </c>
      <c r="AH497" s="136">
        <f t="shared" si="77"/>
        <v>0</v>
      </c>
      <c r="AI497" s="251"/>
      <c r="AJ497" s="1736"/>
      <c r="AK497" s="1737"/>
      <c r="AL497" s="79">
        <f t="shared" si="78"/>
        <v>0</v>
      </c>
      <c r="AM497" s="137">
        <f t="shared" si="79"/>
        <v>0</v>
      </c>
      <c r="AN497" s="251"/>
      <c r="AO497" s="1736"/>
      <c r="AP497" s="1737"/>
    </row>
    <row r="498" spans="1:42" s="85" customFormat="1" ht="13.5" thickBot="1">
      <c r="A498" s="240"/>
      <c r="B498" s="241"/>
      <c r="C498" s="242"/>
      <c r="D498" s="242"/>
      <c r="E498" s="243"/>
      <c r="F498" s="244"/>
      <c r="G498" s="244"/>
      <c r="H498" s="243"/>
      <c r="I498" s="258"/>
      <c r="J498" s="245"/>
      <c r="K498" s="245"/>
      <c r="L498" s="76">
        <f t="shared" si="70"/>
        <v>0</v>
      </c>
      <c r="M498" s="246"/>
      <c r="N498" s="247"/>
      <c r="O498" s="248"/>
      <c r="P498" s="246"/>
      <c r="Q498" s="249"/>
      <c r="R498" s="250"/>
      <c r="S498" s="259"/>
      <c r="T498" s="260"/>
      <c r="U498" s="250"/>
      <c r="V498" s="78">
        <f t="shared" si="71"/>
        <v>0</v>
      </c>
      <c r="W498" s="261">
        <f t="shared" si="72"/>
        <v>0</v>
      </c>
      <c r="X498" s="133">
        <f t="shared" si="73"/>
        <v>0</v>
      </c>
      <c r="Y498" s="251"/>
      <c r="Z498" s="1736"/>
      <c r="AA498" s="1737"/>
      <c r="AB498" s="77">
        <f t="shared" si="74"/>
        <v>0</v>
      </c>
      <c r="AC498" s="134">
        <f t="shared" si="75"/>
        <v>0</v>
      </c>
      <c r="AD498" s="251"/>
      <c r="AE498" s="1736"/>
      <c r="AF498" s="1737"/>
      <c r="AG498" s="77">
        <f t="shared" si="76"/>
        <v>0</v>
      </c>
      <c r="AH498" s="136">
        <f t="shared" si="77"/>
        <v>0</v>
      </c>
      <c r="AI498" s="251"/>
      <c r="AJ498" s="1736"/>
      <c r="AK498" s="1737"/>
      <c r="AL498" s="79">
        <f t="shared" si="78"/>
        <v>0</v>
      </c>
      <c r="AM498" s="137">
        <f t="shared" si="79"/>
        <v>0</v>
      </c>
      <c r="AN498" s="251"/>
      <c r="AO498" s="1736"/>
      <c r="AP498" s="1737"/>
    </row>
    <row r="499" spans="1:42" s="85" customFormat="1" ht="13.5" thickBot="1">
      <c r="A499" s="240"/>
      <c r="B499" s="241"/>
      <c r="C499" s="242"/>
      <c r="D499" s="242"/>
      <c r="E499" s="243"/>
      <c r="F499" s="244"/>
      <c r="G499" s="244"/>
      <c r="H499" s="243"/>
      <c r="I499" s="258"/>
      <c r="J499" s="245"/>
      <c r="K499" s="245"/>
      <c r="L499" s="76">
        <f t="shared" si="70"/>
        <v>0</v>
      </c>
      <c r="M499" s="246"/>
      <c r="N499" s="247"/>
      <c r="O499" s="248"/>
      <c r="P499" s="246"/>
      <c r="Q499" s="249"/>
      <c r="R499" s="250"/>
      <c r="S499" s="259"/>
      <c r="T499" s="260"/>
      <c r="U499" s="250"/>
      <c r="V499" s="78">
        <f t="shared" si="71"/>
        <v>0</v>
      </c>
      <c r="W499" s="261">
        <f t="shared" si="72"/>
        <v>0</v>
      </c>
      <c r="X499" s="133">
        <f t="shared" si="73"/>
        <v>0</v>
      </c>
      <c r="Y499" s="251"/>
      <c r="Z499" s="1736"/>
      <c r="AA499" s="1737"/>
      <c r="AB499" s="77">
        <f t="shared" si="74"/>
        <v>0</v>
      </c>
      <c r="AC499" s="134">
        <f t="shared" si="75"/>
        <v>0</v>
      </c>
      <c r="AD499" s="251"/>
      <c r="AE499" s="1736"/>
      <c r="AF499" s="1737"/>
      <c r="AG499" s="77">
        <f t="shared" si="76"/>
        <v>0</v>
      </c>
      <c r="AH499" s="136">
        <f t="shared" si="77"/>
        <v>0</v>
      </c>
      <c r="AI499" s="251"/>
      <c r="AJ499" s="1736"/>
      <c r="AK499" s="1737"/>
      <c r="AL499" s="79">
        <f t="shared" si="78"/>
        <v>0</v>
      </c>
      <c r="AM499" s="137">
        <f t="shared" si="79"/>
        <v>0</v>
      </c>
      <c r="AN499" s="251"/>
      <c r="AO499" s="1736"/>
      <c r="AP499" s="1737"/>
    </row>
    <row r="500" spans="1:42" s="85" customFormat="1" ht="13.5" thickBot="1">
      <c r="A500" s="240"/>
      <c r="B500" s="241"/>
      <c r="C500" s="242"/>
      <c r="D500" s="242"/>
      <c r="E500" s="243"/>
      <c r="F500" s="244"/>
      <c r="G500" s="244"/>
      <c r="H500" s="243"/>
      <c r="I500" s="258"/>
      <c r="J500" s="245"/>
      <c r="K500" s="245"/>
      <c r="L500" s="76">
        <f t="shared" si="70"/>
        <v>0</v>
      </c>
      <c r="M500" s="246"/>
      <c r="N500" s="247"/>
      <c r="O500" s="248"/>
      <c r="P500" s="246"/>
      <c r="Q500" s="249"/>
      <c r="R500" s="250"/>
      <c r="S500" s="259"/>
      <c r="T500" s="260"/>
      <c r="U500" s="250"/>
      <c r="V500" s="78">
        <f t="shared" si="71"/>
        <v>0</v>
      </c>
      <c r="W500" s="261">
        <f t="shared" si="72"/>
        <v>0</v>
      </c>
      <c r="X500" s="133">
        <f t="shared" si="73"/>
        <v>0</v>
      </c>
      <c r="Y500" s="251"/>
      <c r="Z500" s="1736"/>
      <c r="AA500" s="1737"/>
      <c r="AB500" s="77">
        <f t="shared" si="74"/>
        <v>0</v>
      </c>
      <c r="AC500" s="134">
        <f t="shared" si="75"/>
        <v>0</v>
      </c>
      <c r="AD500" s="251"/>
      <c r="AE500" s="1736"/>
      <c r="AF500" s="1737"/>
      <c r="AG500" s="77">
        <f t="shared" si="76"/>
        <v>0</v>
      </c>
      <c r="AH500" s="136">
        <f t="shared" si="77"/>
        <v>0</v>
      </c>
      <c r="AI500" s="251"/>
      <c r="AJ500" s="1736"/>
      <c r="AK500" s="1737"/>
      <c r="AL500" s="79">
        <f t="shared" si="78"/>
        <v>0</v>
      </c>
      <c r="AM500" s="137">
        <f t="shared" si="79"/>
        <v>0</v>
      </c>
      <c r="AN500" s="251"/>
      <c r="AO500" s="1736"/>
      <c r="AP500" s="1737"/>
    </row>
    <row r="501" spans="1:42" s="85" customFormat="1" ht="13.5" thickBot="1">
      <c r="A501" s="240"/>
      <c r="B501" s="241"/>
      <c r="C501" s="242"/>
      <c r="D501" s="242"/>
      <c r="E501" s="243"/>
      <c r="F501" s="244"/>
      <c r="G501" s="244"/>
      <c r="H501" s="243"/>
      <c r="I501" s="258"/>
      <c r="J501" s="245"/>
      <c r="K501" s="245"/>
      <c r="L501" s="76">
        <f t="shared" si="70"/>
        <v>0</v>
      </c>
      <c r="M501" s="246"/>
      <c r="N501" s="247"/>
      <c r="O501" s="248"/>
      <c r="P501" s="246"/>
      <c r="Q501" s="249"/>
      <c r="R501" s="250"/>
      <c r="S501" s="259"/>
      <c r="T501" s="260"/>
      <c r="U501" s="250"/>
      <c r="V501" s="78">
        <f t="shared" si="71"/>
        <v>0</v>
      </c>
      <c r="W501" s="261">
        <f t="shared" si="72"/>
        <v>0</v>
      </c>
      <c r="X501" s="133">
        <f t="shared" si="73"/>
        <v>0</v>
      </c>
      <c r="Y501" s="251"/>
      <c r="Z501" s="1736"/>
      <c r="AA501" s="1737"/>
      <c r="AB501" s="77">
        <f t="shared" si="74"/>
        <v>0</v>
      </c>
      <c r="AC501" s="134">
        <f t="shared" si="75"/>
        <v>0</v>
      </c>
      <c r="AD501" s="251"/>
      <c r="AE501" s="1736"/>
      <c r="AF501" s="1737"/>
      <c r="AG501" s="77">
        <f t="shared" si="76"/>
        <v>0</v>
      </c>
      <c r="AH501" s="136">
        <f t="shared" si="77"/>
        <v>0</v>
      </c>
      <c r="AI501" s="251"/>
      <c r="AJ501" s="1736"/>
      <c r="AK501" s="1737"/>
      <c r="AL501" s="79">
        <f t="shared" si="78"/>
        <v>0</v>
      </c>
      <c r="AM501" s="137">
        <f t="shared" si="79"/>
        <v>0</v>
      </c>
      <c r="AN501" s="251"/>
      <c r="AO501" s="1736"/>
      <c r="AP501" s="1737"/>
    </row>
    <row r="502" spans="1:42" s="85" customFormat="1" ht="13.5" thickBot="1">
      <c r="A502" s="240"/>
      <c r="B502" s="241"/>
      <c r="C502" s="242"/>
      <c r="D502" s="242"/>
      <c r="E502" s="243"/>
      <c r="F502" s="244"/>
      <c r="G502" s="244"/>
      <c r="H502" s="243"/>
      <c r="I502" s="258"/>
      <c r="J502" s="245"/>
      <c r="K502" s="245"/>
      <c r="L502" s="76">
        <f t="shared" si="70"/>
        <v>0</v>
      </c>
      <c r="M502" s="246"/>
      <c r="N502" s="247"/>
      <c r="O502" s="248"/>
      <c r="P502" s="246"/>
      <c r="Q502" s="249"/>
      <c r="R502" s="250"/>
      <c r="S502" s="259"/>
      <c r="T502" s="260"/>
      <c r="U502" s="250"/>
      <c r="V502" s="78">
        <f t="shared" si="71"/>
        <v>0</v>
      </c>
      <c r="W502" s="261">
        <f t="shared" si="72"/>
        <v>0</v>
      </c>
      <c r="X502" s="133">
        <f t="shared" si="73"/>
        <v>0</v>
      </c>
      <c r="Y502" s="251"/>
      <c r="Z502" s="1736"/>
      <c r="AA502" s="1737"/>
      <c r="AB502" s="77">
        <f t="shared" si="74"/>
        <v>0</v>
      </c>
      <c r="AC502" s="134">
        <f t="shared" si="75"/>
        <v>0</v>
      </c>
      <c r="AD502" s="251"/>
      <c r="AE502" s="1736"/>
      <c r="AF502" s="1737"/>
      <c r="AG502" s="77">
        <f t="shared" si="76"/>
        <v>0</v>
      </c>
      <c r="AH502" s="136">
        <f t="shared" si="77"/>
        <v>0</v>
      </c>
      <c r="AI502" s="251"/>
      <c r="AJ502" s="1736"/>
      <c r="AK502" s="1737"/>
      <c r="AL502" s="79">
        <f t="shared" si="78"/>
        <v>0</v>
      </c>
      <c r="AM502" s="137">
        <f t="shared" si="79"/>
        <v>0</v>
      </c>
      <c r="AN502" s="251"/>
      <c r="AO502" s="1736"/>
      <c r="AP502" s="1737"/>
    </row>
    <row r="503" spans="1:42" s="85" customFormat="1" ht="13.5" thickBot="1">
      <c r="A503" s="240"/>
      <c r="B503" s="241"/>
      <c r="C503" s="242"/>
      <c r="D503" s="242"/>
      <c r="E503" s="243"/>
      <c r="F503" s="244"/>
      <c r="G503" s="244"/>
      <c r="H503" s="243"/>
      <c r="I503" s="258"/>
      <c r="J503" s="245"/>
      <c r="K503" s="245"/>
      <c r="L503" s="76">
        <f t="shared" si="70"/>
        <v>0</v>
      </c>
      <c r="M503" s="246"/>
      <c r="N503" s="247"/>
      <c r="O503" s="248"/>
      <c r="P503" s="246"/>
      <c r="Q503" s="249"/>
      <c r="R503" s="250"/>
      <c r="S503" s="259"/>
      <c r="T503" s="260"/>
      <c r="U503" s="250"/>
      <c r="V503" s="78">
        <f t="shared" si="71"/>
        <v>0</v>
      </c>
      <c r="W503" s="261">
        <f t="shared" si="72"/>
        <v>0</v>
      </c>
      <c r="X503" s="133">
        <f t="shared" si="73"/>
        <v>0</v>
      </c>
      <c r="Y503" s="251"/>
      <c r="Z503" s="1736"/>
      <c r="AA503" s="1737"/>
      <c r="AB503" s="77">
        <f t="shared" si="74"/>
        <v>0</v>
      </c>
      <c r="AC503" s="134">
        <f t="shared" si="75"/>
        <v>0</v>
      </c>
      <c r="AD503" s="251"/>
      <c r="AE503" s="1736"/>
      <c r="AF503" s="1737"/>
      <c r="AG503" s="77">
        <f t="shared" si="76"/>
        <v>0</v>
      </c>
      <c r="AH503" s="136">
        <f t="shared" si="77"/>
        <v>0</v>
      </c>
      <c r="AI503" s="251"/>
      <c r="AJ503" s="1736"/>
      <c r="AK503" s="1737"/>
      <c r="AL503" s="79">
        <f t="shared" si="78"/>
        <v>0</v>
      </c>
      <c r="AM503" s="137">
        <f t="shared" si="79"/>
        <v>0</v>
      </c>
      <c r="AN503" s="251"/>
      <c r="AO503" s="1736"/>
      <c r="AP503" s="1737"/>
    </row>
    <row r="504" spans="1:42" s="85" customFormat="1" ht="13.5" thickBot="1">
      <c r="A504" s="240"/>
      <c r="B504" s="241"/>
      <c r="C504" s="242"/>
      <c r="D504" s="242"/>
      <c r="E504" s="243"/>
      <c r="F504" s="244"/>
      <c r="G504" s="244"/>
      <c r="H504" s="243"/>
      <c r="I504" s="258"/>
      <c r="J504" s="245"/>
      <c r="K504" s="245"/>
      <c r="L504" s="76">
        <f t="shared" si="70"/>
        <v>0</v>
      </c>
      <c r="M504" s="246"/>
      <c r="N504" s="247"/>
      <c r="O504" s="248"/>
      <c r="P504" s="246"/>
      <c r="Q504" s="249"/>
      <c r="R504" s="250"/>
      <c r="S504" s="259"/>
      <c r="T504" s="260"/>
      <c r="U504" s="250"/>
      <c r="V504" s="78">
        <f t="shared" si="71"/>
        <v>0</v>
      </c>
      <c r="W504" s="261">
        <f t="shared" si="72"/>
        <v>0</v>
      </c>
      <c r="X504" s="133">
        <f t="shared" si="73"/>
        <v>0</v>
      </c>
      <c r="Y504" s="251"/>
      <c r="Z504" s="1736"/>
      <c r="AA504" s="1737"/>
      <c r="AB504" s="77">
        <f t="shared" si="74"/>
        <v>0</v>
      </c>
      <c r="AC504" s="134">
        <f t="shared" si="75"/>
        <v>0</v>
      </c>
      <c r="AD504" s="251"/>
      <c r="AE504" s="1736"/>
      <c r="AF504" s="1737"/>
      <c r="AG504" s="77">
        <f t="shared" si="76"/>
        <v>0</v>
      </c>
      <c r="AH504" s="136">
        <f t="shared" si="77"/>
        <v>0</v>
      </c>
      <c r="AI504" s="251"/>
      <c r="AJ504" s="1736"/>
      <c r="AK504" s="1737"/>
      <c r="AL504" s="79">
        <f t="shared" si="78"/>
        <v>0</v>
      </c>
      <c r="AM504" s="137">
        <f t="shared" si="79"/>
        <v>0</v>
      </c>
      <c r="AN504" s="251"/>
      <c r="AO504" s="1736"/>
      <c r="AP504" s="1737"/>
    </row>
    <row r="505" spans="1:42" s="85" customFormat="1" ht="13.5" thickBot="1">
      <c r="A505" s="240"/>
      <c r="B505" s="241"/>
      <c r="C505" s="242"/>
      <c r="D505" s="242"/>
      <c r="E505" s="243"/>
      <c r="F505" s="244"/>
      <c r="G505" s="244"/>
      <c r="H505" s="243"/>
      <c r="I505" s="258"/>
      <c r="J505" s="245"/>
      <c r="K505" s="245"/>
      <c r="L505" s="76">
        <f t="shared" si="70"/>
        <v>0</v>
      </c>
      <c r="M505" s="246"/>
      <c r="N505" s="247"/>
      <c r="O505" s="248"/>
      <c r="P505" s="246"/>
      <c r="Q505" s="249"/>
      <c r="R505" s="250"/>
      <c r="S505" s="259"/>
      <c r="T505" s="260"/>
      <c r="U505" s="250"/>
      <c r="V505" s="78">
        <f t="shared" si="71"/>
        <v>0</v>
      </c>
      <c r="W505" s="261">
        <f t="shared" si="72"/>
        <v>0</v>
      </c>
      <c r="X505" s="133">
        <f t="shared" si="73"/>
        <v>0</v>
      </c>
      <c r="Y505" s="251"/>
      <c r="Z505" s="1736"/>
      <c r="AA505" s="1737"/>
      <c r="AB505" s="77">
        <f t="shared" si="74"/>
        <v>0</v>
      </c>
      <c r="AC505" s="134">
        <f t="shared" si="75"/>
        <v>0</v>
      </c>
      <c r="AD505" s="251"/>
      <c r="AE505" s="1736"/>
      <c r="AF505" s="1737"/>
      <c r="AG505" s="77">
        <f t="shared" si="76"/>
        <v>0</v>
      </c>
      <c r="AH505" s="136">
        <f t="shared" si="77"/>
        <v>0</v>
      </c>
      <c r="AI505" s="251"/>
      <c r="AJ505" s="1736"/>
      <c r="AK505" s="1737"/>
      <c r="AL505" s="79">
        <f t="shared" si="78"/>
        <v>0</v>
      </c>
      <c r="AM505" s="137">
        <f t="shared" si="79"/>
        <v>0</v>
      </c>
      <c r="AN505" s="251"/>
      <c r="AO505" s="1736"/>
      <c r="AP505" s="1737"/>
    </row>
    <row r="506" spans="1:42" s="85" customFormat="1" ht="13.5" thickBot="1">
      <c r="A506" s="240"/>
      <c r="B506" s="241"/>
      <c r="C506" s="242"/>
      <c r="D506" s="242"/>
      <c r="E506" s="243"/>
      <c r="F506" s="244"/>
      <c r="G506" s="244"/>
      <c r="H506" s="243"/>
      <c r="I506" s="258"/>
      <c r="J506" s="245"/>
      <c r="K506" s="245"/>
      <c r="L506" s="76">
        <f t="shared" si="70"/>
        <v>0</v>
      </c>
      <c r="M506" s="246"/>
      <c r="N506" s="247"/>
      <c r="O506" s="248"/>
      <c r="P506" s="246"/>
      <c r="Q506" s="249"/>
      <c r="R506" s="250"/>
      <c r="S506" s="259"/>
      <c r="T506" s="260"/>
      <c r="U506" s="250"/>
      <c r="V506" s="78">
        <f t="shared" si="71"/>
        <v>0</v>
      </c>
      <c r="W506" s="261">
        <f t="shared" si="72"/>
        <v>0</v>
      </c>
      <c r="X506" s="133">
        <f t="shared" si="73"/>
        <v>0</v>
      </c>
      <c r="Y506" s="251"/>
      <c r="Z506" s="1736"/>
      <c r="AA506" s="1737"/>
      <c r="AB506" s="77">
        <f t="shared" si="74"/>
        <v>0</v>
      </c>
      <c r="AC506" s="134">
        <f t="shared" si="75"/>
        <v>0</v>
      </c>
      <c r="AD506" s="251"/>
      <c r="AE506" s="1736"/>
      <c r="AF506" s="1737"/>
      <c r="AG506" s="77">
        <f t="shared" si="76"/>
        <v>0</v>
      </c>
      <c r="AH506" s="136">
        <f t="shared" si="77"/>
        <v>0</v>
      </c>
      <c r="AI506" s="251"/>
      <c r="AJ506" s="1736"/>
      <c r="AK506" s="1737"/>
      <c r="AL506" s="79">
        <f t="shared" si="78"/>
        <v>0</v>
      </c>
      <c r="AM506" s="137">
        <f t="shared" si="79"/>
        <v>0</v>
      </c>
      <c r="AN506" s="251"/>
      <c r="AO506" s="1736"/>
      <c r="AP506" s="1737"/>
    </row>
    <row r="507" spans="1:42" s="85" customFormat="1" ht="13.5" thickBot="1">
      <c r="A507" s="240"/>
      <c r="B507" s="241"/>
      <c r="C507" s="242"/>
      <c r="D507" s="242"/>
      <c r="E507" s="243"/>
      <c r="F507" s="244"/>
      <c r="G507" s="244"/>
      <c r="H507" s="243"/>
      <c r="I507" s="258"/>
      <c r="J507" s="245"/>
      <c r="K507" s="245"/>
      <c r="L507" s="76">
        <f t="shared" si="70"/>
        <v>0</v>
      </c>
      <c r="M507" s="246"/>
      <c r="N507" s="247"/>
      <c r="O507" s="248"/>
      <c r="P507" s="246"/>
      <c r="Q507" s="249"/>
      <c r="R507" s="250"/>
      <c r="S507" s="259"/>
      <c r="T507" s="260"/>
      <c r="U507" s="250"/>
      <c r="V507" s="78">
        <f t="shared" si="71"/>
        <v>0</v>
      </c>
      <c r="W507" s="261">
        <f t="shared" si="72"/>
        <v>0</v>
      </c>
      <c r="X507" s="133">
        <f t="shared" si="73"/>
        <v>0</v>
      </c>
      <c r="Y507" s="251"/>
      <c r="Z507" s="1736"/>
      <c r="AA507" s="1737"/>
      <c r="AB507" s="77">
        <f t="shared" si="74"/>
        <v>0</v>
      </c>
      <c r="AC507" s="134">
        <f t="shared" si="75"/>
        <v>0</v>
      </c>
      <c r="AD507" s="251"/>
      <c r="AE507" s="1736"/>
      <c r="AF507" s="1737"/>
      <c r="AG507" s="77">
        <f t="shared" si="76"/>
        <v>0</v>
      </c>
      <c r="AH507" s="136">
        <f t="shared" si="77"/>
        <v>0</v>
      </c>
      <c r="AI507" s="251"/>
      <c r="AJ507" s="1736"/>
      <c r="AK507" s="1737"/>
      <c r="AL507" s="79">
        <f t="shared" si="78"/>
        <v>0</v>
      </c>
      <c r="AM507" s="137">
        <f t="shared" si="79"/>
        <v>0</v>
      </c>
      <c r="AN507" s="251"/>
      <c r="AO507" s="1736"/>
      <c r="AP507" s="1737"/>
    </row>
    <row r="508" spans="1:42" s="85" customFormat="1" ht="13.5" thickBot="1">
      <c r="A508" s="240"/>
      <c r="B508" s="241"/>
      <c r="C508" s="242"/>
      <c r="D508" s="242"/>
      <c r="E508" s="243"/>
      <c r="F508" s="244"/>
      <c r="G508" s="244"/>
      <c r="H508" s="243"/>
      <c r="I508" s="258"/>
      <c r="J508" s="245"/>
      <c r="K508" s="245"/>
      <c r="L508" s="76">
        <f t="shared" si="70"/>
        <v>0</v>
      </c>
      <c r="M508" s="246"/>
      <c r="N508" s="247"/>
      <c r="O508" s="248"/>
      <c r="P508" s="246"/>
      <c r="Q508" s="249"/>
      <c r="R508" s="250"/>
      <c r="S508" s="259"/>
      <c r="T508" s="260"/>
      <c r="U508" s="250"/>
      <c r="V508" s="78">
        <f t="shared" si="71"/>
        <v>0</v>
      </c>
      <c r="W508" s="261">
        <f t="shared" si="72"/>
        <v>0</v>
      </c>
      <c r="X508" s="133">
        <f t="shared" si="73"/>
        <v>0</v>
      </c>
      <c r="Y508" s="251"/>
      <c r="Z508" s="1736"/>
      <c r="AA508" s="1737"/>
      <c r="AB508" s="77">
        <f t="shared" si="74"/>
        <v>0</v>
      </c>
      <c r="AC508" s="134">
        <f t="shared" si="75"/>
        <v>0</v>
      </c>
      <c r="AD508" s="251"/>
      <c r="AE508" s="1736"/>
      <c r="AF508" s="1737"/>
      <c r="AG508" s="77">
        <f t="shared" si="76"/>
        <v>0</v>
      </c>
      <c r="AH508" s="136">
        <f t="shared" si="77"/>
        <v>0</v>
      </c>
      <c r="AI508" s="251"/>
      <c r="AJ508" s="1736"/>
      <c r="AK508" s="1737"/>
      <c r="AL508" s="79">
        <f t="shared" si="78"/>
        <v>0</v>
      </c>
      <c r="AM508" s="137">
        <f t="shared" si="79"/>
        <v>0</v>
      </c>
      <c r="AN508" s="251"/>
      <c r="AO508" s="1736"/>
      <c r="AP508" s="1737"/>
    </row>
    <row r="509" spans="1:42" s="85" customFormat="1" ht="13.5" thickBot="1">
      <c r="A509" s="240"/>
      <c r="B509" s="241"/>
      <c r="C509" s="242"/>
      <c r="D509" s="242"/>
      <c r="E509" s="243"/>
      <c r="F509" s="244"/>
      <c r="G509" s="244"/>
      <c r="H509" s="243"/>
      <c r="I509" s="258"/>
      <c r="J509" s="245"/>
      <c r="K509" s="245"/>
      <c r="L509" s="76">
        <f t="shared" si="70"/>
        <v>0</v>
      </c>
      <c r="M509" s="246"/>
      <c r="N509" s="247"/>
      <c r="O509" s="248"/>
      <c r="P509" s="246"/>
      <c r="Q509" s="249"/>
      <c r="R509" s="250"/>
      <c r="S509" s="259"/>
      <c r="T509" s="260"/>
      <c r="U509" s="250"/>
      <c r="V509" s="78">
        <f t="shared" si="71"/>
        <v>0</v>
      </c>
      <c r="W509" s="261">
        <f t="shared" si="72"/>
        <v>0</v>
      </c>
      <c r="X509" s="133">
        <f t="shared" si="73"/>
        <v>0</v>
      </c>
      <c r="Y509" s="251"/>
      <c r="Z509" s="1736"/>
      <c r="AA509" s="1737"/>
      <c r="AB509" s="77">
        <f t="shared" si="74"/>
        <v>0</v>
      </c>
      <c r="AC509" s="134">
        <f t="shared" si="75"/>
        <v>0</v>
      </c>
      <c r="AD509" s="251"/>
      <c r="AE509" s="1736"/>
      <c r="AF509" s="1737"/>
      <c r="AG509" s="77">
        <f t="shared" si="76"/>
        <v>0</v>
      </c>
      <c r="AH509" s="136">
        <f t="shared" si="77"/>
        <v>0</v>
      </c>
      <c r="AI509" s="251"/>
      <c r="AJ509" s="1736"/>
      <c r="AK509" s="1737"/>
      <c r="AL509" s="79">
        <f t="shared" si="78"/>
        <v>0</v>
      </c>
      <c r="AM509" s="137">
        <f t="shared" si="79"/>
        <v>0</v>
      </c>
      <c r="AN509" s="251"/>
      <c r="AO509" s="1736"/>
      <c r="AP509" s="1737"/>
    </row>
    <row r="510" spans="1:42" s="85" customFormat="1" ht="13.5" thickBot="1">
      <c r="A510" s="240"/>
      <c r="B510" s="241"/>
      <c r="C510" s="242"/>
      <c r="D510" s="242"/>
      <c r="E510" s="243"/>
      <c r="F510" s="244"/>
      <c r="G510" s="244"/>
      <c r="H510" s="243"/>
      <c r="I510" s="258"/>
      <c r="J510" s="245"/>
      <c r="K510" s="245"/>
      <c r="L510" s="76">
        <f t="shared" si="70"/>
        <v>0</v>
      </c>
      <c r="M510" s="246"/>
      <c r="N510" s="247"/>
      <c r="O510" s="248"/>
      <c r="P510" s="246"/>
      <c r="Q510" s="249"/>
      <c r="R510" s="250"/>
      <c r="S510" s="259"/>
      <c r="T510" s="260"/>
      <c r="U510" s="250"/>
      <c r="V510" s="78">
        <f t="shared" si="71"/>
        <v>0</v>
      </c>
      <c r="W510" s="261">
        <f t="shared" si="72"/>
        <v>0</v>
      </c>
      <c r="X510" s="133">
        <f t="shared" si="73"/>
        <v>0</v>
      </c>
      <c r="Y510" s="251"/>
      <c r="Z510" s="1736"/>
      <c r="AA510" s="1737"/>
      <c r="AB510" s="77">
        <f t="shared" si="74"/>
        <v>0</v>
      </c>
      <c r="AC510" s="134">
        <f t="shared" si="75"/>
        <v>0</v>
      </c>
      <c r="AD510" s="251"/>
      <c r="AE510" s="1736"/>
      <c r="AF510" s="1737"/>
      <c r="AG510" s="77">
        <f t="shared" si="76"/>
        <v>0</v>
      </c>
      <c r="AH510" s="136">
        <f t="shared" si="77"/>
        <v>0</v>
      </c>
      <c r="AI510" s="251"/>
      <c r="AJ510" s="1736"/>
      <c r="AK510" s="1737"/>
      <c r="AL510" s="79">
        <f t="shared" si="78"/>
        <v>0</v>
      </c>
      <c r="AM510" s="137">
        <f t="shared" si="79"/>
        <v>0</v>
      </c>
      <c r="AN510" s="251"/>
      <c r="AO510" s="1736"/>
      <c r="AP510" s="1737"/>
    </row>
    <row r="511" spans="1:42" s="85" customFormat="1" ht="13.5" thickBot="1">
      <c r="A511" s="240"/>
      <c r="B511" s="241"/>
      <c r="C511" s="242"/>
      <c r="D511" s="242"/>
      <c r="E511" s="243"/>
      <c r="F511" s="244"/>
      <c r="G511" s="244"/>
      <c r="H511" s="243"/>
      <c r="I511" s="258"/>
      <c r="J511" s="245"/>
      <c r="K511" s="245"/>
      <c r="L511" s="76">
        <f t="shared" si="70"/>
        <v>0</v>
      </c>
      <c r="M511" s="246"/>
      <c r="N511" s="247"/>
      <c r="O511" s="248"/>
      <c r="P511" s="246"/>
      <c r="Q511" s="249"/>
      <c r="R511" s="250"/>
      <c r="S511" s="259"/>
      <c r="T511" s="260"/>
      <c r="U511" s="250"/>
      <c r="V511" s="78">
        <f t="shared" si="71"/>
        <v>0</v>
      </c>
      <c r="W511" s="261">
        <f t="shared" si="72"/>
        <v>0</v>
      </c>
      <c r="X511" s="133">
        <f t="shared" si="73"/>
        <v>0</v>
      </c>
      <c r="Y511" s="251"/>
      <c r="Z511" s="1736"/>
      <c r="AA511" s="1737"/>
      <c r="AB511" s="77">
        <f t="shared" si="74"/>
        <v>0</v>
      </c>
      <c r="AC511" s="134">
        <f t="shared" si="75"/>
        <v>0</v>
      </c>
      <c r="AD511" s="251"/>
      <c r="AE511" s="1736"/>
      <c r="AF511" s="1737"/>
      <c r="AG511" s="77">
        <f t="shared" si="76"/>
        <v>0</v>
      </c>
      <c r="AH511" s="136">
        <f t="shared" si="77"/>
        <v>0</v>
      </c>
      <c r="AI511" s="251"/>
      <c r="AJ511" s="1736"/>
      <c r="AK511" s="1737"/>
      <c r="AL511" s="79">
        <f t="shared" si="78"/>
        <v>0</v>
      </c>
      <c r="AM511" s="137">
        <f t="shared" si="79"/>
        <v>0</v>
      </c>
      <c r="AN511" s="251"/>
      <c r="AO511" s="1736"/>
      <c r="AP511" s="1737"/>
    </row>
    <row r="512" spans="1:42" s="85" customFormat="1" ht="13.5" thickBot="1">
      <c r="A512" s="240"/>
      <c r="B512" s="241"/>
      <c r="C512" s="242"/>
      <c r="D512" s="242"/>
      <c r="E512" s="243"/>
      <c r="F512" s="244"/>
      <c r="G512" s="244"/>
      <c r="H512" s="243"/>
      <c r="I512" s="258"/>
      <c r="J512" s="245"/>
      <c r="K512" s="245"/>
      <c r="L512" s="76">
        <f t="shared" si="70"/>
        <v>0</v>
      </c>
      <c r="M512" s="246"/>
      <c r="N512" s="247"/>
      <c r="O512" s="248"/>
      <c r="P512" s="246"/>
      <c r="Q512" s="249"/>
      <c r="R512" s="250"/>
      <c r="S512" s="259"/>
      <c r="T512" s="260"/>
      <c r="U512" s="250"/>
      <c r="V512" s="78">
        <f t="shared" si="71"/>
        <v>0</v>
      </c>
      <c r="W512" s="261">
        <f t="shared" si="72"/>
        <v>0</v>
      </c>
      <c r="X512" s="133">
        <f t="shared" si="73"/>
        <v>0</v>
      </c>
      <c r="Y512" s="251"/>
      <c r="Z512" s="1736"/>
      <c r="AA512" s="1737"/>
      <c r="AB512" s="77">
        <f t="shared" si="74"/>
        <v>0</v>
      </c>
      <c r="AC512" s="134">
        <f t="shared" si="75"/>
        <v>0</v>
      </c>
      <c r="AD512" s="251"/>
      <c r="AE512" s="1736"/>
      <c r="AF512" s="1737"/>
      <c r="AG512" s="77">
        <f t="shared" si="76"/>
        <v>0</v>
      </c>
      <c r="AH512" s="136">
        <f t="shared" si="77"/>
        <v>0</v>
      </c>
      <c r="AI512" s="251"/>
      <c r="AJ512" s="1736"/>
      <c r="AK512" s="1737"/>
      <c r="AL512" s="79">
        <f t="shared" si="78"/>
        <v>0</v>
      </c>
      <c r="AM512" s="137">
        <f t="shared" si="79"/>
        <v>0</v>
      </c>
      <c r="AN512" s="251"/>
      <c r="AO512" s="1736"/>
      <c r="AP512" s="1737"/>
    </row>
    <row r="513" spans="1:42" s="85" customFormat="1" ht="13.5" thickBot="1">
      <c r="A513" s="240"/>
      <c r="B513" s="241"/>
      <c r="C513" s="242"/>
      <c r="D513" s="242"/>
      <c r="E513" s="243"/>
      <c r="F513" s="244"/>
      <c r="G513" s="244"/>
      <c r="H513" s="243"/>
      <c r="I513" s="258"/>
      <c r="J513" s="245"/>
      <c r="K513" s="245"/>
      <c r="L513" s="76">
        <f t="shared" si="70"/>
        <v>0</v>
      </c>
      <c r="M513" s="246"/>
      <c r="N513" s="247"/>
      <c r="O513" s="248"/>
      <c r="P513" s="246"/>
      <c r="Q513" s="249"/>
      <c r="R513" s="250"/>
      <c r="S513" s="259"/>
      <c r="T513" s="260"/>
      <c r="U513" s="250"/>
      <c r="V513" s="78">
        <f t="shared" si="71"/>
        <v>0</v>
      </c>
      <c r="W513" s="261">
        <f t="shared" si="72"/>
        <v>0</v>
      </c>
      <c r="X513" s="133">
        <f t="shared" si="73"/>
        <v>0</v>
      </c>
      <c r="Y513" s="251"/>
      <c r="Z513" s="1736"/>
      <c r="AA513" s="1737"/>
      <c r="AB513" s="77">
        <f t="shared" si="74"/>
        <v>0</v>
      </c>
      <c r="AC513" s="134">
        <f t="shared" si="75"/>
        <v>0</v>
      </c>
      <c r="AD513" s="251"/>
      <c r="AE513" s="1736"/>
      <c r="AF513" s="1737"/>
      <c r="AG513" s="77">
        <f t="shared" si="76"/>
        <v>0</v>
      </c>
      <c r="AH513" s="136">
        <f t="shared" si="77"/>
        <v>0</v>
      </c>
      <c r="AI513" s="251"/>
      <c r="AJ513" s="1736"/>
      <c r="AK513" s="1737"/>
      <c r="AL513" s="79">
        <f t="shared" si="78"/>
        <v>0</v>
      </c>
      <c r="AM513" s="137">
        <f t="shared" si="79"/>
        <v>0</v>
      </c>
      <c r="AN513" s="251"/>
      <c r="AO513" s="1736"/>
      <c r="AP513" s="1737"/>
    </row>
    <row r="514" spans="1:42" s="85" customFormat="1" ht="13.5" thickBot="1">
      <c r="A514" s="240"/>
      <c r="B514" s="241"/>
      <c r="C514" s="242"/>
      <c r="D514" s="242"/>
      <c r="E514" s="243"/>
      <c r="F514" s="244"/>
      <c r="G514" s="244"/>
      <c r="H514" s="243"/>
      <c r="I514" s="258"/>
      <c r="J514" s="245"/>
      <c r="K514" s="245"/>
      <c r="L514" s="76">
        <f t="shared" si="70"/>
        <v>0</v>
      </c>
      <c r="M514" s="246"/>
      <c r="N514" s="247"/>
      <c r="O514" s="248"/>
      <c r="P514" s="246"/>
      <c r="Q514" s="249"/>
      <c r="R514" s="250"/>
      <c r="S514" s="259"/>
      <c r="T514" s="260"/>
      <c r="U514" s="250"/>
      <c r="V514" s="78">
        <f t="shared" si="71"/>
        <v>0</v>
      </c>
      <c r="W514" s="261">
        <f t="shared" si="72"/>
        <v>0</v>
      </c>
      <c r="X514" s="133">
        <f t="shared" si="73"/>
        <v>0</v>
      </c>
      <c r="Y514" s="251"/>
      <c r="Z514" s="1736"/>
      <c r="AA514" s="1737"/>
      <c r="AB514" s="77">
        <f t="shared" si="74"/>
        <v>0</v>
      </c>
      <c r="AC514" s="134">
        <f t="shared" si="75"/>
        <v>0</v>
      </c>
      <c r="AD514" s="251"/>
      <c r="AE514" s="1736"/>
      <c r="AF514" s="1737"/>
      <c r="AG514" s="77">
        <f t="shared" si="76"/>
        <v>0</v>
      </c>
      <c r="AH514" s="136">
        <f t="shared" si="77"/>
        <v>0</v>
      </c>
      <c r="AI514" s="251"/>
      <c r="AJ514" s="1736"/>
      <c r="AK514" s="1737"/>
      <c r="AL514" s="79">
        <f t="shared" si="78"/>
        <v>0</v>
      </c>
      <c r="AM514" s="137">
        <f t="shared" si="79"/>
        <v>0</v>
      </c>
      <c r="AN514" s="251"/>
      <c r="AO514" s="1736"/>
      <c r="AP514" s="1737"/>
    </row>
    <row r="515" spans="1:42" s="85" customFormat="1" ht="13.5" thickBot="1">
      <c r="A515" s="240"/>
      <c r="B515" s="241"/>
      <c r="C515" s="242"/>
      <c r="D515" s="242"/>
      <c r="E515" s="243"/>
      <c r="F515" s="244"/>
      <c r="G515" s="244"/>
      <c r="H515" s="243"/>
      <c r="I515" s="258"/>
      <c r="J515" s="245"/>
      <c r="K515" s="245"/>
      <c r="L515" s="76">
        <f t="shared" si="70"/>
        <v>0</v>
      </c>
      <c r="M515" s="246"/>
      <c r="N515" s="247"/>
      <c r="O515" s="248"/>
      <c r="P515" s="246"/>
      <c r="Q515" s="249"/>
      <c r="R515" s="250"/>
      <c r="S515" s="259"/>
      <c r="T515" s="260"/>
      <c r="U515" s="250"/>
      <c r="V515" s="78">
        <f t="shared" si="71"/>
        <v>0</v>
      </c>
      <c r="W515" s="261">
        <f t="shared" si="72"/>
        <v>0</v>
      </c>
      <c r="X515" s="133">
        <f t="shared" si="73"/>
        <v>0</v>
      </c>
      <c r="Y515" s="251"/>
      <c r="Z515" s="1736"/>
      <c r="AA515" s="1737"/>
      <c r="AB515" s="77">
        <f t="shared" si="74"/>
        <v>0</v>
      </c>
      <c r="AC515" s="134">
        <f t="shared" si="75"/>
        <v>0</v>
      </c>
      <c r="AD515" s="251"/>
      <c r="AE515" s="1736"/>
      <c r="AF515" s="1737"/>
      <c r="AG515" s="77">
        <f t="shared" si="76"/>
        <v>0</v>
      </c>
      <c r="AH515" s="136">
        <f t="shared" si="77"/>
        <v>0</v>
      </c>
      <c r="AI515" s="251"/>
      <c r="AJ515" s="1736"/>
      <c r="AK515" s="1737"/>
      <c r="AL515" s="79">
        <f t="shared" si="78"/>
        <v>0</v>
      </c>
      <c r="AM515" s="137">
        <f t="shared" si="79"/>
        <v>0</v>
      </c>
      <c r="AN515" s="251"/>
      <c r="AO515" s="1736"/>
      <c r="AP515" s="1737"/>
    </row>
    <row r="516" spans="1:42" s="85" customFormat="1" ht="13.5" thickBot="1">
      <c r="A516" s="240"/>
      <c r="B516" s="241"/>
      <c r="C516" s="242"/>
      <c r="D516" s="242"/>
      <c r="E516" s="243"/>
      <c r="F516" s="244"/>
      <c r="G516" s="244"/>
      <c r="H516" s="243"/>
      <c r="I516" s="258"/>
      <c r="J516" s="245"/>
      <c r="K516" s="245"/>
      <c r="L516" s="76">
        <f t="shared" si="70"/>
        <v>0</v>
      </c>
      <c r="M516" s="246"/>
      <c r="N516" s="247"/>
      <c r="O516" s="248"/>
      <c r="P516" s="246"/>
      <c r="Q516" s="249"/>
      <c r="R516" s="250"/>
      <c r="S516" s="259"/>
      <c r="T516" s="260"/>
      <c r="U516" s="250"/>
      <c r="V516" s="78">
        <f t="shared" si="71"/>
        <v>0</v>
      </c>
      <c r="W516" s="261">
        <f t="shared" si="72"/>
        <v>0</v>
      </c>
      <c r="X516" s="133">
        <f t="shared" si="73"/>
        <v>0</v>
      </c>
      <c r="Y516" s="251"/>
      <c r="Z516" s="1736"/>
      <c r="AA516" s="1737"/>
      <c r="AB516" s="77">
        <f t="shared" si="74"/>
        <v>0</v>
      </c>
      <c r="AC516" s="134">
        <f t="shared" si="75"/>
        <v>0</v>
      </c>
      <c r="AD516" s="251"/>
      <c r="AE516" s="1736"/>
      <c r="AF516" s="1737"/>
      <c r="AG516" s="77">
        <f t="shared" si="76"/>
        <v>0</v>
      </c>
      <c r="AH516" s="136">
        <f t="shared" si="77"/>
        <v>0</v>
      </c>
      <c r="AI516" s="251"/>
      <c r="AJ516" s="1736"/>
      <c r="AK516" s="1737"/>
      <c r="AL516" s="79">
        <f t="shared" si="78"/>
        <v>0</v>
      </c>
      <c r="AM516" s="137">
        <f t="shared" si="79"/>
        <v>0</v>
      </c>
      <c r="AN516" s="251"/>
      <c r="AO516" s="1736"/>
      <c r="AP516" s="1737"/>
    </row>
    <row r="517" spans="1:42" s="85" customFormat="1" ht="13.5" thickBot="1">
      <c r="A517" s="240"/>
      <c r="B517" s="241"/>
      <c r="C517" s="242"/>
      <c r="D517" s="242"/>
      <c r="E517" s="243"/>
      <c r="F517" s="244"/>
      <c r="G517" s="244"/>
      <c r="H517" s="243"/>
      <c r="I517" s="258"/>
      <c r="J517" s="245"/>
      <c r="K517" s="245"/>
      <c r="L517" s="76">
        <f t="shared" si="70"/>
        <v>0</v>
      </c>
      <c r="M517" s="246"/>
      <c r="N517" s="247"/>
      <c r="O517" s="248"/>
      <c r="P517" s="246"/>
      <c r="Q517" s="249"/>
      <c r="R517" s="250"/>
      <c r="S517" s="259"/>
      <c r="T517" s="260"/>
      <c r="U517" s="250"/>
      <c r="V517" s="78">
        <f t="shared" si="71"/>
        <v>0</v>
      </c>
      <c r="W517" s="261">
        <f t="shared" si="72"/>
        <v>0</v>
      </c>
      <c r="X517" s="133">
        <f t="shared" si="73"/>
        <v>0</v>
      </c>
      <c r="Y517" s="251"/>
      <c r="Z517" s="1736"/>
      <c r="AA517" s="1737"/>
      <c r="AB517" s="77">
        <f t="shared" si="74"/>
        <v>0</v>
      </c>
      <c r="AC517" s="134">
        <f t="shared" si="75"/>
        <v>0</v>
      </c>
      <c r="AD517" s="251"/>
      <c r="AE517" s="1736"/>
      <c r="AF517" s="1737"/>
      <c r="AG517" s="77">
        <f t="shared" si="76"/>
        <v>0</v>
      </c>
      <c r="AH517" s="136">
        <f t="shared" si="77"/>
        <v>0</v>
      </c>
      <c r="AI517" s="251"/>
      <c r="AJ517" s="1736"/>
      <c r="AK517" s="1737"/>
      <c r="AL517" s="79">
        <f t="shared" si="78"/>
        <v>0</v>
      </c>
      <c r="AM517" s="137">
        <f t="shared" si="79"/>
        <v>0</v>
      </c>
      <c r="AN517" s="251"/>
      <c r="AO517" s="1736"/>
      <c r="AP517" s="1737"/>
    </row>
    <row r="518" spans="1:42" s="85" customFormat="1" ht="13.5" thickBot="1">
      <c r="A518" s="240"/>
      <c r="B518" s="241"/>
      <c r="C518" s="242"/>
      <c r="D518" s="242"/>
      <c r="E518" s="243"/>
      <c r="F518" s="244"/>
      <c r="G518" s="244"/>
      <c r="H518" s="243"/>
      <c r="I518" s="258"/>
      <c r="J518" s="245"/>
      <c r="K518" s="245"/>
      <c r="L518" s="76">
        <f t="shared" si="70"/>
        <v>0</v>
      </c>
      <c r="M518" s="246"/>
      <c r="N518" s="247"/>
      <c r="O518" s="248"/>
      <c r="P518" s="246"/>
      <c r="Q518" s="249"/>
      <c r="R518" s="250"/>
      <c r="S518" s="259"/>
      <c r="T518" s="260"/>
      <c r="U518" s="250"/>
      <c r="V518" s="78">
        <f t="shared" si="71"/>
        <v>0</v>
      </c>
      <c r="W518" s="261">
        <f t="shared" si="72"/>
        <v>0</v>
      </c>
      <c r="X518" s="133">
        <f t="shared" si="73"/>
        <v>0</v>
      </c>
      <c r="Y518" s="251"/>
      <c r="Z518" s="1736"/>
      <c r="AA518" s="1737"/>
      <c r="AB518" s="77">
        <f t="shared" si="74"/>
        <v>0</v>
      </c>
      <c r="AC518" s="134">
        <f t="shared" si="75"/>
        <v>0</v>
      </c>
      <c r="AD518" s="251"/>
      <c r="AE518" s="1736"/>
      <c r="AF518" s="1737"/>
      <c r="AG518" s="77">
        <f t="shared" si="76"/>
        <v>0</v>
      </c>
      <c r="AH518" s="136">
        <f t="shared" si="77"/>
        <v>0</v>
      </c>
      <c r="AI518" s="251"/>
      <c r="AJ518" s="1736"/>
      <c r="AK518" s="1737"/>
      <c r="AL518" s="79">
        <f t="shared" si="78"/>
        <v>0</v>
      </c>
      <c r="AM518" s="137">
        <f t="shared" si="79"/>
        <v>0</v>
      </c>
      <c r="AN518" s="251"/>
      <c r="AO518" s="1736"/>
      <c r="AP518" s="1737"/>
    </row>
    <row r="519" spans="1:42" s="85" customFormat="1" ht="13.5" thickBot="1">
      <c r="A519" s="240"/>
      <c r="B519" s="241"/>
      <c r="C519" s="242"/>
      <c r="D519" s="242"/>
      <c r="E519" s="243"/>
      <c r="F519" s="244"/>
      <c r="G519" s="244"/>
      <c r="H519" s="243"/>
      <c r="I519" s="258"/>
      <c r="J519" s="245"/>
      <c r="K519" s="245"/>
      <c r="L519" s="76">
        <f t="shared" si="70"/>
        <v>0</v>
      </c>
      <c r="M519" s="246"/>
      <c r="N519" s="247"/>
      <c r="O519" s="248"/>
      <c r="P519" s="246"/>
      <c r="Q519" s="249"/>
      <c r="R519" s="250"/>
      <c r="S519" s="259"/>
      <c r="T519" s="260"/>
      <c r="U519" s="250"/>
      <c r="V519" s="78">
        <f t="shared" si="71"/>
        <v>0</v>
      </c>
      <c r="W519" s="261">
        <f t="shared" si="72"/>
        <v>0</v>
      </c>
      <c r="X519" s="133">
        <f t="shared" si="73"/>
        <v>0</v>
      </c>
      <c r="Y519" s="251"/>
      <c r="Z519" s="1736"/>
      <c r="AA519" s="1737"/>
      <c r="AB519" s="77">
        <f t="shared" si="74"/>
        <v>0</v>
      </c>
      <c r="AC519" s="134">
        <f t="shared" si="75"/>
        <v>0</v>
      </c>
      <c r="AD519" s="251"/>
      <c r="AE519" s="1736"/>
      <c r="AF519" s="1737"/>
      <c r="AG519" s="77">
        <f t="shared" si="76"/>
        <v>0</v>
      </c>
      <c r="AH519" s="136">
        <f t="shared" si="77"/>
        <v>0</v>
      </c>
      <c r="AI519" s="251"/>
      <c r="AJ519" s="1736"/>
      <c r="AK519" s="1737"/>
      <c r="AL519" s="79">
        <f t="shared" si="78"/>
        <v>0</v>
      </c>
      <c r="AM519" s="137">
        <f t="shared" si="79"/>
        <v>0</v>
      </c>
      <c r="AN519" s="251"/>
      <c r="AO519" s="1736"/>
      <c r="AP519" s="1737"/>
    </row>
    <row r="520" spans="1:42" s="85" customFormat="1" ht="13.5" thickBot="1">
      <c r="A520" s="240"/>
      <c r="B520" s="241"/>
      <c r="C520" s="242"/>
      <c r="D520" s="242"/>
      <c r="E520" s="243"/>
      <c r="F520" s="244"/>
      <c r="G520" s="244"/>
      <c r="H520" s="243"/>
      <c r="I520" s="258"/>
      <c r="J520" s="245"/>
      <c r="K520" s="245"/>
      <c r="L520" s="76">
        <f t="shared" si="70"/>
        <v>0</v>
      </c>
      <c r="M520" s="246"/>
      <c r="N520" s="247"/>
      <c r="O520" s="248"/>
      <c r="P520" s="246"/>
      <c r="Q520" s="249"/>
      <c r="R520" s="250"/>
      <c r="S520" s="259"/>
      <c r="T520" s="260"/>
      <c r="U520" s="250"/>
      <c r="V520" s="78">
        <f t="shared" si="71"/>
        <v>0</v>
      </c>
      <c r="W520" s="261">
        <f t="shared" si="72"/>
        <v>0</v>
      </c>
      <c r="X520" s="133">
        <f t="shared" si="73"/>
        <v>0</v>
      </c>
      <c r="Y520" s="251"/>
      <c r="Z520" s="1736"/>
      <c r="AA520" s="1737"/>
      <c r="AB520" s="77">
        <f t="shared" si="74"/>
        <v>0</v>
      </c>
      <c r="AC520" s="134">
        <f t="shared" si="75"/>
        <v>0</v>
      </c>
      <c r="AD520" s="251"/>
      <c r="AE520" s="1736"/>
      <c r="AF520" s="1737"/>
      <c r="AG520" s="77">
        <f t="shared" si="76"/>
        <v>0</v>
      </c>
      <c r="AH520" s="136">
        <f t="shared" si="77"/>
        <v>0</v>
      </c>
      <c r="AI520" s="251"/>
      <c r="AJ520" s="1736"/>
      <c r="AK520" s="1737"/>
      <c r="AL520" s="79">
        <f t="shared" si="78"/>
        <v>0</v>
      </c>
      <c r="AM520" s="137">
        <f t="shared" si="79"/>
        <v>0</v>
      </c>
      <c r="AN520" s="251"/>
      <c r="AO520" s="1736"/>
      <c r="AP520" s="1737"/>
    </row>
    <row r="521" spans="1:42" s="85" customFormat="1" ht="13.5" thickBot="1">
      <c r="A521" s="240"/>
      <c r="B521" s="241"/>
      <c r="C521" s="242"/>
      <c r="D521" s="242"/>
      <c r="E521" s="243"/>
      <c r="F521" s="244"/>
      <c r="G521" s="244"/>
      <c r="H521" s="243"/>
      <c r="I521" s="258"/>
      <c r="J521" s="245"/>
      <c r="K521" s="245"/>
      <c r="L521" s="76">
        <f t="shared" si="70"/>
        <v>0</v>
      </c>
      <c r="M521" s="246"/>
      <c r="N521" s="247"/>
      <c r="O521" s="248"/>
      <c r="P521" s="246"/>
      <c r="Q521" s="249"/>
      <c r="R521" s="250"/>
      <c r="S521" s="259"/>
      <c r="T521" s="260"/>
      <c r="U521" s="250"/>
      <c r="V521" s="78">
        <f t="shared" si="71"/>
        <v>0</v>
      </c>
      <c r="W521" s="261">
        <f t="shared" si="72"/>
        <v>0</v>
      </c>
      <c r="X521" s="133">
        <f t="shared" si="73"/>
        <v>0</v>
      </c>
      <c r="Y521" s="251"/>
      <c r="Z521" s="1736"/>
      <c r="AA521" s="1737"/>
      <c r="AB521" s="77">
        <f t="shared" si="74"/>
        <v>0</v>
      </c>
      <c r="AC521" s="134">
        <f t="shared" si="75"/>
        <v>0</v>
      </c>
      <c r="AD521" s="251"/>
      <c r="AE521" s="1736"/>
      <c r="AF521" s="1737"/>
      <c r="AG521" s="77">
        <f t="shared" si="76"/>
        <v>0</v>
      </c>
      <c r="AH521" s="136">
        <f t="shared" si="77"/>
        <v>0</v>
      </c>
      <c r="AI521" s="251"/>
      <c r="AJ521" s="1736"/>
      <c r="AK521" s="1737"/>
      <c r="AL521" s="79">
        <f t="shared" si="78"/>
        <v>0</v>
      </c>
      <c r="AM521" s="137">
        <f t="shared" si="79"/>
        <v>0</v>
      </c>
      <c r="AN521" s="251"/>
      <c r="AO521" s="1736"/>
      <c r="AP521" s="1737"/>
    </row>
    <row r="522" spans="1:42" s="85" customFormat="1" ht="13.5" thickBot="1">
      <c r="A522" s="240"/>
      <c r="B522" s="241"/>
      <c r="C522" s="242"/>
      <c r="D522" s="242"/>
      <c r="E522" s="243"/>
      <c r="F522" s="244"/>
      <c r="G522" s="244"/>
      <c r="H522" s="243"/>
      <c r="I522" s="258"/>
      <c r="J522" s="245"/>
      <c r="K522" s="245"/>
      <c r="L522" s="76">
        <f t="shared" si="70"/>
        <v>0</v>
      </c>
      <c r="M522" s="246"/>
      <c r="N522" s="247"/>
      <c r="O522" s="248"/>
      <c r="P522" s="246"/>
      <c r="Q522" s="249"/>
      <c r="R522" s="250"/>
      <c r="S522" s="259"/>
      <c r="T522" s="260"/>
      <c r="U522" s="250"/>
      <c r="V522" s="78">
        <f t="shared" si="71"/>
        <v>0</v>
      </c>
      <c r="W522" s="261">
        <f t="shared" si="72"/>
        <v>0</v>
      </c>
      <c r="X522" s="133">
        <f t="shared" si="73"/>
        <v>0</v>
      </c>
      <c r="Y522" s="251"/>
      <c r="Z522" s="1736"/>
      <c r="AA522" s="1737"/>
      <c r="AB522" s="77">
        <f t="shared" si="74"/>
        <v>0</v>
      </c>
      <c r="AC522" s="134">
        <f t="shared" si="75"/>
        <v>0</v>
      </c>
      <c r="AD522" s="251"/>
      <c r="AE522" s="1736"/>
      <c r="AF522" s="1737"/>
      <c r="AG522" s="77">
        <f t="shared" si="76"/>
        <v>0</v>
      </c>
      <c r="AH522" s="136">
        <f t="shared" si="77"/>
        <v>0</v>
      </c>
      <c r="AI522" s="251"/>
      <c r="AJ522" s="1736"/>
      <c r="AK522" s="1737"/>
      <c r="AL522" s="79">
        <f t="shared" si="78"/>
        <v>0</v>
      </c>
      <c r="AM522" s="137">
        <f t="shared" si="79"/>
        <v>0</v>
      </c>
      <c r="AN522" s="251"/>
      <c r="AO522" s="1736"/>
      <c r="AP522" s="1737"/>
    </row>
    <row r="523" spans="1:42" s="85" customFormat="1" ht="13.5" thickBot="1">
      <c r="A523" s="240"/>
      <c r="B523" s="241"/>
      <c r="C523" s="242"/>
      <c r="D523" s="242"/>
      <c r="E523" s="243"/>
      <c r="F523" s="244"/>
      <c r="G523" s="244"/>
      <c r="H523" s="243"/>
      <c r="I523" s="258"/>
      <c r="J523" s="245"/>
      <c r="K523" s="245"/>
      <c r="L523" s="76">
        <f t="shared" ref="L523:L586" si="80">IF(I523=0,0,(K523+J523)/I523)</f>
        <v>0</v>
      </c>
      <c r="M523" s="246"/>
      <c r="N523" s="247"/>
      <c r="O523" s="248"/>
      <c r="P523" s="246"/>
      <c r="Q523" s="249"/>
      <c r="R523" s="250"/>
      <c r="S523" s="259"/>
      <c r="T523" s="260"/>
      <c r="U523" s="250"/>
      <c r="V523" s="78">
        <f t="shared" ref="V523:V586" si="81">IF(U523=0,0,((U523*S523)-AB523-AL523))</f>
        <v>0</v>
      </c>
      <c r="W523" s="261">
        <f t="shared" ref="W523:W586" si="82">+S523-I523</f>
        <v>0</v>
      </c>
      <c r="X523" s="133">
        <f t="shared" ref="X523:X586" si="83">(V523-J523)</f>
        <v>0</v>
      </c>
      <c r="Y523" s="251"/>
      <c r="Z523" s="1736"/>
      <c r="AA523" s="1737"/>
      <c r="AB523" s="77">
        <f t="shared" ref="AB523:AB586" si="84">(IF(I523=0,0,M523/H523))*S523</f>
        <v>0</v>
      </c>
      <c r="AC523" s="134">
        <f t="shared" ref="AC523:AC586" si="85">+AB523-P523</f>
        <v>0</v>
      </c>
      <c r="AD523" s="251"/>
      <c r="AE523" s="1736"/>
      <c r="AF523" s="1737"/>
      <c r="AG523" s="77">
        <f t="shared" ref="AG523:AG586" si="86">(IF(H523=0,0,N523/H523))*T523</f>
        <v>0</v>
      </c>
      <c r="AH523" s="136">
        <f t="shared" ref="AH523:AH586" si="87">+AG523-Q523</f>
        <v>0</v>
      </c>
      <c r="AI523" s="251"/>
      <c r="AJ523" s="1736"/>
      <c r="AK523" s="1737"/>
      <c r="AL523" s="79">
        <f t="shared" ref="AL523:AL586" si="88">+O523*S523</f>
        <v>0</v>
      </c>
      <c r="AM523" s="137">
        <f t="shared" ref="AM523:AM586" si="89">+AL523-R523</f>
        <v>0</v>
      </c>
      <c r="AN523" s="251"/>
      <c r="AO523" s="1736"/>
      <c r="AP523" s="1737"/>
    </row>
    <row r="524" spans="1:42" s="85" customFormat="1" ht="13.5" thickBot="1">
      <c r="A524" s="240"/>
      <c r="B524" s="241"/>
      <c r="C524" s="242"/>
      <c r="D524" s="242"/>
      <c r="E524" s="243"/>
      <c r="F524" s="244"/>
      <c r="G524" s="244"/>
      <c r="H524" s="243"/>
      <c r="I524" s="258"/>
      <c r="J524" s="245"/>
      <c r="K524" s="245"/>
      <c r="L524" s="76">
        <f t="shared" si="80"/>
        <v>0</v>
      </c>
      <c r="M524" s="246"/>
      <c r="N524" s="247"/>
      <c r="O524" s="248"/>
      <c r="P524" s="246"/>
      <c r="Q524" s="249"/>
      <c r="R524" s="250"/>
      <c r="S524" s="259"/>
      <c r="T524" s="260"/>
      <c r="U524" s="250"/>
      <c r="V524" s="78">
        <f t="shared" si="81"/>
        <v>0</v>
      </c>
      <c r="W524" s="261">
        <f t="shared" si="82"/>
        <v>0</v>
      </c>
      <c r="X524" s="133">
        <f t="shared" si="83"/>
        <v>0</v>
      </c>
      <c r="Y524" s="251"/>
      <c r="Z524" s="1736"/>
      <c r="AA524" s="1737"/>
      <c r="AB524" s="77">
        <f t="shared" si="84"/>
        <v>0</v>
      </c>
      <c r="AC524" s="134">
        <f t="shared" si="85"/>
        <v>0</v>
      </c>
      <c r="AD524" s="251"/>
      <c r="AE524" s="1736"/>
      <c r="AF524" s="1737"/>
      <c r="AG524" s="77">
        <f t="shared" si="86"/>
        <v>0</v>
      </c>
      <c r="AH524" s="136">
        <f t="shared" si="87"/>
        <v>0</v>
      </c>
      <c r="AI524" s="251"/>
      <c r="AJ524" s="1736"/>
      <c r="AK524" s="1737"/>
      <c r="AL524" s="79">
        <f t="shared" si="88"/>
        <v>0</v>
      </c>
      <c r="AM524" s="137">
        <f t="shared" si="89"/>
        <v>0</v>
      </c>
      <c r="AN524" s="251"/>
      <c r="AO524" s="1736"/>
      <c r="AP524" s="1737"/>
    </row>
    <row r="525" spans="1:42" s="85" customFormat="1" ht="13.5" thickBot="1">
      <c r="A525" s="240"/>
      <c r="B525" s="241"/>
      <c r="C525" s="242"/>
      <c r="D525" s="242"/>
      <c r="E525" s="243"/>
      <c r="F525" s="244"/>
      <c r="G525" s="244"/>
      <c r="H525" s="243"/>
      <c r="I525" s="258"/>
      <c r="J525" s="245"/>
      <c r="K525" s="245"/>
      <c r="L525" s="76">
        <f t="shared" si="80"/>
        <v>0</v>
      </c>
      <c r="M525" s="246"/>
      <c r="N525" s="247"/>
      <c r="O525" s="248"/>
      <c r="P525" s="246"/>
      <c r="Q525" s="249"/>
      <c r="R525" s="250"/>
      <c r="S525" s="259"/>
      <c r="T525" s="260"/>
      <c r="U525" s="250"/>
      <c r="V525" s="78">
        <f t="shared" si="81"/>
        <v>0</v>
      </c>
      <c r="W525" s="261">
        <f t="shared" si="82"/>
        <v>0</v>
      </c>
      <c r="X525" s="133">
        <f t="shared" si="83"/>
        <v>0</v>
      </c>
      <c r="Y525" s="251"/>
      <c r="Z525" s="1736"/>
      <c r="AA525" s="1737"/>
      <c r="AB525" s="77">
        <f t="shared" si="84"/>
        <v>0</v>
      </c>
      <c r="AC525" s="134">
        <f t="shared" si="85"/>
        <v>0</v>
      </c>
      <c r="AD525" s="251"/>
      <c r="AE525" s="1736"/>
      <c r="AF525" s="1737"/>
      <c r="AG525" s="77">
        <f t="shared" si="86"/>
        <v>0</v>
      </c>
      <c r="AH525" s="136">
        <f t="shared" si="87"/>
        <v>0</v>
      </c>
      <c r="AI525" s="251"/>
      <c r="AJ525" s="1736"/>
      <c r="AK525" s="1737"/>
      <c r="AL525" s="79">
        <f t="shared" si="88"/>
        <v>0</v>
      </c>
      <c r="AM525" s="137">
        <f t="shared" si="89"/>
        <v>0</v>
      </c>
      <c r="AN525" s="251"/>
      <c r="AO525" s="1736"/>
      <c r="AP525" s="1737"/>
    </row>
    <row r="526" spans="1:42" s="85" customFormat="1" ht="13.5" thickBot="1">
      <c r="A526" s="240"/>
      <c r="B526" s="241"/>
      <c r="C526" s="242"/>
      <c r="D526" s="242"/>
      <c r="E526" s="243"/>
      <c r="F526" s="244"/>
      <c r="G526" s="244"/>
      <c r="H526" s="243"/>
      <c r="I526" s="258"/>
      <c r="J526" s="245"/>
      <c r="K526" s="245"/>
      <c r="L526" s="76">
        <f t="shared" si="80"/>
        <v>0</v>
      </c>
      <c r="M526" s="246"/>
      <c r="N526" s="247"/>
      <c r="O526" s="248"/>
      <c r="P526" s="246"/>
      <c r="Q526" s="249"/>
      <c r="R526" s="250"/>
      <c r="S526" s="259"/>
      <c r="T526" s="260"/>
      <c r="U526" s="250"/>
      <c r="V526" s="78">
        <f t="shared" si="81"/>
        <v>0</v>
      </c>
      <c r="W526" s="261">
        <f t="shared" si="82"/>
        <v>0</v>
      </c>
      <c r="X526" s="133">
        <f t="shared" si="83"/>
        <v>0</v>
      </c>
      <c r="Y526" s="251"/>
      <c r="Z526" s="1736"/>
      <c r="AA526" s="1737"/>
      <c r="AB526" s="77">
        <f t="shared" si="84"/>
        <v>0</v>
      </c>
      <c r="AC526" s="134">
        <f t="shared" si="85"/>
        <v>0</v>
      </c>
      <c r="AD526" s="251"/>
      <c r="AE526" s="1736"/>
      <c r="AF526" s="1737"/>
      <c r="AG526" s="77">
        <f t="shared" si="86"/>
        <v>0</v>
      </c>
      <c r="AH526" s="136">
        <f t="shared" si="87"/>
        <v>0</v>
      </c>
      <c r="AI526" s="251"/>
      <c r="AJ526" s="1736"/>
      <c r="AK526" s="1737"/>
      <c r="AL526" s="79">
        <f t="shared" si="88"/>
        <v>0</v>
      </c>
      <c r="AM526" s="137">
        <f t="shared" si="89"/>
        <v>0</v>
      </c>
      <c r="AN526" s="251"/>
      <c r="AO526" s="1736"/>
      <c r="AP526" s="1737"/>
    </row>
    <row r="527" spans="1:42" s="85" customFormat="1" ht="13.5" thickBot="1">
      <c r="A527" s="240"/>
      <c r="B527" s="241"/>
      <c r="C527" s="242"/>
      <c r="D527" s="242"/>
      <c r="E527" s="243"/>
      <c r="F527" s="244"/>
      <c r="G527" s="244"/>
      <c r="H527" s="243"/>
      <c r="I527" s="258"/>
      <c r="J527" s="245"/>
      <c r="K527" s="245"/>
      <c r="L527" s="76">
        <f t="shared" si="80"/>
        <v>0</v>
      </c>
      <c r="M527" s="246"/>
      <c r="N527" s="247"/>
      <c r="O527" s="248"/>
      <c r="P527" s="246"/>
      <c r="Q527" s="249"/>
      <c r="R527" s="250"/>
      <c r="S527" s="259"/>
      <c r="T527" s="260"/>
      <c r="U527" s="250"/>
      <c r="V527" s="78">
        <f t="shared" si="81"/>
        <v>0</v>
      </c>
      <c r="W527" s="261">
        <f t="shared" si="82"/>
        <v>0</v>
      </c>
      <c r="X527" s="133">
        <f t="shared" si="83"/>
        <v>0</v>
      </c>
      <c r="Y527" s="251"/>
      <c r="Z527" s="1736"/>
      <c r="AA527" s="1737"/>
      <c r="AB527" s="77">
        <f t="shared" si="84"/>
        <v>0</v>
      </c>
      <c r="AC527" s="134">
        <f t="shared" si="85"/>
        <v>0</v>
      </c>
      <c r="AD527" s="251"/>
      <c r="AE527" s="1736"/>
      <c r="AF527" s="1737"/>
      <c r="AG527" s="77">
        <f t="shared" si="86"/>
        <v>0</v>
      </c>
      <c r="AH527" s="136">
        <f t="shared" si="87"/>
        <v>0</v>
      </c>
      <c r="AI527" s="251"/>
      <c r="AJ527" s="1736"/>
      <c r="AK527" s="1737"/>
      <c r="AL527" s="79">
        <f t="shared" si="88"/>
        <v>0</v>
      </c>
      <c r="AM527" s="137">
        <f t="shared" si="89"/>
        <v>0</v>
      </c>
      <c r="AN527" s="251"/>
      <c r="AO527" s="1736"/>
      <c r="AP527" s="1737"/>
    </row>
    <row r="528" spans="1:42" s="85" customFormat="1" ht="13.5" thickBot="1">
      <c r="A528" s="240"/>
      <c r="B528" s="241"/>
      <c r="C528" s="242"/>
      <c r="D528" s="242"/>
      <c r="E528" s="243"/>
      <c r="F528" s="244"/>
      <c r="G528" s="244"/>
      <c r="H528" s="243"/>
      <c r="I528" s="258"/>
      <c r="J528" s="245"/>
      <c r="K528" s="245"/>
      <c r="L528" s="76">
        <f t="shared" si="80"/>
        <v>0</v>
      </c>
      <c r="M528" s="246"/>
      <c r="N528" s="247"/>
      <c r="O528" s="248"/>
      <c r="P528" s="246"/>
      <c r="Q528" s="249"/>
      <c r="R528" s="250"/>
      <c r="S528" s="259"/>
      <c r="T528" s="260"/>
      <c r="U528" s="250"/>
      <c r="V528" s="78">
        <f t="shared" si="81"/>
        <v>0</v>
      </c>
      <c r="W528" s="261">
        <f t="shared" si="82"/>
        <v>0</v>
      </c>
      <c r="X528" s="133">
        <f t="shared" si="83"/>
        <v>0</v>
      </c>
      <c r="Y528" s="251"/>
      <c r="Z528" s="1736"/>
      <c r="AA528" s="1737"/>
      <c r="AB528" s="77">
        <f t="shared" si="84"/>
        <v>0</v>
      </c>
      <c r="AC528" s="134">
        <f t="shared" si="85"/>
        <v>0</v>
      </c>
      <c r="AD528" s="251"/>
      <c r="AE528" s="1736"/>
      <c r="AF528" s="1737"/>
      <c r="AG528" s="77">
        <f t="shared" si="86"/>
        <v>0</v>
      </c>
      <c r="AH528" s="136">
        <f t="shared" si="87"/>
        <v>0</v>
      </c>
      <c r="AI528" s="251"/>
      <c r="AJ528" s="1736"/>
      <c r="AK528" s="1737"/>
      <c r="AL528" s="79">
        <f t="shared" si="88"/>
        <v>0</v>
      </c>
      <c r="AM528" s="137">
        <f t="shared" si="89"/>
        <v>0</v>
      </c>
      <c r="AN528" s="251"/>
      <c r="AO528" s="1736"/>
      <c r="AP528" s="1737"/>
    </row>
    <row r="529" spans="1:42" s="85" customFormat="1" ht="13.5" thickBot="1">
      <c r="A529" s="240"/>
      <c r="B529" s="241"/>
      <c r="C529" s="242"/>
      <c r="D529" s="242"/>
      <c r="E529" s="243"/>
      <c r="F529" s="244"/>
      <c r="G529" s="244"/>
      <c r="H529" s="243"/>
      <c r="I529" s="258"/>
      <c r="J529" s="245"/>
      <c r="K529" s="245"/>
      <c r="L529" s="76">
        <f t="shared" si="80"/>
        <v>0</v>
      </c>
      <c r="M529" s="246"/>
      <c r="N529" s="247"/>
      <c r="O529" s="248"/>
      <c r="P529" s="246"/>
      <c r="Q529" s="249"/>
      <c r="R529" s="250"/>
      <c r="S529" s="259"/>
      <c r="T529" s="260"/>
      <c r="U529" s="250"/>
      <c r="V529" s="78">
        <f t="shared" si="81"/>
        <v>0</v>
      </c>
      <c r="W529" s="261">
        <f t="shared" si="82"/>
        <v>0</v>
      </c>
      <c r="X529" s="133">
        <f t="shared" si="83"/>
        <v>0</v>
      </c>
      <c r="Y529" s="251"/>
      <c r="Z529" s="1736"/>
      <c r="AA529" s="1737"/>
      <c r="AB529" s="77">
        <f t="shared" si="84"/>
        <v>0</v>
      </c>
      <c r="AC529" s="134">
        <f t="shared" si="85"/>
        <v>0</v>
      </c>
      <c r="AD529" s="251"/>
      <c r="AE529" s="1736"/>
      <c r="AF529" s="1737"/>
      <c r="AG529" s="77">
        <f t="shared" si="86"/>
        <v>0</v>
      </c>
      <c r="AH529" s="136">
        <f t="shared" si="87"/>
        <v>0</v>
      </c>
      <c r="AI529" s="251"/>
      <c r="AJ529" s="1736"/>
      <c r="AK529" s="1737"/>
      <c r="AL529" s="79">
        <f t="shared" si="88"/>
        <v>0</v>
      </c>
      <c r="AM529" s="137">
        <f t="shared" si="89"/>
        <v>0</v>
      </c>
      <c r="AN529" s="251"/>
      <c r="AO529" s="1736"/>
      <c r="AP529" s="1737"/>
    </row>
    <row r="530" spans="1:42" s="85" customFormat="1" ht="13.5" thickBot="1">
      <c r="A530" s="240"/>
      <c r="B530" s="241"/>
      <c r="C530" s="242"/>
      <c r="D530" s="242"/>
      <c r="E530" s="243"/>
      <c r="F530" s="244"/>
      <c r="G530" s="244"/>
      <c r="H530" s="243"/>
      <c r="I530" s="258"/>
      <c r="J530" s="245"/>
      <c r="K530" s="245"/>
      <c r="L530" s="76">
        <f t="shared" si="80"/>
        <v>0</v>
      </c>
      <c r="M530" s="246"/>
      <c r="N530" s="247"/>
      <c r="O530" s="248"/>
      <c r="P530" s="246"/>
      <c r="Q530" s="249"/>
      <c r="R530" s="250"/>
      <c r="S530" s="259"/>
      <c r="T530" s="260"/>
      <c r="U530" s="250"/>
      <c r="V530" s="78">
        <f t="shared" si="81"/>
        <v>0</v>
      </c>
      <c r="W530" s="261">
        <f t="shared" si="82"/>
        <v>0</v>
      </c>
      <c r="X530" s="133">
        <f t="shared" si="83"/>
        <v>0</v>
      </c>
      <c r="Y530" s="251"/>
      <c r="Z530" s="1736"/>
      <c r="AA530" s="1737"/>
      <c r="AB530" s="77">
        <f t="shared" si="84"/>
        <v>0</v>
      </c>
      <c r="AC530" s="134">
        <f t="shared" si="85"/>
        <v>0</v>
      </c>
      <c r="AD530" s="251"/>
      <c r="AE530" s="1736"/>
      <c r="AF530" s="1737"/>
      <c r="AG530" s="77">
        <f t="shared" si="86"/>
        <v>0</v>
      </c>
      <c r="AH530" s="136">
        <f t="shared" si="87"/>
        <v>0</v>
      </c>
      <c r="AI530" s="251"/>
      <c r="AJ530" s="1736"/>
      <c r="AK530" s="1737"/>
      <c r="AL530" s="79">
        <f t="shared" si="88"/>
        <v>0</v>
      </c>
      <c r="AM530" s="137">
        <f t="shared" si="89"/>
        <v>0</v>
      </c>
      <c r="AN530" s="251"/>
      <c r="AO530" s="1736"/>
      <c r="AP530" s="1737"/>
    </row>
    <row r="531" spans="1:42" s="85" customFormat="1" ht="13.5" thickBot="1">
      <c r="A531" s="240"/>
      <c r="B531" s="241"/>
      <c r="C531" s="242"/>
      <c r="D531" s="242"/>
      <c r="E531" s="243"/>
      <c r="F531" s="244"/>
      <c r="G531" s="244"/>
      <c r="H531" s="243"/>
      <c r="I531" s="258"/>
      <c r="J531" s="245"/>
      <c r="K531" s="245"/>
      <c r="L531" s="76">
        <f t="shared" si="80"/>
        <v>0</v>
      </c>
      <c r="M531" s="246"/>
      <c r="N531" s="247"/>
      <c r="O531" s="248"/>
      <c r="P531" s="246"/>
      <c r="Q531" s="249"/>
      <c r="R531" s="250"/>
      <c r="S531" s="259"/>
      <c r="T531" s="260"/>
      <c r="U531" s="250"/>
      <c r="V531" s="78">
        <f t="shared" si="81"/>
        <v>0</v>
      </c>
      <c r="W531" s="261">
        <f t="shared" si="82"/>
        <v>0</v>
      </c>
      <c r="X531" s="133">
        <f t="shared" si="83"/>
        <v>0</v>
      </c>
      <c r="Y531" s="251"/>
      <c r="Z531" s="1736"/>
      <c r="AA531" s="1737"/>
      <c r="AB531" s="77">
        <f t="shared" si="84"/>
        <v>0</v>
      </c>
      <c r="AC531" s="134">
        <f t="shared" si="85"/>
        <v>0</v>
      </c>
      <c r="AD531" s="251"/>
      <c r="AE531" s="1736"/>
      <c r="AF531" s="1737"/>
      <c r="AG531" s="77">
        <f t="shared" si="86"/>
        <v>0</v>
      </c>
      <c r="AH531" s="136">
        <f t="shared" si="87"/>
        <v>0</v>
      </c>
      <c r="AI531" s="251"/>
      <c r="AJ531" s="1736"/>
      <c r="AK531" s="1737"/>
      <c r="AL531" s="79">
        <f t="shared" si="88"/>
        <v>0</v>
      </c>
      <c r="AM531" s="137">
        <f t="shared" si="89"/>
        <v>0</v>
      </c>
      <c r="AN531" s="251"/>
      <c r="AO531" s="1736"/>
      <c r="AP531" s="1737"/>
    </row>
    <row r="532" spans="1:42" s="85" customFormat="1" ht="13.5" thickBot="1">
      <c r="A532" s="240"/>
      <c r="B532" s="241"/>
      <c r="C532" s="242"/>
      <c r="D532" s="242"/>
      <c r="E532" s="243"/>
      <c r="F532" s="244"/>
      <c r="G532" s="244"/>
      <c r="H532" s="243"/>
      <c r="I532" s="258"/>
      <c r="J532" s="245"/>
      <c r="K532" s="245"/>
      <c r="L532" s="76">
        <f t="shared" si="80"/>
        <v>0</v>
      </c>
      <c r="M532" s="246"/>
      <c r="N532" s="247"/>
      <c r="O532" s="248"/>
      <c r="P532" s="246"/>
      <c r="Q532" s="249"/>
      <c r="R532" s="250"/>
      <c r="S532" s="259"/>
      <c r="T532" s="260"/>
      <c r="U532" s="250"/>
      <c r="V532" s="78">
        <f t="shared" si="81"/>
        <v>0</v>
      </c>
      <c r="W532" s="261">
        <f t="shared" si="82"/>
        <v>0</v>
      </c>
      <c r="X532" s="133">
        <f t="shared" si="83"/>
        <v>0</v>
      </c>
      <c r="Y532" s="251"/>
      <c r="Z532" s="1736"/>
      <c r="AA532" s="1737"/>
      <c r="AB532" s="77">
        <f t="shared" si="84"/>
        <v>0</v>
      </c>
      <c r="AC532" s="134">
        <f t="shared" si="85"/>
        <v>0</v>
      </c>
      <c r="AD532" s="251"/>
      <c r="AE532" s="1736"/>
      <c r="AF532" s="1737"/>
      <c r="AG532" s="77">
        <f t="shared" si="86"/>
        <v>0</v>
      </c>
      <c r="AH532" s="136">
        <f t="shared" si="87"/>
        <v>0</v>
      </c>
      <c r="AI532" s="251"/>
      <c r="AJ532" s="1736"/>
      <c r="AK532" s="1737"/>
      <c r="AL532" s="79">
        <f t="shared" si="88"/>
        <v>0</v>
      </c>
      <c r="AM532" s="137">
        <f t="shared" si="89"/>
        <v>0</v>
      </c>
      <c r="AN532" s="251"/>
      <c r="AO532" s="1736"/>
      <c r="AP532" s="1737"/>
    </row>
    <row r="533" spans="1:42" s="85" customFormat="1" ht="13.5" thickBot="1">
      <c r="A533" s="240"/>
      <c r="B533" s="241"/>
      <c r="C533" s="242"/>
      <c r="D533" s="242"/>
      <c r="E533" s="243"/>
      <c r="F533" s="244"/>
      <c r="G533" s="244"/>
      <c r="H533" s="243"/>
      <c r="I533" s="258"/>
      <c r="J533" s="245"/>
      <c r="K533" s="245"/>
      <c r="L533" s="76">
        <f t="shared" si="80"/>
        <v>0</v>
      </c>
      <c r="M533" s="246"/>
      <c r="N533" s="247"/>
      <c r="O533" s="248"/>
      <c r="P533" s="246"/>
      <c r="Q533" s="249"/>
      <c r="R533" s="250"/>
      <c r="S533" s="259"/>
      <c r="T533" s="260"/>
      <c r="U533" s="250"/>
      <c r="V533" s="78">
        <f t="shared" si="81"/>
        <v>0</v>
      </c>
      <c r="W533" s="261">
        <f t="shared" si="82"/>
        <v>0</v>
      </c>
      <c r="X533" s="133">
        <f t="shared" si="83"/>
        <v>0</v>
      </c>
      <c r="Y533" s="251"/>
      <c r="Z533" s="1736"/>
      <c r="AA533" s="1737"/>
      <c r="AB533" s="77">
        <f t="shared" si="84"/>
        <v>0</v>
      </c>
      <c r="AC533" s="134">
        <f t="shared" si="85"/>
        <v>0</v>
      </c>
      <c r="AD533" s="251"/>
      <c r="AE533" s="1736"/>
      <c r="AF533" s="1737"/>
      <c r="AG533" s="77">
        <f t="shared" si="86"/>
        <v>0</v>
      </c>
      <c r="AH533" s="136">
        <f t="shared" si="87"/>
        <v>0</v>
      </c>
      <c r="AI533" s="251"/>
      <c r="AJ533" s="1736"/>
      <c r="AK533" s="1737"/>
      <c r="AL533" s="79">
        <f t="shared" si="88"/>
        <v>0</v>
      </c>
      <c r="AM533" s="137">
        <f t="shared" si="89"/>
        <v>0</v>
      </c>
      <c r="AN533" s="251"/>
      <c r="AO533" s="1736"/>
      <c r="AP533" s="1737"/>
    </row>
    <row r="534" spans="1:42" s="85" customFormat="1" ht="13.5" thickBot="1">
      <c r="A534" s="240"/>
      <c r="B534" s="241"/>
      <c r="C534" s="242"/>
      <c r="D534" s="242"/>
      <c r="E534" s="243"/>
      <c r="F534" s="244"/>
      <c r="G534" s="244"/>
      <c r="H534" s="243"/>
      <c r="I534" s="258"/>
      <c r="J534" s="245"/>
      <c r="K534" s="245"/>
      <c r="L534" s="76">
        <f t="shared" si="80"/>
        <v>0</v>
      </c>
      <c r="M534" s="246"/>
      <c r="N534" s="247"/>
      <c r="O534" s="248"/>
      <c r="P534" s="246"/>
      <c r="Q534" s="249"/>
      <c r="R534" s="250"/>
      <c r="S534" s="259"/>
      <c r="T534" s="260"/>
      <c r="U534" s="250"/>
      <c r="V534" s="78">
        <f t="shared" si="81"/>
        <v>0</v>
      </c>
      <c r="W534" s="261">
        <f t="shared" si="82"/>
        <v>0</v>
      </c>
      <c r="X534" s="133">
        <f t="shared" si="83"/>
        <v>0</v>
      </c>
      <c r="Y534" s="251"/>
      <c r="Z534" s="1736"/>
      <c r="AA534" s="1737"/>
      <c r="AB534" s="77">
        <f t="shared" si="84"/>
        <v>0</v>
      </c>
      <c r="AC534" s="134">
        <f t="shared" si="85"/>
        <v>0</v>
      </c>
      <c r="AD534" s="251"/>
      <c r="AE534" s="1736"/>
      <c r="AF534" s="1737"/>
      <c r="AG534" s="77">
        <f t="shared" si="86"/>
        <v>0</v>
      </c>
      <c r="AH534" s="136">
        <f t="shared" si="87"/>
        <v>0</v>
      </c>
      <c r="AI534" s="251"/>
      <c r="AJ534" s="1736"/>
      <c r="AK534" s="1737"/>
      <c r="AL534" s="79">
        <f t="shared" si="88"/>
        <v>0</v>
      </c>
      <c r="AM534" s="137">
        <f t="shared" si="89"/>
        <v>0</v>
      </c>
      <c r="AN534" s="251"/>
      <c r="AO534" s="1736"/>
      <c r="AP534" s="1737"/>
    </row>
    <row r="535" spans="1:42" s="85" customFormat="1" ht="13.5" thickBot="1">
      <c r="A535" s="240"/>
      <c r="B535" s="241"/>
      <c r="C535" s="242"/>
      <c r="D535" s="242"/>
      <c r="E535" s="243"/>
      <c r="F535" s="244"/>
      <c r="G535" s="244"/>
      <c r="H535" s="243"/>
      <c r="I535" s="258"/>
      <c r="J535" s="245"/>
      <c r="K535" s="245"/>
      <c r="L535" s="76">
        <f t="shared" si="80"/>
        <v>0</v>
      </c>
      <c r="M535" s="246"/>
      <c r="N535" s="247"/>
      <c r="O535" s="248"/>
      <c r="P535" s="246"/>
      <c r="Q535" s="249"/>
      <c r="R535" s="250"/>
      <c r="S535" s="259"/>
      <c r="T535" s="260"/>
      <c r="U535" s="250"/>
      <c r="V535" s="78">
        <f t="shared" si="81"/>
        <v>0</v>
      </c>
      <c r="W535" s="261">
        <f t="shared" si="82"/>
        <v>0</v>
      </c>
      <c r="X535" s="133">
        <f t="shared" si="83"/>
        <v>0</v>
      </c>
      <c r="Y535" s="251"/>
      <c r="Z535" s="1736"/>
      <c r="AA535" s="1737"/>
      <c r="AB535" s="77">
        <f t="shared" si="84"/>
        <v>0</v>
      </c>
      <c r="AC535" s="134">
        <f t="shared" si="85"/>
        <v>0</v>
      </c>
      <c r="AD535" s="251"/>
      <c r="AE535" s="1736"/>
      <c r="AF535" s="1737"/>
      <c r="AG535" s="77">
        <f t="shared" si="86"/>
        <v>0</v>
      </c>
      <c r="AH535" s="136">
        <f t="shared" si="87"/>
        <v>0</v>
      </c>
      <c r="AI535" s="251"/>
      <c r="AJ535" s="1736"/>
      <c r="AK535" s="1737"/>
      <c r="AL535" s="79">
        <f t="shared" si="88"/>
        <v>0</v>
      </c>
      <c r="AM535" s="137">
        <f t="shared" si="89"/>
        <v>0</v>
      </c>
      <c r="AN535" s="251"/>
      <c r="AO535" s="1736"/>
      <c r="AP535" s="1737"/>
    </row>
    <row r="536" spans="1:42" s="85" customFormat="1" ht="13.5" thickBot="1">
      <c r="A536" s="240"/>
      <c r="B536" s="241"/>
      <c r="C536" s="242"/>
      <c r="D536" s="242"/>
      <c r="E536" s="243"/>
      <c r="F536" s="244"/>
      <c r="G536" s="244"/>
      <c r="H536" s="243"/>
      <c r="I536" s="258"/>
      <c r="J536" s="245"/>
      <c r="K536" s="245"/>
      <c r="L536" s="76">
        <f t="shared" si="80"/>
        <v>0</v>
      </c>
      <c r="M536" s="246"/>
      <c r="N536" s="247"/>
      <c r="O536" s="248"/>
      <c r="P536" s="246"/>
      <c r="Q536" s="249"/>
      <c r="R536" s="250"/>
      <c r="S536" s="259"/>
      <c r="T536" s="260"/>
      <c r="U536" s="250"/>
      <c r="V536" s="78">
        <f t="shared" si="81"/>
        <v>0</v>
      </c>
      <c r="W536" s="261">
        <f t="shared" si="82"/>
        <v>0</v>
      </c>
      <c r="X536" s="133">
        <f t="shared" si="83"/>
        <v>0</v>
      </c>
      <c r="Y536" s="251"/>
      <c r="Z536" s="1736"/>
      <c r="AA536" s="1737"/>
      <c r="AB536" s="77">
        <f t="shared" si="84"/>
        <v>0</v>
      </c>
      <c r="AC536" s="134">
        <f t="shared" si="85"/>
        <v>0</v>
      </c>
      <c r="AD536" s="251"/>
      <c r="AE536" s="1736"/>
      <c r="AF536" s="1737"/>
      <c r="AG536" s="77">
        <f t="shared" si="86"/>
        <v>0</v>
      </c>
      <c r="AH536" s="136">
        <f t="shared" si="87"/>
        <v>0</v>
      </c>
      <c r="AI536" s="251"/>
      <c r="AJ536" s="1736"/>
      <c r="AK536" s="1737"/>
      <c r="AL536" s="79">
        <f t="shared" si="88"/>
        <v>0</v>
      </c>
      <c r="AM536" s="137">
        <f t="shared" si="89"/>
        <v>0</v>
      </c>
      <c r="AN536" s="251"/>
      <c r="AO536" s="1736"/>
      <c r="AP536" s="1737"/>
    </row>
    <row r="537" spans="1:42" s="85" customFormat="1" ht="13.5" thickBot="1">
      <c r="A537" s="240"/>
      <c r="B537" s="241"/>
      <c r="C537" s="242"/>
      <c r="D537" s="242"/>
      <c r="E537" s="243"/>
      <c r="F537" s="244"/>
      <c r="G537" s="244"/>
      <c r="H537" s="243"/>
      <c r="I537" s="258"/>
      <c r="J537" s="245"/>
      <c r="K537" s="245"/>
      <c r="L537" s="76">
        <f t="shared" si="80"/>
        <v>0</v>
      </c>
      <c r="M537" s="246"/>
      <c r="N537" s="247"/>
      <c r="O537" s="248"/>
      <c r="P537" s="246"/>
      <c r="Q537" s="249"/>
      <c r="R537" s="250"/>
      <c r="S537" s="259"/>
      <c r="T537" s="260"/>
      <c r="U537" s="250"/>
      <c r="V537" s="78">
        <f t="shared" si="81"/>
        <v>0</v>
      </c>
      <c r="W537" s="261">
        <f t="shared" si="82"/>
        <v>0</v>
      </c>
      <c r="X537" s="133">
        <f t="shared" si="83"/>
        <v>0</v>
      </c>
      <c r="Y537" s="251"/>
      <c r="Z537" s="1736"/>
      <c r="AA537" s="1737"/>
      <c r="AB537" s="77">
        <f t="shared" si="84"/>
        <v>0</v>
      </c>
      <c r="AC537" s="134">
        <f t="shared" si="85"/>
        <v>0</v>
      </c>
      <c r="AD537" s="251"/>
      <c r="AE537" s="1736"/>
      <c r="AF537" s="1737"/>
      <c r="AG537" s="77">
        <f t="shared" si="86"/>
        <v>0</v>
      </c>
      <c r="AH537" s="136">
        <f t="shared" si="87"/>
        <v>0</v>
      </c>
      <c r="AI537" s="251"/>
      <c r="AJ537" s="1736"/>
      <c r="AK537" s="1737"/>
      <c r="AL537" s="79">
        <f t="shared" si="88"/>
        <v>0</v>
      </c>
      <c r="AM537" s="137">
        <f t="shared" si="89"/>
        <v>0</v>
      </c>
      <c r="AN537" s="251"/>
      <c r="AO537" s="1736"/>
      <c r="AP537" s="1737"/>
    </row>
    <row r="538" spans="1:42" s="85" customFormat="1" ht="13.5" thickBot="1">
      <c r="A538" s="240"/>
      <c r="B538" s="241"/>
      <c r="C538" s="242"/>
      <c r="D538" s="242"/>
      <c r="E538" s="243"/>
      <c r="F538" s="244"/>
      <c r="G538" s="244"/>
      <c r="H538" s="243"/>
      <c r="I538" s="258"/>
      <c r="J538" s="245"/>
      <c r="K538" s="245"/>
      <c r="L538" s="76">
        <f t="shared" si="80"/>
        <v>0</v>
      </c>
      <c r="M538" s="246"/>
      <c r="N538" s="247"/>
      <c r="O538" s="248"/>
      <c r="P538" s="246"/>
      <c r="Q538" s="249"/>
      <c r="R538" s="250"/>
      <c r="S538" s="259"/>
      <c r="T538" s="260"/>
      <c r="U538" s="250"/>
      <c r="V538" s="78">
        <f t="shared" si="81"/>
        <v>0</v>
      </c>
      <c r="W538" s="261">
        <f t="shared" si="82"/>
        <v>0</v>
      </c>
      <c r="X538" s="133">
        <f t="shared" si="83"/>
        <v>0</v>
      </c>
      <c r="Y538" s="251"/>
      <c r="Z538" s="1736"/>
      <c r="AA538" s="1737"/>
      <c r="AB538" s="77">
        <f t="shared" si="84"/>
        <v>0</v>
      </c>
      <c r="AC538" s="134">
        <f t="shared" si="85"/>
        <v>0</v>
      </c>
      <c r="AD538" s="251"/>
      <c r="AE538" s="1736"/>
      <c r="AF538" s="1737"/>
      <c r="AG538" s="77">
        <f t="shared" si="86"/>
        <v>0</v>
      </c>
      <c r="AH538" s="136">
        <f t="shared" si="87"/>
        <v>0</v>
      </c>
      <c r="AI538" s="251"/>
      <c r="AJ538" s="1736"/>
      <c r="AK538" s="1737"/>
      <c r="AL538" s="79">
        <f t="shared" si="88"/>
        <v>0</v>
      </c>
      <c r="AM538" s="137">
        <f t="shared" si="89"/>
        <v>0</v>
      </c>
      <c r="AN538" s="251"/>
      <c r="AO538" s="1736"/>
      <c r="AP538" s="1737"/>
    </row>
    <row r="539" spans="1:42" s="85" customFormat="1" ht="13.5" thickBot="1">
      <c r="A539" s="240"/>
      <c r="B539" s="241"/>
      <c r="C539" s="242"/>
      <c r="D539" s="242"/>
      <c r="E539" s="243"/>
      <c r="F539" s="244"/>
      <c r="G539" s="244"/>
      <c r="H539" s="243"/>
      <c r="I539" s="258"/>
      <c r="J539" s="245"/>
      <c r="K539" s="245"/>
      <c r="L539" s="76">
        <f t="shared" si="80"/>
        <v>0</v>
      </c>
      <c r="M539" s="246"/>
      <c r="N539" s="247"/>
      <c r="O539" s="248"/>
      <c r="P539" s="246"/>
      <c r="Q539" s="249"/>
      <c r="R539" s="250"/>
      <c r="S539" s="259"/>
      <c r="T539" s="260"/>
      <c r="U539" s="250"/>
      <c r="V539" s="78">
        <f t="shared" si="81"/>
        <v>0</v>
      </c>
      <c r="W539" s="261">
        <f t="shared" si="82"/>
        <v>0</v>
      </c>
      <c r="X539" s="133">
        <f t="shared" si="83"/>
        <v>0</v>
      </c>
      <c r="Y539" s="251"/>
      <c r="Z539" s="1736"/>
      <c r="AA539" s="1737"/>
      <c r="AB539" s="77">
        <f t="shared" si="84"/>
        <v>0</v>
      </c>
      <c r="AC539" s="134">
        <f t="shared" si="85"/>
        <v>0</v>
      </c>
      <c r="AD539" s="251"/>
      <c r="AE539" s="1736"/>
      <c r="AF539" s="1737"/>
      <c r="AG539" s="77">
        <f t="shared" si="86"/>
        <v>0</v>
      </c>
      <c r="AH539" s="136">
        <f t="shared" si="87"/>
        <v>0</v>
      </c>
      <c r="AI539" s="251"/>
      <c r="AJ539" s="1736"/>
      <c r="AK539" s="1737"/>
      <c r="AL539" s="79">
        <f t="shared" si="88"/>
        <v>0</v>
      </c>
      <c r="AM539" s="137">
        <f t="shared" si="89"/>
        <v>0</v>
      </c>
      <c r="AN539" s="251"/>
      <c r="AO539" s="1736"/>
      <c r="AP539" s="1737"/>
    </row>
    <row r="540" spans="1:42" s="85" customFormat="1" ht="13.5" thickBot="1">
      <c r="A540" s="240"/>
      <c r="B540" s="241"/>
      <c r="C540" s="242"/>
      <c r="D540" s="242"/>
      <c r="E540" s="243"/>
      <c r="F540" s="244"/>
      <c r="G540" s="244"/>
      <c r="H540" s="243"/>
      <c r="I540" s="258"/>
      <c r="J540" s="245"/>
      <c r="K540" s="245"/>
      <c r="L540" s="76">
        <f t="shared" si="80"/>
        <v>0</v>
      </c>
      <c r="M540" s="246"/>
      <c r="N540" s="247"/>
      <c r="O540" s="248"/>
      <c r="P540" s="246"/>
      <c r="Q540" s="249"/>
      <c r="R540" s="250"/>
      <c r="S540" s="259"/>
      <c r="T540" s="260"/>
      <c r="U540" s="250"/>
      <c r="V540" s="78">
        <f t="shared" si="81"/>
        <v>0</v>
      </c>
      <c r="W540" s="261">
        <f t="shared" si="82"/>
        <v>0</v>
      </c>
      <c r="X540" s="133">
        <f t="shared" si="83"/>
        <v>0</v>
      </c>
      <c r="Y540" s="251"/>
      <c r="Z540" s="1736"/>
      <c r="AA540" s="1737"/>
      <c r="AB540" s="77">
        <f t="shared" si="84"/>
        <v>0</v>
      </c>
      <c r="AC540" s="134">
        <f t="shared" si="85"/>
        <v>0</v>
      </c>
      <c r="AD540" s="251"/>
      <c r="AE540" s="1736"/>
      <c r="AF540" s="1737"/>
      <c r="AG540" s="77">
        <f t="shared" si="86"/>
        <v>0</v>
      </c>
      <c r="AH540" s="136">
        <f t="shared" si="87"/>
        <v>0</v>
      </c>
      <c r="AI540" s="251"/>
      <c r="AJ540" s="1736"/>
      <c r="AK540" s="1737"/>
      <c r="AL540" s="79">
        <f t="shared" si="88"/>
        <v>0</v>
      </c>
      <c r="AM540" s="137">
        <f t="shared" si="89"/>
        <v>0</v>
      </c>
      <c r="AN540" s="251"/>
      <c r="AO540" s="1736"/>
      <c r="AP540" s="1737"/>
    </row>
    <row r="541" spans="1:42" s="85" customFormat="1" ht="13.5" thickBot="1">
      <c r="A541" s="240"/>
      <c r="B541" s="241"/>
      <c r="C541" s="242"/>
      <c r="D541" s="242"/>
      <c r="E541" s="243"/>
      <c r="F541" s="244"/>
      <c r="G541" s="244"/>
      <c r="H541" s="243"/>
      <c r="I541" s="258"/>
      <c r="J541" s="245"/>
      <c r="K541" s="245"/>
      <c r="L541" s="76">
        <f t="shared" si="80"/>
        <v>0</v>
      </c>
      <c r="M541" s="246"/>
      <c r="N541" s="247"/>
      <c r="O541" s="248"/>
      <c r="P541" s="246"/>
      <c r="Q541" s="249"/>
      <c r="R541" s="250"/>
      <c r="S541" s="259"/>
      <c r="T541" s="260"/>
      <c r="U541" s="250"/>
      <c r="V541" s="78">
        <f t="shared" si="81"/>
        <v>0</v>
      </c>
      <c r="W541" s="261">
        <f t="shared" si="82"/>
        <v>0</v>
      </c>
      <c r="X541" s="133">
        <f t="shared" si="83"/>
        <v>0</v>
      </c>
      <c r="Y541" s="251"/>
      <c r="Z541" s="1736"/>
      <c r="AA541" s="1737"/>
      <c r="AB541" s="77">
        <f t="shared" si="84"/>
        <v>0</v>
      </c>
      <c r="AC541" s="134">
        <f t="shared" si="85"/>
        <v>0</v>
      </c>
      <c r="AD541" s="251"/>
      <c r="AE541" s="1736"/>
      <c r="AF541" s="1737"/>
      <c r="AG541" s="77">
        <f t="shared" si="86"/>
        <v>0</v>
      </c>
      <c r="AH541" s="136">
        <f t="shared" si="87"/>
        <v>0</v>
      </c>
      <c r="AI541" s="251"/>
      <c r="AJ541" s="1736"/>
      <c r="AK541" s="1737"/>
      <c r="AL541" s="79">
        <f t="shared" si="88"/>
        <v>0</v>
      </c>
      <c r="AM541" s="137">
        <f t="shared" si="89"/>
        <v>0</v>
      </c>
      <c r="AN541" s="251"/>
      <c r="AO541" s="1736"/>
      <c r="AP541" s="1737"/>
    </row>
    <row r="542" spans="1:42" s="85" customFormat="1" ht="13.5" thickBot="1">
      <c r="A542" s="240"/>
      <c r="B542" s="241"/>
      <c r="C542" s="242"/>
      <c r="D542" s="242"/>
      <c r="E542" s="243"/>
      <c r="F542" s="244"/>
      <c r="G542" s="244"/>
      <c r="H542" s="243"/>
      <c r="I542" s="258"/>
      <c r="J542" s="245"/>
      <c r="K542" s="245"/>
      <c r="L542" s="76">
        <f t="shared" si="80"/>
        <v>0</v>
      </c>
      <c r="M542" s="246"/>
      <c r="N542" s="247"/>
      <c r="O542" s="248"/>
      <c r="P542" s="246"/>
      <c r="Q542" s="249"/>
      <c r="R542" s="250"/>
      <c r="S542" s="259"/>
      <c r="T542" s="260"/>
      <c r="U542" s="250"/>
      <c r="V542" s="78">
        <f t="shared" si="81"/>
        <v>0</v>
      </c>
      <c r="W542" s="261">
        <f t="shared" si="82"/>
        <v>0</v>
      </c>
      <c r="X542" s="133">
        <f t="shared" si="83"/>
        <v>0</v>
      </c>
      <c r="Y542" s="251"/>
      <c r="Z542" s="1736"/>
      <c r="AA542" s="1737"/>
      <c r="AB542" s="77">
        <f t="shared" si="84"/>
        <v>0</v>
      </c>
      <c r="AC542" s="134">
        <f t="shared" si="85"/>
        <v>0</v>
      </c>
      <c r="AD542" s="251"/>
      <c r="AE542" s="1736"/>
      <c r="AF542" s="1737"/>
      <c r="AG542" s="77">
        <f t="shared" si="86"/>
        <v>0</v>
      </c>
      <c r="AH542" s="136">
        <f t="shared" si="87"/>
        <v>0</v>
      </c>
      <c r="AI542" s="251"/>
      <c r="AJ542" s="1736"/>
      <c r="AK542" s="1737"/>
      <c r="AL542" s="79">
        <f t="shared" si="88"/>
        <v>0</v>
      </c>
      <c r="AM542" s="137">
        <f t="shared" si="89"/>
        <v>0</v>
      </c>
      <c r="AN542" s="251"/>
      <c r="AO542" s="1736"/>
      <c r="AP542" s="1737"/>
    </row>
    <row r="543" spans="1:42" s="85" customFormat="1" ht="13.5" thickBot="1">
      <c r="A543" s="240"/>
      <c r="B543" s="241"/>
      <c r="C543" s="242"/>
      <c r="D543" s="242"/>
      <c r="E543" s="243"/>
      <c r="F543" s="244"/>
      <c r="G543" s="244"/>
      <c r="H543" s="243"/>
      <c r="I543" s="258"/>
      <c r="J543" s="245"/>
      <c r="K543" s="245"/>
      <c r="L543" s="76">
        <f t="shared" si="80"/>
        <v>0</v>
      </c>
      <c r="M543" s="246"/>
      <c r="N543" s="247"/>
      <c r="O543" s="248"/>
      <c r="P543" s="246"/>
      <c r="Q543" s="249"/>
      <c r="R543" s="250"/>
      <c r="S543" s="259"/>
      <c r="T543" s="260"/>
      <c r="U543" s="250"/>
      <c r="V543" s="78">
        <f t="shared" si="81"/>
        <v>0</v>
      </c>
      <c r="W543" s="261">
        <f t="shared" si="82"/>
        <v>0</v>
      </c>
      <c r="X543" s="133">
        <f t="shared" si="83"/>
        <v>0</v>
      </c>
      <c r="Y543" s="251"/>
      <c r="Z543" s="1736"/>
      <c r="AA543" s="1737"/>
      <c r="AB543" s="77">
        <f t="shared" si="84"/>
        <v>0</v>
      </c>
      <c r="AC543" s="134">
        <f t="shared" si="85"/>
        <v>0</v>
      </c>
      <c r="AD543" s="251"/>
      <c r="AE543" s="1736"/>
      <c r="AF543" s="1737"/>
      <c r="AG543" s="77">
        <f t="shared" si="86"/>
        <v>0</v>
      </c>
      <c r="AH543" s="136">
        <f t="shared" si="87"/>
        <v>0</v>
      </c>
      <c r="AI543" s="251"/>
      <c r="AJ543" s="1736"/>
      <c r="AK543" s="1737"/>
      <c r="AL543" s="79">
        <f t="shared" si="88"/>
        <v>0</v>
      </c>
      <c r="AM543" s="137">
        <f t="shared" si="89"/>
        <v>0</v>
      </c>
      <c r="AN543" s="251"/>
      <c r="AO543" s="1736"/>
      <c r="AP543" s="1737"/>
    </row>
    <row r="544" spans="1:42" s="85" customFormat="1" ht="13.5" thickBot="1">
      <c r="A544" s="240"/>
      <c r="B544" s="241"/>
      <c r="C544" s="242"/>
      <c r="D544" s="242"/>
      <c r="E544" s="243"/>
      <c r="F544" s="244"/>
      <c r="G544" s="244"/>
      <c r="H544" s="243"/>
      <c r="I544" s="258"/>
      <c r="J544" s="245"/>
      <c r="K544" s="245"/>
      <c r="L544" s="76">
        <f t="shared" si="80"/>
        <v>0</v>
      </c>
      <c r="M544" s="246"/>
      <c r="N544" s="247"/>
      <c r="O544" s="248"/>
      <c r="P544" s="246"/>
      <c r="Q544" s="249"/>
      <c r="R544" s="250"/>
      <c r="S544" s="259"/>
      <c r="T544" s="260"/>
      <c r="U544" s="250"/>
      <c r="V544" s="78">
        <f t="shared" si="81"/>
        <v>0</v>
      </c>
      <c r="W544" s="261">
        <f t="shared" si="82"/>
        <v>0</v>
      </c>
      <c r="X544" s="133">
        <f t="shared" si="83"/>
        <v>0</v>
      </c>
      <c r="Y544" s="251"/>
      <c r="Z544" s="1736"/>
      <c r="AA544" s="1737"/>
      <c r="AB544" s="77">
        <f t="shared" si="84"/>
        <v>0</v>
      </c>
      <c r="AC544" s="134">
        <f t="shared" si="85"/>
        <v>0</v>
      </c>
      <c r="AD544" s="251"/>
      <c r="AE544" s="1736"/>
      <c r="AF544" s="1737"/>
      <c r="AG544" s="77">
        <f t="shared" si="86"/>
        <v>0</v>
      </c>
      <c r="AH544" s="136">
        <f t="shared" si="87"/>
        <v>0</v>
      </c>
      <c r="AI544" s="251"/>
      <c r="AJ544" s="1736"/>
      <c r="AK544" s="1737"/>
      <c r="AL544" s="79">
        <f t="shared" si="88"/>
        <v>0</v>
      </c>
      <c r="AM544" s="137">
        <f t="shared" si="89"/>
        <v>0</v>
      </c>
      <c r="AN544" s="251"/>
      <c r="AO544" s="1736"/>
      <c r="AP544" s="1737"/>
    </row>
    <row r="545" spans="1:42" s="85" customFormat="1" ht="13.5" thickBot="1">
      <c r="A545" s="240"/>
      <c r="B545" s="241"/>
      <c r="C545" s="242"/>
      <c r="D545" s="242"/>
      <c r="E545" s="243"/>
      <c r="F545" s="244"/>
      <c r="G545" s="244"/>
      <c r="H545" s="243"/>
      <c r="I545" s="258"/>
      <c r="J545" s="245"/>
      <c r="K545" s="245"/>
      <c r="L545" s="76">
        <f t="shared" si="80"/>
        <v>0</v>
      </c>
      <c r="M545" s="246"/>
      <c r="N545" s="247"/>
      <c r="O545" s="248"/>
      <c r="P545" s="246"/>
      <c r="Q545" s="249"/>
      <c r="R545" s="250"/>
      <c r="S545" s="259"/>
      <c r="T545" s="260"/>
      <c r="U545" s="250"/>
      <c r="V545" s="78">
        <f t="shared" si="81"/>
        <v>0</v>
      </c>
      <c r="W545" s="261">
        <f t="shared" si="82"/>
        <v>0</v>
      </c>
      <c r="X545" s="133">
        <f t="shared" si="83"/>
        <v>0</v>
      </c>
      <c r="Y545" s="251"/>
      <c r="Z545" s="1736"/>
      <c r="AA545" s="1737"/>
      <c r="AB545" s="77">
        <f t="shared" si="84"/>
        <v>0</v>
      </c>
      <c r="AC545" s="134">
        <f t="shared" si="85"/>
        <v>0</v>
      </c>
      <c r="AD545" s="251"/>
      <c r="AE545" s="1736"/>
      <c r="AF545" s="1737"/>
      <c r="AG545" s="77">
        <f t="shared" si="86"/>
        <v>0</v>
      </c>
      <c r="AH545" s="136">
        <f t="shared" si="87"/>
        <v>0</v>
      </c>
      <c r="AI545" s="251"/>
      <c r="AJ545" s="1736"/>
      <c r="AK545" s="1737"/>
      <c r="AL545" s="79">
        <f t="shared" si="88"/>
        <v>0</v>
      </c>
      <c r="AM545" s="137">
        <f t="shared" si="89"/>
        <v>0</v>
      </c>
      <c r="AN545" s="251"/>
      <c r="AO545" s="1736"/>
      <c r="AP545" s="1737"/>
    </row>
    <row r="546" spans="1:42" s="85" customFormat="1" ht="13.5" thickBot="1">
      <c r="A546" s="240"/>
      <c r="B546" s="241"/>
      <c r="C546" s="242"/>
      <c r="D546" s="242"/>
      <c r="E546" s="243"/>
      <c r="F546" s="244"/>
      <c r="G546" s="244"/>
      <c r="H546" s="243"/>
      <c r="I546" s="258"/>
      <c r="J546" s="245"/>
      <c r="K546" s="245"/>
      <c r="L546" s="76">
        <f t="shared" si="80"/>
        <v>0</v>
      </c>
      <c r="M546" s="246"/>
      <c r="N546" s="247"/>
      <c r="O546" s="248"/>
      <c r="P546" s="246"/>
      <c r="Q546" s="249"/>
      <c r="R546" s="250"/>
      <c r="S546" s="259"/>
      <c r="T546" s="260"/>
      <c r="U546" s="250"/>
      <c r="V546" s="78">
        <f t="shared" si="81"/>
        <v>0</v>
      </c>
      <c r="W546" s="261">
        <f t="shared" si="82"/>
        <v>0</v>
      </c>
      <c r="X546" s="133">
        <f t="shared" si="83"/>
        <v>0</v>
      </c>
      <c r="Y546" s="251"/>
      <c r="Z546" s="1736"/>
      <c r="AA546" s="1737"/>
      <c r="AB546" s="77">
        <f t="shared" si="84"/>
        <v>0</v>
      </c>
      <c r="AC546" s="134">
        <f t="shared" si="85"/>
        <v>0</v>
      </c>
      <c r="AD546" s="251"/>
      <c r="AE546" s="1736"/>
      <c r="AF546" s="1737"/>
      <c r="AG546" s="77">
        <f t="shared" si="86"/>
        <v>0</v>
      </c>
      <c r="AH546" s="136">
        <f t="shared" si="87"/>
        <v>0</v>
      </c>
      <c r="AI546" s="251"/>
      <c r="AJ546" s="1736"/>
      <c r="AK546" s="1737"/>
      <c r="AL546" s="79">
        <f t="shared" si="88"/>
        <v>0</v>
      </c>
      <c r="AM546" s="137">
        <f t="shared" si="89"/>
        <v>0</v>
      </c>
      <c r="AN546" s="251"/>
      <c r="AO546" s="1736"/>
      <c r="AP546" s="1737"/>
    </row>
    <row r="547" spans="1:42" s="85" customFormat="1" ht="13.5" thickBot="1">
      <c r="A547" s="240"/>
      <c r="B547" s="241"/>
      <c r="C547" s="242"/>
      <c r="D547" s="242"/>
      <c r="E547" s="243"/>
      <c r="F547" s="244"/>
      <c r="G547" s="244"/>
      <c r="H547" s="243"/>
      <c r="I547" s="258"/>
      <c r="J547" s="245"/>
      <c r="K547" s="245"/>
      <c r="L547" s="76">
        <f t="shared" si="80"/>
        <v>0</v>
      </c>
      <c r="M547" s="246"/>
      <c r="N547" s="247"/>
      <c r="O547" s="248"/>
      <c r="P547" s="246"/>
      <c r="Q547" s="249"/>
      <c r="R547" s="250"/>
      <c r="S547" s="259"/>
      <c r="T547" s="260"/>
      <c r="U547" s="250"/>
      <c r="V547" s="78">
        <f t="shared" si="81"/>
        <v>0</v>
      </c>
      <c r="W547" s="261">
        <f t="shared" si="82"/>
        <v>0</v>
      </c>
      <c r="X547" s="133">
        <f t="shared" si="83"/>
        <v>0</v>
      </c>
      <c r="Y547" s="251"/>
      <c r="Z547" s="1736"/>
      <c r="AA547" s="1737"/>
      <c r="AB547" s="77">
        <f t="shared" si="84"/>
        <v>0</v>
      </c>
      <c r="AC547" s="134">
        <f t="shared" si="85"/>
        <v>0</v>
      </c>
      <c r="AD547" s="251"/>
      <c r="AE547" s="1736"/>
      <c r="AF547" s="1737"/>
      <c r="AG547" s="77">
        <f t="shared" si="86"/>
        <v>0</v>
      </c>
      <c r="AH547" s="136">
        <f t="shared" si="87"/>
        <v>0</v>
      </c>
      <c r="AI547" s="251"/>
      <c r="AJ547" s="1736"/>
      <c r="AK547" s="1737"/>
      <c r="AL547" s="79">
        <f t="shared" si="88"/>
        <v>0</v>
      </c>
      <c r="AM547" s="137">
        <f t="shared" si="89"/>
        <v>0</v>
      </c>
      <c r="AN547" s="251"/>
      <c r="AO547" s="1736"/>
      <c r="AP547" s="1737"/>
    </row>
    <row r="548" spans="1:42" s="85" customFormat="1" ht="13.5" thickBot="1">
      <c r="A548" s="240"/>
      <c r="B548" s="241"/>
      <c r="C548" s="242"/>
      <c r="D548" s="242"/>
      <c r="E548" s="243"/>
      <c r="F548" s="244"/>
      <c r="G548" s="244"/>
      <c r="H548" s="243"/>
      <c r="I548" s="258"/>
      <c r="J548" s="245"/>
      <c r="K548" s="245"/>
      <c r="L548" s="76">
        <f t="shared" si="80"/>
        <v>0</v>
      </c>
      <c r="M548" s="246"/>
      <c r="N548" s="247"/>
      <c r="O548" s="248"/>
      <c r="P548" s="246"/>
      <c r="Q548" s="249"/>
      <c r="R548" s="250"/>
      <c r="S548" s="259"/>
      <c r="T548" s="260"/>
      <c r="U548" s="250"/>
      <c r="V548" s="78">
        <f t="shared" si="81"/>
        <v>0</v>
      </c>
      <c r="W548" s="261">
        <f t="shared" si="82"/>
        <v>0</v>
      </c>
      <c r="X548" s="133">
        <f t="shared" si="83"/>
        <v>0</v>
      </c>
      <c r="Y548" s="251"/>
      <c r="Z548" s="1736"/>
      <c r="AA548" s="1737"/>
      <c r="AB548" s="77">
        <f t="shared" si="84"/>
        <v>0</v>
      </c>
      <c r="AC548" s="134">
        <f t="shared" si="85"/>
        <v>0</v>
      </c>
      <c r="AD548" s="251"/>
      <c r="AE548" s="1736"/>
      <c r="AF548" s="1737"/>
      <c r="AG548" s="77">
        <f t="shared" si="86"/>
        <v>0</v>
      </c>
      <c r="AH548" s="136">
        <f t="shared" si="87"/>
        <v>0</v>
      </c>
      <c r="AI548" s="251"/>
      <c r="AJ548" s="1736"/>
      <c r="AK548" s="1737"/>
      <c r="AL548" s="79">
        <f t="shared" si="88"/>
        <v>0</v>
      </c>
      <c r="AM548" s="137">
        <f t="shared" si="89"/>
        <v>0</v>
      </c>
      <c r="AN548" s="251"/>
      <c r="AO548" s="1736"/>
      <c r="AP548" s="1737"/>
    </row>
    <row r="549" spans="1:42" s="85" customFormat="1" ht="13.5" thickBot="1">
      <c r="A549" s="240"/>
      <c r="B549" s="241"/>
      <c r="C549" s="242"/>
      <c r="D549" s="242"/>
      <c r="E549" s="243"/>
      <c r="F549" s="244"/>
      <c r="G549" s="244"/>
      <c r="H549" s="243"/>
      <c r="I549" s="258"/>
      <c r="J549" s="245"/>
      <c r="K549" s="245"/>
      <c r="L549" s="76">
        <f t="shared" si="80"/>
        <v>0</v>
      </c>
      <c r="M549" s="246"/>
      <c r="N549" s="247"/>
      <c r="O549" s="248"/>
      <c r="P549" s="246"/>
      <c r="Q549" s="249"/>
      <c r="R549" s="250"/>
      <c r="S549" s="259"/>
      <c r="T549" s="260"/>
      <c r="U549" s="250"/>
      <c r="V549" s="78">
        <f t="shared" si="81"/>
        <v>0</v>
      </c>
      <c r="W549" s="261">
        <f t="shared" si="82"/>
        <v>0</v>
      </c>
      <c r="X549" s="133">
        <f t="shared" si="83"/>
        <v>0</v>
      </c>
      <c r="Y549" s="251"/>
      <c r="Z549" s="1736"/>
      <c r="AA549" s="1737"/>
      <c r="AB549" s="77">
        <f t="shared" si="84"/>
        <v>0</v>
      </c>
      <c r="AC549" s="134">
        <f t="shared" si="85"/>
        <v>0</v>
      </c>
      <c r="AD549" s="251"/>
      <c r="AE549" s="1736"/>
      <c r="AF549" s="1737"/>
      <c r="AG549" s="77">
        <f t="shared" si="86"/>
        <v>0</v>
      </c>
      <c r="AH549" s="136">
        <f t="shared" si="87"/>
        <v>0</v>
      </c>
      <c r="AI549" s="251"/>
      <c r="AJ549" s="1736"/>
      <c r="AK549" s="1737"/>
      <c r="AL549" s="79">
        <f t="shared" si="88"/>
        <v>0</v>
      </c>
      <c r="AM549" s="137">
        <f t="shared" si="89"/>
        <v>0</v>
      </c>
      <c r="AN549" s="251"/>
      <c r="AO549" s="1736"/>
      <c r="AP549" s="1737"/>
    </row>
    <row r="550" spans="1:42" s="85" customFormat="1" ht="13.5" thickBot="1">
      <c r="A550" s="240"/>
      <c r="B550" s="241"/>
      <c r="C550" s="242"/>
      <c r="D550" s="242"/>
      <c r="E550" s="243"/>
      <c r="F550" s="244"/>
      <c r="G550" s="244"/>
      <c r="H550" s="243"/>
      <c r="I550" s="258"/>
      <c r="J550" s="245"/>
      <c r="K550" s="245"/>
      <c r="L550" s="76">
        <f t="shared" si="80"/>
        <v>0</v>
      </c>
      <c r="M550" s="246"/>
      <c r="N550" s="247"/>
      <c r="O550" s="248"/>
      <c r="P550" s="246"/>
      <c r="Q550" s="249"/>
      <c r="R550" s="250"/>
      <c r="S550" s="259"/>
      <c r="T550" s="260"/>
      <c r="U550" s="250"/>
      <c r="V550" s="78">
        <f t="shared" si="81"/>
        <v>0</v>
      </c>
      <c r="W550" s="261">
        <f t="shared" si="82"/>
        <v>0</v>
      </c>
      <c r="X550" s="133">
        <f t="shared" si="83"/>
        <v>0</v>
      </c>
      <c r="Y550" s="251"/>
      <c r="Z550" s="1736"/>
      <c r="AA550" s="1737"/>
      <c r="AB550" s="77">
        <f t="shared" si="84"/>
        <v>0</v>
      </c>
      <c r="AC550" s="134">
        <f t="shared" si="85"/>
        <v>0</v>
      </c>
      <c r="AD550" s="251"/>
      <c r="AE550" s="1736"/>
      <c r="AF550" s="1737"/>
      <c r="AG550" s="77">
        <f t="shared" si="86"/>
        <v>0</v>
      </c>
      <c r="AH550" s="136">
        <f t="shared" si="87"/>
        <v>0</v>
      </c>
      <c r="AI550" s="251"/>
      <c r="AJ550" s="1736"/>
      <c r="AK550" s="1737"/>
      <c r="AL550" s="79">
        <f t="shared" si="88"/>
        <v>0</v>
      </c>
      <c r="AM550" s="137">
        <f t="shared" si="89"/>
        <v>0</v>
      </c>
      <c r="AN550" s="251"/>
      <c r="AO550" s="1736"/>
      <c r="AP550" s="1737"/>
    </row>
    <row r="551" spans="1:42" s="85" customFormat="1" ht="13.5" thickBot="1">
      <c r="A551" s="240"/>
      <c r="B551" s="241"/>
      <c r="C551" s="242"/>
      <c r="D551" s="242"/>
      <c r="E551" s="243"/>
      <c r="F551" s="244"/>
      <c r="G551" s="244"/>
      <c r="H551" s="243"/>
      <c r="I551" s="258"/>
      <c r="J551" s="245"/>
      <c r="K551" s="245"/>
      <c r="L551" s="76">
        <f t="shared" si="80"/>
        <v>0</v>
      </c>
      <c r="M551" s="246"/>
      <c r="N551" s="247"/>
      <c r="O551" s="248"/>
      <c r="P551" s="246"/>
      <c r="Q551" s="249"/>
      <c r="R551" s="250"/>
      <c r="S551" s="259"/>
      <c r="T551" s="260"/>
      <c r="U551" s="250"/>
      <c r="V551" s="78">
        <f t="shared" si="81"/>
        <v>0</v>
      </c>
      <c r="W551" s="261">
        <f t="shared" si="82"/>
        <v>0</v>
      </c>
      <c r="X551" s="133">
        <f t="shared" si="83"/>
        <v>0</v>
      </c>
      <c r="Y551" s="251"/>
      <c r="Z551" s="1736"/>
      <c r="AA551" s="1737"/>
      <c r="AB551" s="77">
        <f t="shared" si="84"/>
        <v>0</v>
      </c>
      <c r="AC551" s="134">
        <f t="shared" si="85"/>
        <v>0</v>
      </c>
      <c r="AD551" s="251"/>
      <c r="AE551" s="1736"/>
      <c r="AF551" s="1737"/>
      <c r="AG551" s="77">
        <f t="shared" si="86"/>
        <v>0</v>
      </c>
      <c r="AH551" s="136">
        <f t="shared" si="87"/>
        <v>0</v>
      </c>
      <c r="AI551" s="251"/>
      <c r="AJ551" s="1736"/>
      <c r="AK551" s="1737"/>
      <c r="AL551" s="79">
        <f t="shared" si="88"/>
        <v>0</v>
      </c>
      <c r="AM551" s="137">
        <f t="shared" si="89"/>
        <v>0</v>
      </c>
      <c r="AN551" s="251"/>
      <c r="AO551" s="1736"/>
      <c r="AP551" s="1737"/>
    </row>
    <row r="552" spans="1:42" s="85" customFormat="1" ht="13.5" thickBot="1">
      <c r="A552" s="240"/>
      <c r="B552" s="241"/>
      <c r="C552" s="242"/>
      <c r="D552" s="242"/>
      <c r="E552" s="243"/>
      <c r="F552" s="244"/>
      <c r="G552" s="244"/>
      <c r="H552" s="243"/>
      <c r="I552" s="258"/>
      <c r="J552" s="245"/>
      <c r="K552" s="245"/>
      <c r="L552" s="76">
        <f t="shared" si="80"/>
        <v>0</v>
      </c>
      <c r="M552" s="246"/>
      <c r="N552" s="247"/>
      <c r="O552" s="248"/>
      <c r="P552" s="246"/>
      <c r="Q552" s="249"/>
      <c r="R552" s="250"/>
      <c r="S552" s="259"/>
      <c r="T552" s="260"/>
      <c r="U552" s="250"/>
      <c r="V552" s="78">
        <f t="shared" si="81"/>
        <v>0</v>
      </c>
      <c r="W552" s="261">
        <f t="shared" si="82"/>
        <v>0</v>
      </c>
      <c r="X552" s="133">
        <f t="shared" si="83"/>
        <v>0</v>
      </c>
      <c r="Y552" s="251"/>
      <c r="Z552" s="1736"/>
      <c r="AA552" s="1737"/>
      <c r="AB552" s="77">
        <f t="shared" si="84"/>
        <v>0</v>
      </c>
      <c r="AC552" s="134">
        <f t="shared" si="85"/>
        <v>0</v>
      </c>
      <c r="AD552" s="251"/>
      <c r="AE552" s="1736"/>
      <c r="AF552" s="1737"/>
      <c r="AG552" s="77">
        <f t="shared" si="86"/>
        <v>0</v>
      </c>
      <c r="AH552" s="136">
        <f t="shared" si="87"/>
        <v>0</v>
      </c>
      <c r="AI552" s="251"/>
      <c r="AJ552" s="1736"/>
      <c r="AK552" s="1737"/>
      <c r="AL552" s="79">
        <f t="shared" si="88"/>
        <v>0</v>
      </c>
      <c r="AM552" s="137">
        <f t="shared" si="89"/>
        <v>0</v>
      </c>
      <c r="AN552" s="251"/>
      <c r="AO552" s="1736"/>
      <c r="AP552" s="1737"/>
    </row>
    <row r="553" spans="1:42" s="85" customFormat="1" ht="13.5" thickBot="1">
      <c r="A553" s="240"/>
      <c r="B553" s="241"/>
      <c r="C553" s="242"/>
      <c r="D553" s="242"/>
      <c r="E553" s="243"/>
      <c r="F553" s="244"/>
      <c r="G553" s="244"/>
      <c r="H553" s="243"/>
      <c r="I553" s="258"/>
      <c r="J553" s="245"/>
      <c r="K553" s="245"/>
      <c r="L553" s="76">
        <f t="shared" si="80"/>
        <v>0</v>
      </c>
      <c r="M553" s="246"/>
      <c r="N553" s="247"/>
      <c r="O553" s="248"/>
      <c r="P553" s="246"/>
      <c r="Q553" s="249"/>
      <c r="R553" s="250"/>
      <c r="S553" s="259"/>
      <c r="T553" s="260"/>
      <c r="U553" s="250"/>
      <c r="V553" s="78">
        <f t="shared" si="81"/>
        <v>0</v>
      </c>
      <c r="W553" s="261">
        <f t="shared" si="82"/>
        <v>0</v>
      </c>
      <c r="X553" s="133">
        <f t="shared" si="83"/>
        <v>0</v>
      </c>
      <c r="Y553" s="251"/>
      <c r="Z553" s="1736"/>
      <c r="AA553" s="1737"/>
      <c r="AB553" s="77">
        <f t="shared" si="84"/>
        <v>0</v>
      </c>
      <c r="AC553" s="134">
        <f t="shared" si="85"/>
        <v>0</v>
      </c>
      <c r="AD553" s="251"/>
      <c r="AE553" s="1736"/>
      <c r="AF553" s="1737"/>
      <c r="AG553" s="77">
        <f t="shared" si="86"/>
        <v>0</v>
      </c>
      <c r="AH553" s="136">
        <f t="shared" si="87"/>
        <v>0</v>
      </c>
      <c r="AI553" s="251"/>
      <c r="AJ553" s="1736"/>
      <c r="AK553" s="1737"/>
      <c r="AL553" s="79">
        <f t="shared" si="88"/>
        <v>0</v>
      </c>
      <c r="AM553" s="137">
        <f t="shared" si="89"/>
        <v>0</v>
      </c>
      <c r="AN553" s="251"/>
      <c r="AO553" s="1736"/>
      <c r="AP553" s="1737"/>
    </row>
    <row r="554" spans="1:42" s="85" customFormat="1" ht="13.5" thickBot="1">
      <c r="A554" s="240"/>
      <c r="B554" s="241"/>
      <c r="C554" s="242"/>
      <c r="D554" s="242"/>
      <c r="E554" s="243"/>
      <c r="F554" s="244"/>
      <c r="G554" s="244"/>
      <c r="H554" s="243"/>
      <c r="I554" s="258"/>
      <c r="J554" s="245"/>
      <c r="K554" s="245"/>
      <c r="L554" s="76">
        <f t="shared" si="80"/>
        <v>0</v>
      </c>
      <c r="M554" s="246"/>
      <c r="N554" s="247"/>
      <c r="O554" s="248"/>
      <c r="P554" s="246"/>
      <c r="Q554" s="249"/>
      <c r="R554" s="250"/>
      <c r="S554" s="259"/>
      <c r="T554" s="260"/>
      <c r="U554" s="250"/>
      <c r="V554" s="78">
        <f t="shared" si="81"/>
        <v>0</v>
      </c>
      <c r="W554" s="261">
        <f t="shared" si="82"/>
        <v>0</v>
      </c>
      <c r="X554" s="133">
        <f t="shared" si="83"/>
        <v>0</v>
      </c>
      <c r="Y554" s="251"/>
      <c r="Z554" s="1736"/>
      <c r="AA554" s="1737"/>
      <c r="AB554" s="77">
        <f t="shared" si="84"/>
        <v>0</v>
      </c>
      <c r="AC554" s="134">
        <f t="shared" si="85"/>
        <v>0</v>
      </c>
      <c r="AD554" s="251"/>
      <c r="AE554" s="1736"/>
      <c r="AF554" s="1737"/>
      <c r="AG554" s="77">
        <f t="shared" si="86"/>
        <v>0</v>
      </c>
      <c r="AH554" s="136">
        <f t="shared" si="87"/>
        <v>0</v>
      </c>
      <c r="AI554" s="251"/>
      <c r="AJ554" s="1736"/>
      <c r="AK554" s="1737"/>
      <c r="AL554" s="79">
        <f t="shared" si="88"/>
        <v>0</v>
      </c>
      <c r="AM554" s="137">
        <f t="shared" si="89"/>
        <v>0</v>
      </c>
      <c r="AN554" s="251"/>
      <c r="AO554" s="1736"/>
      <c r="AP554" s="1737"/>
    </row>
    <row r="555" spans="1:42" s="85" customFormat="1" ht="13.5" thickBot="1">
      <c r="A555" s="240"/>
      <c r="B555" s="241"/>
      <c r="C555" s="242"/>
      <c r="D555" s="242"/>
      <c r="E555" s="243"/>
      <c r="F555" s="244"/>
      <c r="G555" s="244"/>
      <c r="H555" s="243"/>
      <c r="I555" s="258"/>
      <c r="J555" s="245"/>
      <c r="K555" s="245"/>
      <c r="L555" s="76">
        <f t="shared" si="80"/>
        <v>0</v>
      </c>
      <c r="M555" s="246"/>
      <c r="N555" s="247"/>
      <c r="O555" s="248"/>
      <c r="P555" s="246"/>
      <c r="Q555" s="249"/>
      <c r="R555" s="250"/>
      <c r="S555" s="259"/>
      <c r="T555" s="260"/>
      <c r="U555" s="250"/>
      <c r="V555" s="78">
        <f t="shared" si="81"/>
        <v>0</v>
      </c>
      <c r="W555" s="261">
        <f t="shared" si="82"/>
        <v>0</v>
      </c>
      <c r="X555" s="133">
        <f t="shared" si="83"/>
        <v>0</v>
      </c>
      <c r="Y555" s="251"/>
      <c r="Z555" s="1736"/>
      <c r="AA555" s="1737"/>
      <c r="AB555" s="77">
        <f t="shared" si="84"/>
        <v>0</v>
      </c>
      <c r="AC555" s="134">
        <f t="shared" si="85"/>
        <v>0</v>
      </c>
      <c r="AD555" s="251"/>
      <c r="AE555" s="1736"/>
      <c r="AF555" s="1737"/>
      <c r="AG555" s="77">
        <f t="shared" si="86"/>
        <v>0</v>
      </c>
      <c r="AH555" s="136">
        <f t="shared" si="87"/>
        <v>0</v>
      </c>
      <c r="AI555" s="251"/>
      <c r="AJ555" s="1736"/>
      <c r="AK555" s="1737"/>
      <c r="AL555" s="79">
        <f t="shared" si="88"/>
        <v>0</v>
      </c>
      <c r="AM555" s="137">
        <f t="shared" si="89"/>
        <v>0</v>
      </c>
      <c r="AN555" s="251"/>
      <c r="AO555" s="1736"/>
      <c r="AP555" s="1737"/>
    </row>
    <row r="556" spans="1:42" s="85" customFormat="1" ht="13.5" thickBot="1">
      <c r="A556" s="240"/>
      <c r="B556" s="241"/>
      <c r="C556" s="242"/>
      <c r="D556" s="242"/>
      <c r="E556" s="243"/>
      <c r="F556" s="244"/>
      <c r="G556" s="244"/>
      <c r="H556" s="243"/>
      <c r="I556" s="258"/>
      <c r="J556" s="245"/>
      <c r="K556" s="245"/>
      <c r="L556" s="76">
        <f t="shared" si="80"/>
        <v>0</v>
      </c>
      <c r="M556" s="246"/>
      <c r="N556" s="247"/>
      <c r="O556" s="248"/>
      <c r="P556" s="246"/>
      <c r="Q556" s="249"/>
      <c r="R556" s="250"/>
      <c r="S556" s="259"/>
      <c r="T556" s="260"/>
      <c r="U556" s="250"/>
      <c r="V556" s="78">
        <f t="shared" si="81"/>
        <v>0</v>
      </c>
      <c r="W556" s="261">
        <f t="shared" si="82"/>
        <v>0</v>
      </c>
      <c r="X556" s="133">
        <f t="shared" si="83"/>
        <v>0</v>
      </c>
      <c r="Y556" s="251"/>
      <c r="Z556" s="1736"/>
      <c r="AA556" s="1737"/>
      <c r="AB556" s="77">
        <f t="shared" si="84"/>
        <v>0</v>
      </c>
      <c r="AC556" s="134">
        <f t="shared" si="85"/>
        <v>0</v>
      </c>
      <c r="AD556" s="251"/>
      <c r="AE556" s="1736"/>
      <c r="AF556" s="1737"/>
      <c r="AG556" s="77">
        <f t="shared" si="86"/>
        <v>0</v>
      </c>
      <c r="AH556" s="136">
        <f t="shared" si="87"/>
        <v>0</v>
      </c>
      <c r="AI556" s="251"/>
      <c r="AJ556" s="1736"/>
      <c r="AK556" s="1737"/>
      <c r="AL556" s="79">
        <f t="shared" si="88"/>
        <v>0</v>
      </c>
      <c r="AM556" s="137">
        <f t="shared" si="89"/>
        <v>0</v>
      </c>
      <c r="AN556" s="251"/>
      <c r="AO556" s="1736"/>
      <c r="AP556" s="1737"/>
    </row>
    <row r="557" spans="1:42" s="85" customFormat="1" ht="13.5" thickBot="1">
      <c r="A557" s="240"/>
      <c r="B557" s="241"/>
      <c r="C557" s="242"/>
      <c r="D557" s="242"/>
      <c r="E557" s="243"/>
      <c r="F557" s="244"/>
      <c r="G557" s="244"/>
      <c r="H557" s="243"/>
      <c r="I557" s="258"/>
      <c r="J557" s="245"/>
      <c r="K557" s="245"/>
      <c r="L557" s="76">
        <f t="shared" si="80"/>
        <v>0</v>
      </c>
      <c r="M557" s="246"/>
      <c r="N557" s="247"/>
      <c r="O557" s="248"/>
      <c r="P557" s="246"/>
      <c r="Q557" s="249"/>
      <c r="R557" s="250"/>
      <c r="S557" s="259"/>
      <c r="T557" s="260"/>
      <c r="U557" s="250"/>
      <c r="V557" s="78">
        <f t="shared" si="81"/>
        <v>0</v>
      </c>
      <c r="W557" s="261">
        <f t="shared" si="82"/>
        <v>0</v>
      </c>
      <c r="X557" s="133">
        <f t="shared" si="83"/>
        <v>0</v>
      </c>
      <c r="Y557" s="251"/>
      <c r="Z557" s="1736"/>
      <c r="AA557" s="1737"/>
      <c r="AB557" s="77">
        <f t="shared" si="84"/>
        <v>0</v>
      </c>
      <c r="AC557" s="134">
        <f t="shared" si="85"/>
        <v>0</v>
      </c>
      <c r="AD557" s="251"/>
      <c r="AE557" s="1736"/>
      <c r="AF557" s="1737"/>
      <c r="AG557" s="77">
        <f t="shared" si="86"/>
        <v>0</v>
      </c>
      <c r="AH557" s="136">
        <f t="shared" si="87"/>
        <v>0</v>
      </c>
      <c r="AI557" s="251"/>
      <c r="AJ557" s="1736"/>
      <c r="AK557" s="1737"/>
      <c r="AL557" s="79">
        <f t="shared" si="88"/>
        <v>0</v>
      </c>
      <c r="AM557" s="137">
        <f t="shared" si="89"/>
        <v>0</v>
      </c>
      <c r="AN557" s="251"/>
      <c r="AO557" s="1736"/>
      <c r="AP557" s="1737"/>
    </row>
    <row r="558" spans="1:42" s="85" customFormat="1" ht="13.5" thickBot="1">
      <c r="A558" s="240"/>
      <c r="B558" s="241"/>
      <c r="C558" s="242"/>
      <c r="D558" s="242"/>
      <c r="E558" s="243"/>
      <c r="F558" s="244"/>
      <c r="G558" s="244"/>
      <c r="H558" s="243"/>
      <c r="I558" s="258"/>
      <c r="J558" s="245"/>
      <c r="K558" s="245"/>
      <c r="L558" s="76">
        <f t="shared" si="80"/>
        <v>0</v>
      </c>
      <c r="M558" s="246"/>
      <c r="N558" s="247"/>
      <c r="O558" s="248"/>
      <c r="P558" s="246"/>
      <c r="Q558" s="249"/>
      <c r="R558" s="250"/>
      <c r="S558" s="259"/>
      <c r="T558" s="260"/>
      <c r="U558" s="250"/>
      <c r="V558" s="78">
        <f t="shared" si="81"/>
        <v>0</v>
      </c>
      <c r="W558" s="261">
        <f t="shared" si="82"/>
        <v>0</v>
      </c>
      <c r="X558" s="133">
        <f t="shared" si="83"/>
        <v>0</v>
      </c>
      <c r="Y558" s="251"/>
      <c r="Z558" s="1736"/>
      <c r="AA558" s="1737"/>
      <c r="AB558" s="77">
        <f t="shared" si="84"/>
        <v>0</v>
      </c>
      <c r="AC558" s="134">
        <f t="shared" si="85"/>
        <v>0</v>
      </c>
      <c r="AD558" s="251"/>
      <c r="AE558" s="1736"/>
      <c r="AF558" s="1737"/>
      <c r="AG558" s="77">
        <f t="shared" si="86"/>
        <v>0</v>
      </c>
      <c r="AH558" s="136">
        <f t="shared" si="87"/>
        <v>0</v>
      </c>
      <c r="AI558" s="251"/>
      <c r="AJ558" s="1736"/>
      <c r="AK558" s="1737"/>
      <c r="AL558" s="79">
        <f t="shared" si="88"/>
        <v>0</v>
      </c>
      <c r="AM558" s="137">
        <f t="shared" si="89"/>
        <v>0</v>
      </c>
      <c r="AN558" s="251"/>
      <c r="AO558" s="1736"/>
      <c r="AP558" s="1737"/>
    </row>
    <row r="559" spans="1:42" s="85" customFormat="1" ht="13.5" thickBot="1">
      <c r="A559" s="240"/>
      <c r="B559" s="241"/>
      <c r="C559" s="242"/>
      <c r="D559" s="242"/>
      <c r="E559" s="243"/>
      <c r="F559" s="244"/>
      <c r="G559" s="244"/>
      <c r="H559" s="243"/>
      <c r="I559" s="258"/>
      <c r="J559" s="245"/>
      <c r="K559" s="245"/>
      <c r="L559" s="76">
        <f t="shared" si="80"/>
        <v>0</v>
      </c>
      <c r="M559" s="246"/>
      <c r="N559" s="247"/>
      <c r="O559" s="248"/>
      <c r="P559" s="246"/>
      <c r="Q559" s="249"/>
      <c r="R559" s="250"/>
      <c r="S559" s="259"/>
      <c r="T559" s="260"/>
      <c r="U559" s="250"/>
      <c r="V559" s="78">
        <f t="shared" si="81"/>
        <v>0</v>
      </c>
      <c r="W559" s="261">
        <f t="shared" si="82"/>
        <v>0</v>
      </c>
      <c r="X559" s="133">
        <f t="shared" si="83"/>
        <v>0</v>
      </c>
      <c r="Y559" s="251"/>
      <c r="Z559" s="1736"/>
      <c r="AA559" s="1737"/>
      <c r="AB559" s="77">
        <f t="shared" si="84"/>
        <v>0</v>
      </c>
      <c r="AC559" s="134">
        <f t="shared" si="85"/>
        <v>0</v>
      </c>
      <c r="AD559" s="251"/>
      <c r="AE559" s="1736"/>
      <c r="AF559" s="1737"/>
      <c r="AG559" s="77">
        <f t="shared" si="86"/>
        <v>0</v>
      </c>
      <c r="AH559" s="136">
        <f t="shared" si="87"/>
        <v>0</v>
      </c>
      <c r="AI559" s="251"/>
      <c r="AJ559" s="1736"/>
      <c r="AK559" s="1737"/>
      <c r="AL559" s="79">
        <f t="shared" si="88"/>
        <v>0</v>
      </c>
      <c r="AM559" s="137">
        <f t="shared" si="89"/>
        <v>0</v>
      </c>
      <c r="AN559" s="251"/>
      <c r="AO559" s="1736"/>
      <c r="AP559" s="1737"/>
    </row>
    <row r="560" spans="1:42" s="85" customFormat="1" ht="13.5" thickBot="1">
      <c r="A560" s="240"/>
      <c r="B560" s="241"/>
      <c r="C560" s="242"/>
      <c r="D560" s="242"/>
      <c r="E560" s="243"/>
      <c r="F560" s="244"/>
      <c r="G560" s="244"/>
      <c r="H560" s="243"/>
      <c r="I560" s="258"/>
      <c r="J560" s="245"/>
      <c r="K560" s="245"/>
      <c r="L560" s="76">
        <f t="shared" si="80"/>
        <v>0</v>
      </c>
      <c r="M560" s="246"/>
      <c r="N560" s="247"/>
      <c r="O560" s="248"/>
      <c r="P560" s="246"/>
      <c r="Q560" s="249"/>
      <c r="R560" s="250"/>
      <c r="S560" s="259"/>
      <c r="T560" s="260"/>
      <c r="U560" s="250"/>
      <c r="V560" s="78">
        <f t="shared" si="81"/>
        <v>0</v>
      </c>
      <c r="W560" s="261">
        <f t="shared" si="82"/>
        <v>0</v>
      </c>
      <c r="X560" s="133">
        <f t="shared" si="83"/>
        <v>0</v>
      </c>
      <c r="Y560" s="251"/>
      <c r="Z560" s="1736"/>
      <c r="AA560" s="1737"/>
      <c r="AB560" s="77">
        <f t="shared" si="84"/>
        <v>0</v>
      </c>
      <c r="AC560" s="134">
        <f t="shared" si="85"/>
        <v>0</v>
      </c>
      <c r="AD560" s="251"/>
      <c r="AE560" s="1736"/>
      <c r="AF560" s="1737"/>
      <c r="AG560" s="77">
        <f t="shared" si="86"/>
        <v>0</v>
      </c>
      <c r="AH560" s="136">
        <f t="shared" si="87"/>
        <v>0</v>
      </c>
      <c r="AI560" s="251"/>
      <c r="AJ560" s="1736"/>
      <c r="AK560" s="1737"/>
      <c r="AL560" s="79">
        <f t="shared" si="88"/>
        <v>0</v>
      </c>
      <c r="AM560" s="137">
        <f t="shared" si="89"/>
        <v>0</v>
      </c>
      <c r="AN560" s="251"/>
      <c r="AO560" s="1736"/>
      <c r="AP560" s="1737"/>
    </row>
    <row r="561" spans="1:42" s="85" customFormat="1" ht="13.5" thickBot="1">
      <c r="A561" s="240"/>
      <c r="B561" s="241"/>
      <c r="C561" s="242"/>
      <c r="D561" s="242"/>
      <c r="E561" s="243"/>
      <c r="F561" s="244"/>
      <c r="G561" s="244"/>
      <c r="H561" s="243"/>
      <c r="I561" s="258"/>
      <c r="J561" s="245"/>
      <c r="K561" s="245"/>
      <c r="L561" s="76">
        <f t="shared" si="80"/>
        <v>0</v>
      </c>
      <c r="M561" s="246"/>
      <c r="N561" s="247"/>
      <c r="O561" s="248"/>
      <c r="P561" s="246"/>
      <c r="Q561" s="249"/>
      <c r="R561" s="250"/>
      <c r="S561" s="259"/>
      <c r="T561" s="260"/>
      <c r="U561" s="250"/>
      <c r="V561" s="78">
        <f t="shared" si="81"/>
        <v>0</v>
      </c>
      <c r="W561" s="261">
        <f t="shared" si="82"/>
        <v>0</v>
      </c>
      <c r="X561" s="133">
        <f t="shared" si="83"/>
        <v>0</v>
      </c>
      <c r="Y561" s="251"/>
      <c r="Z561" s="1736"/>
      <c r="AA561" s="1737"/>
      <c r="AB561" s="77">
        <f t="shared" si="84"/>
        <v>0</v>
      </c>
      <c r="AC561" s="134">
        <f t="shared" si="85"/>
        <v>0</v>
      </c>
      <c r="AD561" s="251"/>
      <c r="AE561" s="1736"/>
      <c r="AF561" s="1737"/>
      <c r="AG561" s="77">
        <f t="shared" si="86"/>
        <v>0</v>
      </c>
      <c r="AH561" s="136">
        <f t="shared" si="87"/>
        <v>0</v>
      </c>
      <c r="AI561" s="251"/>
      <c r="AJ561" s="1736"/>
      <c r="AK561" s="1737"/>
      <c r="AL561" s="79">
        <f t="shared" si="88"/>
        <v>0</v>
      </c>
      <c r="AM561" s="137">
        <f t="shared" si="89"/>
        <v>0</v>
      </c>
      <c r="AN561" s="251"/>
      <c r="AO561" s="1736"/>
      <c r="AP561" s="1737"/>
    </row>
    <row r="562" spans="1:42" s="85" customFormat="1" ht="13.5" thickBot="1">
      <c r="A562" s="240"/>
      <c r="B562" s="241"/>
      <c r="C562" s="242"/>
      <c r="D562" s="242"/>
      <c r="E562" s="243"/>
      <c r="F562" s="244"/>
      <c r="G562" s="244"/>
      <c r="H562" s="243"/>
      <c r="I562" s="258"/>
      <c r="J562" s="245"/>
      <c r="K562" s="245"/>
      <c r="L562" s="76">
        <f t="shared" si="80"/>
        <v>0</v>
      </c>
      <c r="M562" s="246"/>
      <c r="N562" s="247"/>
      <c r="O562" s="248"/>
      <c r="P562" s="246"/>
      <c r="Q562" s="249"/>
      <c r="R562" s="250"/>
      <c r="S562" s="259"/>
      <c r="T562" s="260"/>
      <c r="U562" s="250"/>
      <c r="V562" s="78">
        <f t="shared" si="81"/>
        <v>0</v>
      </c>
      <c r="W562" s="261">
        <f t="shared" si="82"/>
        <v>0</v>
      </c>
      <c r="X562" s="133">
        <f t="shared" si="83"/>
        <v>0</v>
      </c>
      <c r="Y562" s="251"/>
      <c r="Z562" s="1736"/>
      <c r="AA562" s="1737"/>
      <c r="AB562" s="77">
        <f t="shared" si="84"/>
        <v>0</v>
      </c>
      <c r="AC562" s="134">
        <f t="shared" si="85"/>
        <v>0</v>
      </c>
      <c r="AD562" s="251"/>
      <c r="AE562" s="1736"/>
      <c r="AF562" s="1737"/>
      <c r="AG562" s="77">
        <f t="shared" si="86"/>
        <v>0</v>
      </c>
      <c r="AH562" s="136">
        <f t="shared" si="87"/>
        <v>0</v>
      </c>
      <c r="AI562" s="251"/>
      <c r="AJ562" s="1736"/>
      <c r="AK562" s="1737"/>
      <c r="AL562" s="79">
        <f t="shared" si="88"/>
        <v>0</v>
      </c>
      <c r="AM562" s="137">
        <f t="shared" si="89"/>
        <v>0</v>
      </c>
      <c r="AN562" s="251"/>
      <c r="AO562" s="1736"/>
      <c r="AP562" s="1737"/>
    </row>
    <row r="563" spans="1:42" s="85" customFormat="1" ht="13.5" thickBot="1">
      <c r="A563" s="240"/>
      <c r="B563" s="241"/>
      <c r="C563" s="242"/>
      <c r="D563" s="242"/>
      <c r="E563" s="243"/>
      <c r="F563" s="244"/>
      <c r="G563" s="244"/>
      <c r="H563" s="243"/>
      <c r="I563" s="258"/>
      <c r="J563" s="245"/>
      <c r="K563" s="245"/>
      <c r="L563" s="76">
        <f t="shared" si="80"/>
        <v>0</v>
      </c>
      <c r="M563" s="246"/>
      <c r="N563" s="247"/>
      <c r="O563" s="248"/>
      <c r="P563" s="246"/>
      <c r="Q563" s="249"/>
      <c r="R563" s="250"/>
      <c r="S563" s="259"/>
      <c r="T563" s="260"/>
      <c r="U563" s="250"/>
      <c r="V563" s="78">
        <f t="shared" si="81"/>
        <v>0</v>
      </c>
      <c r="W563" s="261">
        <f t="shared" si="82"/>
        <v>0</v>
      </c>
      <c r="X563" s="133">
        <f t="shared" si="83"/>
        <v>0</v>
      </c>
      <c r="Y563" s="251"/>
      <c r="Z563" s="1736"/>
      <c r="AA563" s="1737"/>
      <c r="AB563" s="77">
        <f t="shared" si="84"/>
        <v>0</v>
      </c>
      <c r="AC563" s="134">
        <f t="shared" si="85"/>
        <v>0</v>
      </c>
      <c r="AD563" s="251"/>
      <c r="AE563" s="1736"/>
      <c r="AF563" s="1737"/>
      <c r="AG563" s="77">
        <f t="shared" si="86"/>
        <v>0</v>
      </c>
      <c r="AH563" s="136">
        <f t="shared" si="87"/>
        <v>0</v>
      </c>
      <c r="AI563" s="251"/>
      <c r="AJ563" s="1736"/>
      <c r="AK563" s="1737"/>
      <c r="AL563" s="79">
        <f t="shared" si="88"/>
        <v>0</v>
      </c>
      <c r="AM563" s="137">
        <f t="shared" si="89"/>
        <v>0</v>
      </c>
      <c r="AN563" s="251"/>
      <c r="AO563" s="1736"/>
      <c r="AP563" s="1737"/>
    </row>
    <row r="564" spans="1:42" s="85" customFormat="1" ht="13.5" thickBot="1">
      <c r="A564" s="240"/>
      <c r="B564" s="241"/>
      <c r="C564" s="242"/>
      <c r="D564" s="242"/>
      <c r="E564" s="243"/>
      <c r="F564" s="244"/>
      <c r="G564" s="244"/>
      <c r="H564" s="243"/>
      <c r="I564" s="258"/>
      <c r="J564" s="245"/>
      <c r="K564" s="245"/>
      <c r="L564" s="76">
        <f t="shared" si="80"/>
        <v>0</v>
      </c>
      <c r="M564" s="246"/>
      <c r="N564" s="247"/>
      <c r="O564" s="248"/>
      <c r="P564" s="246"/>
      <c r="Q564" s="249"/>
      <c r="R564" s="250"/>
      <c r="S564" s="259"/>
      <c r="T564" s="260"/>
      <c r="U564" s="250"/>
      <c r="V564" s="78">
        <f t="shared" si="81"/>
        <v>0</v>
      </c>
      <c r="W564" s="261">
        <f t="shared" si="82"/>
        <v>0</v>
      </c>
      <c r="X564" s="133">
        <f t="shared" si="83"/>
        <v>0</v>
      </c>
      <c r="Y564" s="251"/>
      <c r="Z564" s="1736"/>
      <c r="AA564" s="1737"/>
      <c r="AB564" s="77">
        <f t="shared" si="84"/>
        <v>0</v>
      </c>
      <c r="AC564" s="134">
        <f t="shared" si="85"/>
        <v>0</v>
      </c>
      <c r="AD564" s="251"/>
      <c r="AE564" s="1736"/>
      <c r="AF564" s="1737"/>
      <c r="AG564" s="77">
        <f t="shared" si="86"/>
        <v>0</v>
      </c>
      <c r="AH564" s="136">
        <f t="shared" si="87"/>
        <v>0</v>
      </c>
      <c r="AI564" s="251"/>
      <c r="AJ564" s="1736"/>
      <c r="AK564" s="1737"/>
      <c r="AL564" s="79">
        <f t="shared" si="88"/>
        <v>0</v>
      </c>
      <c r="AM564" s="137">
        <f t="shared" si="89"/>
        <v>0</v>
      </c>
      <c r="AN564" s="251"/>
      <c r="AO564" s="1736"/>
      <c r="AP564" s="1737"/>
    </row>
    <row r="565" spans="1:42" s="85" customFormat="1" ht="13.5" thickBot="1">
      <c r="A565" s="240"/>
      <c r="B565" s="241"/>
      <c r="C565" s="242"/>
      <c r="D565" s="242"/>
      <c r="E565" s="243"/>
      <c r="F565" s="244"/>
      <c r="G565" s="244"/>
      <c r="H565" s="243"/>
      <c r="I565" s="258"/>
      <c r="J565" s="245"/>
      <c r="K565" s="245"/>
      <c r="L565" s="76">
        <f t="shared" si="80"/>
        <v>0</v>
      </c>
      <c r="M565" s="246"/>
      <c r="N565" s="247"/>
      <c r="O565" s="248"/>
      <c r="P565" s="246"/>
      <c r="Q565" s="249"/>
      <c r="R565" s="250"/>
      <c r="S565" s="259"/>
      <c r="T565" s="260"/>
      <c r="U565" s="250"/>
      <c r="V565" s="78">
        <f t="shared" si="81"/>
        <v>0</v>
      </c>
      <c r="W565" s="261">
        <f t="shared" si="82"/>
        <v>0</v>
      </c>
      <c r="X565" s="133">
        <f t="shared" si="83"/>
        <v>0</v>
      </c>
      <c r="Y565" s="251"/>
      <c r="Z565" s="1736"/>
      <c r="AA565" s="1737"/>
      <c r="AB565" s="77">
        <f t="shared" si="84"/>
        <v>0</v>
      </c>
      <c r="AC565" s="134">
        <f t="shared" si="85"/>
        <v>0</v>
      </c>
      <c r="AD565" s="251"/>
      <c r="AE565" s="1736"/>
      <c r="AF565" s="1737"/>
      <c r="AG565" s="77">
        <f t="shared" si="86"/>
        <v>0</v>
      </c>
      <c r="AH565" s="136">
        <f t="shared" si="87"/>
        <v>0</v>
      </c>
      <c r="AI565" s="251"/>
      <c r="AJ565" s="1736"/>
      <c r="AK565" s="1737"/>
      <c r="AL565" s="79">
        <f t="shared" si="88"/>
        <v>0</v>
      </c>
      <c r="AM565" s="137">
        <f t="shared" si="89"/>
        <v>0</v>
      </c>
      <c r="AN565" s="251"/>
      <c r="AO565" s="1736"/>
      <c r="AP565" s="1737"/>
    </row>
    <row r="566" spans="1:42" s="85" customFormat="1" ht="13.5" thickBot="1">
      <c r="A566" s="240"/>
      <c r="B566" s="241"/>
      <c r="C566" s="242"/>
      <c r="D566" s="242"/>
      <c r="E566" s="243"/>
      <c r="F566" s="244"/>
      <c r="G566" s="244"/>
      <c r="H566" s="243"/>
      <c r="I566" s="258"/>
      <c r="J566" s="245"/>
      <c r="K566" s="245"/>
      <c r="L566" s="76">
        <f t="shared" si="80"/>
        <v>0</v>
      </c>
      <c r="M566" s="246"/>
      <c r="N566" s="247"/>
      <c r="O566" s="248"/>
      <c r="P566" s="246"/>
      <c r="Q566" s="249"/>
      <c r="R566" s="250"/>
      <c r="S566" s="259"/>
      <c r="T566" s="260"/>
      <c r="U566" s="250"/>
      <c r="V566" s="78">
        <f t="shared" si="81"/>
        <v>0</v>
      </c>
      <c r="W566" s="261">
        <f t="shared" si="82"/>
        <v>0</v>
      </c>
      <c r="X566" s="133">
        <f t="shared" si="83"/>
        <v>0</v>
      </c>
      <c r="Y566" s="251"/>
      <c r="Z566" s="1736"/>
      <c r="AA566" s="1737"/>
      <c r="AB566" s="77">
        <f t="shared" si="84"/>
        <v>0</v>
      </c>
      <c r="AC566" s="134">
        <f t="shared" si="85"/>
        <v>0</v>
      </c>
      <c r="AD566" s="251"/>
      <c r="AE566" s="1736"/>
      <c r="AF566" s="1737"/>
      <c r="AG566" s="77">
        <f t="shared" si="86"/>
        <v>0</v>
      </c>
      <c r="AH566" s="136">
        <f t="shared" si="87"/>
        <v>0</v>
      </c>
      <c r="AI566" s="251"/>
      <c r="AJ566" s="1736"/>
      <c r="AK566" s="1737"/>
      <c r="AL566" s="79">
        <f t="shared" si="88"/>
        <v>0</v>
      </c>
      <c r="AM566" s="137">
        <f t="shared" si="89"/>
        <v>0</v>
      </c>
      <c r="AN566" s="251"/>
      <c r="AO566" s="1736"/>
      <c r="AP566" s="1737"/>
    </row>
    <row r="567" spans="1:42" s="85" customFormat="1" ht="13.5" thickBot="1">
      <c r="A567" s="240"/>
      <c r="B567" s="241"/>
      <c r="C567" s="242"/>
      <c r="D567" s="242"/>
      <c r="E567" s="243"/>
      <c r="F567" s="244"/>
      <c r="G567" s="244"/>
      <c r="H567" s="243"/>
      <c r="I567" s="258"/>
      <c r="J567" s="245"/>
      <c r="K567" s="245"/>
      <c r="L567" s="76">
        <f t="shared" si="80"/>
        <v>0</v>
      </c>
      <c r="M567" s="246"/>
      <c r="N567" s="247"/>
      <c r="O567" s="248"/>
      <c r="P567" s="246"/>
      <c r="Q567" s="249"/>
      <c r="R567" s="250"/>
      <c r="S567" s="259"/>
      <c r="T567" s="260"/>
      <c r="U567" s="250"/>
      <c r="V567" s="78">
        <f t="shared" si="81"/>
        <v>0</v>
      </c>
      <c r="W567" s="261">
        <f t="shared" si="82"/>
        <v>0</v>
      </c>
      <c r="X567" s="133">
        <f t="shared" si="83"/>
        <v>0</v>
      </c>
      <c r="Y567" s="251"/>
      <c r="Z567" s="1736"/>
      <c r="AA567" s="1737"/>
      <c r="AB567" s="77">
        <f t="shared" si="84"/>
        <v>0</v>
      </c>
      <c r="AC567" s="134">
        <f t="shared" si="85"/>
        <v>0</v>
      </c>
      <c r="AD567" s="251"/>
      <c r="AE567" s="1736"/>
      <c r="AF567" s="1737"/>
      <c r="AG567" s="77">
        <f t="shared" si="86"/>
        <v>0</v>
      </c>
      <c r="AH567" s="136">
        <f t="shared" si="87"/>
        <v>0</v>
      </c>
      <c r="AI567" s="251"/>
      <c r="AJ567" s="1736"/>
      <c r="AK567" s="1737"/>
      <c r="AL567" s="79">
        <f t="shared" si="88"/>
        <v>0</v>
      </c>
      <c r="AM567" s="137">
        <f t="shared" si="89"/>
        <v>0</v>
      </c>
      <c r="AN567" s="251"/>
      <c r="AO567" s="1736"/>
      <c r="AP567" s="1737"/>
    </row>
    <row r="568" spans="1:42" s="85" customFormat="1" ht="13.5" thickBot="1">
      <c r="A568" s="240"/>
      <c r="B568" s="241"/>
      <c r="C568" s="242"/>
      <c r="D568" s="242"/>
      <c r="E568" s="243"/>
      <c r="F568" s="244"/>
      <c r="G568" s="244"/>
      <c r="H568" s="243"/>
      <c r="I568" s="258"/>
      <c r="J568" s="245"/>
      <c r="K568" s="245"/>
      <c r="L568" s="76">
        <f t="shared" si="80"/>
        <v>0</v>
      </c>
      <c r="M568" s="246"/>
      <c r="N568" s="247"/>
      <c r="O568" s="248"/>
      <c r="P568" s="246"/>
      <c r="Q568" s="249"/>
      <c r="R568" s="250"/>
      <c r="S568" s="259"/>
      <c r="T568" s="260"/>
      <c r="U568" s="250"/>
      <c r="V568" s="78">
        <f t="shared" si="81"/>
        <v>0</v>
      </c>
      <c r="W568" s="261">
        <f t="shared" si="82"/>
        <v>0</v>
      </c>
      <c r="X568" s="133">
        <f t="shared" si="83"/>
        <v>0</v>
      </c>
      <c r="Y568" s="251"/>
      <c r="Z568" s="1736"/>
      <c r="AA568" s="1737"/>
      <c r="AB568" s="77">
        <f t="shared" si="84"/>
        <v>0</v>
      </c>
      <c r="AC568" s="134">
        <f t="shared" si="85"/>
        <v>0</v>
      </c>
      <c r="AD568" s="251"/>
      <c r="AE568" s="1736"/>
      <c r="AF568" s="1737"/>
      <c r="AG568" s="77">
        <f t="shared" si="86"/>
        <v>0</v>
      </c>
      <c r="AH568" s="136">
        <f t="shared" si="87"/>
        <v>0</v>
      </c>
      <c r="AI568" s="251"/>
      <c r="AJ568" s="1736"/>
      <c r="AK568" s="1737"/>
      <c r="AL568" s="79">
        <f t="shared" si="88"/>
        <v>0</v>
      </c>
      <c r="AM568" s="137">
        <f t="shared" si="89"/>
        <v>0</v>
      </c>
      <c r="AN568" s="251"/>
      <c r="AO568" s="1736"/>
      <c r="AP568" s="1737"/>
    </row>
    <row r="569" spans="1:42" s="85" customFormat="1" ht="13.5" thickBot="1">
      <c r="A569" s="240"/>
      <c r="B569" s="241"/>
      <c r="C569" s="242"/>
      <c r="D569" s="242"/>
      <c r="E569" s="243"/>
      <c r="F569" s="244"/>
      <c r="G569" s="244"/>
      <c r="H569" s="243"/>
      <c r="I569" s="258"/>
      <c r="J569" s="245"/>
      <c r="K569" s="245"/>
      <c r="L569" s="76">
        <f t="shared" si="80"/>
        <v>0</v>
      </c>
      <c r="M569" s="246"/>
      <c r="N569" s="247"/>
      <c r="O569" s="248"/>
      <c r="P569" s="246"/>
      <c r="Q569" s="249"/>
      <c r="R569" s="250"/>
      <c r="S569" s="259"/>
      <c r="T569" s="260"/>
      <c r="U569" s="250"/>
      <c r="V569" s="78">
        <f t="shared" si="81"/>
        <v>0</v>
      </c>
      <c r="W569" s="261">
        <f t="shared" si="82"/>
        <v>0</v>
      </c>
      <c r="X569" s="133">
        <f t="shared" si="83"/>
        <v>0</v>
      </c>
      <c r="Y569" s="251"/>
      <c r="Z569" s="1736"/>
      <c r="AA569" s="1737"/>
      <c r="AB569" s="77">
        <f t="shared" si="84"/>
        <v>0</v>
      </c>
      <c r="AC569" s="134">
        <f t="shared" si="85"/>
        <v>0</v>
      </c>
      <c r="AD569" s="251"/>
      <c r="AE569" s="1736"/>
      <c r="AF569" s="1737"/>
      <c r="AG569" s="77">
        <f t="shared" si="86"/>
        <v>0</v>
      </c>
      <c r="AH569" s="136">
        <f t="shared" si="87"/>
        <v>0</v>
      </c>
      <c r="AI569" s="251"/>
      <c r="AJ569" s="1736"/>
      <c r="AK569" s="1737"/>
      <c r="AL569" s="79">
        <f t="shared" si="88"/>
        <v>0</v>
      </c>
      <c r="AM569" s="137">
        <f t="shared" si="89"/>
        <v>0</v>
      </c>
      <c r="AN569" s="251"/>
      <c r="AO569" s="1736"/>
      <c r="AP569" s="1737"/>
    </row>
    <row r="570" spans="1:42" s="85" customFormat="1" ht="13.5" thickBot="1">
      <c r="A570" s="240"/>
      <c r="B570" s="241"/>
      <c r="C570" s="242"/>
      <c r="D570" s="242"/>
      <c r="E570" s="243"/>
      <c r="F570" s="244"/>
      <c r="G570" s="244"/>
      <c r="H570" s="243"/>
      <c r="I570" s="258"/>
      <c r="J570" s="245"/>
      <c r="K570" s="245"/>
      <c r="L570" s="76">
        <f t="shared" si="80"/>
        <v>0</v>
      </c>
      <c r="M570" s="246"/>
      <c r="N570" s="247"/>
      <c r="O570" s="248"/>
      <c r="P570" s="246"/>
      <c r="Q570" s="249"/>
      <c r="R570" s="250"/>
      <c r="S570" s="259"/>
      <c r="T570" s="260"/>
      <c r="U570" s="250"/>
      <c r="V570" s="78">
        <f t="shared" si="81"/>
        <v>0</v>
      </c>
      <c r="W570" s="261">
        <f t="shared" si="82"/>
        <v>0</v>
      </c>
      <c r="X570" s="133">
        <f t="shared" si="83"/>
        <v>0</v>
      </c>
      <c r="Y570" s="251"/>
      <c r="Z570" s="1736"/>
      <c r="AA570" s="1737"/>
      <c r="AB570" s="77">
        <f t="shared" si="84"/>
        <v>0</v>
      </c>
      <c r="AC570" s="134">
        <f t="shared" si="85"/>
        <v>0</v>
      </c>
      <c r="AD570" s="251"/>
      <c r="AE570" s="1736"/>
      <c r="AF570" s="1737"/>
      <c r="AG570" s="77">
        <f t="shared" si="86"/>
        <v>0</v>
      </c>
      <c r="AH570" s="136">
        <f t="shared" si="87"/>
        <v>0</v>
      </c>
      <c r="AI570" s="251"/>
      <c r="AJ570" s="1736"/>
      <c r="AK570" s="1737"/>
      <c r="AL570" s="79">
        <f t="shared" si="88"/>
        <v>0</v>
      </c>
      <c r="AM570" s="137">
        <f t="shared" si="89"/>
        <v>0</v>
      </c>
      <c r="AN570" s="251"/>
      <c r="AO570" s="1736"/>
      <c r="AP570" s="1737"/>
    </row>
    <row r="571" spans="1:42" s="85" customFormat="1" ht="13.5" thickBot="1">
      <c r="A571" s="240"/>
      <c r="B571" s="241"/>
      <c r="C571" s="242"/>
      <c r="D571" s="242"/>
      <c r="E571" s="243"/>
      <c r="F571" s="244"/>
      <c r="G571" s="244"/>
      <c r="H571" s="243"/>
      <c r="I571" s="258"/>
      <c r="J571" s="245"/>
      <c r="K571" s="245"/>
      <c r="L571" s="76">
        <f t="shared" si="80"/>
        <v>0</v>
      </c>
      <c r="M571" s="246"/>
      <c r="N571" s="247"/>
      <c r="O571" s="248"/>
      <c r="P571" s="246"/>
      <c r="Q571" s="249"/>
      <c r="R571" s="250"/>
      <c r="S571" s="259"/>
      <c r="T571" s="260"/>
      <c r="U571" s="250"/>
      <c r="V571" s="78">
        <f t="shared" si="81"/>
        <v>0</v>
      </c>
      <c r="W571" s="261">
        <f t="shared" si="82"/>
        <v>0</v>
      </c>
      <c r="X571" s="133">
        <f t="shared" si="83"/>
        <v>0</v>
      </c>
      <c r="Y571" s="251"/>
      <c r="Z571" s="1736"/>
      <c r="AA571" s="1737"/>
      <c r="AB571" s="77">
        <f t="shared" si="84"/>
        <v>0</v>
      </c>
      <c r="AC571" s="134">
        <f t="shared" si="85"/>
        <v>0</v>
      </c>
      <c r="AD571" s="251"/>
      <c r="AE571" s="1736"/>
      <c r="AF571" s="1737"/>
      <c r="AG571" s="77">
        <f t="shared" si="86"/>
        <v>0</v>
      </c>
      <c r="AH571" s="136">
        <f t="shared" si="87"/>
        <v>0</v>
      </c>
      <c r="AI571" s="251"/>
      <c r="AJ571" s="1736"/>
      <c r="AK571" s="1737"/>
      <c r="AL571" s="79">
        <f t="shared" si="88"/>
        <v>0</v>
      </c>
      <c r="AM571" s="137">
        <f t="shared" si="89"/>
        <v>0</v>
      </c>
      <c r="AN571" s="251"/>
      <c r="AO571" s="1736"/>
      <c r="AP571" s="1737"/>
    </row>
    <row r="572" spans="1:42" s="85" customFormat="1" ht="13.5" thickBot="1">
      <c r="A572" s="240"/>
      <c r="B572" s="241"/>
      <c r="C572" s="242"/>
      <c r="D572" s="242"/>
      <c r="E572" s="243"/>
      <c r="F572" s="244"/>
      <c r="G572" s="244"/>
      <c r="H572" s="243"/>
      <c r="I572" s="258"/>
      <c r="J572" s="245"/>
      <c r="K572" s="245"/>
      <c r="L572" s="76">
        <f t="shared" si="80"/>
        <v>0</v>
      </c>
      <c r="M572" s="246"/>
      <c r="N572" s="247"/>
      <c r="O572" s="248"/>
      <c r="P572" s="246"/>
      <c r="Q572" s="249"/>
      <c r="R572" s="250"/>
      <c r="S572" s="259"/>
      <c r="T572" s="260"/>
      <c r="U572" s="250"/>
      <c r="V572" s="78">
        <f t="shared" si="81"/>
        <v>0</v>
      </c>
      <c r="W572" s="261">
        <f t="shared" si="82"/>
        <v>0</v>
      </c>
      <c r="X572" s="133">
        <f t="shared" si="83"/>
        <v>0</v>
      </c>
      <c r="Y572" s="251"/>
      <c r="Z572" s="1736"/>
      <c r="AA572" s="1737"/>
      <c r="AB572" s="77">
        <f t="shared" si="84"/>
        <v>0</v>
      </c>
      <c r="AC572" s="134">
        <f t="shared" si="85"/>
        <v>0</v>
      </c>
      <c r="AD572" s="251"/>
      <c r="AE572" s="1736"/>
      <c r="AF572" s="1737"/>
      <c r="AG572" s="77">
        <f t="shared" si="86"/>
        <v>0</v>
      </c>
      <c r="AH572" s="136">
        <f t="shared" si="87"/>
        <v>0</v>
      </c>
      <c r="AI572" s="251"/>
      <c r="AJ572" s="1736"/>
      <c r="AK572" s="1737"/>
      <c r="AL572" s="79">
        <f t="shared" si="88"/>
        <v>0</v>
      </c>
      <c r="AM572" s="137">
        <f t="shared" si="89"/>
        <v>0</v>
      </c>
      <c r="AN572" s="251"/>
      <c r="AO572" s="1736"/>
      <c r="AP572" s="1737"/>
    </row>
    <row r="573" spans="1:42" s="85" customFormat="1" ht="13.5" thickBot="1">
      <c r="A573" s="240"/>
      <c r="B573" s="241"/>
      <c r="C573" s="242"/>
      <c r="D573" s="242"/>
      <c r="E573" s="243"/>
      <c r="F573" s="244"/>
      <c r="G573" s="244"/>
      <c r="H573" s="243"/>
      <c r="I573" s="258"/>
      <c r="J573" s="245"/>
      <c r="K573" s="245"/>
      <c r="L573" s="76">
        <f t="shared" si="80"/>
        <v>0</v>
      </c>
      <c r="M573" s="246"/>
      <c r="N573" s="247"/>
      <c r="O573" s="248"/>
      <c r="P573" s="246"/>
      <c r="Q573" s="249"/>
      <c r="R573" s="250"/>
      <c r="S573" s="259"/>
      <c r="T573" s="260"/>
      <c r="U573" s="250"/>
      <c r="V573" s="78">
        <f t="shared" si="81"/>
        <v>0</v>
      </c>
      <c r="W573" s="261">
        <f t="shared" si="82"/>
        <v>0</v>
      </c>
      <c r="X573" s="133">
        <f t="shared" si="83"/>
        <v>0</v>
      </c>
      <c r="Y573" s="251"/>
      <c r="Z573" s="1736"/>
      <c r="AA573" s="1737"/>
      <c r="AB573" s="77">
        <f t="shared" si="84"/>
        <v>0</v>
      </c>
      <c r="AC573" s="134">
        <f t="shared" si="85"/>
        <v>0</v>
      </c>
      <c r="AD573" s="251"/>
      <c r="AE573" s="1736"/>
      <c r="AF573" s="1737"/>
      <c r="AG573" s="77">
        <f t="shared" si="86"/>
        <v>0</v>
      </c>
      <c r="AH573" s="136">
        <f t="shared" si="87"/>
        <v>0</v>
      </c>
      <c r="AI573" s="251"/>
      <c r="AJ573" s="1736"/>
      <c r="AK573" s="1737"/>
      <c r="AL573" s="79">
        <f t="shared" si="88"/>
        <v>0</v>
      </c>
      <c r="AM573" s="137">
        <f t="shared" si="89"/>
        <v>0</v>
      </c>
      <c r="AN573" s="251"/>
      <c r="AO573" s="1736"/>
      <c r="AP573" s="1737"/>
    </row>
    <row r="574" spans="1:42" s="85" customFormat="1" ht="13.5" thickBot="1">
      <c r="A574" s="240"/>
      <c r="B574" s="241"/>
      <c r="C574" s="242"/>
      <c r="D574" s="242"/>
      <c r="E574" s="243"/>
      <c r="F574" s="244"/>
      <c r="G574" s="244"/>
      <c r="H574" s="243"/>
      <c r="I574" s="258"/>
      <c r="J574" s="245"/>
      <c r="K574" s="245"/>
      <c r="L574" s="76">
        <f t="shared" si="80"/>
        <v>0</v>
      </c>
      <c r="M574" s="246"/>
      <c r="N574" s="247"/>
      <c r="O574" s="248"/>
      <c r="P574" s="246"/>
      <c r="Q574" s="249"/>
      <c r="R574" s="250"/>
      <c r="S574" s="259"/>
      <c r="T574" s="260"/>
      <c r="U574" s="250"/>
      <c r="V574" s="78">
        <f t="shared" si="81"/>
        <v>0</v>
      </c>
      <c r="W574" s="261">
        <f t="shared" si="82"/>
        <v>0</v>
      </c>
      <c r="X574" s="133">
        <f t="shared" si="83"/>
        <v>0</v>
      </c>
      <c r="Y574" s="251"/>
      <c r="Z574" s="1736"/>
      <c r="AA574" s="1737"/>
      <c r="AB574" s="77">
        <f t="shared" si="84"/>
        <v>0</v>
      </c>
      <c r="AC574" s="134">
        <f t="shared" si="85"/>
        <v>0</v>
      </c>
      <c r="AD574" s="251"/>
      <c r="AE574" s="1736"/>
      <c r="AF574" s="1737"/>
      <c r="AG574" s="77">
        <f t="shared" si="86"/>
        <v>0</v>
      </c>
      <c r="AH574" s="136">
        <f t="shared" si="87"/>
        <v>0</v>
      </c>
      <c r="AI574" s="251"/>
      <c r="AJ574" s="1736"/>
      <c r="AK574" s="1737"/>
      <c r="AL574" s="79">
        <f t="shared" si="88"/>
        <v>0</v>
      </c>
      <c r="AM574" s="137">
        <f t="shared" si="89"/>
        <v>0</v>
      </c>
      <c r="AN574" s="251"/>
      <c r="AO574" s="1736"/>
      <c r="AP574" s="1737"/>
    </row>
    <row r="575" spans="1:42" s="85" customFormat="1" ht="13.5" thickBot="1">
      <c r="A575" s="240"/>
      <c r="B575" s="241"/>
      <c r="C575" s="242"/>
      <c r="D575" s="242"/>
      <c r="E575" s="243"/>
      <c r="F575" s="244"/>
      <c r="G575" s="244"/>
      <c r="H575" s="243"/>
      <c r="I575" s="258"/>
      <c r="J575" s="245"/>
      <c r="K575" s="245"/>
      <c r="L575" s="76">
        <f t="shared" si="80"/>
        <v>0</v>
      </c>
      <c r="M575" s="246"/>
      <c r="N575" s="247"/>
      <c r="O575" s="248"/>
      <c r="P575" s="246"/>
      <c r="Q575" s="249"/>
      <c r="R575" s="250"/>
      <c r="S575" s="259"/>
      <c r="T575" s="260"/>
      <c r="U575" s="250"/>
      <c r="V575" s="78">
        <f t="shared" si="81"/>
        <v>0</v>
      </c>
      <c r="W575" s="261">
        <f t="shared" si="82"/>
        <v>0</v>
      </c>
      <c r="X575" s="133">
        <f t="shared" si="83"/>
        <v>0</v>
      </c>
      <c r="Y575" s="251"/>
      <c r="Z575" s="1736"/>
      <c r="AA575" s="1737"/>
      <c r="AB575" s="77">
        <f t="shared" si="84"/>
        <v>0</v>
      </c>
      <c r="AC575" s="134">
        <f t="shared" si="85"/>
        <v>0</v>
      </c>
      <c r="AD575" s="251"/>
      <c r="AE575" s="1736"/>
      <c r="AF575" s="1737"/>
      <c r="AG575" s="77">
        <f t="shared" si="86"/>
        <v>0</v>
      </c>
      <c r="AH575" s="136">
        <f t="shared" si="87"/>
        <v>0</v>
      </c>
      <c r="AI575" s="251"/>
      <c r="AJ575" s="1736"/>
      <c r="AK575" s="1737"/>
      <c r="AL575" s="79">
        <f t="shared" si="88"/>
        <v>0</v>
      </c>
      <c r="AM575" s="137">
        <f t="shared" si="89"/>
        <v>0</v>
      </c>
      <c r="AN575" s="251"/>
      <c r="AO575" s="1736"/>
      <c r="AP575" s="1737"/>
    </row>
    <row r="576" spans="1:42" s="85" customFormat="1" ht="13.5" thickBot="1">
      <c r="A576" s="240"/>
      <c r="B576" s="241"/>
      <c r="C576" s="242"/>
      <c r="D576" s="242"/>
      <c r="E576" s="243"/>
      <c r="F576" s="244"/>
      <c r="G576" s="244"/>
      <c r="H576" s="243"/>
      <c r="I576" s="258"/>
      <c r="J576" s="245"/>
      <c r="K576" s="245"/>
      <c r="L576" s="76">
        <f t="shared" si="80"/>
        <v>0</v>
      </c>
      <c r="M576" s="246"/>
      <c r="N576" s="247"/>
      <c r="O576" s="248"/>
      <c r="P576" s="246"/>
      <c r="Q576" s="249"/>
      <c r="R576" s="250"/>
      <c r="S576" s="259"/>
      <c r="T576" s="260"/>
      <c r="U576" s="250"/>
      <c r="V576" s="78">
        <f t="shared" si="81"/>
        <v>0</v>
      </c>
      <c r="W576" s="261">
        <f t="shared" si="82"/>
        <v>0</v>
      </c>
      <c r="X576" s="133">
        <f t="shared" si="83"/>
        <v>0</v>
      </c>
      <c r="Y576" s="251"/>
      <c r="Z576" s="1736"/>
      <c r="AA576" s="1737"/>
      <c r="AB576" s="77">
        <f t="shared" si="84"/>
        <v>0</v>
      </c>
      <c r="AC576" s="134">
        <f t="shared" si="85"/>
        <v>0</v>
      </c>
      <c r="AD576" s="251"/>
      <c r="AE576" s="1736"/>
      <c r="AF576" s="1737"/>
      <c r="AG576" s="77">
        <f t="shared" si="86"/>
        <v>0</v>
      </c>
      <c r="AH576" s="136">
        <f t="shared" si="87"/>
        <v>0</v>
      </c>
      <c r="AI576" s="251"/>
      <c r="AJ576" s="1736"/>
      <c r="AK576" s="1737"/>
      <c r="AL576" s="79">
        <f t="shared" si="88"/>
        <v>0</v>
      </c>
      <c r="AM576" s="137">
        <f t="shared" si="89"/>
        <v>0</v>
      </c>
      <c r="AN576" s="251"/>
      <c r="AO576" s="1736"/>
      <c r="AP576" s="1737"/>
    </row>
    <row r="577" spans="1:42" s="85" customFormat="1" ht="13.5" thickBot="1">
      <c r="A577" s="240"/>
      <c r="B577" s="241"/>
      <c r="C577" s="242"/>
      <c r="D577" s="242"/>
      <c r="E577" s="243"/>
      <c r="F577" s="244"/>
      <c r="G577" s="244"/>
      <c r="H577" s="243"/>
      <c r="I577" s="258"/>
      <c r="J577" s="245"/>
      <c r="K577" s="245"/>
      <c r="L577" s="76">
        <f t="shared" si="80"/>
        <v>0</v>
      </c>
      <c r="M577" s="246"/>
      <c r="N577" s="247"/>
      <c r="O577" s="248"/>
      <c r="P577" s="246"/>
      <c r="Q577" s="249"/>
      <c r="R577" s="250"/>
      <c r="S577" s="259"/>
      <c r="T577" s="260"/>
      <c r="U577" s="250"/>
      <c r="V577" s="78">
        <f t="shared" si="81"/>
        <v>0</v>
      </c>
      <c r="W577" s="261">
        <f t="shared" si="82"/>
        <v>0</v>
      </c>
      <c r="X577" s="133">
        <f t="shared" si="83"/>
        <v>0</v>
      </c>
      <c r="Y577" s="251"/>
      <c r="Z577" s="1736"/>
      <c r="AA577" s="1737"/>
      <c r="AB577" s="77">
        <f t="shared" si="84"/>
        <v>0</v>
      </c>
      <c r="AC577" s="134">
        <f t="shared" si="85"/>
        <v>0</v>
      </c>
      <c r="AD577" s="251"/>
      <c r="AE577" s="1736"/>
      <c r="AF577" s="1737"/>
      <c r="AG577" s="77">
        <f t="shared" si="86"/>
        <v>0</v>
      </c>
      <c r="AH577" s="136">
        <f t="shared" si="87"/>
        <v>0</v>
      </c>
      <c r="AI577" s="251"/>
      <c r="AJ577" s="1736"/>
      <c r="AK577" s="1737"/>
      <c r="AL577" s="79">
        <f t="shared" si="88"/>
        <v>0</v>
      </c>
      <c r="AM577" s="137">
        <f t="shared" si="89"/>
        <v>0</v>
      </c>
      <c r="AN577" s="251"/>
      <c r="AO577" s="1736"/>
      <c r="AP577" s="1737"/>
    </row>
    <row r="578" spans="1:42" s="85" customFormat="1" ht="13.5" thickBot="1">
      <c r="A578" s="240"/>
      <c r="B578" s="241"/>
      <c r="C578" s="242"/>
      <c r="D578" s="242"/>
      <c r="E578" s="243"/>
      <c r="F578" s="244"/>
      <c r="G578" s="244"/>
      <c r="H578" s="243"/>
      <c r="I578" s="258"/>
      <c r="J578" s="245"/>
      <c r="K578" s="245"/>
      <c r="L578" s="76">
        <f t="shared" si="80"/>
        <v>0</v>
      </c>
      <c r="M578" s="246"/>
      <c r="N578" s="247"/>
      <c r="O578" s="248"/>
      <c r="P578" s="246"/>
      <c r="Q578" s="249"/>
      <c r="R578" s="250"/>
      <c r="S578" s="259"/>
      <c r="T578" s="260"/>
      <c r="U578" s="250"/>
      <c r="V578" s="78">
        <f t="shared" si="81"/>
        <v>0</v>
      </c>
      <c r="W578" s="261">
        <f t="shared" si="82"/>
        <v>0</v>
      </c>
      <c r="X578" s="133">
        <f t="shared" si="83"/>
        <v>0</v>
      </c>
      <c r="Y578" s="251"/>
      <c r="Z578" s="1736"/>
      <c r="AA578" s="1737"/>
      <c r="AB578" s="77">
        <f t="shared" si="84"/>
        <v>0</v>
      </c>
      <c r="AC578" s="134">
        <f t="shared" si="85"/>
        <v>0</v>
      </c>
      <c r="AD578" s="251"/>
      <c r="AE578" s="1736"/>
      <c r="AF578" s="1737"/>
      <c r="AG578" s="77">
        <f t="shared" si="86"/>
        <v>0</v>
      </c>
      <c r="AH578" s="136">
        <f t="shared" si="87"/>
        <v>0</v>
      </c>
      <c r="AI578" s="251"/>
      <c r="AJ578" s="1736"/>
      <c r="AK578" s="1737"/>
      <c r="AL578" s="79">
        <f t="shared" si="88"/>
        <v>0</v>
      </c>
      <c r="AM578" s="137">
        <f t="shared" si="89"/>
        <v>0</v>
      </c>
      <c r="AN578" s="251"/>
      <c r="AO578" s="1736"/>
      <c r="AP578" s="1737"/>
    </row>
    <row r="579" spans="1:42" s="85" customFormat="1" ht="13.5" thickBot="1">
      <c r="A579" s="240"/>
      <c r="B579" s="241"/>
      <c r="C579" s="242"/>
      <c r="D579" s="242"/>
      <c r="E579" s="243"/>
      <c r="F579" s="244"/>
      <c r="G579" s="244"/>
      <c r="H579" s="243"/>
      <c r="I579" s="258"/>
      <c r="J579" s="245"/>
      <c r="K579" s="245"/>
      <c r="L579" s="76">
        <f t="shared" si="80"/>
        <v>0</v>
      </c>
      <c r="M579" s="246"/>
      <c r="N579" s="247"/>
      <c r="O579" s="248"/>
      <c r="P579" s="246"/>
      <c r="Q579" s="249"/>
      <c r="R579" s="250"/>
      <c r="S579" s="259"/>
      <c r="T579" s="260"/>
      <c r="U579" s="250"/>
      <c r="V579" s="78">
        <f t="shared" si="81"/>
        <v>0</v>
      </c>
      <c r="W579" s="261">
        <f t="shared" si="82"/>
        <v>0</v>
      </c>
      <c r="X579" s="133">
        <f t="shared" si="83"/>
        <v>0</v>
      </c>
      <c r="Y579" s="251"/>
      <c r="Z579" s="1736"/>
      <c r="AA579" s="1737"/>
      <c r="AB579" s="77">
        <f t="shared" si="84"/>
        <v>0</v>
      </c>
      <c r="AC579" s="134">
        <f t="shared" si="85"/>
        <v>0</v>
      </c>
      <c r="AD579" s="251"/>
      <c r="AE579" s="1736"/>
      <c r="AF579" s="1737"/>
      <c r="AG579" s="77">
        <f t="shared" si="86"/>
        <v>0</v>
      </c>
      <c r="AH579" s="136">
        <f t="shared" si="87"/>
        <v>0</v>
      </c>
      <c r="AI579" s="251"/>
      <c r="AJ579" s="1736"/>
      <c r="AK579" s="1737"/>
      <c r="AL579" s="79">
        <f t="shared" si="88"/>
        <v>0</v>
      </c>
      <c r="AM579" s="137">
        <f t="shared" si="89"/>
        <v>0</v>
      </c>
      <c r="AN579" s="251"/>
      <c r="AO579" s="1736"/>
      <c r="AP579" s="1737"/>
    </row>
    <row r="580" spans="1:42" s="85" customFormat="1" ht="13.5" thickBot="1">
      <c r="A580" s="240"/>
      <c r="B580" s="241"/>
      <c r="C580" s="242"/>
      <c r="D580" s="242"/>
      <c r="E580" s="243"/>
      <c r="F580" s="244"/>
      <c r="G580" s="244"/>
      <c r="H580" s="243"/>
      <c r="I580" s="258"/>
      <c r="J580" s="245"/>
      <c r="K580" s="245"/>
      <c r="L580" s="76">
        <f t="shared" si="80"/>
        <v>0</v>
      </c>
      <c r="M580" s="246"/>
      <c r="N580" s="247"/>
      <c r="O580" s="248"/>
      <c r="P580" s="246"/>
      <c r="Q580" s="249"/>
      <c r="R580" s="250"/>
      <c r="S580" s="259"/>
      <c r="T580" s="260"/>
      <c r="U580" s="250"/>
      <c r="V580" s="78">
        <f t="shared" si="81"/>
        <v>0</v>
      </c>
      <c r="W580" s="261">
        <f t="shared" si="82"/>
        <v>0</v>
      </c>
      <c r="X580" s="133">
        <f t="shared" si="83"/>
        <v>0</v>
      </c>
      <c r="Y580" s="251"/>
      <c r="Z580" s="1736"/>
      <c r="AA580" s="1737"/>
      <c r="AB580" s="77">
        <f t="shared" si="84"/>
        <v>0</v>
      </c>
      <c r="AC580" s="134">
        <f t="shared" si="85"/>
        <v>0</v>
      </c>
      <c r="AD580" s="251"/>
      <c r="AE580" s="1736"/>
      <c r="AF580" s="1737"/>
      <c r="AG580" s="77">
        <f t="shared" si="86"/>
        <v>0</v>
      </c>
      <c r="AH580" s="136">
        <f t="shared" si="87"/>
        <v>0</v>
      </c>
      <c r="AI580" s="251"/>
      <c r="AJ580" s="1736"/>
      <c r="AK580" s="1737"/>
      <c r="AL580" s="79">
        <f t="shared" si="88"/>
        <v>0</v>
      </c>
      <c r="AM580" s="137">
        <f t="shared" si="89"/>
        <v>0</v>
      </c>
      <c r="AN580" s="251"/>
      <c r="AO580" s="1736"/>
      <c r="AP580" s="1737"/>
    </row>
    <row r="581" spans="1:42" s="85" customFormat="1" ht="13.5" thickBot="1">
      <c r="A581" s="240"/>
      <c r="B581" s="241"/>
      <c r="C581" s="242"/>
      <c r="D581" s="242"/>
      <c r="E581" s="243"/>
      <c r="F581" s="244"/>
      <c r="G581" s="244"/>
      <c r="H581" s="243"/>
      <c r="I581" s="258"/>
      <c r="J581" s="245"/>
      <c r="K581" s="245"/>
      <c r="L581" s="76">
        <f t="shared" si="80"/>
        <v>0</v>
      </c>
      <c r="M581" s="246"/>
      <c r="N581" s="247"/>
      <c r="O581" s="248"/>
      <c r="P581" s="246"/>
      <c r="Q581" s="249"/>
      <c r="R581" s="250"/>
      <c r="S581" s="259"/>
      <c r="T581" s="260"/>
      <c r="U581" s="250"/>
      <c r="V581" s="78">
        <f t="shared" si="81"/>
        <v>0</v>
      </c>
      <c r="W581" s="261">
        <f t="shared" si="82"/>
        <v>0</v>
      </c>
      <c r="X581" s="133">
        <f t="shared" si="83"/>
        <v>0</v>
      </c>
      <c r="Y581" s="251"/>
      <c r="Z581" s="1736"/>
      <c r="AA581" s="1737"/>
      <c r="AB581" s="77">
        <f t="shared" si="84"/>
        <v>0</v>
      </c>
      <c r="AC581" s="134">
        <f t="shared" si="85"/>
        <v>0</v>
      </c>
      <c r="AD581" s="251"/>
      <c r="AE581" s="1736"/>
      <c r="AF581" s="1737"/>
      <c r="AG581" s="77">
        <f t="shared" si="86"/>
        <v>0</v>
      </c>
      <c r="AH581" s="136">
        <f t="shared" si="87"/>
        <v>0</v>
      </c>
      <c r="AI581" s="251"/>
      <c r="AJ581" s="1736"/>
      <c r="AK581" s="1737"/>
      <c r="AL581" s="79">
        <f t="shared" si="88"/>
        <v>0</v>
      </c>
      <c r="AM581" s="137">
        <f t="shared" si="89"/>
        <v>0</v>
      </c>
      <c r="AN581" s="251"/>
      <c r="AO581" s="1736"/>
      <c r="AP581" s="1737"/>
    </row>
    <row r="582" spans="1:42" s="85" customFormat="1" ht="13.5" thickBot="1">
      <c r="A582" s="240"/>
      <c r="B582" s="241"/>
      <c r="C582" s="242"/>
      <c r="D582" s="242"/>
      <c r="E582" s="243"/>
      <c r="F582" s="244"/>
      <c r="G582" s="244"/>
      <c r="H582" s="243"/>
      <c r="I582" s="258"/>
      <c r="J582" s="245"/>
      <c r="K582" s="245"/>
      <c r="L582" s="76">
        <f t="shared" si="80"/>
        <v>0</v>
      </c>
      <c r="M582" s="246"/>
      <c r="N582" s="247"/>
      <c r="O582" s="248"/>
      <c r="P582" s="246"/>
      <c r="Q582" s="249"/>
      <c r="R582" s="250"/>
      <c r="S582" s="259"/>
      <c r="T582" s="260"/>
      <c r="U582" s="250"/>
      <c r="V582" s="78">
        <f t="shared" si="81"/>
        <v>0</v>
      </c>
      <c r="W582" s="261">
        <f t="shared" si="82"/>
        <v>0</v>
      </c>
      <c r="X582" s="133">
        <f t="shared" si="83"/>
        <v>0</v>
      </c>
      <c r="Y582" s="251"/>
      <c r="Z582" s="1736"/>
      <c r="AA582" s="1737"/>
      <c r="AB582" s="77">
        <f t="shared" si="84"/>
        <v>0</v>
      </c>
      <c r="AC582" s="134">
        <f t="shared" si="85"/>
        <v>0</v>
      </c>
      <c r="AD582" s="251"/>
      <c r="AE582" s="1736"/>
      <c r="AF582" s="1737"/>
      <c r="AG582" s="77">
        <f t="shared" si="86"/>
        <v>0</v>
      </c>
      <c r="AH582" s="136">
        <f t="shared" si="87"/>
        <v>0</v>
      </c>
      <c r="AI582" s="251"/>
      <c r="AJ582" s="1736"/>
      <c r="AK582" s="1737"/>
      <c r="AL582" s="79">
        <f t="shared" si="88"/>
        <v>0</v>
      </c>
      <c r="AM582" s="137">
        <f t="shared" si="89"/>
        <v>0</v>
      </c>
      <c r="AN582" s="251"/>
      <c r="AO582" s="1736"/>
      <c r="AP582" s="1737"/>
    </row>
    <row r="583" spans="1:42" s="85" customFormat="1" ht="13.5" thickBot="1">
      <c r="A583" s="240"/>
      <c r="B583" s="241"/>
      <c r="C583" s="242"/>
      <c r="D583" s="242"/>
      <c r="E583" s="243"/>
      <c r="F583" s="244"/>
      <c r="G583" s="244"/>
      <c r="H583" s="243"/>
      <c r="I583" s="258"/>
      <c r="J583" s="245"/>
      <c r="K583" s="245"/>
      <c r="L583" s="76">
        <f t="shared" si="80"/>
        <v>0</v>
      </c>
      <c r="M583" s="246"/>
      <c r="N583" s="247"/>
      <c r="O583" s="248"/>
      <c r="P583" s="246"/>
      <c r="Q583" s="249"/>
      <c r="R583" s="250"/>
      <c r="S583" s="259"/>
      <c r="T583" s="260"/>
      <c r="U583" s="250"/>
      <c r="V583" s="78">
        <f t="shared" si="81"/>
        <v>0</v>
      </c>
      <c r="W583" s="261">
        <f t="shared" si="82"/>
        <v>0</v>
      </c>
      <c r="X583" s="133">
        <f t="shared" si="83"/>
        <v>0</v>
      </c>
      <c r="Y583" s="251"/>
      <c r="Z583" s="1736"/>
      <c r="AA583" s="1737"/>
      <c r="AB583" s="77">
        <f t="shared" si="84"/>
        <v>0</v>
      </c>
      <c r="AC583" s="134">
        <f t="shared" si="85"/>
        <v>0</v>
      </c>
      <c r="AD583" s="251"/>
      <c r="AE583" s="1736"/>
      <c r="AF583" s="1737"/>
      <c r="AG583" s="77">
        <f t="shared" si="86"/>
        <v>0</v>
      </c>
      <c r="AH583" s="136">
        <f t="shared" si="87"/>
        <v>0</v>
      </c>
      <c r="AI583" s="251"/>
      <c r="AJ583" s="1736"/>
      <c r="AK583" s="1737"/>
      <c r="AL583" s="79">
        <f t="shared" si="88"/>
        <v>0</v>
      </c>
      <c r="AM583" s="137">
        <f t="shared" si="89"/>
        <v>0</v>
      </c>
      <c r="AN583" s="251"/>
      <c r="AO583" s="1736"/>
      <c r="AP583" s="1737"/>
    </row>
    <row r="584" spans="1:42" s="85" customFormat="1" ht="13.5" thickBot="1">
      <c r="A584" s="240"/>
      <c r="B584" s="241"/>
      <c r="C584" s="242"/>
      <c r="D584" s="242"/>
      <c r="E584" s="243"/>
      <c r="F584" s="244"/>
      <c r="G584" s="244"/>
      <c r="H584" s="243"/>
      <c r="I584" s="258"/>
      <c r="J584" s="245"/>
      <c r="K584" s="245"/>
      <c r="L584" s="76">
        <f t="shared" si="80"/>
        <v>0</v>
      </c>
      <c r="M584" s="246"/>
      <c r="N584" s="247"/>
      <c r="O584" s="248"/>
      <c r="P584" s="246"/>
      <c r="Q584" s="249"/>
      <c r="R584" s="250"/>
      <c r="S584" s="259"/>
      <c r="T584" s="260"/>
      <c r="U584" s="250"/>
      <c r="V584" s="78">
        <f t="shared" si="81"/>
        <v>0</v>
      </c>
      <c r="W584" s="261">
        <f t="shared" si="82"/>
        <v>0</v>
      </c>
      <c r="X584" s="133">
        <f t="shared" si="83"/>
        <v>0</v>
      </c>
      <c r="Y584" s="251"/>
      <c r="Z584" s="1736"/>
      <c r="AA584" s="1737"/>
      <c r="AB584" s="77">
        <f t="shared" si="84"/>
        <v>0</v>
      </c>
      <c r="AC584" s="134">
        <f t="shared" si="85"/>
        <v>0</v>
      </c>
      <c r="AD584" s="251"/>
      <c r="AE584" s="1736"/>
      <c r="AF584" s="1737"/>
      <c r="AG584" s="77">
        <f t="shared" si="86"/>
        <v>0</v>
      </c>
      <c r="AH584" s="136">
        <f t="shared" si="87"/>
        <v>0</v>
      </c>
      <c r="AI584" s="251"/>
      <c r="AJ584" s="1736"/>
      <c r="AK584" s="1737"/>
      <c r="AL584" s="79">
        <f t="shared" si="88"/>
        <v>0</v>
      </c>
      <c r="AM584" s="137">
        <f t="shared" si="89"/>
        <v>0</v>
      </c>
      <c r="AN584" s="251"/>
      <c r="AO584" s="1736"/>
      <c r="AP584" s="1737"/>
    </row>
    <row r="585" spans="1:42" s="85" customFormat="1" ht="13.5" thickBot="1">
      <c r="A585" s="240"/>
      <c r="B585" s="241"/>
      <c r="C585" s="242"/>
      <c r="D585" s="242"/>
      <c r="E585" s="243"/>
      <c r="F585" s="244"/>
      <c r="G585" s="244"/>
      <c r="H585" s="243"/>
      <c r="I585" s="258"/>
      <c r="J585" s="245"/>
      <c r="K585" s="245"/>
      <c r="L585" s="76">
        <f t="shared" si="80"/>
        <v>0</v>
      </c>
      <c r="M585" s="246"/>
      <c r="N585" s="247"/>
      <c r="O585" s="248"/>
      <c r="P585" s="246"/>
      <c r="Q585" s="249"/>
      <c r="R585" s="250"/>
      <c r="S585" s="259"/>
      <c r="T585" s="260"/>
      <c r="U585" s="250"/>
      <c r="V585" s="78">
        <f t="shared" si="81"/>
        <v>0</v>
      </c>
      <c r="W585" s="261">
        <f t="shared" si="82"/>
        <v>0</v>
      </c>
      <c r="X585" s="133">
        <f t="shared" si="83"/>
        <v>0</v>
      </c>
      <c r="Y585" s="251"/>
      <c r="Z585" s="1736"/>
      <c r="AA585" s="1737"/>
      <c r="AB585" s="77">
        <f t="shared" si="84"/>
        <v>0</v>
      </c>
      <c r="AC585" s="134">
        <f t="shared" si="85"/>
        <v>0</v>
      </c>
      <c r="AD585" s="251"/>
      <c r="AE585" s="1736"/>
      <c r="AF585" s="1737"/>
      <c r="AG585" s="77">
        <f t="shared" si="86"/>
        <v>0</v>
      </c>
      <c r="AH585" s="136">
        <f t="shared" si="87"/>
        <v>0</v>
      </c>
      <c r="AI585" s="251"/>
      <c r="AJ585" s="1736"/>
      <c r="AK585" s="1737"/>
      <c r="AL585" s="79">
        <f t="shared" si="88"/>
        <v>0</v>
      </c>
      <c r="AM585" s="137">
        <f t="shared" si="89"/>
        <v>0</v>
      </c>
      <c r="AN585" s="251"/>
      <c r="AO585" s="1736"/>
      <c r="AP585" s="1737"/>
    </row>
    <row r="586" spans="1:42" s="85" customFormat="1" ht="13.5" thickBot="1">
      <c r="A586" s="240"/>
      <c r="B586" s="241"/>
      <c r="C586" s="242"/>
      <c r="D586" s="242"/>
      <c r="E586" s="243"/>
      <c r="F586" s="244"/>
      <c r="G586" s="244"/>
      <c r="H586" s="243"/>
      <c r="I586" s="258"/>
      <c r="J586" s="245"/>
      <c r="K586" s="245"/>
      <c r="L586" s="76">
        <f t="shared" si="80"/>
        <v>0</v>
      </c>
      <c r="M586" s="246"/>
      <c r="N586" s="247"/>
      <c r="O586" s="248"/>
      <c r="P586" s="246"/>
      <c r="Q586" s="249"/>
      <c r="R586" s="250"/>
      <c r="S586" s="259"/>
      <c r="T586" s="260"/>
      <c r="U586" s="250"/>
      <c r="V586" s="78">
        <f t="shared" si="81"/>
        <v>0</v>
      </c>
      <c r="W586" s="261">
        <f t="shared" si="82"/>
        <v>0</v>
      </c>
      <c r="X586" s="133">
        <f t="shared" si="83"/>
        <v>0</v>
      </c>
      <c r="Y586" s="251"/>
      <c r="Z586" s="1736"/>
      <c r="AA586" s="1737"/>
      <c r="AB586" s="77">
        <f t="shared" si="84"/>
        <v>0</v>
      </c>
      <c r="AC586" s="134">
        <f t="shared" si="85"/>
        <v>0</v>
      </c>
      <c r="AD586" s="251"/>
      <c r="AE586" s="1736"/>
      <c r="AF586" s="1737"/>
      <c r="AG586" s="77">
        <f t="shared" si="86"/>
        <v>0</v>
      </c>
      <c r="AH586" s="136">
        <f t="shared" si="87"/>
        <v>0</v>
      </c>
      <c r="AI586" s="251"/>
      <c r="AJ586" s="1736"/>
      <c r="AK586" s="1737"/>
      <c r="AL586" s="79">
        <f t="shared" si="88"/>
        <v>0</v>
      </c>
      <c r="AM586" s="137">
        <f t="shared" si="89"/>
        <v>0</v>
      </c>
      <c r="AN586" s="251"/>
      <c r="AO586" s="1736"/>
      <c r="AP586" s="1737"/>
    </row>
    <row r="587" spans="1:42" s="85" customFormat="1" ht="13.5" thickBot="1">
      <c r="A587" s="240"/>
      <c r="B587" s="241"/>
      <c r="C587" s="242"/>
      <c r="D587" s="242"/>
      <c r="E587" s="243"/>
      <c r="F587" s="244"/>
      <c r="G587" s="244"/>
      <c r="H587" s="243"/>
      <c r="I587" s="258"/>
      <c r="J587" s="245"/>
      <c r="K587" s="245"/>
      <c r="L587" s="76">
        <f t="shared" ref="L587:L650" si="90">IF(I587=0,0,(K587+J587)/I587)</f>
        <v>0</v>
      </c>
      <c r="M587" s="246"/>
      <c r="N587" s="247"/>
      <c r="O587" s="248"/>
      <c r="P587" s="246"/>
      <c r="Q587" s="249"/>
      <c r="R587" s="250"/>
      <c r="S587" s="259"/>
      <c r="T587" s="260"/>
      <c r="U587" s="250"/>
      <c r="V587" s="78">
        <f t="shared" ref="V587:V650" si="91">IF(U587=0,0,((U587*S587)-AB587-AL587))</f>
        <v>0</v>
      </c>
      <c r="W587" s="261">
        <f t="shared" ref="W587:W650" si="92">+S587-I587</f>
        <v>0</v>
      </c>
      <c r="X587" s="133">
        <f t="shared" ref="X587:X650" si="93">(V587-J587)</f>
        <v>0</v>
      </c>
      <c r="Y587" s="251"/>
      <c r="Z587" s="1736"/>
      <c r="AA587" s="1737"/>
      <c r="AB587" s="77">
        <f t="shared" ref="AB587:AB650" si="94">(IF(I587=0,0,M587/H587))*S587</f>
        <v>0</v>
      </c>
      <c r="AC587" s="134">
        <f t="shared" ref="AC587:AC650" si="95">+AB587-P587</f>
        <v>0</v>
      </c>
      <c r="AD587" s="251"/>
      <c r="AE587" s="1736"/>
      <c r="AF587" s="1737"/>
      <c r="AG587" s="77">
        <f t="shared" ref="AG587:AG650" si="96">(IF(H587=0,0,N587/H587))*T587</f>
        <v>0</v>
      </c>
      <c r="AH587" s="136">
        <f t="shared" ref="AH587:AH650" si="97">+AG587-Q587</f>
        <v>0</v>
      </c>
      <c r="AI587" s="251"/>
      <c r="AJ587" s="1736"/>
      <c r="AK587" s="1737"/>
      <c r="AL587" s="79">
        <f t="shared" ref="AL587:AL650" si="98">+O587*S587</f>
        <v>0</v>
      </c>
      <c r="AM587" s="137">
        <f t="shared" ref="AM587:AM650" si="99">+AL587-R587</f>
        <v>0</v>
      </c>
      <c r="AN587" s="251"/>
      <c r="AO587" s="1736"/>
      <c r="AP587" s="1737"/>
    </row>
    <row r="588" spans="1:42" s="85" customFormat="1" ht="13.5" thickBot="1">
      <c r="A588" s="240"/>
      <c r="B588" s="241"/>
      <c r="C588" s="242"/>
      <c r="D588" s="242"/>
      <c r="E588" s="243"/>
      <c r="F588" s="244"/>
      <c r="G588" s="244"/>
      <c r="H588" s="243"/>
      <c r="I588" s="258"/>
      <c r="J588" s="245"/>
      <c r="K588" s="245"/>
      <c r="L588" s="76">
        <f t="shared" si="90"/>
        <v>0</v>
      </c>
      <c r="M588" s="246"/>
      <c r="N588" s="247"/>
      <c r="O588" s="248"/>
      <c r="P588" s="246"/>
      <c r="Q588" s="249"/>
      <c r="R588" s="250"/>
      <c r="S588" s="259"/>
      <c r="T588" s="260"/>
      <c r="U588" s="250"/>
      <c r="V588" s="78">
        <f t="shared" si="91"/>
        <v>0</v>
      </c>
      <c r="W588" s="261">
        <f t="shared" si="92"/>
        <v>0</v>
      </c>
      <c r="X588" s="133">
        <f t="shared" si="93"/>
        <v>0</v>
      </c>
      <c r="Y588" s="251"/>
      <c r="Z588" s="1736"/>
      <c r="AA588" s="1737"/>
      <c r="AB588" s="77">
        <f t="shared" si="94"/>
        <v>0</v>
      </c>
      <c r="AC588" s="134">
        <f t="shared" si="95"/>
        <v>0</v>
      </c>
      <c r="AD588" s="251"/>
      <c r="AE588" s="1736"/>
      <c r="AF588" s="1737"/>
      <c r="AG588" s="77">
        <f t="shared" si="96"/>
        <v>0</v>
      </c>
      <c r="AH588" s="136">
        <f t="shared" si="97"/>
        <v>0</v>
      </c>
      <c r="AI588" s="251"/>
      <c r="AJ588" s="1736"/>
      <c r="AK588" s="1737"/>
      <c r="AL588" s="79">
        <f t="shared" si="98"/>
        <v>0</v>
      </c>
      <c r="AM588" s="137">
        <f t="shared" si="99"/>
        <v>0</v>
      </c>
      <c r="AN588" s="251"/>
      <c r="AO588" s="1736"/>
      <c r="AP588" s="1737"/>
    </row>
    <row r="589" spans="1:42" s="85" customFormat="1" ht="13.5" thickBot="1">
      <c r="A589" s="240"/>
      <c r="B589" s="241"/>
      <c r="C589" s="242"/>
      <c r="D589" s="242"/>
      <c r="E589" s="243"/>
      <c r="F589" s="244"/>
      <c r="G589" s="244"/>
      <c r="H589" s="243"/>
      <c r="I589" s="258"/>
      <c r="J589" s="245"/>
      <c r="K589" s="245"/>
      <c r="L589" s="76">
        <f t="shared" si="90"/>
        <v>0</v>
      </c>
      <c r="M589" s="246"/>
      <c r="N589" s="247"/>
      <c r="O589" s="248"/>
      <c r="P589" s="246"/>
      <c r="Q589" s="249"/>
      <c r="R589" s="250"/>
      <c r="S589" s="259"/>
      <c r="T589" s="260"/>
      <c r="U589" s="250"/>
      <c r="V589" s="78">
        <f t="shared" si="91"/>
        <v>0</v>
      </c>
      <c r="W589" s="261">
        <f t="shared" si="92"/>
        <v>0</v>
      </c>
      <c r="X589" s="133">
        <f t="shared" si="93"/>
        <v>0</v>
      </c>
      <c r="Y589" s="251"/>
      <c r="Z589" s="1736"/>
      <c r="AA589" s="1737"/>
      <c r="AB589" s="77">
        <f t="shared" si="94"/>
        <v>0</v>
      </c>
      <c r="AC589" s="134">
        <f t="shared" si="95"/>
        <v>0</v>
      </c>
      <c r="AD589" s="251"/>
      <c r="AE589" s="1736"/>
      <c r="AF589" s="1737"/>
      <c r="AG589" s="77">
        <f t="shared" si="96"/>
        <v>0</v>
      </c>
      <c r="AH589" s="136">
        <f t="shared" si="97"/>
        <v>0</v>
      </c>
      <c r="AI589" s="251"/>
      <c r="AJ589" s="1736"/>
      <c r="AK589" s="1737"/>
      <c r="AL589" s="79">
        <f t="shared" si="98"/>
        <v>0</v>
      </c>
      <c r="AM589" s="137">
        <f t="shared" si="99"/>
        <v>0</v>
      </c>
      <c r="AN589" s="251"/>
      <c r="AO589" s="1736"/>
      <c r="AP589" s="1737"/>
    </row>
    <row r="590" spans="1:42" s="85" customFormat="1" ht="13.5" thickBot="1">
      <c r="A590" s="240"/>
      <c r="B590" s="241"/>
      <c r="C590" s="242"/>
      <c r="D590" s="242"/>
      <c r="E590" s="243"/>
      <c r="F590" s="244"/>
      <c r="G590" s="244"/>
      <c r="H590" s="243"/>
      <c r="I590" s="258"/>
      <c r="J590" s="245"/>
      <c r="K590" s="245"/>
      <c r="L590" s="76">
        <f t="shared" si="90"/>
        <v>0</v>
      </c>
      <c r="M590" s="246"/>
      <c r="N590" s="247"/>
      <c r="O590" s="248"/>
      <c r="P590" s="246"/>
      <c r="Q590" s="249"/>
      <c r="R590" s="250"/>
      <c r="S590" s="259"/>
      <c r="T590" s="260"/>
      <c r="U590" s="250"/>
      <c r="V590" s="78">
        <f t="shared" si="91"/>
        <v>0</v>
      </c>
      <c r="W590" s="261">
        <f t="shared" si="92"/>
        <v>0</v>
      </c>
      <c r="X590" s="133">
        <f t="shared" si="93"/>
        <v>0</v>
      </c>
      <c r="Y590" s="251"/>
      <c r="Z590" s="1736"/>
      <c r="AA590" s="1737"/>
      <c r="AB590" s="77">
        <f t="shared" si="94"/>
        <v>0</v>
      </c>
      <c r="AC590" s="134">
        <f t="shared" si="95"/>
        <v>0</v>
      </c>
      <c r="AD590" s="251"/>
      <c r="AE590" s="1736"/>
      <c r="AF590" s="1737"/>
      <c r="AG590" s="77">
        <f t="shared" si="96"/>
        <v>0</v>
      </c>
      <c r="AH590" s="136">
        <f t="shared" si="97"/>
        <v>0</v>
      </c>
      <c r="AI590" s="251"/>
      <c r="AJ590" s="1736"/>
      <c r="AK590" s="1737"/>
      <c r="AL590" s="79">
        <f t="shared" si="98"/>
        <v>0</v>
      </c>
      <c r="AM590" s="137">
        <f t="shared" si="99"/>
        <v>0</v>
      </c>
      <c r="AN590" s="251"/>
      <c r="AO590" s="1736"/>
      <c r="AP590" s="1737"/>
    </row>
    <row r="591" spans="1:42" s="85" customFormat="1" ht="13.5" thickBot="1">
      <c r="A591" s="240"/>
      <c r="B591" s="241"/>
      <c r="C591" s="242"/>
      <c r="D591" s="242"/>
      <c r="E591" s="243"/>
      <c r="F591" s="244"/>
      <c r="G591" s="244"/>
      <c r="H591" s="243"/>
      <c r="I591" s="258"/>
      <c r="J591" s="245"/>
      <c r="K591" s="245"/>
      <c r="L591" s="76">
        <f t="shared" si="90"/>
        <v>0</v>
      </c>
      <c r="M591" s="246"/>
      <c r="N591" s="247"/>
      <c r="O591" s="248"/>
      <c r="P591" s="246"/>
      <c r="Q591" s="249"/>
      <c r="R591" s="250"/>
      <c r="S591" s="259"/>
      <c r="T591" s="260"/>
      <c r="U591" s="250"/>
      <c r="V591" s="78">
        <f t="shared" si="91"/>
        <v>0</v>
      </c>
      <c r="W591" s="261">
        <f t="shared" si="92"/>
        <v>0</v>
      </c>
      <c r="X591" s="133">
        <f t="shared" si="93"/>
        <v>0</v>
      </c>
      <c r="Y591" s="251"/>
      <c r="Z591" s="1736"/>
      <c r="AA591" s="1737"/>
      <c r="AB591" s="77">
        <f t="shared" si="94"/>
        <v>0</v>
      </c>
      <c r="AC591" s="134">
        <f t="shared" si="95"/>
        <v>0</v>
      </c>
      <c r="AD591" s="251"/>
      <c r="AE591" s="1736"/>
      <c r="AF591" s="1737"/>
      <c r="AG591" s="77">
        <f t="shared" si="96"/>
        <v>0</v>
      </c>
      <c r="AH591" s="136">
        <f t="shared" si="97"/>
        <v>0</v>
      </c>
      <c r="AI591" s="251"/>
      <c r="AJ591" s="1736"/>
      <c r="AK591" s="1737"/>
      <c r="AL591" s="79">
        <f t="shared" si="98"/>
        <v>0</v>
      </c>
      <c r="AM591" s="137">
        <f t="shared" si="99"/>
        <v>0</v>
      </c>
      <c r="AN591" s="251"/>
      <c r="AO591" s="1736"/>
      <c r="AP591" s="1737"/>
    </row>
    <row r="592" spans="1:42" s="85" customFormat="1" ht="13.5" thickBot="1">
      <c r="A592" s="240"/>
      <c r="B592" s="241"/>
      <c r="C592" s="242"/>
      <c r="D592" s="242"/>
      <c r="E592" s="243"/>
      <c r="F592" s="244"/>
      <c r="G592" s="244"/>
      <c r="H592" s="243"/>
      <c r="I592" s="258"/>
      <c r="J592" s="245"/>
      <c r="K592" s="245"/>
      <c r="L592" s="76">
        <f t="shared" si="90"/>
        <v>0</v>
      </c>
      <c r="M592" s="246"/>
      <c r="N592" s="247"/>
      <c r="O592" s="248"/>
      <c r="P592" s="246"/>
      <c r="Q592" s="249"/>
      <c r="R592" s="250"/>
      <c r="S592" s="259"/>
      <c r="T592" s="260"/>
      <c r="U592" s="250"/>
      <c r="V592" s="78">
        <f t="shared" si="91"/>
        <v>0</v>
      </c>
      <c r="W592" s="261">
        <f t="shared" si="92"/>
        <v>0</v>
      </c>
      <c r="X592" s="133">
        <f t="shared" si="93"/>
        <v>0</v>
      </c>
      <c r="Y592" s="251"/>
      <c r="Z592" s="1736"/>
      <c r="AA592" s="1737"/>
      <c r="AB592" s="77">
        <f t="shared" si="94"/>
        <v>0</v>
      </c>
      <c r="AC592" s="134">
        <f t="shared" si="95"/>
        <v>0</v>
      </c>
      <c r="AD592" s="251"/>
      <c r="AE592" s="1736"/>
      <c r="AF592" s="1737"/>
      <c r="AG592" s="77">
        <f t="shared" si="96"/>
        <v>0</v>
      </c>
      <c r="AH592" s="136">
        <f t="shared" si="97"/>
        <v>0</v>
      </c>
      <c r="AI592" s="251"/>
      <c r="AJ592" s="1736"/>
      <c r="AK592" s="1737"/>
      <c r="AL592" s="79">
        <f t="shared" si="98"/>
        <v>0</v>
      </c>
      <c r="AM592" s="137">
        <f t="shared" si="99"/>
        <v>0</v>
      </c>
      <c r="AN592" s="251"/>
      <c r="AO592" s="1736"/>
      <c r="AP592" s="1737"/>
    </row>
    <row r="593" spans="1:42" s="85" customFormat="1" ht="13.5" thickBot="1">
      <c r="A593" s="240"/>
      <c r="B593" s="241"/>
      <c r="C593" s="242"/>
      <c r="D593" s="242"/>
      <c r="E593" s="243"/>
      <c r="F593" s="244"/>
      <c r="G593" s="244"/>
      <c r="H593" s="243"/>
      <c r="I593" s="258"/>
      <c r="J593" s="245"/>
      <c r="K593" s="245"/>
      <c r="L593" s="76">
        <f t="shared" si="90"/>
        <v>0</v>
      </c>
      <c r="M593" s="246"/>
      <c r="N593" s="247"/>
      <c r="O593" s="248"/>
      <c r="P593" s="246"/>
      <c r="Q593" s="249"/>
      <c r="R593" s="250"/>
      <c r="S593" s="259"/>
      <c r="T593" s="260"/>
      <c r="U593" s="250"/>
      <c r="V593" s="78">
        <f t="shared" si="91"/>
        <v>0</v>
      </c>
      <c r="W593" s="261">
        <f t="shared" si="92"/>
        <v>0</v>
      </c>
      <c r="X593" s="133">
        <f t="shared" si="93"/>
        <v>0</v>
      </c>
      <c r="Y593" s="251"/>
      <c r="Z593" s="1736"/>
      <c r="AA593" s="1737"/>
      <c r="AB593" s="77">
        <f t="shared" si="94"/>
        <v>0</v>
      </c>
      <c r="AC593" s="134">
        <f t="shared" si="95"/>
        <v>0</v>
      </c>
      <c r="AD593" s="251"/>
      <c r="AE593" s="1736"/>
      <c r="AF593" s="1737"/>
      <c r="AG593" s="77">
        <f t="shared" si="96"/>
        <v>0</v>
      </c>
      <c r="AH593" s="136">
        <f t="shared" si="97"/>
        <v>0</v>
      </c>
      <c r="AI593" s="251"/>
      <c r="AJ593" s="1736"/>
      <c r="AK593" s="1737"/>
      <c r="AL593" s="79">
        <f t="shared" si="98"/>
        <v>0</v>
      </c>
      <c r="AM593" s="137">
        <f t="shared" si="99"/>
        <v>0</v>
      </c>
      <c r="AN593" s="251"/>
      <c r="AO593" s="1736"/>
      <c r="AP593" s="1737"/>
    </row>
    <row r="594" spans="1:42" s="85" customFormat="1" ht="13.5" thickBot="1">
      <c r="A594" s="240"/>
      <c r="B594" s="241"/>
      <c r="C594" s="242"/>
      <c r="D594" s="242"/>
      <c r="E594" s="243"/>
      <c r="F594" s="244"/>
      <c r="G594" s="244"/>
      <c r="H594" s="243"/>
      <c r="I594" s="258"/>
      <c r="J594" s="245"/>
      <c r="K594" s="245"/>
      <c r="L594" s="76">
        <f t="shared" si="90"/>
        <v>0</v>
      </c>
      <c r="M594" s="246"/>
      <c r="N594" s="247"/>
      <c r="O594" s="248"/>
      <c r="P594" s="246"/>
      <c r="Q594" s="249"/>
      <c r="R594" s="250"/>
      <c r="S594" s="259"/>
      <c r="T594" s="260"/>
      <c r="U594" s="250"/>
      <c r="V594" s="78">
        <f t="shared" si="91"/>
        <v>0</v>
      </c>
      <c r="W594" s="261">
        <f t="shared" si="92"/>
        <v>0</v>
      </c>
      <c r="X594" s="133">
        <f t="shared" si="93"/>
        <v>0</v>
      </c>
      <c r="Y594" s="251"/>
      <c r="Z594" s="1736"/>
      <c r="AA594" s="1737"/>
      <c r="AB594" s="77">
        <f t="shared" si="94"/>
        <v>0</v>
      </c>
      <c r="AC594" s="134">
        <f t="shared" si="95"/>
        <v>0</v>
      </c>
      <c r="AD594" s="251"/>
      <c r="AE594" s="1736"/>
      <c r="AF594" s="1737"/>
      <c r="AG594" s="77">
        <f t="shared" si="96"/>
        <v>0</v>
      </c>
      <c r="AH594" s="136">
        <f t="shared" si="97"/>
        <v>0</v>
      </c>
      <c r="AI594" s="251"/>
      <c r="AJ594" s="1736"/>
      <c r="AK594" s="1737"/>
      <c r="AL594" s="79">
        <f t="shared" si="98"/>
        <v>0</v>
      </c>
      <c r="AM594" s="137">
        <f t="shared" si="99"/>
        <v>0</v>
      </c>
      <c r="AN594" s="251"/>
      <c r="AO594" s="1736"/>
      <c r="AP594" s="1737"/>
    </row>
    <row r="595" spans="1:42" s="85" customFormat="1" ht="13.5" thickBot="1">
      <c r="A595" s="240"/>
      <c r="B595" s="241"/>
      <c r="C595" s="242"/>
      <c r="D595" s="242"/>
      <c r="E595" s="243"/>
      <c r="F595" s="244"/>
      <c r="G595" s="244"/>
      <c r="H595" s="243"/>
      <c r="I595" s="258"/>
      <c r="J595" s="245"/>
      <c r="K595" s="245"/>
      <c r="L595" s="76">
        <f t="shared" si="90"/>
        <v>0</v>
      </c>
      <c r="M595" s="246"/>
      <c r="N595" s="247"/>
      <c r="O595" s="248"/>
      <c r="P595" s="246"/>
      <c r="Q595" s="249"/>
      <c r="R595" s="250"/>
      <c r="S595" s="259"/>
      <c r="T595" s="260"/>
      <c r="U595" s="250"/>
      <c r="V595" s="78">
        <f t="shared" si="91"/>
        <v>0</v>
      </c>
      <c r="W595" s="261">
        <f t="shared" si="92"/>
        <v>0</v>
      </c>
      <c r="X595" s="133">
        <f t="shared" si="93"/>
        <v>0</v>
      </c>
      <c r="Y595" s="251"/>
      <c r="Z595" s="1736"/>
      <c r="AA595" s="1737"/>
      <c r="AB595" s="77">
        <f t="shared" si="94"/>
        <v>0</v>
      </c>
      <c r="AC595" s="134">
        <f t="shared" si="95"/>
        <v>0</v>
      </c>
      <c r="AD595" s="251"/>
      <c r="AE595" s="1736"/>
      <c r="AF595" s="1737"/>
      <c r="AG595" s="77">
        <f t="shared" si="96"/>
        <v>0</v>
      </c>
      <c r="AH595" s="136">
        <f t="shared" si="97"/>
        <v>0</v>
      </c>
      <c r="AI595" s="251"/>
      <c r="AJ595" s="1736"/>
      <c r="AK595" s="1737"/>
      <c r="AL595" s="79">
        <f t="shared" si="98"/>
        <v>0</v>
      </c>
      <c r="AM595" s="137">
        <f t="shared" si="99"/>
        <v>0</v>
      </c>
      <c r="AN595" s="251"/>
      <c r="AO595" s="1736"/>
      <c r="AP595" s="1737"/>
    </row>
    <row r="596" spans="1:42" s="85" customFormat="1" ht="13.5" thickBot="1">
      <c r="A596" s="240"/>
      <c r="B596" s="241"/>
      <c r="C596" s="242"/>
      <c r="D596" s="242"/>
      <c r="E596" s="243"/>
      <c r="F596" s="244"/>
      <c r="G596" s="244"/>
      <c r="H596" s="243"/>
      <c r="I596" s="258"/>
      <c r="J596" s="245"/>
      <c r="K596" s="245"/>
      <c r="L596" s="76">
        <f t="shared" si="90"/>
        <v>0</v>
      </c>
      <c r="M596" s="246"/>
      <c r="N596" s="247"/>
      <c r="O596" s="248"/>
      <c r="P596" s="246"/>
      <c r="Q596" s="249"/>
      <c r="R596" s="250"/>
      <c r="S596" s="259"/>
      <c r="T596" s="260"/>
      <c r="U596" s="250"/>
      <c r="V596" s="78">
        <f t="shared" si="91"/>
        <v>0</v>
      </c>
      <c r="W596" s="261">
        <f t="shared" si="92"/>
        <v>0</v>
      </c>
      <c r="X596" s="133">
        <f t="shared" si="93"/>
        <v>0</v>
      </c>
      <c r="Y596" s="251"/>
      <c r="Z596" s="1736"/>
      <c r="AA596" s="1737"/>
      <c r="AB596" s="77">
        <f t="shared" si="94"/>
        <v>0</v>
      </c>
      <c r="AC596" s="134">
        <f t="shared" si="95"/>
        <v>0</v>
      </c>
      <c r="AD596" s="251"/>
      <c r="AE596" s="1736"/>
      <c r="AF596" s="1737"/>
      <c r="AG596" s="77">
        <f t="shared" si="96"/>
        <v>0</v>
      </c>
      <c r="AH596" s="136">
        <f t="shared" si="97"/>
        <v>0</v>
      </c>
      <c r="AI596" s="251"/>
      <c r="AJ596" s="1736"/>
      <c r="AK596" s="1737"/>
      <c r="AL596" s="79">
        <f t="shared" si="98"/>
        <v>0</v>
      </c>
      <c r="AM596" s="137">
        <f t="shared" si="99"/>
        <v>0</v>
      </c>
      <c r="AN596" s="251"/>
      <c r="AO596" s="1736"/>
      <c r="AP596" s="1737"/>
    </row>
    <row r="597" spans="1:42" s="85" customFormat="1" ht="13.5" thickBot="1">
      <c r="A597" s="240"/>
      <c r="B597" s="241"/>
      <c r="C597" s="242"/>
      <c r="D597" s="242"/>
      <c r="E597" s="243"/>
      <c r="F597" s="244"/>
      <c r="G597" s="244"/>
      <c r="H597" s="243"/>
      <c r="I597" s="258"/>
      <c r="J597" s="245"/>
      <c r="K597" s="245"/>
      <c r="L597" s="76">
        <f t="shared" si="90"/>
        <v>0</v>
      </c>
      <c r="M597" s="246"/>
      <c r="N597" s="247"/>
      <c r="O597" s="248"/>
      <c r="P597" s="246"/>
      <c r="Q597" s="249"/>
      <c r="R597" s="250"/>
      <c r="S597" s="259"/>
      <c r="T597" s="260"/>
      <c r="U597" s="250"/>
      <c r="V597" s="78">
        <f t="shared" si="91"/>
        <v>0</v>
      </c>
      <c r="W597" s="261">
        <f t="shared" si="92"/>
        <v>0</v>
      </c>
      <c r="X597" s="133">
        <f t="shared" si="93"/>
        <v>0</v>
      </c>
      <c r="Y597" s="251"/>
      <c r="Z597" s="1736"/>
      <c r="AA597" s="1737"/>
      <c r="AB597" s="77">
        <f t="shared" si="94"/>
        <v>0</v>
      </c>
      <c r="AC597" s="134">
        <f t="shared" si="95"/>
        <v>0</v>
      </c>
      <c r="AD597" s="251"/>
      <c r="AE597" s="1736"/>
      <c r="AF597" s="1737"/>
      <c r="AG597" s="77">
        <f t="shared" si="96"/>
        <v>0</v>
      </c>
      <c r="AH597" s="136">
        <f t="shared" si="97"/>
        <v>0</v>
      </c>
      <c r="AI597" s="251"/>
      <c r="AJ597" s="1736"/>
      <c r="AK597" s="1737"/>
      <c r="AL597" s="79">
        <f t="shared" si="98"/>
        <v>0</v>
      </c>
      <c r="AM597" s="137">
        <f t="shared" si="99"/>
        <v>0</v>
      </c>
      <c r="AN597" s="251"/>
      <c r="AO597" s="1736"/>
      <c r="AP597" s="1737"/>
    </row>
    <row r="598" spans="1:42" s="85" customFormat="1" ht="13.5" thickBot="1">
      <c r="A598" s="240"/>
      <c r="B598" s="241"/>
      <c r="C598" s="242"/>
      <c r="D598" s="242"/>
      <c r="E598" s="243"/>
      <c r="F598" s="244"/>
      <c r="G598" s="244"/>
      <c r="H598" s="243"/>
      <c r="I598" s="258"/>
      <c r="J598" s="245"/>
      <c r="K598" s="245"/>
      <c r="L598" s="76">
        <f t="shared" si="90"/>
        <v>0</v>
      </c>
      <c r="M598" s="246"/>
      <c r="N598" s="247"/>
      <c r="O598" s="248"/>
      <c r="P598" s="246"/>
      <c r="Q598" s="249"/>
      <c r="R598" s="250"/>
      <c r="S598" s="259"/>
      <c r="T598" s="260"/>
      <c r="U598" s="250"/>
      <c r="V598" s="78">
        <f t="shared" si="91"/>
        <v>0</v>
      </c>
      <c r="W598" s="261">
        <f t="shared" si="92"/>
        <v>0</v>
      </c>
      <c r="X598" s="133">
        <f t="shared" si="93"/>
        <v>0</v>
      </c>
      <c r="Y598" s="251"/>
      <c r="Z598" s="1736"/>
      <c r="AA598" s="1737"/>
      <c r="AB598" s="77">
        <f t="shared" si="94"/>
        <v>0</v>
      </c>
      <c r="AC598" s="134">
        <f t="shared" si="95"/>
        <v>0</v>
      </c>
      <c r="AD598" s="251"/>
      <c r="AE598" s="1736"/>
      <c r="AF598" s="1737"/>
      <c r="AG598" s="77">
        <f t="shared" si="96"/>
        <v>0</v>
      </c>
      <c r="AH598" s="136">
        <f t="shared" si="97"/>
        <v>0</v>
      </c>
      <c r="AI598" s="251"/>
      <c r="AJ598" s="1736"/>
      <c r="AK598" s="1737"/>
      <c r="AL598" s="79">
        <f t="shared" si="98"/>
        <v>0</v>
      </c>
      <c r="AM598" s="137">
        <f t="shared" si="99"/>
        <v>0</v>
      </c>
      <c r="AN598" s="251"/>
      <c r="AO598" s="1736"/>
      <c r="AP598" s="1737"/>
    </row>
    <row r="599" spans="1:42" s="85" customFormat="1" ht="13.5" thickBot="1">
      <c r="A599" s="240"/>
      <c r="B599" s="241"/>
      <c r="C599" s="242"/>
      <c r="D599" s="242"/>
      <c r="E599" s="243"/>
      <c r="F599" s="244"/>
      <c r="G599" s="244"/>
      <c r="H599" s="243"/>
      <c r="I599" s="258"/>
      <c r="J599" s="245"/>
      <c r="K599" s="245"/>
      <c r="L599" s="76">
        <f t="shared" si="90"/>
        <v>0</v>
      </c>
      <c r="M599" s="246"/>
      <c r="N599" s="247"/>
      <c r="O599" s="248"/>
      <c r="P599" s="246"/>
      <c r="Q599" s="249"/>
      <c r="R599" s="250"/>
      <c r="S599" s="259"/>
      <c r="T599" s="260"/>
      <c r="U599" s="250"/>
      <c r="V599" s="78">
        <f t="shared" si="91"/>
        <v>0</v>
      </c>
      <c r="W599" s="261">
        <f t="shared" si="92"/>
        <v>0</v>
      </c>
      <c r="X599" s="133">
        <f t="shared" si="93"/>
        <v>0</v>
      </c>
      <c r="Y599" s="251"/>
      <c r="Z599" s="1736"/>
      <c r="AA599" s="1737"/>
      <c r="AB599" s="77">
        <f t="shared" si="94"/>
        <v>0</v>
      </c>
      <c r="AC599" s="134">
        <f t="shared" si="95"/>
        <v>0</v>
      </c>
      <c r="AD599" s="251"/>
      <c r="AE599" s="1736"/>
      <c r="AF599" s="1737"/>
      <c r="AG599" s="77">
        <f t="shared" si="96"/>
        <v>0</v>
      </c>
      <c r="AH599" s="136">
        <f t="shared" si="97"/>
        <v>0</v>
      </c>
      <c r="AI599" s="251"/>
      <c r="AJ599" s="1736"/>
      <c r="AK599" s="1737"/>
      <c r="AL599" s="79">
        <f t="shared" si="98"/>
        <v>0</v>
      </c>
      <c r="AM599" s="137">
        <f t="shared" si="99"/>
        <v>0</v>
      </c>
      <c r="AN599" s="251"/>
      <c r="AO599" s="1736"/>
      <c r="AP599" s="1737"/>
    </row>
    <row r="600" spans="1:42" s="85" customFormat="1" ht="13.5" thickBot="1">
      <c r="A600" s="240"/>
      <c r="B600" s="241"/>
      <c r="C600" s="242"/>
      <c r="D600" s="242"/>
      <c r="E600" s="243"/>
      <c r="F600" s="244"/>
      <c r="G600" s="244"/>
      <c r="H600" s="243"/>
      <c r="I600" s="258"/>
      <c r="J600" s="245"/>
      <c r="K600" s="245"/>
      <c r="L600" s="76">
        <f t="shared" si="90"/>
        <v>0</v>
      </c>
      <c r="M600" s="246"/>
      <c r="N600" s="247"/>
      <c r="O600" s="248"/>
      <c r="P600" s="246"/>
      <c r="Q600" s="249"/>
      <c r="R600" s="250"/>
      <c r="S600" s="259"/>
      <c r="T600" s="260"/>
      <c r="U600" s="250"/>
      <c r="V600" s="78">
        <f t="shared" si="91"/>
        <v>0</v>
      </c>
      <c r="W600" s="261">
        <f t="shared" si="92"/>
        <v>0</v>
      </c>
      <c r="X600" s="133">
        <f t="shared" si="93"/>
        <v>0</v>
      </c>
      <c r="Y600" s="251"/>
      <c r="Z600" s="1736"/>
      <c r="AA600" s="1737"/>
      <c r="AB600" s="77">
        <f t="shared" si="94"/>
        <v>0</v>
      </c>
      <c r="AC600" s="134">
        <f t="shared" si="95"/>
        <v>0</v>
      </c>
      <c r="AD600" s="251"/>
      <c r="AE600" s="1736"/>
      <c r="AF600" s="1737"/>
      <c r="AG600" s="77">
        <f t="shared" si="96"/>
        <v>0</v>
      </c>
      <c r="AH600" s="136">
        <f t="shared" si="97"/>
        <v>0</v>
      </c>
      <c r="AI600" s="251"/>
      <c r="AJ600" s="1736"/>
      <c r="AK600" s="1737"/>
      <c r="AL600" s="79">
        <f t="shared" si="98"/>
        <v>0</v>
      </c>
      <c r="AM600" s="137">
        <f t="shared" si="99"/>
        <v>0</v>
      </c>
      <c r="AN600" s="251"/>
      <c r="AO600" s="1736"/>
      <c r="AP600" s="1737"/>
    </row>
    <row r="601" spans="1:42" s="85" customFormat="1" ht="13.5" thickBot="1">
      <c r="A601" s="240"/>
      <c r="B601" s="241"/>
      <c r="C601" s="242"/>
      <c r="D601" s="242"/>
      <c r="E601" s="243"/>
      <c r="F601" s="244"/>
      <c r="G601" s="244"/>
      <c r="H601" s="243"/>
      <c r="I601" s="258"/>
      <c r="J601" s="245"/>
      <c r="K601" s="245"/>
      <c r="L601" s="76">
        <f t="shared" si="90"/>
        <v>0</v>
      </c>
      <c r="M601" s="246"/>
      <c r="N601" s="247"/>
      <c r="O601" s="248"/>
      <c r="P601" s="246"/>
      <c r="Q601" s="249"/>
      <c r="R601" s="250"/>
      <c r="S601" s="259"/>
      <c r="T601" s="260"/>
      <c r="U601" s="250"/>
      <c r="V601" s="78">
        <f t="shared" si="91"/>
        <v>0</v>
      </c>
      <c r="W601" s="261">
        <f t="shared" si="92"/>
        <v>0</v>
      </c>
      <c r="X601" s="133">
        <f t="shared" si="93"/>
        <v>0</v>
      </c>
      <c r="Y601" s="251"/>
      <c r="Z601" s="1736"/>
      <c r="AA601" s="1737"/>
      <c r="AB601" s="77">
        <f t="shared" si="94"/>
        <v>0</v>
      </c>
      <c r="AC601" s="134">
        <f t="shared" si="95"/>
        <v>0</v>
      </c>
      <c r="AD601" s="251"/>
      <c r="AE601" s="1736"/>
      <c r="AF601" s="1737"/>
      <c r="AG601" s="77">
        <f t="shared" si="96"/>
        <v>0</v>
      </c>
      <c r="AH601" s="136">
        <f t="shared" si="97"/>
        <v>0</v>
      </c>
      <c r="AI601" s="251"/>
      <c r="AJ601" s="1736"/>
      <c r="AK601" s="1737"/>
      <c r="AL601" s="79">
        <f t="shared" si="98"/>
        <v>0</v>
      </c>
      <c r="AM601" s="137">
        <f t="shared" si="99"/>
        <v>0</v>
      </c>
      <c r="AN601" s="251"/>
      <c r="AO601" s="1736"/>
      <c r="AP601" s="1737"/>
    </row>
    <row r="602" spans="1:42" s="85" customFormat="1" ht="13.5" thickBot="1">
      <c r="A602" s="240"/>
      <c r="B602" s="241"/>
      <c r="C602" s="242"/>
      <c r="D602" s="242"/>
      <c r="E602" s="243"/>
      <c r="F602" s="244"/>
      <c r="G602" s="244"/>
      <c r="H602" s="243"/>
      <c r="I602" s="258"/>
      <c r="J602" s="245"/>
      <c r="K602" s="245"/>
      <c r="L602" s="76">
        <f t="shared" si="90"/>
        <v>0</v>
      </c>
      <c r="M602" s="246"/>
      <c r="N602" s="247"/>
      <c r="O602" s="248"/>
      <c r="P602" s="246"/>
      <c r="Q602" s="249"/>
      <c r="R602" s="250"/>
      <c r="S602" s="259"/>
      <c r="T602" s="260"/>
      <c r="U602" s="250"/>
      <c r="V602" s="78">
        <f t="shared" si="91"/>
        <v>0</v>
      </c>
      <c r="W602" s="261">
        <f t="shared" si="92"/>
        <v>0</v>
      </c>
      <c r="X602" s="133">
        <f t="shared" si="93"/>
        <v>0</v>
      </c>
      <c r="Y602" s="251"/>
      <c r="Z602" s="1736"/>
      <c r="AA602" s="1737"/>
      <c r="AB602" s="77">
        <f t="shared" si="94"/>
        <v>0</v>
      </c>
      <c r="AC602" s="134">
        <f t="shared" si="95"/>
        <v>0</v>
      </c>
      <c r="AD602" s="251"/>
      <c r="AE602" s="1736"/>
      <c r="AF602" s="1737"/>
      <c r="AG602" s="77">
        <f t="shared" si="96"/>
        <v>0</v>
      </c>
      <c r="AH602" s="136">
        <f t="shared" si="97"/>
        <v>0</v>
      </c>
      <c r="AI602" s="251"/>
      <c r="AJ602" s="1736"/>
      <c r="AK602" s="1737"/>
      <c r="AL602" s="79">
        <f t="shared" si="98"/>
        <v>0</v>
      </c>
      <c r="AM602" s="137">
        <f t="shared" si="99"/>
        <v>0</v>
      </c>
      <c r="AN602" s="251"/>
      <c r="AO602" s="1736"/>
      <c r="AP602" s="1737"/>
    </row>
    <row r="603" spans="1:42" s="85" customFormat="1" ht="13.5" thickBot="1">
      <c r="A603" s="240"/>
      <c r="B603" s="241"/>
      <c r="C603" s="242"/>
      <c r="D603" s="242"/>
      <c r="E603" s="243"/>
      <c r="F603" s="244"/>
      <c r="G603" s="244"/>
      <c r="H603" s="243"/>
      <c r="I603" s="258"/>
      <c r="J603" s="245"/>
      <c r="K603" s="245"/>
      <c r="L603" s="76">
        <f t="shared" si="90"/>
        <v>0</v>
      </c>
      <c r="M603" s="246"/>
      <c r="N603" s="247"/>
      <c r="O603" s="248"/>
      <c r="P603" s="246"/>
      <c r="Q603" s="249"/>
      <c r="R603" s="250"/>
      <c r="S603" s="259"/>
      <c r="T603" s="260"/>
      <c r="U603" s="250"/>
      <c r="V603" s="78">
        <f t="shared" si="91"/>
        <v>0</v>
      </c>
      <c r="W603" s="261">
        <f t="shared" si="92"/>
        <v>0</v>
      </c>
      <c r="X603" s="133">
        <f t="shared" si="93"/>
        <v>0</v>
      </c>
      <c r="Y603" s="251"/>
      <c r="Z603" s="1736"/>
      <c r="AA603" s="1737"/>
      <c r="AB603" s="77">
        <f t="shared" si="94"/>
        <v>0</v>
      </c>
      <c r="AC603" s="134">
        <f t="shared" si="95"/>
        <v>0</v>
      </c>
      <c r="AD603" s="251"/>
      <c r="AE603" s="1736"/>
      <c r="AF603" s="1737"/>
      <c r="AG603" s="77">
        <f t="shared" si="96"/>
        <v>0</v>
      </c>
      <c r="AH603" s="136">
        <f t="shared" si="97"/>
        <v>0</v>
      </c>
      <c r="AI603" s="251"/>
      <c r="AJ603" s="1736"/>
      <c r="AK603" s="1737"/>
      <c r="AL603" s="79">
        <f t="shared" si="98"/>
        <v>0</v>
      </c>
      <c r="AM603" s="137">
        <f t="shared" si="99"/>
        <v>0</v>
      </c>
      <c r="AN603" s="251"/>
      <c r="AO603" s="1736"/>
      <c r="AP603" s="1737"/>
    </row>
    <row r="604" spans="1:42" s="85" customFormat="1" ht="13.5" thickBot="1">
      <c r="A604" s="240"/>
      <c r="B604" s="241"/>
      <c r="C604" s="242"/>
      <c r="D604" s="242"/>
      <c r="E604" s="243"/>
      <c r="F604" s="244"/>
      <c r="G604" s="244"/>
      <c r="H604" s="243"/>
      <c r="I604" s="258"/>
      <c r="J604" s="245"/>
      <c r="K604" s="245"/>
      <c r="L604" s="76">
        <f t="shared" si="90"/>
        <v>0</v>
      </c>
      <c r="M604" s="246"/>
      <c r="N604" s="247"/>
      <c r="O604" s="248"/>
      <c r="P604" s="246"/>
      <c r="Q604" s="249"/>
      <c r="R604" s="250"/>
      <c r="S604" s="259"/>
      <c r="T604" s="260"/>
      <c r="U604" s="250"/>
      <c r="V604" s="78">
        <f t="shared" si="91"/>
        <v>0</v>
      </c>
      <c r="W604" s="261">
        <f t="shared" si="92"/>
        <v>0</v>
      </c>
      <c r="X604" s="133">
        <f t="shared" si="93"/>
        <v>0</v>
      </c>
      <c r="Y604" s="251"/>
      <c r="Z604" s="1736"/>
      <c r="AA604" s="1737"/>
      <c r="AB604" s="77">
        <f t="shared" si="94"/>
        <v>0</v>
      </c>
      <c r="AC604" s="134">
        <f t="shared" si="95"/>
        <v>0</v>
      </c>
      <c r="AD604" s="251"/>
      <c r="AE604" s="1736"/>
      <c r="AF604" s="1737"/>
      <c r="AG604" s="77">
        <f t="shared" si="96"/>
        <v>0</v>
      </c>
      <c r="AH604" s="136">
        <f t="shared" si="97"/>
        <v>0</v>
      </c>
      <c r="AI604" s="251"/>
      <c r="AJ604" s="1736"/>
      <c r="AK604" s="1737"/>
      <c r="AL604" s="79">
        <f t="shared" si="98"/>
        <v>0</v>
      </c>
      <c r="AM604" s="137">
        <f t="shared" si="99"/>
        <v>0</v>
      </c>
      <c r="AN604" s="251"/>
      <c r="AO604" s="1736"/>
      <c r="AP604" s="1737"/>
    </row>
    <row r="605" spans="1:42" s="85" customFormat="1" ht="13.5" thickBot="1">
      <c r="A605" s="240"/>
      <c r="B605" s="241"/>
      <c r="C605" s="242"/>
      <c r="D605" s="242"/>
      <c r="E605" s="243"/>
      <c r="F605" s="244"/>
      <c r="G605" s="244"/>
      <c r="H605" s="243"/>
      <c r="I605" s="258"/>
      <c r="J605" s="245"/>
      <c r="K605" s="245"/>
      <c r="L605" s="76">
        <f t="shared" si="90"/>
        <v>0</v>
      </c>
      <c r="M605" s="246"/>
      <c r="N605" s="247"/>
      <c r="O605" s="248"/>
      <c r="P605" s="246"/>
      <c r="Q605" s="249"/>
      <c r="R605" s="250"/>
      <c r="S605" s="259"/>
      <c r="T605" s="260"/>
      <c r="U605" s="250"/>
      <c r="V605" s="78">
        <f t="shared" si="91"/>
        <v>0</v>
      </c>
      <c r="W605" s="261">
        <f t="shared" si="92"/>
        <v>0</v>
      </c>
      <c r="X605" s="133">
        <f t="shared" si="93"/>
        <v>0</v>
      </c>
      <c r="Y605" s="251"/>
      <c r="Z605" s="1736"/>
      <c r="AA605" s="1737"/>
      <c r="AB605" s="77">
        <f t="shared" si="94"/>
        <v>0</v>
      </c>
      <c r="AC605" s="134">
        <f t="shared" si="95"/>
        <v>0</v>
      </c>
      <c r="AD605" s="251"/>
      <c r="AE605" s="1736"/>
      <c r="AF605" s="1737"/>
      <c r="AG605" s="77">
        <f t="shared" si="96"/>
        <v>0</v>
      </c>
      <c r="AH605" s="136">
        <f t="shared" si="97"/>
        <v>0</v>
      </c>
      <c r="AI605" s="251"/>
      <c r="AJ605" s="1736"/>
      <c r="AK605" s="1737"/>
      <c r="AL605" s="79">
        <f t="shared" si="98"/>
        <v>0</v>
      </c>
      <c r="AM605" s="137">
        <f t="shared" si="99"/>
        <v>0</v>
      </c>
      <c r="AN605" s="251"/>
      <c r="AO605" s="1736"/>
      <c r="AP605" s="1737"/>
    </row>
    <row r="606" spans="1:42" s="85" customFormat="1" ht="13.5" thickBot="1">
      <c r="A606" s="240"/>
      <c r="B606" s="241"/>
      <c r="C606" s="242"/>
      <c r="D606" s="242"/>
      <c r="E606" s="243"/>
      <c r="F606" s="244"/>
      <c r="G606" s="244"/>
      <c r="H606" s="243"/>
      <c r="I606" s="258"/>
      <c r="J606" s="245"/>
      <c r="K606" s="245"/>
      <c r="L606" s="76">
        <f t="shared" si="90"/>
        <v>0</v>
      </c>
      <c r="M606" s="246"/>
      <c r="N606" s="247"/>
      <c r="O606" s="248"/>
      <c r="P606" s="246"/>
      <c r="Q606" s="249"/>
      <c r="R606" s="250"/>
      <c r="S606" s="259"/>
      <c r="T606" s="260"/>
      <c r="U606" s="250"/>
      <c r="V606" s="78">
        <f t="shared" si="91"/>
        <v>0</v>
      </c>
      <c r="W606" s="261">
        <f t="shared" si="92"/>
        <v>0</v>
      </c>
      <c r="X606" s="133">
        <f t="shared" si="93"/>
        <v>0</v>
      </c>
      <c r="Y606" s="251"/>
      <c r="Z606" s="1736"/>
      <c r="AA606" s="1737"/>
      <c r="AB606" s="77">
        <f t="shared" si="94"/>
        <v>0</v>
      </c>
      <c r="AC606" s="134">
        <f t="shared" si="95"/>
        <v>0</v>
      </c>
      <c r="AD606" s="251"/>
      <c r="AE606" s="1736"/>
      <c r="AF606" s="1737"/>
      <c r="AG606" s="77">
        <f t="shared" si="96"/>
        <v>0</v>
      </c>
      <c r="AH606" s="136">
        <f t="shared" si="97"/>
        <v>0</v>
      </c>
      <c r="AI606" s="251"/>
      <c r="AJ606" s="1736"/>
      <c r="AK606" s="1737"/>
      <c r="AL606" s="79">
        <f t="shared" si="98"/>
        <v>0</v>
      </c>
      <c r="AM606" s="137">
        <f t="shared" si="99"/>
        <v>0</v>
      </c>
      <c r="AN606" s="251"/>
      <c r="AO606" s="1736"/>
      <c r="AP606" s="1737"/>
    </row>
    <row r="607" spans="1:42" s="85" customFormat="1" ht="13.5" thickBot="1">
      <c r="A607" s="240"/>
      <c r="B607" s="241"/>
      <c r="C607" s="242"/>
      <c r="D607" s="242"/>
      <c r="E607" s="243"/>
      <c r="F607" s="244"/>
      <c r="G607" s="244"/>
      <c r="H607" s="243"/>
      <c r="I607" s="258"/>
      <c r="J607" s="245"/>
      <c r="K607" s="245"/>
      <c r="L607" s="76">
        <f t="shared" si="90"/>
        <v>0</v>
      </c>
      <c r="M607" s="246"/>
      <c r="N607" s="247"/>
      <c r="O607" s="248"/>
      <c r="P607" s="246"/>
      <c r="Q607" s="249"/>
      <c r="R607" s="250"/>
      <c r="S607" s="259"/>
      <c r="T607" s="260"/>
      <c r="U607" s="250"/>
      <c r="V607" s="78">
        <f t="shared" si="91"/>
        <v>0</v>
      </c>
      <c r="W607" s="261">
        <f t="shared" si="92"/>
        <v>0</v>
      </c>
      <c r="X607" s="133">
        <f t="shared" si="93"/>
        <v>0</v>
      </c>
      <c r="Y607" s="251"/>
      <c r="Z607" s="1736"/>
      <c r="AA607" s="1737"/>
      <c r="AB607" s="77">
        <f t="shared" si="94"/>
        <v>0</v>
      </c>
      <c r="AC607" s="134">
        <f t="shared" si="95"/>
        <v>0</v>
      </c>
      <c r="AD607" s="251"/>
      <c r="AE607" s="1736"/>
      <c r="AF607" s="1737"/>
      <c r="AG607" s="77">
        <f t="shared" si="96"/>
        <v>0</v>
      </c>
      <c r="AH607" s="136">
        <f t="shared" si="97"/>
        <v>0</v>
      </c>
      <c r="AI607" s="251"/>
      <c r="AJ607" s="1736"/>
      <c r="AK607" s="1737"/>
      <c r="AL607" s="79">
        <f t="shared" si="98"/>
        <v>0</v>
      </c>
      <c r="AM607" s="137">
        <f t="shared" si="99"/>
        <v>0</v>
      </c>
      <c r="AN607" s="251"/>
      <c r="AO607" s="1736"/>
      <c r="AP607" s="1737"/>
    </row>
    <row r="608" spans="1:42" s="85" customFormat="1" ht="13.5" thickBot="1">
      <c r="A608" s="240"/>
      <c r="B608" s="241"/>
      <c r="C608" s="242"/>
      <c r="D608" s="242"/>
      <c r="E608" s="243"/>
      <c r="F608" s="244"/>
      <c r="G608" s="244"/>
      <c r="H608" s="243"/>
      <c r="I608" s="258"/>
      <c r="J608" s="245"/>
      <c r="K608" s="245"/>
      <c r="L608" s="76">
        <f t="shared" si="90"/>
        <v>0</v>
      </c>
      <c r="M608" s="246"/>
      <c r="N608" s="247"/>
      <c r="O608" s="248"/>
      <c r="P608" s="246"/>
      <c r="Q608" s="249"/>
      <c r="R608" s="250"/>
      <c r="S608" s="259"/>
      <c r="T608" s="260"/>
      <c r="U608" s="250"/>
      <c r="V608" s="78">
        <f t="shared" si="91"/>
        <v>0</v>
      </c>
      <c r="W608" s="261">
        <f t="shared" si="92"/>
        <v>0</v>
      </c>
      <c r="X608" s="133">
        <f t="shared" si="93"/>
        <v>0</v>
      </c>
      <c r="Y608" s="251"/>
      <c r="Z608" s="1736"/>
      <c r="AA608" s="1737"/>
      <c r="AB608" s="77">
        <f t="shared" si="94"/>
        <v>0</v>
      </c>
      <c r="AC608" s="134">
        <f t="shared" si="95"/>
        <v>0</v>
      </c>
      <c r="AD608" s="251"/>
      <c r="AE608" s="1736"/>
      <c r="AF608" s="1737"/>
      <c r="AG608" s="77">
        <f t="shared" si="96"/>
        <v>0</v>
      </c>
      <c r="AH608" s="136">
        <f t="shared" si="97"/>
        <v>0</v>
      </c>
      <c r="AI608" s="251"/>
      <c r="AJ608" s="1736"/>
      <c r="AK608" s="1737"/>
      <c r="AL608" s="79">
        <f t="shared" si="98"/>
        <v>0</v>
      </c>
      <c r="AM608" s="137">
        <f t="shared" si="99"/>
        <v>0</v>
      </c>
      <c r="AN608" s="251"/>
      <c r="AO608" s="1736"/>
      <c r="AP608" s="1737"/>
    </row>
    <row r="609" spans="1:42" s="85" customFormat="1" ht="13.5" thickBot="1">
      <c r="A609" s="240"/>
      <c r="B609" s="241"/>
      <c r="C609" s="242"/>
      <c r="D609" s="242"/>
      <c r="E609" s="243"/>
      <c r="F609" s="244"/>
      <c r="G609" s="244"/>
      <c r="H609" s="243"/>
      <c r="I609" s="258"/>
      <c r="J609" s="245"/>
      <c r="K609" s="245"/>
      <c r="L609" s="76">
        <f t="shared" si="90"/>
        <v>0</v>
      </c>
      <c r="M609" s="246"/>
      <c r="N609" s="247"/>
      <c r="O609" s="248"/>
      <c r="P609" s="246"/>
      <c r="Q609" s="249"/>
      <c r="R609" s="250"/>
      <c r="S609" s="259"/>
      <c r="T609" s="260"/>
      <c r="U609" s="250"/>
      <c r="V609" s="78">
        <f t="shared" si="91"/>
        <v>0</v>
      </c>
      <c r="W609" s="261">
        <f t="shared" si="92"/>
        <v>0</v>
      </c>
      <c r="X609" s="133">
        <f t="shared" si="93"/>
        <v>0</v>
      </c>
      <c r="Y609" s="251"/>
      <c r="Z609" s="1736"/>
      <c r="AA609" s="1737"/>
      <c r="AB609" s="77">
        <f t="shared" si="94"/>
        <v>0</v>
      </c>
      <c r="AC609" s="134">
        <f t="shared" si="95"/>
        <v>0</v>
      </c>
      <c r="AD609" s="251"/>
      <c r="AE609" s="1736"/>
      <c r="AF609" s="1737"/>
      <c r="AG609" s="77">
        <f t="shared" si="96"/>
        <v>0</v>
      </c>
      <c r="AH609" s="136">
        <f t="shared" si="97"/>
        <v>0</v>
      </c>
      <c r="AI609" s="251"/>
      <c r="AJ609" s="1736"/>
      <c r="AK609" s="1737"/>
      <c r="AL609" s="79">
        <f t="shared" si="98"/>
        <v>0</v>
      </c>
      <c r="AM609" s="137">
        <f t="shared" si="99"/>
        <v>0</v>
      </c>
      <c r="AN609" s="251"/>
      <c r="AO609" s="1736"/>
      <c r="AP609" s="1737"/>
    </row>
    <row r="610" spans="1:42" s="85" customFormat="1" ht="13.5" thickBot="1">
      <c r="A610" s="240"/>
      <c r="B610" s="241"/>
      <c r="C610" s="242"/>
      <c r="D610" s="242"/>
      <c r="E610" s="243"/>
      <c r="F610" s="244"/>
      <c r="G610" s="244"/>
      <c r="H610" s="243"/>
      <c r="I610" s="258"/>
      <c r="J610" s="245"/>
      <c r="K610" s="245"/>
      <c r="L610" s="76">
        <f t="shared" si="90"/>
        <v>0</v>
      </c>
      <c r="M610" s="246"/>
      <c r="N610" s="247"/>
      <c r="O610" s="248"/>
      <c r="P610" s="246"/>
      <c r="Q610" s="249"/>
      <c r="R610" s="250"/>
      <c r="S610" s="259"/>
      <c r="T610" s="260"/>
      <c r="U610" s="250"/>
      <c r="V610" s="78">
        <f t="shared" si="91"/>
        <v>0</v>
      </c>
      <c r="W610" s="261">
        <f t="shared" si="92"/>
        <v>0</v>
      </c>
      <c r="X610" s="133">
        <f t="shared" si="93"/>
        <v>0</v>
      </c>
      <c r="Y610" s="251"/>
      <c r="Z610" s="1736"/>
      <c r="AA610" s="1737"/>
      <c r="AB610" s="77">
        <f t="shared" si="94"/>
        <v>0</v>
      </c>
      <c r="AC610" s="134">
        <f t="shared" si="95"/>
        <v>0</v>
      </c>
      <c r="AD610" s="251"/>
      <c r="AE610" s="1736"/>
      <c r="AF610" s="1737"/>
      <c r="AG610" s="77">
        <f t="shared" si="96"/>
        <v>0</v>
      </c>
      <c r="AH610" s="136">
        <f t="shared" si="97"/>
        <v>0</v>
      </c>
      <c r="AI610" s="251"/>
      <c r="AJ610" s="1736"/>
      <c r="AK610" s="1737"/>
      <c r="AL610" s="79">
        <f t="shared" si="98"/>
        <v>0</v>
      </c>
      <c r="AM610" s="137">
        <f t="shared" si="99"/>
        <v>0</v>
      </c>
      <c r="AN610" s="251"/>
      <c r="AO610" s="1736"/>
      <c r="AP610" s="1737"/>
    </row>
    <row r="611" spans="1:42" s="85" customFormat="1" ht="13.5" thickBot="1">
      <c r="A611" s="240"/>
      <c r="B611" s="241"/>
      <c r="C611" s="242"/>
      <c r="D611" s="242"/>
      <c r="E611" s="243"/>
      <c r="F611" s="244"/>
      <c r="G611" s="244"/>
      <c r="H611" s="243"/>
      <c r="I611" s="258"/>
      <c r="J611" s="245"/>
      <c r="K611" s="245"/>
      <c r="L611" s="76">
        <f t="shared" si="90"/>
        <v>0</v>
      </c>
      <c r="M611" s="246"/>
      <c r="N611" s="247"/>
      <c r="O611" s="248"/>
      <c r="P611" s="246"/>
      <c r="Q611" s="249"/>
      <c r="R611" s="250"/>
      <c r="S611" s="259"/>
      <c r="T611" s="260"/>
      <c r="U611" s="250"/>
      <c r="V611" s="78">
        <f t="shared" si="91"/>
        <v>0</v>
      </c>
      <c r="W611" s="261">
        <f t="shared" si="92"/>
        <v>0</v>
      </c>
      <c r="X611" s="133">
        <f t="shared" si="93"/>
        <v>0</v>
      </c>
      <c r="Y611" s="251"/>
      <c r="Z611" s="1736"/>
      <c r="AA611" s="1737"/>
      <c r="AB611" s="77">
        <f t="shared" si="94"/>
        <v>0</v>
      </c>
      <c r="AC611" s="134">
        <f t="shared" si="95"/>
        <v>0</v>
      </c>
      <c r="AD611" s="251"/>
      <c r="AE611" s="1736"/>
      <c r="AF611" s="1737"/>
      <c r="AG611" s="77">
        <f t="shared" si="96"/>
        <v>0</v>
      </c>
      <c r="AH611" s="136">
        <f t="shared" si="97"/>
        <v>0</v>
      </c>
      <c r="AI611" s="251"/>
      <c r="AJ611" s="1736"/>
      <c r="AK611" s="1737"/>
      <c r="AL611" s="79">
        <f t="shared" si="98"/>
        <v>0</v>
      </c>
      <c r="AM611" s="137">
        <f t="shared" si="99"/>
        <v>0</v>
      </c>
      <c r="AN611" s="251"/>
      <c r="AO611" s="1736"/>
      <c r="AP611" s="1737"/>
    </row>
    <row r="612" spans="1:42" s="85" customFormat="1" ht="13.5" thickBot="1">
      <c r="A612" s="240"/>
      <c r="B612" s="241"/>
      <c r="C612" s="242"/>
      <c r="D612" s="242"/>
      <c r="E612" s="243"/>
      <c r="F612" s="244"/>
      <c r="G612" s="244"/>
      <c r="H612" s="243"/>
      <c r="I612" s="258"/>
      <c r="J612" s="245"/>
      <c r="K612" s="245"/>
      <c r="L612" s="76">
        <f t="shared" si="90"/>
        <v>0</v>
      </c>
      <c r="M612" s="246"/>
      <c r="N612" s="247"/>
      <c r="O612" s="248"/>
      <c r="P612" s="246"/>
      <c r="Q612" s="249"/>
      <c r="R612" s="250"/>
      <c r="S612" s="259"/>
      <c r="T612" s="260"/>
      <c r="U612" s="250"/>
      <c r="V612" s="78">
        <f t="shared" si="91"/>
        <v>0</v>
      </c>
      <c r="W612" s="261">
        <f t="shared" si="92"/>
        <v>0</v>
      </c>
      <c r="X612" s="133">
        <f t="shared" si="93"/>
        <v>0</v>
      </c>
      <c r="Y612" s="251"/>
      <c r="Z612" s="1736"/>
      <c r="AA612" s="1737"/>
      <c r="AB612" s="77">
        <f t="shared" si="94"/>
        <v>0</v>
      </c>
      <c r="AC612" s="134">
        <f t="shared" si="95"/>
        <v>0</v>
      </c>
      <c r="AD612" s="251"/>
      <c r="AE612" s="1736"/>
      <c r="AF612" s="1737"/>
      <c r="AG612" s="77">
        <f t="shared" si="96"/>
        <v>0</v>
      </c>
      <c r="AH612" s="136">
        <f t="shared" si="97"/>
        <v>0</v>
      </c>
      <c r="AI612" s="251"/>
      <c r="AJ612" s="1736"/>
      <c r="AK612" s="1737"/>
      <c r="AL612" s="79">
        <f t="shared" si="98"/>
        <v>0</v>
      </c>
      <c r="AM612" s="137">
        <f t="shared" si="99"/>
        <v>0</v>
      </c>
      <c r="AN612" s="251"/>
      <c r="AO612" s="1736"/>
      <c r="AP612" s="1737"/>
    </row>
    <row r="613" spans="1:42" s="85" customFormat="1" ht="13.5" thickBot="1">
      <c r="A613" s="240"/>
      <c r="B613" s="241"/>
      <c r="C613" s="242"/>
      <c r="D613" s="242"/>
      <c r="E613" s="243"/>
      <c r="F613" s="244"/>
      <c r="G613" s="244"/>
      <c r="H613" s="243"/>
      <c r="I613" s="258"/>
      <c r="J613" s="245"/>
      <c r="K613" s="245"/>
      <c r="L613" s="76">
        <f t="shared" si="90"/>
        <v>0</v>
      </c>
      <c r="M613" s="246"/>
      <c r="N613" s="247"/>
      <c r="O613" s="248"/>
      <c r="P613" s="246"/>
      <c r="Q613" s="249"/>
      <c r="R613" s="250"/>
      <c r="S613" s="259"/>
      <c r="T613" s="260"/>
      <c r="U613" s="250"/>
      <c r="V613" s="78">
        <f t="shared" si="91"/>
        <v>0</v>
      </c>
      <c r="W613" s="261">
        <f t="shared" si="92"/>
        <v>0</v>
      </c>
      <c r="X613" s="133">
        <f t="shared" si="93"/>
        <v>0</v>
      </c>
      <c r="Y613" s="251"/>
      <c r="Z613" s="1736"/>
      <c r="AA613" s="1737"/>
      <c r="AB613" s="77">
        <f t="shared" si="94"/>
        <v>0</v>
      </c>
      <c r="AC613" s="134">
        <f t="shared" si="95"/>
        <v>0</v>
      </c>
      <c r="AD613" s="251"/>
      <c r="AE613" s="1736"/>
      <c r="AF613" s="1737"/>
      <c r="AG613" s="77">
        <f t="shared" si="96"/>
        <v>0</v>
      </c>
      <c r="AH613" s="136">
        <f t="shared" si="97"/>
        <v>0</v>
      </c>
      <c r="AI613" s="251"/>
      <c r="AJ613" s="1736"/>
      <c r="AK613" s="1737"/>
      <c r="AL613" s="79">
        <f t="shared" si="98"/>
        <v>0</v>
      </c>
      <c r="AM613" s="137">
        <f t="shared" si="99"/>
        <v>0</v>
      </c>
      <c r="AN613" s="251"/>
      <c r="AO613" s="1736"/>
      <c r="AP613" s="1737"/>
    </row>
    <row r="614" spans="1:42" s="85" customFormat="1" ht="13.5" thickBot="1">
      <c r="A614" s="240"/>
      <c r="B614" s="241"/>
      <c r="C614" s="242"/>
      <c r="D614" s="242"/>
      <c r="E614" s="243"/>
      <c r="F614" s="244"/>
      <c r="G614" s="244"/>
      <c r="H614" s="243"/>
      <c r="I614" s="258"/>
      <c r="J614" s="245"/>
      <c r="K614" s="245"/>
      <c r="L614" s="76">
        <f t="shared" si="90"/>
        <v>0</v>
      </c>
      <c r="M614" s="246"/>
      <c r="N614" s="247"/>
      <c r="O614" s="248"/>
      <c r="P614" s="246"/>
      <c r="Q614" s="249"/>
      <c r="R614" s="250"/>
      <c r="S614" s="259"/>
      <c r="T614" s="260"/>
      <c r="U614" s="250"/>
      <c r="V614" s="78">
        <f t="shared" si="91"/>
        <v>0</v>
      </c>
      <c r="W614" s="261">
        <f t="shared" si="92"/>
        <v>0</v>
      </c>
      <c r="X614" s="133">
        <f t="shared" si="93"/>
        <v>0</v>
      </c>
      <c r="Y614" s="251"/>
      <c r="Z614" s="1736"/>
      <c r="AA614" s="1737"/>
      <c r="AB614" s="77">
        <f t="shared" si="94"/>
        <v>0</v>
      </c>
      <c r="AC614" s="134">
        <f t="shared" si="95"/>
        <v>0</v>
      </c>
      <c r="AD614" s="251"/>
      <c r="AE614" s="1736"/>
      <c r="AF614" s="1737"/>
      <c r="AG614" s="77">
        <f t="shared" si="96"/>
        <v>0</v>
      </c>
      <c r="AH614" s="136">
        <f t="shared" si="97"/>
        <v>0</v>
      </c>
      <c r="AI614" s="251"/>
      <c r="AJ614" s="1736"/>
      <c r="AK614" s="1737"/>
      <c r="AL614" s="79">
        <f t="shared" si="98"/>
        <v>0</v>
      </c>
      <c r="AM614" s="137">
        <f t="shared" si="99"/>
        <v>0</v>
      </c>
      <c r="AN614" s="251"/>
      <c r="AO614" s="1736"/>
      <c r="AP614" s="1737"/>
    </row>
    <row r="615" spans="1:42" s="85" customFormat="1" ht="13.5" thickBot="1">
      <c r="A615" s="240"/>
      <c r="B615" s="241"/>
      <c r="C615" s="242"/>
      <c r="D615" s="242"/>
      <c r="E615" s="243"/>
      <c r="F615" s="244"/>
      <c r="G615" s="244"/>
      <c r="H615" s="243"/>
      <c r="I615" s="258"/>
      <c r="J615" s="245"/>
      <c r="K615" s="245"/>
      <c r="L615" s="76">
        <f t="shared" si="90"/>
        <v>0</v>
      </c>
      <c r="M615" s="246"/>
      <c r="N615" s="247"/>
      <c r="O615" s="248"/>
      <c r="P615" s="246"/>
      <c r="Q615" s="249"/>
      <c r="R615" s="250"/>
      <c r="S615" s="259"/>
      <c r="T615" s="260"/>
      <c r="U615" s="250"/>
      <c r="V615" s="78">
        <f t="shared" si="91"/>
        <v>0</v>
      </c>
      <c r="W615" s="261">
        <f t="shared" si="92"/>
        <v>0</v>
      </c>
      <c r="X615" s="133">
        <f t="shared" si="93"/>
        <v>0</v>
      </c>
      <c r="Y615" s="251"/>
      <c r="Z615" s="1736"/>
      <c r="AA615" s="1737"/>
      <c r="AB615" s="77">
        <f t="shared" si="94"/>
        <v>0</v>
      </c>
      <c r="AC615" s="134">
        <f t="shared" si="95"/>
        <v>0</v>
      </c>
      <c r="AD615" s="251"/>
      <c r="AE615" s="1736"/>
      <c r="AF615" s="1737"/>
      <c r="AG615" s="77">
        <f t="shared" si="96"/>
        <v>0</v>
      </c>
      <c r="AH615" s="136">
        <f t="shared" si="97"/>
        <v>0</v>
      </c>
      <c r="AI615" s="251"/>
      <c r="AJ615" s="1736"/>
      <c r="AK615" s="1737"/>
      <c r="AL615" s="79">
        <f t="shared" si="98"/>
        <v>0</v>
      </c>
      <c r="AM615" s="137">
        <f t="shared" si="99"/>
        <v>0</v>
      </c>
      <c r="AN615" s="251"/>
      <c r="AO615" s="1736"/>
      <c r="AP615" s="1737"/>
    </row>
    <row r="616" spans="1:42" s="85" customFormat="1" ht="13.5" thickBot="1">
      <c r="A616" s="240"/>
      <c r="B616" s="241"/>
      <c r="C616" s="242"/>
      <c r="D616" s="242"/>
      <c r="E616" s="243"/>
      <c r="F616" s="244"/>
      <c r="G616" s="244"/>
      <c r="H616" s="243"/>
      <c r="I616" s="258"/>
      <c r="J616" s="245"/>
      <c r="K616" s="245"/>
      <c r="L616" s="76">
        <f t="shared" si="90"/>
        <v>0</v>
      </c>
      <c r="M616" s="246"/>
      <c r="N616" s="247"/>
      <c r="O616" s="248"/>
      <c r="P616" s="246"/>
      <c r="Q616" s="249"/>
      <c r="R616" s="250"/>
      <c r="S616" s="259"/>
      <c r="T616" s="260"/>
      <c r="U616" s="250"/>
      <c r="V616" s="78">
        <f t="shared" si="91"/>
        <v>0</v>
      </c>
      <c r="W616" s="261">
        <f t="shared" si="92"/>
        <v>0</v>
      </c>
      <c r="X616" s="133">
        <f t="shared" si="93"/>
        <v>0</v>
      </c>
      <c r="Y616" s="251"/>
      <c r="Z616" s="1736"/>
      <c r="AA616" s="1737"/>
      <c r="AB616" s="77">
        <f t="shared" si="94"/>
        <v>0</v>
      </c>
      <c r="AC616" s="134">
        <f t="shared" si="95"/>
        <v>0</v>
      </c>
      <c r="AD616" s="251"/>
      <c r="AE616" s="1736"/>
      <c r="AF616" s="1737"/>
      <c r="AG616" s="77">
        <f t="shared" si="96"/>
        <v>0</v>
      </c>
      <c r="AH616" s="136">
        <f t="shared" si="97"/>
        <v>0</v>
      </c>
      <c r="AI616" s="251"/>
      <c r="AJ616" s="1736"/>
      <c r="AK616" s="1737"/>
      <c r="AL616" s="79">
        <f t="shared" si="98"/>
        <v>0</v>
      </c>
      <c r="AM616" s="137">
        <f t="shared" si="99"/>
        <v>0</v>
      </c>
      <c r="AN616" s="251"/>
      <c r="AO616" s="1736"/>
      <c r="AP616" s="1737"/>
    </row>
    <row r="617" spans="1:42" s="85" customFormat="1" ht="13.5" thickBot="1">
      <c r="A617" s="240"/>
      <c r="B617" s="241"/>
      <c r="C617" s="242"/>
      <c r="D617" s="242"/>
      <c r="E617" s="243"/>
      <c r="F617" s="244"/>
      <c r="G617" s="244"/>
      <c r="H617" s="243"/>
      <c r="I617" s="258"/>
      <c r="J617" s="245"/>
      <c r="K617" s="245"/>
      <c r="L617" s="76">
        <f t="shared" si="90"/>
        <v>0</v>
      </c>
      <c r="M617" s="246"/>
      <c r="N617" s="247"/>
      <c r="O617" s="248"/>
      <c r="P617" s="246"/>
      <c r="Q617" s="249"/>
      <c r="R617" s="250"/>
      <c r="S617" s="259"/>
      <c r="T617" s="260"/>
      <c r="U617" s="250"/>
      <c r="V617" s="78">
        <f t="shared" si="91"/>
        <v>0</v>
      </c>
      <c r="W617" s="261">
        <f t="shared" si="92"/>
        <v>0</v>
      </c>
      <c r="X617" s="133">
        <f t="shared" si="93"/>
        <v>0</v>
      </c>
      <c r="Y617" s="251"/>
      <c r="Z617" s="1736"/>
      <c r="AA617" s="1737"/>
      <c r="AB617" s="77">
        <f t="shared" si="94"/>
        <v>0</v>
      </c>
      <c r="AC617" s="134">
        <f t="shared" si="95"/>
        <v>0</v>
      </c>
      <c r="AD617" s="251"/>
      <c r="AE617" s="1736"/>
      <c r="AF617" s="1737"/>
      <c r="AG617" s="77">
        <f t="shared" si="96"/>
        <v>0</v>
      </c>
      <c r="AH617" s="136">
        <f t="shared" si="97"/>
        <v>0</v>
      </c>
      <c r="AI617" s="251"/>
      <c r="AJ617" s="1736"/>
      <c r="AK617" s="1737"/>
      <c r="AL617" s="79">
        <f t="shared" si="98"/>
        <v>0</v>
      </c>
      <c r="AM617" s="137">
        <f t="shared" si="99"/>
        <v>0</v>
      </c>
      <c r="AN617" s="251"/>
      <c r="AO617" s="1736"/>
      <c r="AP617" s="1737"/>
    </row>
    <row r="618" spans="1:42" s="85" customFormat="1" ht="13.5" thickBot="1">
      <c r="A618" s="240"/>
      <c r="B618" s="241"/>
      <c r="C618" s="242"/>
      <c r="D618" s="242"/>
      <c r="E618" s="243"/>
      <c r="F618" s="244"/>
      <c r="G618" s="244"/>
      <c r="H618" s="243"/>
      <c r="I618" s="258"/>
      <c r="J618" s="245"/>
      <c r="K618" s="245"/>
      <c r="L618" s="76">
        <f t="shared" si="90"/>
        <v>0</v>
      </c>
      <c r="M618" s="246"/>
      <c r="N618" s="247"/>
      <c r="O618" s="248"/>
      <c r="P618" s="246"/>
      <c r="Q618" s="249"/>
      <c r="R618" s="250"/>
      <c r="S618" s="259"/>
      <c r="T618" s="260"/>
      <c r="U618" s="250"/>
      <c r="V618" s="78">
        <f t="shared" si="91"/>
        <v>0</v>
      </c>
      <c r="W618" s="261">
        <f t="shared" si="92"/>
        <v>0</v>
      </c>
      <c r="X618" s="133">
        <f t="shared" si="93"/>
        <v>0</v>
      </c>
      <c r="Y618" s="251"/>
      <c r="Z618" s="1736"/>
      <c r="AA618" s="1737"/>
      <c r="AB618" s="77">
        <f t="shared" si="94"/>
        <v>0</v>
      </c>
      <c r="AC618" s="134">
        <f t="shared" si="95"/>
        <v>0</v>
      </c>
      <c r="AD618" s="251"/>
      <c r="AE618" s="1736"/>
      <c r="AF618" s="1737"/>
      <c r="AG618" s="77">
        <f t="shared" si="96"/>
        <v>0</v>
      </c>
      <c r="AH618" s="136">
        <f t="shared" si="97"/>
        <v>0</v>
      </c>
      <c r="AI618" s="251"/>
      <c r="AJ618" s="1736"/>
      <c r="AK618" s="1737"/>
      <c r="AL618" s="79">
        <f t="shared" si="98"/>
        <v>0</v>
      </c>
      <c r="AM618" s="137">
        <f t="shared" si="99"/>
        <v>0</v>
      </c>
      <c r="AN618" s="251"/>
      <c r="AO618" s="1736"/>
      <c r="AP618" s="1737"/>
    </row>
    <row r="619" spans="1:42" s="85" customFormat="1" ht="13.5" thickBot="1">
      <c r="A619" s="240"/>
      <c r="B619" s="241"/>
      <c r="C619" s="242"/>
      <c r="D619" s="242"/>
      <c r="E619" s="243"/>
      <c r="F619" s="244"/>
      <c r="G619" s="244"/>
      <c r="H619" s="243"/>
      <c r="I619" s="258"/>
      <c r="J619" s="245"/>
      <c r="K619" s="245"/>
      <c r="L619" s="76">
        <f t="shared" si="90"/>
        <v>0</v>
      </c>
      <c r="M619" s="246"/>
      <c r="N619" s="247"/>
      <c r="O619" s="248"/>
      <c r="P619" s="246"/>
      <c r="Q619" s="249"/>
      <c r="R619" s="250"/>
      <c r="S619" s="259"/>
      <c r="T619" s="260"/>
      <c r="U619" s="250"/>
      <c r="V619" s="78">
        <f t="shared" si="91"/>
        <v>0</v>
      </c>
      <c r="W619" s="261">
        <f t="shared" si="92"/>
        <v>0</v>
      </c>
      <c r="X619" s="133">
        <f t="shared" si="93"/>
        <v>0</v>
      </c>
      <c r="Y619" s="251"/>
      <c r="Z619" s="1736"/>
      <c r="AA619" s="1737"/>
      <c r="AB619" s="77">
        <f t="shared" si="94"/>
        <v>0</v>
      </c>
      <c r="AC619" s="134">
        <f t="shared" si="95"/>
        <v>0</v>
      </c>
      <c r="AD619" s="251"/>
      <c r="AE619" s="1736"/>
      <c r="AF619" s="1737"/>
      <c r="AG619" s="77">
        <f t="shared" si="96"/>
        <v>0</v>
      </c>
      <c r="AH619" s="136">
        <f t="shared" si="97"/>
        <v>0</v>
      </c>
      <c r="AI619" s="251"/>
      <c r="AJ619" s="1736"/>
      <c r="AK619" s="1737"/>
      <c r="AL619" s="79">
        <f t="shared" si="98"/>
        <v>0</v>
      </c>
      <c r="AM619" s="137">
        <f t="shared" si="99"/>
        <v>0</v>
      </c>
      <c r="AN619" s="251"/>
      <c r="AO619" s="1736"/>
      <c r="AP619" s="1737"/>
    </row>
    <row r="620" spans="1:42" s="85" customFormat="1" ht="13.5" thickBot="1">
      <c r="A620" s="240"/>
      <c r="B620" s="241"/>
      <c r="C620" s="242"/>
      <c r="D620" s="242"/>
      <c r="E620" s="243"/>
      <c r="F620" s="244"/>
      <c r="G620" s="244"/>
      <c r="H620" s="243"/>
      <c r="I620" s="258"/>
      <c r="J620" s="245"/>
      <c r="K620" s="245"/>
      <c r="L620" s="76">
        <f t="shared" si="90"/>
        <v>0</v>
      </c>
      <c r="M620" s="246"/>
      <c r="N620" s="247"/>
      <c r="O620" s="248"/>
      <c r="P620" s="246"/>
      <c r="Q620" s="249"/>
      <c r="R620" s="250"/>
      <c r="S620" s="259"/>
      <c r="T620" s="260"/>
      <c r="U620" s="250"/>
      <c r="V620" s="78">
        <f t="shared" si="91"/>
        <v>0</v>
      </c>
      <c r="W620" s="261">
        <f t="shared" si="92"/>
        <v>0</v>
      </c>
      <c r="X620" s="133">
        <f t="shared" si="93"/>
        <v>0</v>
      </c>
      <c r="Y620" s="251"/>
      <c r="Z620" s="1736"/>
      <c r="AA620" s="1737"/>
      <c r="AB620" s="77">
        <f t="shared" si="94"/>
        <v>0</v>
      </c>
      <c r="AC620" s="134">
        <f t="shared" si="95"/>
        <v>0</v>
      </c>
      <c r="AD620" s="251"/>
      <c r="AE620" s="1736"/>
      <c r="AF620" s="1737"/>
      <c r="AG620" s="77">
        <f t="shared" si="96"/>
        <v>0</v>
      </c>
      <c r="AH620" s="136">
        <f t="shared" si="97"/>
        <v>0</v>
      </c>
      <c r="AI620" s="251"/>
      <c r="AJ620" s="1736"/>
      <c r="AK620" s="1737"/>
      <c r="AL620" s="79">
        <f t="shared" si="98"/>
        <v>0</v>
      </c>
      <c r="AM620" s="137">
        <f t="shared" si="99"/>
        <v>0</v>
      </c>
      <c r="AN620" s="251"/>
      <c r="AO620" s="1736"/>
      <c r="AP620" s="1737"/>
    </row>
    <row r="621" spans="1:42" s="85" customFormat="1" ht="13.5" thickBot="1">
      <c r="A621" s="240"/>
      <c r="B621" s="241"/>
      <c r="C621" s="242"/>
      <c r="D621" s="242"/>
      <c r="E621" s="243"/>
      <c r="F621" s="244"/>
      <c r="G621" s="244"/>
      <c r="H621" s="243"/>
      <c r="I621" s="258"/>
      <c r="J621" s="245"/>
      <c r="K621" s="245"/>
      <c r="L621" s="76">
        <f t="shared" si="90"/>
        <v>0</v>
      </c>
      <c r="M621" s="246"/>
      <c r="N621" s="247"/>
      <c r="O621" s="248"/>
      <c r="P621" s="246"/>
      <c r="Q621" s="249"/>
      <c r="R621" s="250"/>
      <c r="S621" s="259"/>
      <c r="T621" s="260"/>
      <c r="U621" s="250"/>
      <c r="V621" s="78">
        <f t="shared" si="91"/>
        <v>0</v>
      </c>
      <c r="W621" s="261">
        <f t="shared" si="92"/>
        <v>0</v>
      </c>
      <c r="X621" s="133">
        <f t="shared" si="93"/>
        <v>0</v>
      </c>
      <c r="Y621" s="251"/>
      <c r="Z621" s="1736"/>
      <c r="AA621" s="1737"/>
      <c r="AB621" s="77">
        <f t="shared" si="94"/>
        <v>0</v>
      </c>
      <c r="AC621" s="134">
        <f t="shared" si="95"/>
        <v>0</v>
      </c>
      <c r="AD621" s="251"/>
      <c r="AE621" s="1736"/>
      <c r="AF621" s="1737"/>
      <c r="AG621" s="77">
        <f t="shared" si="96"/>
        <v>0</v>
      </c>
      <c r="AH621" s="136">
        <f t="shared" si="97"/>
        <v>0</v>
      </c>
      <c r="AI621" s="251"/>
      <c r="AJ621" s="1736"/>
      <c r="AK621" s="1737"/>
      <c r="AL621" s="79">
        <f t="shared" si="98"/>
        <v>0</v>
      </c>
      <c r="AM621" s="137">
        <f t="shared" si="99"/>
        <v>0</v>
      </c>
      <c r="AN621" s="251"/>
      <c r="AO621" s="1736"/>
      <c r="AP621" s="1737"/>
    </row>
    <row r="622" spans="1:42" s="85" customFormat="1" ht="13.5" thickBot="1">
      <c r="A622" s="240"/>
      <c r="B622" s="241"/>
      <c r="C622" s="242"/>
      <c r="D622" s="242"/>
      <c r="E622" s="243"/>
      <c r="F622" s="244"/>
      <c r="G622" s="244"/>
      <c r="H622" s="243"/>
      <c r="I622" s="258"/>
      <c r="J622" s="245"/>
      <c r="K622" s="245"/>
      <c r="L622" s="76">
        <f t="shared" si="90"/>
        <v>0</v>
      </c>
      <c r="M622" s="246"/>
      <c r="N622" s="247"/>
      <c r="O622" s="248"/>
      <c r="P622" s="246"/>
      <c r="Q622" s="249"/>
      <c r="R622" s="250"/>
      <c r="S622" s="259"/>
      <c r="T622" s="260"/>
      <c r="U622" s="250"/>
      <c r="V622" s="78">
        <f t="shared" si="91"/>
        <v>0</v>
      </c>
      <c r="W622" s="261">
        <f t="shared" si="92"/>
        <v>0</v>
      </c>
      <c r="X622" s="133">
        <f t="shared" si="93"/>
        <v>0</v>
      </c>
      <c r="Y622" s="251"/>
      <c r="Z622" s="1736"/>
      <c r="AA622" s="1737"/>
      <c r="AB622" s="77">
        <f t="shared" si="94"/>
        <v>0</v>
      </c>
      <c r="AC622" s="134">
        <f t="shared" si="95"/>
        <v>0</v>
      </c>
      <c r="AD622" s="251"/>
      <c r="AE622" s="1736"/>
      <c r="AF622" s="1737"/>
      <c r="AG622" s="77">
        <f t="shared" si="96"/>
        <v>0</v>
      </c>
      <c r="AH622" s="136">
        <f t="shared" si="97"/>
        <v>0</v>
      </c>
      <c r="AI622" s="251"/>
      <c r="AJ622" s="1736"/>
      <c r="AK622" s="1737"/>
      <c r="AL622" s="79">
        <f t="shared" si="98"/>
        <v>0</v>
      </c>
      <c r="AM622" s="137">
        <f t="shared" si="99"/>
        <v>0</v>
      </c>
      <c r="AN622" s="251"/>
      <c r="AO622" s="1736"/>
      <c r="AP622" s="1737"/>
    </row>
    <row r="623" spans="1:42" s="85" customFormat="1" ht="13.5" thickBot="1">
      <c r="A623" s="240"/>
      <c r="B623" s="241"/>
      <c r="C623" s="242"/>
      <c r="D623" s="242"/>
      <c r="E623" s="243"/>
      <c r="F623" s="244"/>
      <c r="G623" s="244"/>
      <c r="H623" s="243"/>
      <c r="I623" s="258"/>
      <c r="J623" s="245"/>
      <c r="K623" s="245"/>
      <c r="L623" s="76">
        <f t="shared" si="90"/>
        <v>0</v>
      </c>
      <c r="M623" s="246"/>
      <c r="N623" s="247"/>
      <c r="O623" s="248"/>
      <c r="P623" s="246"/>
      <c r="Q623" s="249"/>
      <c r="R623" s="250"/>
      <c r="S623" s="259"/>
      <c r="T623" s="260"/>
      <c r="U623" s="250"/>
      <c r="V623" s="78">
        <f t="shared" si="91"/>
        <v>0</v>
      </c>
      <c r="W623" s="261">
        <f t="shared" si="92"/>
        <v>0</v>
      </c>
      <c r="X623" s="133">
        <f t="shared" si="93"/>
        <v>0</v>
      </c>
      <c r="Y623" s="251"/>
      <c r="Z623" s="1736"/>
      <c r="AA623" s="1737"/>
      <c r="AB623" s="77">
        <f t="shared" si="94"/>
        <v>0</v>
      </c>
      <c r="AC623" s="134">
        <f t="shared" si="95"/>
        <v>0</v>
      </c>
      <c r="AD623" s="251"/>
      <c r="AE623" s="1736"/>
      <c r="AF623" s="1737"/>
      <c r="AG623" s="77">
        <f t="shared" si="96"/>
        <v>0</v>
      </c>
      <c r="AH623" s="136">
        <f t="shared" si="97"/>
        <v>0</v>
      </c>
      <c r="AI623" s="251"/>
      <c r="AJ623" s="1736"/>
      <c r="AK623" s="1737"/>
      <c r="AL623" s="79">
        <f t="shared" si="98"/>
        <v>0</v>
      </c>
      <c r="AM623" s="137">
        <f t="shared" si="99"/>
        <v>0</v>
      </c>
      <c r="AN623" s="251"/>
      <c r="AO623" s="1736"/>
      <c r="AP623" s="1737"/>
    </row>
    <row r="624" spans="1:42" s="85" customFormat="1" ht="13.5" thickBot="1">
      <c r="A624" s="240"/>
      <c r="B624" s="241"/>
      <c r="C624" s="242"/>
      <c r="D624" s="242"/>
      <c r="E624" s="243"/>
      <c r="F624" s="244"/>
      <c r="G624" s="244"/>
      <c r="H624" s="243"/>
      <c r="I624" s="258"/>
      <c r="J624" s="245"/>
      <c r="K624" s="245"/>
      <c r="L624" s="76">
        <f t="shared" si="90"/>
        <v>0</v>
      </c>
      <c r="M624" s="246"/>
      <c r="N624" s="247"/>
      <c r="O624" s="248"/>
      <c r="P624" s="246"/>
      <c r="Q624" s="249"/>
      <c r="R624" s="250"/>
      <c r="S624" s="259"/>
      <c r="T624" s="260"/>
      <c r="U624" s="250"/>
      <c r="V624" s="78">
        <f t="shared" si="91"/>
        <v>0</v>
      </c>
      <c r="W624" s="261">
        <f t="shared" si="92"/>
        <v>0</v>
      </c>
      <c r="X624" s="133">
        <f t="shared" si="93"/>
        <v>0</v>
      </c>
      <c r="Y624" s="251"/>
      <c r="Z624" s="1736"/>
      <c r="AA624" s="1737"/>
      <c r="AB624" s="77">
        <f t="shared" si="94"/>
        <v>0</v>
      </c>
      <c r="AC624" s="134">
        <f t="shared" si="95"/>
        <v>0</v>
      </c>
      <c r="AD624" s="251"/>
      <c r="AE624" s="1736"/>
      <c r="AF624" s="1737"/>
      <c r="AG624" s="77">
        <f t="shared" si="96"/>
        <v>0</v>
      </c>
      <c r="AH624" s="136">
        <f t="shared" si="97"/>
        <v>0</v>
      </c>
      <c r="AI624" s="251"/>
      <c r="AJ624" s="1736"/>
      <c r="AK624" s="1737"/>
      <c r="AL624" s="79">
        <f t="shared" si="98"/>
        <v>0</v>
      </c>
      <c r="AM624" s="137">
        <f t="shared" si="99"/>
        <v>0</v>
      </c>
      <c r="AN624" s="251"/>
      <c r="AO624" s="1736"/>
      <c r="AP624" s="1737"/>
    </row>
    <row r="625" spans="1:42" s="85" customFormat="1" ht="13.5" thickBot="1">
      <c r="A625" s="240"/>
      <c r="B625" s="241"/>
      <c r="C625" s="242"/>
      <c r="D625" s="242"/>
      <c r="E625" s="243"/>
      <c r="F625" s="244"/>
      <c r="G625" s="244"/>
      <c r="H625" s="243"/>
      <c r="I625" s="258"/>
      <c r="J625" s="245"/>
      <c r="K625" s="245"/>
      <c r="L625" s="76">
        <f t="shared" si="90"/>
        <v>0</v>
      </c>
      <c r="M625" s="246"/>
      <c r="N625" s="247"/>
      <c r="O625" s="248"/>
      <c r="P625" s="246"/>
      <c r="Q625" s="249"/>
      <c r="R625" s="250"/>
      <c r="S625" s="259"/>
      <c r="T625" s="260"/>
      <c r="U625" s="250"/>
      <c r="V625" s="78">
        <f t="shared" si="91"/>
        <v>0</v>
      </c>
      <c r="W625" s="261">
        <f t="shared" si="92"/>
        <v>0</v>
      </c>
      <c r="X625" s="133">
        <f t="shared" si="93"/>
        <v>0</v>
      </c>
      <c r="Y625" s="251"/>
      <c r="Z625" s="1736"/>
      <c r="AA625" s="1737"/>
      <c r="AB625" s="77">
        <f t="shared" si="94"/>
        <v>0</v>
      </c>
      <c r="AC625" s="134">
        <f t="shared" si="95"/>
        <v>0</v>
      </c>
      <c r="AD625" s="251"/>
      <c r="AE625" s="1736"/>
      <c r="AF625" s="1737"/>
      <c r="AG625" s="77">
        <f t="shared" si="96"/>
        <v>0</v>
      </c>
      <c r="AH625" s="136">
        <f t="shared" si="97"/>
        <v>0</v>
      </c>
      <c r="AI625" s="251"/>
      <c r="AJ625" s="1736"/>
      <c r="AK625" s="1737"/>
      <c r="AL625" s="79">
        <f t="shared" si="98"/>
        <v>0</v>
      </c>
      <c r="AM625" s="137">
        <f t="shared" si="99"/>
        <v>0</v>
      </c>
      <c r="AN625" s="251"/>
      <c r="AO625" s="1736"/>
      <c r="AP625" s="1737"/>
    </row>
    <row r="626" spans="1:42" s="85" customFormat="1" ht="13.5" thickBot="1">
      <c r="A626" s="240"/>
      <c r="B626" s="241"/>
      <c r="C626" s="242"/>
      <c r="D626" s="242"/>
      <c r="E626" s="243"/>
      <c r="F626" s="244"/>
      <c r="G626" s="244"/>
      <c r="H626" s="243"/>
      <c r="I626" s="258"/>
      <c r="J626" s="245"/>
      <c r="K626" s="245"/>
      <c r="L626" s="76">
        <f t="shared" si="90"/>
        <v>0</v>
      </c>
      <c r="M626" s="246"/>
      <c r="N626" s="247"/>
      <c r="O626" s="248"/>
      <c r="P626" s="246"/>
      <c r="Q626" s="249"/>
      <c r="R626" s="250"/>
      <c r="S626" s="259"/>
      <c r="T626" s="260"/>
      <c r="U626" s="250"/>
      <c r="V626" s="78">
        <f t="shared" si="91"/>
        <v>0</v>
      </c>
      <c r="W626" s="261">
        <f t="shared" si="92"/>
        <v>0</v>
      </c>
      <c r="X626" s="133">
        <f t="shared" si="93"/>
        <v>0</v>
      </c>
      <c r="Y626" s="251"/>
      <c r="Z626" s="1736"/>
      <c r="AA626" s="1737"/>
      <c r="AB626" s="77">
        <f t="shared" si="94"/>
        <v>0</v>
      </c>
      <c r="AC626" s="134">
        <f t="shared" si="95"/>
        <v>0</v>
      </c>
      <c r="AD626" s="251"/>
      <c r="AE626" s="1736"/>
      <c r="AF626" s="1737"/>
      <c r="AG626" s="77">
        <f t="shared" si="96"/>
        <v>0</v>
      </c>
      <c r="AH626" s="136">
        <f t="shared" si="97"/>
        <v>0</v>
      </c>
      <c r="AI626" s="251"/>
      <c r="AJ626" s="1736"/>
      <c r="AK626" s="1737"/>
      <c r="AL626" s="79">
        <f t="shared" si="98"/>
        <v>0</v>
      </c>
      <c r="AM626" s="137">
        <f t="shared" si="99"/>
        <v>0</v>
      </c>
      <c r="AN626" s="251"/>
      <c r="AO626" s="1736"/>
      <c r="AP626" s="1737"/>
    </row>
    <row r="627" spans="1:42" s="85" customFormat="1" ht="13.5" thickBot="1">
      <c r="A627" s="240"/>
      <c r="B627" s="241"/>
      <c r="C627" s="242"/>
      <c r="D627" s="242"/>
      <c r="E627" s="243"/>
      <c r="F627" s="244"/>
      <c r="G627" s="244"/>
      <c r="H627" s="243"/>
      <c r="I627" s="258"/>
      <c r="J627" s="245"/>
      <c r="K627" s="245"/>
      <c r="L627" s="76">
        <f t="shared" si="90"/>
        <v>0</v>
      </c>
      <c r="M627" s="246"/>
      <c r="N627" s="247"/>
      <c r="O627" s="248"/>
      <c r="P627" s="246"/>
      <c r="Q627" s="249"/>
      <c r="R627" s="250"/>
      <c r="S627" s="259"/>
      <c r="T627" s="260"/>
      <c r="U627" s="250"/>
      <c r="V627" s="78">
        <f t="shared" si="91"/>
        <v>0</v>
      </c>
      <c r="W627" s="261">
        <f t="shared" si="92"/>
        <v>0</v>
      </c>
      <c r="X627" s="133">
        <f t="shared" si="93"/>
        <v>0</v>
      </c>
      <c r="Y627" s="251"/>
      <c r="Z627" s="1736"/>
      <c r="AA627" s="1737"/>
      <c r="AB627" s="77">
        <f t="shared" si="94"/>
        <v>0</v>
      </c>
      <c r="AC627" s="134">
        <f t="shared" si="95"/>
        <v>0</v>
      </c>
      <c r="AD627" s="251"/>
      <c r="AE627" s="1736"/>
      <c r="AF627" s="1737"/>
      <c r="AG627" s="77">
        <f t="shared" si="96"/>
        <v>0</v>
      </c>
      <c r="AH627" s="136">
        <f t="shared" si="97"/>
        <v>0</v>
      </c>
      <c r="AI627" s="251"/>
      <c r="AJ627" s="1736"/>
      <c r="AK627" s="1737"/>
      <c r="AL627" s="79">
        <f t="shared" si="98"/>
        <v>0</v>
      </c>
      <c r="AM627" s="137">
        <f t="shared" si="99"/>
        <v>0</v>
      </c>
      <c r="AN627" s="251"/>
      <c r="AO627" s="1736"/>
      <c r="AP627" s="1737"/>
    </row>
    <row r="628" spans="1:42" s="85" customFormat="1" ht="13.5" thickBot="1">
      <c r="A628" s="240"/>
      <c r="B628" s="241"/>
      <c r="C628" s="242"/>
      <c r="D628" s="242"/>
      <c r="E628" s="243"/>
      <c r="F628" s="244"/>
      <c r="G628" s="244"/>
      <c r="H628" s="243"/>
      <c r="I628" s="258"/>
      <c r="J628" s="245"/>
      <c r="K628" s="245"/>
      <c r="L628" s="76">
        <f t="shared" si="90"/>
        <v>0</v>
      </c>
      <c r="M628" s="246"/>
      <c r="N628" s="247"/>
      <c r="O628" s="248"/>
      <c r="P628" s="246"/>
      <c r="Q628" s="249"/>
      <c r="R628" s="250"/>
      <c r="S628" s="259"/>
      <c r="T628" s="260"/>
      <c r="U628" s="250"/>
      <c r="V628" s="78">
        <f t="shared" si="91"/>
        <v>0</v>
      </c>
      <c r="W628" s="261">
        <f t="shared" si="92"/>
        <v>0</v>
      </c>
      <c r="X628" s="133">
        <f t="shared" si="93"/>
        <v>0</v>
      </c>
      <c r="Y628" s="251"/>
      <c r="Z628" s="1736"/>
      <c r="AA628" s="1737"/>
      <c r="AB628" s="77">
        <f t="shared" si="94"/>
        <v>0</v>
      </c>
      <c r="AC628" s="134">
        <f t="shared" si="95"/>
        <v>0</v>
      </c>
      <c r="AD628" s="251"/>
      <c r="AE628" s="1736"/>
      <c r="AF628" s="1737"/>
      <c r="AG628" s="77">
        <f t="shared" si="96"/>
        <v>0</v>
      </c>
      <c r="AH628" s="136">
        <f t="shared" si="97"/>
        <v>0</v>
      </c>
      <c r="AI628" s="251"/>
      <c r="AJ628" s="1736"/>
      <c r="AK628" s="1737"/>
      <c r="AL628" s="79">
        <f t="shared" si="98"/>
        <v>0</v>
      </c>
      <c r="AM628" s="137">
        <f t="shared" si="99"/>
        <v>0</v>
      </c>
      <c r="AN628" s="251"/>
      <c r="AO628" s="1736"/>
      <c r="AP628" s="1737"/>
    </row>
    <row r="629" spans="1:42" s="85" customFormat="1" ht="13.5" thickBot="1">
      <c r="A629" s="240"/>
      <c r="B629" s="241"/>
      <c r="C629" s="242"/>
      <c r="D629" s="242"/>
      <c r="E629" s="243"/>
      <c r="F629" s="244"/>
      <c r="G629" s="244"/>
      <c r="H629" s="243"/>
      <c r="I629" s="258"/>
      <c r="J629" s="245"/>
      <c r="K629" s="245"/>
      <c r="L629" s="76">
        <f t="shared" si="90"/>
        <v>0</v>
      </c>
      <c r="M629" s="246"/>
      <c r="N629" s="247"/>
      <c r="O629" s="248"/>
      <c r="P629" s="246"/>
      <c r="Q629" s="249"/>
      <c r="R629" s="250"/>
      <c r="S629" s="259"/>
      <c r="T629" s="260"/>
      <c r="U629" s="250"/>
      <c r="V629" s="78">
        <f t="shared" si="91"/>
        <v>0</v>
      </c>
      <c r="W629" s="261">
        <f t="shared" si="92"/>
        <v>0</v>
      </c>
      <c r="X629" s="133">
        <f t="shared" si="93"/>
        <v>0</v>
      </c>
      <c r="Y629" s="251"/>
      <c r="Z629" s="1736"/>
      <c r="AA629" s="1737"/>
      <c r="AB629" s="77">
        <f t="shared" si="94"/>
        <v>0</v>
      </c>
      <c r="AC629" s="134">
        <f t="shared" si="95"/>
        <v>0</v>
      </c>
      <c r="AD629" s="251"/>
      <c r="AE629" s="1736"/>
      <c r="AF629" s="1737"/>
      <c r="AG629" s="77">
        <f t="shared" si="96"/>
        <v>0</v>
      </c>
      <c r="AH629" s="136">
        <f t="shared" si="97"/>
        <v>0</v>
      </c>
      <c r="AI629" s="251"/>
      <c r="AJ629" s="1736"/>
      <c r="AK629" s="1737"/>
      <c r="AL629" s="79">
        <f t="shared" si="98"/>
        <v>0</v>
      </c>
      <c r="AM629" s="137">
        <f t="shared" si="99"/>
        <v>0</v>
      </c>
      <c r="AN629" s="251"/>
      <c r="AO629" s="1736"/>
      <c r="AP629" s="1737"/>
    </row>
    <row r="630" spans="1:42" s="85" customFormat="1" ht="13.5" thickBot="1">
      <c r="A630" s="240"/>
      <c r="B630" s="241"/>
      <c r="C630" s="242"/>
      <c r="D630" s="242"/>
      <c r="E630" s="243"/>
      <c r="F630" s="244"/>
      <c r="G630" s="244"/>
      <c r="H630" s="243"/>
      <c r="I630" s="258"/>
      <c r="J630" s="245"/>
      <c r="K630" s="245"/>
      <c r="L630" s="76">
        <f t="shared" si="90"/>
        <v>0</v>
      </c>
      <c r="M630" s="246"/>
      <c r="N630" s="247"/>
      <c r="O630" s="248"/>
      <c r="P630" s="246"/>
      <c r="Q630" s="249"/>
      <c r="R630" s="250"/>
      <c r="S630" s="259"/>
      <c r="T630" s="260"/>
      <c r="U630" s="250"/>
      <c r="V630" s="78">
        <f t="shared" si="91"/>
        <v>0</v>
      </c>
      <c r="W630" s="261">
        <f t="shared" si="92"/>
        <v>0</v>
      </c>
      <c r="X630" s="133">
        <f t="shared" si="93"/>
        <v>0</v>
      </c>
      <c r="Y630" s="251"/>
      <c r="Z630" s="1736"/>
      <c r="AA630" s="1737"/>
      <c r="AB630" s="77">
        <f t="shared" si="94"/>
        <v>0</v>
      </c>
      <c r="AC630" s="134">
        <f t="shared" si="95"/>
        <v>0</v>
      </c>
      <c r="AD630" s="251"/>
      <c r="AE630" s="1736"/>
      <c r="AF630" s="1737"/>
      <c r="AG630" s="77">
        <f t="shared" si="96"/>
        <v>0</v>
      </c>
      <c r="AH630" s="136">
        <f t="shared" si="97"/>
        <v>0</v>
      </c>
      <c r="AI630" s="251"/>
      <c r="AJ630" s="1736"/>
      <c r="AK630" s="1737"/>
      <c r="AL630" s="79">
        <f t="shared" si="98"/>
        <v>0</v>
      </c>
      <c r="AM630" s="137">
        <f t="shared" si="99"/>
        <v>0</v>
      </c>
      <c r="AN630" s="251"/>
      <c r="AO630" s="1736"/>
      <c r="AP630" s="1737"/>
    </row>
    <row r="631" spans="1:42" s="85" customFormat="1" ht="13.5" thickBot="1">
      <c r="A631" s="240"/>
      <c r="B631" s="241"/>
      <c r="C631" s="242"/>
      <c r="D631" s="242"/>
      <c r="E631" s="243"/>
      <c r="F631" s="244"/>
      <c r="G631" s="244"/>
      <c r="H631" s="243"/>
      <c r="I631" s="258"/>
      <c r="J631" s="245"/>
      <c r="K631" s="245"/>
      <c r="L631" s="76">
        <f t="shared" si="90"/>
        <v>0</v>
      </c>
      <c r="M631" s="246"/>
      <c r="N631" s="247"/>
      <c r="O631" s="248"/>
      <c r="P631" s="246"/>
      <c r="Q631" s="249"/>
      <c r="R631" s="250"/>
      <c r="S631" s="259"/>
      <c r="T631" s="260"/>
      <c r="U631" s="250"/>
      <c r="V631" s="78">
        <f t="shared" si="91"/>
        <v>0</v>
      </c>
      <c r="W631" s="261">
        <f t="shared" si="92"/>
        <v>0</v>
      </c>
      <c r="X631" s="133">
        <f t="shared" si="93"/>
        <v>0</v>
      </c>
      <c r="Y631" s="251"/>
      <c r="Z631" s="1736"/>
      <c r="AA631" s="1737"/>
      <c r="AB631" s="77">
        <f t="shared" si="94"/>
        <v>0</v>
      </c>
      <c r="AC631" s="134">
        <f t="shared" si="95"/>
        <v>0</v>
      </c>
      <c r="AD631" s="251"/>
      <c r="AE631" s="1736"/>
      <c r="AF631" s="1737"/>
      <c r="AG631" s="77">
        <f t="shared" si="96"/>
        <v>0</v>
      </c>
      <c r="AH631" s="136">
        <f t="shared" si="97"/>
        <v>0</v>
      </c>
      <c r="AI631" s="251"/>
      <c r="AJ631" s="1736"/>
      <c r="AK631" s="1737"/>
      <c r="AL631" s="79">
        <f t="shared" si="98"/>
        <v>0</v>
      </c>
      <c r="AM631" s="137">
        <f t="shared" si="99"/>
        <v>0</v>
      </c>
      <c r="AN631" s="251"/>
      <c r="AO631" s="1736"/>
      <c r="AP631" s="1737"/>
    </row>
    <row r="632" spans="1:42" s="85" customFormat="1" ht="13.5" thickBot="1">
      <c r="A632" s="240"/>
      <c r="B632" s="241"/>
      <c r="C632" s="242"/>
      <c r="D632" s="242"/>
      <c r="E632" s="243"/>
      <c r="F632" s="244"/>
      <c r="G632" s="244"/>
      <c r="H632" s="243"/>
      <c r="I632" s="258"/>
      <c r="J632" s="245"/>
      <c r="K632" s="245"/>
      <c r="L632" s="76">
        <f t="shared" si="90"/>
        <v>0</v>
      </c>
      <c r="M632" s="246"/>
      <c r="N632" s="247"/>
      <c r="O632" s="248"/>
      <c r="P632" s="246"/>
      <c r="Q632" s="249"/>
      <c r="R632" s="250"/>
      <c r="S632" s="259"/>
      <c r="T632" s="260"/>
      <c r="U632" s="250"/>
      <c r="V632" s="78">
        <f t="shared" si="91"/>
        <v>0</v>
      </c>
      <c r="W632" s="261">
        <f t="shared" si="92"/>
        <v>0</v>
      </c>
      <c r="X632" s="133">
        <f t="shared" si="93"/>
        <v>0</v>
      </c>
      <c r="Y632" s="251"/>
      <c r="Z632" s="1736"/>
      <c r="AA632" s="1737"/>
      <c r="AB632" s="77">
        <f t="shared" si="94"/>
        <v>0</v>
      </c>
      <c r="AC632" s="134">
        <f t="shared" si="95"/>
        <v>0</v>
      </c>
      <c r="AD632" s="251"/>
      <c r="AE632" s="1736"/>
      <c r="AF632" s="1737"/>
      <c r="AG632" s="77">
        <f t="shared" si="96"/>
        <v>0</v>
      </c>
      <c r="AH632" s="136">
        <f t="shared" si="97"/>
        <v>0</v>
      </c>
      <c r="AI632" s="251"/>
      <c r="AJ632" s="1736"/>
      <c r="AK632" s="1737"/>
      <c r="AL632" s="79">
        <f t="shared" si="98"/>
        <v>0</v>
      </c>
      <c r="AM632" s="137">
        <f t="shared" si="99"/>
        <v>0</v>
      </c>
      <c r="AN632" s="251"/>
      <c r="AO632" s="1736"/>
      <c r="AP632" s="1737"/>
    </row>
    <row r="633" spans="1:42" s="85" customFormat="1" ht="13.5" thickBot="1">
      <c r="A633" s="240"/>
      <c r="B633" s="241"/>
      <c r="C633" s="242"/>
      <c r="D633" s="242"/>
      <c r="E633" s="243"/>
      <c r="F633" s="244"/>
      <c r="G633" s="244"/>
      <c r="H633" s="243"/>
      <c r="I633" s="258"/>
      <c r="J633" s="245"/>
      <c r="K633" s="245"/>
      <c r="L633" s="76">
        <f t="shared" si="90"/>
        <v>0</v>
      </c>
      <c r="M633" s="246"/>
      <c r="N633" s="247"/>
      <c r="O633" s="248"/>
      <c r="P633" s="246"/>
      <c r="Q633" s="249"/>
      <c r="R633" s="250"/>
      <c r="S633" s="259"/>
      <c r="T633" s="260"/>
      <c r="U633" s="250"/>
      <c r="V633" s="78">
        <f t="shared" si="91"/>
        <v>0</v>
      </c>
      <c r="W633" s="261">
        <f t="shared" si="92"/>
        <v>0</v>
      </c>
      <c r="X633" s="133">
        <f t="shared" si="93"/>
        <v>0</v>
      </c>
      <c r="Y633" s="251"/>
      <c r="Z633" s="1736"/>
      <c r="AA633" s="1737"/>
      <c r="AB633" s="77">
        <f t="shared" si="94"/>
        <v>0</v>
      </c>
      <c r="AC633" s="134">
        <f t="shared" si="95"/>
        <v>0</v>
      </c>
      <c r="AD633" s="251"/>
      <c r="AE633" s="1736"/>
      <c r="AF633" s="1737"/>
      <c r="AG633" s="77">
        <f t="shared" si="96"/>
        <v>0</v>
      </c>
      <c r="AH633" s="136">
        <f t="shared" si="97"/>
        <v>0</v>
      </c>
      <c r="AI633" s="251"/>
      <c r="AJ633" s="1736"/>
      <c r="AK633" s="1737"/>
      <c r="AL633" s="79">
        <f t="shared" si="98"/>
        <v>0</v>
      </c>
      <c r="AM633" s="137">
        <f t="shared" si="99"/>
        <v>0</v>
      </c>
      <c r="AN633" s="251"/>
      <c r="AO633" s="1736"/>
      <c r="AP633" s="1737"/>
    </row>
    <row r="634" spans="1:42" s="85" customFormat="1" ht="13.5" thickBot="1">
      <c r="A634" s="240"/>
      <c r="B634" s="241"/>
      <c r="C634" s="242"/>
      <c r="D634" s="242"/>
      <c r="E634" s="243"/>
      <c r="F634" s="244"/>
      <c r="G634" s="244"/>
      <c r="H634" s="243"/>
      <c r="I634" s="258"/>
      <c r="J634" s="245"/>
      <c r="K634" s="245"/>
      <c r="L634" s="76">
        <f t="shared" si="90"/>
        <v>0</v>
      </c>
      <c r="M634" s="246"/>
      <c r="N634" s="247"/>
      <c r="O634" s="248"/>
      <c r="P634" s="246"/>
      <c r="Q634" s="249"/>
      <c r="R634" s="250"/>
      <c r="S634" s="259"/>
      <c r="T634" s="260"/>
      <c r="U634" s="250"/>
      <c r="V634" s="78">
        <f t="shared" si="91"/>
        <v>0</v>
      </c>
      <c r="W634" s="261">
        <f t="shared" si="92"/>
        <v>0</v>
      </c>
      <c r="X634" s="133">
        <f t="shared" si="93"/>
        <v>0</v>
      </c>
      <c r="Y634" s="251"/>
      <c r="Z634" s="1736"/>
      <c r="AA634" s="1737"/>
      <c r="AB634" s="77">
        <f t="shared" si="94"/>
        <v>0</v>
      </c>
      <c r="AC634" s="134">
        <f t="shared" si="95"/>
        <v>0</v>
      </c>
      <c r="AD634" s="251"/>
      <c r="AE634" s="1736"/>
      <c r="AF634" s="1737"/>
      <c r="AG634" s="77">
        <f t="shared" si="96"/>
        <v>0</v>
      </c>
      <c r="AH634" s="136">
        <f t="shared" si="97"/>
        <v>0</v>
      </c>
      <c r="AI634" s="251"/>
      <c r="AJ634" s="1736"/>
      <c r="AK634" s="1737"/>
      <c r="AL634" s="79">
        <f t="shared" si="98"/>
        <v>0</v>
      </c>
      <c r="AM634" s="137">
        <f t="shared" si="99"/>
        <v>0</v>
      </c>
      <c r="AN634" s="251"/>
      <c r="AO634" s="1736"/>
      <c r="AP634" s="1737"/>
    </row>
    <row r="635" spans="1:42" s="85" customFormat="1" ht="13.5" thickBot="1">
      <c r="A635" s="240"/>
      <c r="B635" s="241"/>
      <c r="C635" s="242"/>
      <c r="D635" s="242"/>
      <c r="E635" s="243"/>
      <c r="F635" s="244"/>
      <c r="G635" s="244"/>
      <c r="H635" s="243"/>
      <c r="I635" s="258"/>
      <c r="J635" s="245"/>
      <c r="K635" s="245"/>
      <c r="L635" s="76">
        <f t="shared" si="90"/>
        <v>0</v>
      </c>
      <c r="M635" s="246"/>
      <c r="N635" s="247"/>
      <c r="O635" s="248"/>
      <c r="P635" s="246"/>
      <c r="Q635" s="249"/>
      <c r="R635" s="250"/>
      <c r="S635" s="259"/>
      <c r="T635" s="260"/>
      <c r="U635" s="250"/>
      <c r="V635" s="78">
        <f t="shared" si="91"/>
        <v>0</v>
      </c>
      <c r="W635" s="261">
        <f t="shared" si="92"/>
        <v>0</v>
      </c>
      <c r="X635" s="133">
        <f t="shared" si="93"/>
        <v>0</v>
      </c>
      <c r="Y635" s="251"/>
      <c r="Z635" s="1736"/>
      <c r="AA635" s="1737"/>
      <c r="AB635" s="77">
        <f t="shared" si="94"/>
        <v>0</v>
      </c>
      <c r="AC635" s="134">
        <f t="shared" si="95"/>
        <v>0</v>
      </c>
      <c r="AD635" s="251"/>
      <c r="AE635" s="1736"/>
      <c r="AF635" s="1737"/>
      <c r="AG635" s="77">
        <f t="shared" si="96"/>
        <v>0</v>
      </c>
      <c r="AH635" s="136">
        <f t="shared" si="97"/>
        <v>0</v>
      </c>
      <c r="AI635" s="251"/>
      <c r="AJ635" s="1736"/>
      <c r="AK635" s="1737"/>
      <c r="AL635" s="79">
        <f t="shared" si="98"/>
        <v>0</v>
      </c>
      <c r="AM635" s="137">
        <f t="shared" si="99"/>
        <v>0</v>
      </c>
      <c r="AN635" s="251"/>
      <c r="AO635" s="1736"/>
      <c r="AP635" s="1737"/>
    </row>
    <row r="636" spans="1:42" s="85" customFormat="1" ht="13.5" thickBot="1">
      <c r="A636" s="240"/>
      <c r="B636" s="241"/>
      <c r="C636" s="242"/>
      <c r="D636" s="242"/>
      <c r="E636" s="243"/>
      <c r="F636" s="244"/>
      <c r="G636" s="244"/>
      <c r="H636" s="243"/>
      <c r="I636" s="258"/>
      <c r="J636" s="245"/>
      <c r="K636" s="245"/>
      <c r="L636" s="76">
        <f t="shared" si="90"/>
        <v>0</v>
      </c>
      <c r="M636" s="246"/>
      <c r="N636" s="247"/>
      <c r="O636" s="248"/>
      <c r="P636" s="246"/>
      <c r="Q636" s="249"/>
      <c r="R636" s="250"/>
      <c r="S636" s="259"/>
      <c r="T636" s="260"/>
      <c r="U636" s="250"/>
      <c r="V636" s="78">
        <f t="shared" si="91"/>
        <v>0</v>
      </c>
      <c r="W636" s="261">
        <f t="shared" si="92"/>
        <v>0</v>
      </c>
      <c r="X636" s="133">
        <f t="shared" si="93"/>
        <v>0</v>
      </c>
      <c r="Y636" s="251"/>
      <c r="Z636" s="1736"/>
      <c r="AA636" s="1737"/>
      <c r="AB636" s="77">
        <f t="shared" si="94"/>
        <v>0</v>
      </c>
      <c r="AC636" s="134">
        <f t="shared" si="95"/>
        <v>0</v>
      </c>
      <c r="AD636" s="251"/>
      <c r="AE636" s="1736"/>
      <c r="AF636" s="1737"/>
      <c r="AG636" s="77">
        <f t="shared" si="96"/>
        <v>0</v>
      </c>
      <c r="AH636" s="136">
        <f t="shared" si="97"/>
        <v>0</v>
      </c>
      <c r="AI636" s="251"/>
      <c r="AJ636" s="1736"/>
      <c r="AK636" s="1737"/>
      <c r="AL636" s="79">
        <f t="shared" si="98"/>
        <v>0</v>
      </c>
      <c r="AM636" s="137">
        <f t="shared" si="99"/>
        <v>0</v>
      </c>
      <c r="AN636" s="251"/>
      <c r="AO636" s="1736"/>
      <c r="AP636" s="1737"/>
    </row>
    <row r="637" spans="1:42" s="85" customFormat="1" ht="13.5" thickBot="1">
      <c r="A637" s="240"/>
      <c r="B637" s="241"/>
      <c r="C637" s="242"/>
      <c r="D637" s="242"/>
      <c r="E637" s="243"/>
      <c r="F637" s="244"/>
      <c r="G637" s="244"/>
      <c r="H637" s="243"/>
      <c r="I637" s="258"/>
      <c r="J637" s="245"/>
      <c r="K637" s="245"/>
      <c r="L637" s="76">
        <f t="shared" si="90"/>
        <v>0</v>
      </c>
      <c r="M637" s="246"/>
      <c r="N637" s="247"/>
      <c r="O637" s="248"/>
      <c r="P637" s="246"/>
      <c r="Q637" s="249"/>
      <c r="R637" s="250"/>
      <c r="S637" s="259"/>
      <c r="T637" s="260"/>
      <c r="U637" s="250"/>
      <c r="V637" s="78">
        <f t="shared" si="91"/>
        <v>0</v>
      </c>
      <c r="W637" s="261">
        <f t="shared" si="92"/>
        <v>0</v>
      </c>
      <c r="X637" s="133">
        <f t="shared" si="93"/>
        <v>0</v>
      </c>
      <c r="Y637" s="251"/>
      <c r="Z637" s="1736"/>
      <c r="AA637" s="1737"/>
      <c r="AB637" s="77">
        <f t="shared" si="94"/>
        <v>0</v>
      </c>
      <c r="AC637" s="134">
        <f t="shared" si="95"/>
        <v>0</v>
      </c>
      <c r="AD637" s="251"/>
      <c r="AE637" s="1736"/>
      <c r="AF637" s="1737"/>
      <c r="AG637" s="77">
        <f t="shared" si="96"/>
        <v>0</v>
      </c>
      <c r="AH637" s="136">
        <f t="shared" si="97"/>
        <v>0</v>
      </c>
      <c r="AI637" s="251"/>
      <c r="AJ637" s="1736"/>
      <c r="AK637" s="1737"/>
      <c r="AL637" s="79">
        <f t="shared" si="98"/>
        <v>0</v>
      </c>
      <c r="AM637" s="137">
        <f t="shared" si="99"/>
        <v>0</v>
      </c>
      <c r="AN637" s="251"/>
      <c r="AO637" s="1736"/>
      <c r="AP637" s="1737"/>
    </row>
    <row r="638" spans="1:42" s="85" customFormat="1" ht="13.5" thickBot="1">
      <c r="A638" s="240"/>
      <c r="B638" s="241"/>
      <c r="C638" s="242"/>
      <c r="D638" s="242"/>
      <c r="E638" s="243"/>
      <c r="F638" s="244"/>
      <c r="G638" s="244"/>
      <c r="H638" s="243"/>
      <c r="I638" s="258"/>
      <c r="J638" s="245"/>
      <c r="K638" s="245"/>
      <c r="L638" s="76">
        <f t="shared" si="90"/>
        <v>0</v>
      </c>
      <c r="M638" s="246"/>
      <c r="N638" s="247"/>
      <c r="O638" s="248"/>
      <c r="P638" s="246"/>
      <c r="Q638" s="249"/>
      <c r="R638" s="250"/>
      <c r="S638" s="259"/>
      <c r="T638" s="260"/>
      <c r="U638" s="250"/>
      <c r="V638" s="78">
        <f t="shared" si="91"/>
        <v>0</v>
      </c>
      <c r="W638" s="261">
        <f t="shared" si="92"/>
        <v>0</v>
      </c>
      <c r="X638" s="133">
        <f t="shared" si="93"/>
        <v>0</v>
      </c>
      <c r="Y638" s="251"/>
      <c r="Z638" s="1736"/>
      <c r="AA638" s="1737"/>
      <c r="AB638" s="77">
        <f t="shared" si="94"/>
        <v>0</v>
      </c>
      <c r="AC638" s="134">
        <f t="shared" si="95"/>
        <v>0</v>
      </c>
      <c r="AD638" s="251"/>
      <c r="AE638" s="1736"/>
      <c r="AF638" s="1737"/>
      <c r="AG638" s="77">
        <f t="shared" si="96"/>
        <v>0</v>
      </c>
      <c r="AH638" s="136">
        <f t="shared" si="97"/>
        <v>0</v>
      </c>
      <c r="AI638" s="251"/>
      <c r="AJ638" s="1736"/>
      <c r="AK638" s="1737"/>
      <c r="AL638" s="79">
        <f t="shared" si="98"/>
        <v>0</v>
      </c>
      <c r="AM638" s="137">
        <f t="shared" si="99"/>
        <v>0</v>
      </c>
      <c r="AN638" s="251"/>
      <c r="AO638" s="1736"/>
      <c r="AP638" s="1737"/>
    </row>
    <row r="639" spans="1:42" s="85" customFormat="1" ht="13.5" thickBot="1">
      <c r="A639" s="240"/>
      <c r="B639" s="241"/>
      <c r="C639" s="242"/>
      <c r="D639" s="242"/>
      <c r="E639" s="243"/>
      <c r="F639" s="244"/>
      <c r="G639" s="244"/>
      <c r="H639" s="243"/>
      <c r="I639" s="258"/>
      <c r="J639" s="245"/>
      <c r="K639" s="245"/>
      <c r="L639" s="76">
        <f t="shared" si="90"/>
        <v>0</v>
      </c>
      <c r="M639" s="246"/>
      <c r="N639" s="247"/>
      <c r="O639" s="248"/>
      <c r="P639" s="246"/>
      <c r="Q639" s="249"/>
      <c r="R639" s="250"/>
      <c r="S639" s="259"/>
      <c r="T639" s="260"/>
      <c r="U639" s="250"/>
      <c r="V639" s="78">
        <f t="shared" si="91"/>
        <v>0</v>
      </c>
      <c r="W639" s="261">
        <f t="shared" si="92"/>
        <v>0</v>
      </c>
      <c r="X639" s="133">
        <f t="shared" si="93"/>
        <v>0</v>
      </c>
      <c r="Y639" s="251"/>
      <c r="Z639" s="1736"/>
      <c r="AA639" s="1737"/>
      <c r="AB639" s="77">
        <f t="shared" si="94"/>
        <v>0</v>
      </c>
      <c r="AC639" s="134">
        <f t="shared" si="95"/>
        <v>0</v>
      </c>
      <c r="AD639" s="251"/>
      <c r="AE639" s="1736"/>
      <c r="AF639" s="1737"/>
      <c r="AG639" s="77">
        <f t="shared" si="96"/>
        <v>0</v>
      </c>
      <c r="AH639" s="136">
        <f t="shared" si="97"/>
        <v>0</v>
      </c>
      <c r="AI639" s="251"/>
      <c r="AJ639" s="1736"/>
      <c r="AK639" s="1737"/>
      <c r="AL639" s="79">
        <f t="shared" si="98"/>
        <v>0</v>
      </c>
      <c r="AM639" s="137">
        <f t="shared" si="99"/>
        <v>0</v>
      </c>
      <c r="AN639" s="251"/>
      <c r="AO639" s="1736"/>
      <c r="AP639" s="1737"/>
    </row>
    <row r="640" spans="1:42" s="85" customFormat="1" ht="13.5" thickBot="1">
      <c r="A640" s="240"/>
      <c r="B640" s="241"/>
      <c r="C640" s="242"/>
      <c r="D640" s="242"/>
      <c r="E640" s="243"/>
      <c r="F640" s="244"/>
      <c r="G640" s="244"/>
      <c r="H640" s="243"/>
      <c r="I640" s="258"/>
      <c r="J640" s="245"/>
      <c r="K640" s="245"/>
      <c r="L640" s="76">
        <f t="shared" si="90"/>
        <v>0</v>
      </c>
      <c r="M640" s="246"/>
      <c r="N640" s="247"/>
      <c r="O640" s="248"/>
      <c r="P640" s="246"/>
      <c r="Q640" s="249"/>
      <c r="R640" s="250"/>
      <c r="S640" s="259"/>
      <c r="T640" s="260"/>
      <c r="U640" s="250"/>
      <c r="V640" s="78">
        <f t="shared" si="91"/>
        <v>0</v>
      </c>
      <c r="W640" s="261">
        <f t="shared" si="92"/>
        <v>0</v>
      </c>
      <c r="X640" s="133">
        <f t="shared" si="93"/>
        <v>0</v>
      </c>
      <c r="Y640" s="251"/>
      <c r="Z640" s="1736"/>
      <c r="AA640" s="1737"/>
      <c r="AB640" s="77">
        <f t="shared" si="94"/>
        <v>0</v>
      </c>
      <c r="AC640" s="134">
        <f t="shared" si="95"/>
        <v>0</v>
      </c>
      <c r="AD640" s="251"/>
      <c r="AE640" s="1736"/>
      <c r="AF640" s="1737"/>
      <c r="AG640" s="77">
        <f t="shared" si="96"/>
        <v>0</v>
      </c>
      <c r="AH640" s="136">
        <f t="shared" si="97"/>
        <v>0</v>
      </c>
      <c r="AI640" s="251"/>
      <c r="AJ640" s="1736"/>
      <c r="AK640" s="1737"/>
      <c r="AL640" s="79">
        <f t="shared" si="98"/>
        <v>0</v>
      </c>
      <c r="AM640" s="137">
        <f t="shared" si="99"/>
        <v>0</v>
      </c>
      <c r="AN640" s="251"/>
      <c r="AO640" s="1736"/>
      <c r="AP640" s="1737"/>
    </row>
    <row r="641" spans="1:42" s="85" customFormat="1" ht="13.5" thickBot="1">
      <c r="A641" s="240"/>
      <c r="B641" s="241"/>
      <c r="C641" s="242"/>
      <c r="D641" s="242"/>
      <c r="E641" s="243"/>
      <c r="F641" s="244"/>
      <c r="G641" s="244"/>
      <c r="H641" s="243"/>
      <c r="I641" s="258"/>
      <c r="J641" s="245"/>
      <c r="K641" s="245"/>
      <c r="L641" s="76">
        <f t="shared" si="90"/>
        <v>0</v>
      </c>
      <c r="M641" s="246"/>
      <c r="N641" s="247"/>
      <c r="O641" s="248"/>
      <c r="P641" s="246"/>
      <c r="Q641" s="249"/>
      <c r="R641" s="250"/>
      <c r="S641" s="259"/>
      <c r="T641" s="260"/>
      <c r="U641" s="250"/>
      <c r="V641" s="78">
        <f t="shared" si="91"/>
        <v>0</v>
      </c>
      <c r="W641" s="261">
        <f t="shared" si="92"/>
        <v>0</v>
      </c>
      <c r="X641" s="133">
        <f t="shared" si="93"/>
        <v>0</v>
      </c>
      <c r="Y641" s="251"/>
      <c r="Z641" s="1736"/>
      <c r="AA641" s="1737"/>
      <c r="AB641" s="77">
        <f t="shared" si="94"/>
        <v>0</v>
      </c>
      <c r="AC641" s="134">
        <f t="shared" si="95"/>
        <v>0</v>
      </c>
      <c r="AD641" s="251"/>
      <c r="AE641" s="1736"/>
      <c r="AF641" s="1737"/>
      <c r="AG641" s="77">
        <f t="shared" si="96"/>
        <v>0</v>
      </c>
      <c r="AH641" s="136">
        <f t="shared" si="97"/>
        <v>0</v>
      </c>
      <c r="AI641" s="251"/>
      <c r="AJ641" s="1736"/>
      <c r="AK641" s="1737"/>
      <c r="AL641" s="79">
        <f t="shared" si="98"/>
        <v>0</v>
      </c>
      <c r="AM641" s="137">
        <f t="shared" si="99"/>
        <v>0</v>
      </c>
      <c r="AN641" s="251"/>
      <c r="AO641" s="1736"/>
      <c r="AP641" s="1737"/>
    </row>
    <row r="642" spans="1:42" s="85" customFormat="1" ht="13.5" thickBot="1">
      <c r="A642" s="240"/>
      <c r="B642" s="241"/>
      <c r="C642" s="242"/>
      <c r="D642" s="242"/>
      <c r="E642" s="243"/>
      <c r="F642" s="244"/>
      <c r="G642" s="244"/>
      <c r="H642" s="243"/>
      <c r="I642" s="258"/>
      <c r="J642" s="245"/>
      <c r="K642" s="245"/>
      <c r="L642" s="76">
        <f t="shared" si="90"/>
        <v>0</v>
      </c>
      <c r="M642" s="246"/>
      <c r="N642" s="247"/>
      <c r="O642" s="248"/>
      <c r="P642" s="246"/>
      <c r="Q642" s="249"/>
      <c r="R642" s="250"/>
      <c r="S642" s="259"/>
      <c r="T642" s="260"/>
      <c r="U642" s="250"/>
      <c r="V642" s="78">
        <f t="shared" si="91"/>
        <v>0</v>
      </c>
      <c r="W642" s="261">
        <f t="shared" si="92"/>
        <v>0</v>
      </c>
      <c r="X642" s="133">
        <f t="shared" si="93"/>
        <v>0</v>
      </c>
      <c r="Y642" s="251"/>
      <c r="Z642" s="1736"/>
      <c r="AA642" s="1737"/>
      <c r="AB642" s="77">
        <f t="shared" si="94"/>
        <v>0</v>
      </c>
      <c r="AC642" s="134">
        <f t="shared" si="95"/>
        <v>0</v>
      </c>
      <c r="AD642" s="251"/>
      <c r="AE642" s="1736"/>
      <c r="AF642" s="1737"/>
      <c r="AG642" s="77">
        <f t="shared" si="96"/>
        <v>0</v>
      </c>
      <c r="AH642" s="136">
        <f t="shared" si="97"/>
        <v>0</v>
      </c>
      <c r="AI642" s="251"/>
      <c r="AJ642" s="1736"/>
      <c r="AK642" s="1737"/>
      <c r="AL642" s="79">
        <f t="shared" si="98"/>
        <v>0</v>
      </c>
      <c r="AM642" s="137">
        <f t="shared" si="99"/>
        <v>0</v>
      </c>
      <c r="AN642" s="251"/>
      <c r="AO642" s="1736"/>
      <c r="AP642" s="1737"/>
    </row>
    <row r="643" spans="1:42" s="85" customFormat="1" ht="13.5" thickBot="1">
      <c r="A643" s="240"/>
      <c r="B643" s="241"/>
      <c r="C643" s="242"/>
      <c r="D643" s="242"/>
      <c r="E643" s="243"/>
      <c r="F643" s="244"/>
      <c r="G643" s="244"/>
      <c r="H643" s="243"/>
      <c r="I643" s="258"/>
      <c r="J643" s="245"/>
      <c r="K643" s="245"/>
      <c r="L643" s="76">
        <f t="shared" si="90"/>
        <v>0</v>
      </c>
      <c r="M643" s="246"/>
      <c r="N643" s="247"/>
      <c r="O643" s="248"/>
      <c r="P643" s="246"/>
      <c r="Q643" s="249"/>
      <c r="R643" s="250"/>
      <c r="S643" s="259"/>
      <c r="T643" s="260"/>
      <c r="U643" s="250"/>
      <c r="V643" s="78">
        <f t="shared" si="91"/>
        <v>0</v>
      </c>
      <c r="W643" s="261">
        <f t="shared" si="92"/>
        <v>0</v>
      </c>
      <c r="X643" s="133">
        <f t="shared" si="93"/>
        <v>0</v>
      </c>
      <c r="Y643" s="251"/>
      <c r="Z643" s="1736"/>
      <c r="AA643" s="1737"/>
      <c r="AB643" s="77">
        <f t="shared" si="94"/>
        <v>0</v>
      </c>
      <c r="AC643" s="134">
        <f t="shared" si="95"/>
        <v>0</v>
      </c>
      <c r="AD643" s="251"/>
      <c r="AE643" s="1736"/>
      <c r="AF643" s="1737"/>
      <c r="AG643" s="77">
        <f t="shared" si="96"/>
        <v>0</v>
      </c>
      <c r="AH643" s="136">
        <f t="shared" si="97"/>
        <v>0</v>
      </c>
      <c r="AI643" s="251"/>
      <c r="AJ643" s="1736"/>
      <c r="AK643" s="1737"/>
      <c r="AL643" s="79">
        <f t="shared" si="98"/>
        <v>0</v>
      </c>
      <c r="AM643" s="137">
        <f t="shared" si="99"/>
        <v>0</v>
      </c>
      <c r="AN643" s="251"/>
      <c r="AO643" s="1736"/>
      <c r="AP643" s="1737"/>
    </row>
    <row r="644" spans="1:42" s="85" customFormat="1" ht="13.5" thickBot="1">
      <c r="A644" s="240"/>
      <c r="B644" s="241"/>
      <c r="C644" s="242"/>
      <c r="D644" s="242"/>
      <c r="E644" s="243"/>
      <c r="F644" s="244"/>
      <c r="G644" s="244"/>
      <c r="H644" s="243"/>
      <c r="I644" s="258"/>
      <c r="J644" s="245"/>
      <c r="K644" s="245"/>
      <c r="L644" s="76">
        <f t="shared" si="90"/>
        <v>0</v>
      </c>
      <c r="M644" s="246"/>
      <c r="N644" s="247"/>
      <c r="O644" s="248"/>
      <c r="P644" s="246"/>
      <c r="Q644" s="249"/>
      <c r="R644" s="250"/>
      <c r="S644" s="259"/>
      <c r="T644" s="260"/>
      <c r="U644" s="250"/>
      <c r="V644" s="78">
        <f t="shared" si="91"/>
        <v>0</v>
      </c>
      <c r="W644" s="261">
        <f t="shared" si="92"/>
        <v>0</v>
      </c>
      <c r="X644" s="133">
        <f t="shared" si="93"/>
        <v>0</v>
      </c>
      <c r="Y644" s="251"/>
      <c r="Z644" s="1736"/>
      <c r="AA644" s="1737"/>
      <c r="AB644" s="77">
        <f t="shared" si="94"/>
        <v>0</v>
      </c>
      <c r="AC644" s="134">
        <f t="shared" si="95"/>
        <v>0</v>
      </c>
      <c r="AD644" s="251"/>
      <c r="AE644" s="1736"/>
      <c r="AF644" s="1737"/>
      <c r="AG644" s="77">
        <f t="shared" si="96"/>
        <v>0</v>
      </c>
      <c r="AH644" s="136">
        <f t="shared" si="97"/>
        <v>0</v>
      </c>
      <c r="AI644" s="251"/>
      <c r="AJ644" s="1736"/>
      <c r="AK644" s="1737"/>
      <c r="AL644" s="79">
        <f t="shared" si="98"/>
        <v>0</v>
      </c>
      <c r="AM644" s="137">
        <f t="shared" si="99"/>
        <v>0</v>
      </c>
      <c r="AN644" s="251"/>
      <c r="AO644" s="1736"/>
      <c r="AP644" s="1737"/>
    </row>
    <row r="645" spans="1:42" s="85" customFormat="1" ht="13.5" thickBot="1">
      <c r="A645" s="240"/>
      <c r="B645" s="241"/>
      <c r="C645" s="242"/>
      <c r="D645" s="242"/>
      <c r="E645" s="243"/>
      <c r="F645" s="244"/>
      <c r="G645" s="244"/>
      <c r="H645" s="243"/>
      <c r="I645" s="258"/>
      <c r="J645" s="245"/>
      <c r="K645" s="245"/>
      <c r="L645" s="76">
        <f t="shared" si="90"/>
        <v>0</v>
      </c>
      <c r="M645" s="246"/>
      <c r="N645" s="247"/>
      <c r="O645" s="248"/>
      <c r="P645" s="246"/>
      <c r="Q645" s="249"/>
      <c r="R645" s="250"/>
      <c r="S645" s="259"/>
      <c r="T645" s="260"/>
      <c r="U645" s="250"/>
      <c r="V645" s="78">
        <f t="shared" si="91"/>
        <v>0</v>
      </c>
      <c r="W645" s="261">
        <f t="shared" si="92"/>
        <v>0</v>
      </c>
      <c r="X645" s="133">
        <f t="shared" si="93"/>
        <v>0</v>
      </c>
      <c r="Y645" s="251"/>
      <c r="Z645" s="1736"/>
      <c r="AA645" s="1737"/>
      <c r="AB645" s="77">
        <f t="shared" si="94"/>
        <v>0</v>
      </c>
      <c r="AC645" s="134">
        <f t="shared" si="95"/>
        <v>0</v>
      </c>
      <c r="AD645" s="251"/>
      <c r="AE645" s="1736"/>
      <c r="AF645" s="1737"/>
      <c r="AG645" s="77">
        <f t="shared" si="96"/>
        <v>0</v>
      </c>
      <c r="AH645" s="136">
        <f t="shared" si="97"/>
        <v>0</v>
      </c>
      <c r="AI645" s="251"/>
      <c r="AJ645" s="1736"/>
      <c r="AK645" s="1737"/>
      <c r="AL645" s="79">
        <f t="shared" si="98"/>
        <v>0</v>
      </c>
      <c r="AM645" s="137">
        <f t="shared" si="99"/>
        <v>0</v>
      </c>
      <c r="AN645" s="251"/>
      <c r="AO645" s="1736"/>
      <c r="AP645" s="1737"/>
    </row>
    <row r="646" spans="1:42" s="85" customFormat="1" ht="13.5" thickBot="1">
      <c r="A646" s="240"/>
      <c r="B646" s="241"/>
      <c r="C646" s="242"/>
      <c r="D646" s="242"/>
      <c r="E646" s="243"/>
      <c r="F646" s="244"/>
      <c r="G646" s="244"/>
      <c r="H646" s="243"/>
      <c r="I646" s="258"/>
      <c r="J646" s="245"/>
      <c r="K646" s="245"/>
      <c r="L646" s="76">
        <f t="shared" si="90"/>
        <v>0</v>
      </c>
      <c r="M646" s="246"/>
      <c r="N646" s="247"/>
      <c r="O646" s="248"/>
      <c r="P646" s="246"/>
      <c r="Q646" s="249"/>
      <c r="R646" s="250"/>
      <c r="S646" s="259"/>
      <c r="T646" s="260"/>
      <c r="U646" s="250"/>
      <c r="V646" s="78">
        <f t="shared" si="91"/>
        <v>0</v>
      </c>
      <c r="W646" s="261">
        <f t="shared" si="92"/>
        <v>0</v>
      </c>
      <c r="X646" s="133">
        <f t="shared" si="93"/>
        <v>0</v>
      </c>
      <c r="Y646" s="251"/>
      <c r="Z646" s="1736"/>
      <c r="AA646" s="1737"/>
      <c r="AB646" s="77">
        <f t="shared" si="94"/>
        <v>0</v>
      </c>
      <c r="AC646" s="134">
        <f t="shared" si="95"/>
        <v>0</v>
      </c>
      <c r="AD646" s="251"/>
      <c r="AE646" s="1736"/>
      <c r="AF646" s="1737"/>
      <c r="AG646" s="77">
        <f t="shared" si="96"/>
        <v>0</v>
      </c>
      <c r="AH646" s="136">
        <f t="shared" si="97"/>
        <v>0</v>
      </c>
      <c r="AI646" s="251"/>
      <c r="AJ646" s="1736"/>
      <c r="AK646" s="1737"/>
      <c r="AL646" s="79">
        <f t="shared" si="98"/>
        <v>0</v>
      </c>
      <c r="AM646" s="137">
        <f t="shared" si="99"/>
        <v>0</v>
      </c>
      <c r="AN646" s="251"/>
      <c r="AO646" s="1736"/>
      <c r="AP646" s="1737"/>
    </row>
    <row r="647" spans="1:42" s="85" customFormat="1" ht="13.5" thickBot="1">
      <c r="A647" s="240"/>
      <c r="B647" s="241"/>
      <c r="C647" s="242"/>
      <c r="D647" s="242"/>
      <c r="E647" s="243"/>
      <c r="F647" s="244"/>
      <c r="G647" s="244"/>
      <c r="H647" s="243"/>
      <c r="I647" s="258"/>
      <c r="J647" s="245"/>
      <c r="K647" s="245"/>
      <c r="L647" s="76">
        <f t="shared" si="90"/>
        <v>0</v>
      </c>
      <c r="M647" s="246"/>
      <c r="N647" s="247"/>
      <c r="O647" s="248"/>
      <c r="P647" s="246"/>
      <c r="Q647" s="249"/>
      <c r="R647" s="250"/>
      <c r="S647" s="259"/>
      <c r="T647" s="260"/>
      <c r="U647" s="250"/>
      <c r="V647" s="78">
        <f t="shared" si="91"/>
        <v>0</v>
      </c>
      <c r="W647" s="261">
        <f t="shared" si="92"/>
        <v>0</v>
      </c>
      <c r="X647" s="133">
        <f t="shared" si="93"/>
        <v>0</v>
      </c>
      <c r="Y647" s="251"/>
      <c r="Z647" s="1736"/>
      <c r="AA647" s="1737"/>
      <c r="AB647" s="77">
        <f t="shared" si="94"/>
        <v>0</v>
      </c>
      <c r="AC647" s="134">
        <f t="shared" si="95"/>
        <v>0</v>
      </c>
      <c r="AD647" s="251"/>
      <c r="AE647" s="1736"/>
      <c r="AF647" s="1737"/>
      <c r="AG647" s="77">
        <f t="shared" si="96"/>
        <v>0</v>
      </c>
      <c r="AH647" s="136">
        <f t="shared" si="97"/>
        <v>0</v>
      </c>
      <c r="AI647" s="251"/>
      <c r="AJ647" s="1736"/>
      <c r="AK647" s="1737"/>
      <c r="AL647" s="79">
        <f t="shared" si="98"/>
        <v>0</v>
      </c>
      <c r="AM647" s="137">
        <f t="shared" si="99"/>
        <v>0</v>
      </c>
      <c r="AN647" s="251"/>
      <c r="AO647" s="1736"/>
      <c r="AP647" s="1737"/>
    </row>
    <row r="648" spans="1:42" s="85" customFormat="1" ht="13.5" thickBot="1">
      <c r="A648" s="240"/>
      <c r="B648" s="241"/>
      <c r="C648" s="242"/>
      <c r="D648" s="242"/>
      <c r="E648" s="243"/>
      <c r="F648" s="244"/>
      <c r="G648" s="244"/>
      <c r="H648" s="243"/>
      <c r="I648" s="258"/>
      <c r="J648" s="245"/>
      <c r="K648" s="245"/>
      <c r="L648" s="76">
        <f t="shared" si="90"/>
        <v>0</v>
      </c>
      <c r="M648" s="246"/>
      <c r="N648" s="247"/>
      <c r="O648" s="248"/>
      <c r="P648" s="246"/>
      <c r="Q648" s="249"/>
      <c r="R648" s="250"/>
      <c r="S648" s="259"/>
      <c r="T648" s="260"/>
      <c r="U648" s="250"/>
      <c r="V648" s="78">
        <f t="shared" si="91"/>
        <v>0</v>
      </c>
      <c r="W648" s="261">
        <f t="shared" si="92"/>
        <v>0</v>
      </c>
      <c r="X648" s="133">
        <f t="shared" si="93"/>
        <v>0</v>
      </c>
      <c r="Y648" s="251"/>
      <c r="Z648" s="1736"/>
      <c r="AA648" s="1737"/>
      <c r="AB648" s="77">
        <f t="shared" si="94"/>
        <v>0</v>
      </c>
      <c r="AC648" s="134">
        <f t="shared" si="95"/>
        <v>0</v>
      </c>
      <c r="AD648" s="251"/>
      <c r="AE648" s="1736"/>
      <c r="AF648" s="1737"/>
      <c r="AG648" s="77">
        <f t="shared" si="96"/>
        <v>0</v>
      </c>
      <c r="AH648" s="136">
        <f t="shared" si="97"/>
        <v>0</v>
      </c>
      <c r="AI648" s="251"/>
      <c r="AJ648" s="1736"/>
      <c r="AK648" s="1737"/>
      <c r="AL648" s="79">
        <f t="shared" si="98"/>
        <v>0</v>
      </c>
      <c r="AM648" s="137">
        <f t="shared" si="99"/>
        <v>0</v>
      </c>
      <c r="AN648" s="251"/>
      <c r="AO648" s="1736"/>
      <c r="AP648" s="1737"/>
    </row>
    <row r="649" spans="1:42" s="85" customFormat="1" ht="13.5" thickBot="1">
      <c r="A649" s="240"/>
      <c r="B649" s="241"/>
      <c r="C649" s="242"/>
      <c r="D649" s="242"/>
      <c r="E649" s="243"/>
      <c r="F649" s="244"/>
      <c r="G649" s="244"/>
      <c r="H649" s="243"/>
      <c r="I649" s="258"/>
      <c r="J649" s="245"/>
      <c r="K649" s="245"/>
      <c r="L649" s="76">
        <f t="shared" si="90"/>
        <v>0</v>
      </c>
      <c r="M649" s="246"/>
      <c r="N649" s="247"/>
      <c r="O649" s="248"/>
      <c r="P649" s="246"/>
      <c r="Q649" s="249"/>
      <c r="R649" s="250"/>
      <c r="S649" s="259"/>
      <c r="T649" s="260"/>
      <c r="U649" s="250"/>
      <c r="V649" s="78">
        <f t="shared" si="91"/>
        <v>0</v>
      </c>
      <c r="W649" s="261">
        <f t="shared" si="92"/>
        <v>0</v>
      </c>
      <c r="X649" s="133">
        <f t="shared" si="93"/>
        <v>0</v>
      </c>
      <c r="Y649" s="251"/>
      <c r="Z649" s="1736"/>
      <c r="AA649" s="1737"/>
      <c r="AB649" s="77">
        <f t="shared" si="94"/>
        <v>0</v>
      </c>
      <c r="AC649" s="134">
        <f t="shared" si="95"/>
        <v>0</v>
      </c>
      <c r="AD649" s="251"/>
      <c r="AE649" s="1736"/>
      <c r="AF649" s="1737"/>
      <c r="AG649" s="77">
        <f t="shared" si="96"/>
        <v>0</v>
      </c>
      <c r="AH649" s="136">
        <f t="shared" si="97"/>
        <v>0</v>
      </c>
      <c r="AI649" s="251"/>
      <c r="AJ649" s="1736"/>
      <c r="AK649" s="1737"/>
      <c r="AL649" s="79">
        <f t="shared" si="98"/>
        <v>0</v>
      </c>
      <c r="AM649" s="137">
        <f t="shared" si="99"/>
        <v>0</v>
      </c>
      <c r="AN649" s="251"/>
      <c r="AO649" s="1736"/>
      <c r="AP649" s="1737"/>
    </row>
    <row r="650" spans="1:42" s="85" customFormat="1" ht="13.5" thickBot="1">
      <c r="A650" s="240"/>
      <c r="B650" s="241"/>
      <c r="C650" s="242"/>
      <c r="D650" s="242"/>
      <c r="E650" s="243"/>
      <c r="F650" s="244"/>
      <c r="G650" s="244"/>
      <c r="H650" s="243"/>
      <c r="I650" s="258"/>
      <c r="J650" s="245"/>
      <c r="K650" s="245"/>
      <c r="L650" s="76">
        <f t="shared" si="90"/>
        <v>0</v>
      </c>
      <c r="M650" s="246"/>
      <c r="N650" s="247"/>
      <c r="O650" s="248"/>
      <c r="P650" s="246"/>
      <c r="Q650" s="249"/>
      <c r="R650" s="250"/>
      <c r="S650" s="259"/>
      <c r="T650" s="260"/>
      <c r="U650" s="250"/>
      <c r="V650" s="78">
        <f t="shared" si="91"/>
        <v>0</v>
      </c>
      <c r="W650" s="261">
        <f t="shared" si="92"/>
        <v>0</v>
      </c>
      <c r="X650" s="133">
        <f t="shared" si="93"/>
        <v>0</v>
      </c>
      <c r="Y650" s="251"/>
      <c r="Z650" s="1736"/>
      <c r="AA650" s="1737"/>
      <c r="AB650" s="77">
        <f t="shared" si="94"/>
        <v>0</v>
      </c>
      <c r="AC650" s="134">
        <f t="shared" si="95"/>
        <v>0</v>
      </c>
      <c r="AD650" s="251"/>
      <c r="AE650" s="1736"/>
      <c r="AF650" s="1737"/>
      <c r="AG650" s="77">
        <f t="shared" si="96"/>
        <v>0</v>
      </c>
      <c r="AH650" s="136">
        <f t="shared" si="97"/>
        <v>0</v>
      </c>
      <c r="AI650" s="251"/>
      <c r="AJ650" s="1736"/>
      <c r="AK650" s="1737"/>
      <c r="AL650" s="79">
        <f t="shared" si="98"/>
        <v>0</v>
      </c>
      <c r="AM650" s="137">
        <f t="shared" si="99"/>
        <v>0</v>
      </c>
      <c r="AN650" s="251"/>
      <c r="AO650" s="1736"/>
      <c r="AP650" s="1737"/>
    </row>
    <row r="651" spans="1:42" s="85" customFormat="1" ht="13.5" thickBot="1">
      <c r="A651" s="240"/>
      <c r="B651" s="241"/>
      <c r="C651" s="242"/>
      <c r="D651" s="242"/>
      <c r="E651" s="243"/>
      <c r="F651" s="244"/>
      <c r="G651" s="244"/>
      <c r="H651" s="243"/>
      <c r="I651" s="258"/>
      <c r="J651" s="245"/>
      <c r="K651" s="245"/>
      <c r="L651" s="76">
        <f t="shared" ref="L651:L714" si="100">IF(I651=0,0,(K651+J651)/I651)</f>
        <v>0</v>
      </c>
      <c r="M651" s="246"/>
      <c r="N651" s="247"/>
      <c r="O651" s="248"/>
      <c r="P651" s="246"/>
      <c r="Q651" s="249"/>
      <c r="R651" s="250"/>
      <c r="S651" s="259"/>
      <c r="T651" s="260"/>
      <c r="U651" s="250"/>
      <c r="V651" s="78">
        <f t="shared" ref="V651:V714" si="101">IF(U651=0,0,((U651*S651)-AB651-AL651))</f>
        <v>0</v>
      </c>
      <c r="W651" s="261">
        <f t="shared" ref="W651:W714" si="102">+S651-I651</f>
        <v>0</v>
      </c>
      <c r="X651" s="133">
        <f t="shared" ref="X651:X714" si="103">(V651-J651)</f>
        <v>0</v>
      </c>
      <c r="Y651" s="251"/>
      <c r="Z651" s="1736"/>
      <c r="AA651" s="1737"/>
      <c r="AB651" s="77">
        <f t="shared" ref="AB651:AB714" si="104">(IF(I651=0,0,M651/H651))*S651</f>
        <v>0</v>
      </c>
      <c r="AC651" s="134">
        <f t="shared" ref="AC651:AC714" si="105">+AB651-P651</f>
        <v>0</v>
      </c>
      <c r="AD651" s="251"/>
      <c r="AE651" s="1736"/>
      <c r="AF651" s="1737"/>
      <c r="AG651" s="77">
        <f t="shared" ref="AG651:AG714" si="106">(IF(H651=0,0,N651/H651))*T651</f>
        <v>0</v>
      </c>
      <c r="AH651" s="136">
        <f t="shared" ref="AH651:AH714" si="107">+AG651-Q651</f>
        <v>0</v>
      </c>
      <c r="AI651" s="251"/>
      <c r="AJ651" s="1736"/>
      <c r="AK651" s="1737"/>
      <c r="AL651" s="79">
        <f t="shared" ref="AL651:AL714" si="108">+O651*S651</f>
        <v>0</v>
      </c>
      <c r="AM651" s="137">
        <f t="shared" ref="AM651:AM714" si="109">+AL651-R651</f>
        <v>0</v>
      </c>
      <c r="AN651" s="251"/>
      <c r="AO651" s="1736"/>
      <c r="AP651" s="1737"/>
    </row>
    <row r="652" spans="1:42" s="85" customFormat="1" ht="13.5" thickBot="1">
      <c r="A652" s="240"/>
      <c r="B652" s="241"/>
      <c r="C652" s="242"/>
      <c r="D652" s="242"/>
      <c r="E652" s="243"/>
      <c r="F652" s="244"/>
      <c r="G652" s="244"/>
      <c r="H652" s="243"/>
      <c r="I652" s="258"/>
      <c r="J652" s="245"/>
      <c r="K652" s="245"/>
      <c r="L652" s="76">
        <f t="shared" si="100"/>
        <v>0</v>
      </c>
      <c r="M652" s="246"/>
      <c r="N652" s="247"/>
      <c r="O652" s="248"/>
      <c r="P652" s="246"/>
      <c r="Q652" s="249"/>
      <c r="R652" s="250"/>
      <c r="S652" s="259"/>
      <c r="T652" s="260"/>
      <c r="U652" s="250"/>
      <c r="V652" s="78">
        <f t="shared" si="101"/>
        <v>0</v>
      </c>
      <c r="W652" s="261">
        <f t="shared" si="102"/>
        <v>0</v>
      </c>
      <c r="X652" s="133">
        <f t="shared" si="103"/>
        <v>0</v>
      </c>
      <c r="Y652" s="251"/>
      <c r="Z652" s="1736"/>
      <c r="AA652" s="1737"/>
      <c r="AB652" s="77">
        <f t="shared" si="104"/>
        <v>0</v>
      </c>
      <c r="AC652" s="134">
        <f t="shared" si="105"/>
        <v>0</v>
      </c>
      <c r="AD652" s="251"/>
      <c r="AE652" s="1736"/>
      <c r="AF652" s="1737"/>
      <c r="AG652" s="77">
        <f t="shared" si="106"/>
        <v>0</v>
      </c>
      <c r="AH652" s="136">
        <f t="shared" si="107"/>
        <v>0</v>
      </c>
      <c r="AI652" s="251"/>
      <c r="AJ652" s="1736"/>
      <c r="AK652" s="1737"/>
      <c r="AL652" s="79">
        <f t="shared" si="108"/>
        <v>0</v>
      </c>
      <c r="AM652" s="137">
        <f t="shared" si="109"/>
        <v>0</v>
      </c>
      <c r="AN652" s="251"/>
      <c r="AO652" s="1736"/>
      <c r="AP652" s="1737"/>
    </row>
    <row r="653" spans="1:42" s="85" customFormat="1" ht="13.5" thickBot="1">
      <c r="A653" s="240"/>
      <c r="B653" s="241"/>
      <c r="C653" s="242"/>
      <c r="D653" s="242"/>
      <c r="E653" s="243"/>
      <c r="F653" s="244"/>
      <c r="G653" s="244"/>
      <c r="H653" s="243"/>
      <c r="I653" s="258"/>
      <c r="J653" s="245"/>
      <c r="K653" s="245"/>
      <c r="L653" s="76">
        <f t="shared" si="100"/>
        <v>0</v>
      </c>
      <c r="M653" s="246"/>
      <c r="N653" s="247"/>
      <c r="O653" s="248"/>
      <c r="P653" s="246"/>
      <c r="Q653" s="249"/>
      <c r="R653" s="250"/>
      <c r="S653" s="259"/>
      <c r="T653" s="260"/>
      <c r="U653" s="250"/>
      <c r="V653" s="78">
        <f t="shared" si="101"/>
        <v>0</v>
      </c>
      <c r="W653" s="261">
        <f t="shared" si="102"/>
        <v>0</v>
      </c>
      <c r="X653" s="133">
        <f t="shared" si="103"/>
        <v>0</v>
      </c>
      <c r="Y653" s="251"/>
      <c r="Z653" s="1736"/>
      <c r="AA653" s="1737"/>
      <c r="AB653" s="77">
        <f t="shared" si="104"/>
        <v>0</v>
      </c>
      <c r="AC653" s="134">
        <f t="shared" si="105"/>
        <v>0</v>
      </c>
      <c r="AD653" s="251"/>
      <c r="AE653" s="1736"/>
      <c r="AF653" s="1737"/>
      <c r="AG653" s="77">
        <f t="shared" si="106"/>
        <v>0</v>
      </c>
      <c r="AH653" s="136">
        <f t="shared" si="107"/>
        <v>0</v>
      </c>
      <c r="AI653" s="251"/>
      <c r="AJ653" s="1736"/>
      <c r="AK653" s="1737"/>
      <c r="AL653" s="79">
        <f t="shared" si="108"/>
        <v>0</v>
      </c>
      <c r="AM653" s="137">
        <f t="shared" si="109"/>
        <v>0</v>
      </c>
      <c r="AN653" s="251"/>
      <c r="AO653" s="1736"/>
      <c r="AP653" s="1737"/>
    </row>
    <row r="654" spans="1:42" s="85" customFormat="1" ht="13.5" thickBot="1">
      <c r="A654" s="240"/>
      <c r="B654" s="241"/>
      <c r="C654" s="242"/>
      <c r="D654" s="242"/>
      <c r="E654" s="243"/>
      <c r="F654" s="244"/>
      <c r="G654" s="244"/>
      <c r="H654" s="243"/>
      <c r="I654" s="258"/>
      <c r="J654" s="245"/>
      <c r="K654" s="245"/>
      <c r="L654" s="76">
        <f t="shared" si="100"/>
        <v>0</v>
      </c>
      <c r="M654" s="246"/>
      <c r="N654" s="247"/>
      <c r="O654" s="248"/>
      <c r="P654" s="246"/>
      <c r="Q654" s="249"/>
      <c r="R654" s="250"/>
      <c r="S654" s="259"/>
      <c r="T654" s="260"/>
      <c r="U654" s="250"/>
      <c r="V654" s="78">
        <f t="shared" si="101"/>
        <v>0</v>
      </c>
      <c r="W654" s="261">
        <f t="shared" si="102"/>
        <v>0</v>
      </c>
      <c r="X654" s="133">
        <f t="shared" si="103"/>
        <v>0</v>
      </c>
      <c r="Y654" s="251"/>
      <c r="Z654" s="1736"/>
      <c r="AA654" s="1737"/>
      <c r="AB654" s="77">
        <f t="shared" si="104"/>
        <v>0</v>
      </c>
      <c r="AC654" s="134">
        <f t="shared" si="105"/>
        <v>0</v>
      </c>
      <c r="AD654" s="251"/>
      <c r="AE654" s="1736"/>
      <c r="AF654" s="1737"/>
      <c r="AG654" s="77">
        <f t="shared" si="106"/>
        <v>0</v>
      </c>
      <c r="AH654" s="136">
        <f t="shared" si="107"/>
        <v>0</v>
      </c>
      <c r="AI654" s="251"/>
      <c r="AJ654" s="1736"/>
      <c r="AK654" s="1737"/>
      <c r="AL654" s="79">
        <f t="shared" si="108"/>
        <v>0</v>
      </c>
      <c r="AM654" s="137">
        <f t="shared" si="109"/>
        <v>0</v>
      </c>
      <c r="AN654" s="251"/>
      <c r="AO654" s="1736"/>
      <c r="AP654" s="1737"/>
    </row>
    <row r="655" spans="1:42" s="85" customFormat="1" ht="13.5" thickBot="1">
      <c r="A655" s="240"/>
      <c r="B655" s="241"/>
      <c r="C655" s="242"/>
      <c r="D655" s="242"/>
      <c r="E655" s="243"/>
      <c r="F655" s="244"/>
      <c r="G655" s="244"/>
      <c r="H655" s="243"/>
      <c r="I655" s="258"/>
      <c r="J655" s="245"/>
      <c r="K655" s="245"/>
      <c r="L655" s="76">
        <f t="shared" si="100"/>
        <v>0</v>
      </c>
      <c r="M655" s="246"/>
      <c r="N655" s="247"/>
      <c r="O655" s="248"/>
      <c r="P655" s="246"/>
      <c r="Q655" s="249"/>
      <c r="R655" s="250"/>
      <c r="S655" s="259"/>
      <c r="T655" s="260"/>
      <c r="U655" s="250"/>
      <c r="V655" s="78">
        <f t="shared" si="101"/>
        <v>0</v>
      </c>
      <c r="W655" s="261">
        <f t="shared" si="102"/>
        <v>0</v>
      </c>
      <c r="X655" s="133">
        <f t="shared" si="103"/>
        <v>0</v>
      </c>
      <c r="Y655" s="251"/>
      <c r="Z655" s="1736"/>
      <c r="AA655" s="1737"/>
      <c r="AB655" s="77">
        <f t="shared" si="104"/>
        <v>0</v>
      </c>
      <c r="AC655" s="134">
        <f t="shared" si="105"/>
        <v>0</v>
      </c>
      <c r="AD655" s="251"/>
      <c r="AE655" s="1736"/>
      <c r="AF655" s="1737"/>
      <c r="AG655" s="77">
        <f t="shared" si="106"/>
        <v>0</v>
      </c>
      <c r="AH655" s="136">
        <f t="shared" si="107"/>
        <v>0</v>
      </c>
      <c r="AI655" s="251"/>
      <c r="AJ655" s="1736"/>
      <c r="AK655" s="1737"/>
      <c r="AL655" s="79">
        <f t="shared" si="108"/>
        <v>0</v>
      </c>
      <c r="AM655" s="137">
        <f t="shared" si="109"/>
        <v>0</v>
      </c>
      <c r="AN655" s="251"/>
      <c r="AO655" s="1736"/>
      <c r="AP655" s="1737"/>
    </row>
    <row r="656" spans="1:42" s="85" customFormat="1" ht="13.5" thickBot="1">
      <c r="A656" s="240"/>
      <c r="B656" s="241"/>
      <c r="C656" s="242"/>
      <c r="D656" s="242"/>
      <c r="E656" s="243"/>
      <c r="F656" s="244"/>
      <c r="G656" s="244"/>
      <c r="H656" s="243"/>
      <c r="I656" s="258"/>
      <c r="J656" s="245"/>
      <c r="K656" s="245"/>
      <c r="L656" s="76">
        <f t="shared" si="100"/>
        <v>0</v>
      </c>
      <c r="M656" s="246"/>
      <c r="N656" s="247"/>
      <c r="O656" s="248"/>
      <c r="P656" s="246"/>
      <c r="Q656" s="249"/>
      <c r="R656" s="250"/>
      <c r="S656" s="259"/>
      <c r="T656" s="260"/>
      <c r="U656" s="250"/>
      <c r="V656" s="78">
        <f t="shared" si="101"/>
        <v>0</v>
      </c>
      <c r="W656" s="261">
        <f t="shared" si="102"/>
        <v>0</v>
      </c>
      <c r="X656" s="133">
        <f t="shared" si="103"/>
        <v>0</v>
      </c>
      <c r="Y656" s="251"/>
      <c r="Z656" s="1736"/>
      <c r="AA656" s="1737"/>
      <c r="AB656" s="77">
        <f t="shared" si="104"/>
        <v>0</v>
      </c>
      <c r="AC656" s="134">
        <f t="shared" si="105"/>
        <v>0</v>
      </c>
      <c r="AD656" s="251"/>
      <c r="AE656" s="1736"/>
      <c r="AF656" s="1737"/>
      <c r="AG656" s="77">
        <f t="shared" si="106"/>
        <v>0</v>
      </c>
      <c r="AH656" s="136">
        <f t="shared" si="107"/>
        <v>0</v>
      </c>
      <c r="AI656" s="251"/>
      <c r="AJ656" s="1736"/>
      <c r="AK656" s="1737"/>
      <c r="AL656" s="79">
        <f t="shared" si="108"/>
        <v>0</v>
      </c>
      <c r="AM656" s="137">
        <f t="shared" si="109"/>
        <v>0</v>
      </c>
      <c r="AN656" s="251"/>
      <c r="AO656" s="1736"/>
      <c r="AP656" s="1737"/>
    </row>
    <row r="657" spans="1:42" s="85" customFormat="1" ht="13.5" thickBot="1">
      <c r="A657" s="240"/>
      <c r="B657" s="241"/>
      <c r="C657" s="242"/>
      <c r="D657" s="242"/>
      <c r="E657" s="243"/>
      <c r="F657" s="244"/>
      <c r="G657" s="244"/>
      <c r="H657" s="243"/>
      <c r="I657" s="258"/>
      <c r="J657" s="245"/>
      <c r="K657" s="245"/>
      <c r="L657" s="76">
        <f t="shared" si="100"/>
        <v>0</v>
      </c>
      <c r="M657" s="246"/>
      <c r="N657" s="247"/>
      <c r="O657" s="248"/>
      <c r="P657" s="246"/>
      <c r="Q657" s="249"/>
      <c r="R657" s="250"/>
      <c r="S657" s="259"/>
      <c r="T657" s="260"/>
      <c r="U657" s="250"/>
      <c r="V657" s="78">
        <f t="shared" si="101"/>
        <v>0</v>
      </c>
      <c r="W657" s="261">
        <f t="shared" si="102"/>
        <v>0</v>
      </c>
      <c r="X657" s="133">
        <f t="shared" si="103"/>
        <v>0</v>
      </c>
      <c r="Y657" s="251"/>
      <c r="Z657" s="1736"/>
      <c r="AA657" s="1737"/>
      <c r="AB657" s="77">
        <f t="shared" si="104"/>
        <v>0</v>
      </c>
      <c r="AC657" s="134">
        <f t="shared" si="105"/>
        <v>0</v>
      </c>
      <c r="AD657" s="251"/>
      <c r="AE657" s="1736"/>
      <c r="AF657" s="1737"/>
      <c r="AG657" s="77">
        <f t="shared" si="106"/>
        <v>0</v>
      </c>
      <c r="AH657" s="136">
        <f t="shared" si="107"/>
        <v>0</v>
      </c>
      <c r="AI657" s="251"/>
      <c r="AJ657" s="1736"/>
      <c r="AK657" s="1737"/>
      <c r="AL657" s="79">
        <f t="shared" si="108"/>
        <v>0</v>
      </c>
      <c r="AM657" s="137">
        <f t="shared" si="109"/>
        <v>0</v>
      </c>
      <c r="AN657" s="251"/>
      <c r="AO657" s="1736"/>
      <c r="AP657" s="1737"/>
    </row>
    <row r="658" spans="1:42" s="85" customFormat="1" ht="13.5" thickBot="1">
      <c r="A658" s="240"/>
      <c r="B658" s="241"/>
      <c r="C658" s="242"/>
      <c r="D658" s="242"/>
      <c r="E658" s="243"/>
      <c r="F658" s="244"/>
      <c r="G658" s="244"/>
      <c r="H658" s="243"/>
      <c r="I658" s="258"/>
      <c r="J658" s="245"/>
      <c r="K658" s="245"/>
      <c r="L658" s="76">
        <f t="shared" si="100"/>
        <v>0</v>
      </c>
      <c r="M658" s="246"/>
      <c r="N658" s="247"/>
      <c r="O658" s="248"/>
      <c r="P658" s="246"/>
      <c r="Q658" s="249"/>
      <c r="R658" s="250"/>
      <c r="S658" s="259"/>
      <c r="T658" s="260"/>
      <c r="U658" s="250"/>
      <c r="V658" s="78">
        <f t="shared" si="101"/>
        <v>0</v>
      </c>
      <c r="W658" s="261">
        <f t="shared" si="102"/>
        <v>0</v>
      </c>
      <c r="X658" s="133">
        <f t="shared" si="103"/>
        <v>0</v>
      </c>
      <c r="Y658" s="251"/>
      <c r="Z658" s="1736"/>
      <c r="AA658" s="1737"/>
      <c r="AB658" s="77">
        <f t="shared" si="104"/>
        <v>0</v>
      </c>
      <c r="AC658" s="134">
        <f t="shared" si="105"/>
        <v>0</v>
      </c>
      <c r="AD658" s="251"/>
      <c r="AE658" s="1736"/>
      <c r="AF658" s="1737"/>
      <c r="AG658" s="77">
        <f t="shared" si="106"/>
        <v>0</v>
      </c>
      <c r="AH658" s="136">
        <f t="shared" si="107"/>
        <v>0</v>
      </c>
      <c r="AI658" s="251"/>
      <c r="AJ658" s="1736"/>
      <c r="AK658" s="1737"/>
      <c r="AL658" s="79">
        <f t="shared" si="108"/>
        <v>0</v>
      </c>
      <c r="AM658" s="137">
        <f t="shared" si="109"/>
        <v>0</v>
      </c>
      <c r="AN658" s="251"/>
      <c r="AO658" s="1736"/>
      <c r="AP658" s="1737"/>
    </row>
    <row r="659" spans="1:42" s="85" customFormat="1" ht="13.5" thickBot="1">
      <c r="A659" s="240"/>
      <c r="B659" s="241"/>
      <c r="C659" s="242"/>
      <c r="D659" s="242"/>
      <c r="E659" s="243"/>
      <c r="F659" s="244"/>
      <c r="G659" s="244"/>
      <c r="H659" s="243"/>
      <c r="I659" s="258"/>
      <c r="J659" s="245"/>
      <c r="K659" s="245"/>
      <c r="L659" s="76">
        <f t="shared" si="100"/>
        <v>0</v>
      </c>
      <c r="M659" s="246"/>
      <c r="N659" s="247"/>
      <c r="O659" s="248"/>
      <c r="P659" s="246"/>
      <c r="Q659" s="249"/>
      <c r="R659" s="250"/>
      <c r="S659" s="259"/>
      <c r="T659" s="260"/>
      <c r="U659" s="250"/>
      <c r="V659" s="78">
        <f t="shared" si="101"/>
        <v>0</v>
      </c>
      <c r="W659" s="261">
        <f t="shared" si="102"/>
        <v>0</v>
      </c>
      <c r="X659" s="133">
        <f t="shared" si="103"/>
        <v>0</v>
      </c>
      <c r="Y659" s="251"/>
      <c r="Z659" s="1736"/>
      <c r="AA659" s="1737"/>
      <c r="AB659" s="77">
        <f t="shared" si="104"/>
        <v>0</v>
      </c>
      <c r="AC659" s="134">
        <f t="shared" si="105"/>
        <v>0</v>
      </c>
      <c r="AD659" s="251"/>
      <c r="AE659" s="1736"/>
      <c r="AF659" s="1737"/>
      <c r="AG659" s="77">
        <f t="shared" si="106"/>
        <v>0</v>
      </c>
      <c r="AH659" s="136">
        <f t="shared" si="107"/>
        <v>0</v>
      </c>
      <c r="AI659" s="251"/>
      <c r="AJ659" s="1736"/>
      <c r="AK659" s="1737"/>
      <c r="AL659" s="79">
        <f t="shared" si="108"/>
        <v>0</v>
      </c>
      <c r="AM659" s="137">
        <f t="shared" si="109"/>
        <v>0</v>
      </c>
      <c r="AN659" s="251"/>
      <c r="AO659" s="1736"/>
      <c r="AP659" s="1737"/>
    </row>
    <row r="660" spans="1:42" s="85" customFormat="1" ht="13.5" thickBot="1">
      <c r="A660" s="240"/>
      <c r="B660" s="241"/>
      <c r="C660" s="242"/>
      <c r="D660" s="242"/>
      <c r="E660" s="243"/>
      <c r="F660" s="244"/>
      <c r="G660" s="244"/>
      <c r="H660" s="243"/>
      <c r="I660" s="258"/>
      <c r="J660" s="245"/>
      <c r="K660" s="245"/>
      <c r="L660" s="76">
        <f t="shared" si="100"/>
        <v>0</v>
      </c>
      <c r="M660" s="246"/>
      <c r="N660" s="247"/>
      <c r="O660" s="248"/>
      <c r="P660" s="246"/>
      <c r="Q660" s="249"/>
      <c r="R660" s="250"/>
      <c r="S660" s="259"/>
      <c r="T660" s="260"/>
      <c r="U660" s="250"/>
      <c r="V660" s="78">
        <f t="shared" si="101"/>
        <v>0</v>
      </c>
      <c r="W660" s="261">
        <f t="shared" si="102"/>
        <v>0</v>
      </c>
      <c r="X660" s="133">
        <f t="shared" si="103"/>
        <v>0</v>
      </c>
      <c r="Y660" s="251"/>
      <c r="Z660" s="1736"/>
      <c r="AA660" s="1737"/>
      <c r="AB660" s="77">
        <f t="shared" si="104"/>
        <v>0</v>
      </c>
      <c r="AC660" s="134">
        <f t="shared" si="105"/>
        <v>0</v>
      </c>
      <c r="AD660" s="251"/>
      <c r="AE660" s="1736"/>
      <c r="AF660" s="1737"/>
      <c r="AG660" s="77">
        <f t="shared" si="106"/>
        <v>0</v>
      </c>
      <c r="AH660" s="136">
        <f t="shared" si="107"/>
        <v>0</v>
      </c>
      <c r="AI660" s="251"/>
      <c r="AJ660" s="1736"/>
      <c r="AK660" s="1737"/>
      <c r="AL660" s="79">
        <f t="shared" si="108"/>
        <v>0</v>
      </c>
      <c r="AM660" s="137">
        <f t="shared" si="109"/>
        <v>0</v>
      </c>
      <c r="AN660" s="251"/>
      <c r="AO660" s="1736"/>
      <c r="AP660" s="1737"/>
    </row>
    <row r="661" spans="1:42" s="85" customFormat="1" ht="13.5" thickBot="1">
      <c r="A661" s="240"/>
      <c r="B661" s="241"/>
      <c r="C661" s="242"/>
      <c r="D661" s="242"/>
      <c r="E661" s="243"/>
      <c r="F661" s="244"/>
      <c r="G661" s="244"/>
      <c r="H661" s="243"/>
      <c r="I661" s="258"/>
      <c r="J661" s="245"/>
      <c r="K661" s="245"/>
      <c r="L661" s="76">
        <f t="shared" si="100"/>
        <v>0</v>
      </c>
      <c r="M661" s="246"/>
      <c r="N661" s="247"/>
      <c r="O661" s="248"/>
      <c r="P661" s="246"/>
      <c r="Q661" s="249"/>
      <c r="R661" s="250"/>
      <c r="S661" s="259"/>
      <c r="T661" s="260"/>
      <c r="U661" s="250"/>
      <c r="V661" s="78">
        <f t="shared" si="101"/>
        <v>0</v>
      </c>
      <c r="W661" s="261">
        <f t="shared" si="102"/>
        <v>0</v>
      </c>
      <c r="X661" s="133">
        <f t="shared" si="103"/>
        <v>0</v>
      </c>
      <c r="Y661" s="251"/>
      <c r="Z661" s="1736"/>
      <c r="AA661" s="1737"/>
      <c r="AB661" s="77">
        <f t="shared" si="104"/>
        <v>0</v>
      </c>
      <c r="AC661" s="134">
        <f t="shared" si="105"/>
        <v>0</v>
      </c>
      <c r="AD661" s="251"/>
      <c r="AE661" s="1736"/>
      <c r="AF661" s="1737"/>
      <c r="AG661" s="77">
        <f t="shared" si="106"/>
        <v>0</v>
      </c>
      <c r="AH661" s="136">
        <f t="shared" si="107"/>
        <v>0</v>
      </c>
      <c r="AI661" s="251"/>
      <c r="AJ661" s="1736"/>
      <c r="AK661" s="1737"/>
      <c r="AL661" s="79">
        <f t="shared" si="108"/>
        <v>0</v>
      </c>
      <c r="AM661" s="137">
        <f t="shared" si="109"/>
        <v>0</v>
      </c>
      <c r="AN661" s="251"/>
      <c r="AO661" s="1736"/>
      <c r="AP661" s="1737"/>
    </row>
    <row r="662" spans="1:42" s="85" customFormat="1" ht="13.5" thickBot="1">
      <c r="A662" s="240"/>
      <c r="B662" s="241"/>
      <c r="C662" s="242"/>
      <c r="D662" s="242"/>
      <c r="E662" s="243"/>
      <c r="F662" s="244"/>
      <c r="G662" s="244"/>
      <c r="H662" s="243"/>
      <c r="I662" s="258"/>
      <c r="J662" s="245"/>
      <c r="K662" s="245"/>
      <c r="L662" s="76">
        <f t="shared" si="100"/>
        <v>0</v>
      </c>
      <c r="M662" s="246"/>
      <c r="N662" s="247"/>
      <c r="O662" s="248"/>
      <c r="P662" s="246"/>
      <c r="Q662" s="249"/>
      <c r="R662" s="250"/>
      <c r="S662" s="259"/>
      <c r="T662" s="260"/>
      <c r="U662" s="250"/>
      <c r="V662" s="78">
        <f t="shared" si="101"/>
        <v>0</v>
      </c>
      <c r="W662" s="261">
        <f t="shared" si="102"/>
        <v>0</v>
      </c>
      <c r="X662" s="133">
        <f t="shared" si="103"/>
        <v>0</v>
      </c>
      <c r="Y662" s="251"/>
      <c r="Z662" s="1736"/>
      <c r="AA662" s="1737"/>
      <c r="AB662" s="77">
        <f t="shared" si="104"/>
        <v>0</v>
      </c>
      <c r="AC662" s="134">
        <f t="shared" si="105"/>
        <v>0</v>
      </c>
      <c r="AD662" s="251"/>
      <c r="AE662" s="1736"/>
      <c r="AF662" s="1737"/>
      <c r="AG662" s="77">
        <f t="shared" si="106"/>
        <v>0</v>
      </c>
      <c r="AH662" s="136">
        <f t="shared" si="107"/>
        <v>0</v>
      </c>
      <c r="AI662" s="251"/>
      <c r="AJ662" s="1736"/>
      <c r="AK662" s="1737"/>
      <c r="AL662" s="79">
        <f t="shared" si="108"/>
        <v>0</v>
      </c>
      <c r="AM662" s="137">
        <f t="shared" si="109"/>
        <v>0</v>
      </c>
      <c r="AN662" s="251"/>
      <c r="AO662" s="1736"/>
      <c r="AP662" s="1737"/>
    </row>
    <row r="663" spans="1:42" s="85" customFormat="1" ht="13.5" thickBot="1">
      <c r="A663" s="240"/>
      <c r="B663" s="241"/>
      <c r="C663" s="242"/>
      <c r="D663" s="242"/>
      <c r="E663" s="243"/>
      <c r="F663" s="244"/>
      <c r="G663" s="244"/>
      <c r="H663" s="243"/>
      <c r="I663" s="258"/>
      <c r="J663" s="245"/>
      <c r="K663" s="245"/>
      <c r="L663" s="76">
        <f t="shared" si="100"/>
        <v>0</v>
      </c>
      <c r="M663" s="246"/>
      <c r="N663" s="247"/>
      <c r="O663" s="248"/>
      <c r="P663" s="246"/>
      <c r="Q663" s="249"/>
      <c r="R663" s="250"/>
      <c r="S663" s="259"/>
      <c r="T663" s="260"/>
      <c r="U663" s="250"/>
      <c r="V663" s="78">
        <f t="shared" si="101"/>
        <v>0</v>
      </c>
      <c r="W663" s="261">
        <f t="shared" si="102"/>
        <v>0</v>
      </c>
      <c r="X663" s="133">
        <f t="shared" si="103"/>
        <v>0</v>
      </c>
      <c r="Y663" s="251"/>
      <c r="Z663" s="1736"/>
      <c r="AA663" s="1737"/>
      <c r="AB663" s="77">
        <f t="shared" si="104"/>
        <v>0</v>
      </c>
      <c r="AC663" s="134">
        <f t="shared" si="105"/>
        <v>0</v>
      </c>
      <c r="AD663" s="251"/>
      <c r="AE663" s="1736"/>
      <c r="AF663" s="1737"/>
      <c r="AG663" s="77">
        <f t="shared" si="106"/>
        <v>0</v>
      </c>
      <c r="AH663" s="136">
        <f t="shared" si="107"/>
        <v>0</v>
      </c>
      <c r="AI663" s="251"/>
      <c r="AJ663" s="1736"/>
      <c r="AK663" s="1737"/>
      <c r="AL663" s="79">
        <f t="shared" si="108"/>
        <v>0</v>
      </c>
      <c r="AM663" s="137">
        <f t="shared" si="109"/>
        <v>0</v>
      </c>
      <c r="AN663" s="251"/>
      <c r="AO663" s="1736"/>
      <c r="AP663" s="1737"/>
    </row>
    <row r="664" spans="1:42" s="85" customFormat="1" ht="13.5" thickBot="1">
      <c r="A664" s="240"/>
      <c r="B664" s="241"/>
      <c r="C664" s="242"/>
      <c r="D664" s="242"/>
      <c r="E664" s="243"/>
      <c r="F664" s="244"/>
      <c r="G664" s="244"/>
      <c r="H664" s="243"/>
      <c r="I664" s="258"/>
      <c r="J664" s="245"/>
      <c r="K664" s="245"/>
      <c r="L664" s="76">
        <f t="shared" si="100"/>
        <v>0</v>
      </c>
      <c r="M664" s="246"/>
      <c r="N664" s="247"/>
      <c r="O664" s="248"/>
      <c r="P664" s="246"/>
      <c r="Q664" s="249"/>
      <c r="R664" s="250"/>
      <c r="S664" s="259"/>
      <c r="T664" s="260"/>
      <c r="U664" s="250"/>
      <c r="V664" s="78">
        <f t="shared" si="101"/>
        <v>0</v>
      </c>
      <c r="W664" s="261">
        <f t="shared" si="102"/>
        <v>0</v>
      </c>
      <c r="X664" s="133">
        <f t="shared" si="103"/>
        <v>0</v>
      </c>
      <c r="Y664" s="251"/>
      <c r="Z664" s="1736"/>
      <c r="AA664" s="1737"/>
      <c r="AB664" s="77">
        <f t="shared" si="104"/>
        <v>0</v>
      </c>
      <c r="AC664" s="134">
        <f t="shared" si="105"/>
        <v>0</v>
      </c>
      <c r="AD664" s="251"/>
      <c r="AE664" s="1736"/>
      <c r="AF664" s="1737"/>
      <c r="AG664" s="77">
        <f t="shared" si="106"/>
        <v>0</v>
      </c>
      <c r="AH664" s="136">
        <f t="shared" si="107"/>
        <v>0</v>
      </c>
      <c r="AI664" s="251"/>
      <c r="AJ664" s="1736"/>
      <c r="AK664" s="1737"/>
      <c r="AL664" s="79">
        <f t="shared" si="108"/>
        <v>0</v>
      </c>
      <c r="AM664" s="137">
        <f t="shared" si="109"/>
        <v>0</v>
      </c>
      <c r="AN664" s="251"/>
      <c r="AO664" s="1736"/>
      <c r="AP664" s="1737"/>
    </row>
    <row r="665" spans="1:42" s="85" customFormat="1" ht="13.5" thickBot="1">
      <c r="A665" s="240"/>
      <c r="B665" s="241"/>
      <c r="C665" s="242"/>
      <c r="D665" s="242"/>
      <c r="E665" s="243"/>
      <c r="F665" s="244"/>
      <c r="G665" s="244"/>
      <c r="H665" s="243"/>
      <c r="I665" s="258"/>
      <c r="J665" s="245"/>
      <c r="K665" s="245"/>
      <c r="L665" s="76">
        <f t="shared" si="100"/>
        <v>0</v>
      </c>
      <c r="M665" s="246"/>
      <c r="N665" s="247"/>
      <c r="O665" s="248"/>
      <c r="P665" s="246"/>
      <c r="Q665" s="249"/>
      <c r="R665" s="250"/>
      <c r="S665" s="259"/>
      <c r="T665" s="260"/>
      <c r="U665" s="250"/>
      <c r="V665" s="78">
        <f t="shared" si="101"/>
        <v>0</v>
      </c>
      <c r="W665" s="261">
        <f t="shared" si="102"/>
        <v>0</v>
      </c>
      <c r="X665" s="133">
        <f t="shared" si="103"/>
        <v>0</v>
      </c>
      <c r="Y665" s="251"/>
      <c r="Z665" s="1736"/>
      <c r="AA665" s="1737"/>
      <c r="AB665" s="77">
        <f t="shared" si="104"/>
        <v>0</v>
      </c>
      <c r="AC665" s="134">
        <f t="shared" si="105"/>
        <v>0</v>
      </c>
      <c r="AD665" s="251"/>
      <c r="AE665" s="1736"/>
      <c r="AF665" s="1737"/>
      <c r="AG665" s="77">
        <f t="shared" si="106"/>
        <v>0</v>
      </c>
      <c r="AH665" s="136">
        <f t="shared" si="107"/>
        <v>0</v>
      </c>
      <c r="AI665" s="251"/>
      <c r="AJ665" s="1736"/>
      <c r="AK665" s="1737"/>
      <c r="AL665" s="79">
        <f t="shared" si="108"/>
        <v>0</v>
      </c>
      <c r="AM665" s="137">
        <f t="shared" si="109"/>
        <v>0</v>
      </c>
      <c r="AN665" s="251"/>
      <c r="AO665" s="1736"/>
      <c r="AP665" s="1737"/>
    </row>
    <row r="666" spans="1:42" s="85" customFormat="1" ht="13.5" thickBot="1">
      <c r="A666" s="240"/>
      <c r="B666" s="241"/>
      <c r="C666" s="242"/>
      <c r="D666" s="242"/>
      <c r="E666" s="243"/>
      <c r="F666" s="244"/>
      <c r="G666" s="244"/>
      <c r="H666" s="243"/>
      <c r="I666" s="258"/>
      <c r="J666" s="245"/>
      <c r="K666" s="245"/>
      <c r="L666" s="76">
        <f t="shared" si="100"/>
        <v>0</v>
      </c>
      <c r="M666" s="246"/>
      <c r="N666" s="247"/>
      <c r="O666" s="248"/>
      <c r="P666" s="246"/>
      <c r="Q666" s="249"/>
      <c r="R666" s="250"/>
      <c r="S666" s="259"/>
      <c r="T666" s="260"/>
      <c r="U666" s="250"/>
      <c r="V666" s="78">
        <f t="shared" si="101"/>
        <v>0</v>
      </c>
      <c r="W666" s="261">
        <f t="shared" si="102"/>
        <v>0</v>
      </c>
      <c r="X666" s="133">
        <f t="shared" si="103"/>
        <v>0</v>
      </c>
      <c r="Y666" s="251"/>
      <c r="Z666" s="1736"/>
      <c r="AA666" s="1737"/>
      <c r="AB666" s="77">
        <f t="shared" si="104"/>
        <v>0</v>
      </c>
      <c r="AC666" s="134">
        <f t="shared" si="105"/>
        <v>0</v>
      </c>
      <c r="AD666" s="251"/>
      <c r="AE666" s="1736"/>
      <c r="AF666" s="1737"/>
      <c r="AG666" s="77">
        <f t="shared" si="106"/>
        <v>0</v>
      </c>
      <c r="AH666" s="136">
        <f t="shared" si="107"/>
        <v>0</v>
      </c>
      <c r="AI666" s="251"/>
      <c r="AJ666" s="1736"/>
      <c r="AK666" s="1737"/>
      <c r="AL666" s="79">
        <f t="shared" si="108"/>
        <v>0</v>
      </c>
      <c r="AM666" s="137">
        <f t="shared" si="109"/>
        <v>0</v>
      </c>
      <c r="AN666" s="251"/>
      <c r="AO666" s="1736"/>
      <c r="AP666" s="1737"/>
    </row>
    <row r="667" spans="1:42" s="85" customFormat="1" ht="13.5" thickBot="1">
      <c r="A667" s="240"/>
      <c r="B667" s="241"/>
      <c r="C667" s="242"/>
      <c r="D667" s="242"/>
      <c r="E667" s="243"/>
      <c r="F667" s="244"/>
      <c r="G667" s="244"/>
      <c r="H667" s="243"/>
      <c r="I667" s="258"/>
      <c r="J667" s="245"/>
      <c r="K667" s="245"/>
      <c r="L667" s="76">
        <f t="shared" si="100"/>
        <v>0</v>
      </c>
      <c r="M667" s="246"/>
      <c r="N667" s="247"/>
      <c r="O667" s="248"/>
      <c r="P667" s="246"/>
      <c r="Q667" s="249"/>
      <c r="R667" s="250"/>
      <c r="S667" s="259"/>
      <c r="T667" s="260"/>
      <c r="U667" s="250"/>
      <c r="V667" s="78">
        <f t="shared" si="101"/>
        <v>0</v>
      </c>
      <c r="W667" s="261">
        <f t="shared" si="102"/>
        <v>0</v>
      </c>
      <c r="X667" s="133">
        <f t="shared" si="103"/>
        <v>0</v>
      </c>
      <c r="Y667" s="251"/>
      <c r="Z667" s="1736"/>
      <c r="AA667" s="1737"/>
      <c r="AB667" s="77">
        <f t="shared" si="104"/>
        <v>0</v>
      </c>
      <c r="AC667" s="134">
        <f t="shared" si="105"/>
        <v>0</v>
      </c>
      <c r="AD667" s="251"/>
      <c r="AE667" s="1736"/>
      <c r="AF667" s="1737"/>
      <c r="AG667" s="77">
        <f t="shared" si="106"/>
        <v>0</v>
      </c>
      <c r="AH667" s="136">
        <f t="shared" si="107"/>
        <v>0</v>
      </c>
      <c r="AI667" s="251"/>
      <c r="AJ667" s="1736"/>
      <c r="AK667" s="1737"/>
      <c r="AL667" s="79">
        <f t="shared" si="108"/>
        <v>0</v>
      </c>
      <c r="AM667" s="137">
        <f t="shared" si="109"/>
        <v>0</v>
      </c>
      <c r="AN667" s="251"/>
      <c r="AO667" s="1736"/>
      <c r="AP667" s="1737"/>
    </row>
    <row r="668" spans="1:42" s="85" customFormat="1" ht="13.5" thickBot="1">
      <c r="A668" s="240"/>
      <c r="B668" s="241"/>
      <c r="C668" s="242"/>
      <c r="D668" s="242"/>
      <c r="E668" s="243"/>
      <c r="F668" s="244"/>
      <c r="G668" s="244"/>
      <c r="H668" s="243"/>
      <c r="I668" s="258"/>
      <c r="J668" s="245"/>
      <c r="K668" s="245"/>
      <c r="L668" s="76">
        <f t="shared" si="100"/>
        <v>0</v>
      </c>
      <c r="M668" s="246"/>
      <c r="N668" s="247"/>
      <c r="O668" s="248"/>
      <c r="P668" s="246"/>
      <c r="Q668" s="249"/>
      <c r="R668" s="250"/>
      <c r="S668" s="259"/>
      <c r="T668" s="260"/>
      <c r="U668" s="250"/>
      <c r="V668" s="78">
        <f t="shared" si="101"/>
        <v>0</v>
      </c>
      <c r="W668" s="261">
        <f t="shared" si="102"/>
        <v>0</v>
      </c>
      <c r="X668" s="133">
        <f t="shared" si="103"/>
        <v>0</v>
      </c>
      <c r="Y668" s="251"/>
      <c r="Z668" s="1736"/>
      <c r="AA668" s="1737"/>
      <c r="AB668" s="77">
        <f t="shared" si="104"/>
        <v>0</v>
      </c>
      <c r="AC668" s="134">
        <f t="shared" si="105"/>
        <v>0</v>
      </c>
      <c r="AD668" s="251"/>
      <c r="AE668" s="1736"/>
      <c r="AF668" s="1737"/>
      <c r="AG668" s="77">
        <f t="shared" si="106"/>
        <v>0</v>
      </c>
      <c r="AH668" s="136">
        <f t="shared" si="107"/>
        <v>0</v>
      </c>
      <c r="AI668" s="251"/>
      <c r="AJ668" s="1736"/>
      <c r="AK668" s="1737"/>
      <c r="AL668" s="79">
        <f t="shared" si="108"/>
        <v>0</v>
      </c>
      <c r="AM668" s="137">
        <f t="shared" si="109"/>
        <v>0</v>
      </c>
      <c r="AN668" s="251"/>
      <c r="AO668" s="1736"/>
      <c r="AP668" s="1737"/>
    </row>
    <row r="669" spans="1:42" s="85" customFormat="1" ht="13.5" thickBot="1">
      <c r="A669" s="240"/>
      <c r="B669" s="241"/>
      <c r="C669" s="242"/>
      <c r="D669" s="242"/>
      <c r="E669" s="243"/>
      <c r="F669" s="244"/>
      <c r="G669" s="244"/>
      <c r="H669" s="243"/>
      <c r="I669" s="258"/>
      <c r="J669" s="245"/>
      <c r="K669" s="245"/>
      <c r="L669" s="76">
        <f t="shared" si="100"/>
        <v>0</v>
      </c>
      <c r="M669" s="246"/>
      <c r="N669" s="247"/>
      <c r="O669" s="248"/>
      <c r="P669" s="246"/>
      <c r="Q669" s="249"/>
      <c r="R669" s="250"/>
      <c r="S669" s="259"/>
      <c r="T669" s="260"/>
      <c r="U669" s="250"/>
      <c r="V669" s="78">
        <f t="shared" si="101"/>
        <v>0</v>
      </c>
      <c r="W669" s="261">
        <f t="shared" si="102"/>
        <v>0</v>
      </c>
      <c r="X669" s="133">
        <f t="shared" si="103"/>
        <v>0</v>
      </c>
      <c r="Y669" s="251"/>
      <c r="Z669" s="1736"/>
      <c r="AA669" s="1737"/>
      <c r="AB669" s="77">
        <f t="shared" si="104"/>
        <v>0</v>
      </c>
      <c r="AC669" s="134">
        <f t="shared" si="105"/>
        <v>0</v>
      </c>
      <c r="AD669" s="251"/>
      <c r="AE669" s="1736"/>
      <c r="AF669" s="1737"/>
      <c r="AG669" s="77">
        <f t="shared" si="106"/>
        <v>0</v>
      </c>
      <c r="AH669" s="136">
        <f t="shared" si="107"/>
        <v>0</v>
      </c>
      <c r="AI669" s="251"/>
      <c r="AJ669" s="1736"/>
      <c r="AK669" s="1737"/>
      <c r="AL669" s="79">
        <f t="shared" si="108"/>
        <v>0</v>
      </c>
      <c r="AM669" s="137">
        <f t="shared" si="109"/>
        <v>0</v>
      </c>
      <c r="AN669" s="251"/>
      <c r="AO669" s="1736"/>
      <c r="AP669" s="1737"/>
    </row>
    <row r="670" spans="1:42" s="85" customFormat="1" ht="13.5" thickBot="1">
      <c r="A670" s="240"/>
      <c r="B670" s="241"/>
      <c r="C670" s="242"/>
      <c r="D670" s="242"/>
      <c r="E670" s="243"/>
      <c r="F670" s="244"/>
      <c r="G670" s="244"/>
      <c r="H670" s="243"/>
      <c r="I670" s="258"/>
      <c r="J670" s="245"/>
      <c r="K670" s="245"/>
      <c r="L670" s="76">
        <f t="shared" si="100"/>
        <v>0</v>
      </c>
      <c r="M670" s="246"/>
      <c r="N670" s="247"/>
      <c r="O670" s="248"/>
      <c r="P670" s="246"/>
      <c r="Q670" s="249"/>
      <c r="R670" s="250"/>
      <c r="S670" s="259"/>
      <c r="T670" s="260"/>
      <c r="U670" s="250"/>
      <c r="V670" s="78">
        <f t="shared" si="101"/>
        <v>0</v>
      </c>
      <c r="W670" s="261">
        <f t="shared" si="102"/>
        <v>0</v>
      </c>
      <c r="X670" s="133">
        <f t="shared" si="103"/>
        <v>0</v>
      </c>
      <c r="Y670" s="251"/>
      <c r="Z670" s="1736"/>
      <c r="AA670" s="1737"/>
      <c r="AB670" s="77">
        <f t="shared" si="104"/>
        <v>0</v>
      </c>
      <c r="AC670" s="134">
        <f t="shared" si="105"/>
        <v>0</v>
      </c>
      <c r="AD670" s="251"/>
      <c r="AE670" s="1736"/>
      <c r="AF670" s="1737"/>
      <c r="AG670" s="77">
        <f t="shared" si="106"/>
        <v>0</v>
      </c>
      <c r="AH670" s="136">
        <f t="shared" si="107"/>
        <v>0</v>
      </c>
      <c r="AI670" s="251"/>
      <c r="AJ670" s="1736"/>
      <c r="AK670" s="1737"/>
      <c r="AL670" s="79">
        <f t="shared" si="108"/>
        <v>0</v>
      </c>
      <c r="AM670" s="137">
        <f t="shared" si="109"/>
        <v>0</v>
      </c>
      <c r="AN670" s="251"/>
      <c r="AO670" s="1736"/>
      <c r="AP670" s="1737"/>
    </row>
    <row r="671" spans="1:42" s="85" customFormat="1" ht="13.5" thickBot="1">
      <c r="A671" s="240"/>
      <c r="B671" s="241"/>
      <c r="C671" s="242"/>
      <c r="D671" s="242"/>
      <c r="E671" s="243"/>
      <c r="F671" s="244"/>
      <c r="G671" s="244"/>
      <c r="H671" s="243"/>
      <c r="I671" s="258"/>
      <c r="J671" s="245"/>
      <c r="K671" s="245"/>
      <c r="L671" s="76">
        <f t="shared" si="100"/>
        <v>0</v>
      </c>
      <c r="M671" s="246"/>
      <c r="N671" s="247"/>
      <c r="O671" s="248"/>
      <c r="P671" s="246"/>
      <c r="Q671" s="249"/>
      <c r="R671" s="250"/>
      <c r="S671" s="259"/>
      <c r="T671" s="260"/>
      <c r="U671" s="250"/>
      <c r="V671" s="78">
        <f t="shared" si="101"/>
        <v>0</v>
      </c>
      <c r="W671" s="261">
        <f t="shared" si="102"/>
        <v>0</v>
      </c>
      <c r="X671" s="133">
        <f t="shared" si="103"/>
        <v>0</v>
      </c>
      <c r="Y671" s="251"/>
      <c r="Z671" s="1736"/>
      <c r="AA671" s="1737"/>
      <c r="AB671" s="77">
        <f t="shared" si="104"/>
        <v>0</v>
      </c>
      <c r="AC671" s="134">
        <f t="shared" si="105"/>
        <v>0</v>
      </c>
      <c r="AD671" s="251"/>
      <c r="AE671" s="1736"/>
      <c r="AF671" s="1737"/>
      <c r="AG671" s="77">
        <f t="shared" si="106"/>
        <v>0</v>
      </c>
      <c r="AH671" s="136">
        <f t="shared" si="107"/>
        <v>0</v>
      </c>
      <c r="AI671" s="251"/>
      <c r="AJ671" s="1736"/>
      <c r="AK671" s="1737"/>
      <c r="AL671" s="79">
        <f t="shared" si="108"/>
        <v>0</v>
      </c>
      <c r="AM671" s="137">
        <f t="shared" si="109"/>
        <v>0</v>
      </c>
      <c r="AN671" s="251"/>
      <c r="AO671" s="1736"/>
      <c r="AP671" s="1737"/>
    </row>
    <row r="672" spans="1:42" s="85" customFormat="1" ht="13.5" thickBot="1">
      <c r="A672" s="240"/>
      <c r="B672" s="241"/>
      <c r="C672" s="242"/>
      <c r="D672" s="242"/>
      <c r="E672" s="243"/>
      <c r="F672" s="244"/>
      <c r="G672" s="244"/>
      <c r="H672" s="243"/>
      <c r="I672" s="258"/>
      <c r="J672" s="245"/>
      <c r="K672" s="245"/>
      <c r="L672" s="76">
        <f t="shared" si="100"/>
        <v>0</v>
      </c>
      <c r="M672" s="246"/>
      <c r="N672" s="247"/>
      <c r="O672" s="248"/>
      <c r="P672" s="246"/>
      <c r="Q672" s="249"/>
      <c r="R672" s="250"/>
      <c r="S672" s="259"/>
      <c r="T672" s="260"/>
      <c r="U672" s="250"/>
      <c r="V672" s="78">
        <f t="shared" si="101"/>
        <v>0</v>
      </c>
      <c r="W672" s="261">
        <f t="shared" si="102"/>
        <v>0</v>
      </c>
      <c r="X672" s="133">
        <f t="shared" si="103"/>
        <v>0</v>
      </c>
      <c r="Y672" s="251"/>
      <c r="Z672" s="1736"/>
      <c r="AA672" s="1737"/>
      <c r="AB672" s="77">
        <f t="shared" si="104"/>
        <v>0</v>
      </c>
      <c r="AC672" s="134">
        <f t="shared" si="105"/>
        <v>0</v>
      </c>
      <c r="AD672" s="251"/>
      <c r="AE672" s="1736"/>
      <c r="AF672" s="1737"/>
      <c r="AG672" s="77">
        <f t="shared" si="106"/>
        <v>0</v>
      </c>
      <c r="AH672" s="136">
        <f t="shared" si="107"/>
        <v>0</v>
      </c>
      <c r="AI672" s="251"/>
      <c r="AJ672" s="1736"/>
      <c r="AK672" s="1737"/>
      <c r="AL672" s="79">
        <f t="shared" si="108"/>
        <v>0</v>
      </c>
      <c r="AM672" s="137">
        <f t="shared" si="109"/>
        <v>0</v>
      </c>
      <c r="AN672" s="251"/>
      <c r="AO672" s="1736"/>
      <c r="AP672" s="1737"/>
    </row>
    <row r="673" spans="1:42" s="85" customFormat="1" ht="13.5" thickBot="1">
      <c r="A673" s="240"/>
      <c r="B673" s="241"/>
      <c r="C673" s="242"/>
      <c r="D673" s="242"/>
      <c r="E673" s="243"/>
      <c r="F673" s="244"/>
      <c r="G673" s="244"/>
      <c r="H673" s="243"/>
      <c r="I673" s="258"/>
      <c r="J673" s="245"/>
      <c r="K673" s="245"/>
      <c r="L673" s="76">
        <f t="shared" si="100"/>
        <v>0</v>
      </c>
      <c r="M673" s="246"/>
      <c r="N673" s="247"/>
      <c r="O673" s="248"/>
      <c r="P673" s="246"/>
      <c r="Q673" s="249"/>
      <c r="R673" s="250"/>
      <c r="S673" s="259"/>
      <c r="T673" s="260"/>
      <c r="U673" s="250"/>
      <c r="V673" s="78">
        <f t="shared" si="101"/>
        <v>0</v>
      </c>
      <c r="W673" s="261">
        <f t="shared" si="102"/>
        <v>0</v>
      </c>
      <c r="X673" s="133">
        <f t="shared" si="103"/>
        <v>0</v>
      </c>
      <c r="Y673" s="251"/>
      <c r="Z673" s="1736"/>
      <c r="AA673" s="1737"/>
      <c r="AB673" s="77">
        <f t="shared" si="104"/>
        <v>0</v>
      </c>
      <c r="AC673" s="134">
        <f t="shared" si="105"/>
        <v>0</v>
      </c>
      <c r="AD673" s="251"/>
      <c r="AE673" s="1736"/>
      <c r="AF673" s="1737"/>
      <c r="AG673" s="77">
        <f t="shared" si="106"/>
        <v>0</v>
      </c>
      <c r="AH673" s="136">
        <f t="shared" si="107"/>
        <v>0</v>
      </c>
      <c r="AI673" s="251"/>
      <c r="AJ673" s="1736"/>
      <c r="AK673" s="1737"/>
      <c r="AL673" s="79">
        <f t="shared" si="108"/>
        <v>0</v>
      </c>
      <c r="AM673" s="137">
        <f t="shared" si="109"/>
        <v>0</v>
      </c>
      <c r="AN673" s="251"/>
      <c r="AO673" s="1736"/>
      <c r="AP673" s="1737"/>
    </row>
    <row r="674" spans="1:42" s="85" customFormat="1" ht="13.5" thickBot="1">
      <c r="A674" s="240"/>
      <c r="B674" s="241"/>
      <c r="C674" s="242"/>
      <c r="D674" s="242"/>
      <c r="E674" s="243"/>
      <c r="F674" s="244"/>
      <c r="G674" s="244"/>
      <c r="H674" s="243"/>
      <c r="I674" s="258"/>
      <c r="J674" s="245"/>
      <c r="K674" s="245"/>
      <c r="L674" s="76">
        <f t="shared" si="100"/>
        <v>0</v>
      </c>
      <c r="M674" s="246"/>
      <c r="N674" s="247"/>
      <c r="O674" s="248"/>
      <c r="P674" s="246"/>
      <c r="Q674" s="249"/>
      <c r="R674" s="250"/>
      <c r="S674" s="259"/>
      <c r="T674" s="260"/>
      <c r="U674" s="250"/>
      <c r="V674" s="78">
        <f t="shared" si="101"/>
        <v>0</v>
      </c>
      <c r="W674" s="261">
        <f t="shared" si="102"/>
        <v>0</v>
      </c>
      <c r="X674" s="133">
        <f t="shared" si="103"/>
        <v>0</v>
      </c>
      <c r="Y674" s="251"/>
      <c r="Z674" s="1736"/>
      <c r="AA674" s="1737"/>
      <c r="AB674" s="77">
        <f t="shared" si="104"/>
        <v>0</v>
      </c>
      <c r="AC674" s="134">
        <f t="shared" si="105"/>
        <v>0</v>
      </c>
      <c r="AD674" s="251"/>
      <c r="AE674" s="1736"/>
      <c r="AF674" s="1737"/>
      <c r="AG674" s="77">
        <f t="shared" si="106"/>
        <v>0</v>
      </c>
      <c r="AH674" s="136">
        <f t="shared" si="107"/>
        <v>0</v>
      </c>
      <c r="AI674" s="251"/>
      <c r="AJ674" s="1736"/>
      <c r="AK674" s="1737"/>
      <c r="AL674" s="79">
        <f t="shared" si="108"/>
        <v>0</v>
      </c>
      <c r="AM674" s="137">
        <f t="shared" si="109"/>
        <v>0</v>
      </c>
      <c r="AN674" s="251"/>
      <c r="AO674" s="1736"/>
      <c r="AP674" s="1737"/>
    </row>
    <row r="675" spans="1:42" s="85" customFormat="1" ht="13.5" thickBot="1">
      <c r="A675" s="240"/>
      <c r="B675" s="241"/>
      <c r="C675" s="242"/>
      <c r="D675" s="242"/>
      <c r="E675" s="243"/>
      <c r="F675" s="244"/>
      <c r="G675" s="244"/>
      <c r="H675" s="243"/>
      <c r="I675" s="258"/>
      <c r="J675" s="245"/>
      <c r="K675" s="245"/>
      <c r="L675" s="76">
        <f t="shared" si="100"/>
        <v>0</v>
      </c>
      <c r="M675" s="246"/>
      <c r="N675" s="247"/>
      <c r="O675" s="248"/>
      <c r="P675" s="246"/>
      <c r="Q675" s="249"/>
      <c r="R675" s="250"/>
      <c r="S675" s="259"/>
      <c r="T675" s="260"/>
      <c r="U675" s="250"/>
      <c r="V675" s="78">
        <f t="shared" si="101"/>
        <v>0</v>
      </c>
      <c r="W675" s="261">
        <f t="shared" si="102"/>
        <v>0</v>
      </c>
      <c r="X675" s="133">
        <f t="shared" si="103"/>
        <v>0</v>
      </c>
      <c r="Y675" s="251"/>
      <c r="Z675" s="1736"/>
      <c r="AA675" s="1737"/>
      <c r="AB675" s="77">
        <f t="shared" si="104"/>
        <v>0</v>
      </c>
      <c r="AC675" s="134">
        <f t="shared" si="105"/>
        <v>0</v>
      </c>
      <c r="AD675" s="251"/>
      <c r="AE675" s="1736"/>
      <c r="AF675" s="1737"/>
      <c r="AG675" s="77">
        <f t="shared" si="106"/>
        <v>0</v>
      </c>
      <c r="AH675" s="136">
        <f t="shared" si="107"/>
        <v>0</v>
      </c>
      <c r="AI675" s="251"/>
      <c r="AJ675" s="1736"/>
      <c r="AK675" s="1737"/>
      <c r="AL675" s="79">
        <f t="shared" si="108"/>
        <v>0</v>
      </c>
      <c r="AM675" s="137">
        <f t="shared" si="109"/>
        <v>0</v>
      </c>
      <c r="AN675" s="251"/>
      <c r="AO675" s="1736"/>
      <c r="AP675" s="1737"/>
    </row>
    <row r="676" spans="1:42" s="85" customFormat="1" ht="13.5" thickBot="1">
      <c r="A676" s="240"/>
      <c r="B676" s="241"/>
      <c r="C676" s="242"/>
      <c r="D676" s="242"/>
      <c r="E676" s="243"/>
      <c r="F676" s="244"/>
      <c r="G676" s="244"/>
      <c r="H676" s="243"/>
      <c r="I676" s="258"/>
      <c r="J676" s="245"/>
      <c r="K676" s="245"/>
      <c r="L676" s="76">
        <f t="shared" si="100"/>
        <v>0</v>
      </c>
      <c r="M676" s="246"/>
      <c r="N676" s="247"/>
      <c r="O676" s="248"/>
      <c r="P676" s="246"/>
      <c r="Q676" s="249"/>
      <c r="R676" s="250"/>
      <c r="S676" s="259"/>
      <c r="T676" s="260"/>
      <c r="U676" s="250"/>
      <c r="V676" s="78">
        <f t="shared" si="101"/>
        <v>0</v>
      </c>
      <c r="W676" s="261">
        <f t="shared" si="102"/>
        <v>0</v>
      </c>
      <c r="X676" s="133">
        <f t="shared" si="103"/>
        <v>0</v>
      </c>
      <c r="Y676" s="251"/>
      <c r="Z676" s="1736"/>
      <c r="AA676" s="1737"/>
      <c r="AB676" s="77">
        <f t="shared" si="104"/>
        <v>0</v>
      </c>
      <c r="AC676" s="134">
        <f t="shared" si="105"/>
        <v>0</v>
      </c>
      <c r="AD676" s="251"/>
      <c r="AE676" s="1736"/>
      <c r="AF676" s="1737"/>
      <c r="AG676" s="77">
        <f t="shared" si="106"/>
        <v>0</v>
      </c>
      <c r="AH676" s="136">
        <f t="shared" si="107"/>
        <v>0</v>
      </c>
      <c r="AI676" s="251"/>
      <c r="AJ676" s="1736"/>
      <c r="AK676" s="1737"/>
      <c r="AL676" s="79">
        <f t="shared" si="108"/>
        <v>0</v>
      </c>
      <c r="AM676" s="137">
        <f t="shared" si="109"/>
        <v>0</v>
      </c>
      <c r="AN676" s="251"/>
      <c r="AO676" s="1736"/>
      <c r="AP676" s="1737"/>
    </row>
    <row r="677" spans="1:42" s="85" customFormat="1" ht="13.5" thickBot="1">
      <c r="A677" s="240"/>
      <c r="B677" s="241"/>
      <c r="C677" s="242"/>
      <c r="D677" s="242"/>
      <c r="E677" s="243"/>
      <c r="F677" s="244"/>
      <c r="G677" s="244"/>
      <c r="H677" s="243"/>
      <c r="I677" s="258"/>
      <c r="J677" s="245"/>
      <c r="K677" s="245"/>
      <c r="L677" s="76">
        <f t="shared" si="100"/>
        <v>0</v>
      </c>
      <c r="M677" s="246"/>
      <c r="N677" s="247"/>
      <c r="O677" s="248"/>
      <c r="P677" s="246"/>
      <c r="Q677" s="249"/>
      <c r="R677" s="250"/>
      <c r="S677" s="259"/>
      <c r="T677" s="260"/>
      <c r="U677" s="250"/>
      <c r="V677" s="78">
        <f t="shared" si="101"/>
        <v>0</v>
      </c>
      <c r="W677" s="261">
        <f t="shared" si="102"/>
        <v>0</v>
      </c>
      <c r="X677" s="133">
        <f t="shared" si="103"/>
        <v>0</v>
      </c>
      <c r="Y677" s="251"/>
      <c r="Z677" s="1736"/>
      <c r="AA677" s="1737"/>
      <c r="AB677" s="77">
        <f t="shared" si="104"/>
        <v>0</v>
      </c>
      <c r="AC677" s="134">
        <f t="shared" si="105"/>
        <v>0</v>
      </c>
      <c r="AD677" s="251"/>
      <c r="AE677" s="1736"/>
      <c r="AF677" s="1737"/>
      <c r="AG677" s="77">
        <f t="shared" si="106"/>
        <v>0</v>
      </c>
      <c r="AH677" s="136">
        <f t="shared" si="107"/>
        <v>0</v>
      </c>
      <c r="AI677" s="251"/>
      <c r="AJ677" s="1736"/>
      <c r="AK677" s="1737"/>
      <c r="AL677" s="79">
        <f t="shared" si="108"/>
        <v>0</v>
      </c>
      <c r="AM677" s="137">
        <f t="shared" si="109"/>
        <v>0</v>
      </c>
      <c r="AN677" s="251"/>
      <c r="AO677" s="1736"/>
      <c r="AP677" s="1737"/>
    </row>
    <row r="678" spans="1:42" s="85" customFormat="1" ht="13.5" thickBot="1">
      <c r="A678" s="240"/>
      <c r="B678" s="241"/>
      <c r="C678" s="242"/>
      <c r="D678" s="242"/>
      <c r="E678" s="243"/>
      <c r="F678" s="244"/>
      <c r="G678" s="244"/>
      <c r="H678" s="243"/>
      <c r="I678" s="258"/>
      <c r="J678" s="245"/>
      <c r="K678" s="245"/>
      <c r="L678" s="76">
        <f t="shared" si="100"/>
        <v>0</v>
      </c>
      <c r="M678" s="246"/>
      <c r="N678" s="247"/>
      <c r="O678" s="248"/>
      <c r="P678" s="246"/>
      <c r="Q678" s="249"/>
      <c r="R678" s="250"/>
      <c r="S678" s="259"/>
      <c r="T678" s="260"/>
      <c r="U678" s="250"/>
      <c r="V678" s="78">
        <f t="shared" si="101"/>
        <v>0</v>
      </c>
      <c r="W678" s="261">
        <f t="shared" si="102"/>
        <v>0</v>
      </c>
      <c r="X678" s="133">
        <f t="shared" si="103"/>
        <v>0</v>
      </c>
      <c r="Y678" s="251"/>
      <c r="Z678" s="1736"/>
      <c r="AA678" s="1737"/>
      <c r="AB678" s="77">
        <f t="shared" si="104"/>
        <v>0</v>
      </c>
      <c r="AC678" s="134">
        <f t="shared" si="105"/>
        <v>0</v>
      </c>
      <c r="AD678" s="251"/>
      <c r="AE678" s="1736"/>
      <c r="AF678" s="1737"/>
      <c r="AG678" s="77">
        <f t="shared" si="106"/>
        <v>0</v>
      </c>
      <c r="AH678" s="136">
        <f t="shared" si="107"/>
        <v>0</v>
      </c>
      <c r="AI678" s="251"/>
      <c r="AJ678" s="1736"/>
      <c r="AK678" s="1737"/>
      <c r="AL678" s="79">
        <f t="shared" si="108"/>
        <v>0</v>
      </c>
      <c r="AM678" s="137">
        <f t="shared" si="109"/>
        <v>0</v>
      </c>
      <c r="AN678" s="251"/>
      <c r="AO678" s="1736"/>
      <c r="AP678" s="1737"/>
    </row>
    <row r="679" spans="1:42" s="85" customFormat="1" ht="13.5" thickBot="1">
      <c r="A679" s="240"/>
      <c r="B679" s="241"/>
      <c r="C679" s="242"/>
      <c r="D679" s="242"/>
      <c r="E679" s="243"/>
      <c r="F679" s="244"/>
      <c r="G679" s="244"/>
      <c r="H679" s="243"/>
      <c r="I679" s="258"/>
      <c r="J679" s="245"/>
      <c r="K679" s="245"/>
      <c r="L679" s="76">
        <f t="shared" si="100"/>
        <v>0</v>
      </c>
      <c r="M679" s="246"/>
      <c r="N679" s="247"/>
      <c r="O679" s="248"/>
      <c r="P679" s="246"/>
      <c r="Q679" s="249"/>
      <c r="R679" s="250"/>
      <c r="S679" s="259"/>
      <c r="T679" s="260"/>
      <c r="U679" s="250"/>
      <c r="V679" s="78">
        <f t="shared" si="101"/>
        <v>0</v>
      </c>
      <c r="W679" s="261">
        <f t="shared" si="102"/>
        <v>0</v>
      </c>
      <c r="X679" s="133">
        <f t="shared" si="103"/>
        <v>0</v>
      </c>
      <c r="Y679" s="251"/>
      <c r="Z679" s="1736"/>
      <c r="AA679" s="1737"/>
      <c r="AB679" s="77">
        <f t="shared" si="104"/>
        <v>0</v>
      </c>
      <c r="AC679" s="134">
        <f t="shared" si="105"/>
        <v>0</v>
      </c>
      <c r="AD679" s="251"/>
      <c r="AE679" s="1736"/>
      <c r="AF679" s="1737"/>
      <c r="AG679" s="77">
        <f t="shared" si="106"/>
        <v>0</v>
      </c>
      <c r="AH679" s="136">
        <f t="shared" si="107"/>
        <v>0</v>
      </c>
      <c r="AI679" s="251"/>
      <c r="AJ679" s="1736"/>
      <c r="AK679" s="1737"/>
      <c r="AL679" s="79">
        <f t="shared" si="108"/>
        <v>0</v>
      </c>
      <c r="AM679" s="137">
        <f t="shared" si="109"/>
        <v>0</v>
      </c>
      <c r="AN679" s="251"/>
      <c r="AO679" s="1736"/>
      <c r="AP679" s="1737"/>
    </row>
    <row r="680" spans="1:42" s="85" customFormat="1" ht="13.5" thickBot="1">
      <c r="A680" s="240"/>
      <c r="B680" s="241"/>
      <c r="C680" s="242"/>
      <c r="D680" s="242"/>
      <c r="E680" s="243"/>
      <c r="F680" s="244"/>
      <c r="G680" s="244"/>
      <c r="H680" s="243"/>
      <c r="I680" s="258"/>
      <c r="J680" s="245"/>
      <c r="K680" s="245"/>
      <c r="L680" s="76">
        <f t="shared" si="100"/>
        <v>0</v>
      </c>
      <c r="M680" s="246"/>
      <c r="N680" s="247"/>
      <c r="O680" s="248"/>
      <c r="P680" s="246"/>
      <c r="Q680" s="249"/>
      <c r="R680" s="250"/>
      <c r="S680" s="259"/>
      <c r="T680" s="260"/>
      <c r="U680" s="250"/>
      <c r="V680" s="78">
        <f t="shared" si="101"/>
        <v>0</v>
      </c>
      <c r="W680" s="261">
        <f t="shared" si="102"/>
        <v>0</v>
      </c>
      <c r="X680" s="133">
        <f t="shared" si="103"/>
        <v>0</v>
      </c>
      <c r="Y680" s="251"/>
      <c r="Z680" s="1736"/>
      <c r="AA680" s="1737"/>
      <c r="AB680" s="77">
        <f t="shared" si="104"/>
        <v>0</v>
      </c>
      <c r="AC680" s="134">
        <f t="shared" si="105"/>
        <v>0</v>
      </c>
      <c r="AD680" s="251"/>
      <c r="AE680" s="1736"/>
      <c r="AF680" s="1737"/>
      <c r="AG680" s="77">
        <f t="shared" si="106"/>
        <v>0</v>
      </c>
      <c r="AH680" s="136">
        <f t="shared" si="107"/>
        <v>0</v>
      </c>
      <c r="AI680" s="251"/>
      <c r="AJ680" s="1736"/>
      <c r="AK680" s="1737"/>
      <c r="AL680" s="79">
        <f t="shared" si="108"/>
        <v>0</v>
      </c>
      <c r="AM680" s="137">
        <f t="shared" si="109"/>
        <v>0</v>
      </c>
      <c r="AN680" s="251"/>
      <c r="AO680" s="1736"/>
      <c r="AP680" s="1737"/>
    </row>
    <row r="681" spans="1:42" s="85" customFormat="1" ht="13.5" thickBot="1">
      <c r="A681" s="240"/>
      <c r="B681" s="241"/>
      <c r="C681" s="242"/>
      <c r="D681" s="242"/>
      <c r="E681" s="243"/>
      <c r="F681" s="244"/>
      <c r="G681" s="244"/>
      <c r="H681" s="243"/>
      <c r="I681" s="258"/>
      <c r="J681" s="245"/>
      <c r="K681" s="245"/>
      <c r="L681" s="76">
        <f t="shared" si="100"/>
        <v>0</v>
      </c>
      <c r="M681" s="246"/>
      <c r="N681" s="247"/>
      <c r="O681" s="248"/>
      <c r="P681" s="246"/>
      <c r="Q681" s="249"/>
      <c r="R681" s="250"/>
      <c r="S681" s="259"/>
      <c r="T681" s="260"/>
      <c r="U681" s="250"/>
      <c r="V681" s="78">
        <f t="shared" si="101"/>
        <v>0</v>
      </c>
      <c r="W681" s="261">
        <f t="shared" si="102"/>
        <v>0</v>
      </c>
      <c r="X681" s="133">
        <f t="shared" si="103"/>
        <v>0</v>
      </c>
      <c r="Y681" s="251"/>
      <c r="Z681" s="1736"/>
      <c r="AA681" s="1737"/>
      <c r="AB681" s="77">
        <f t="shared" si="104"/>
        <v>0</v>
      </c>
      <c r="AC681" s="134">
        <f t="shared" si="105"/>
        <v>0</v>
      </c>
      <c r="AD681" s="251"/>
      <c r="AE681" s="1736"/>
      <c r="AF681" s="1737"/>
      <c r="AG681" s="77">
        <f t="shared" si="106"/>
        <v>0</v>
      </c>
      <c r="AH681" s="136">
        <f t="shared" si="107"/>
        <v>0</v>
      </c>
      <c r="AI681" s="251"/>
      <c r="AJ681" s="1736"/>
      <c r="AK681" s="1737"/>
      <c r="AL681" s="79">
        <f t="shared" si="108"/>
        <v>0</v>
      </c>
      <c r="AM681" s="137">
        <f t="shared" si="109"/>
        <v>0</v>
      </c>
      <c r="AN681" s="251"/>
      <c r="AO681" s="1736"/>
      <c r="AP681" s="1737"/>
    </row>
    <row r="682" spans="1:42" s="85" customFormat="1" ht="13.5" thickBot="1">
      <c r="A682" s="240"/>
      <c r="B682" s="241"/>
      <c r="C682" s="242"/>
      <c r="D682" s="242"/>
      <c r="E682" s="243"/>
      <c r="F682" s="244"/>
      <c r="G682" s="244"/>
      <c r="H682" s="243"/>
      <c r="I682" s="258"/>
      <c r="J682" s="245"/>
      <c r="K682" s="245"/>
      <c r="L682" s="76">
        <f t="shared" si="100"/>
        <v>0</v>
      </c>
      <c r="M682" s="246"/>
      <c r="N682" s="247"/>
      <c r="O682" s="248"/>
      <c r="P682" s="246"/>
      <c r="Q682" s="249"/>
      <c r="R682" s="250"/>
      <c r="S682" s="259"/>
      <c r="T682" s="260"/>
      <c r="U682" s="250"/>
      <c r="V682" s="78">
        <f t="shared" si="101"/>
        <v>0</v>
      </c>
      <c r="W682" s="261">
        <f t="shared" si="102"/>
        <v>0</v>
      </c>
      <c r="X682" s="133">
        <f t="shared" si="103"/>
        <v>0</v>
      </c>
      <c r="Y682" s="251"/>
      <c r="Z682" s="1736"/>
      <c r="AA682" s="1737"/>
      <c r="AB682" s="77">
        <f t="shared" si="104"/>
        <v>0</v>
      </c>
      <c r="AC682" s="134">
        <f t="shared" si="105"/>
        <v>0</v>
      </c>
      <c r="AD682" s="251"/>
      <c r="AE682" s="1736"/>
      <c r="AF682" s="1737"/>
      <c r="AG682" s="77">
        <f t="shared" si="106"/>
        <v>0</v>
      </c>
      <c r="AH682" s="136">
        <f t="shared" si="107"/>
        <v>0</v>
      </c>
      <c r="AI682" s="251"/>
      <c r="AJ682" s="1736"/>
      <c r="AK682" s="1737"/>
      <c r="AL682" s="79">
        <f t="shared" si="108"/>
        <v>0</v>
      </c>
      <c r="AM682" s="137">
        <f t="shared" si="109"/>
        <v>0</v>
      </c>
      <c r="AN682" s="251"/>
      <c r="AO682" s="1736"/>
      <c r="AP682" s="1737"/>
    </row>
    <row r="683" spans="1:42" s="85" customFormat="1" ht="13.5" thickBot="1">
      <c r="A683" s="240"/>
      <c r="B683" s="241"/>
      <c r="C683" s="242"/>
      <c r="D683" s="242"/>
      <c r="E683" s="243"/>
      <c r="F683" s="244"/>
      <c r="G683" s="244"/>
      <c r="H683" s="243"/>
      <c r="I683" s="258"/>
      <c r="J683" s="245"/>
      <c r="K683" s="245"/>
      <c r="L683" s="76">
        <f t="shared" si="100"/>
        <v>0</v>
      </c>
      <c r="M683" s="246"/>
      <c r="N683" s="247"/>
      <c r="O683" s="248"/>
      <c r="P683" s="246"/>
      <c r="Q683" s="249"/>
      <c r="R683" s="250"/>
      <c r="S683" s="259"/>
      <c r="T683" s="260"/>
      <c r="U683" s="250"/>
      <c r="V683" s="78">
        <f t="shared" si="101"/>
        <v>0</v>
      </c>
      <c r="W683" s="261">
        <f t="shared" si="102"/>
        <v>0</v>
      </c>
      <c r="X683" s="133">
        <f t="shared" si="103"/>
        <v>0</v>
      </c>
      <c r="Y683" s="251"/>
      <c r="Z683" s="1736"/>
      <c r="AA683" s="1737"/>
      <c r="AB683" s="77">
        <f t="shared" si="104"/>
        <v>0</v>
      </c>
      <c r="AC683" s="134">
        <f t="shared" si="105"/>
        <v>0</v>
      </c>
      <c r="AD683" s="251"/>
      <c r="AE683" s="1736"/>
      <c r="AF683" s="1737"/>
      <c r="AG683" s="77">
        <f t="shared" si="106"/>
        <v>0</v>
      </c>
      <c r="AH683" s="136">
        <f t="shared" si="107"/>
        <v>0</v>
      </c>
      <c r="AI683" s="251"/>
      <c r="AJ683" s="1736"/>
      <c r="AK683" s="1737"/>
      <c r="AL683" s="79">
        <f t="shared" si="108"/>
        <v>0</v>
      </c>
      <c r="AM683" s="137">
        <f t="shared" si="109"/>
        <v>0</v>
      </c>
      <c r="AN683" s="251"/>
      <c r="AO683" s="1736"/>
      <c r="AP683" s="1737"/>
    </row>
    <row r="684" spans="1:42" s="85" customFormat="1" ht="13.5" thickBot="1">
      <c r="A684" s="240"/>
      <c r="B684" s="241"/>
      <c r="C684" s="242"/>
      <c r="D684" s="242"/>
      <c r="E684" s="243"/>
      <c r="F684" s="244"/>
      <c r="G684" s="244"/>
      <c r="H684" s="243"/>
      <c r="I684" s="258"/>
      <c r="J684" s="245"/>
      <c r="K684" s="245"/>
      <c r="L684" s="76">
        <f t="shared" si="100"/>
        <v>0</v>
      </c>
      <c r="M684" s="246"/>
      <c r="N684" s="247"/>
      <c r="O684" s="248"/>
      <c r="P684" s="246"/>
      <c r="Q684" s="249"/>
      <c r="R684" s="250"/>
      <c r="S684" s="259"/>
      <c r="T684" s="260"/>
      <c r="U684" s="250"/>
      <c r="V684" s="78">
        <f t="shared" si="101"/>
        <v>0</v>
      </c>
      <c r="W684" s="261">
        <f t="shared" si="102"/>
        <v>0</v>
      </c>
      <c r="X684" s="133">
        <f t="shared" si="103"/>
        <v>0</v>
      </c>
      <c r="Y684" s="251"/>
      <c r="Z684" s="1736"/>
      <c r="AA684" s="1737"/>
      <c r="AB684" s="77">
        <f t="shared" si="104"/>
        <v>0</v>
      </c>
      <c r="AC684" s="134">
        <f t="shared" si="105"/>
        <v>0</v>
      </c>
      <c r="AD684" s="251"/>
      <c r="AE684" s="1736"/>
      <c r="AF684" s="1737"/>
      <c r="AG684" s="77">
        <f t="shared" si="106"/>
        <v>0</v>
      </c>
      <c r="AH684" s="136">
        <f t="shared" si="107"/>
        <v>0</v>
      </c>
      <c r="AI684" s="251"/>
      <c r="AJ684" s="1736"/>
      <c r="AK684" s="1737"/>
      <c r="AL684" s="79">
        <f t="shared" si="108"/>
        <v>0</v>
      </c>
      <c r="AM684" s="137">
        <f t="shared" si="109"/>
        <v>0</v>
      </c>
      <c r="AN684" s="251"/>
      <c r="AO684" s="1736"/>
      <c r="AP684" s="1737"/>
    </row>
    <row r="685" spans="1:42" s="85" customFormat="1" ht="13.5" thickBot="1">
      <c r="A685" s="240"/>
      <c r="B685" s="241"/>
      <c r="C685" s="242"/>
      <c r="D685" s="242"/>
      <c r="E685" s="243"/>
      <c r="F685" s="244"/>
      <c r="G685" s="244"/>
      <c r="H685" s="243"/>
      <c r="I685" s="258"/>
      <c r="J685" s="245"/>
      <c r="K685" s="245"/>
      <c r="L685" s="76">
        <f t="shared" si="100"/>
        <v>0</v>
      </c>
      <c r="M685" s="246"/>
      <c r="N685" s="247"/>
      <c r="O685" s="248"/>
      <c r="P685" s="246"/>
      <c r="Q685" s="249"/>
      <c r="R685" s="250"/>
      <c r="S685" s="259"/>
      <c r="T685" s="260"/>
      <c r="U685" s="250"/>
      <c r="V685" s="78">
        <f t="shared" si="101"/>
        <v>0</v>
      </c>
      <c r="W685" s="261">
        <f t="shared" si="102"/>
        <v>0</v>
      </c>
      <c r="X685" s="133">
        <f t="shared" si="103"/>
        <v>0</v>
      </c>
      <c r="Y685" s="251"/>
      <c r="Z685" s="1736"/>
      <c r="AA685" s="1737"/>
      <c r="AB685" s="77">
        <f t="shared" si="104"/>
        <v>0</v>
      </c>
      <c r="AC685" s="134">
        <f t="shared" si="105"/>
        <v>0</v>
      </c>
      <c r="AD685" s="251"/>
      <c r="AE685" s="1736"/>
      <c r="AF685" s="1737"/>
      <c r="AG685" s="77">
        <f t="shared" si="106"/>
        <v>0</v>
      </c>
      <c r="AH685" s="136">
        <f t="shared" si="107"/>
        <v>0</v>
      </c>
      <c r="AI685" s="251"/>
      <c r="AJ685" s="1736"/>
      <c r="AK685" s="1737"/>
      <c r="AL685" s="79">
        <f t="shared" si="108"/>
        <v>0</v>
      </c>
      <c r="AM685" s="137">
        <f t="shared" si="109"/>
        <v>0</v>
      </c>
      <c r="AN685" s="251"/>
      <c r="AO685" s="1736"/>
      <c r="AP685" s="1737"/>
    </row>
    <row r="686" spans="1:42" s="85" customFormat="1" ht="13.5" thickBot="1">
      <c r="A686" s="240"/>
      <c r="B686" s="241"/>
      <c r="C686" s="242"/>
      <c r="D686" s="242"/>
      <c r="E686" s="243"/>
      <c r="F686" s="244"/>
      <c r="G686" s="244"/>
      <c r="H686" s="243"/>
      <c r="I686" s="258"/>
      <c r="J686" s="245"/>
      <c r="K686" s="245"/>
      <c r="L686" s="76">
        <f t="shared" si="100"/>
        <v>0</v>
      </c>
      <c r="M686" s="246"/>
      <c r="N686" s="247"/>
      <c r="O686" s="248"/>
      <c r="P686" s="246"/>
      <c r="Q686" s="249"/>
      <c r="R686" s="250"/>
      <c r="S686" s="259"/>
      <c r="T686" s="260"/>
      <c r="U686" s="250"/>
      <c r="V686" s="78">
        <f t="shared" si="101"/>
        <v>0</v>
      </c>
      <c r="W686" s="261">
        <f t="shared" si="102"/>
        <v>0</v>
      </c>
      <c r="X686" s="133">
        <f t="shared" si="103"/>
        <v>0</v>
      </c>
      <c r="Y686" s="251"/>
      <c r="Z686" s="1736"/>
      <c r="AA686" s="1737"/>
      <c r="AB686" s="77">
        <f t="shared" si="104"/>
        <v>0</v>
      </c>
      <c r="AC686" s="134">
        <f t="shared" si="105"/>
        <v>0</v>
      </c>
      <c r="AD686" s="251"/>
      <c r="AE686" s="1736"/>
      <c r="AF686" s="1737"/>
      <c r="AG686" s="77">
        <f t="shared" si="106"/>
        <v>0</v>
      </c>
      <c r="AH686" s="136">
        <f t="shared" si="107"/>
        <v>0</v>
      </c>
      <c r="AI686" s="251"/>
      <c r="AJ686" s="1736"/>
      <c r="AK686" s="1737"/>
      <c r="AL686" s="79">
        <f t="shared" si="108"/>
        <v>0</v>
      </c>
      <c r="AM686" s="137">
        <f t="shared" si="109"/>
        <v>0</v>
      </c>
      <c r="AN686" s="251"/>
      <c r="AO686" s="1736"/>
      <c r="AP686" s="1737"/>
    </row>
    <row r="687" spans="1:42" s="85" customFormat="1" ht="13.5" thickBot="1">
      <c r="A687" s="240"/>
      <c r="B687" s="241"/>
      <c r="C687" s="242"/>
      <c r="D687" s="242"/>
      <c r="E687" s="243"/>
      <c r="F687" s="244"/>
      <c r="G687" s="244"/>
      <c r="H687" s="243"/>
      <c r="I687" s="258"/>
      <c r="J687" s="245"/>
      <c r="K687" s="245"/>
      <c r="L687" s="76">
        <f t="shared" si="100"/>
        <v>0</v>
      </c>
      <c r="M687" s="246"/>
      <c r="N687" s="247"/>
      <c r="O687" s="248"/>
      <c r="P687" s="246"/>
      <c r="Q687" s="249"/>
      <c r="R687" s="250"/>
      <c r="S687" s="259"/>
      <c r="T687" s="260"/>
      <c r="U687" s="250"/>
      <c r="V687" s="78">
        <f t="shared" si="101"/>
        <v>0</v>
      </c>
      <c r="W687" s="261">
        <f t="shared" si="102"/>
        <v>0</v>
      </c>
      <c r="X687" s="133">
        <f t="shared" si="103"/>
        <v>0</v>
      </c>
      <c r="Y687" s="251"/>
      <c r="Z687" s="1736"/>
      <c r="AA687" s="1737"/>
      <c r="AB687" s="77">
        <f t="shared" si="104"/>
        <v>0</v>
      </c>
      <c r="AC687" s="134">
        <f t="shared" si="105"/>
        <v>0</v>
      </c>
      <c r="AD687" s="251"/>
      <c r="AE687" s="1736"/>
      <c r="AF687" s="1737"/>
      <c r="AG687" s="77">
        <f t="shared" si="106"/>
        <v>0</v>
      </c>
      <c r="AH687" s="136">
        <f t="shared" si="107"/>
        <v>0</v>
      </c>
      <c r="AI687" s="251"/>
      <c r="AJ687" s="1736"/>
      <c r="AK687" s="1737"/>
      <c r="AL687" s="79">
        <f t="shared" si="108"/>
        <v>0</v>
      </c>
      <c r="AM687" s="137">
        <f t="shared" si="109"/>
        <v>0</v>
      </c>
      <c r="AN687" s="251"/>
      <c r="AO687" s="1736"/>
      <c r="AP687" s="1737"/>
    </row>
    <row r="688" spans="1:42" s="85" customFormat="1" ht="13.5" thickBot="1">
      <c r="A688" s="240"/>
      <c r="B688" s="241"/>
      <c r="C688" s="242"/>
      <c r="D688" s="242"/>
      <c r="E688" s="243"/>
      <c r="F688" s="244"/>
      <c r="G688" s="244"/>
      <c r="H688" s="243"/>
      <c r="I688" s="258"/>
      <c r="J688" s="245"/>
      <c r="K688" s="245"/>
      <c r="L688" s="76">
        <f t="shared" si="100"/>
        <v>0</v>
      </c>
      <c r="M688" s="246"/>
      <c r="N688" s="247"/>
      <c r="O688" s="248"/>
      <c r="P688" s="246"/>
      <c r="Q688" s="249"/>
      <c r="R688" s="250"/>
      <c r="S688" s="259"/>
      <c r="T688" s="260"/>
      <c r="U688" s="250"/>
      <c r="V688" s="78">
        <f t="shared" si="101"/>
        <v>0</v>
      </c>
      <c r="W688" s="261">
        <f t="shared" si="102"/>
        <v>0</v>
      </c>
      <c r="X688" s="133">
        <f t="shared" si="103"/>
        <v>0</v>
      </c>
      <c r="Y688" s="251"/>
      <c r="Z688" s="1736"/>
      <c r="AA688" s="1737"/>
      <c r="AB688" s="77">
        <f t="shared" si="104"/>
        <v>0</v>
      </c>
      <c r="AC688" s="134">
        <f t="shared" si="105"/>
        <v>0</v>
      </c>
      <c r="AD688" s="251"/>
      <c r="AE688" s="1736"/>
      <c r="AF688" s="1737"/>
      <c r="AG688" s="77">
        <f t="shared" si="106"/>
        <v>0</v>
      </c>
      <c r="AH688" s="136">
        <f t="shared" si="107"/>
        <v>0</v>
      </c>
      <c r="AI688" s="251"/>
      <c r="AJ688" s="1736"/>
      <c r="AK688" s="1737"/>
      <c r="AL688" s="79">
        <f t="shared" si="108"/>
        <v>0</v>
      </c>
      <c r="AM688" s="137">
        <f t="shared" si="109"/>
        <v>0</v>
      </c>
      <c r="AN688" s="251"/>
      <c r="AO688" s="1736"/>
      <c r="AP688" s="1737"/>
    </row>
    <row r="689" spans="1:42" s="85" customFormat="1" ht="13.5" thickBot="1">
      <c r="A689" s="240"/>
      <c r="B689" s="241"/>
      <c r="C689" s="242"/>
      <c r="D689" s="242"/>
      <c r="E689" s="243"/>
      <c r="F689" s="244"/>
      <c r="G689" s="244"/>
      <c r="H689" s="243"/>
      <c r="I689" s="258"/>
      <c r="J689" s="245"/>
      <c r="K689" s="245"/>
      <c r="L689" s="76">
        <f t="shared" si="100"/>
        <v>0</v>
      </c>
      <c r="M689" s="246"/>
      <c r="N689" s="247"/>
      <c r="O689" s="248"/>
      <c r="P689" s="246"/>
      <c r="Q689" s="249"/>
      <c r="R689" s="250"/>
      <c r="S689" s="259"/>
      <c r="T689" s="260"/>
      <c r="U689" s="250"/>
      <c r="V689" s="78">
        <f t="shared" si="101"/>
        <v>0</v>
      </c>
      <c r="W689" s="261">
        <f t="shared" si="102"/>
        <v>0</v>
      </c>
      <c r="X689" s="133">
        <f t="shared" si="103"/>
        <v>0</v>
      </c>
      <c r="Y689" s="251"/>
      <c r="Z689" s="1736"/>
      <c r="AA689" s="1737"/>
      <c r="AB689" s="77">
        <f t="shared" si="104"/>
        <v>0</v>
      </c>
      <c r="AC689" s="134">
        <f t="shared" si="105"/>
        <v>0</v>
      </c>
      <c r="AD689" s="251"/>
      <c r="AE689" s="1736"/>
      <c r="AF689" s="1737"/>
      <c r="AG689" s="77">
        <f t="shared" si="106"/>
        <v>0</v>
      </c>
      <c r="AH689" s="136">
        <f t="shared" si="107"/>
        <v>0</v>
      </c>
      <c r="AI689" s="251"/>
      <c r="AJ689" s="1736"/>
      <c r="AK689" s="1737"/>
      <c r="AL689" s="79">
        <f t="shared" si="108"/>
        <v>0</v>
      </c>
      <c r="AM689" s="137">
        <f t="shared" si="109"/>
        <v>0</v>
      </c>
      <c r="AN689" s="251"/>
      <c r="AO689" s="1736"/>
      <c r="AP689" s="1737"/>
    </row>
    <row r="690" spans="1:42" s="85" customFormat="1" ht="13.5" thickBot="1">
      <c r="A690" s="240"/>
      <c r="B690" s="241"/>
      <c r="C690" s="242"/>
      <c r="D690" s="242"/>
      <c r="E690" s="243"/>
      <c r="F690" s="244"/>
      <c r="G690" s="244"/>
      <c r="H690" s="243"/>
      <c r="I690" s="258"/>
      <c r="J690" s="245"/>
      <c r="K690" s="245"/>
      <c r="L690" s="76">
        <f t="shared" si="100"/>
        <v>0</v>
      </c>
      <c r="M690" s="246"/>
      <c r="N690" s="247"/>
      <c r="O690" s="248"/>
      <c r="P690" s="246"/>
      <c r="Q690" s="249"/>
      <c r="R690" s="250"/>
      <c r="S690" s="259"/>
      <c r="T690" s="260"/>
      <c r="U690" s="250"/>
      <c r="V690" s="78">
        <f t="shared" si="101"/>
        <v>0</v>
      </c>
      <c r="W690" s="261">
        <f t="shared" si="102"/>
        <v>0</v>
      </c>
      <c r="X690" s="133">
        <f t="shared" si="103"/>
        <v>0</v>
      </c>
      <c r="Y690" s="251"/>
      <c r="Z690" s="1736"/>
      <c r="AA690" s="1737"/>
      <c r="AB690" s="77">
        <f t="shared" si="104"/>
        <v>0</v>
      </c>
      <c r="AC690" s="134">
        <f t="shared" si="105"/>
        <v>0</v>
      </c>
      <c r="AD690" s="251"/>
      <c r="AE690" s="1736"/>
      <c r="AF690" s="1737"/>
      <c r="AG690" s="77">
        <f t="shared" si="106"/>
        <v>0</v>
      </c>
      <c r="AH690" s="136">
        <f t="shared" si="107"/>
        <v>0</v>
      </c>
      <c r="AI690" s="251"/>
      <c r="AJ690" s="1736"/>
      <c r="AK690" s="1737"/>
      <c r="AL690" s="79">
        <f t="shared" si="108"/>
        <v>0</v>
      </c>
      <c r="AM690" s="137">
        <f t="shared" si="109"/>
        <v>0</v>
      </c>
      <c r="AN690" s="251"/>
      <c r="AO690" s="1736"/>
      <c r="AP690" s="1737"/>
    </row>
    <row r="691" spans="1:42" s="85" customFormat="1" ht="13.5" thickBot="1">
      <c r="A691" s="240"/>
      <c r="B691" s="241"/>
      <c r="C691" s="242"/>
      <c r="D691" s="242"/>
      <c r="E691" s="243"/>
      <c r="F691" s="244"/>
      <c r="G691" s="244"/>
      <c r="H691" s="243"/>
      <c r="I691" s="258"/>
      <c r="J691" s="245"/>
      <c r="K691" s="245"/>
      <c r="L691" s="76">
        <f t="shared" si="100"/>
        <v>0</v>
      </c>
      <c r="M691" s="246"/>
      <c r="N691" s="247"/>
      <c r="O691" s="248"/>
      <c r="P691" s="246"/>
      <c r="Q691" s="249"/>
      <c r="R691" s="250"/>
      <c r="S691" s="259"/>
      <c r="T691" s="260"/>
      <c r="U691" s="250"/>
      <c r="V691" s="78">
        <f t="shared" si="101"/>
        <v>0</v>
      </c>
      <c r="W691" s="261">
        <f t="shared" si="102"/>
        <v>0</v>
      </c>
      <c r="X691" s="133">
        <f t="shared" si="103"/>
        <v>0</v>
      </c>
      <c r="Y691" s="251"/>
      <c r="Z691" s="1736"/>
      <c r="AA691" s="1737"/>
      <c r="AB691" s="77">
        <f t="shared" si="104"/>
        <v>0</v>
      </c>
      <c r="AC691" s="134">
        <f t="shared" si="105"/>
        <v>0</v>
      </c>
      <c r="AD691" s="251"/>
      <c r="AE691" s="1736"/>
      <c r="AF691" s="1737"/>
      <c r="AG691" s="77">
        <f t="shared" si="106"/>
        <v>0</v>
      </c>
      <c r="AH691" s="136">
        <f t="shared" si="107"/>
        <v>0</v>
      </c>
      <c r="AI691" s="251"/>
      <c r="AJ691" s="1736"/>
      <c r="AK691" s="1737"/>
      <c r="AL691" s="79">
        <f t="shared" si="108"/>
        <v>0</v>
      </c>
      <c r="AM691" s="137">
        <f t="shared" si="109"/>
        <v>0</v>
      </c>
      <c r="AN691" s="251"/>
      <c r="AO691" s="1736"/>
      <c r="AP691" s="1737"/>
    </row>
    <row r="692" spans="1:42" s="85" customFormat="1" ht="13.5" thickBot="1">
      <c r="A692" s="240"/>
      <c r="B692" s="241"/>
      <c r="C692" s="242"/>
      <c r="D692" s="242"/>
      <c r="E692" s="243"/>
      <c r="F692" s="244"/>
      <c r="G692" s="244"/>
      <c r="H692" s="243"/>
      <c r="I692" s="258"/>
      <c r="J692" s="245"/>
      <c r="K692" s="245"/>
      <c r="L692" s="76">
        <f t="shared" si="100"/>
        <v>0</v>
      </c>
      <c r="M692" s="246"/>
      <c r="N692" s="247"/>
      <c r="O692" s="248"/>
      <c r="P692" s="246"/>
      <c r="Q692" s="249"/>
      <c r="R692" s="250"/>
      <c r="S692" s="259"/>
      <c r="T692" s="260"/>
      <c r="U692" s="250"/>
      <c r="V692" s="78">
        <f t="shared" si="101"/>
        <v>0</v>
      </c>
      <c r="W692" s="261">
        <f t="shared" si="102"/>
        <v>0</v>
      </c>
      <c r="X692" s="133">
        <f t="shared" si="103"/>
        <v>0</v>
      </c>
      <c r="Y692" s="251"/>
      <c r="Z692" s="1736"/>
      <c r="AA692" s="1737"/>
      <c r="AB692" s="77">
        <f t="shared" si="104"/>
        <v>0</v>
      </c>
      <c r="AC692" s="134">
        <f t="shared" si="105"/>
        <v>0</v>
      </c>
      <c r="AD692" s="251"/>
      <c r="AE692" s="1736"/>
      <c r="AF692" s="1737"/>
      <c r="AG692" s="77">
        <f t="shared" si="106"/>
        <v>0</v>
      </c>
      <c r="AH692" s="136">
        <f t="shared" si="107"/>
        <v>0</v>
      </c>
      <c r="AI692" s="251"/>
      <c r="AJ692" s="1736"/>
      <c r="AK692" s="1737"/>
      <c r="AL692" s="79">
        <f t="shared" si="108"/>
        <v>0</v>
      </c>
      <c r="AM692" s="137">
        <f t="shared" si="109"/>
        <v>0</v>
      </c>
      <c r="AN692" s="251"/>
      <c r="AO692" s="1736"/>
      <c r="AP692" s="1737"/>
    </row>
    <row r="693" spans="1:42" s="85" customFormat="1" ht="13.5" thickBot="1">
      <c r="A693" s="240"/>
      <c r="B693" s="241"/>
      <c r="C693" s="242"/>
      <c r="D693" s="242"/>
      <c r="E693" s="243"/>
      <c r="F693" s="244"/>
      <c r="G693" s="244"/>
      <c r="H693" s="243"/>
      <c r="I693" s="258"/>
      <c r="J693" s="245"/>
      <c r="K693" s="245"/>
      <c r="L693" s="76">
        <f t="shared" si="100"/>
        <v>0</v>
      </c>
      <c r="M693" s="246"/>
      <c r="N693" s="247"/>
      <c r="O693" s="248"/>
      <c r="P693" s="246"/>
      <c r="Q693" s="249"/>
      <c r="R693" s="250"/>
      <c r="S693" s="259"/>
      <c r="T693" s="260"/>
      <c r="U693" s="250"/>
      <c r="V693" s="78">
        <f t="shared" si="101"/>
        <v>0</v>
      </c>
      <c r="W693" s="261">
        <f t="shared" si="102"/>
        <v>0</v>
      </c>
      <c r="X693" s="133">
        <f t="shared" si="103"/>
        <v>0</v>
      </c>
      <c r="Y693" s="251"/>
      <c r="Z693" s="1736"/>
      <c r="AA693" s="1737"/>
      <c r="AB693" s="77">
        <f t="shared" si="104"/>
        <v>0</v>
      </c>
      <c r="AC693" s="134">
        <f t="shared" si="105"/>
        <v>0</v>
      </c>
      <c r="AD693" s="251"/>
      <c r="AE693" s="1736"/>
      <c r="AF693" s="1737"/>
      <c r="AG693" s="77">
        <f t="shared" si="106"/>
        <v>0</v>
      </c>
      <c r="AH693" s="136">
        <f t="shared" si="107"/>
        <v>0</v>
      </c>
      <c r="AI693" s="251"/>
      <c r="AJ693" s="1736"/>
      <c r="AK693" s="1737"/>
      <c r="AL693" s="79">
        <f t="shared" si="108"/>
        <v>0</v>
      </c>
      <c r="AM693" s="137">
        <f t="shared" si="109"/>
        <v>0</v>
      </c>
      <c r="AN693" s="251"/>
      <c r="AO693" s="1736"/>
      <c r="AP693" s="1737"/>
    </row>
    <row r="694" spans="1:42" s="85" customFormat="1" ht="13.5" thickBot="1">
      <c r="A694" s="240"/>
      <c r="B694" s="241"/>
      <c r="C694" s="242"/>
      <c r="D694" s="242"/>
      <c r="E694" s="243"/>
      <c r="F694" s="244"/>
      <c r="G694" s="244"/>
      <c r="H694" s="243"/>
      <c r="I694" s="258"/>
      <c r="J694" s="245"/>
      <c r="K694" s="245"/>
      <c r="L694" s="76">
        <f t="shared" si="100"/>
        <v>0</v>
      </c>
      <c r="M694" s="246"/>
      <c r="N694" s="247"/>
      <c r="O694" s="248"/>
      <c r="P694" s="246"/>
      <c r="Q694" s="249"/>
      <c r="R694" s="250"/>
      <c r="S694" s="259"/>
      <c r="T694" s="260"/>
      <c r="U694" s="250"/>
      <c r="V694" s="78">
        <f t="shared" si="101"/>
        <v>0</v>
      </c>
      <c r="W694" s="261">
        <f t="shared" si="102"/>
        <v>0</v>
      </c>
      <c r="X694" s="133">
        <f t="shared" si="103"/>
        <v>0</v>
      </c>
      <c r="Y694" s="251"/>
      <c r="Z694" s="1736"/>
      <c r="AA694" s="1737"/>
      <c r="AB694" s="77">
        <f t="shared" si="104"/>
        <v>0</v>
      </c>
      <c r="AC694" s="134">
        <f t="shared" si="105"/>
        <v>0</v>
      </c>
      <c r="AD694" s="251"/>
      <c r="AE694" s="1736"/>
      <c r="AF694" s="1737"/>
      <c r="AG694" s="77">
        <f t="shared" si="106"/>
        <v>0</v>
      </c>
      <c r="AH694" s="136">
        <f t="shared" si="107"/>
        <v>0</v>
      </c>
      <c r="AI694" s="251"/>
      <c r="AJ694" s="1736"/>
      <c r="AK694" s="1737"/>
      <c r="AL694" s="79">
        <f t="shared" si="108"/>
        <v>0</v>
      </c>
      <c r="AM694" s="137">
        <f t="shared" si="109"/>
        <v>0</v>
      </c>
      <c r="AN694" s="251"/>
      <c r="AO694" s="1736"/>
      <c r="AP694" s="1737"/>
    </row>
    <row r="695" spans="1:42" s="85" customFormat="1" ht="13.5" thickBot="1">
      <c r="A695" s="240"/>
      <c r="B695" s="241"/>
      <c r="C695" s="242"/>
      <c r="D695" s="242"/>
      <c r="E695" s="243"/>
      <c r="F695" s="244"/>
      <c r="G695" s="244"/>
      <c r="H695" s="243"/>
      <c r="I695" s="258"/>
      <c r="J695" s="245"/>
      <c r="K695" s="245"/>
      <c r="L695" s="76">
        <f t="shared" si="100"/>
        <v>0</v>
      </c>
      <c r="M695" s="246"/>
      <c r="N695" s="247"/>
      <c r="O695" s="248"/>
      <c r="P695" s="246"/>
      <c r="Q695" s="249"/>
      <c r="R695" s="250"/>
      <c r="S695" s="259"/>
      <c r="T695" s="260"/>
      <c r="U695" s="250"/>
      <c r="V695" s="78">
        <f t="shared" si="101"/>
        <v>0</v>
      </c>
      <c r="W695" s="261">
        <f t="shared" si="102"/>
        <v>0</v>
      </c>
      <c r="X695" s="133">
        <f t="shared" si="103"/>
        <v>0</v>
      </c>
      <c r="Y695" s="251"/>
      <c r="Z695" s="1736"/>
      <c r="AA695" s="1737"/>
      <c r="AB695" s="77">
        <f t="shared" si="104"/>
        <v>0</v>
      </c>
      <c r="AC695" s="134">
        <f t="shared" si="105"/>
        <v>0</v>
      </c>
      <c r="AD695" s="251"/>
      <c r="AE695" s="1736"/>
      <c r="AF695" s="1737"/>
      <c r="AG695" s="77">
        <f t="shared" si="106"/>
        <v>0</v>
      </c>
      <c r="AH695" s="136">
        <f t="shared" si="107"/>
        <v>0</v>
      </c>
      <c r="AI695" s="251"/>
      <c r="AJ695" s="1736"/>
      <c r="AK695" s="1737"/>
      <c r="AL695" s="79">
        <f t="shared" si="108"/>
        <v>0</v>
      </c>
      <c r="AM695" s="137">
        <f t="shared" si="109"/>
        <v>0</v>
      </c>
      <c r="AN695" s="251"/>
      <c r="AO695" s="1736"/>
      <c r="AP695" s="1737"/>
    </row>
    <row r="696" spans="1:42" s="85" customFormat="1" ht="13.5" thickBot="1">
      <c r="A696" s="240"/>
      <c r="B696" s="241"/>
      <c r="C696" s="242"/>
      <c r="D696" s="242"/>
      <c r="E696" s="243"/>
      <c r="F696" s="244"/>
      <c r="G696" s="244"/>
      <c r="H696" s="243"/>
      <c r="I696" s="258"/>
      <c r="J696" s="245"/>
      <c r="K696" s="245"/>
      <c r="L696" s="76">
        <f t="shared" si="100"/>
        <v>0</v>
      </c>
      <c r="M696" s="246"/>
      <c r="N696" s="247"/>
      <c r="O696" s="248"/>
      <c r="P696" s="246"/>
      <c r="Q696" s="249"/>
      <c r="R696" s="250"/>
      <c r="S696" s="259"/>
      <c r="T696" s="260"/>
      <c r="U696" s="250"/>
      <c r="V696" s="78">
        <f t="shared" si="101"/>
        <v>0</v>
      </c>
      <c r="W696" s="261">
        <f t="shared" si="102"/>
        <v>0</v>
      </c>
      <c r="X696" s="133">
        <f t="shared" si="103"/>
        <v>0</v>
      </c>
      <c r="Y696" s="251"/>
      <c r="Z696" s="1736"/>
      <c r="AA696" s="1737"/>
      <c r="AB696" s="77">
        <f t="shared" si="104"/>
        <v>0</v>
      </c>
      <c r="AC696" s="134">
        <f t="shared" si="105"/>
        <v>0</v>
      </c>
      <c r="AD696" s="251"/>
      <c r="AE696" s="1736"/>
      <c r="AF696" s="1737"/>
      <c r="AG696" s="77">
        <f t="shared" si="106"/>
        <v>0</v>
      </c>
      <c r="AH696" s="136">
        <f t="shared" si="107"/>
        <v>0</v>
      </c>
      <c r="AI696" s="251"/>
      <c r="AJ696" s="1736"/>
      <c r="AK696" s="1737"/>
      <c r="AL696" s="79">
        <f t="shared" si="108"/>
        <v>0</v>
      </c>
      <c r="AM696" s="137">
        <f t="shared" si="109"/>
        <v>0</v>
      </c>
      <c r="AN696" s="251"/>
      <c r="AO696" s="1736"/>
      <c r="AP696" s="1737"/>
    </row>
    <row r="697" spans="1:42" s="85" customFormat="1" ht="13.5" thickBot="1">
      <c r="A697" s="240"/>
      <c r="B697" s="241"/>
      <c r="C697" s="242"/>
      <c r="D697" s="242"/>
      <c r="E697" s="243"/>
      <c r="F697" s="244"/>
      <c r="G697" s="244"/>
      <c r="H697" s="243"/>
      <c r="I697" s="258"/>
      <c r="J697" s="245"/>
      <c r="K697" s="245"/>
      <c r="L697" s="76">
        <f t="shared" si="100"/>
        <v>0</v>
      </c>
      <c r="M697" s="246"/>
      <c r="N697" s="247"/>
      <c r="O697" s="248"/>
      <c r="P697" s="246"/>
      <c r="Q697" s="249"/>
      <c r="R697" s="250"/>
      <c r="S697" s="259"/>
      <c r="T697" s="260"/>
      <c r="U697" s="250"/>
      <c r="V697" s="78">
        <f t="shared" si="101"/>
        <v>0</v>
      </c>
      <c r="W697" s="261">
        <f t="shared" si="102"/>
        <v>0</v>
      </c>
      <c r="X697" s="133">
        <f t="shared" si="103"/>
        <v>0</v>
      </c>
      <c r="Y697" s="251"/>
      <c r="Z697" s="1736"/>
      <c r="AA697" s="1737"/>
      <c r="AB697" s="77">
        <f t="shared" si="104"/>
        <v>0</v>
      </c>
      <c r="AC697" s="134">
        <f t="shared" si="105"/>
        <v>0</v>
      </c>
      <c r="AD697" s="251"/>
      <c r="AE697" s="1736"/>
      <c r="AF697" s="1737"/>
      <c r="AG697" s="77">
        <f t="shared" si="106"/>
        <v>0</v>
      </c>
      <c r="AH697" s="136">
        <f t="shared" si="107"/>
        <v>0</v>
      </c>
      <c r="AI697" s="251"/>
      <c r="AJ697" s="1736"/>
      <c r="AK697" s="1737"/>
      <c r="AL697" s="79">
        <f t="shared" si="108"/>
        <v>0</v>
      </c>
      <c r="AM697" s="137">
        <f t="shared" si="109"/>
        <v>0</v>
      </c>
      <c r="AN697" s="251"/>
      <c r="AO697" s="1736"/>
      <c r="AP697" s="1737"/>
    </row>
    <row r="698" spans="1:42" s="85" customFormat="1" ht="13.5" thickBot="1">
      <c r="A698" s="240"/>
      <c r="B698" s="241"/>
      <c r="C698" s="242"/>
      <c r="D698" s="242"/>
      <c r="E698" s="243"/>
      <c r="F698" s="244"/>
      <c r="G698" s="244"/>
      <c r="H698" s="243"/>
      <c r="I698" s="258"/>
      <c r="J698" s="245"/>
      <c r="K698" s="245"/>
      <c r="L698" s="76">
        <f t="shared" si="100"/>
        <v>0</v>
      </c>
      <c r="M698" s="246"/>
      <c r="N698" s="247"/>
      <c r="O698" s="248"/>
      <c r="P698" s="246"/>
      <c r="Q698" s="249"/>
      <c r="R698" s="250"/>
      <c r="S698" s="259"/>
      <c r="T698" s="260"/>
      <c r="U698" s="250"/>
      <c r="V698" s="78">
        <f t="shared" si="101"/>
        <v>0</v>
      </c>
      <c r="W698" s="261">
        <f t="shared" si="102"/>
        <v>0</v>
      </c>
      <c r="X698" s="133">
        <f t="shared" si="103"/>
        <v>0</v>
      </c>
      <c r="Y698" s="251"/>
      <c r="Z698" s="1736"/>
      <c r="AA698" s="1737"/>
      <c r="AB698" s="77">
        <f t="shared" si="104"/>
        <v>0</v>
      </c>
      <c r="AC698" s="134">
        <f t="shared" si="105"/>
        <v>0</v>
      </c>
      <c r="AD698" s="251"/>
      <c r="AE698" s="1736"/>
      <c r="AF698" s="1737"/>
      <c r="AG698" s="77">
        <f t="shared" si="106"/>
        <v>0</v>
      </c>
      <c r="AH698" s="136">
        <f t="shared" si="107"/>
        <v>0</v>
      </c>
      <c r="AI698" s="251"/>
      <c r="AJ698" s="1736"/>
      <c r="AK698" s="1737"/>
      <c r="AL698" s="79">
        <f t="shared" si="108"/>
        <v>0</v>
      </c>
      <c r="AM698" s="137">
        <f t="shared" si="109"/>
        <v>0</v>
      </c>
      <c r="AN698" s="251"/>
      <c r="AO698" s="1736"/>
      <c r="AP698" s="1737"/>
    </row>
    <row r="699" spans="1:42" s="85" customFormat="1" ht="13.5" thickBot="1">
      <c r="A699" s="240"/>
      <c r="B699" s="241"/>
      <c r="C699" s="242"/>
      <c r="D699" s="242"/>
      <c r="E699" s="243"/>
      <c r="F699" s="244"/>
      <c r="G699" s="244"/>
      <c r="H699" s="243"/>
      <c r="I699" s="258"/>
      <c r="J699" s="245"/>
      <c r="K699" s="245"/>
      <c r="L699" s="76">
        <f t="shared" si="100"/>
        <v>0</v>
      </c>
      <c r="M699" s="246"/>
      <c r="N699" s="247"/>
      <c r="O699" s="248"/>
      <c r="P699" s="246"/>
      <c r="Q699" s="249"/>
      <c r="R699" s="250"/>
      <c r="S699" s="259"/>
      <c r="T699" s="260"/>
      <c r="U699" s="250"/>
      <c r="V699" s="78">
        <f t="shared" si="101"/>
        <v>0</v>
      </c>
      <c r="W699" s="261">
        <f t="shared" si="102"/>
        <v>0</v>
      </c>
      <c r="X699" s="133">
        <f t="shared" si="103"/>
        <v>0</v>
      </c>
      <c r="Y699" s="251"/>
      <c r="Z699" s="1736"/>
      <c r="AA699" s="1737"/>
      <c r="AB699" s="77">
        <f t="shared" si="104"/>
        <v>0</v>
      </c>
      <c r="AC699" s="134">
        <f t="shared" si="105"/>
        <v>0</v>
      </c>
      <c r="AD699" s="251"/>
      <c r="AE699" s="1736"/>
      <c r="AF699" s="1737"/>
      <c r="AG699" s="77">
        <f t="shared" si="106"/>
        <v>0</v>
      </c>
      <c r="AH699" s="136">
        <f t="shared" si="107"/>
        <v>0</v>
      </c>
      <c r="AI699" s="251"/>
      <c r="AJ699" s="1736"/>
      <c r="AK699" s="1737"/>
      <c r="AL699" s="79">
        <f t="shared" si="108"/>
        <v>0</v>
      </c>
      <c r="AM699" s="137">
        <f t="shared" si="109"/>
        <v>0</v>
      </c>
      <c r="AN699" s="251"/>
      <c r="AO699" s="1736"/>
      <c r="AP699" s="1737"/>
    </row>
    <row r="700" spans="1:42" s="85" customFormat="1" ht="13.5" thickBot="1">
      <c r="A700" s="240"/>
      <c r="B700" s="241"/>
      <c r="C700" s="242"/>
      <c r="D700" s="242"/>
      <c r="E700" s="243"/>
      <c r="F700" s="244"/>
      <c r="G700" s="244"/>
      <c r="H700" s="243"/>
      <c r="I700" s="258"/>
      <c r="J700" s="245"/>
      <c r="K700" s="245"/>
      <c r="L700" s="76">
        <f t="shared" si="100"/>
        <v>0</v>
      </c>
      <c r="M700" s="246"/>
      <c r="N700" s="247"/>
      <c r="O700" s="248"/>
      <c r="P700" s="246"/>
      <c r="Q700" s="249"/>
      <c r="R700" s="250"/>
      <c r="S700" s="259"/>
      <c r="T700" s="260"/>
      <c r="U700" s="250"/>
      <c r="V700" s="78">
        <f t="shared" si="101"/>
        <v>0</v>
      </c>
      <c r="W700" s="261">
        <f t="shared" si="102"/>
        <v>0</v>
      </c>
      <c r="X700" s="133">
        <f t="shared" si="103"/>
        <v>0</v>
      </c>
      <c r="Y700" s="251"/>
      <c r="Z700" s="1736"/>
      <c r="AA700" s="1737"/>
      <c r="AB700" s="77">
        <f t="shared" si="104"/>
        <v>0</v>
      </c>
      <c r="AC700" s="134">
        <f t="shared" si="105"/>
        <v>0</v>
      </c>
      <c r="AD700" s="251"/>
      <c r="AE700" s="1736"/>
      <c r="AF700" s="1737"/>
      <c r="AG700" s="77">
        <f t="shared" si="106"/>
        <v>0</v>
      </c>
      <c r="AH700" s="136">
        <f t="shared" si="107"/>
        <v>0</v>
      </c>
      <c r="AI700" s="251"/>
      <c r="AJ700" s="1736"/>
      <c r="AK700" s="1737"/>
      <c r="AL700" s="79">
        <f t="shared" si="108"/>
        <v>0</v>
      </c>
      <c r="AM700" s="137">
        <f t="shared" si="109"/>
        <v>0</v>
      </c>
      <c r="AN700" s="251"/>
      <c r="AO700" s="1736"/>
      <c r="AP700" s="1737"/>
    </row>
    <row r="701" spans="1:42" s="85" customFormat="1" ht="13.5" thickBot="1">
      <c r="A701" s="240"/>
      <c r="B701" s="241"/>
      <c r="C701" s="242"/>
      <c r="D701" s="242"/>
      <c r="E701" s="243"/>
      <c r="F701" s="244"/>
      <c r="G701" s="244"/>
      <c r="H701" s="243"/>
      <c r="I701" s="258"/>
      <c r="J701" s="245"/>
      <c r="K701" s="245"/>
      <c r="L701" s="76">
        <f t="shared" si="100"/>
        <v>0</v>
      </c>
      <c r="M701" s="246"/>
      <c r="N701" s="247"/>
      <c r="O701" s="248"/>
      <c r="P701" s="246"/>
      <c r="Q701" s="249"/>
      <c r="R701" s="250"/>
      <c r="S701" s="259"/>
      <c r="T701" s="260"/>
      <c r="U701" s="250"/>
      <c r="V701" s="78">
        <f t="shared" si="101"/>
        <v>0</v>
      </c>
      <c r="W701" s="261">
        <f t="shared" si="102"/>
        <v>0</v>
      </c>
      <c r="X701" s="133">
        <f t="shared" si="103"/>
        <v>0</v>
      </c>
      <c r="Y701" s="251"/>
      <c r="Z701" s="1736"/>
      <c r="AA701" s="1737"/>
      <c r="AB701" s="77">
        <f t="shared" si="104"/>
        <v>0</v>
      </c>
      <c r="AC701" s="134">
        <f t="shared" si="105"/>
        <v>0</v>
      </c>
      <c r="AD701" s="251"/>
      <c r="AE701" s="1736"/>
      <c r="AF701" s="1737"/>
      <c r="AG701" s="77">
        <f t="shared" si="106"/>
        <v>0</v>
      </c>
      <c r="AH701" s="136">
        <f t="shared" si="107"/>
        <v>0</v>
      </c>
      <c r="AI701" s="251"/>
      <c r="AJ701" s="1736"/>
      <c r="AK701" s="1737"/>
      <c r="AL701" s="79">
        <f t="shared" si="108"/>
        <v>0</v>
      </c>
      <c r="AM701" s="137">
        <f t="shared" si="109"/>
        <v>0</v>
      </c>
      <c r="AN701" s="251"/>
      <c r="AO701" s="1736"/>
      <c r="AP701" s="1737"/>
    </row>
    <row r="702" spans="1:42" s="85" customFormat="1" ht="13.5" thickBot="1">
      <c r="A702" s="240"/>
      <c r="B702" s="241"/>
      <c r="C702" s="242"/>
      <c r="D702" s="242"/>
      <c r="E702" s="243"/>
      <c r="F702" s="244"/>
      <c r="G702" s="244"/>
      <c r="H702" s="243"/>
      <c r="I702" s="258"/>
      <c r="J702" s="245"/>
      <c r="K702" s="245"/>
      <c r="L702" s="76">
        <f t="shared" si="100"/>
        <v>0</v>
      </c>
      <c r="M702" s="246"/>
      <c r="N702" s="247"/>
      <c r="O702" s="248"/>
      <c r="P702" s="246"/>
      <c r="Q702" s="249"/>
      <c r="R702" s="250"/>
      <c r="S702" s="259"/>
      <c r="T702" s="260"/>
      <c r="U702" s="250"/>
      <c r="V702" s="78">
        <f t="shared" si="101"/>
        <v>0</v>
      </c>
      <c r="W702" s="261">
        <f t="shared" si="102"/>
        <v>0</v>
      </c>
      <c r="X702" s="133">
        <f t="shared" si="103"/>
        <v>0</v>
      </c>
      <c r="Y702" s="251"/>
      <c r="Z702" s="1736"/>
      <c r="AA702" s="1737"/>
      <c r="AB702" s="77">
        <f t="shared" si="104"/>
        <v>0</v>
      </c>
      <c r="AC702" s="134">
        <f t="shared" si="105"/>
        <v>0</v>
      </c>
      <c r="AD702" s="251"/>
      <c r="AE702" s="1736"/>
      <c r="AF702" s="1737"/>
      <c r="AG702" s="77">
        <f t="shared" si="106"/>
        <v>0</v>
      </c>
      <c r="AH702" s="136">
        <f t="shared" si="107"/>
        <v>0</v>
      </c>
      <c r="AI702" s="251"/>
      <c r="AJ702" s="1736"/>
      <c r="AK702" s="1737"/>
      <c r="AL702" s="79">
        <f t="shared" si="108"/>
        <v>0</v>
      </c>
      <c r="AM702" s="137">
        <f t="shared" si="109"/>
        <v>0</v>
      </c>
      <c r="AN702" s="251"/>
      <c r="AO702" s="1736"/>
      <c r="AP702" s="1737"/>
    </row>
    <row r="703" spans="1:42" s="85" customFormat="1" ht="13.5" thickBot="1">
      <c r="A703" s="240"/>
      <c r="B703" s="241"/>
      <c r="C703" s="242"/>
      <c r="D703" s="242"/>
      <c r="E703" s="243"/>
      <c r="F703" s="244"/>
      <c r="G703" s="244"/>
      <c r="H703" s="243"/>
      <c r="I703" s="258"/>
      <c r="J703" s="245"/>
      <c r="K703" s="245"/>
      <c r="L703" s="76">
        <f t="shared" si="100"/>
        <v>0</v>
      </c>
      <c r="M703" s="246"/>
      <c r="N703" s="247"/>
      <c r="O703" s="248"/>
      <c r="P703" s="246"/>
      <c r="Q703" s="249"/>
      <c r="R703" s="250"/>
      <c r="S703" s="259"/>
      <c r="T703" s="260"/>
      <c r="U703" s="250"/>
      <c r="V703" s="78">
        <f t="shared" si="101"/>
        <v>0</v>
      </c>
      <c r="W703" s="261">
        <f t="shared" si="102"/>
        <v>0</v>
      </c>
      <c r="X703" s="133">
        <f t="shared" si="103"/>
        <v>0</v>
      </c>
      <c r="Y703" s="251"/>
      <c r="Z703" s="1736"/>
      <c r="AA703" s="1737"/>
      <c r="AB703" s="77">
        <f t="shared" si="104"/>
        <v>0</v>
      </c>
      <c r="AC703" s="134">
        <f t="shared" si="105"/>
        <v>0</v>
      </c>
      <c r="AD703" s="251"/>
      <c r="AE703" s="1736"/>
      <c r="AF703" s="1737"/>
      <c r="AG703" s="77">
        <f t="shared" si="106"/>
        <v>0</v>
      </c>
      <c r="AH703" s="136">
        <f t="shared" si="107"/>
        <v>0</v>
      </c>
      <c r="AI703" s="251"/>
      <c r="AJ703" s="1736"/>
      <c r="AK703" s="1737"/>
      <c r="AL703" s="79">
        <f t="shared" si="108"/>
        <v>0</v>
      </c>
      <c r="AM703" s="137">
        <f t="shared" si="109"/>
        <v>0</v>
      </c>
      <c r="AN703" s="251"/>
      <c r="AO703" s="1736"/>
      <c r="AP703" s="1737"/>
    </row>
    <row r="704" spans="1:42" s="85" customFormat="1" ht="13.5" thickBot="1">
      <c r="A704" s="240"/>
      <c r="B704" s="241"/>
      <c r="C704" s="242"/>
      <c r="D704" s="242"/>
      <c r="E704" s="243"/>
      <c r="F704" s="244"/>
      <c r="G704" s="244"/>
      <c r="H704" s="243"/>
      <c r="I704" s="258"/>
      <c r="J704" s="245"/>
      <c r="K704" s="245"/>
      <c r="L704" s="76">
        <f t="shared" si="100"/>
        <v>0</v>
      </c>
      <c r="M704" s="246"/>
      <c r="N704" s="247"/>
      <c r="O704" s="248"/>
      <c r="P704" s="246"/>
      <c r="Q704" s="249"/>
      <c r="R704" s="250"/>
      <c r="S704" s="259"/>
      <c r="T704" s="260"/>
      <c r="U704" s="250"/>
      <c r="V704" s="78">
        <f t="shared" si="101"/>
        <v>0</v>
      </c>
      <c r="W704" s="261">
        <f t="shared" si="102"/>
        <v>0</v>
      </c>
      <c r="X704" s="133">
        <f t="shared" si="103"/>
        <v>0</v>
      </c>
      <c r="Y704" s="251"/>
      <c r="Z704" s="1736"/>
      <c r="AA704" s="1737"/>
      <c r="AB704" s="77">
        <f t="shared" si="104"/>
        <v>0</v>
      </c>
      <c r="AC704" s="134">
        <f t="shared" si="105"/>
        <v>0</v>
      </c>
      <c r="AD704" s="251"/>
      <c r="AE704" s="1736"/>
      <c r="AF704" s="1737"/>
      <c r="AG704" s="77">
        <f t="shared" si="106"/>
        <v>0</v>
      </c>
      <c r="AH704" s="136">
        <f t="shared" si="107"/>
        <v>0</v>
      </c>
      <c r="AI704" s="251"/>
      <c r="AJ704" s="1736"/>
      <c r="AK704" s="1737"/>
      <c r="AL704" s="79">
        <f t="shared" si="108"/>
        <v>0</v>
      </c>
      <c r="AM704" s="137">
        <f t="shared" si="109"/>
        <v>0</v>
      </c>
      <c r="AN704" s="251"/>
      <c r="AO704" s="1736"/>
      <c r="AP704" s="1737"/>
    </row>
    <row r="705" spans="1:42" s="85" customFormat="1" ht="13.5" thickBot="1">
      <c r="A705" s="240"/>
      <c r="B705" s="241"/>
      <c r="C705" s="242"/>
      <c r="D705" s="242"/>
      <c r="E705" s="243"/>
      <c r="F705" s="244"/>
      <c r="G705" s="244"/>
      <c r="H705" s="243"/>
      <c r="I705" s="258"/>
      <c r="J705" s="245"/>
      <c r="K705" s="245"/>
      <c r="L705" s="76">
        <f t="shared" si="100"/>
        <v>0</v>
      </c>
      <c r="M705" s="246"/>
      <c r="N705" s="247"/>
      <c r="O705" s="248"/>
      <c r="P705" s="246"/>
      <c r="Q705" s="249"/>
      <c r="R705" s="250"/>
      <c r="S705" s="259"/>
      <c r="T705" s="260"/>
      <c r="U705" s="250"/>
      <c r="V705" s="78">
        <f t="shared" si="101"/>
        <v>0</v>
      </c>
      <c r="W705" s="261">
        <f t="shared" si="102"/>
        <v>0</v>
      </c>
      <c r="X705" s="133">
        <f t="shared" si="103"/>
        <v>0</v>
      </c>
      <c r="Y705" s="251"/>
      <c r="Z705" s="1736"/>
      <c r="AA705" s="1737"/>
      <c r="AB705" s="77">
        <f t="shared" si="104"/>
        <v>0</v>
      </c>
      <c r="AC705" s="134">
        <f t="shared" si="105"/>
        <v>0</v>
      </c>
      <c r="AD705" s="251"/>
      <c r="AE705" s="1736"/>
      <c r="AF705" s="1737"/>
      <c r="AG705" s="77">
        <f t="shared" si="106"/>
        <v>0</v>
      </c>
      <c r="AH705" s="136">
        <f t="shared" si="107"/>
        <v>0</v>
      </c>
      <c r="AI705" s="251"/>
      <c r="AJ705" s="1736"/>
      <c r="AK705" s="1737"/>
      <c r="AL705" s="79">
        <f t="shared" si="108"/>
        <v>0</v>
      </c>
      <c r="AM705" s="137">
        <f t="shared" si="109"/>
        <v>0</v>
      </c>
      <c r="AN705" s="251"/>
      <c r="AO705" s="1736"/>
      <c r="AP705" s="1737"/>
    </row>
    <row r="706" spans="1:42" s="85" customFormat="1" ht="13.5" thickBot="1">
      <c r="A706" s="240"/>
      <c r="B706" s="241"/>
      <c r="C706" s="242"/>
      <c r="D706" s="242"/>
      <c r="E706" s="243"/>
      <c r="F706" s="244"/>
      <c r="G706" s="244"/>
      <c r="H706" s="243"/>
      <c r="I706" s="258"/>
      <c r="J706" s="245"/>
      <c r="K706" s="245"/>
      <c r="L706" s="76">
        <f t="shared" si="100"/>
        <v>0</v>
      </c>
      <c r="M706" s="246"/>
      <c r="N706" s="247"/>
      <c r="O706" s="248"/>
      <c r="P706" s="246"/>
      <c r="Q706" s="249"/>
      <c r="R706" s="250"/>
      <c r="S706" s="259"/>
      <c r="T706" s="260"/>
      <c r="U706" s="250"/>
      <c r="V706" s="78">
        <f t="shared" si="101"/>
        <v>0</v>
      </c>
      <c r="W706" s="261">
        <f t="shared" si="102"/>
        <v>0</v>
      </c>
      <c r="X706" s="133">
        <f t="shared" si="103"/>
        <v>0</v>
      </c>
      <c r="Y706" s="251"/>
      <c r="Z706" s="1736"/>
      <c r="AA706" s="1737"/>
      <c r="AB706" s="77">
        <f t="shared" si="104"/>
        <v>0</v>
      </c>
      <c r="AC706" s="134">
        <f t="shared" si="105"/>
        <v>0</v>
      </c>
      <c r="AD706" s="251"/>
      <c r="AE706" s="1736"/>
      <c r="AF706" s="1737"/>
      <c r="AG706" s="77">
        <f t="shared" si="106"/>
        <v>0</v>
      </c>
      <c r="AH706" s="136">
        <f t="shared" si="107"/>
        <v>0</v>
      </c>
      <c r="AI706" s="251"/>
      <c r="AJ706" s="1736"/>
      <c r="AK706" s="1737"/>
      <c r="AL706" s="79">
        <f t="shared" si="108"/>
        <v>0</v>
      </c>
      <c r="AM706" s="137">
        <f t="shared" si="109"/>
        <v>0</v>
      </c>
      <c r="AN706" s="251"/>
      <c r="AO706" s="1736"/>
      <c r="AP706" s="1737"/>
    </row>
    <row r="707" spans="1:42" s="85" customFormat="1" ht="13.5" thickBot="1">
      <c r="A707" s="240"/>
      <c r="B707" s="241"/>
      <c r="C707" s="242"/>
      <c r="D707" s="242"/>
      <c r="E707" s="243"/>
      <c r="F707" s="244"/>
      <c r="G707" s="244"/>
      <c r="H707" s="243"/>
      <c r="I707" s="258"/>
      <c r="J707" s="245"/>
      <c r="K707" s="245"/>
      <c r="L707" s="76">
        <f t="shared" si="100"/>
        <v>0</v>
      </c>
      <c r="M707" s="246"/>
      <c r="N707" s="247"/>
      <c r="O707" s="248"/>
      <c r="P707" s="246"/>
      <c r="Q707" s="249"/>
      <c r="R707" s="250"/>
      <c r="S707" s="259"/>
      <c r="T707" s="260"/>
      <c r="U707" s="250"/>
      <c r="V707" s="78">
        <f t="shared" si="101"/>
        <v>0</v>
      </c>
      <c r="W707" s="261">
        <f t="shared" si="102"/>
        <v>0</v>
      </c>
      <c r="X707" s="133">
        <f t="shared" si="103"/>
        <v>0</v>
      </c>
      <c r="Y707" s="251"/>
      <c r="Z707" s="1736"/>
      <c r="AA707" s="1737"/>
      <c r="AB707" s="77">
        <f t="shared" si="104"/>
        <v>0</v>
      </c>
      <c r="AC707" s="134">
        <f t="shared" si="105"/>
        <v>0</v>
      </c>
      <c r="AD707" s="251"/>
      <c r="AE707" s="1736"/>
      <c r="AF707" s="1737"/>
      <c r="AG707" s="77">
        <f t="shared" si="106"/>
        <v>0</v>
      </c>
      <c r="AH707" s="136">
        <f t="shared" si="107"/>
        <v>0</v>
      </c>
      <c r="AI707" s="251"/>
      <c r="AJ707" s="1736"/>
      <c r="AK707" s="1737"/>
      <c r="AL707" s="79">
        <f t="shared" si="108"/>
        <v>0</v>
      </c>
      <c r="AM707" s="137">
        <f t="shared" si="109"/>
        <v>0</v>
      </c>
      <c r="AN707" s="251"/>
      <c r="AO707" s="1736"/>
      <c r="AP707" s="1737"/>
    </row>
    <row r="708" spans="1:42" s="85" customFormat="1" ht="13.5" thickBot="1">
      <c r="A708" s="240"/>
      <c r="B708" s="241"/>
      <c r="C708" s="242"/>
      <c r="D708" s="242"/>
      <c r="E708" s="243"/>
      <c r="F708" s="244"/>
      <c r="G708" s="244"/>
      <c r="H708" s="243"/>
      <c r="I708" s="258"/>
      <c r="J708" s="245"/>
      <c r="K708" s="245"/>
      <c r="L708" s="76">
        <f t="shared" si="100"/>
        <v>0</v>
      </c>
      <c r="M708" s="246"/>
      <c r="N708" s="247"/>
      <c r="O708" s="248"/>
      <c r="P708" s="246"/>
      <c r="Q708" s="249"/>
      <c r="R708" s="250"/>
      <c r="S708" s="259"/>
      <c r="T708" s="260"/>
      <c r="U708" s="250"/>
      <c r="V708" s="78">
        <f t="shared" si="101"/>
        <v>0</v>
      </c>
      <c r="W708" s="261">
        <f t="shared" si="102"/>
        <v>0</v>
      </c>
      <c r="X708" s="133">
        <f t="shared" si="103"/>
        <v>0</v>
      </c>
      <c r="Y708" s="251"/>
      <c r="Z708" s="1736"/>
      <c r="AA708" s="1737"/>
      <c r="AB708" s="77">
        <f t="shared" si="104"/>
        <v>0</v>
      </c>
      <c r="AC708" s="134">
        <f t="shared" si="105"/>
        <v>0</v>
      </c>
      <c r="AD708" s="251"/>
      <c r="AE708" s="1736"/>
      <c r="AF708" s="1737"/>
      <c r="AG708" s="77">
        <f t="shared" si="106"/>
        <v>0</v>
      </c>
      <c r="AH708" s="136">
        <f t="shared" si="107"/>
        <v>0</v>
      </c>
      <c r="AI708" s="251"/>
      <c r="AJ708" s="1736"/>
      <c r="AK708" s="1737"/>
      <c r="AL708" s="79">
        <f t="shared" si="108"/>
        <v>0</v>
      </c>
      <c r="AM708" s="137">
        <f t="shared" si="109"/>
        <v>0</v>
      </c>
      <c r="AN708" s="251"/>
      <c r="AO708" s="1736"/>
      <c r="AP708" s="1737"/>
    </row>
    <row r="709" spans="1:42" s="85" customFormat="1" ht="13.5" thickBot="1">
      <c r="A709" s="240"/>
      <c r="B709" s="241"/>
      <c r="C709" s="242"/>
      <c r="D709" s="242"/>
      <c r="E709" s="243"/>
      <c r="F709" s="244"/>
      <c r="G709" s="244"/>
      <c r="H709" s="243"/>
      <c r="I709" s="258"/>
      <c r="J709" s="245"/>
      <c r="K709" s="245"/>
      <c r="L709" s="76">
        <f t="shared" si="100"/>
        <v>0</v>
      </c>
      <c r="M709" s="246"/>
      <c r="N709" s="247"/>
      <c r="O709" s="248"/>
      <c r="P709" s="246"/>
      <c r="Q709" s="249"/>
      <c r="R709" s="250"/>
      <c r="S709" s="259"/>
      <c r="T709" s="260"/>
      <c r="U709" s="250"/>
      <c r="V709" s="78">
        <f t="shared" si="101"/>
        <v>0</v>
      </c>
      <c r="W709" s="261">
        <f t="shared" si="102"/>
        <v>0</v>
      </c>
      <c r="X709" s="133">
        <f t="shared" si="103"/>
        <v>0</v>
      </c>
      <c r="Y709" s="251"/>
      <c r="Z709" s="1736"/>
      <c r="AA709" s="1737"/>
      <c r="AB709" s="77">
        <f t="shared" si="104"/>
        <v>0</v>
      </c>
      <c r="AC709" s="134">
        <f t="shared" si="105"/>
        <v>0</v>
      </c>
      <c r="AD709" s="251"/>
      <c r="AE709" s="1736"/>
      <c r="AF709" s="1737"/>
      <c r="AG709" s="77">
        <f t="shared" si="106"/>
        <v>0</v>
      </c>
      <c r="AH709" s="136">
        <f t="shared" si="107"/>
        <v>0</v>
      </c>
      <c r="AI709" s="251"/>
      <c r="AJ709" s="1736"/>
      <c r="AK709" s="1737"/>
      <c r="AL709" s="79">
        <f t="shared" si="108"/>
        <v>0</v>
      </c>
      <c r="AM709" s="137">
        <f t="shared" si="109"/>
        <v>0</v>
      </c>
      <c r="AN709" s="251"/>
      <c r="AO709" s="1736"/>
      <c r="AP709" s="1737"/>
    </row>
    <row r="710" spans="1:42" s="85" customFormat="1" ht="13.5" thickBot="1">
      <c r="A710" s="240"/>
      <c r="B710" s="241"/>
      <c r="C710" s="242"/>
      <c r="D710" s="242"/>
      <c r="E710" s="243"/>
      <c r="F710" s="244"/>
      <c r="G710" s="244"/>
      <c r="H710" s="243"/>
      <c r="I710" s="258"/>
      <c r="J710" s="245"/>
      <c r="K710" s="245"/>
      <c r="L710" s="76">
        <f t="shared" si="100"/>
        <v>0</v>
      </c>
      <c r="M710" s="246"/>
      <c r="N710" s="247"/>
      <c r="O710" s="248"/>
      <c r="P710" s="246"/>
      <c r="Q710" s="249"/>
      <c r="R710" s="250"/>
      <c r="S710" s="259"/>
      <c r="T710" s="260"/>
      <c r="U710" s="250"/>
      <c r="V710" s="78">
        <f t="shared" si="101"/>
        <v>0</v>
      </c>
      <c r="W710" s="261">
        <f t="shared" si="102"/>
        <v>0</v>
      </c>
      <c r="X710" s="133">
        <f t="shared" si="103"/>
        <v>0</v>
      </c>
      <c r="Y710" s="251"/>
      <c r="Z710" s="1736"/>
      <c r="AA710" s="1737"/>
      <c r="AB710" s="77">
        <f t="shared" si="104"/>
        <v>0</v>
      </c>
      <c r="AC710" s="134">
        <f t="shared" si="105"/>
        <v>0</v>
      </c>
      <c r="AD710" s="251"/>
      <c r="AE710" s="1736"/>
      <c r="AF710" s="1737"/>
      <c r="AG710" s="77">
        <f t="shared" si="106"/>
        <v>0</v>
      </c>
      <c r="AH710" s="136">
        <f t="shared" si="107"/>
        <v>0</v>
      </c>
      <c r="AI710" s="251"/>
      <c r="AJ710" s="1736"/>
      <c r="AK710" s="1737"/>
      <c r="AL710" s="79">
        <f t="shared" si="108"/>
        <v>0</v>
      </c>
      <c r="AM710" s="137">
        <f t="shared" si="109"/>
        <v>0</v>
      </c>
      <c r="AN710" s="251"/>
      <c r="AO710" s="1736"/>
      <c r="AP710" s="1737"/>
    </row>
    <row r="711" spans="1:42" s="85" customFormat="1" ht="13.5" thickBot="1">
      <c r="A711" s="240"/>
      <c r="B711" s="241"/>
      <c r="C711" s="242"/>
      <c r="D711" s="242"/>
      <c r="E711" s="243"/>
      <c r="F711" s="244"/>
      <c r="G711" s="244"/>
      <c r="H711" s="243"/>
      <c r="I711" s="258"/>
      <c r="J711" s="245"/>
      <c r="K711" s="245"/>
      <c r="L711" s="76">
        <f t="shared" si="100"/>
        <v>0</v>
      </c>
      <c r="M711" s="246"/>
      <c r="N711" s="247"/>
      <c r="O711" s="248"/>
      <c r="P711" s="246"/>
      <c r="Q711" s="249"/>
      <c r="R711" s="250"/>
      <c r="S711" s="259"/>
      <c r="T711" s="260"/>
      <c r="U711" s="250"/>
      <c r="V711" s="78">
        <f t="shared" si="101"/>
        <v>0</v>
      </c>
      <c r="W711" s="261">
        <f t="shared" si="102"/>
        <v>0</v>
      </c>
      <c r="X711" s="133">
        <f t="shared" si="103"/>
        <v>0</v>
      </c>
      <c r="Y711" s="251"/>
      <c r="Z711" s="1736"/>
      <c r="AA711" s="1737"/>
      <c r="AB711" s="77">
        <f t="shared" si="104"/>
        <v>0</v>
      </c>
      <c r="AC711" s="134">
        <f t="shared" si="105"/>
        <v>0</v>
      </c>
      <c r="AD711" s="251"/>
      <c r="AE711" s="1736"/>
      <c r="AF711" s="1737"/>
      <c r="AG711" s="77">
        <f t="shared" si="106"/>
        <v>0</v>
      </c>
      <c r="AH711" s="136">
        <f t="shared" si="107"/>
        <v>0</v>
      </c>
      <c r="AI711" s="251"/>
      <c r="AJ711" s="1736"/>
      <c r="AK711" s="1737"/>
      <c r="AL711" s="79">
        <f t="shared" si="108"/>
        <v>0</v>
      </c>
      <c r="AM711" s="137">
        <f t="shared" si="109"/>
        <v>0</v>
      </c>
      <c r="AN711" s="251"/>
      <c r="AO711" s="1736"/>
      <c r="AP711" s="1737"/>
    </row>
    <row r="712" spans="1:42" s="85" customFormat="1" ht="13.5" thickBot="1">
      <c r="A712" s="240"/>
      <c r="B712" s="241"/>
      <c r="C712" s="242"/>
      <c r="D712" s="242"/>
      <c r="E712" s="243"/>
      <c r="F712" s="244"/>
      <c r="G712" s="244"/>
      <c r="H712" s="243"/>
      <c r="I712" s="258"/>
      <c r="J712" s="245"/>
      <c r="K712" s="245"/>
      <c r="L712" s="76">
        <f t="shared" si="100"/>
        <v>0</v>
      </c>
      <c r="M712" s="246"/>
      <c r="N712" s="247"/>
      <c r="O712" s="248"/>
      <c r="P712" s="246"/>
      <c r="Q712" s="249"/>
      <c r="R712" s="250"/>
      <c r="S712" s="259"/>
      <c r="T712" s="260"/>
      <c r="U712" s="250"/>
      <c r="V712" s="78">
        <f t="shared" si="101"/>
        <v>0</v>
      </c>
      <c r="W712" s="261">
        <f t="shared" si="102"/>
        <v>0</v>
      </c>
      <c r="X712" s="133">
        <f t="shared" si="103"/>
        <v>0</v>
      </c>
      <c r="Y712" s="251"/>
      <c r="Z712" s="1736"/>
      <c r="AA712" s="1737"/>
      <c r="AB712" s="77">
        <f t="shared" si="104"/>
        <v>0</v>
      </c>
      <c r="AC712" s="134">
        <f t="shared" si="105"/>
        <v>0</v>
      </c>
      <c r="AD712" s="251"/>
      <c r="AE712" s="1736"/>
      <c r="AF712" s="1737"/>
      <c r="AG712" s="77">
        <f t="shared" si="106"/>
        <v>0</v>
      </c>
      <c r="AH712" s="136">
        <f t="shared" si="107"/>
        <v>0</v>
      </c>
      <c r="AI712" s="251"/>
      <c r="AJ712" s="1736"/>
      <c r="AK712" s="1737"/>
      <c r="AL712" s="79">
        <f t="shared" si="108"/>
        <v>0</v>
      </c>
      <c r="AM712" s="137">
        <f t="shared" si="109"/>
        <v>0</v>
      </c>
      <c r="AN712" s="251"/>
      <c r="AO712" s="1736"/>
      <c r="AP712" s="1737"/>
    </row>
    <row r="713" spans="1:42" s="85" customFormat="1" ht="13.5" thickBot="1">
      <c r="A713" s="240"/>
      <c r="B713" s="241"/>
      <c r="C713" s="242"/>
      <c r="D713" s="242"/>
      <c r="E713" s="243"/>
      <c r="F713" s="244"/>
      <c r="G713" s="244"/>
      <c r="H713" s="243"/>
      <c r="I713" s="258"/>
      <c r="J713" s="245"/>
      <c r="K713" s="245"/>
      <c r="L713" s="76">
        <f t="shared" si="100"/>
        <v>0</v>
      </c>
      <c r="M713" s="246"/>
      <c r="N713" s="247"/>
      <c r="O713" s="248"/>
      <c r="P713" s="246"/>
      <c r="Q713" s="249"/>
      <c r="R713" s="250"/>
      <c r="S713" s="259"/>
      <c r="T713" s="260"/>
      <c r="U713" s="250"/>
      <c r="V713" s="78">
        <f t="shared" si="101"/>
        <v>0</v>
      </c>
      <c r="W713" s="261">
        <f t="shared" si="102"/>
        <v>0</v>
      </c>
      <c r="X713" s="133">
        <f t="shared" si="103"/>
        <v>0</v>
      </c>
      <c r="Y713" s="251"/>
      <c r="Z713" s="1736"/>
      <c r="AA713" s="1737"/>
      <c r="AB713" s="77">
        <f t="shared" si="104"/>
        <v>0</v>
      </c>
      <c r="AC713" s="134">
        <f t="shared" si="105"/>
        <v>0</v>
      </c>
      <c r="AD713" s="251"/>
      <c r="AE713" s="1736"/>
      <c r="AF713" s="1737"/>
      <c r="AG713" s="77">
        <f t="shared" si="106"/>
        <v>0</v>
      </c>
      <c r="AH713" s="136">
        <f t="shared" si="107"/>
        <v>0</v>
      </c>
      <c r="AI713" s="251"/>
      <c r="AJ713" s="1736"/>
      <c r="AK713" s="1737"/>
      <c r="AL713" s="79">
        <f t="shared" si="108"/>
        <v>0</v>
      </c>
      <c r="AM713" s="137">
        <f t="shared" si="109"/>
        <v>0</v>
      </c>
      <c r="AN713" s="251"/>
      <c r="AO713" s="1736"/>
      <c r="AP713" s="1737"/>
    </row>
    <row r="714" spans="1:42" s="85" customFormat="1" ht="13.5" thickBot="1">
      <c r="A714" s="240"/>
      <c r="B714" s="241"/>
      <c r="C714" s="242"/>
      <c r="D714" s="242"/>
      <c r="E714" s="243"/>
      <c r="F714" s="244"/>
      <c r="G714" s="244"/>
      <c r="H714" s="243"/>
      <c r="I714" s="258"/>
      <c r="J714" s="245"/>
      <c r="K714" s="245"/>
      <c r="L714" s="76">
        <f t="shared" si="100"/>
        <v>0</v>
      </c>
      <c r="M714" s="246"/>
      <c r="N714" s="247"/>
      <c r="O714" s="248"/>
      <c r="P714" s="246"/>
      <c r="Q714" s="249"/>
      <c r="R714" s="250"/>
      <c r="S714" s="259"/>
      <c r="T714" s="260"/>
      <c r="U714" s="250"/>
      <c r="V714" s="78">
        <f t="shared" si="101"/>
        <v>0</v>
      </c>
      <c r="W714" s="261">
        <f t="shared" si="102"/>
        <v>0</v>
      </c>
      <c r="X714" s="133">
        <f t="shared" si="103"/>
        <v>0</v>
      </c>
      <c r="Y714" s="251"/>
      <c r="Z714" s="1736"/>
      <c r="AA714" s="1737"/>
      <c r="AB714" s="77">
        <f t="shared" si="104"/>
        <v>0</v>
      </c>
      <c r="AC714" s="134">
        <f t="shared" si="105"/>
        <v>0</v>
      </c>
      <c r="AD714" s="251"/>
      <c r="AE714" s="1736"/>
      <c r="AF714" s="1737"/>
      <c r="AG714" s="77">
        <f t="shared" si="106"/>
        <v>0</v>
      </c>
      <c r="AH714" s="136">
        <f t="shared" si="107"/>
        <v>0</v>
      </c>
      <c r="AI714" s="251"/>
      <c r="AJ714" s="1736"/>
      <c r="AK714" s="1737"/>
      <c r="AL714" s="79">
        <f t="shared" si="108"/>
        <v>0</v>
      </c>
      <c r="AM714" s="137">
        <f t="shared" si="109"/>
        <v>0</v>
      </c>
      <c r="AN714" s="251"/>
      <c r="AO714" s="1736"/>
      <c r="AP714" s="1737"/>
    </row>
    <row r="715" spans="1:42" s="85" customFormat="1" ht="13.5" thickBot="1">
      <c r="A715" s="240"/>
      <c r="B715" s="241"/>
      <c r="C715" s="242"/>
      <c r="D715" s="242"/>
      <c r="E715" s="243"/>
      <c r="F715" s="244"/>
      <c r="G715" s="244"/>
      <c r="H715" s="243"/>
      <c r="I715" s="258"/>
      <c r="J715" s="245"/>
      <c r="K715" s="245"/>
      <c r="L715" s="76">
        <f t="shared" ref="L715:L778" si="110">IF(I715=0,0,(K715+J715)/I715)</f>
        <v>0</v>
      </c>
      <c r="M715" s="246"/>
      <c r="N715" s="247"/>
      <c r="O715" s="248"/>
      <c r="P715" s="246"/>
      <c r="Q715" s="249"/>
      <c r="R715" s="250"/>
      <c r="S715" s="259"/>
      <c r="T715" s="260"/>
      <c r="U715" s="250"/>
      <c r="V715" s="78">
        <f t="shared" ref="V715:V778" si="111">IF(U715=0,0,((U715*S715)-AB715-AL715))</f>
        <v>0</v>
      </c>
      <c r="W715" s="261">
        <f t="shared" ref="W715:W778" si="112">+S715-I715</f>
        <v>0</v>
      </c>
      <c r="X715" s="133">
        <f t="shared" ref="X715:X778" si="113">(V715-J715)</f>
        <v>0</v>
      </c>
      <c r="Y715" s="251"/>
      <c r="Z715" s="1736"/>
      <c r="AA715" s="1737"/>
      <c r="AB715" s="77">
        <f t="shared" ref="AB715:AB778" si="114">(IF(I715=0,0,M715/H715))*S715</f>
        <v>0</v>
      </c>
      <c r="AC715" s="134">
        <f t="shared" ref="AC715:AC778" si="115">+AB715-P715</f>
        <v>0</v>
      </c>
      <c r="AD715" s="251"/>
      <c r="AE715" s="1736"/>
      <c r="AF715" s="1737"/>
      <c r="AG715" s="77">
        <f t="shared" ref="AG715:AG778" si="116">(IF(H715=0,0,N715/H715))*T715</f>
        <v>0</v>
      </c>
      <c r="AH715" s="136">
        <f t="shared" ref="AH715:AH778" si="117">+AG715-Q715</f>
        <v>0</v>
      </c>
      <c r="AI715" s="251"/>
      <c r="AJ715" s="1736"/>
      <c r="AK715" s="1737"/>
      <c r="AL715" s="79">
        <f t="shared" ref="AL715:AL778" si="118">+O715*S715</f>
        <v>0</v>
      </c>
      <c r="AM715" s="137">
        <f t="shared" ref="AM715:AM778" si="119">+AL715-R715</f>
        <v>0</v>
      </c>
      <c r="AN715" s="251"/>
      <c r="AO715" s="1736"/>
      <c r="AP715" s="1737"/>
    </row>
    <row r="716" spans="1:42" s="85" customFormat="1" ht="13.5" thickBot="1">
      <c r="A716" s="240"/>
      <c r="B716" s="241"/>
      <c r="C716" s="242"/>
      <c r="D716" s="242"/>
      <c r="E716" s="243"/>
      <c r="F716" s="244"/>
      <c r="G716" s="244"/>
      <c r="H716" s="243"/>
      <c r="I716" s="258"/>
      <c r="J716" s="245"/>
      <c r="K716" s="245"/>
      <c r="L716" s="76">
        <f t="shared" si="110"/>
        <v>0</v>
      </c>
      <c r="M716" s="246"/>
      <c r="N716" s="247"/>
      <c r="O716" s="248"/>
      <c r="P716" s="246"/>
      <c r="Q716" s="249"/>
      <c r="R716" s="250"/>
      <c r="S716" s="259"/>
      <c r="T716" s="260"/>
      <c r="U716" s="250"/>
      <c r="V716" s="78">
        <f t="shared" si="111"/>
        <v>0</v>
      </c>
      <c r="W716" s="261">
        <f t="shared" si="112"/>
        <v>0</v>
      </c>
      <c r="X716" s="133">
        <f t="shared" si="113"/>
        <v>0</v>
      </c>
      <c r="Y716" s="251"/>
      <c r="Z716" s="1736"/>
      <c r="AA716" s="1737"/>
      <c r="AB716" s="77">
        <f t="shared" si="114"/>
        <v>0</v>
      </c>
      <c r="AC716" s="134">
        <f t="shared" si="115"/>
        <v>0</v>
      </c>
      <c r="AD716" s="251"/>
      <c r="AE716" s="1736"/>
      <c r="AF716" s="1737"/>
      <c r="AG716" s="77">
        <f t="shared" si="116"/>
        <v>0</v>
      </c>
      <c r="AH716" s="136">
        <f t="shared" si="117"/>
        <v>0</v>
      </c>
      <c r="AI716" s="251"/>
      <c r="AJ716" s="1736"/>
      <c r="AK716" s="1737"/>
      <c r="AL716" s="79">
        <f t="shared" si="118"/>
        <v>0</v>
      </c>
      <c r="AM716" s="137">
        <f t="shared" si="119"/>
        <v>0</v>
      </c>
      <c r="AN716" s="251"/>
      <c r="AO716" s="1736"/>
      <c r="AP716" s="1737"/>
    </row>
    <row r="717" spans="1:42" s="85" customFormat="1" ht="13.5" thickBot="1">
      <c r="A717" s="240"/>
      <c r="B717" s="241"/>
      <c r="C717" s="242"/>
      <c r="D717" s="242"/>
      <c r="E717" s="243"/>
      <c r="F717" s="244"/>
      <c r="G717" s="244"/>
      <c r="H717" s="243"/>
      <c r="I717" s="258"/>
      <c r="J717" s="245"/>
      <c r="K717" s="245"/>
      <c r="L717" s="76">
        <f t="shared" si="110"/>
        <v>0</v>
      </c>
      <c r="M717" s="246"/>
      <c r="N717" s="247"/>
      <c r="O717" s="248"/>
      <c r="P717" s="246"/>
      <c r="Q717" s="249"/>
      <c r="R717" s="250"/>
      <c r="S717" s="259"/>
      <c r="T717" s="260"/>
      <c r="U717" s="250"/>
      <c r="V717" s="78">
        <f t="shared" si="111"/>
        <v>0</v>
      </c>
      <c r="W717" s="261">
        <f t="shared" si="112"/>
        <v>0</v>
      </c>
      <c r="X717" s="133">
        <f t="shared" si="113"/>
        <v>0</v>
      </c>
      <c r="Y717" s="251"/>
      <c r="Z717" s="1736"/>
      <c r="AA717" s="1737"/>
      <c r="AB717" s="77">
        <f t="shared" si="114"/>
        <v>0</v>
      </c>
      <c r="AC717" s="134">
        <f t="shared" si="115"/>
        <v>0</v>
      </c>
      <c r="AD717" s="251"/>
      <c r="AE717" s="1736"/>
      <c r="AF717" s="1737"/>
      <c r="AG717" s="77">
        <f t="shared" si="116"/>
        <v>0</v>
      </c>
      <c r="AH717" s="136">
        <f t="shared" si="117"/>
        <v>0</v>
      </c>
      <c r="AI717" s="251"/>
      <c r="AJ717" s="1736"/>
      <c r="AK717" s="1737"/>
      <c r="AL717" s="79">
        <f t="shared" si="118"/>
        <v>0</v>
      </c>
      <c r="AM717" s="137">
        <f t="shared" si="119"/>
        <v>0</v>
      </c>
      <c r="AN717" s="251"/>
      <c r="AO717" s="1736"/>
      <c r="AP717" s="1737"/>
    </row>
    <row r="718" spans="1:42" s="85" customFormat="1" ht="13.5" thickBot="1">
      <c r="A718" s="240"/>
      <c r="B718" s="241"/>
      <c r="C718" s="242"/>
      <c r="D718" s="242"/>
      <c r="E718" s="243"/>
      <c r="F718" s="244"/>
      <c r="G718" s="244"/>
      <c r="H718" s="243"/>
      <c r="I718" s="258"/>
      <c r="J718" s="245"/>
      <c r="K718" s="245"/>
      <c r="L718" s="76">
        <f t="shared" si="110"/>
        <v>0</v>
      </c>
      <c r="M718" s="246"/>
      <c r="N718" s="247"/>
      <c r="O718" s="248"/>
      <c r="P718" s="246"/>
      <c r="Q718" s="249"/>
      <c r="R718" s="250"/>
      <c r="S718" s="259"/>
      <c r="T718" s="260"/>
      <c r="U718" s="250"/>
      <c r="V718" s="78">
        <f t="shared" si="111"/>
        <v>0</v>
      </c>
      <c r="W718" s="261">
        <f t="shared" si="112"/>
        <v>0</v>
      </c>
      <c r="X718" s="133">
        <f t="shared" si="113"/>
        <v>0</v>
      </c>
      <c r="Y718" s="251"/>
      <c r="Z718" s="1736"/>
      <c r="AA718" s="1737"/>
      <c r="AB718" s="77">
        <f t="shared" si="114"/>
        <v>0</v>
      </c>
      <c r="AC718" s="134">
        <f t="shared" si="115"/>
        <v>0</v>
      </c>
      <c r="AD718" s="251"/>
      <c r="AE718" s="1736"/>
      <c r="AF718" s="1737"/>
      <c r="AG718" s="77">
        <f t="shared" si="116"/>
        <v>0</v>
      </c>
      <c r="AH718" s="136">
        <f t="shared" si="117"/>
        <v>0</v>
      </c>
      <c r="AI718" s="251"/>
      <c r="AJ718" s="1736"/>
      <c r="AK718" s="1737"/>
      <c r="AL718" s="79">
        <f t="shared" si="118"/>
        <v>0</v>
      </c>
      <c r="AM718" s="137">
        <f t="shared" si="119"/>
        <v>0</v>
      </c>
      <c r="AN718" s="251"/>
      <c r="AO718" s="1736"/>
      <c r="AP718" s="1737"/>
    </row>
    <row r="719" spans="1:42" s="85" customFormat="1" ht="13.5" thickBot="1">
      <c r="A719" s="240"/>
      <c r="B719" s="241"/>
      <c r="C719" s="242"/>
      <c r="D719" s="242"/>
      <c r="E719" s="243"/>
      <c r="F719" s="244"/>
      <c r="G719" s="244"/>
      <c r="H719" s="243"/>
      <c r="I719" s="258"/>
      <c r="J719" s="245"/>
      <c r="K719" s="245"/>
      <c r="L719" s="76">
        <f t="shared" si="110"/>
        <v>0</v>
      </c>
      <c r="M719" s="246"/>
      <c r="N719" s="247"/>
      <c r="O719" s="248"/>
      <c r="P719" s="246"/>
      <c r="Q719" s="249"/>
      <c r="R719" s="250"/>
      <c r="S719" s="259"/>
      <c r="T719" s="260"/>
      <c r="U719" s="250"/>
      <c r="V719" s="78">
        <f t="shared" si="111"/>
        <v>0</v>
      </c>
      <c r="W719" s="261">
        <f t="shared" si="112"/>
        <v>0</v>
      </c>
      <c r="X719" s="133">
        <f t="shared" si="113"/>
        <v>0</v>
      </c>
      <c r="Y719" s="251"/>
      <c r="Z719" s="1736"/>
      <c r="AA719" s="1737"/>
      <c r="AB719" s="77">
        <f t="shared" si="114"/>
        <v>0</v>
      </c>
      <c r="AC719" s="134">
        <f t="shared" si="115"/>
        <v>0</v>
      </c>
      <c r="AD719" s="251"/>
      <c r="AE719" s="1736"/>
      <c r="AF719" s="1737"/>
      <c r="AG719" s="77">
        <f t="shared" si="116"/>
        <v>0</v>
      </c>
      <c r="AH719" s="136">
        <f t="shared" si="117"/>
        <v>0</v>
      </c>
      <c r="AI719" s="251"/>
      <c r="AJ719" s="1736"/>
      <c r="AK719" s="1737"/>
      <c r="AL719" s="79">
        <f t="shared" si="118"/>
        <v>0</v>
      </c>
      <c r="AM719" s="137">
        <f t="shared" si="119"/>
        <v>0</v>
      </c>
      <c r="AN719" s="251"/>
      <c r="AO719" s="1736"/>
      <c r="AP719" s="1737"/>
    </row>
    <row r="720" spans="1:42" s="85" customFormat="1" ht="13.5" thickBot="1">
      <c r="A720" s="240"/>
      <c r="B720" s="241"/>
      <c r="C720" s="242"/>
      <c r="D720" s="242"/>
      <c r="E720" s="243"/>
      <c r="F720" s="244"/>
      <c r="G720" s="244"/>
      <c r="H720" s="243"/>
      <c r="I720" s="258"/>
      <c r="J720" s="245"/>
      <c r="K720" s="245"/>
      <c r="L720" s="76">
        <f t="shared" si="110"/>
        <v>0</v>
      </c>
      <c r="M720" s="246"/>
      <c r="N720" s="247"/>
      <c r="O720" s="248"/>
      <c r="P720" s="246"/>
      <c r="Q720" s="249"/>
      <c r="R720" s="250"/>
      <c r="S720" s="259"/>
      <c r="T720" s="260"/>
      <c r="U720" s="250"/>
      <c r="V720" s="78">
        <f t="shared" si="111"/>
        <v>0</v>
      </c>
      <c r="W720" s="261">
        <f t="shared" si="112"/>
        <v>0</v>
      </c>
      <c r="X720" s="133">
        <f t="shared" si="113"/>
        <v>0</v>
      </c>
      <c r="Y720" s="251"/>
      <c r="Z720" s="1736"/>
      <c r="AA720" s="1737"/>
      <c r="AB720" s="77">
        <f t="shared" si="114"/>
        <v>0</v>
      </c>
      <c r="AC720" s="134">
        <f t="shared" si="115"/>
        <v>0</v>
      </c>
      <c r="AD720" s="251"/>
      <c r="AE720" s="1736"/>
      <c r="AF720" s="1737"/>
      <c r="AG720" s="77">
        <f t="shared" si="116"/>
        <v>0</v>
      </c>
      <c r="AH720" s="136">
        <f t="shared" si="117"/>
        <v>0</v>
      </c>
      <c r="AI720" s="251"/>
      <c r="AJ720" s="1736"/>
      <c r="AK720" s="1737"/>
      <c r="AL720" s="79">
        <f t="shared" si="118"/>
        <v>0</v>
      </c>
      <c r="AM720" s="137">
        <f t="shared" si="119"/>
        <v>0</v>
      </c>
      <c r="AN720" s="251"/>
      <c r="AO720" s="1736"/>
      <c r="AP720" s="1737"/>
    </row>
    <row r="721" spans="1:42" s="85" customFormat="1" ht="13.5" thickBot="1">
      <c r="A721" s="240"/>
      <c r="B721" s="241"/>
      <c r="C721" s="242"/>
      <c r="D721" s="242"/>
      <c r="E721" s="243"/>
      <c r="F721" s="244"/>
      <c r="G721" s="244"/>
      <c r="H721" s="243"/>
      <c r="I721" s="258"/>
      <c r="J721" s="245"/>
      <c r="K721" s="245"/>
      <c r="L721" s="76">
        <f t="shared" si="110"/>
        <v>0</v>
      </c>
      <c r="M721" s="246"/>
      <c r="N721" s="247"/>
      <c r="O721" s="248"/>
      <c r="P721" s="246"/>
      <c r="Q721" s="249"/>
      <c r="R721" s="250"/>
      <c r="S721" s="259"/>
      <c r="T721" s="260"/>
      <c r="U721" s="250"/>
      <c r="V721" s="78">
        <f t="shared" si="111"/>
        <v>0</v>
      </c>
      <c r="W721" s="261">
        <f t="shared" si="112"/>
        <v>0</v>
      </c>
      <c r="X721" s="133">
        <f t="shared" si="113"/>
        <v>0</v>
      </c>
      <c r="Y721" s="251"/>
      <c r="Z721" s="1736"/>
      <c r="AA721" s="1737"/>
      <c r="AB721" s="77">
        <f t="shared" si="114"/>
        <v>0</v>
      </c>
      <c r="AC721" s="134">
        <f t="shared" si="115"/>
        <v>0</v>
      </c>
      <c r="AD721" s="251"/>
      <c r="AE721" s="1736"/>
      <c r="AF721" s="1737"/>
      <c r="AG721" s="77">
        <f t="shared" si="116"/>
        <v>0</v>
      </c>
      <c r="AH721" s="136">
        <f t="shared" si="117"/>
        <v>0</v>
      </c>
      <c r="AI721" s="251"/>
      <c r="AJ721" s="1736"/>
      <c r="AK721" s="1737"/>
      <c r="AL721" s="79">
        <f t="shared" si="118"/>
        <v>0</v>
      </c>
      <c r="AM721" s="137">
        <f t="shared" si="119"/>
        <v>0</v>
      </c>
      <c r="AN721" s="251"/>
      <c r="AO721" s="1736"/>
      <c r="AP721" s="1737"/>
    </row>
    <row r="722" spans="1:42" s="85" customFormat="1" ht="13.5" thickBot="1">
      <c r="A722" s="240"/>
      <c r="B722" s="241"/>
      <c r="C722" s="242"/>
      <c r="D722" s="242"/>
      <c r="E722" s="243"/>
      <c r="F722" s="244"/>
      <c r="G722" s="244"/>
      <c r="H722" s="243"/>
      <c r="I722" s="258"/>
      <c r="J722" s="245"/>
      <c r="K722" s="245"/>
      <c r="L722" s="76">
        <f t="shared" si="110"/>
        <v>0</v>
      </c>
      <c r="M722" s="246"/>
      <c r="N722" s="247"/>
      <c r="O722" s="248"/>
      <c r="P722" s="246"/>
      <c r="Q722" s="249"/>
      <c r="R722" s="250"/>
      <c r="S722" s="259"/>
      <c r="T722" s="260"/>
      <c r="U722" s="250"/>
      <c r="V722" s="78">
        <f t="shared" si="111"/>
        <v>0</v>
      </c>
      <c r="W722" s="261">
        <f t="shared" si="112"/>
        <v>0</v>
      </c>
      <c r="X722" s="133">
        <f t="shared" si="113"/>
        <v>0</v>
      </c>
      <c r="Y722" s="251"/>
      <c r="Z722" s="1736"/>
      <c r="AA722" s="1737"/>
      <c r="AB722" s="77">
        <f t="shared" si="114"/>
        <v>0</v>
      </c>
      <c r="AC722" s="134">
        <f t="shared" si="115"/>
        <v>0</v>
      </c>
      <c r="AD722" s="251"/>
      <c r="AE722" s="1736"/>
      <c r="AF722" s="1737"/>
      <c r="AG722" s="77">
        <f t="shared" si="116"/>
        <v>0</v>
      </c>
      <c r="AH722" s="136">
        <f t="shared" si="117"/>
        <v>0</v>
      </c>
      <c r="AI722" s="251"/>
      <c r="AJ722" s="1736"/>
      <c r="AK722" s="1737"/>
      <c r="AL722" s="79">
        <f t="shared" si="118"/>
        <v>0</v>
      </c>
      <c r="AM722" s="137">
        <f t="shared" si="119"/>
        <v>0</v>
      </c>
      <c r="AN722" s="251"/>
      <c r="AO722" s="1736"/>
      <c r="AP722" s="1737"/>
    </row>
    <row r="723" spans="1:42" s="85" customFormat="1" ht="13.5" thickBot="1">
      <c r="A723" s="240"/>
      <c r="B723" s="241"/>
      <c r="C723" s="242"/>
      <c r="D723" s="242"/>
      <c r="E723" s="243"/>
      <c r="F723" s="244"/>
      <c r="G723" s="244"/>
      <c r="H723" s="243"/>
      <c r="I723" s="258"/>
      <c r="J723" s="245"/>
      <c r="K723" s="245"/>
      <c r="L723" s="76">
        <f t="shared" si="110"/>
        <v>0</v>
      </c>
      <c r="M723" s="246"/>
      <c r="N723" s="247"/>
      <c r="O723" s="248"/>
      <c r="P723" s="246"/>
      <c r="Q723" s="249"/>
      <c r="R723" s="250"/>
      <c r="S723" s="259"/>
      <c r="T723" s="260"/>
      <c r="U723" s="250"/>
      <c r="V723" s="78">
        <f t="shared" si="111"/>
        <v>0</v>
      </c>
      <c r="W723" s="261">
        <f t="shared" si="112"/>
        <v>0</v>
      </c>
      <c r="X723" s="133">
        <f t="shared" si="113"/>
        <v>0</v>
      </c>
      <c r="Y723" s="251"/>
      <c r="Z723" s="1736"/>
      <c r="AA723" s="1737"/>
      <c r="AB723" s="77">
        <f t="shared" si="114"/>
        <v>0</v>
      </c>
      <c r="AC723" s="134">
        <f t="shared" si="115"/>
        <v>0</v>
      </c>
      <c r="AD723" s="251"/>
      <c r="AE723" s="1736"/>
      <c r="AF723" s="1737"/>
      <c r="AG723" s="77">
        <f t="shared" si="116"/>
        <v>0</v>
      </c>
      <c r="AH723" s="136">
        <f t="shared" si="117"/>
        <v>0</v>
      </c>
      <c r="AI723" s="251"/>
      <c r="AJ723" s="1736"/>
      <c r="AK723" s="1737"/>
      <c r="AL723" s="79">
        <f t="shared" si="118"/>
        <v>0</v>
      </c>
      <c r="AM723" s="137">
        <f t="shared" si="119"/>
        <v>0</v>
      </c>
      <c r="AN723" s="251"/>
      <c r="AO723" s="1736"/>
      <c r="AP723" s="1737"/>
    </row>
    <row r="724" spans="1:42" s="85" customFormat="1" ht="13.5" thickBot="1">
      <c r="A724" s="240"/>
      <c r="B724" s="241"/>
      <c r="C724" s="242"/>
      <c r="D724" s="242"/>
      <c r="E724" s="243"/>
      <c r="F724" s="244"/>
      <c r="G724" s="244"/>
      <c r="H724" s="243"/>
      <c r="I724" s="258"/>
      <c r="J724" s="245"/>
      <c r="K724" s="245"/>
      <c r="L724" s="76">
        <f t="shared" si="110"/>
        <v>0</v>
      </c>
      <c r="M724" s="246"/>
      <c r="N724" s="247"/>
      <c r="O724" s="248"/>
      <c r="P724" s="246"/>
      <c r="Q724" s="249"/>
      <c r="R724" s="250"/>
      <c r="S724" s="259"/>
      <c r="T724" s="260"/>
      <c r="U724" s="250"/>
      <c r="V724" s="78">
        <f t="shared" si="111"/>
        <v>0</v>
      </c>
      <c r="W724" s="261">
        <f t="shared" si="112"/>
        <v>0</v>
      </c>
      <c r="X724" s="133">
        <f t="shared" si="113"/>
        <v>0</v>
      </c>
      <c r="Y724" s="251"/>
      <c r="Z724" s="1736"/>
      <c r="AA724" s="1737"/>
      <c r="AB724" s="77">
        <f t="shared" si="114"/>
        <v>0</v>
      </c>
      <c r="AC724" s="134">
        <f t="shared" si="115"/>
        <v>0</v>
      </c>
      <c r="AD724" s="251"/>
      <c r="AE724" s="1736"/>
      <c r="AF724" s="1737"/>
      <c r="AG724" s="77">
        <f t="shared" si="116"/>
        <v>0</v>
      </c>
      <c r="AH724" s="136">
        <f t="shared" si="117"/>
        <v>0</v>
      </c>
      <c r="AI724" s="251"/>
      <c r="AJ724" s="1736"/>
      <c r="AK724" s="1737"/>
      <c r="AL724" s="79">
        <f t="shared" si="118"/>
        <v>0</v>
      </c>
      <c r="AM724" s="137">
        <f t="shared" si="119"/>
        <v>0</v>
      </c>
      <c r="AN724" s="251"/>
      <c r="AO724" s="1736"/>
      <c r="AP724" s="1737"/>
    </row>
    <row r="725" spans="1:42" s="85" customFormat="1" ht="13.5" thickBot="1">
      <c r="A725" s="240"/>
      <c r="B725" s="241"/>
      <c r="C725" s="242"/>
      <c r="D725" s="242"/>
      <c r="E725" s="243"/>
      <c r="F725" s="244"/>
      <c r="G725" s="244"/>
      <c r="H725" s="243"/>
      <c r="I725" s="258"/>
      <c r="J725" s="245"/>
      <c r="K725" s="245"/>
      <c r="L725" s="76">
        <f t="shared" si="110"/>
        <v>0</v>
      </c>
      <c r="M725" s="246"/>
      <c r="N725" s="247"/>
      <c r="O725" s="248"/>
      <c r="P725" s="246"/>
      <c r="Q725" s="249"/>
      <c r="R725" s="250"/>
      <c r="S725" s="259"/>
      <c r="T725" s="260"/>
      <c r="U725" s="250"/>
      <c r="V725" s="78">
        <f t="shared" si="111"/>
        <v>0</v>
      </c>
      <c r="W725" s="261">
        <f t="shared" si="112"/>
        <v>0</v>
      </c>
      <c r="X725" s="133">
        <f t="shared" si="113"/>
        <v>0</v>
      </c>
      <c r="Y725" s="251"/>
      <c r="Z725" s="1736"/>
      <c r="AA725" s="1737"/>
      <c r="AB725" s="77">
        <f t="shared" si="114"/>
        <v>0</v>
      </c>
      <c r="AC725" s="134">
        <f t="shared" si="115"/>
        <v>0</v>
      </c>
      <c r="AD725" s="251"/>
      <c r="AE725" s="1736"/>
      <c r="AF725" s="1737"/>
      <c r="AG725" s="77">
        <f t="shared" si="116"/>
        <v>0</v>
      </c>
      <c r="AH725" s="136">
        <f t="shared" si="117"/>
        <v>0</v>
      </c>
      <c r="AI725" s="251"/>
      <c r="AJ725" s="1736"/>
      <c r="AK725" s="1737"/>
      <c r="AL725" s="79">
        <f t="shared" si="118"/>
        <v>0</v>
      </c>
      <c r="AM725" s="137">
        <f t="shared" si="119"/>
        <v>0</v>
      </c>
      <c r="AN725" s="251"/>
      <c r="AO725" s="1736"/>
      <c r="AP725" s="1737"/>
    </row>
    <row r="726" spans="1:42" s="85" customFormat="1" ht="13.5" thickBot="1">
      <c r="A726" s="240"/>
      <c r="B726" s="241"/>
      <c r="C726" s="242"/>
      <c r="D726" s="242"/>
      <c r="E726" s="243"/>
      <c r="F726" s="244"/>
      <c r="G726" s="244"/>
      <c r="H726" s="243"/>
      <c r="I726" s="258"/>
      <c r="J726" s="245"/>
      <c r="K726" s="245"/>
      <c r="L726" s="76">
        <f t="shared" si="110"/>
        <v>0</v>
      </c>
      <c r="M726" s="246"/>
      <c r="N726" s="247"/>
      <c r="O726" s="248"/>
      <c r="P726" s="246"/>
      <c r="Q726" s="249"/>
      <c r="R726" s="250"/>
      <c r="S726" s="259"/>
      <c r="T726" s="260"/>
      <c r="U726" s="250"/>
      <c r="V726" s="78">
        <f t="shared" si="111"/>
        <v>0</v>
      </c>
      <c r="W726" s="261">
        <f t="shared" si="112"/>
        <v>0</v>
      </c>
      <c r="X726" s="133">
        <f t="shared" si="113"/>
        <v>0</v>
      </c>
      <c r="Y726" s="251"/>
      <c r="Z726" s="1736"/>
      <c r="AA726" s="1737"/>
      <c r="AB726" s="77">
        <f t="shared" si="114"/>
        <v>0</v>
      </c>
      <c r="AC726" s="134">
        <f t="shared" si="115"/>
        <v>0</v>
      </c>
      <c r="AD726" s="251"/>
      <c r="AE726" s="1736"/>
      <c r="AF726" s="1737"/>
      <c r="AG726" s="77">
        <f t="shared" si="116"/>
        <v>0</v>
      </c>
      <c r="AH726" s="136">
        <f t="shared" si="117"/>
        <v>0</v>
      </c>
      <c r="AI726" s="251"/>
      <c r="AJ726" s="1736"/>
      <c r="AK726" s="1737"/>
      <c r="AL726" s="79">
        <f t="shared" si="118"/>
        <v>0</v>
      </c>
      <c r="AM726" s="137">
        <f t="shared" si="119"/>
        <v>0</v>
      </c>
      <c r="AN726" s="251"/>
      <c r="AO726" s="1736"/>
      <c r="AP726" s="1737"/>
    </row>
    <row r="727" spans="1:42" s="85" customFormat="1" ht="13.5" thickBot="1">
      <c r="A727" s="240"/>
      <c r="B727" s="241"/>
      <c r="C727" s="242"/>
      <c r="D727" s="242"/>
      <c r="E727" s="243"/>
      <c r="F727" s="244"/>
      <c r="G727" s="244"/>
      <c r="H727" s="243"/>
      <c r="I727" s="258"/>
      <c r="J727" s="245"/>
      <c r="K727" s="245"/>
      <c r="L727" s="76">
        <f t="shared" si="110"/>
        <v>0</v>
      </c>
      <c r="M727" s="246"/>
      <c r="N727" s="247"/>
      <c r="O727" s="248"/>
      <c r="P727" s="246"/>
      <c r="Q727" s="249"/>
      <c r="R727" s="250"/>
      <c r="S727" s="259"/>
      <c r="T727" s="260"/>
      <c r="U727" s="250"/>
      <c r="V727" s="78">
        <f t="shared" si="111"/>
        <v>0</v>
      </c>
      <c r="W727" s="261">
        <f t="shared" si="112"/>
        <v>0</v>
      </c>
      <c r="X727" s="133">
        <f t="shared" si="113"/>
        <v>0</v>
      </c>
      <c r="Y727" s="251"/>
      <c r="Z727" s="1736"/>
      <c r="AA727" s="1737"/>
      <c r="AB727" s="77">
        <f t="shared" si="114"/>
        <v>0</v>
      </c>
      <c r="AC727" s="134">
        <f t="shared" si="115"/>
        <v>0</v>
      </c>
      <c r="AD727" s="251"/>
      <c r="AE727" s="1736"/>
      <c r="AF727" s="1737"/>
      <c r="AG727" s="77">
        <f t="shared" si="116"/>
        <v>0</v>
      </c>
      <c r="AH727" s="136">
        <f t="shared" si="117"/>
        <v>0</v>
      </c>
      <c r="AI727" s="251"/>
      <c r="AJ727" s="1736"/>
      <c r="AK727" s="1737"/>
      <c r="AL727" s="79">
        <f t="shared" si="118"/>
        <v>0</v>
      </c>
      <c r="AM727" s="137">
        <f t="shared" si="119"/>
        <v>0</v>
      </c>
      <c r="AN727" s="251"/>
      <c r="AO727" s="1736"/>
      <c r="AP727" s="1737"/>
    </row>
    <row r="728" spans="1:42" s="85" customFormat="1" ht="13.5" thickBot="1">
      <c r="A728" s="240"/>
      <c r="B728" s="241"/>
      <c r="C728" s="242"/>
      <c r="D728" s="242"/>
      <c r="E728" s="243"/>
      <c r="F728" s="244"/>
      <c r="G728" s="244"/>
      <c r="H728" s="243"/>
      <c r="I728" s="258"/>
      <c r="J728" s="245"/>
      <c r="K728" s="245"/>
      <c r="L728" s="76">
        <f t="shared" si="110"/>
        <v>0</v>
      </c>
      <c r="M728" s="246"/>
      <c r="N728" s="247"/>
      <c r="O728" s="248"/>
      <c r="P728" s="246"/>
      <c r="Q728" s="249"/>
      <c r="R728" s="250"/>
      <c r="S728" s="259"/>
      <c r="T728" s="260"/>
      <c r="U728" s="250"/>
      <c r="V728" s="78">
        <f t="shared" si="111"/>
        <v>0</v>
      </c>
      <c r="W728" s="261">
        <f t="shared" si="112"/>
        <v>0</v>
      </c>
      <c r="X728" s="133">
        <f t="shared" si="113"/>
        <v>0</v>
      </c>
      <c r="Y728" s="251"/>
      <c r="Z728" s="1736"/>
      <c r="AA728" s="1737"/>
      <c r="AB728" s="77">
        <f t="shared" si="114"/>
        <v>0</v>
      </c>
      <c r="AC728" s="134">
        <f t="shared" si="115"/>
        <v>0</v>
      </c>
      <c r="AD728" s="251"/>
      <c r="AE728" s="1736"/>
      <c r="AF728" s="1737"/>
      <c r="AG728" s="77">
        <f t="shared" si="116"/>
        <v>0</v>
      </c>
      <c r="AH728" s="136">
        <f t="shared" si="117"/>
        <v>0</v>
      </c>
      <c r="AI728" s="251"/>
      <c r="AJ728" s="1736"/>
      <c r="AK728" s="1737"/>
      <c r="AL728" s="79">
        <f t="shared" si="118"/>
        <v>0</v>
      </c>
      <c r="AM728" s="137">
        <f t="shared" si="119"/>
        <v>0</v>
      </c>
      <c r="AN728" s="251"/>
      <c r="AO728" s="1736"/>
      <c r="AP728" s="1737"/>
    </row>
    <row r="729" spans="1:42" s="85" customFormat="1" ht="13.5" thickBot="1">
      <c r="A729" s="240"/>
      <c r="B729" s="241"/>
      <c r="C729" s="242"/>
      <c r="D729" s="242"/>
      <c r="E729" s="243"/>
      <c r="F729" s="244"/>
      <c r="G729" s="244"/>
      <c r="H729" s="243"/>
      <c r="I729" s="258"/>
      <c r="J729" s="245"/>
      <c r="K729" s="245"/>
      <c r="L729" s="76">
        <f t="shared" si="110"/>
        <v>0</v>
      </c>
      <c r="M729" s="246"/>
      <c r="N729" s="247"/>
      <c r="O729" s="248"/>
      <c r="P729" s="246"/>
      <c r="Q729" s="249"/>
      <c r="R729" s="250"/>
      <c r="S729" s="259"/>
      <c r="T729" s="260"/>
      <c r="U729" s="250"/>
      <c r="V729" s="78">
        <f t="shared" si="111"/>
        <v>0</v>
      </c>
      <c r="W729" s="261">
        <f t="shared" si="112"/>
        <v>0</v>
      </c>
      <c r="X729" s="133">
        <f t="shared" si="113"/>
        <v>0</v>
      </c>
      <c r="Y729" s="251"/>
      <c r="Z729" s="1736"/>
      <c r="AA729" s="1737"/>
      <c r="AB729" s="77">
        <f t="shared" si="114"/>
        <v>0</v>
      </c>
      <c r="AC729" s="134">
        <f t="shared" si="115"/>
        <v>0</v>
      </c>
      <c r="AD729" s="251"/>
      <c r="AE729" s="1736"/>
      <c r="AF729" s="1737"/>
      <c r="AG729" s="77">
        <f t="shared" si="116"/>
        <v>0</v>
      </c>
      <c r="AH729" s="136">
        <f t="shared" si="117"/>
        <v>0</v>
      </c>
      <c r="AI729" s="251"/>
      <c r="AJ729" s="1736"/>
      <c r="AK729" s="1737"/>
      <c r="AL729" s="79">
        <f t="shared" si="118"/>
        <v>0</v>
      </c>
      <c r="AM729" s="137">
        <f t="shared" si="119"/>
        <v>0</v>
      </c>
      <c r="AN729" s="251"/>
      <c r="AO729" s="1736"/>
      <c r="AP729" s="1737"/>
    </row>
    <row r="730" spans="1:42" s="85" customFormat="1" ht="13.5" thickBot="1">
      <c r="A730" s="240"/>
      <c r="B730" s="241"/>
      <c r="C730" s="242"/>
      <c r="D730" s="242"/>
      <c r="E730" s="243"/>
      <c r="F730" s="244"/>
      <c r="G730" s="244"/>
      <c r="H730" s="243"/>
      <c r="I730" s="258"/>
      <c r="J730" s="245"/>
      <c r="K730" s="245"/>
      <c r="L730" s="76">
        <f t="shared" si="110"/>
        <v>0</v>
      </c>
      <c r="M730" s="246"/>
      <c r="N730" s="247"/>
      <c r="O730" s="248"/>
      <c r="P730" s="246"/>
      <c r="Q730" s="249"/>
      <c r="R730" s="250"/>
      <c r="S730" s="259"/>
      <c r="T730" s="260"/>
      <c r="U730" s="250"/>
      <c r="V730" s="78">
        <f t="shared" si="111"/>
        <v>0</v>
      </c>
      <c r="W730" s="261">
        <f t="shared" si="112"/>
        <v>0</v>
      </c>
      <c r="X730" s="133">
        <f t="shared" si="113"/>
        <v>0</v>
      </c>
      <c r="Y730" s="251"/>
      <c r="Z730" s="1736"/>
      <c r="AA730" s="1737"/>
      <c r="AB730" s="77">
        <f t="shared" si="114"/>
        <v>0</v>
      </c>
      <c r="AC730" s="134">
        <f t="shared" si="115"/>
        <v>0</v>
      </c>
      <c r="AD730" s="251"/>
      <c r="AE730" s="1736"/>
      <c r="AF730" s="1737"/>
      <c r="AG730" s="77">
        <f t="shared" si="116"/>
        <v>0</v>
      </c>
      <c r="AH730" s="136">
        <f t="shared" si="117"/>
        <v>0</v>
      </c>
      <c r="AI730" s="251"/>
      <c r="AJ730" s="1736"/>
      <c r="AK730" s="1737"/>
      <c r="AL730" s="79">
        <f t="shared" si="118"/>
        <v>0</v>
      </c>
      <c r="AM730" s="137">
        <f t="shared" si="119"/>
        <v>0</v>
      </c>
      <c r="AN730" s="251"/>
      <c r="AO730" s="1736"/>
      <c r="AP730" s="1737"/>
    </row>
    <row r="731" spans="1:42" s="85" customFormat="1" ht="13.5" thickBot="1">
      <c r="A731" s="240"/>
      <c r="B731" s="241"/>
      <c r="C731" s="242"/>
      <c r="D731" s="242"/>
      <c r="E731" s="243"/>
      <c r="F731" s="244"/>
      <c r="G731" s="244"/>
      <c r="H731" s="243"/>
      <c r="I731" s="258"/>
      <c r="J731" s="245"/>
      <c r="K731" s="245"/>
      <c r="L731" s="76">
        <f t="shared" si="110"/>
        <v>0</v>
      </c>
      <c r="M731" s="246"/>
      <c r="N731" s="247"/>
      <c r="O731" s="248"/>
      <c r="P731" s="246"/>
      <c r="Q731" s="249"/>
      <c r="R731" s="250"/>
      <c r="S731" s="259"/>
      <c r="T731" s="260"/>
      <c r="U731" s="250"/>
      <c r="V731" s="78">
        <f t="shared" si="111"/>
        <v>0</v>
      </c>
      <c r="W731" s="261">
        <f t="shared" si="112"/>
        <v>0</v>
      </c>
      <c r="X731" s="133">
        <f t="shared" si="113"/>
        <v>0</v>
      </c>
      <c r="Y731" s="251"/>
      <c r="Z731" s="1736"/>
      <c r="AA731" s="1737"/>
      <c r="AB731" s="77">
        <f t="shared" si="114"/>
        <v>0</v>
      </c>
      <c r="AC731" s="134">
        <f t="shared" si="115"/>
        <v>0</v>
      </c>
      <c r="AD731" s="251"/>
      <c r="AE731" s="1736"/>
      <c r="AF731" s="1737"/>
      <c r="AG731" s="77">
        <f t="shared" si="116"/>
        <v>0</v>
      </c>
      <c r="AH731" s="136">
        <f t="shared" si="117"/>
        <v>0</v>
      </c>
      <c r="AI731" s="251"/>
      <c r="AJ731" s="1736"/>
      <c r="AK731" s="1737"/>
      <c r="AL731" s="79">
        <f t="shared" si="118"/>
        <v>0</v>
      </c>
      <c r="AM731" s="137">
        <f t="shared" si="119"/>
        <v>0</v>
      </c>
      <c r="AN731" s="251"/>
      <c r="AO731" s="1736"/>
      <c r="AP731" s="1737"/>
    </row>
    <row r="732" spans="1:42" s="85" customFormat="1" ht="13.5" thickBot="1">
      <c r="A732" s="240"/>
      <c r="B732" s="241"/>
      <c r="C732" s="242"/>
      <c r="D732" s="242"/>
      <c r="E732" s="243"/>
      <c r="F732" s="244"/>
      <c r="G732" s="244"/>
      <c r="H732" s="243"/>
      <c r="I732" s="258"/>
      <c r="J732" s="245"/>
      <c r="K732" s="245"/>
      <c r="L732" s="76">
        <f t="shared" si="110"/>
        <v>0</v>
      </c>
      <c r="M732" s="246"/>
      <c r="N732" s="247"/>
      <c r="O732" s="248"/>
      <c r="P732" s="246"/>
      <c r="Q732" s="249"/>
      <c r="R732" s="250"/>
      <c r="S732" s="259"/>
      <c r="T732" s="260"/>
      <c r="U732" s="250"/>
      <c r="V732" s="78">
        <f t="shared" si="111"/>
        <v>0</v>
      </c>
      <c r="W732" s="261">
        <f t="shared" si="112"/>
        <v>0</v>
      </c>
      <c r="X732" s="133">
        <f t="shared" si="113"/>
        <v>0</v>
      </c>
      <c r="Y732" s="251"/>
      <c r="Z732" s="1736"/>
      <c r="AA732" s="1737"/>
      <c r="AB732" s="77">
        <f t="shared" si="114"/>
        <v>0</v>
      </c>
      <c r="AC732" s="134">
        <f t="shared" si="115"/>
        <v>0</v>
      </c>
      <c r="AD732" s="251"/>
      <c r="AE732" s="1736"/>
      <c r="AF732" s="1737"/>
      <c r="AG732" s="77">
        <f t="shared" si="116"/>
        <v>0</v>
      </c>
      <c r="AH732" s="136">
        <f t="shared" si="117"/>
        <v>0</v>
      </c>
      <c r="AI732" s="251"/>
      <c r="AJ732" s="1736"/>
      <c r="AK732" s="1737"/>
      <c r="AL732" s="79">
        <f t="shared" si="118"/>
        <v>0</v>
      </c>
      <c r="AM732" s="137">
        <f t="shared" si="119"/>
        <v>0</v>
      </c>
      <c r="AN732" s="251"/>
      <c r="AO732" s="1736"/>
      <c r="AP732" s="1737"/>
    </row>
    <row r="733" spans="1:42" s="85" customFormat="1" ht="13.5" thickBot="1">
      <c r="A733" s="240"/>
      <c r="B733" s="241"/>
      <c r="C733" s="242"/>
      <c r="D733" s="242"/>
      <c r="E733" s="243"/>
      <c r="F733" s="244"/>
      <c r="G733" s="244"/>
      <c r="H733" s="243"/>
      <c r="I733" s="258"/>
      <c r="J733" s="245"/>
      <c r="K733" s="245"/>
      <c r="L733" s="76">
        <f t="shared" si="110"/>
        <v>0</v>
      </c>
      <c r="M733" s="246"/>
      <c r="N733" s="247"/>
      <c r="O733" s="248"/>
      <c r="P733" s="246"/>
      <c r="Q733" s="249"/>
      <c r="R733" s="250"/>
      <c r="S733" s="259"/>
      <c r="T733" s="260"/>
      <c r="U733" s="250"/>
      <c r="V733" s="78">
        <f t="shared" si="111"/>
        <v>0</v>
      </c>
      <c r="W733" s="261">
        <f t="shared" si="112"/>
        <v>0</v>
      </c>
      <c r="X733" s="133">
        <f t="shared" si="113"/>
        <v>0</v>
      </c>
      <c r="Y733" s="251"/>
      <c r="Z733" s="1736"/>
      <c r="AA733" s="1737"/>
      <c r="AB733" s="77">
        <f t="shared" si="114"/>
        <v>0</v>
      </c>
      <c r="AC733" s="134">
        <f t="shared" si="115"/>
        <v>0</v>
      </c>
      <c r="AD733" s="251"/>
      <c r="AE733" s="1736"/>
      <c r="AF733" s="1737"/>
      <c r="AG733" s="77">
        <f t="shared" si="116"/>
        <v>0</v>
      </c>
      <c r="AH733" s="136">
        <f t="shared" si="117"/>
        <v>0</v>
      </c>
      <c r="AI733" s="251"/>
      <c r="AJ733" s="1736"/>
      <c r="AK733" s="1737"/>
      <c r="AL733" s="79">
        <f t="shared" si="118"/>
        <v>0</v>
      </c>
      <c r="AM733" s="137">
        <f t="shared" si="119"/>
        <v>0</v>
      </c>
      <c r="AN733" s="251"/>
      <c r="AO733" s="1736"/>
      <c r="AP733" s="1737"/>
    </row>
    <row r="734" spans="1:42" s="85" customFormat="1" ht="13.5" thickBot="1">
      <c r="A734" s="240"/>
      <c r="B734" s="241"/>
      <c r="C734" s="242"/>
      <c r="D734" s="242"/>
      <c r="E734" s="243"/>
      <c r="F734" s="244"/>
      <c r="G734" s="244"/>
      <c r="H734" s="243"/>
      <c r="I734" s="258"/>
      <c r="J734" s="245"/>
      <c r="K734" s="245"/>
      <c r="L734" s="76">
        <f t="shared" si="110"/>
        <v>0</v>
      </c>
      <c r="M734" s="246"/>
      <c r="N734" s="247"/>
      <c r="O734" s="248"/>
      <c r="P734" s="246"/>
      <c r="Q734" s="249"/>
      <c r="R734" s="250"/>
      <c r="S734" s="259"/>
      <c r="T734" s="260"/>
      <c r="U734" s="250"/>
      <c r="V734" s="78">
        <f t="shared" si="111"/>
        <v>0</v>
      </c>
      <c r="W734" s="261">
        <f t="shared" si="112"/>
        <v>0</v>
      </c>
      <c r="X734" s="133">
        <f t="shared" si="113"/>
        <v>0</v>
      </c>
      <c r="Y734" s="251"/>
      <c r="Z734" s="1736"/>
      <c r="AA734" s="1737"/>
      <c r="AB734" s="77">
        <f t="shared" si="114"/>
        <v>0</v>
      </c>
      <c r="AC734" s="134">
        <f t="shared" si="115"/>
        <v>0</v>
      </c>
      <c r="AD734" s="251"/>
      <c r="AE734" s="1736"/>
      <c r="AF734" s="1737"/>
      <c r="AG734" s="77">
        <f t="shared" si="116"/>
        <v>0</v>
      </c>
      <c r="AH734" s="136">
        <f t="shared" si="117"/>
        <v>0</v>
      </c>
      <c r="AI734" s="251"/>
      <c r="AJ734" s="1736"/>
      <c r="AK734" s="1737"/>
      <c r="AL734" s="79">
        <f t="shared" si="118"/>
        <v>0</v>
      </c>
      <c r="AM734" s="137">
        <f t="shared" si="119"/>
        <v>0</v>
      </c>
      <c r="AN734" s="251"/>
      <c r="AO734" s="1736"/>
      <c r="AP734" s="1737"/>
    </row>
    <row r="735" spans="1:42" s="85" customFormat="1" ht="13.5" thickBot="1">
      <c r="A735" s="240"/>
      <c r="B735" s="241"/>
      <c r="C735" s="242"/>
      <c r="D735" s="242"/>
      <c r="E735" s="243"/>
      <c r="F735" s="244"/>
      <c r="G735" s="244"/>
      <c r="H735" s="243"/>
      <c r="I735" s="258"/>
      <c r="J735" s="245"/>
      <c r="K735" s="245"/>
      <c r="L735" s="76">
        <f t="shared" si="110"/>
        <v>0</v>
      </c>
      <c r="M735" s="246"/>
      <c r="N735" s="247"/>
      <c r="O735" s="248"/>
      <c r="P735" s="246"/>
      <c r="Q735" s="249"/>
      <c r="R735" s="250"/>
      <c r="S735" s="259"/>
      <c r="T735" s="260"/>
      <c r="U735" s="250"/>
      <c r="V735" s="78">
        <f t="shared" si="111"/>
        <v>0</v>
      </c>
      <c r="W735" s="261">
        <f t="shared" si="112"/>
        <v>0</v>
      </c>
      <c r="X735" s="133">
        <f t="shared" si="113"/>
        <v>0</v>
      </c>
      <c r="Y735" s="251"/>
      <c r="Z735" s="1736"/>
      <c r="AA735" s="1737"/>
      <c r="AB735" s="77">
        <f t="shared" si="114"/>
        <v>0</v>
      </c>
      <c r="AC735" s="134">
        <f t="shared" si="115"/>
        <v>0</v>
      </c>
      <c r="AD735" s="251"/>
      <c r="AE735" s="1736"/>
      <c r="AF735" s="1737"/>
      <c r="AG735" s="77">
        <f t="shared" si="116"/>
        <v>0</v>
      </c>
      <c r="AH735" s="136">
        <f t="shared" si="117"/>
        <v>0</v>
      </c>
      <c r="AI735" s="251"/>
      <c r="AJ735" s="1736"/>
      <c r="AK735" s="1737"/>
      <c r="AL735" s="79">
        <f t="shared" si="118"/>
        <v>0</v>
      </c>
      <c r="AM735" s="137">
        <f t="shared" si="119"/>
        <v>0</v>
      </c>
      <c r="AN735" s="251"/>
      <c r="AO735" s="1736"/>
      <c r="AP735" s="1737"/>
    </row>
    <row r="736" spans="1:42" s="85" customFormat="1" ht="13.5" thickBot="1">
      <c r="A736" s="240"/>
      <c r="B736" s="241"/>
      <c r="C736" s="242"/>
      <c r="D736" s="242"/>
      <c r="E736" s="243"/>
      <c r="F736" s="244"/>
      <c r="G736" s="244"/>
      <c r="H736" s="243"/>
      <c r="I736" s="258"/>
      <c r="J736" s="245"/>
      <c r="K736" s="245"/>
      <c r="L736" s="76">
        <f t="shared" si="110"/>
        <v>0</v>
      </c>
      <c r="M736" s="246"/>
      <c r="N736" s="247"/>
      <c r="O736" s="248"/>
      <c r="P736" s="246"/>
      <c r="Q736" s="249"/>
      <c r="R736" s="250"/>
      <c r="S736" s="259"/>
      <c r="T736" s="260"/>
      <c r="U736" s="250"/>
      <c r="V736" s="78">
        <f t="shared" si="111"/>
        <v>0</v>
      </c>
      <c r="W736" s="261">
        <f t="shared" si="112"/>
        <v>0</v>
      </c>
      <c r="X736" s="133">
        <f t="shared" si="113"/>
        <v>0</v>
      </c>
      <c r="Y736" s="251"/>
      <c r="Z736" s="1736"/>
      <c r="AA736" s="1737"/>
      <c r="AB736" s="77">
        <f t="shared" si="114"/>
        <v>0</v>
      </c>
      <c r="AC736" s="134">
        <f t="shared" si="115"/>
        <v>0</v>
      </c>
      <c r="AD736" s="251"/>
      <c r="AE736" s="1736"/>
      <c r="AF736" s="1737"/>
      <c r="AG736" s="77">
        <f t="shared" si="116"/>
        <v>0</v>
      </c>
      <c r="AH736" s="136">
        <f t="shared" si="117"/>
        <v>0</v>
      </c>
      <c r="AI736" s="251"/>
      <c r="AJ736" s="1736"/>
      <c r="AK736" s="1737"/>
      <c r="AL736" s="79">
        <f t="shared" si="118"/>
        <v>0</v>
      </c>
      <c r="AM736" s="137">
        <f t="shared" si="119"/>
        <v>0</v>
      </c>
      <c r="AN736" s="251"/>
      <c r="AO736" s="1736"/>
      <c r="AP736" s="1737"/>
    </row>
    <row r="737" spans="1:42" s="85" customFormat="1" ht="13.5" thickBot="1">
      <c r="A737" s="240"/>
      <c r="B737" s="241"/>
      <c r="C737" s="242"/>
      <c r="D737" s="242"/>
      <c r="E737" s="243"/>
      <c r="F737" s="244"/>
      <c r="G737" s="244"/>
      <c r="H737" s="243"/>
      <c r="I737" s="258"/>
      <c r="J737" s="245"/>
      <c r="K737" s="245"/>
      <c r="L737" s="76">
        <f t="shared" si="110"/>
        <v>0</v>
      </c>
      <c r="M737" s="246"/>
      <c r="N737" s="247"/>
      <c r="O737" s="248"/>
      <c r="P737" s="246"/>
      <c r="Q737" s="249"/>
      <c r="R737" s="250"/>
      <c r="S737" s="259"/>
      <c r="T737" s="260"/>
      <c r="U737" s="250"/>
      <c r="V737" s="78">
        <f t="shared" si="111"/>
        <v>0</v>
      </c>
      <c r="W737" s="261">
        <f t="shared" si="112"/>
        <v>0</v>
      </c>
      <c r="X737" s="133">
        <f t="shared" si="113"/>
        <v>0</v>
      </c>
      <c r="Y737" s="251"/>
      <c r="Z737" s="1736"/>
      <c r="AA737" s="1737"/>
      <c r="AB737" s="77">
        <f t="shared" si="114"/>
        <v>0</v>
      </c>
      <c r="AC737" s="134">
        <f t="shared" si="115"/>
        <v>0</v>
      </c>
      <c r="AD737" s="251"/>
      <c r="AE737" s="1736"/>
      <c r="AF737" s="1737"/>
      <c r="AG737" s="77">
        <f t="shared" si="116"/>
        <v>0</v>
      </c>
      <c r="AH737" s="136">
        <f t="shared" si="117"/>
        <v>0</v>
      </c>
      <c r="AI737" s="251"/>
      <c r="AJ737" s="1736"/>
      <c r="AK737" s="1737"/>
      <c r="AL737" s="79">
        <f t="shared" si="118"/>
        <v>0</v>
      </c>
      <c r="AM737" s="137">
        <f t="shared" si="119"/>
        <v>0</v>
      </c>
      <c r="AN737" s="251"/>
      <c r="AO737" s="1736"/>
      <c r="AP737" s="1737"/>
    </row>
    <row r="738" spans="1:42" s="85" customFormat="1" ht="13.5" thickBot="1">
      <c r="A738" s="240"/>
      <c r="B738" s="241"/>
      <c r="C738" s="242"/>
      <c r="D738" s="242"/>
      <c r="E738" s="243"/>
      <c r="F738" s="244"/>
      <c r="G738" s="244"/>
      <c r="H738" s="243"/>
      <c r="I738" s="258"/>
      <c r="J738" s="245"/>
      <c r="K738" s="245"/>
      <c r="L738" s="76">
        <f t="shared" si="110"/>
        <v>0</v>
      </c>
      <c r="M738" s="246"/>
      <c r="N738" s="247"/>
      <c r="O738" s="248"/>
      <c r="P738" s="246"/>
      <c r="Q738" s="249"/>
      <c r="R738" s="250"/>
      <c r="S738" s="259"/>
      <c r="T738" s="260"/>
      <c r="U738" s="250"/>
      <c r="V738" s="78">
        <f t="shared" si="111"/>
        <v>0</v>
      </c>
      <c r="W738" s="261">
        <f t="shared" si="112"/>
        <v>0</v>
      </c>
      <c r="X738" s="133">
        <f t="shared" si="113"/>
        <v>0</v>
      </c>
      <c r="Y738" s="251"/>
      <c r="Z738" s="1736"/>
      <c r="AA738" s="1737"/>
      <c r="AB738" s="77">
        <f t="shared" si="114"/>
        <v>0</v>
      </c>
      <c r="AC738" s="134">
        <f t="shared" si="115"/>
        <v>0</v>
      </c>
      <c r="AD738" s="251"/>
      <c r="AE738" s="1736"/>
      <c r="AF738" s="1737"/>
      <c r="AG738" s="77">
        <f t="shared" si="116"/>
        <v>0</v>
      </c>
      <c r="AH738" s="136">
        <f t="shared" si="117"/>
        <v>0</v>
      </c>
      <c r="AI738" s="251"/>
      <c r="AJ738" s="1736"/>
      <c r="AK738" s="1737"/>
      <c r="AL738" s="79">
        <f t="shared" si="118"/>
        <v>0</v>
      </c>
      <c r="AM738" s="137">
        <f t="shared" si="119"/>
        <v>0</v>
      </c>
      <c r="AN738" s="251"/>
      <c r="AO738" s="1736"/>
      <c r="AP738" s="1737"/>
    </row>
    <row r="739" spans="1:42" s="85" customFormat="1" ht="13.5" thickBot="1">
      <c r="A739" s="240"/>
      <c r="B739" s="241"/>
      <c r="C739" s="242"/>
      <c r="D739" s="242"/>
      <c r="E739" s="243"/>
      <c r="F739" s="244"/>
      <c r="G739" s="244"/>
      <c r="H739" s="243"/>
      <c r="I739" s="258"/>
      <c r="J739" s="245"/>
      <c r="K739" s="245"/>
      <c r="L739" s="76">
        <f t="shared" si="110"/>
        <v>0</v>
      </c>
      <c r="M739" s="246"/>
      <c r="N739" s="247"/>
      <c r="O739" s="248"/>
      <c r="P739" s="246"/>
      <c r="Q739" s="249"/>
      <c r="R739" s="250"/>
      <c r="S739" s="259"/>
      <c r="T739" s="260"/>
      <c r="U739" s="250"/>
      <c r="V739" s="78">
        <f t="shared" si="111"/>
        <v>0</v>
      </c>
      <c r="W739" s="261">
        <f t="shared" si="112"/>
        <v>0</v>
      </c>
      <c r="X739" s="133">
        <f t="shared" si="113"/>
        <v>0</v>
      </c>
      <c r="Y739" s="251"/>
      <c r="Z739" s="1736"/>
      <c r="AA739" s="1737"/>
      <c r="AB739" s="77">
        <f t="shared" si="114"/>
        <v>0</v>
      </c>
      <c r="AC739" s="134">
        <f t="shared" si="115"/>
        <v>0</v>
      </c>
      <c r="AD739" s="251"/>
      <c r="AE739" s="1736"/>
      <c r="AF739" s="1737"/>
      <c r="AG739" s="77">
        <f t="shared" si="116"/>
        <v>0</v>
      </c>
      <c r="AH739" s="136">
        <f t="shared" si="117"/>
        <v>0</v>
      </c>
      <c r="AI739" s="251"/>
      <c r="AJ739" s="1736"/>
      <c r="AK739" s="1737"/>
      <c r="AL739" s="79">
        <f t="shared" si="118"/>
        <v>0</v>
      </c>
      <c r="AM739" s="137">
        <f t="shared" si="119"/>
        <v>0</v>
      </c>
      <c r="AN739" s="251"/>
      <c r="AO739" s="1736"/>
      <c r="AP739" s="1737"/>
    </row>
    <row r="740" spans="1:42" s="85" customFormat="1" ht="13.5" thickBot="1">
      <c r="A740" s="240"/>
      <c r="B740" s="241"/>
      <c r="C740" s="242"/>
      <c r="D740" s="242"/>
      <c r="E740" s="243"/>
      <c r="F740" s="244"/>
      <c r="G740" s="244"/>
      <c r="H740" s="243"/>
      <c r="I740" s="258"/>
      <c r="J740" s="245"/>
      <c r="K740" s="245"/>
      <c r="L740" s="76">
        <f t="shared" si="110"/>
        <v>0</v>
      </c>
      <c r="M740" s="246"/>
      <c r="N740" s="247"/>
      <c r="O740" s="248"/>
      <c r="P740" s="246"/>
      <c r="Q740" s="249"/>
      <c r="R740" s="250"/>
      <c r="S740" s="259"/>
      <c r="T740" s="260"/>
      <c r="U740" s="250"/>
      <c r="V740" s="78">
        <f t="shared" si="111"/>
        <v>0</v>
      </c>
      <c r="W740" s="261">
        <f t="shared" si="112"/>
        <v>0</v>
      </c>
      <c r="X740" s="133">
        <f t="shared" si="113"/>
        <v>0</v>
      </c>
      <c r="Y740" s="251"/>
      <c r="Z740" s="1736"/>
      <c r="AA740" s="1737"/>
      <c r="AB740" s="77">
        <f t="shared" si="114"/>
        <v>0</v>
      </c>
      <c r="AC740" s="134">
        <f t="shared" si="115"/>
        <v>0</v>
      </c>
      <c r="AD740" s="251"/>
      <c r="AE740" s="1736"/>
      <c r="AF740" s="1737"/>
      <c r="AG740" s="77">
        <f t="shared" si="116"/>
        <v>0</v>
      </c>
      <c r="AH740" s="136">
        <f t="shared" si="117"/>
        <v>0</v>
      </c>
      <c r="AI740" s="251"/>
      <c r="AJ740" s="1736"/>
      <c r="AK740" s="1737"/>
      <c r="AL740" s="79">
        <f t="shared" si="118"/>
        <v>0</v>
      </c>
      <c r="AM740" s="137">
        <f t="shared" si="119"/>
        <v>0</v>
      </c>
      <c r="AN740" s="251"/>
      <c r="AO740" s="1736"/>
      <c r="AP740" s="1737"/>
    </row>
    <row r="741" spans="1:42" s="85" customFormat="1" ht="13.5" thickBot="1">
      <c r="A741" s="240"/>
      <c r="B741" s="241"/>
      <c r="C741" s="242"/>
      <c r="D741" s="242"/>
      <c r="E741" s="243"/>
      <c r="F741" s="244"/>
      <c r="G741" s="244"/>
      <c r="H741" s="243"/>
      <c r="I741" s="258"/>
      <c r="J741" s="245"/>
      <c r="K741" s="245"/>
      <c r="L741" s="76">
        <f t="shared" si="110"/>
        <v>0</v>
      </c>
      <c r="M741" s="246"/>
      <c r="N741" s="247"/>
      <c r="O741" s="248"/>
      <c r="P741" s="246"/>
      <c r="Q741" s="249"/>
      <c r="R741" s="250"/>
      <c r="S741" s="259"/>
      <c r="T741" s="260"/>
      <c r="U741" s="250"/>
      <c r="V741" s="78">
        <f t="shared" si="111"/>
        <v>0</v>
      </c>
      <c r="W741" s="261">
        <f t="shared" si="112"/>
        <v>0</v>
      </c>
      <c r="X741" s="133">
        <f t="shared" si="113"/>
        <v>0</v>
      </c>
      <c r="Y741" s="251"/>
      <c r="Z741" s="1736"/>
      <c r="AA741" s="1737"/>
      <c r="AB741" s="77">
        <f t="shared" si="114"/>
        <v>0</v>
      </c>
      <c r="AC741" s="134">
        <f t="shared" si="115"/>
        <v>0</v>
      </c>
      <c r="AD741" s="251"/>
      <c r="AE741" s="1736"/>
      <c r="AF741" s="1737"/>
      <c r="AG741" s="77">
        <f t="shared" si="116"/>
        <v>0</v>
      </c>
      <c r="AH741" s="136">
        <f t="shared" si="117"/>
        <v>0</v>
      </c>
      <c r="AI741" s="251"/>
      <c r="AJ741" s="1736"/>
      <c r="AK741" s="1737"/>
      <c r="AL741" s="79">
        <f t="shared" si="118"/>
        <v>0</v>
      </c>
      <c r="AM741" s="137">
        <f t="shared" si="119"/>
        <v>0</v>
      </c>
      <c r="AN741" s="251"/>
      <c r="AO741" s="1736"/>
      <c r="AP741" s="1737"/>
    </row>
    <row r="742" spans="1:42" s="85" customFormat="1" ht="13.5" thickBot="1">
      <c r="A742" s="240"/>
      <c r="B742" s="241"/>
      <c r="C742" s="242"/>
      <c r="D742" s="242"/>
      <c r="E742" s="243"/>
      <c r="F742" s="244"/>
      <c r="G742" s="244"/>
      <c r="H742" s="243"/>
      <c r="I742" s="258"/>
      <c r="J742" s="245"/>
      <c r="K742" s="245"/>
      <c r="L742" s="76">
        <f t="shared" si="110"/>
        <v>0</v>
      </c>
      <c r="M742" s="246"/>
      <c r="N742" s="247"/>
      <c r="O742" s="248"/>
      <c r="P742" s="246"/>
      <c r="Q742" s="249"/>
      <c r="R742" s="250"/>
      <c r="S742" s="259"/>
      <c r="T742" s="260"/>
      <c r="U742" s="250"/>
      <c r="V742" s="78">
        <f t="shared" si="111"/>
        <v>0</v>
      </c>
      <c r="W742" s="261">
        <f t="shared" si="112"/>
        <v>0</v>
      </c>
      <c r="X742" s="133">
        <f t="shared" si="113"/>
        <v>0</v>
      </c>
      <c r="Y742" s="251"/>
      <c r="Z742" s="1736"/>
      <c r="AA742" s="1737"/>
      <c r="AB742" s="77">
        <f t="shared" si="114"/>
        <v>0</v>
      </c>
      <c r="AC742" s="134">
        <f t="shared" si="115"/>
        <v>0</v>
      </c>
      <c r="AD742" s="251"/>
      <c r="AE742" s="1736"/>
      <c r="AF742" s="1737"/>
      <c r="AG742" s="77">
        <f t="shared" si="116"/>
        <v>0</v>
      </c>
      <c r="AH742" s="136">
        <f t="shared" si="117"/>
        <v>0</v>
      </c>
      <c r="AI742" s="251"/>
      <c r="AJ742" s="1736"/>
      <c r="AK742" s="1737"/>
      <c r="AL742" s="79">
        <f t="shared" si="118"/>
        <v>0</v>
      </c>
      <c r="AM742" s="137">
        <f t="shared" si="119"/>
        <v>0</v>
      </c>
      <c r="AN742" s="251"/>
      <c r="AO742" s="1736"/>
      <c r="AP742" s="1737"/>
    </row>
    <row r="743" spans="1:42" s="85" customFormat="1" ht="13.5" thickBot="1">
      <c r="A743" s="240"/>
      <c r="B743" s="241"/>
      <c r="C743" s="242"/>
      <c r="D743" s="242"/>
      <c r="E743" s="243"/>
      <c r="F743" s="244"/>
      <c r="G743" s="244"/>
      <c r="H743" s="243"/>
      <c r="I743" s="258"/>
      <c r="J743" s="245"/>
      <c r="K743" s="245"/>
      <c r="L743" s="76">
        <f t="shared" si="110"/>
        <v>0</v>
      </c>
      <c r="M743" s="246"/>
      <c r="N743" s="247"/>
      <c r="O743" s="248"/>
      <c r="P743" s="246"/>
      <c r="Q743" s="249"/>
      <c r="R743" s="250"/>
      <c r="S743" s="259"/>
      <c r="T743" s="260"/>
      <c r="U743" s="250"/>
      <c r="V743" s="78">
        <f t="shared" si="111"/>
        <v>0</v>
      </c>
      <c r="W743" s="261">
        <f t="shared" si="112"/>
        <v>0</v>
      </c>
      <c r="X743" s="133">
        <f t="shared" si="113"/>
        <v>0</v>
      </c>
      <c r="Y743" s="251"/>
      <c r="Z743" s="1736"/>
      <c r="AA743" s="1737"/>
      <c r="AB743" s="77">
        <f t="shared" si="114"/>
        <v>0</v>
      </c>
      <c r="AC743" s="134">
        <f t="shared" si="115"/>
        <v>0</v>
      </c>
      <c r="AD743" s="251"/>
      <c r="AE743" s="1736"/>
      <c r="AF743" s="1737"/>
      <c r="AG743" s="77">
        <f t="shared" si="116"/>
        <v>0</v>
      </c>
      <c r="AH743" s="136">
        <f t="shared" si="117"/>
        <v>0</v>
      </c>
      <c r="AI743" s="251"/>
      <c r="AJ743" s="1736"/>
      <c r="AK743" s="1737"/>
      <c r="AL743" s="79">
        <f t="shared" si="118"/>
        <v>0</v>
      </c>
      <c r="AM743" s="137">
        <f t="shared" si="119"/>
        <v>0</v>
      </c>
      <c r="AN743" s="251"/>
      <c r="AO743" s="1736"/>
      <c r="AP743" s="1737"/>
    </row>
    <row r="744" spans="1:42" s="85" customFormat="1" ht="13.5" thickBot="1">
      <c r="A744" s="240"/>
      <c r="B744" s="241"/>
      <c r="C744" s="242"/>
      <c r="D744" s="242"/>
      <c r="E744" s="243"/>
      <c r="F744" s="244"/>
      <c r="G744" s="244"/>
      <c r="H744" s="243"/>
      <c r="I744" s="258"/>
      <c r="J744" s="245"/>
      <c r="K744" s="245"/>
      <c r="L744" s="76">
        <f t="shared" si="110"/>
        <v>0</v>
      </c>
      <c r="M744" s="246"/>
      <c r="N744" s="247"/>
      <c r="O744" s="248"/>
      <c r="P744" s="246"/>
      <c r="Q744" s="249"/>
      <c r="R744" s="250"/>
      <c r="S744" s="259"/>
      <c r="T744" s="260"/>
      <c r="U744" s="250"/>
      <c r="V744" s="78">
        <f t="shared" si="111"/>
        <v>0</v>
      </c>
      <c r="W744" s="261">
        <f t="shared" si="112"/>
        <v>0</v>
      </c>
      <c r="X744" s="133">
        <f t="shared" si="113"/>
        <v>0</v>
      </c>
      <c r="Y744" s="251"/>
      <c r="Z744" s="1736"/>
      <c r="AA744" s="1737"/>
      <c r="AB744" s="77">
        <f t="shared" si="114"/>
        <v>0</v>
      </c>
      <c r="AC744" s="134">
        <f t="shared" si="115"/>
        <v>0</v>
      </c>
      <c r="AD744" s="251"/>
      <c r="AE744" s="1736"/>
      <c r="AF744" s="1737"/>
      <c r="AG744" s="77">
        <f t="shared" si="116"/>
        <v>0</v>
      </c>
      <c r="AH744" s="136">
        <f t="shared" si="117"/>
        <v>0</v>
      </c>
      <c r="AI744" s="251"/>
      <c r="AJ744" s="1736"/>
      <c r="AK744" s="1737"/>
      <c r="AL744" s="79">
        <f t="shared" si="118"/>
        <v>0</v>
      </c>
      <c r="AM744" s="137">
        <f t="shared" si="119"/>
        <v>0</v>
      </c>
      <c r="AN744" s="251"/>
      <c r="AO744" s="1736"/>
      <c r="AP744" s="1737"/>
    </row>
    <row r="745" spans="1:42" s="85" customFormat="1" ht="13.5" thickBot="1">
      <c r="A745" s="240"/>
      <c r="B745" s="241"/>
      <c r="C745" s="242"/>
      <c r="D745" s="242"/>
      <c r="E745" s="243"/>
      <c r="F745" s="244"/>
      <c r="G745" s="244"/>
      <c r="H745" s="243"/>
      <c r="I745" s="258"/>
      <c r="J745" s="245"/>
      <c r="K745" s="245"/>
      <c r="L745" s="76">
        <f t="shared" si="110"/>
        <v>0</v>
      </c>
      <c r="M745" s="246"/>
      <c r="N745" s="247"/>
      <c r="O745" s="248"/>
      <c r="P745" s="246"/>
      <c r="Q745" s="249"/>
      <c r="R745" s="250"/>
      <c r="S745" s="259"/>
      <c r="T745" s="260"/>
      <c r="U745" s="250"/>
      <c r="V745" s="78">
        <f t="shared" si="111"/>
        <v>0</v>
      </c>
      <c r="W745" s="261">
        <f t="shared" si="112"/>
        <v>0</v>
      </c>
      <c r="X745" s="133">
        <f t="shared" si="113"/>
        <v>0</v>
      </c>
      <c r="Y745" s="251"/>
      <c r="Z745" s="1736"/>
      <c r="AA745" s="1737"/>
      <c r="AB745" s="77">
        <f t="shared" si="114"/>
        <v>0</v>
      </c>
      <c r="AC745" s="134">
        <f t="shared" si="115"/>
        <v>0</v>
      </c>
      <c r="AD745" s="251"/>
      <c r="AE745" s="1736"/>
      <c r="AF745" s="1737"/>
      <c r="AG745" s="77">
        <f t="shared" si="116"/>
        <v>0</v>
      </c>
      <c r="AH745" s="136">
        <f t="shared" si="117"/>
        <v>0</v>
      </c>
      <c r="AI745" s="251"/>
      <c r="AJ745" s="1736"/>
      <c r="AK745" s="1737"/>
      <c r="AL745" s="79">
        <f t="shared" si="118"/>
        <v>0</v>
      </c>
      <c r="AM745" s="137">
        <f t="shared" si="119"/>
        <v>0</v>
      </c>
      <c r="AN745" s="251"/>
      <c r="AO745" s="1736"/>
      <c r="AP745" s="1737"/>
    </row>
    <row r="746" spans="1:42" s="85" customFormat="1" ht="13.5" thickBot="1">
      <c r="A746" s="240"/>
      <c r="B746" s="241"/>
      <c r="C746" s="242"/>
      <c r="D746" s="242"/>
      <c r="E746" s="243"/>
      <c r="F746" s="244"/>
      <c r="G746" s="244"/>
      <c r="H746" s="243"/>
      <c r="I746" s="258"/>
      <c r="J746" s="245"/>
      <c r="K746" s="245"/>
      <c r="L746" s="76">
        <f t="shared" si="110"/>
        <v>0</v>
      </c>
      <c r="M746" s="246"/>
      <c r="N746" s="247"/>
      <c r="O746" s="248"/>
      <c r="P746" s="246"/>
      <c r="Q746" s="249"/>
      <c r="R746" s="250"/>
      <c r="S746" s="259"/>
      <c r="T746" s="260"/>
      <c r="U746" s="250"/>
      <c r="V746" s="78">
        <f t="shared" si="111"/>
        <v>0</v>
      </c>
      <c r="W746" s="261">
        <f t="shared" si="112"/>
        <v>0</v>
      </c>
      <c r="X746" s="133">
        <f t="shared" si="113"/>
        <v>0</v>
      </c>
      <c r="Y746" s="251"/>
      <c r="Z746" s="1736"/>
      <c r="AA746" s="1737"/>
      <c r="AB746" s="77">
        <f t="shared" si="114"/>
        <v>0</v>
      </c>
      <c r="AC746" s="134">
        <f t="shared" si="115"/>
        <v>0</v>
      </c>
      <c r="AD746" s="251"/>
      <c r="AE746" s="1736"/>
      <c r="AF746" s="1737"/>
      <c r="AG746" s="77">
        <f t="shared" si="116"/>
        <v>0</v>
      </c>
      <c r="AH746" s="136">
        <f t="shared" si="117"/>
        <v>0</v>
      </c>
      <c r="AI746" s="251"/>
      <c r="AJ746" s="1736"/>
      <c r="AK746" s="1737"/>
      <c r="AL746" s="79">
        <f t="shared" si="118"/>
        <v>0</v>
      </c>
      <c r="AM746" s="137">
        <f t="shared" si="119"/>
        <v>0</v>
      </c>
      <c r="AN746" s="251"/>
      <c r="AO746" s="1736"/>
      <c r="AP746" s="1737"/>
    </row>
    <row r="747" spans="1:42" s="85" customFormat="1" ht="13.5" thickBot="1">
      <c r="A747" s="240"/>
      <c r="B747" s="241"/>
      <c r="C747" s="242"/>
      <c r="D747" s="242"/>
      <c r="E747" s="243"/>
      <c r="F747" s="244"/>
      <c r="G747" s="244"/>
      <c r="H747" s="243"/>
      <c r="I747" s="258"/>
      <c r="J747" s="245"/>
      <c r="K747" s="245"/>
      <c r="L747" s="76">
        <f t="shared" si="110"/>
        <v>0</v>
      </c>
      <c r="M747" s="246"/>
      <c r="N747" s="247"/>
      <c r="O747" s="248"/>
      <c r="P747" s="246"/>
      <c r="Q747" s="249"/>
      <c r="R747" s="250"/>
      <c r="S747" s="259"/>
      <c r="T747" s="260"/>
      <c r="U747" s="250"/>
      <c r="V747" s="78">
        <f t="shared" si="111"/>
        <v>0</v>
      </c>
      <c r="W747" s="261">
        <f t="shared" si="112"/>
        <v>0</v>
      </c>
      <c r="X747" s="133">
        <f t="shared" si="113"/>
        <v>0</v>
      </c>
      <c r="Y747" s="251"/>
      <c r="Z747" s="1736"/>
      <c r="AA747" s="1737"/>
      <c r="AB747" s="77">
        <f t="shared" si="114"/>
        <v>0</v>
      </c>
      <c r="AC747" s="134">
        <f t="shared" si="115"/>
        <v>0</v>
      </c>
      <c r="AD747" s="251"/>
      <c r="AE747" s="1736"/>
      <c r="AF747" s="1737"/>
      <c r="AG747" s="77">
        <f t="shared" si="116"/>
        <v>0</v>
      </c>
      <c r="AH747" s="136">
        <f t="shared" si="117"/>
        <v>0</v>
      </c>
      <c r="AI747" s="251"/>
      <c r="AJ747" s="1736"/>
      <c r="AK747" s="1737"/>
      <c r="AL747" s="79">
        <f t="shared" si="118"/>
        <v>0</v>
      </c>
      <c r="AM747" s="137">
        <f t="shared" si="119"/>
        <v>0</v>
      </c>
      <c r="AN747" s="251"/>
      <c r="AO747" s="1736"/>
      <c r="AP747" s="1737"/>
    </row>
    <row r="748" spans="1:42" s="85" customFormat="1" ht="13.5" thickBot="1">
      <c r="A748" s="240"/>
      <c r="B748" s="241"/>
      <c r="C748" s="242"/>
      <c r="D748" s="242"/>
      <c r="E748" s="243"/>
      <c r="F748" s="244"/>
      <c r="G748" s="244"/>
      <c r="H748" s="243"/>
      <c r="I748" s="258"/>
      <c r="J748" s="245"/>
      <c r="K748" s="245"/>
      <c r="L748" s="76">
        <f t="shared" si="110"/>
        <v>0</v>
      </c>
      <c r="M748" s="246"/>
      <c r="N748" s="247"/>
      <c r="O748" s="248"/>
      <c r="P748" s="246"/>
      <c r="Q748" s="249"/>
      <c r="R748" s="250"/>
      <c r="S748" s="259"/>
      <c r="T748" s="260"/>
      <c r="U748" s="250"/>
      <c r="V748" s="78">
        <f t="shared" si="111"/>
        <v>0</v>
      </c>
      <c r="W748" s="261">
        <f t="shared" si="112"/>
        <v>0</v>
      </c>
      <c r="X748" s="133">
        <f t="shared" si="113"/>
        <v>0</v>
      </c>
      <c r="Y748" s="251"/>
      <c r="Z748" s="1736"/>
      <c r="AA748" s="1737"/>
      <c r="AB748" s="77">
        <f t="shared" si="114"/>
        <v>0</v>
      </c>
      <c r="AC748" s="134">
        <f t="shared" si="115"/>
        <v>0</v>
      </c>
      <c r="AD748" s="251"/>
      <c r="AE748" s="1736"/>
      <c r="AF748" s="1737"/>
      <c r="AG748" s="77">
        <f t="shared" si="116"/>
        <v>0</v>
      </c>
      <c r="AH748" s="136">
        <f t="shared" si="117"/>
        <v>0</v>
      </c>
      <c r="AI748" s="251"/>
      <c r="AJ748" s="1736"/>
      <c r="AK748" s="1737"/>
      <c r="AL748" s="79">
        <f t="shared" si="118"/>
        <v>0</v>
      </c>
      <c r="AM748" s="137">
        <f t="shared" si="119"/>
        <v>0</v>
      </c>
      <c r="AN748" s="251"/>
      <c r="AO748" s="1736"/>
      <c r="AP748" s="1737"/>
    </row>
    <row r="749" spans="1:42" s="85" customFormat="1" ht="13.5" thickBot="1">
      <c r="A749" s="240"/>
      <c r="B749" s="241"/>
      <c r="C749" s="242"/>
      <c r="D749" s="242"/>
      <c r="E749" s="243"/>
      <c r="F749" s="244"/>
      <c r="G749" s="244"/>
      <c r="H749" s="243"/>
      <c r="I749" s="258"/>
      <c r="J749" s="245"/>
      <c r="K749" s="245"/>
      <c r="L749" s="76">
        <f t="shared" si="110"/>
        <v>0</v>
      </c>
      <c r="M749" s="246"/>
      <c r="N749" s="247"/>
      <c r="O749" s="248"/>
      <c r="P749" s="246"/>
      <c r="Q749" s="249"/>
      <c r="R749" s="250"/>
      <c r="S749" s="259"/>
      <c r="T749" s="260"/>
      <c r="U749" s="250"/>
      <c r="V749" s="78">
        <f t="shared" si="111"/>
        <v>0</v>
      </c>
      <c r="W749" s="261">
        <f t="shared" si="112"/>
        <v>0</v>
      </c>
      <c r="X749" s="133">
        <f t="shared" si="113"/>
        <v>0</v>
      </c>
      <c r="Y749" s="251"/>
      <c r="Z749" s="1736"/>
      <c r="AA749" s="1737"/>
      <c r="AB749" s="77">
        <f t="shared" si="114"/>
        <v>0</v>
      </c>
      <c r="AC749" s="134">
        <f t="shared" si="115"/>
        <v>0</v>
      </c>
      <c r="AD749" s="251"/>
      <c r="AE749" s="1736"/>
      <c r="AF749" s="1737"/>
      <c r="AG749" s="77">
        <f t="shared" si="116"/>
        <v>0</v>
      </c>
      <c r="AH749" s="136">
        <f t="shared" si="117"/>
        <v>0</v>
      </c>
      <c r="AI749" s="251"/>
      <c r="AJ749" s="1736"/>
      <c r="AK749" s="1737"/>
      <c r="AL749" s="79">
        <f t="shared" si="118"/>
        <v>0</v>
      </c>
      <c r="AM749" s="137">
        <f t="shared" si="119"/>
        <v>0</v>
      </c>
      <c r="AN749" s="251"/>
      <c r="AO749" s="1736"/>
      <c r="AP749" s="1737"/>
    </row>
    <row r="750" spans="1:42" s="85" customFormat="1" ht="13.5" thickBot="1">
      <c r="A750" s="240"/>
      <c r="B750" s="241"/>
      <c r="C750" s="242"/>
      <c r="D750" s="242"/>
      <c r="E750" s="243"/>
      <c r="F750" s="244"/>
      <c r="G750" s="244"/>
      <c r="H750" s="243"/>
      <c r="I750" s="258"/>
      <c r="J750" s="245"/>
      <c r="K750" s="245"/>
      <c r="L750" s="76">
        <f t="shared" si="110"/>
        <v>0</v>
      </c>
      <c r="M750" s="246"/>
      <c r="N750" s="247"/>
      <c r="O750" s="248"/>
      <c r="P750" s="246"/>
      <c r="Q750" s="249"/>
      <c r="R750" s="250"/>
      <c r="S750" s="259"/>
      <c r="T750" s="260"/>
      <c r="U750" s="250"/>
      <c r="V750" s="78">
        <f t="shared" si="111"/>
        <v>0</v>
      </c>
      <c r="W750" s="261">
        <f t="shared" si="112"/>
        <v>0</v>
      </c>
      <c r="X750" s="133">
        <f t="shared" si="113"/>
        <v>0</v>
      </c>
      <c r="Y750" s="251"/>
      <c r="Z750" s="1736"/>
      <c r="AA750" s="1737"/>
      <c r="AB750" s="77">
        <f t="shared" si="114"/>
        <v>0</v>
      </c>
      <c r="AC750" s="134">
        <f t="shared" si="115"/>
        <v>0</v>
      </c>
      <c r="AD750" s="251"/>
      <c r="AE750" s="1736"/>
      <c r="AF750" s="1737"/>
      <c r="AG750" s="77">
        <f t="shared" si="116"/>
        <v>0</v>
      </c>
      <c r="AH750" s="136">
        <f t="shared" si="117"/>
        <v>0</v>
      </c>
      <c r="AI750" s="251"/>
      <c r="AJ750" s="1736"/>
      <c r="AK750" s="1737"/>
      <c r="AL750" s="79">
        <f t="shared" si="118"/>
        <v>0</v>
      </c>
      <c r="AM750" s="137">
        <f t="shared" si="119"/>
        <v>0</v>
      </c>
      <c r="AN750" s="251"/>
      <c r="AO750" s="1736"/>
      <c r="AP750" s="1737"/>
    </row>
    <row r="751" spans="1:42" s="85" customFormat="1" ht="13.5" thickBot="1">
      <c r="A751" s="240"/>
      <c r="B751" s="241"/>
      <c r="C751" s="242"/>
      <c r="D751" s="242"/>
      <c r="E751" s="243"/>
      <c r="F751" s="244"/>
      <c r="G751" s="244"/>
      <c r="H751" s="243"/>
      <c r="I751" s="258"/>
      <c r="J751" s="245"/>
      <c r="K751" s="245"/>
      <c r="L751" s="76">
        <f t="shared" si="110"/>
        <v>0</v>
      </c>
      <c r="M751" s="246"/>
      <c r="N751" s="247"/>
      <c r="O751" s="248"/>
      <c r="P751" s="246"/>
      <c r="Q751" s="249"/>
      <c r="R751" s="250"/>
      <c r="S751" s="259"/>
      <c r="T751" s="260"/>
      <c r="U751" s="250"/>
      <c r="V751" s="78">
        <f t="shared" si="111"/>
        <v>0</v>
      </c>
      <c r="W751" s="261">
        <f t="shared" si="112"/>
        <v>0</v>
      </c>
      <c r="X751" s="133">
        <f t="shared" si="113"/>
        <v>0</v>
      </c>
      <c r="Y751" s="251"/>
      <c r="Z751" s="1736"/>
      <c r="AA751" s="1737"/>
      <c r="AB751" s="77">
        <f t="shared" si="114"/>
        <v>0</v>
      </c>
      <c r="AC751" s="134">
        <f t="shared" si="115"/>
        <v>0</v>
      </c>
      <c r="AD751" s="251"/>
      <c r="AE751" s="1736"/>
      <c r="AF751" s="1737"/>
      <c r="AG751" s="77">
        <f t="shared" si="116"/>
        <v>0</v>
      </c>
      <c r="AH751" s="136">
        <f t="shared" si="117"/>
        <v>0</v>
      </c>
      <c r="AI751" s="251"/>
      <c r="AJ751" s="1736"/>
      <c r="AK751" s="1737"/>
      <c r="AL751" s="79">
        <f t="shared" si="118"/>
        <v>0</v>
      </c>
      <c r="AM751" s="137">
        <f t="shared" si="119"/>
        <v>0</v>
      </c>
      <c r="AN751" s="251"/>
      <c r="AO751" s="1736"/>
      <c r="AP751" s="1737"/>
    </row>
    <row r="752" spans="1:42" s="85" customFormat="1" ht="13.5" thickBot="1">
      <c r="A752" s="240"/>
      <c r="B752" s="241"/>
      <c r="C752" s="242"/>
      <c r="D752" s="242"/>
      <c r="E752" s="243"/>
      <c r="F752" s="244"/>
      <c r="G752" s="244"/>
      <c r="H752" s="243"/>
      <c r="I752" s="258"/>
      <c r="J752" s="245"/>
      <c r="K752" s="245"/>
      <c r="L752" s="76">
        <f t="shared" si="110"/>
        <v>0</v>
      </c>
      <c r="M752" s="246"/>
      <c r="N752" s="247"/>
      <c r="O752" s="248"/>
      <c r="P752" s="246"/>
      <c r="Q752" s="249"/>
      <c r="R752" s="250"/>
      <c r="S752" s="259"/>
      <c r="T752" s="260"/>
      <c r="U752" s="250"/>
      <c r="V752" s="78">
        <f t="shared" si="111"/>
        <v>0</v>
      </c>
      <c r="W752" s="261">
        <f t="shared" si="112"/>
        <v>0</v>
      </c>
      <c r="X752" s="133">
        <f t="shared" si="113"/>
        <v>0</v>
      </c>
      <c r="Y752" s="251"/>
      <c r="Z752" s="1736"/>
      <c r="AA752" s="1737"/>
      <c r="AB752" s="77">
        <f t="shared" si="114"/>
        <v>0</v>
      </c>
      <c r="AC752" s="134">
        <f t="shared" si="115"/>
        <v>0</v>
      </c>
      <c r="AD752" s="251"/>
      <c r="AE752" s="1736"/>
      <c r="AF752" s="1737"/>
      <c r="AG752" s="77">
        <f t="shared" si="116"/>
        <v>0</v>
      </c>
      <c r="AH752" s="136">
        <f t="shared" si="117"/>
        <v>0</v>
      </c>
      <c r="AI752" s="251"/>
      <c r="AJ752" s="1736"/>
      <c r="AK752" s="1737"/>
      <c r="AL752" s="79">
        <f t="shared" si="118"/>
        <v>0</v>
      </c>
      <c r="AM752" s="137">
        <f t="shared" si="119"/>
        <v>0</v>
      </c>
      <c r="AN752" s="251"/>
      <c r="AO752" s="1736"/>
      <c r="AP752" s="1737"/>
    </row>
    <row r="753" spans="1:42" s="85" customFormat="1" ht="13.5" thickBot="1">
      <c r="A753" s="240"/>
      <c r="B753" s="241"/>
      <c r="C753" s="242"/>
      <c r="D753" s="242"/>
      <c r="E753" s="243"/>
      <c r="F753" s="244"/>
      <c r="G753" s="244"/>
      <c r="H753" s="243"/>
      <c r="I753" s="258"/>
      <c r="J753" s="245"/>
      <c r="K753" s="245"/>
      <c r="L753" s="76">
        <f t="shared" si="110"/>
        <v>0</v>
      </c>
      <c r="M753" s="246"/>
      <c r="N753" s="247"/>
      <c r="O753" s="248"/>
      <c r="P753" s="246"/>
      <c r="Q753" s="249"/>
      <c r="R753" s="250"/>
      <c r="S753" s="259"/>
      <c r="T753" s="260"/>
      <c r="U753" s="250"/>
      <c r="V753" s="78">
        <f t="shared" si="111"/>
        <v>0</v>
      </c>
      <c r="W753" s="261">
        <f t="shared" si="112"/>
        <v>0</v>
      </c>
      <c r="X753" s="133">
        <f t="shared" si="113"/>
        <v>0</v>
      </c>
      <c r="Y753" s="251"/>
      <c r="Z753" s="1736"/>
      <c r="AA753" s="1737"/>
      <c r="AB753" s="77">
        <f t="shared" si="114"/>
        <v>0</v>
      </c>
      <c r="AC753" s="134">
        <f t="shared" si="115"/>
        <v>0</v>
      </c>
      <c r="AD753" s="251"/>
      <c r="AE753" s="1736"/>
      <c r="AF753" s="1737"/>
      <c r="AG753" s="77">
        <f t="shared" si="116"/>
        <v>0</v>
      </c>
      <c r="AH753" s="136">
        <f t="shared" si="117"/>
        <v>0</v>
      </c>
      <c r="AI753" s="251"/>
      <c r="AJ753" s="1736"/>
      <c r="AK753" s="1737"/>
      <c r="AL753" s="79">
        <f t="shared" si="118"/>
        <v>0</v>
      </c>
      <c r="AM753" s="137">
        <f t="shared" si="119"/>
        <v>0</v>
      </c>
      <c r="AN753" s="251"/>
      <c r="AO753" s="1736"/>
      <c r="AP753" s="1737"/>
    </row>
    <row r="754" spans="1:42" s="85" customFormat="1" ht="13.5" thickBot="1">
      <c r="A754" s="240"/>
      <c r="B754" s="241"/>
      <c r="C754" s="242"/>
      <c r="D754" s="242"/>
      <c r="E754" s="243"/>
      <c r="F754" s="244"/>
      <c r="G754" s="244"/>
      <c r="H754" s="243"/>
      <c r="I754" s="258"/>
      <c r="J754" s="245"/>
      <c r="K754" s="245"/>
      <c r="L754" s="76">
        <f t="shared" si="110"/>
        <v>0</v>
      </c>
      <c r="M754" s="246"/>
      <c r="N754" s="247"/>
      <c r="O754" s="248"/>
      <c r="P754" s="246"/>
      <c r="Q754" s="249"/>
      <c r="R754" s="250"/>
      <c r="S754" s="259"/>
      <c r="T754" s="260"/>
      <c r="U754" s="250"/>
      <c r="V754" s="78">
        <f t="shared" si="111"/>
        <v>0</v>
      </c>
      <c r="W754" s="261">
        <f t="shared" si="112"/>
        <v>0</v>
      </c>
      <c r="X754" s="133">
        <f t="shared" si="113"/>
        <v>0</v>
      </c>
      <c r="Y754" s="251"/>
      <c r="Z754" s="1736"/>
      <c r="AA754" s="1737"/>
      <c r="AB754" s="77">
        <f t="shared" si="114"/>
        <v>0</v>
      </c>
      <c r="AC754" s="134">
        <f t="shared" si="115"/>
        <v>0</v>
      </c>
      <c r="AD754" s="251"/>
      <c r="AE754" s="1736"/>
      <c r="AF754" s="1737"/>
      <c r="AG754" s="77">
        <f t="shared" si="116"/>
        <v>0</v>
      </c>
      <c r="AH754" s="136">
        <f t="shared" si="117"/>
        <v>0</v>
      </c>
      <c r="AI754" s="251"/>
      <c r="AJ754" s="1736"/>
      <c r="AK754" s="1737"/>
      <c r="AL754" s="79">
        <f t="shared" si="118"/>
        <v>0</v>
      </c>
      <c r="AM754" s="137">
        <f t="shared" si="119"/>
        <v>0</v>
      </c>
      <c r="AN754" s="251"/>
      <c r="AO754" s="1736"/>
      <c r="AP754" s="1737"/>
    </row>
    <row r="755" spans="1:42" s="85" customFormat="1" ht="13.5" thickBot="1">
      <c r="A755" s="240"/>
      <c r="B755" s="241"/>
      <c r="C755" s="242"/>
      <c r="D755" s="242"/>
      <c r="E755" s="243"/>
      <c r="F755" s="244"/>
      <c r="G755" s="244"/>
      <c r="H755" s="243"/>
      <c r="I755" s="258"/>
      <c r="J755" s="245"/>
      <c r="K755" s="245"/>
      <c r="L755" s="76">
        <f t="shared" si="110"/>
        <v>0</v>
      </c>
      <c r="M755" s="246"/>
      <c r="N755" s="247"/>
      <c r="O755" s="248"/>
      <c r="P755" s="246"/>
      <c r="Q755" s="249"/>
      <c r="R755" s="250"/>
      <c r="S755" s="259"/>
      <c r="T755" s="260"/>
      <c r="U755" s="250"/>
      <c r="V755" s="78">
        <f t="shared" si="111"/>
        <v>0</v>
      </c>
      <c r="W755" s="261">
        <f t="shared" si="112"/>
        <v>0</v>
      </c>
      <c r="X755" s="133">
        <f t="shared" si="113"/>
        <v>0</v>
      </c>
      <c r="Y755" s="251"/>
      <c r="Z755" s="1736"/>
      <c r="AA755" s="1737"/>
      <c r="AB755" s="77">
        <f t="shared" si="114"/>
        <v>0</v>
      </c>
      <c r="AC755" s="134">
        <f t="shared" si="115"/>
        <v>0</v>
      </c>
      <c r="AD755" s="251"/>
      <c r="AE755" s="1736"/>
      <c r="AF755" s="1737"/>
      <c r="AG755" s="77">
        <f t="shared" si="116"/>
        <v>0</v>
      </c>
      <c r="AH755" s="136">
        <f t="shared" si="117"/>
        <v>0</v>
      </c>
      <c r="AI755" s="251"/>
      <c r="AJ755" s="1736"/>
      <c r="AK755" s="1737"/>
      <c r="AL755" s="79">
        <f t="shared" si="118"/>
        <v>0</v>
      </c>
      <c r="AM755" s="137">
        <f t="shared" si="119"/>
        <v>0</v>
      </c>
      <c r="AN755" s="251"/>
      <c r="AO755" s="1736"/>
      <c r="AP755" s="1737"/>
    </row>
    <row r="756" spans="1:42" s="85" customFormat="1" ht="13.5" thickBot="1">
      <c r="A756" s="240"/>
      <c r="B756" s="241"/>
      <c r="C756" s="242"/>
      <c r="D756" s="242"/>
      <c r="E756" s="243"/>
      <c r="F756" s="244"/>
      <c r="G756" s="244"/>
      <c r="H756" s="243"/>
      <c r="I756" s="258"/>
      <c r="J756" s="245"/>
      <c r="K756" s="245"/>
      <c r="L756" s="76">
        <f t="shared" si="110"/>
        <v>0</v>
      </c>
      <c r="M756" s="246"/>
      <c r="N756" s="247"/>
      <c r="O756" s="248"/>
      <c r="P756" s="246"/>
      <c r="Q756" s="249"/>
      <c r="R756" s="250"/>
      <c r="S756" s="259"/>
      <c r="T756" s="260"/>
      <c r="U756" s="250"/>
      <c r="V756" s="78">
        <f t="shared" si="111"/>
        <v>0</v>
      </c>
      <c r="W756" s="261">
        <f t="shared" si="112"/>
        <v>0</v>
      </c>
      <c r="X756" s="133">
        <f t="shared" si="113"/>
        <v>0</v>
      </c>
      <c r="Y756" s="251"/>
      <c r="Z756" s="1736"/>
      <c r="AA756" s="1737"/>
      <c r="AB756" s="77">
        <f t="shared" si="114"/>
        <v>0</v>
      </c>
      <c r="AC756" s="134">
        <f t="shared" si="115"/>
        <v>0</v>
      </c>
      <c r="AD756" s="251"/>
      <c r="AE756" s="1736"/>
      <c r="AF756" s="1737"/>
      <c r="AG756" s="77">
        <f t="shared" si="116"/>
        <v>0</v>
      </c>
      <c r="AH756" s="136">
        <f t="shared" si="117"/>
        <v>0</v>
      </c>
      <c r="AI756" s="251"/>
      <c r="AJ756" s="1736"/>
      <c r="AK756" s="1737"/>
      <c r="AL756" s="79">
        <f t="shared" si="118"/>
        <v>0</v>
      </c>
      <c r="AM756" s="137">
        <f t="shared" si="119"/>
        <v>0</v>
      </c>
      <c r="AN756" s="251"/>
      <c r="AO756" s="1736"/>
      <c r="AP756" s="1737"/>
    </row>
    <row r="757" spans="1:42" s="85" customFormat="1" ht="13.5" thickBot="1">
      <c r="A757" s="240"/>
      <c r="B757" s="241"/>
      <c r="C757" s="242"/>
      <c r="D757" s="242"/>
      <c r="E757" s="243"/>
      <c r="F757" s="244"/>
      <c r="G757" s="244"/>
      <c r="H757" s="243"/>
      <c r="I757" s="258"/>
      <c r="J757" s="245"/>
      <c r="K757" s="245"/>
      <c r="L757" s="76">
        <f t="shared" si="110"/>
        <v>0</v>
      </c>
      <c r="M757" s="246"/>
      <c r="N757" s="247"/>
      <c r="O757" s="248"/>
      <c r="P757" s="246"/>
      <c r="Q757" s="249"/>
      <c r="R757" s="250"/>
      <c r="S757" s="259"/>
      <c r="T757" s="260"/>
      <c r="U757" s="250"/>
      <c r="V757" s="78">
        <f t="shared" si="111"/>
        <v>0</v>
      </c>
      <c r="W757" s="261">
        <f t="shared" si="112"/>
        <v>0</v>
      </c>
      <c r="X757" s="133">
        <f t="shared" si="113"/>
        <v>0</v>
      </c>
      <c r="Y757" s="251"/>
      <c r="Z757" s="1736"/>
      <c r="AA757" s="1737"/>
      <c r="AB757" s="77">
        <f t="shared" si="114"/>
        <v>0</v>
      </c>
      <c r="AC757" s="134">
        <f t="shared" si="115"/>
        <v>0</v>
      </c>
      <c r="AD757" s="251"/>
      <c r="AE757" s="1736"/>
      <c r="AF757" s="1737"/>
      <c r="AG757" s="77">
        <f t="shared" si="116"/>
        <v>0</v>
      </c>
      <c r="AH757" s="136">
        <f t="shared" si="117"/>
        <v>0</v>
      </c>
      <c r="AI757" s="251"/>
      <c r="AJ757" s="1736"/>
      <c r="AK757" s="1737"/>
      <c r="AL757" s="79">
        <f t="shared" si="118"/>
        <v>0</v>
      </c>
      <c r="AM757" s="137">
        <f t="shared" si="119"/>
        <v>0</v>
      </c>
      <c r="AN757" s="251"/>
      <c r="AO757" s="1736"/>
      <c r="AP757" s="1737"/>
    </row>
    <row r="758" spans="1:42" s="85" customFormat="1" ht="13.5" thickBot="1">
      <c r="A758" s="240"/>
      <c r="B758" s="241"/>
      <c r="C758" s="242"/>
      <c r="D758" s="242"/>
      <c r="E758" s="243"/>
      <c r="F758" s="244"/>
      <c r="G758" s="244"/>
      <c r="H758" s="243"/>
      <c r="I758" s="258"/>
      <c r="J758" s="245"/>
      <c r="K758" s="245"/>
      <c r="L758" s="76">
        <f t="shared" si="110"/>
        <v>0</v>
      </c>
      <c r="M758" s="246"/>
      <c r="N758" s="247"/>
      <c r="O758" s="248"/>
      <c r="P758" s="246"/>
      <c r="Q758" s="249"/>
      <c r="R758" s="250"/>
      <c r="S758" s="259"/>
      <c r="T758" s="260"/>
      <c r="U758" s="250"/>
      <c r="V758" s="78">
        <f t="shared" si="111"/>
        <v>0</v>
      </c>
      <c r="W758" s="261">
        <f t="shared" si="112"/>
        <v>0</v>
      </c>
      <c r="X758" s="133">
        <f t="shared" si="113"/>
        <v>0</v>
      </c>
      <c r="Y758" s="251"/>
      <c r="Z758" s="1736"/>
      <c r="AA758" s="1737"/>
      <c r="AB758" s="77">
        <f t="shared" si="114"/>
        <v>0</v>
      </c>
      <c r="AC758" s="134">
        <f t="shared" si="115"/>
        <v>0</v>
      </c>
      <c r="AD758" s="251"/>
      <c r="AE758" s="1736"/>
      <c r="AF758" s="1737"/>
      <c r="AG758" s="77">
        <f t="shared" si="116"/>
        <v>0</v>
      </c>
      <c r="AH758" s="136">
        <f t="shared" si="117"/>
        <v>0</v>
      </c>
      <c r="AI758" s="251"/>
      <c r="AJ758" s="1736"/>
      <c r="AK758" s="1737"/>
      <c r="AL758" s="79">
        <f t="shared" si="118"/>
        <v>0</v>
      </c>
      <c r="AM758" s="137">
        <f t="shared" si="119"/>
        <v>0</v>
      </c>
      <c r="AN758" s="251"/>
      <c r="AO758" s="1736"/>
      <c r="AP758" s="1737"/>
    </row>
    <row r="759" spans="1:42" s="85" customFormat="1" ht="13.5" thickBot="1">
      <c r="A759" s="240"/>
      <c r="B759" s="241"/>
      <c r="C759" s="242"/>
      <c r="D759" s="242"/>
      <c r="E759" s="243"/>
      <c r="F759" s="244"/>
      <c r="G759" s="244"/>
      <c r="H759" s="243"/>
      <c r="I759" s="258"/>
      <c r="J759" s="245"/>
      <c r="K759" s="245"/>
      <c r="L759" s="76">
        <f t="shared" si="110"/>
        <v>0</v>
      </c>
      <c r="M759" s="246"/>
      <c r="N759" s="247"/>
      <c r="O759" s="248"/>
      <c r="P759" s="246"/>
      <c r="Q759" s="249"/>
      <c r="R759" s="250"/>
      <c r="S759" s="259"/>
      <c r="T759" s="260"/>
      <c r="U759" s="250"/>
      <c r="V759" s="78">
        <f t="shared" si="111"/>
        <v>0</v>
      </c>
      <c r="W759" s="261">
        <f t="shared" si="112"/>
        <v>0</v>
      </c>
      <c r="X759" s="133">
        <f t="shared" si="113"/>
        <v>0</v>
      </c>
      <c r="Y759" s="251"/>
      <c r="Z759" s="1736"/>
      <c r="AA759" s="1737"/>
      <c r="AB759" s="77">
        <f t="shared" si="114"/>
        <v>0</v>
      </c>
      <c r="AC759" s="134">
        <f t="shared" si="115"/>
        <v>0</v>
      </c>
      <c r="AD759" s="251"/>
      <c r="AE759" s="1736"/>
      <c r="AF759" s="1737"/>
      <c r="AG759" s="77">
        <f t="shared" si="116"/>
        <v>0</v>
      </c>
      <c r="AH759" s="136">
        <f t="shared" si="117"/>
        <v>0</v>
      </c>
      <c r="AI759" s="251"/>
      <c r="AJ759" s="1736"/>
      <c r="AK759" s="1737"/>
      <c r="AL759" s="79">
        <f t="shared" si="118"/>
        <v>0</v>
      </c>
      <c r="AM759" s="137">
        <f t="shared" si="119"/>
        <v>0</v>
      </c>
      <c r="AN759" s="251"/>
      <c r="AO759" s="1736"/>
      <c r="AP759" s="1737"/>
    </row>
    <row r="760" spans="1:42" s="85" customFormat="1" ht="13.5" thickBot="1">
      <c r="A760" s="240"/>
      <c r="B760" s="241"/>
      <c r="C760" s="242"/>
      <c r="D760" s="242"/>
      <c r="E760" s="243"/>
      <c r="F760" s="244"/>
      <c r="G760" s="244"/>
      <c r="H760" s="243"/>
      <c r="I760" s="258"/>
      <c r="J760" s="245"/>
      <c r="K760" s="245"/>
      <c r="L760" s="76">
        <f t="shared" si="110"/>
        <v>0</v>
      </c>
      <c r="M760" s="246"/>
      <c r="N760" s="247"/>
      <c r="O760" s="248"/>
      <c r="P760" s="246"/>
      <c r="Q760" s="249"/>
      <c r="R760" s="250"/>
      <c r="S760" s="259"/>
      <c r="T760" s="260"/>
      <c r="U760" s="250"/>
      <c r="V760" s="78">
        <f t="shared" si="111"/>
        <v>0</v>
      </c>
      <c r="W760" s="261">
        <f t="shared" si="112"/>
        <v>0</v>
      </c>
      <c r="X760" s="133">
        <f t="shared" si="113"/>
        <v>0</v>
      </c>
      <c r="Y760" s="251"/>
      <c r="Z760" s="1736"/>
      <c r="AA760" s="1737"/>
      <c r="AB760" s="77">
        <f t="shared" si="114"/>
        <v>0</v>
      </c>
      <c r="AC760" s="134">
        <f t="shared" si="115"/>
        <v>0</v>
      </c>
      <c r="AD760" s="251"/>
      <c r="AE760" s="1736"/>
      <c r="AF760" s="1737"/>
      <c r="AG760" s="77">
        <f t="shared" si="116"/>
        <v>0</v>
      </c>
      <c r="AH760" s="136">
        <f t="shared" si="117"/>
        <v>0</v>
      </c>
      <c r="AI760" s="251"/>
      <c r="AJ760" s="1736"/>
      <c r="AK760" s="1737"/>
      <c r="AL760" s="79">
        <f t="shared" si="118"/>
        <v>0</v>
      </c>
      <c r="AM760" s="137">
        <f t="shared" si="119"/>
        <v>0</v>
      </c>
      <c r="AN760" s="251"/>
      <c r="AO760" s="1736"/>
      <c r="AP760" s="1737"/>
    </row>
    <row r="761" spans="1:42" s="85" customFormat="1" ht="13.5" thickBot="1">
      <c r="A761" s="240"/>
      <c r="B761" s="241"/>
      <c r="C761" s="242"/>
      <c r="D761" s="242"/>
      <c r="E761" s="243"/>
      <c r="F761" s="244"/>
      <c r="G761" s="244"/>
      <c r="H761" s="243"/>
      <c r="I761" s="258"/>
      <c r="J761" s="245"/>
      <c r="K761" s="245"/>
      <c r="L761" s="76">
        <f t="shared" si="110"/>
        <v>0</v>
      </c>
      <c r="M761" s="246"/>
      <c r="N761" s="247"/>
      <c r="O761" s="248"/>
      <c r="P761" s="246"/>
      <c r="Q761" s="249"/>
      <c r="R761" s="250"/>
      <c r="S761" s="259"/>
      <c r="T761" s="260"/>
      <c r="U761" s="250"/>
      <c r="V761" s="78">
        <f t="shared" si="111"/>
        <v>0</v>
      </c>
      <c r="W761" s="261">
        <f t="shared" si="112"/>
        <v>0</v>
      </c>
      <c r="X761" s="133">
        <f t="shared" si="113"/>
        <v>0</v>
      </c>
      <c r="Y761" s="251"/>
      <c r="Z761" s="1736"/>
      <c r="AA761" s="1737"/>
      <c r="AB761" s="77">
        <f t="shared" si="114"/>
        <v>0</v>
      </c>
      <c r="AC761" s="134">
        <f t="shared" si="115"/>
        <v>0</v>
      </c>
      <c r="AD761" s="251"/>
      <c r="AE761" s="1736"/>
      <c r="AF761" s="1737"/>
      <c r="AG761" s="77">
        <f t="shared" si="116"/>
        <v>0</v>
      </c>
      <c r="AH761" s="136">
        <f t="shared" si="117"/>
        <v>0</v>
      </c>
      <c r="AI761" s="251"/>
      <c r="AJ761" s="1736"/>
      <c r="AK761" s="1737"/>
      <c r="AL761" s="79">
        <f t="shared" si="118"/>
        <v>0</v>
      </c>
      <c r="AM761" s="137">
        <f t="shared" si="119"/>
        <v>0</v>
      </c>
      <c r="AN761" s="251"/>
      <c r="AO761" s="1736"/>
      <c r="AP761" s="1737"/>
    </row>
    <row r="762" spans="1:42" s="85" customFormat="1" ht="13.5" thickBot="1">
      <c r="A762" s="240"/>
      <c r="B762" s="241"/>
      <c r="C762" s="242"/>
      <c r="D762" s="242"/>
      <c r="E762" s="243"/>
      <c r="F762" s="244"/>
      <c r="G762" s="244"/>
      <c r="H762" s="243"/>
      <c r="I762" s="258"/>
      <c r="J762" s="245"/>
      <c r="K762" s="245"/>
      <c r="L762" s="76">
        <f t="shared" si="110"/>
        <v>0</v>
      </c>
      <c r="M762" s="246"/>
      <c r="N762" s="247"/>
      <c r="O762" s="248"/>
      <c r="P762" s="246"/>
      <c r="Q762" s="249"/>
      <c r="R762" s="250"/>
      <c r="S762" s="259"/>
      <c r="T762" s="260"/>
      <c r="U762" s="250"/>
      <c r="V762" s="78">
        <f t="shared" si="111"/>
        <v>0</v>
      </c>
      <c r="W762" s="261">
        <f t="shared" si="112"/>
        <v>0</v>
      </c>
      <c r="X762" s="133">
        <f t="shared" si="113"/>
        <v>0</v>
      </c>
      <c r="Y762" s="251"/>
      <c r="Z762" s="1736"/>
      <c r="AA762" s="1737"/>
      <c r="AB762" s="77">
        <f t="shared" si="114"/>
        <v>0</v>
      </c>
      <c r="AC762" s="134">
        <f t="shared" si="115"/>
        <v>0</v>
      </c>
      <c r="AD762" s="251"/>
      <c r="AE762" s="1736"/>
      <c r="AF762" s="1737"/>
      <c r="AG762" s="77">
        <f t="shared" si="116"/>
        <v>0</v>
      </c>
      <c r="AH762" s="136">
        <f t="shared" si="117"/>
        <v>0</v>
      </c>
      <c r="AI762" s="251"/>
      <c r="AJ762" s="1736"/>
      <c r="AK762" s="1737"/>
      <c r="AL762" s="79">
        <f t="shared" si="118"/>
        <v>0</v>
      </c>
      <c r="AM762" s="137">
        <f t="shared" si="119"/>
        <v>0</v>
      </c>
      <c r="AN762" s="251"/>
      <c r="AO762" s="1736"/>
      <c r="AP762" s="1737"/>
    </row>
    <row r="763" spans="1:42" s="85" customFormat="1" ht="13.5" thickBot="1">
      <c r="A763" s="240"/>
      <c r="B763" s="241"/>
      <c r="C763" s="242"/>
      <c r="D763" s="242"/>
      <c r="E763" s="243"/>
      <c r="F763" s="244"/>
      <c r="G763" s="244"/>
      <c r="H763" s="243"/>
      <c r="I763" s="258"/>
      <c r="J763" s="245"/>
      <c r="K763" s="245"/>
      <c r="L763" s="76">
        <f t="shared" si="110"/>
        <v>0</v>
      </c>
      <c r="M763" s="246"/>
      <c r="N763" s="247"/>
      <c r="O763" s="248"/>
      <c r="P763" s="246"/>
      <c r="Q763" s="249"/>
      <c r="R763" s="250"/>
      <c r="S763" s="259"/>
      <c r="T763" s="260"/>
      <c r="U763" s="250"/>
      <c r="V763" s="78">
        <f t="shared" si="111"/>
        <v>0</v>
      </c>
      <c r="W763" s="261">
        <f t="shared" si="112"/>
        <v>0</v>
      </c>
      <c r="X763" s="133">
        <f t="shared" si="113"/>
        <v>0</v>
      </c>
      <c r="Y763" s="251"/>
      <c r="Z763" s="1736"/>
      <c r="AA763" s="1737"/>
      <c r="AB763" s="77">
        <f t="shared" si="114"/>
        <v>0</v>
      </c>
      <c r="AC763" s="134">
        <f t="shared" si="115"/>
        <v>0</v>
      </c>
      <c r="AD763" s="251"/>
      <c r="AE763" s="1736"/>
      <c r="AF763" s="1737"/>
      <c r="AG763" s="77">
        <f t="shared" si="116"/>
        <v>0</v>
      </c>
      <c r="AH763" s="136">
        <f t="shared" si="117"/>
        <v>0</v>
      </c>
      <c r="AI763" s="251"/>
      <c r="AJ763" s="1736"/>
      <c r="AK763" s="1737"/>
      <c r="AL763" s="79">
        <f t="shared" si="118"/>
        <v>0</v>
      </c>
      <c r="AM763" s="137">
        <f t="shared" si="119"/>
        <v>0</v>
      </c>
      <c r="AN763" s="251"/>
      <c r="AO763" s="1736"/>
      <c r="AP763" s="1737"/>
    </row>
    <row r="764" spans="1:42" s="85" customFormat="1" ht="13.5" thickBot="1">
      <c r="A764" s="240"/>
      <c r="B764" s="241"/>
      <c r="C764" s="242"/>
      <c r="D764" s="242"/>
      <c r="E764" s="243"/>
      <c r="F764" s="244"/>
      <c r="G764" s="244"/>
      <c r="H764" s="243"/>
      <c r="I764" s="258"/>
      <c r="J764" s="245"/>
      <c r="K764" s="245"/>
      <c r="L764" s="76">
        <f t="shared" si="110"/>
        <v>0</v>
      </c>
      <c r="M764" s="246"/>
      <c r="N764" s="247"/>
      <c r="O764" s="248"/>
      <c r="P764" s="246"/>
      <c r="Q764" s="249"/>
      <c r="R764" s="250"/>
      <c r="S764" s="259"/>
      <c r="T764" s="260"/>
      <c r="U764" s="250"/>
      <c r="V764" s="78">
        <f t="shared" si="111"/>
        <v>0</v>
      </c>
      <c r="W764" s="261">
        <f t="shared" si="112"/>
        <v>0</v>
      </c>
      <c r="X764" s="133">
        <f t="shared" si="113"/>
        <v>0</v>
      </c>
      <c r="Y764" s="251"/>
      <c r="Z764" s="1736"/>
      <c r="AA764" s="1737"/>
      <c r="AB764" s="77">
        <f t="shared" si="114"/>
        <v>0</v>
      </c>
      <c r="AC764" s="134">
        <f t="shared" si="115"/>
        <v>0</v>
      </c>
      <c r="AD764" s="251"/>
      <c r="AE764" s="1736"/>
      <c r="AF764" s="1737"/>
      <c r="AG764" s="77">
        <f t="shared" si="116"/>
        <v>0</v>
      </c>
      <c r="AH764" s="136">
        <f t="shared" si="117"/>
        <v>0</v>
      </c>
      <c r="AI764" s="251"/>
      <c r="AJ764" s="1736"/>
      <c r="AK764" s="1737"/>
      <c r="AL764" s="79">
        <f t="shared" si="118"/>
        <v>0</v>
      </c>
      <c r="AM764" s="137">
        <f t="shared" si="119"/>
        <v>0</v>
      </c>
      <c r="AN764" s="251"/>
      <c r="AO764" s="1736"/>
      <c r="AP764" s="1737"/>
    </row>
    <row r="765" spans="1:42" s="85" customFormat="1" ht="13.5" thickBot="1">
      <c r="A765" s="240"/>
      <c r="B765" s="241"/>
      <c r="C765" s="242"/>
      <c r="D765" s="242"/>
      <c r="E765" s="243"/>
      <c r="F765" s="244"/>
      <c r="G765" s="244"/>
      <c r="H765" s="243"/>
      <c r="I765" s="258"/>
      <c r="J765" s="245"/>
      <c r="K765" s="245"/>
      <c r="L765" s="76">
        <f t="shared" si="110"/>
        <v>0</v>
      </c>
      <c r="M765" s="246"/>
      <c r="N765" s="247"/>
      <c r="O765" s="248"/>
      <c r="P765" s="246"/>
      <c r="Q765" s="249"/>
      <c r="R765" s="250"/>
      <c r="S765" s="259"/>
      <c r="T765" s="260"/>
      <c r="U765" s="250"/>
      <c r="V765" s="78">
        <f t="shared" si="111"/>
        <v>0</v>
      </c>
      <c r="W765" s="261">
        <f t="shared" si="112"/>
        <v>0</v>
      </c>
      <c r="X765" s="133">
        <f t="shared" si="113"/>
        <v>0</v>
      </c>
      <c r="Y765" s="251"/>
      <c r="Z765" s="1736"/>
      <c r="AA765" s="1737"/>
      <c r="AB765" s="77">
        <f t="shared" si="114"/>
        <v>0</v>
      </c>
      <c r="AC765" s="134">
        <f t="shared" si="115"/>
        <v>0</v>
      </c>
      <c r="AD765" s="251"/>
      <c r="AE765" s="1736"/>
      <c r="AF765" s="1737"/>
      <c r="AG765" s="77">
        <f t="shared" si="116"/>
        <v>0</v>
      </c>
      <c r="AH765" s="136">
        <f t="shared" si="117"/>
        <v>0</v>
      </c>
      <c r="AI765" s="251"/>
      <c r="AJ765" s="1736"/>
      <c r="AK765" s="1737"/>
      <c r="AL765" s="79">
        <f t="shared" si="118"/>
        <v>0</v>
      </c>
      <c r="AM765" s="137">
        <f t="shared" si="119"/>
        <v>0</v>
      </c>
      <c r="AN765" s="251"/>
      <c r="AO765" s="1736"/>
      <c r="AP765" s="1737"/>
    </row>
    <row r="766" spans="1:42" s="85" customFormat="1" ht="13.5" thickBot="1">
      <c r="A766" s="240"/>
      <c r="B766" s="241"/>
      <c r="C766" s="242"/>
      <c r="D766" s="242"/>
      <c r="E766" s="243"/>
      <c r="F766" s="244"/>
      <c r="G766" s="244"/>
      <c r="H766" s="243"/>
      <c r="I766" s="258"/>
      <c r="J766" s="245"/>
      <c r="K766" s="245"/>
      <c r="L766" s="76">
        <f t="shared" si="110"/>
        <v>0</v>
      </c>
      <c r="M766" s="246"/>
      <c r="N766" s="247"/>
      <c r="O766" s="248"/>
      <c r="P766" s="246"/>
      <c r="Q766" s="249"/>
      <c r="R766" s="250"/>
      <c r="S766" s="259"/>
      <c r="T766" s="260"/>
      <c r="U766" s="250"/>
      <c r="V766" s="78">
        <f t="shared" si="111"/>
        <v>0</v>
      </c>
      <c r="W766" s="261">
        <f t="shared" si="112"/>
        <v>0</v>
      </c>
      <c r="X766" s="133">
        <f t="shared" si="113"/>
        <v>0</v>
      </c>
      <c r="Y766" s="251"/>
      <c r="Z766" s="1736"/>
      <c r="AA766" s="1737"/>
      <c r="AB766" s="77">
        <f t="shared" si="114"/>
        <v>0</v>
      </c>
      <c r="AC766" s="134">
        <f t="shared" si="115"/>
        <v>0</v>
      </c>
      <c r="AD766" s="251"/>
      <c r="AE766" s="1736"/>
      <c r="AF766" s="1737"/>
      <c r="AG766" s="77">
        <f t="shared" si="116"/>
        <v>0</v>
      </c>
      <c r="AH766" s="136">
        <f t="shared" si="117"/>
        <v>0</v>
      </c>
      <c r="AI766" s="251"/>
      <c r="AJ766" s="1736"/>
      <c r="AK766" s="1737"/>
      <c r="AL766" s="79">
        <f t="shared" si="118"/>
        <v>0</v>
      </c>
      <c r="AM766" s="137">
        <f t="shared" si="119"/>
        <v>0</v>
      </c>
      <c r="AN766" s="251"/>
      <c r="AO766" s="1736"/>
      <c r="AP766" s="1737"/>
    </row>
    <row r="767" spans="1:42" s="85" customFormat="1" ht="13.5" thickBot="1">
      <c r="A767" s="240"/>
      <c r="B767" s="241"/>
      <c r="C767" s="242"/>
      <c r="D767" s="242"/>
      <c r="E767" s="243"/>
      <c r="F767" s="244"/>
      <c r="G767" s="244"/>
      <c r="H767" s="243"/>
      <c r="I767" s="258"/>
      <c r="J767" s="245"/>
      <c r="K767" s="245"/>
      <c r="L767" s="76">
        <f t="shared" si="110"/>
        <v>0</v>
      </c>
      <c r="M767" s="246"/>
      <c r="N767" s="247"/>
      <c r="O767" s="248"/>
      <c r="P767" s="246"/>
      <c r="Q767" s="249"/>
      <c r="R767" s="250"/>
      <c r="S767" s="259"/>
      <c r="T767" s="260"/>
      <c r="U767" s="250"/>
      <c r="V767" s="78">
        <f t="shared" si="111"/>
        <v>0</v>
      </c>
      <c r="W767" s="261">
        <f t="shared" si="112"/>
        <v>0</v>
      </c>
      <c r="X767" s="133">
        <f t="shared" si="113"/>
        <v>0</v>
      </c>
      <c r="Y767" s="251"/>
      <c r="Z767" s="1736"/>
      <c r="AA767" s="1737"/>
      <c r="AB767" s="77">
        <f t="shared" si="114"/>
        <v>0</v>
      </c>
      <c r="AC767" s="134">
        <f t="shared" si="115"/>
        <v>0</v>
      </c>
      <c r="AD767" s="251"/>
      <c r="AE767" s="1736"/>
      <c r="AF767" s="1737"/>
      <c r="AG767" s="77">
        <f t="shared" si="116"/>
        <v>0</v>
      </c>
      <c r="AH767" s="136">
        <f t="shared" si="117"/>
        <v>0</v>
      </c>
      <c r="AI767" s="251"/>
      <c r="AJ767" s="1736"/>
      <c r="AK767" s="1737"/>
      <c r="AL767" s="79">
        <f t="shared" si="118"/>
        <v>0</v>
      </c>
      <c r="AM767" s="137">
        <f t="shared" si="119"/>
        <v>0</v>
      </c>
      <c r="AN767" s="251"/>
      <c r="AO767" s="1736"/>
      <c r="AP767" s="1737"/>
    </row>
    <row r="768" spans="1:42" s="85" customFormat="1" ht="13.5" thickBot="1">
      <c r="A768" s="240"/>
      <c r="B768" s="241"/>
      <c r="C768" s="242"/>
      <c r="D768" s="242"/>
      <c r="E768" s="243"/>
      <c r="F768" s="244"/>
      <c r="G768" s="244"/>
      <c r="H768" s="243"/>
      <c r="I768" s="258"/>
      <c r="J768" s="245"/>
      <c r="K768" s="245"/>
      <c r="L768" s="76">
        <f t="shared" si="110"/>
        <v>0</v>
      </c>
      <c r="M768" s="246"/>
      <c r="N768" s="247"/>
      <c r="O768" s="248"/>
      <c r="P768" s="246"/>
      <c r="Q768" s="249"/>
      <c r="R768" s="250"/>
      <c r="S768" s="259"/>
      <c r="T768" s="260"/>
      <c r="U768" s="250"/>
      <c r="V768" s="78">
        <f t="shared" si="111"/>
        <v>0</v>
      </c>
      <c r="W768" s="261">
        <f t="shared" si="112"/>
        <v>0</v>
      </c>
      <c r="X768" s="133">
        <f t="shared" si="113"/>
        <v>0</v>
      </c>
      <c r="Y768" s="251"/>
      <c r="Z768" s="1736"/>
      <c r="AA768" s="1737"/>
      <c r="AB768" s="77">
        <f t="shared" si="114"/>
        <v>0</v>
      </c>
      <c r="AC768" s="134">
        <f t="shared" si="115"/>
        <v>0</v>
      </c>
      <c r="AD768" s="251"/>
      <c r="AE768" s="1736"/>
      <c r="AF768" s="1737"/>
      <c r="AG768" s="77">
        <f t="shared" si="116"/>
        <v>0</v>
      </c>
      <c r="AH768" s="136">
        <f t="shared" si="117"/>
        <v>0</v>
      </c>
      <c r="AI768" s="251"/>
      <c r="AJ768" s="1736"/>
      <c r="AK768" s="1737"/>
      <c r="AL768" s="79">
        <f t="shared" si="118"/>
        <v>0</v>
      </c>
      <c r="AM768" s="137">
        <f t="shared" si="119"/>
        <v>0</v>
      </c>
      <c r="AN768" s="251"/>
      <c r="AO768" s="1736"/>
      <c r="AP768" s="1737"/>
    </row>
    <row r="769" spans="1:42" s="85" customFormat="1" ht="13.5" thickBot="1">
      <c r="A769" s="240"/>
      <c r="B769" s="241"/>
      <c r="C769" s="242"/>
      <c r="D769" s="242"/>
      <c r="E769" s="243"/>
      <c r="F769" s="244"/>
      <c r="G769" s="244"/>
      <c r="H769" s="243"/>
      <c r="I769" s="258"/>
      <c r="J769" s="245"/>
      <c r="K769" s="245"/>
      <c r="L769" s="76">
        <f t="shared" si="110"/>
        <v>0</v>
      </c>
      <c r="M769" s="246"/>
      <c r="N769" s="247"/>
      <c r="O769" s="248"/>
      <c r="P769" s="246"/>
      <c r="Q769" s="249"/>
      <c r="R769" s="250"/>
      <c r="S769" s="259"/>
      <c r="T769" s="260"/>
      <c r="U769" s="250"/>
      <c r="V769" s="78">
        <f t="shared" si="111"/>
        <v>0</v>
      </c>
      <c r="W769" s="261">
        <f t="shared" si="112"/>
        <v>0</v>
      </c>
      <c r="X769" s="133">
        <f t="shared" si="113"/>
        <v>0</v>
      </c>
      <c r="Y769" s="251"/>
      <c r="Z769" s="1736"/>
      <c r="AA769" s="1737"/>
      <c r="AB769" s="77">
        <f t="shared" si="114"/>
        <v>0</v>
      </c>
      <c r="AC769" s="134">
        <f t="shared" si="115"/>
        <v>0</v>
      </c>
      <c r="AD769" s="251"/>
      <c r="AE769" s="1736"/>
      <c r="AF769" s="1737"/>
      <c r="AG769" s="77">
        <f t="shared" si="116"/>
        <v>0</v>
      </c>
      <c r="AH769" s="136">
        <f t="shared" si="117"/>
        <v>0</v>
      </c>
      <c r="AI769" s="251"/>
      <c r="AJ769" s="1736"/>
      <c r="AK769" s="1737"/>
      <c r="AL769" s="79">
        <f t="shared" si="118"/>
        <v>0</v>
      </c>
      <c r="AM769" s="137">
        <f t="shared" si="119"/>
        <v>0</v>
      </c>
      <c r="AN769" s="251"/>
      <c r="AO769" s="1736"/>
      <c r="AP769" s="1737"/>
    </row>
    <row r="770" spans="1:42" s="85" customFormat="1" ht="13.5" thickBot="1">
      <c r="A770" s="240"/>
      <c r="B770" s="241"/>
      <c r="C770" s="242"/>
      <c r="D770" s="242"/>
      <c r="E770" s="243"/>
      <c r="F770" s="244"/>
      <c r="G770" s="244"/>
      <c r="H770" s="243"/>
      <c r="I770" s="258"/>
      <c r="J770" s="245"/>
      <c r="K770" s="245"/>
      <c r="L770" s="76">
        <f t="shared" si="110"/>
        <v>0</v>
      </c>
      <c r="M770" s="246"/>
      <c r="N770" s="247"/>
      <c r="O770" s="248"/>
      <c r="P770" s="246"/>
      <c r="Q770" s="249"/>
      <c r="R770" s="250"/>
      <c r="S770" s="259"/>
      <c r="T770" s="260"/>
      <c r="U770" s="250"/>
      <c r="V770" s="78">
        <f t="shared" si="111"/>
        <v>0</v>
      </c>
      <c r="W770" s="261">
        <f t="shared" si="112"/>
        <v>0</v>
      </c>
      <c r="X770" s="133">
        <f t="shared" si="113"/>
        <v>0</v>
      </c>
      <c r="Y770" s="251"/>
      <c r="Z770" s="1736"/>
      <c r="AA770" s="1737"/>
      <c r="AB770" s="77">
        <f t="shared" si="114"/>
        <v>0</v>
      </c>
      <c r="AC770" s="134">
        <f t="shared" si="115"/>
        <v>0</v>
      </c>
      <c r="AD770" s="251"/>
      <c r="AE770" s="1736"/>
      <c r="AF770" s="1737"/>
      <c r="AG770" s="77">
        <f t="shared" si="116"/>
        <v>0</v>
      </c>
      <c r="AH770" s="136">
        <f t="shared" si="117"/>
        <v>0</v>
      </c>
      <c r="AI770" s="251"/>
      <c r="AJ770" s="1736"/>
      <c r="AK770" s="1737"/>
      <c r="AL770" s="79">
        <f t="shared" si="118"/>
        <v>0</v>
      </c>
      <c r="AM770" s="137">
        <f t="shared" si="119"/>
        <v>0</v>
      </c>
      <c r="AN770" s="251"/>
      <c r="AO770" s="1736"/>
      <c r="AP770" s="1737"/>
    </row>
    <row r="771" spans="1:42" s="85" customFormat="1" ht="13.5" thickBot="1">
      <c r="A771" s="240"/>
      <c r="B771" s="241"/>
      <c r="C771" s="242"/>
      <c r="D771" s="242"/>
      <c r="E771" s="243"/>
      <c r="F771" s="244"/>
      <c r="G771" s="244"/>
      <c r="H771" s="243"/>
      <c r="I771" s="258"/>
      <c r="J771" s="245"/>
      <c r="K771" s="245"/>
      <c r="L771" s="76">
        <f t="shared" si="110"/>
        <v>0</v>
      </c>
      <c r="M771" s="246"/>
      <c r="N771" s="247"/>
      <c r="O771" s="248"/>
      <c r="P771" s="246"/>
      <c r="Q771" s="249"/>
      <c r="R771" s="250"/>
      <c r="S771" s="259"/>
      <c r="T771" s="260"/>
      <c r="U771" s="250"/>
      <c r="V771" s="78">
        <f t="shared" si="111"/>
        <v>0</v>
      </c>
      <c r="W771" s="261">
        <f t="shared" si="112"/>
        <v>0</v>
      </c>
      <c r="X771" s="133">
        <f t="shared" si="113"/>
        <v>0</v>
      </c>
      <c r="Y771" s="251"/>
      <c r="Z771" s="1736"/>
      <c r="AA771" s="1737"/>
      <c r="AB771" s="77">
        <f t="shared" si="114"/>
        <v>0</v>
      </c>
      <c r="AC771" s="134">
        <f t="shared" si="115"/>
        <v>0</v>
      </c>
      <c r="AD771" s="251"/>
      <c r="AE771" s="1736"/>
      <c r="AF771" s="1737"/>
      <c r="AG771" s="77">
        <f t="shared" si="116"/>
        <v>0</v>
      </c>
      <c r="AH771" s="136">
        <f t="shared" si="117"/>
        <v>0</v>
      </c>
      <c r="AI771" s="251"/>
      <c r="AJ771" s="1736"/>
      <c r="AK771" s="1737"/>
      <c r="AL771" s="79">
        <f t="shared" si="118"/>
        <v>0</v>
      </c>
      <c r="AM771" s="137">
        <f t="shared" si="119"/>
        <v>0</v>
      </c>
      <c r="AN771" s="251"/>
      <c r="AO771" s="1736"/>
      <c r="AP771" s="1737"/>
    </row>
    <row r="772" spans="1:42" s="85" customFormat="1" ht="13.5" thickBot="1">
      <c r="A772" s="240"/>
      <c r="B772" s="241"/>
      <c r="C772" s="242"/>
      <c r="D772" s="242"/>
      <c r="E772" s="243"/>
      <c r="F772" s="244"/>
      <c r="G772" s="244"/>
      <c r="H772" s="243"/>
      <c r="I772" s="258"/>
      <c r="J772" s="245"/>
      <c r="K772" s="245"/>
      <c r="L772" s="76">
        <f t="shared" si="110"/>
        <v>0</v>
      </c>
      <c r="M772" s="246"/>
      <c r="N772" s="247"/>
      <c r="O772" s="248"/>
      <c r="P772" s="246"/>
      <c r="Q772" s="249"/>
      <c r="R772" s="250"/>
      <c r="S772" s="259"/>
      <c r="T772" s="260"/>
      <c r="U772" s="250"/>
      <c r="V772" s="78">
        <f t="shared" si="111"/>
        <v>0</v>
      </c>
      <c r="W772" s="261">
        <f t="shared" si="112"/>
        <v>0</v>
      </c>
      <c r="X772" s="133">
        <f t="shared" si="113"/>
        <v>0</v>
      </c>
      <c r="Y772" s="251"/>
      <c r="Z772" s="1736"/>
      <c r="AA772" s="1737"/>
      <c r="AB772" s="77">
        <f t="shared" si="114"/>
        <v>0</v>
      </c>
      <c r="AC772" s="134">
        <f t="shared" si="115"/>
        <v>0</v>
      </c>
      <c r="AD772" s="251"/>
      <c r="AE772" s="1736"/>
      <c r="AF772" s="1737"/>
      <c r="AG772" s="77">
        <f t="shared" si="116"/>
        <v>0</v>
      </c>
      <c r="AH772" s="136">
        <f t="shared" si="117"/>
        <v>0</v>
      </c>
      <c r="AI772" s="251"/>
      <c r="AJ772" s="1736"/>
      <c r="AK772" s="1737"/>
      <c r="AL772" s="79">
        <f t="shared" si="118"/>
        <v>0</v>
      </c>
      <c r="AM772" s="137">
        <f t="shared" si="119"/>
        <v>0</v>
      </c>
      <c r="AN772" s="251"/>
      <c r="AO772" s="1736"/>
      <c r="AP772" s="1737"/>
    </row>
    <row r="773" spans="1:42" s="85" customFormat="1" ht="13.5" thickBot="1">
      <c r="A773" s="240"/>
      <c r="B773" s="241"/>
      <c r="C773" s="242"/>
      <c r="D773" s="242"/>
      <c r="E773" s="243"/>
      <c r="F773" s="244"/>
      <c r="G773" s="244"/>
      <c r="H773" s="243"/>
      <c r="I773" s="258"/>
      <c r="J773" s="245"/>
      <c r="K773" s="245"/>
      <c r="L773" s="76">
        <f t="shared" si="110"/>
        <v>0</v>
      </c>
      <c r="M773" s="246"/>
      <c r="N773" s="247"/>
      <c r="O773" s="248"/>
      <c r="P773" s="246"/>
      <c r="Q773" s="249"/>
      <c r="R773" s="250"/>
      <c r="S773" s="259"/>
      <c r="T773" s="260"/>
      <c r="U773" s="250"/>
      <c r="V773" s="78">
        <f t="shared" si="111"/>
        <v>0</v>
      </c>
      <c r="W773" s="261">
        <f t="shared" si="112"/>
        <v>0</v>
      </c>
      <c r="X773" s="133">
        <f t="shared" si="113"/>
        <v>0</v>
      </c>
      <c r="Y773" s="251"/>
      <c r="Z773" s="1736"/>
      <c r="AA773" s="1737"/>
      <c r="AB773" s="77">
        <f t="shared" si="114"/>
        <v>0</v>
      </c>
      <c r="AC773" s="134">
        <f t="shared" si="115"/>
        <v>0</v>
      </c>
      <c r="AD773" s="251"/>
      <c r="AE773" s="1736"/>
      <c r="AF773" s="1737"/>
      <c r="AG773" s="77">
        <f t="shared" si="116"/>
        <v>0</v>
      </c>
      <c r="AH773" s="136">
        <f t="shared" si="117"/>
        <v>0</v>
      </c>
      <c r="AI773" s="251"/>
      <c r="AJ773" s="1736"/>
      <c r="AK773" s="1737"/>
      <c r="AL773" s="79">
        <f t="shared" si="118"/>
        <v>0</v>
      </c>
      <c r="AM773" s="137">
        <f t="shared" si="119"/>
        <v>0</v>
      </c>
      <c r="AN773" s="251"/>
      <c r="AO773" s="1736"/>
      <c r="AP773" s="1737"/>
    </row>
    <row r="774" spans="1:42" s="85" customFormat="1" ht="13.5" thickBot="1">
      <c r="A774" s="240"/>
      <c r="B774" s="241"/>
      <c r="C774" s="242"/>
      <c r="D774" s="242"/>
      <c r="E774" s="243"/>
      <c r="F774" s="244"/>
      <c r="G774" s="244"/>
      <c r="H774" s="243"/>
      <c r="I774" s="258"/>
      <c r="J774" s="245"/>
      <c r="K774" s="245"/>
      <c r="L774" s="76">
        <f t="shared" si="110"/>
        <v>0</v>
      </c>
      <c r="M774" s="246"/>
      <c r="N774" s="247"/>
      <c r="O774" s="248"/>
      <c r="P774" s="246"/>
      <c r="Q774" s="249"/>
      <c r="R774" s="250"/>
      <c r="S774" s="259"/>
      <c r="T774" s="260"/>
      <c r="U774" s="250"/>
      <c r="V774" s="78">
        <f t="shared" si="111"/>
        <v>0</v>
      </c>
      <c r="W774" s="261">
        <f t="shared" si="112"/>
        <v>0</v>
      </c>
      <c r="X774" s="133">
        <f t="shared" si="113"/>
        <v>0</v>
      </c>
      <c r="Y774" s="251"/>
      <c r="Z774" s="1736"/>
      <c r="AA774" s="1737"/>
      <c r="AB774" s="77">
        <f t="shared" si="114"/>
        <v>0</v>
      </c>
      <c r="AC774" s="134">
        <f t="shared" si="115"/>
        <v>0</v>
      </c>
      <c r="AD774" s="251"/>
      <c r="AE774" s="1736"/>
      <c r="AF774" s="1737"/>
      <c r="AG774" s="77">
        <f t="shared" si="116"/>
        <v>0</v>
      </c>
      <c r="AH774" s="136">
        <f t="shared" si="117"/>
        <v>0</v>
      </c>
      <c r="AI774" s="251"/>
      <c r="AJ774" s="1736"/>
      <c r="AK774" s="1737"/>
      <c r="AL774" s="79">
        <f t="shared" si="118"/>
        <v>0</v>
      </c>
      <c r="AM774" s="137">
        <f t="shared" si="119"/>
        <v>0</v>
      </c>
      <c r="AN774" s="251"/>
      <c r="AO774" s="1736"/>
      <c r="AP774" s="1737"/>
    </row>
    <row r="775" spans="1:42" s="85" customFormat="1" ht="13.5" thickBot="1">
      <c r="A775" s="240"/>
      <c r="B775" s="241"/>
      <c r="C775" s="242"/>
      <c r="D775" s="242"/>
      <c r="E775" s="243"/>
      <c r="F775" s="244"/>
      <c r="G775" s="244"/>
      <c r="H775" s="243"/>
      <c r="I775" s="258"/>
      <c r="J775" s="245"/>
      <c r="K775" s="245"/>
      <c r="L775" s="76">
        <f t="shared" si="110"/>
        <v>0</v>
      </c>
      <c r="M775" s="246"/>
      <c r="N775" s="247"/>
      <c r="O775" s="248"/>
      <c r="P775" s="246"/>
      <c r="Q775" s="249"/>
      <c r="R775" s="250"/>
      <c r="S775" s="259"/>
      <c r="T775" s="260"/>
      <c r="U775" s="250"/>
      <c r="V775" s="78">
        <f t="shared" si="111"/>
        <v>0</v>
      </c>
      <c r="W775" s="261">
        <f t="shared" si="112"/>
        <v>0</v>
      </c>
      <c r="X775" s="133">
        <f t="shared" si="113"/>
        <v>0</v>
      </c>
      <c r="Y775" s="251"/>
      <c r="Z775" s="1736"/>
      <c r="AA775" s="1737"/>
      <c r="AB775" s="77">
        <f t="shared" si="114"/>
        <v>0</v>
      </c>
      <c r="AC775" s="134">
        <f t="shared" si="115"/>
        <v>0</v>
      </c>
      <c r="AD775" s="251"/>
      <c r="AE775" s="1736"/>
      <c r="AF775" s="1737"/>
      <c r="AG775" s="77">
        <f t="shared" si="116"/>
        <v>0</v>
      </c>
      <c r="AH775" s="136">
        <f t="shared" si="117"/>
        <v>0</v>
      </c>
      <c r="AI775" s="251"/>
      <c r="AJ775" s="1736"/>
      <c r="AK775" s="1737"/>
      <c r="AL775" s="79">
        <f t="shared" si="118"/>
        <v>0</v>
      </c>
      <c r="AM775" s="137">
        <f t="shared" si="119"/>
        <v>0</v>
      </c>
      <c r="AN775" s="251"/>
      <c r="AO775" s="1736"/>
      <c r="AP775" s="1737"/>
    </row>
    <row r="776" spans="1:42" s="85" customFormat="1" ht="13.5" thickBot="1">
      <c r="A776" s="240"/>
      <c r="B776" s="241"/>
      <c r="C776" s="242"/>
      <c r="D776" s="242"/>
      <c r="E776" s="243"/>
      <c r="F776" s="244"/>
      <c r="G776" s="244"/>
      <c r="H776" s="243"/>
      <c r="I776" s="258"/>
      <c r="J776" s="245"/>
      <c r="K776" s="245"/>
      <c r="L776" s="76">
        <f t="shared" si="110"/>
        <v>0</v>
      </c>
      <c r="M776" s="246"/>
      <c r="N776" s="247"/>
      <c r="O776" s="248"/>
      <c r="P776" s="246"/>
      <c r="Q776" s="249"/>
      <c r="R776" s="250"/>
      <c r="S776" s="259"/>
      <c r="T776" s="260"/>
      <c r="U776" s="250"/>
      <c r="V776" s="78">
        <f t="shared" si="111"/>
        <v>0</v>
      </c>
      <c r="W776" s="261">
        <f t="shared" si="112"/>
        <v>0</v>
      </c>
      <c r="X776" s="133">
        <f t="shared" si="113"/>
        <v>0</v>
      </c>
      <c r="Y776" s="251"/>
      <c r="Z776" s="1736"/>
      <c r="AA776" s="1737"/>
      <c r="AB776" s="77">
        <f t="shared" si="114"/>
        <v>0</v>
      </c>
      <c r="AC776" s="134">
        <f t="shared" si="115"/>
        <v>0</v>
      </c>
      <c r="AD776" s="251"/>
      <c r="AE776" s="1736"/>
      <c r="AF776" s="1737"/>
      <c r="AG776" s="77">
        <f t="shared" si="116"/>
        <v>0</v>
      </c>
      <c r="AH776" s="136">
        <f t="shared" si="117"/>
        <v>0</v>
      </c>
      <c r="AI776" s="251"/>
      <c r="AJ776" s="1736"/>
      <c r="AK776" s="1737"/>
      <c r="AL776" s="79">
        <f t="shared" si="118"/>
        <v>0</v>
      </c>
      <c r="AM776" s="137">
        <f t="shared" si="119"/>
        <v>0</v>
      </c>
      <c r="AN776" s="251"/>
      <c r="AO776" s="1736"/>
      <c r="AP776" s="1737"/>
    </row>
    <row r="777" spans="1:42" s="85" customFormat="1" ht="13.5" thickBot="1">
      <c r="A777" s="240"/>
      <c r="B777" s="241"/>
      <c r="C777" s="242"/>
      <c r="D777" s="242"/>
      <c r="E777" s="243"/>
      <c r="F777" s="244"/>
      <c r="G777" s="244"/>
      <c r="H777" s="243"/>
      <c r="I777" s="258"/>
      <c r="J777" s="245"/>
      <c r="K777" s="245"/>
      <c r="L777" s="76">
        <f t="shared" si="110"/>
        <v>0</v>
      </c>
      <c r="M777" s="246"/>
      <c r="N777" s="247"/>
      <c r="O777" s="248"/>
      <c r="P777" s="246"/>
      <c r="Q777" s="249"/>
      <c r="R777" s="250"/>
      <c r="S777" s="259"/>
      <c r="T777" s="260"/>
      <c r="U777" s="250"/>
      <c r="V777" s="78">
        <f t="shared" si="111"/>
        <v>0</v>
      </c>
      <c r="W777" s="261">
        <f t="shared" si="112"/>
        <v>0</v>
      </c>
      <c r="X777" s="133">
        <f t="shared" si="113"/>
        <v>0</v>
      </c>
      <c r="Y777" s="251"/>
      <c r="Z777" s="1736"/>
      <c r="AA777" s="1737"/>
      <c r="AB777" s="77">
        <f t="shared" si="114"/>
        <v>0</v>
      </c>
      <c r="AC777" s="134">
        <f t="shared" si="115"/>
        <v>0</v>
      </c>
      <c r="AD777" s="251"/>
      <c r="AE777" s="1736"/>
      <c r="AF777" s="1737"/>
      <c r="AG777" s="77">
        <f t="shared" si="116"/>
        <v>0</v>
      </c>
      <c r="AH777" s="136">
        <f t="shared" si="117"/>
        <v>0</v>
      </c>
      <c r="AI777" s="251"/>
      <c r="AJ777" s="1736"/>
      <c r="AK777" s="1737"/>
      <c r="AL777" s="79">
        <f t="shared" si="118"/>
        <v>0</v>
      </c>
      <c r="AM777" s="137">
        <f t="shared" si="119"/>
        <v>0</v>
      </c>
      <c r="AN777" s="251"/>
      <c r="AO777" s="1736"/>
      <c r="AP777" s="1737"/>
    </row>
    <row r="778" spans="1:42" s="85" customFormat="1" ht="13.5" thickBot="1">
      <c r="A778" s="240"/>
      <c r="B778" s="241"/>
      <c r="C778" s="242"/>
      <c r="D778" s="242"/>
      <c r="E778" s="243"/>
      <c r="F778" s="244"/>
      <c r="G778" s="244"/>
      <c r="H778" s="243"/>
      <c r="I778" s="258"/>
      <c r="J778" s="245"/>
      <c r="K778" s="245"/>
      <c r="L778" s="76">
        <f t="shared" si="110"/>
        <v>0</v>
      </c>
      <c r="M778" s="246"/>
      <c r="N778" s="247"/>
      <c r="O778" s="248"/>
      <c r="P778" s="246"/>
      <c r="Q778" s="249"/>
      <c r="R778" s="250"/>
      <c r="S778" s="259"/>
      <c r="T778" s="260"/>
      <c r="U778" s="250"/>
      <c r="V778" s="78">
        <f t="shared" si="111"/>
        <v>0</v>
      </c>
      <c r="W778" s="261">
        <f t="shared" si="112"/>
        <v>0</v>
      </c>
      <c r="X778" s="133">
        <f t="shared" si="113"/>
        <v>0</v>
      </c>
      <c r="Y778" s="251"/>
      <c r="Z778" s="1736"/>
      <c r="AA778" s="1737"/>
      <c r="AB778" s="77">
        <f t="shared" si="114"/>
        <v>0</v>
      </c>
      <c r="AC778" s="134">
        <f t="shared" si="115"/>
        <v>0</v>
      </c>
      <c r="AD778" s="251"/>
      <c r="AE778" s="1736"/>
      <c r="AF778" s="1737"/>
      <c r="AG778" s="77">
        <f t="shared" si="116"/>
        <v>0</v>
      </c>
      <c r="AH778" s="136">
        <f t="shared" si="117"/>
        <v>0</v>
      </c>
      <c r="AI778" s="251"/>
      <c r="AJ778" s="1736"/>
      <c r="AK778" s="1737"/>
      <c r="AL778" s="79">
        <f t="shared" si="118"/>
        <v>0</v>
      </c>
      <c r="AM778" s="137">
        <f t="shared" si="119"/>
        <v>0</v>
      </c>
      <c r="AN778" s="251"/>
      <c r="AO778" s="1736"/>
      <c r="AP778" s="1737"/>
    </row>
    <row r="779" spans="1:42" s="85" customFormat="1" ht="13.5" thickBot="1">
      <c r="A779" s="240"/>
      <c r="B779" s="241"/>
      <c r="C779" s="242"/>
      <c r="D779" s="242"/>
      <c r="E779" s="243"/>
      <c r="F779" s="244"/>
      <c r="G779" s="244"/>
      <c r="H779" s="243"/>
      <c r="I779" s="258"/>
      <c r="J779" s="245"/>
      <c r="K779" s="245"/>
      <c r="L779" s="76">
        <f t="shared" ref="L779:L842" si="120">IF(I779=0,0,(K779+J779)/I779)</f>
        <v>0</v>
      </c>
      <c r="M779" s="246"/>
      <c r="N779" s="247"/>
      <c r="O779" s="248"/>
      <c r="P779" s="246"/>
      <c r="Q779" s="249"/>
      <c r="R779" s="250"/>
      <c r="S779" s="259"/>
      <c r="T779" s="260"/>
      <c r="U779" s="250"/>
      <c r="V779" s="78">
        <f t="shared" ref="V779:V842" si="121">IF(U779=0,0,((U779*S779)-AB779-AL779))</f>
        <v>0</v>
      </c>
      <c r="W779" s="261">
        <f t="shared" ref="W779:W842" si="122">+S779-I779</f>
        <v>0</v>
      </c>
      <c r="X779" s="133">
        <f t="shared" ref="X779:X842" si="123">(V779-J779)</f>
        <v>0</v>
      </c>
      <c r="Y779" s="251"/>
      <c r="Z779" s="1736"/>
      <c r="AA779" s="1737"/>
      <c r="AB779" s="77">
        <f t="shared" ref="AB779:AB842" si="124">(IF(I779=0,0,M779/H779))*S779</f>
        <v>0</v>
      </c>
      <c r="AC779" s="134">
        <f t="shared" ref="AC779:AC842" si="125">+AB779-P779</f>
        <v>0</v>
      </c>
      <c r="AD779" s="251"/>
      <c r="AE779" s="1736"/>
      <c r="AF779" s="1737"/>
      <c r="AG779" s="77">
        <f t="shared" ref="AG779:AG842" si="126">(IF(H779=0,0,N779/H779))*T779</f>
        <v>0</v>
      </c>
      <c r="AH779" s="136">
        <f t="shared" ref="AH779:AH842" si="127">+AG779-Q779</f>
        <v>0</v>
      </c>
      <c r="AI779" s="251"/>
      <c r="AJ779" s="1736"/>
      <c r="AK779" s="1737"/>
      <c r="AL779" s="79">
        <f t="shared" ref="AL779:AL842" si="128">+O779*S779</f>
        <v>0</v>
      </c>
      <c r="AM779" s="137">
        <f t="shared" ref="AM779:AM842" si="129">+AL779-R779</f>
        <v>0</v>
      </c>
      <c r="AN779" s="251"/>
      <c r="AO779" s="1736"/>
      <c r="AP779" s="1737"/>
    </row>
    <row r="780" spans="1:42" s="85" customFormat="1" ht="13.5" thickBot="1">
      <c r="A780" s="240"/>
      <c r="B780" s="241"/>
      <c r="C780" s="242"/>
      <c r="D780" s="242"/>
      <c r="E780" s="243"/>
      <c r="F780" s="244"/>
      <c r="G780" s="244"/>
      <c r="H780" s="243"/>
      <c r="I780" s="258"/>
      <c r="J780" s="245"/>
      <c r="K780" s="245"/>
      <c r="L780" s="76">
        <f t="shared" si="120"/>
        <v>0</v>
      </c>
      <c r="M780" s="246"/>
      <c r="N780" s="247"/>
      <c r="O780" s="248"/>
      <c r="P780" s="246"/>
      <c r="Q780" s="249"/>
      <c r="R780" s="250"/>
      <c r="S780" s="259"/>
      <c r="T780" s="260"/>
      <c r="U780" s="250"/>
      <c r="V780" s="78">
        <f t="shared" si="121"/>
        <v>0</v>
      </c>
      <c r="W780" s="261">
        <f t="shared" si="122"/>
        <v>0</v>
      </c>
      <c r="X780" s="133">
        <f t="shared" si="123"/>
        <v>0</v>
      </c>
      <c r="Y780" s="251"/>
      <c r="Z780" s="1736"/>
      <c r="AA780" s="1737"/>
      <c r="AB780" s="77">
        <f t="shared" si="124"/>
        <v>0</v>
      </c>
      <c r="AC780" s="134">
        <f t="shared" si="125"/>
        <v>0</v>
      </c>
      <c r="AD780" s="251"/>
      <c r="AE780" s="1736"/>
      <c r="AF780" s="1737"/>
      <c r="AG780" s="77">
        <f t="shared" si="126"/>
        <v>0</v>
      </c>
      <c r="AH780" s="136">
        <f t="shared" si="127"/>
        <v>0</v>
      </c>
      <c r="AI780" s="251"/>
      <c r="AJ780" s="1736"/>
      <c r="AK780" s="1737"/>
      <c r="AL780" s="79">
        <f t="shared" si="128"/>
        <v>0</v>
      </c>
      <c r="AM780" s="137">
        <f t="shared" si="129"/>
        <v>0</v>
      </c>
      <c r="AN780" s="251"/>
      <c r="AO780" s="1736"/>
      <c r="AP780" s="1737"/>
    </row>
    <row r="781" spans="1:42" s="85" customFormat="1" ht="13.5" thickBot="1">
      <c r="A781" s="240"/>
      <c r="B781" s="241"/>
      <c r="C781" s="242"/>
      <c r="D781" s="242"/>
      <c r="E781" s="243"/>
      <c r="F781" s="244"/>
      <c r="G781" s="244"/>
      <c r="H781" s="243"/>
      <c r="I781" s="258"/>
      <c r="J781" s="245"/>
      <c r="K781" s="245"/>
      <c r="L781" s="76">
        <f t="shared" si="120"/>
        <v>0</v>
      </c>
      <c r="M781" s="246"/>
      <c r="N781" s="247"/>
      <c r="O781" s="248"/>
      <c r="P781" s="246"/>
      <c r="Q781" s="249"/>
      <c r="R781" s="250"/>
      <c r="S781" s="259"/>
      <c r="T781" s="260"/>
      <c r="U781" s="250"/>
      <c r="V781" s="78">
        <f t="shared" si="121"/>
        <v>0</v>
      </c>
      <c r="W781" s="261">
        <f t="shared" si="122"/>
        <v>0</v>
      </c>
      <c r="X781" s="133">
        <f t="shared" si="123"/>
        <v>0</v>
      </c>
      <c r="Y781" s="251"/>
      <c r="Z781" s="1736"/>
      <c r="AA781" s="1737"/>
      <c r="AB781" s="77">
        <f t="shared" si="124"/>
        <v>0</v>
      </c>
      <c r="AC781" s="134">
        <f t="shared" si="125"/>
        <v>0</v>
      </c>
      <c r="AD781" s="251"/>
      <c r="AE781" s="1736"/>
      <c r="AF781" s="1737"/>
      <c r="AG781" s="77">
        <f t="shared" si="126"/>
        <v>0</v>
      </c>
      <c r="AH781" s="136">
        <f t="shared" si="127"/>
        <v>0</v>
      </c>
      <c r="AI781" s="251"/>
      <c r="AJ781" s="1736"/>
      <c r="AK781" s="1737"/>
      <c r="AL781" s="79">
        <f t="shared" si="128"/>
        <v>0</v>
      </c>
      <c r="AM781" s="137">
        <f t="shared" si="129"/>
        <v>0</v>
      </c>
      <c r="AN781" s="251"/>
      <c r="AO781" s="1736"/>
      <c r="AP781" s="1737"/>
    </row>
    <row r="782" spans="1:42" s="85" customFormat="1" ht="13.5" thickBot="1">
      <c r="A782" s="240"/>
      <c r="B782" s="241"/>
      <c r="C782" s="242"/>
      <c r="D782" s="242"/>
      <c r="E782" s="243"/>
      <c r="F782" s="244"/>
      <c r="G782" s="244"/>
      <c r="H782" s="243"/>
      <c r="I782" s="258"/>
      <c r="J782" s="245"/>
      <c r="K782" s="245"/>
      <c r="L782" s="76">
        <f t="shared" si="120"/>
        <v>0</v>
      </c>
      <c r="M782" s="246"/>
      <c r="N782" s="247"/>
      <c r="O782" s="248"/>
      <c r="P782" s="246"/>
      <c r="Q782" s="249"/>
      <c r="R782" s="250"/>
      <c r="S782" s="259"/>
      <c r="T782" s="260"/>
      <c r="U782" s="250"/>
      <c r="V782" s="78">
        <f t="shared" si="121"/>
        <v>0</v>
      </c>
      <c r="W782" s="261">
        <f t="shared" si="122"/>
        <v>0</v>
      </c>
      <c r="X782" s="133">
        <f t="shared" si="123"/>
        <v>0</v>
      </c>
      <c r="Y782" s="251"/>
      <c r="Z782" s="1736"/>
      <c r="AA782" s="1737"/>
      <c r="AB782" s="77">
        <f t="shared" si="124"/>
        <v>0</v>
      </c>
      <c r="AC782" s="134">
        <f t="shared" si="125"/>
        <v>0</v>
      </c>
      <c r="AD782" s="251"/>
      <c r="AE782" s="1736"/>
      <c r="AF782" s="1737"/>
      <c r="AG782" s="77">
        <f t="shared" si="126"/>
        <v>0</v>
      </c>
      <c r="AH782" s="136">
        <f t="shared" si="127"/>
        <v>0</v>
      </c>
      <c r="AI782" s="251"/>
      <c r="AJ782" s="1736"/>
      <c r="AK782" s="1737"/>
      <c r="AL782" s="79">
        <f t="shared" si="128"/>
        <v>0</v>
      </c>
      <c r="AM782" s="137">
        <f t="shared" si="129"/>
        <v>0</v>
      </c>
      <c r="AN782" s="251"/>
      <c r="AO782" s="1736"/>
      <c r="AP782" s="1737"/>
    </row>
    <row r="783" spans="1:42" s="85" customFormat="1" ht="13.5" thickBot="1">
      <c r="A783" s="240"/>
      <c r="B783" s="241"/>
      <c r="C783" s="242"/>
      <c r="D783" s="242"/>
      <c r="E783" s="243"/>
      <c r="F783" s="244"/>
      <c r="G783" s="244"/>
      <c r="H783" s="243"/>
      <c r="I783" s="258"/>
      <c r="J783" s="245"/>
      <c r="K783" s="245"/>
      <c r="L783" s="76">
        <f t="shared" si="120"/>
        <v>0</v>
      </c>
      <c r="M783" s="246"/>
      <c r="N783" s="247"/>
      <c r="O783" s="248"/>
      <c r="P783" s="246"/>
      <c r="Q783" s="249"/>
      <c r="R783" s="250"/>
      <c r="S783" s="259"/>
      <c r="T783" s="260"/>
      <c r="U783" s="250"/>
      <c r="V783" s="78">
        <f t="shared" si="121"/>
        <v>0</v>
      </c>
      <c r="W783" s="261">
        <f t="shared" si="122"/>
        <v>0</v>
      </c>
      <c r="X783" s="133">
        <f t="shared" si="123"/>
        <v>0</v>
      </c>
      <c r="Y783" s="251"/>
      <c r="Z783" s="1736"/>
      <c r="AA783" s="1737"/>
      <c r="AB783" s="77">
        <f t="shared" si="124"/>
        <v>0</v>
      </c>
      <c r="AC783" s="134">
        <f t="shared" si="125"/>
        <v>0</v>
      </c>
      <c r="AD783" s="251"/>
      <c r="AE783" s="1736"/>
      <c r="AF783" s="1737"/>
      <c r="AG783" s="77">
        <f t="shared" si="126"/>
        <v>0</v>
      </c>
      <c r="AH783" s="136">
        <f t="shared" si="127"/>
        <v>0</v>
      </c>
      <c r="AI783" s="251"/>
      <c r="AJ783" s="1736"/>
      <c r="AK783" s="1737"/>
      <c r="AL783" s="79">
        <f t="shared" si="128"/>
        <v>0</v>
      </c>
      <c r="AM783" s="137">
        <f t="shared" si="129"/>
        <v>0</v>
      </c>
      <c r="AN783" s="251"/>
      <c r="AO783" s="1736"/>
      <c r="AP783" s="1737"/>
    </row>
    <row r="784" spans="1:42" s="85" customFormat="1" ht="13.5" thickBot="1">
      <c r="A784" s="240"/>
      <c r="B784" s="241"/>
      <c r="C784" s="242"/>
      <c r="D784" s="242"/>
      <c r="E784" s="243"/>
      <c r="F784" s="244"/>
      <c r="G784" s="244"/>
      <c r="H784" s="243"/>
      <c r="I784" s="258"/>
      <c r="J784" s="245"/>
      <c r="K784" s="245"/>
      <c r="L784" s="76">
        <f t="shared" si="120"/>
        <v>0</v>
      </c>
      <c r="M784" s="246"/>
      <c r="N784" s="247"/>
      <c r="O784" s="248"/>
      <c r="P784" s="246"/>
      <c r="Q784" s="249"/>
      <c r="R784" s="250"/>
      <c r="S784" s="259"/>
      <c r="T784" s="260"/>
      <c r="U784" s="250"/>
      <c r="V784" s="78">
        <f t="shared" si="121"/>
        <v>0</v>
      </c>
      <c r="W784" s="261">
        <f t="shared" si="122"/>
        <v>0</v>
      </c>
      <c r="X784" s="133">
        <f t="shared" si="123"/>
        <v>0</v>
      </c>
      <c r="Y784" s="251"/>
      <c r="Z784" s="1736"/>
      <c r="AA784" s="1737"/>
      <c r="AB784" s="77">
        <f t="shared" si="124"/>
        <v>0</v>
      </c>
      <c r="AC784" s="134">
        <f t="shared" si="125"/>
        <v>0</v>
      </c>
      <c r="AD784" s="251"/>
      <c r="AE784" s="1736"/>
      <c r="AF784" s="1737"/>
      <c r="AG784" s="77">
        <f t="shared" si="126"/>
        <v>0</v>
      </c>
      <c r="AH784" s="136">
        <f t="shared" si="127"/>
        <v>0</v>
      </c>
      <c r="AI784" s="251"/>
      <c r="AJ784" s="1736"/>
      <c r="AK784" s="1737"/>
      <c r="AL784" s="79">
        <f t="shared" si="128"/>
        <v>0</v>
      </c>
      <c r="AM784" s="137">
        <f t="shared" si="129"/>
        <v>0</v>
      </c>
      <c r="AN784" s="251"/>
      <c r="AO784" s="1736"/>
      <c r="AP784" s="1737"/>
    </row>
    <row r="785" spans="1:42" s="85" customFormat="1" ht="13.5" thickBot="1">
      <c r="A785" s="240"/>
      <c r="B785" s="241"/>
      <c r="C785" s="242"/>
      <c r="D785" s="242"/>
      <c r="E785" s="243"/>
      <c r="F785" s="244"/>
      <c r="G785" s="244"/>
      <c r="H785" s="243"/>
      <c r="I785" s="258"/>
      <c r="J785" s="245"/>
      <c r="K785" s="245"/>
      <c r="L785" s="76">
        <f t="shared" si="120"/>
        <v>0</v>
      </c>
      <c r="M785" s="246"/>
      <c r="N785" s="247"/>
      <c r="O785" s="248"/>
      <c r="P785" s="246"/>
      <c r="Q785" s="249"/>
      <c r="R785" s="250"/>
      <c r="S785" s="259"/>
      <c r="T785" s="260"/>
      <c r="U785" s="250"/>
      <c r="V785" s="78">
        <f t="shared" si="121"/>
        <v>0</v>
      </c>
      <c r="W785" s="261">
        <f t="shared" si="122"/>
        <v>0</v>
      </c>
      <c r="X785" s="133">
        <f t="shared" si="123"/>
        <v>0</v>
      </c>
      <c r="Y785" s="251"/>
      <c r="Z785" s="1736"/>
      <c r="AA785" s="1737"/>
      <c r="AB785" s="77">
        <f t="shared" si="124"/>
        <v>0</v>
      </c>
      <c r="AC785" s="134">
        <f t="shared" si="125"/>
        <v>0</v>
      </c>
      <c r="AD785" s="251"/>
      <c r="AE785" s="1736"/>
      <c r="AF785" s="1737"/>
      <c r="AG785" s="77">
        <f t="shared" si="126"/>
        <v>0</v>
      </c>
      <c r="AH785" s="136">
        <f t="shared" si="127"/>
        <v>0</v>
      </c>
      <c r="AI785" s="251"/>
      <c r="AJ785" s="1736"/>
      <c r="AK785" s="1737"/>
      <c r="AL785" s="79">
        <f t="shared" si="128"/>
        <v>0</v>
      </c>
      <c r="AM785" s="137">
        <f t="shared" si="129"/>
        <v>0</v>
      </c>
      <c r="AN785" s="251"/>
      <c r="AO785" s="1736"/>
      <c r="AP785" s="1737"/>
    </row>
    <row r="786" spans="1:42" s="85" customFormat="1" ht="13.5" thickBot="1">
      <c r="A786" s="240"/>
      <c r="B786" s="241"/>
      <c r="C786" s="242"/>
      <c r="D786" s="242"/>
      <c r="E786" s="243"/>
      <c r="F786" s="244"/>
      <c r="G786" s="244"/>
      <c r="H786" s="243"/>
      <c r="I786" s="258"/>
      <c r="J786" s="245"/>
      <c r="K786" s="245"/>
      <c r="L786" s="76">
        <f t="shared" si="120"/>
        <v>0</v>
      </c>
      <c r="M786" s="246"/>
      <c r="N786" s="247"/>
      <c r="O786" s="248"/>
      <c r="P786" s="246"/>
      <c r="Q786" s="249"/>
      <c r="R786" s="250"/>
      <c r="S786" s="259"/>
      <c r="T786" s="260"/>
      <c r="U786" s="250"/>
      <c r="V786" s="78">
        <f t="shared" si="121"/>
        <v>0</v>
      </c>
      <c r="W786" s="261">
        <f t="shared" si="122"/>
        <v>0</v>
      </c>
      <c r="X786" s="133">
        <f t="shared" si="123"/>
        <v>0</v>
      </c>
      <c r="Y786" s="251"/>
      <c r="Z786" s="1736"/>
      <c r="AA786" s="1737"/>
      <c r="AB786" s="77">
        <f t="shared" si="124"/>
        <v>0</v>
      </c>
      <c r="AC786" s="134">
        <f t="shared" si="125"/>
        <v>0</v>
      </c>
      <c r="AD786" s="251"/>
      <c r="AE786" s="1736"/>
      <c r="AF786" s="1737"/>
      <c r="AG786" s="77">
        <f t="shared" si="126"/>
        <v>0</v>
      </c>
      <c r="AH786" s="136">
        <f t="shared" si="127"/>
        <v>0</v>
      </c>
      <c r="AI786" s="251"/>
      <c r="AJ786" s="1736"/>
      <c r="AK786" s="1737"/>
      <c r="AL786" s="79">
        <f t="shared" si="128"/>
        <v>0</v>
      </c>
      <c r="AM786" s="137">
        <f t="shared" si="129"/>
        <v>0</v>
      </c>
      <c r="AN786" s="251"/>
      <c r="AO786" s="1736"/>
      <c r="AP786" s="1737"/>
    </row>
    <row r="787" spans="1:42" s="85" customFormat="1" ht="13.5" thickBot="1">
      <c r="A787" s="240"/>
      <c r="B787" s="241"/>
      <c r="C787" s="242"/>
      <c r="D787" s="242"/>
      <c r="E787" s="243"/>
      <c r="F787" s="244"/>
      <c r="G787" s="244"/>
      <c r="H787" s="243"/>
      <c r="I787" s="258"/>
      <c r="J787" s="245"/>
      <c r="K787" s="245"/>
      <c r="L787" s="76">
        <f t="shared" si="120"/>
        <v>0</v>
      </c>
      <c r="M787" s="246"/>
      <c r="N787" s="247"/>
      <c r="O787" s="248"/>
      <c r="P787" s="246"/>
      <c r="Q787" s="249"/>
      <c r="R787" s="250"/>
      <c r="S787" s="259"/>
      <c r="T787" s="260"/>
      <c r="U787" s="250"/>
      <c r="V787" s="78">
        <f t="shared" si="121"/>
        <v>0</v>
      </c>
      <c r="W787" s="261">
        <f t="shared" si="122"/>
        <v>0</v>
      </c>
      <c r="X787" s="133">
        <f t="shared" si="123"/>
        <v>0</v>
      </c>
      <c r="Y787" s="251"/>
      <c r="Z787" s="1736"/>
      <c r="AA787" s="1737"/>
      <c r="AB787" s="77">
        <f t="shared" si="124"/>
        <v>0</v>
      </c>
      <c r="AC787" s="134">
        <f t="shared" si="125"/>
        <v>0</v>
      </c>
      <c r="AD787" s="251"/>
      <c r="AE787" s="1736"/>
      <c r="AF787" s="1737"/>
      <c r="AG787" s="77">
        <f t="shared" si="126"/>
        <v>0</v>
      </c>
      <c r="AH787" s="136">
        <f t="shared" si="127"/>
        <v>0</v>
      </c>
      <c r="AI787" s="251"/>
      <c r="AJ787" s="1736"/>
      <c r="AK787" s="1737"/>
      <c r="AL787" s="79">
        <f t="shared" si="128"/>
        <v>0</v>
      </c>
      <c r="AM787" s="137">
        <f t="shared" si="129"/>
        <v>0</v>
      </c>
      <c r="AN787" s="251"/>
      <c r="AO787" s="1736"/>
      <c r="AP787" s="1737"/>
    </row>
    <row r="788" spans="1:42" s="85" customFormat="1" ht="13.5" thickBot="1">
      <c r="A788" s="240"/>
      <c r="B788" s="241"/>
      <c r="C788" s="242"/>
      <c r="D788" s="242"/>
      <c r="E788" s="243"/>
      <c r="F788" s="244"/>
      <c r="G788" s="244"/>
      <c r="H788" s="243"/>
      <c r="I788" s="258"/>
      <c r="J788" s="245"/>
      <c r="K788" s="245"/>
      <c r="L788" s="76">
        <f t="shared" si="120"/>
        <v>0</v>
      </c>
      <c r="M788" s="246"/>
      <c r="N788" s="247"/>
      <c r="O788" s="248"/>
      <c r="P788" s="246"/>
      <c r="Q788" s="249"/>
      <c r="R788" s="250"/>
      <c r="S788" s="259"/>
      <c r="T788" s="260"/>
      <c r="U788" s="250"/>
      <c r="V788" s="78">
        <f t="shared" si="121"/>
        <v>0</v>
      </c>
      <c r="W788" s="261">
        <f t="shared" si="122"/>
        <v>0</v>
      </c>
      <c r="X788" s="133">
        <f t="shared" si="123"/>
        <v>0</v>
      </c>
      <c r="Y788" s="251"/>
      <c r="Z788" s="1736"/>
      <c r="AA788" s="1737"/>
      <c r="AB788" s="77">
        <f t="shared" si="124"/>
        <v>0</v>
      </c>
      <c r="AC788" s="134">
        <f t="shared" si="125"/>
        <v>0</v>
      </c>
      <c r="AD788" s="251"/>
      <c r="AE788" s="1736"/>
      <c r="AF788" s="1737"/>
      <c r="AG788" s="77">
        <f t="shared" si="126"/>
        <v>0</v>
      </c>
      <c r="AH788" s="136">
        <f t="shared" si="127"/>
        <v>0</v>
      </c>
      <c r="AI788" s="251"/>
      <c r="AJ788" s="1736"/>
      <c r="AK788" s="1737"/>
      <c r="AL788" s="79">
        <f t="shared" si="128"/>
        <v>0</v>
      </c>
      <c r="AM788" s="137">
        <f t="shared" si="129"/>
        <v>0</v>
      </c>
      <c r="AN788" s="251"/>
      <c r="AO788" s="1736"/>
      <c r="AP788" s="1737"/>
    </row>
    <row r="789" spans="1:42" s="85" customFormat="1" ht="13.5" thickBot="1">
      <c r="A789" s="240"/>
      <c r="B789" s="241"/>
      <c r="C789" s="242"/>
      <c r="D789" s="242"/>
      <c r="E789" s="243"/>
      <c r="F789" s="244"/>
      <c r="G789" s="244"/>
      <c r="H789" s="243"/>
      <c r="I789" s="258"/>
      <c r="J789" s="245"/>
      <c r="K789" s="245"/>
      <c r="L789" s="76">
        <f t="shared" si="120"/>
        <v>0</v>
      </c>
      <c r="M789" s="246"/>
      <c r="N789" s="247"/>
      <c r="O789" s="248"/>
      <c r="P789" s="246"/>
      <c r="Q789" s="249"/>
      <c r="R789" s="250"/>
      <c r="S789" s="259"/>
      <c r="T789" s="260"/>
      <c r="U789" s="250"/>
      <c r="V789" s="78">
        <f t="shared" si="121"/>
        <v>0</v>
      </c>
      <c r="W789" s="261">
        <f t="shared" si="122"/>
        <v>0</v>
      </c>
      <c r="X789" s="133">
        <f t="shared" si="123"/>
        <v>0</v>
      </c>
      <c r="Y789" s="251"/>
      <c r="Z789" s="1736"/>
      <c r="AA789" s="1737"/>
      <c r="AB789" s="77">
        <f t="shared" si="124"/>
        <v>0</v>
      </c>
      <c r="AC789" s="134">
        <f t="shared" si="125"/>
        <v>0</v>
      </c>
      <c r="AD789" s="251"/>
      <c r="AE789" s="1736"/>
      <c r="AF789" s="1737"/>
      <c r="AG789" s="77">
        <f t="shared" si="126"/>
        <v>0</v>
      </c>
      <c r="AH789" s="136">
        <f t="shared" si="127"/>
        <v>0</v>
      </c>
      <c r="AI789" s="251"/>
      <c r="AJ789" s="1736"/>
      <c r="AK789" s="1737"/>
      <c r="AL789" s="79">
        <f t="shared" si="128"/>
        <v>0</v>
      </c>
      <c r="AM789" s="137">
        <f t="shared" si="129"/>
        <v>0</v>
      </c>
      <c r="AN789" s="251"/>
      <c r="AO789" s="1736"/>
      <c r="AP789" s="1737"/>
    </row>
    <row r="790" spans="1:42" s="85" customFormat="1" ht="13.5" thickBot="1">
      <c r="A790" s="240"/>
      <c r="B790" s="241"/>
      <c r="C790" s="242"/>
      <c r="D790" s="242"/>
      <c r="E790" s="243"/>
      <c r="F790" s="244"/>
      <c r="G790" s="244"/>
      <c r="H790" s="243"/>
      <c r="I790" s="258"/>
      <c r="J790" s="245"/>
      <c r="K790" s="245"/>
      <c r="L790" s="76">
        <f t="shared" si="120"/>
        <v>0</v>
      </c>
      <c r="M790" s="246"/>
      <c r="N790" s="247"/>
      <c r="O790" s="248"/>
      <c r="P790" s="246"/>
      <c r="Q790" s="249"/>
      <c r="R790" s="250"/>
      <c r="S790" s="259"/>
      <c r="T790" s="260"/>
      <c r="U790" s="250"/>
      <c r="V790" s="78">
        <f t="shared" si="121"/>
        <v>0</v>
      </c>
      <c r="W790" s="261">
        <f t="shared" si="122"/>
        <v>0</v>
      </c>
      <c r="X790" s="133">
        <f t="shared" si="123"/>
        <v>0</v>
      </c>
      <c r="Y790" s="251"/>
      <c r="Z790" s="1736"/>
      <c r="AA790" s="1737"/>
      <c r="AB790" s="77">
        <f t="shared" si="124"/>
        <v>0</v>
      </c>
      <c r="AC790" s="134">
        <f t="shared" si="125"/>
        <v>0</v>
      </c>
      <c r="AD790" s="251"/>
      <c r="AE790" s="1736"/>
      <c r="AF790" s="1737"/>
      <c r="AG790" s="77">
        <f t="shared" si="126"/>
        <v>0</v>
      </c>
      <c r="AH790" s="136">
        <f t="shared" si="127"/>
        <v>0</v>
      </c>
      <c r="AI790" s="251"/>
      <c r="AJ790" s="1736"/>
      <c r="AK790" s="1737"/>
      <c r="AL790" s="79">
        <f t="shared" si="128"/>
        <v>0</v>
      </c>
      <c r="AM790" s="137">
        <f t="shared" si="129"/>
        <v>0</v>
      </c>
      <c r="AN790" s="251"/>
      <c r="AO790" s="1736"/>
      <c r="AP790" s="1737"/>
    </row>
    <row r="791" spans="1:42" s="85" customFormat="1" ht="13.5" thickBot="1">
      <c r="A791" s="240"/>
      <c r="B791" s="241"/>
      <c r="C791" s="242"/>
      <c r="D791" s="242"/>
      <c r="E791" s="243"/>
      <c r="F791" s="244"/>
      <c r="G791" s="244"/>
      <c r="H791" s="243"/>
      <c r="I791" s="258"/>
      <c r="J791" s="245"/>
      <c r="K791" s="245"/>
      <c r="L791" s="76">
        <f t="shared" si="120"/>
        <v>0</v>
      </c>
      <c r="M791" s="246"/>
      <c r="N791" s="247"/>
      <c r="O791" s="248"/>
      <c r="P791" s="246"/>
      <c r="Q791" s="249"/>
      <c r="R791" s="250"/>
      <c r="S791" s="259"/>
      <c r="T791" s="260"/>
      <c r="U791" s="250"/>
      <c r="V791" s="78">
        <f t="shared" si="121"/>
        <v>0</v>
      </c>
      <c r="W791" s="261">
        <f t="shared" si="122"/>
        <v>0</v>
      </c>
      <c r="X791" s="133">
        <f t="shared" si="123"/>
        <v>0</v>
      </c>
      <c r="Y791" s="251"/>
      <c r="Z791" s="1736"/>
      <c r="AA791" s="1737"/>
      <c r="AB791" s="77">
        <f t="shared" si="124"/>
        <v>0</v>
      </c>
      <c r="AC791" s="134">
        <f t="shared" si="125"/>
        <v>0</v>
      </c>
      <c r="AD791" s="251"/>
      <c r="AE791" s="1736"/>
      <c r="AF791" s="1737"/>
      <c r="AG791" s="77">
        <f t="shared" si="126"/>
        <v>0</v>
      </c>
      <c r="AH791" s="136">
        <f t="shared" si="127"/>
        <v>0</v>
      </c>
      <c r="AI791" s="251"/>
      <c r="AJ791" s="1736"/>
      <c r="AK791" s="1737"/>
      <c r="AL791" s="79">
        <f t="shared" si="128"/>
        <v>0</v>
      </c>
      <c r="AM791" s="137">
        <f t="shared" si="129"/>
        <v>0</v>
      </c>
      <c r="AN791" s="251"/>
      <c r="AO791" s="1736"/>
      <c r="AP791" s="1737"/>
    </row>
    <row r="792" spans="1:42" s="85" customFormat="1" ht="13.5" thickBot="1">
      <c r="A792" s="240"/>
      <c r="B792" s="241"/>
      <c r="C792" s="242"/>
      <c r="D792" s="242"/>
      <c r="E792" s="243"/>
      <c r="F792" s="244"/>
      <c r="G792" s="244"/>
      <c r="H792" s="243"/>
      <c r="I792" s="258"/>
      <c r="J792" s="245"/>
      <c r="K792" s="245"/>
      <c r="L792" s="76">
        <f t="shared" si="120"/>
        <v>0</v>
      </c>
      <c r="M792" s="246"/>
      <c r="N792" s="247"/>
      <c r="O792" s="248"/>
      <c r="P792" s="246"/>
      <c r="Q792" s="249"/>
      <c r="R792" s="250"/>
      <c r="S792" s="259"/>
      <c r="T792" s="260"/>
      <c r="U792" s="250"/>
      <c r="V792" s="78">
        <f t="shared" si="121"/>
        <v>0</v>
      </c>
      <c r="W792" s="261">
        <f t="shared" si="122"/>
        <v>0</v>
      </c>
      <c r="X792" s="133">
        <f t="shared" si="123"/>
        <v>0</v>
      </c>
      <c r="Y792" s="251"/>
      <c r="Z792" s="1736"/>
      <c r="AA792" s="1737"/>
      <c r="AB792" s="77">
        <f t="shared" si="124"/>
        <v>0</v>
      </c>
      <c r="AC792" s="134">
        <f t="shared" si="125"/>
        <v>0</v>
      </c>
      <c r="AD792" s="251"/>
      <c r="AE792" s="1736"/>
      <c r="AF792" s="1737"/>
      <c r="AG792" s="77">
        <f t="shared" si="126"/>
        <v>0</v>
      </c>
      <c r="AH792" s="136">
        <f t="shared" si="127"/>
        <v>0</v>
      </c>
      <c r="AI792" s="251"/>
      <c r="AJ792" s="1736"/>
      <c r="AK792" s="1737"/>
      <c r="AL792" s="79">
        <f t="shared" si="128"/>
        <v>0</v>
      </c>
      <c r="AM792" s="137">
        <f t="shared" si="129"/>
        <v>0</v>
      </c>
      <c r="AN792" s="251"/>
      <c r="AO792" s="1736"/>
      <c r="AP792" s="1737"/>
    </row>
    <row r="793" spans="1:42" s="85" customFormat="1" ht="13.5" thickBot="1">
      <c r="A793" s="240"/>
      <c r="B793" s="241"/>
      <c r="C793" s="242"/>
      <c r="D793" s="242"/>
      <c r="E793" s="243"/>
      <c r="F793" s="244"/>
      <c r="G793" s="244"/>
      <c r="H793" s="243"/>
      <c r="I793" s="258"/>
      <c r="J793" s="245"/>
      <c r="K793" s="245"/>
      <c r="L793" s="76">
        <f t="shared" si="120"/>
        <v>0</v>
      </c>
      <c r="M793" s="246"/>
      <c r="N793" s="247"/>
      <c r="O793" s="248"/>
      <c r="P793" s="246"/>
      <c r="Q793" s="249"/>
      <c r="R793" s="250"/>
      <c r="S793" s="259"/>
      <c r="T793" s="260"/>
      <c r="U793" s="250"/>
      <c r="V793" s="78">
        <f t="shared" si="121"/>
        <v>0</v>
      </c>
      <c r="W793" s="261">
        <f t="shared" si="122"/>
        <v>0</v>
      </c>
      <c r="X793" s="133">
        <f t="shared" si="123"/>
        <v>0</v>
      </c>
      <c r="Y793" s="251"/>
      <c r="Z793" s="1736"/>
      <c r="AA793" s="1737"/>
      <c r="AB793" s="77">
        <f t="shared" si="124"/>
        <v>0</v>
      </c>
      <c r="AC793" s="134">
        <f t="shared" si="125"/>
        <v>0</v>
      </c>
      <c r="AD793" s="251"/>
      <c r="AE793" s="1736"/>
      <c r="AF793" s="1737"/>
      <c r="AG793" s="77">
        <f t="shared" si="126"/>
        <v>0</v>
      </c>
      <c r="AH793" s="136">
        <f t="shared" si="127"/>
        <v>0</v>
      </c>
      <c r="AI793" s="251"/>
      <c r="AJ793" s="1736"/>
      <c r="AK793" s="1737"/>
      <c r="AL793" s="79">
        <f t="shared" si="128"/>
        <v>0</v>
      </c>
      <c r="AM793" s="137">
        <f t="shared" si="129"/>
        <v>0</v>
      </c>
      <c r="AN793" s="251"/>
      <c r="AO793" s="1736"/>
      <c r="AP793" s="1737"/>
    </row>
    <row r="794" spans="1:42" s="85" customFormat="1" ht="13.5" thickBot="1">
      <c r="A794" s="240"/>
      <c r="B794" s="241"/>
      <c r="C794" s="242"/>
      <c r="D794" s="242"/>
      <c r="E794" s="243"/>
      <c r="F794" s="244"/>
      <c r="G794" s="244"/>
      <c r="H794" s="243"/>
      <c r="I794" s="258"/>
      <c r="J794" s="245"/>
      <c r="K794" s="245"/>
      <c r="L794" s="76">
        <f t="shared" si="120"/>
        <v>0</v>
      </c>
      <c r="M794" s="246"/>
      <c r="N794" s="247"/>
      <c r="O794" s="248"/>
      <c r="P794" s="246"/>
      <c r="Q794" s="249"/>
      <c r="R794" s="250"/>
      <c r="S794" s="259"/>
      <c r="T794" s="260"/>
      <c r="U794" s="250"/>
      <c r="V794" s="78">
        <f t="shared" si="121"/>
        <v>0</v>
      </c>
      <c r="W794" s="261">
        <f t="shared" si="122"/>
        <v>0</v>
      </c>
      <c r="X794" s="133">
        <f t="shared" si="123"/>
        <v>0</v>
      </c>
      <c r="Y794" s="251"/>
      <c r="Z794" s="1736"/>
      <c r="AA794" s="1737"/>
      <c r="AB794" s="77">
        <f t="shared" si="124"/>
        <v>0</v>
      </c>
      <c r="AC794" s="134">
        <f t="shared" si="125"/>
        <v>0</v>
      </c>
      <c r="AD794" s="251"/>
      <c r="AE794" s="1736"/>
      <c r="AF794" s="1737"/>
      <c r="AG794" s="77">
        <f t="shared" si="126"/>
        <v>0</v>
      </c>
      <c r="AH794" s="136">
        <f t="shared" si="127"/>
        <v>0</v>
      </c>
      <c r="AI794" s="251"/>
      <c r="AJ794" s="1736"/>
      <c r="AK794" s="1737"/>
      <c r="AL794" s="79">
        <f t="shared" si="128"/>
        <v>0</v>
      </c>
      <c r="AM794" s="137">
        <f t="shared" si="129"/>
        <v>0</v>
      </c>
      <c r="AN794" s="251"/>
      <c r="AO794" s="1736"/>
      <c r="AP794" s="1737"/>
    </row>
    <row r="795" spans="1:42" s="85" customFormat="1" ht="13.5" thickBot="1">
      <c r="A795" s="240"/>
      <c r="B795" s="241"/>
      <c r="C795" s="242"/>
      <c r="D795" s="242"/>
      <c r="E795" s="243"/>
      <c r="F795" s="244"/>
      <c r="G795" s="244"/>
      <c r="H795" s="243"/>
      <c r="I795" s="258"/>
      <c r="J795" s="245"/>
      <c r="K795" s="245"/>
      <c r="L795" s="76">
        <f t="shared" si="120"/>
        <v>0</v>
      </c>
      <c r="M795" s="246"/>
      <c r="N795" s="247"/>
      <c r="O795" s="248"/>
      <c r="P795" s="246"/>
      <c r="Q795" s="249"/>
      <c r="R795" s="250"/>
      <c r="S795" s="259"/>
      <c r="T795" s="260"/>
      <c r="U795" s="250"/>
      <c r="V795" s="78">
        <f t="shared" si="121"/>
        <v>0</v>
      </c>
      <c r="W795" s="261">
        <f t="shared" si="122"/>
        <v>0</v>
      </c>
      <c r="X795" s="133">
        <f t="shared" si="123"/>
        <v>0</v>
      </c>
      <c r="Y795" s="251"/>
      <c r="Z795" s="1736"/>
      <c r="AA795" s="1737"/>
      <c r="AB795" s="77">
        <f t="shared" si="124"/>
        <v>0</v>
      </c>
      <c r="AC795" s="134">
        <f t="shared" si="125"/>
        <v>0</v>
      </c>
      <c r="AD795" s="251"/>
      <c r="AE795" s="1736"/>
      <c r="AF795" s="1737"/>
      <c r="AG795" s="77">
        <f t="shared" si="126"/>
        <v>0</v>
      </c>
      <c r="AH795" s="136">
        <f t="shared" si="127"/>
        <v>0</v>
      </c>
      <c r="AI795" s="251"/>
      <c r="AJ795" s="1736"/>
      <c r="AK795" s="1737"/>
      <c r="AL795" s="79">
        <f t="shared" si="128"/>
        <v>0</v>
      </c>
      <c r="AM795" s="137">
        <f t="shared" si="129"/>
        <v>0</v>
      </c>
      <c r="AN795" s="251"/>
      <c r="AO795" s="1736"/>
      <c r="AP795" s="1737"/>
    </row>
    <row r="796" spans="1:42" s="85" customFormat="1" ht="13.5" thickBot="1">
      <c r="A796" s="240"/>
      <c r="B796" s="241"/>
      <c r="C796" s="242"/>
      <c r="D796" s="242"/>
      <c r="E796" s="243"/>
      <c r="F796" s="244"/>
      <c r="G796" s="244"/>
      <c r="H796" s="243"/>
      <c r="I796" s="258"/>
      <c r="J796" s="245"/>
      <c r="K796" s="245"/>
      <c r="L796" s="76">
        <f t="shared" si="120"/>
        <v>0</v>
      </c>
      <c r="M796" s="246"/>
      <c r="N796" s="247"/>
      <c r="O796" s="248"/>
      <c r="P796" s="246"/>
      <c r="Q796" s="249"/>
      <c r="R796" s="250"/>
      <c r="S796" s="259"/>
      <c r="T796" s="260"/>
      <c r="U796" s="250"/>
      <c r="V796" s="78">
        <f t="shared" si="121"/>
        <v>0</v>
      </c>
      <c r="W796" s="261">
        <f t="shared" si="122"/>
        <v>0</v>
      </c>
      <c r="X796" s="133">
        <f t="shared" si="123"/>
        <v>0</v>
      </c>
      <c r="Y796" s="251"/>
      <c r="Z796" s="1736"/>
      <c r="AA796" s="1737"/>
      <c r="AB796" s="77">
        <f t="shared" si="124"/>
        <v>0</v>
      </c>
      <c r="AC796" s="134">
        <f t="shared" si="125"/>
        <v>0</v>
      </c>
      <c r="AD796" s="251"/>
      <c r="AE796" s="1736"/>
      <c r="AF796" s="1737"/>
      <c r="AG796" s="77">
        <f t="shared" si="126"/>
        <v>0</v>
      </c>
      <c r="AH796" s="136">
        <f t="shared" si="127"/>
        <v>0</v>
      </c>
      <c r="AI796" s="251"/>
      <c r="AJ796" s="1736"/>
      <c r="AK796" s="1737"/>
      <c r="AL796" s="79">
        <f t="shared" si="128"/>
        <v>0</v>
      </c>
      <c r="AM796" s="137">
        <f t="shared" si="129"/>
        <v>0</v>
      </c>
      <c r="AN796" s="251"/>
      <c r="AO796" s="1736"/>
      <c r="AP796" s="1737"/>
    </row>
    <row r="797" spans="1:42" s="85" customFormat="1" ht="13.5" thickBot="1">
      <c r="A797" s="240"/>
      <c r="B797" s="241"/>
      <c r="C797" s="242"/>
      <c r="D797" s="242"/>
      <c r="E797" s="243"/>
      <c r="F797" s="244"/>
      <c r="G797" s="244"/>
      <c r="H797" s="243"/>
      <c r="I797" s="258"/>
      <c r="J797" s="245"/>
      <c r="K797" s="245"/>
      <c r="L797" s="76">
        <f t="shared" si="120"/>
        <v>0</v>
      </c>
      <c r="M797" s="246"/>
      <c r="N797" s="247"/>
      <c r="O797" s="248"/>
      <c r="P797" s="246"/>
      <c r="Q797" s="249"/>
      <c r="R797" s="250"/>
      <c r="S797" s="259"/>
      <c r="T797" s="260"/>
      <c r="U797" s="250"/>
      <c r="V797" s="78">
        <f t="shared" si="121"/>
        <v>0</v>
      </c>
      <c r="W797" s="261">
        <f t="shared" si="122"/>
        <v>0</v>
      </c>
      <c r="X797" s="133">
        <f t="shared" si="123"/>
        <v>0</v>
      </c>
      <c r="Y797" s="251"/>
      <c r="Z797" s="1736"/>
      <c r="AA797" s="1737"/>
      <c r="AB797" s="77">
        <f t="shared" si="124"/>
        <v>0</v>
      </c>
      <c r="AC797" s="134">
        <f t="shared" si="125"/>
        <v>0</v>
      </c>
      <c r="AD797" s="251"/>
      <c r="AE797" s="1736"/>
      <c r="AF797" s="1737"/>
      <c r="AG797" s="77">
        <f t="shared" si="126"/>
        <v>0</v>
      </c>
      <c r="AH797" s="136">
        <f t="shared" si="127"/>
        <v>0</v>
      </c>
      <c r="AI797" s="251"/>
      <c r="AJ797" s="1736"/>
      <c r="AK797" s="1737"/>
      <c r="AL797" s="79">
        <f t="shared" si="128"/>
        <v>0</v>
      </c>
      <c r="AM797" s="137">
        <f t="shared" si="129"/>
        <v>0</v>
      </c>
      <c r="AN797" s="251"/>
      <c r="AO797" s="1736"/>
      <c r="AP797" s="1737"/>
    </row>
    <row r="798" spans="1:42" s="85" customFormat="1" ht="13.5" thickBot="1">
      <c r="A798" s="240"/>
      <c r="B798" s="241"/>
      <c r="C798" s="242"/>
      <c r="D798" s="242"/>
      <c r="E798" s="243"/>
      <c r="F798" s="244"/>
      <c r="G798" s="244"/>
      <c r="H798" s="243"/>
      <c r="I798" s="258"/>
      <c r="J798" s="245"/>
      <c r="K798" s="245"/>
      <c r="L798" s="76">
        <f t="shared" si="120"/>
        <v>0</v>
      </c>
      <c r="M798" s="246"/>
      <c r="N798" s="247"/>
      <c r="O798" s="248"/>
      <c r="P798" s="246"/>
      <c r="Q798" s="249"/>
      <c r="R798" s="250"/>
      <c r="S798" s="259"/>
      <c r="T798" s="260"/>
      <c r="U798" s="250"/>
      <c r="V798" s="78">
        <f t="shared" si="121"/>
        <v>0</v>
      </c>
      <c r="W798" s="261">
        <f t="shared" si="122"/>
        <v>0</v>
      </c>
      <c r="X798" s="133">
        <f t="shared" si="123"/>
        <v>0</v>
      </c>
      <c r="Y798" s="251"/>
      <c r="Z798" s="1736"/>
      <c r="AA798" s="1737"/>
      <c r="AB798" s="77">
        <f t="shared" si="124"/>
        <v>0</v>
      </c>
      <c r="AC798" s="134">
        <f t="shared" si="125"/>
        <v>0</v>
      </c>
      <c r="AD798" s="251"/>
      <c r="AE798" s="1736"/>
      <c r="AF798" s="1737"/>
      <c r="AG798" s="77">
        <f t="shared" si="126"/>
        <v>0</v>
      </c>
      <c r="AH798" s="136">
        <f t="shared" si="127"/>
        <v>0</v>
      </c>
      <c r="AI798" s="251"/>
      <c r="AJ798" s="1736"/>
      <c r="AK798" s="1737"/>
      <c r="AL798" s="79">
        <f t="shared" si="128"/>
        <v>0</v>
      </c>
      <c r="AM798" s="137">
        <f t="shared" si="129"/>
        <v>0</v>
      </c>
      <c r="AN798" s="251"/>
      <c r="AO798" s="1736"/>
      <c r="AP798" s="1737"/>
    </row>
    <row r="799" spans="1:42" s="85" customFormat="1" ht="13.5" thickBot="1">
      <c r="A799" s="240"/>
      <c r="B799" s="241"/>
      <c r="C799" s="242"/>
      <c r="D799" s="242"/>
      <c r="E799" s="243"/>
      <c r="F799" s="244"/>
      <c r="G799" s="244"/>
      <c r="H799" s="243"/>
      <c r="I799" s="258"/>
      <c r="J799" s="245"/>
      <c r="K799" s="245"/>
      <c r="L799" s="76">
        <f t="shared" si="120"/>
        <v>0</v>
      </c>
      <c r="M799" s="246"/>
      <c r="N799" s="247"/>
      <c r="O799" s="248"/>
      <c r="P799" s="246"/>
      <c r="Q799" s="249"/>
      <c r="R799" s="250"/>
      <c r="S799" s="259"/>
      <c r="T799" s="260"/>
      <c r="U799" s="250"/>
      <c r="V799" s="78">
        <f t="shared" si="121"/>
        <v>0</v>
      </c>
      <c r="W799" s="261">
        <f t="shared" si="122"/>
        <v>0</v>
      </c>
      <c r="X799" s="133">
        <f t="shared" si="123"/>
        <v>0</v>
      </c>
      <c r="Y799" s="251"/>
      <c r="Z799" s="1736"/>
      <c r="AA799" s="1737"/>
      <c r="AB799" s="77">
        <f t="shared" si="124"/>
        <v>0</v>
      </c>
      <c r="AC799" s="134">
        <f t="shared" si="125"/>
        <v>0</v>
      </c>
      <c r="AD799" s="251"/>
      <c r="AE799" s="1736"/>
      <c r="AF799" s="1737"/>
      <c r="AG799" s="77">
        <f t="shared" si="126"/>
        <v>0</v>
      </c>
      <c r="AH799" s="136">
        <f t="shared" si="127"/>
        <v>0</v>
      </c>
      <c r="AI799" s="251"/>
      <c r="AJ799" s="1736"/>
      <c r="AK799" s="1737"/>
      <c r="AL799" s="79">
        <f t="shared" si="128"/>
        <v>0</v>
      </c>
      <c r="AM799" s="137">
        <f t="shared" si="129"/>
        <v>0</v>
      </c>
      <c r="AN799" s="251"/>
      <c r="AO799" s="1736"/>
      <c r="AP799" s="1737"/>
    </row>
    <row r="800" spans="1:42" s="85" customFormat="1" ht="13.5" thickBot="1">
      <c r="A800" s="240"/>
      <c r="B800" s="241"/>
      <c r="C800" s="242"/>
      <c r="D800" s="242"/>
      <c r="E800" s="243"/>
      <c r="F800" s="244"/>
      <c r="G800" s="244"/>
      <c r="H800" s="243"/>
      <c r="I800" s="258"/>
      <c r="J800" s="245"/>
      <c r="K800" s="245"/>
      <c r="L800" s="76">
        <f t="shared" si="120"/>
        <v>0</v>
      </c>
      <c r="M800" s="246"/>
      <c r="N800" s="247"/>
      <c r="O800" s="248"/>
      <c r="P800" s="246"/>
      <c r="Q800" s="249"/>
      <c r="R800" s="250"/>
      <c r="S800" s="259"/>
      <c r="T800" s="260"/>
      <c r="U800" s="250"/>
      <c r="V800" s="78">
        <f t="shared" si="121"/>
        <v>0</v>
      </c>
      <c r="W800" s="261">
        <f t="shared" si="122"/>
        <v>0</v>
      </c>
      <c r="X800" s="133">
        <f t="shared" si="123"/>
        <v>0</v>
      </c>
      <c r="Y800" s="251"/>
      <c r="Z800" s="1736"/>
      <c r="AA800" s="1737"/>
      <c r="AB800" s="77">
        <f t="shared" si="124"/>
        <v>0</v>
      </c>
      <c r="AC800" s="134">
        <f t="shared" si="125"/>
        <v>0</v>
      </c>
      <c r="AD800" s="251"/>
      <c r="AE800" s="1736"/>
      <c r="AF800" s="1737"/>
      <c r="AG800" s="77">
        <f t="shared" si="126"/>
        <v>0</v>
      </c>
      <c r="AH800" s="136">
        <f t="shared" si="127"/>
        <v>0</v>
      </c>
      <c r="AI800" s="251"/>
      <c r="AJ800" s="1736"/>
      <c r="AK800" s="1737"/>
      <c r="AL800" s="79">
        <f t="shared" si="128"/>
        <v>0</v>
      </c>
      <c r="AM800" s="137">
        <f t="shared" si="129"/>
        <v>0</v>
      </c>
      <c r="AN800" s="251"/>
      <c r="AO800" s="1736"/>
      <c r="AP800" s="1737"/>
    </row>
    <row r="801" spans="1:42" s="85" customFormat="1" ht="13.5" thickBot="1">
      <c r="A801" s="240"/>
      <c r="B801" s="241"/>
      <c r="C801" s="242"/>
      <c r="D801" s="242"/>
      <c r="E801" s="243"/>
      <c r="F801" s="244"/>
      <c r="G801" s="244"/>
      <c r="H801" s="243"/>
      <c r="I801" s="258"/>
      <c r="J801" s="245"/>
      <c r="K801" s="245"/>
      <c r="L801" s="76">
        <f t="shared" si="120"/>
        <v>0</v>
      </c>
      <c r="M801" s="246"/>
      <c r="N801" s="247"/>
      <c r="O801" s="248"/>
      <c r="P801" s="246"/>
      <c r="Q801" s="249"/>
      <c r="R801" s="250"/>
      <c r="S801" s="259"/>
      <c r="T801" s="260"/>
      <c r="U801" s="250"/>
      <c r="V801" s="78">
        <f t="shared" si="121"/>
        <v>0</v>
      </c>
      <c r="W801" s="261">
        <f t="shared" si="122"/>
        <v>0</v>
      </c>
      <c r="X801" s="133">
        <f t="shared" si="123"/>
        <v>0</v>
      </c>
      <c r="Y801" s="251"/>
      <c r="Z801" s="1736"/>
      <c r="AA801" s="1737"/>
      <c r="AB801" s="77">
        <f t="shared" si="124"/>
        <v>0</v>
      </c>
      <c r="AC801" s="134">
        <f t="shared" si="125"/>
        <v>0</v>
      </c>
      <c r="AD801" s="251"/>
      <c r="AE801" s="1736"/>
      <c r="AF801" s="1737"/>
      <c r="AG801" s="77">
        <f t="shared" si="126"/>
        <v>0</v>
      </c>
      <c r="AH801" s="136">
        <f t="shared" si="127"/>
        <v>0</v>
      </c>
      <c r="AI801" s="251"/>
      <c r="AJ801" s="1736"/>
      <c r="AK801" s="1737"/>
      <c r="AL801" s="79">
        <f t="shared" si="128"/>
        <v>0</v>
      </c>
      <c r="AM801" s="137">
        <f t="shared" si="129"/>
        <v>0</v>
      </c>
      <c r="AN801" s="251"/>
      <c r="AO801" s="1736"/>
      <c r="AP801" s="1737"/>
    </row>
    <row r="802" spans="1:42" s="85" customFormat="1" ht="13.5" thickBot="1">
      <c r="A802" s="240"/>
      <c r="B802" s="241"/>
      <c r="C802" s="242"/>
      <c r="D802" s="242"/>
      <c r="E802" s="243"/>
      <c r="F802" s="244"/>
      <c r="G802" s="244"/>
      <c r="H802" s="243"/>
      <c r="I802" s="258"/>
      <c r="J802" s="245"/>
      <c r="K802" s="245"/>
      <c r="L802" s="76">
        <f t="shared" si="120"/>
        <v>0</v>
      </c>
      <c r="M802" s="246"/>
      <c r="N802" s="247"/>
      <c r="O802" s="248"/>
      <c r="P802" s="246"/>
      <c r="Q802" s="249"/>
      <c r="R802" s="250"/>
      <c r="S802" s="259"/>
      <c r="T802" s="260"/>
      <c r="U802" s="250"/>
      <c r="V802" s="78">
        <f t="shared" si="121"/>
        <v>0</v>
      </c>
      <c r="W802" s="261">
        <f t="shared" si="122"/>
        <v>0</v>
      </c>
      <c r="X802" s="133">
        <f t="shared" si="123"/>
        <v>0</v>
      </c>
      <c r="Y802" s="251"/>
      <c r="Z802" s="1736"/>
      <c r="AA802" s="1737"/>
      <c r="AB802" s="77">
        <f t="shared" si="124"/>
        <v>0</v>
      </c>
      <c r="AC802" s="134">
        <f t="shared" si="125"/>
        <v>0</v>
      </c>
      <c r="AD802" s="251"/>
      <c r="AE802" s="1736"/>
      <c r="AF802" s="1737"/>
      <c r="AG802" s="77">
        <f t="shared" si="126"/>
        <v>0</v>
      </c>
      <c r="AH802" s="136">
        <f t="shared" si="127"/>
        <v>0</v>
      </c>
      <c r="AI802" s="251"/>
      <c r="AJ802" s="1736"/>
      <c r="AK802" s="1737"/>
      <c r="AL802" s="79">
        <f t="shared" si="128"/>
        <v>0</v>
      </c>
      <c r="AM802" s="137">
        <f t="shared" si="129"/>
        <v>0</v>
      </c>
      <c r="AN802" s="251"/>
      <c r="AO802" s="1736"/>
      <c r="AP802" s="1737"/>
    </row>
    <row r="803" spans="1:42" s="85" customFormat="1" ht="13.5" thickBot="1">
      <c r="A803" s="240"/>
      <c r="B803" s="241"/>
      <c r="C803" s="242"/>
      <c r="D803" s="242"/>
      <c r="E803" s="243"/>
      <c r="F803" s="244"/>
      <c r="G803" s="244"/>
      <c r="H803" s="243"/>
      <c r="I803" s="258"/>
      <c r="J803" s="245"/>
      <c r="K803" s="245"/>
      <c r="L803" s="76">
        <f t="shared" si="120"/>
        <v>0</v>
      </c>
      <c r="M803" s="246"/>
      <c r="N803" s="247"/>
      <c r="O803" s="248"/>
      <c r="P803" s="246"/>
      <c r="Q803" s="249"/>
      <c r="R803" s="250"/>
      <c r="S803" s="259"/>
      <c r="T803" s="260"/>
      <c r="U803" s="250"/>
      <c r="V803" s="78">
        <f t="shared" si="121"/>
        <v>0</v>
      </c>
      <c r="W803" s="261">
        <f t="shared" si="122"/>
        <v>0</v>
      </c>
      <c r="X803" s="133">
        <f t="shared" si="123"/>
        <v>0</v>
      </c>
      <c r="Y803" s="251"/>
      <c r="Z803" s="1736"/>
      <c r="AA803" s="1737"/>
      <c r="AB803" s="77">
        <f t="shared" si="124"/>
        <v>0</v>
      </c>
      <c r="AC803" s="134">
        <f t="shared" si="125"/>
        <v>0</v>
      </c>
      <c r="AD803" s="251"/>
      <c r="AE803" s="1736"/>
      <c r="AF803" s="1737"/>
      <c r="AG803" s="77">
        <f t="shared" si="126"/>
        <v>0</v>
      </c>
      <c r="AH803" s="136">
        <f t="shared" si="127"/>
        <v>0</v>
      </c>
      <c r="AI803" s="251"/>
      <c r="AJ803" s="1736"/>
      <c r="AK803" s="1737"/>
      <c r="AL803" s="79">
        <f t="shared" si="128"/>
        <v>0</v>
      </c>
      <c r="AM803" s="137">
        <f t="shared" si="129"/>
        <v>0</v>
      </c>
      <c r="AN803" s="251"/>
      <c r="AO803" s="1736"/>
      <c r="AP803" s="1737"/>
    </row>
    <row r="804" spans="1:42" s="85" customFormat="1" ht="13.5" thickBot="1">
      <c r="A804" s="240"/>
      <c r="B804" s="241"/>
      <c r="C804" s="242"/>
      <c r="D804" s="242"/>
      <c r="E804" s="243"/>
      <c r="F804" s="244"/>
      <c r="G804" s="244"/>
      <c r="H804" s="243"/>
      <c r="I804" s="258"/>
      <c r="J804" s="245"/>
      <c r="K804" s="245"/>
      <c r="L804" s="76">
        <f t="shared" si="120"/>
        <v>0</v>
      </c>
      <c r="M804" s="246"/>
      <c r="N804" s="247"/>
      <c r="O804" s="248"/>
      <c r="P804" s="246"/>
      <c r="Q804" s="249"/>
      <c r="R804" s="250"/>
      <c r="S804" s="259"/>
      <c r="T804" s="260"/>
      <c r="U804" s="250"/>
      <c r="V804" s="78">
        <f t="shared" si="121"/>
        <v>0</v>
      </c>
      <c r="W804" s="261">
        <f t="shared" si="122"/>
        <v>0</v>
      </c>
      <c r="X804" s="133">
        <f t="shared" si="123"/>
        <v>0</v>
      </c>
      <c r="Y804" s="251"/>
      <c r="Z804" s="1736"/>
      <c r="AA804" s="1737"/>
      <c r="AB804" s="77">
        <f t="shared" si="124"/>
        <v>0</v>
      </c>
      <c r="AC804" s="134">
        <f t="shared" si="125"/>
        <v>0</v>
      </c>
      <c r="AD804" s="251"/>
      <c r="AE804" s="1736"/>
      <c r="AF804" s="1737"/>
      <c r="AG804" s="77">
        <f t="shared" si="126"/>
        <v>0</v>
      </c>
      <c r="AH804" s="136">
        <f t="shared" si="127"/>
        <v>0</v>
      </c>
      <c r="AI804" s="251"/>
      <c r="AJ804" s="1736"/>
      <c r="AK804" s="1737"/>
      <c r="AL804" s="79">
        <f t="shared" si="128"/>
        <v>0</v>
      </c>
      <c r="AM804" s="137">
        <f t="shared" si="129"/>
        <v>0</v>
      </c>
      <c r="AN804" s="251"/>
      <c r="AO804" s="1736"/>
      <c r="AP804" s="1737"/>
    </row>
    <row r="805" spans="1:42" s="85" customFormat="1" ht="13.5" thickBot="1">
      <c r="A805" s="240"/>
      <c r="B805" s="241"/>
      <c r="C805" s="242"/>
      <c r="D805" s="242"/>
      <c r="E805" s="243"/>
      <c r="F805" s="244"/>
      <c r="G805" s="244"/>
      <c r="H805" s="243"/>
      <c r="I805" s="258"/>
      <c r="J805" s="245"/>
      <c r="K805" s="245"/>
      <c r="L805" s="76">
        <f t="shared" si="120"/>
        <v>0</v>
      </c>
      <c r="M805" s="246"/>
      <c r="N805" s="247"/>
      <c r="O805" s="248"/>
      <c r="P805" s="246"/>
      <c r="Q805" s="249"/>
      <c r="R805" s="250"/>
      <c r="S805" s="259"/>
      <c r="T805" s="260"/>
      <c r="U805" s="250"/>
      <c r="V805" s="78">
        <f t="shared" si="121"/>
        <v>0</v>
      </c>
      <c r="W805" s="261">
        <f t="shared" si="122"/>
        <v>0</v>
      </c>
      <c r="X805" s="133">
        <f t="shared" si="123"/>
        <v>0</v>
      </c>
      <c r="Y805" s="251"/>
      <c r="Z805" s="1736"/>
      <c r="AA805" s="1737"/>
      <c r="AB805" s="77">
        <f t="shared" si="124"/>
        <v>0</v>
      </c>
      <c r="AC805" s="134">
        <f t="shared" si="125"/>
        <v>0</v>
      </c>
      <c r="AD805" s="251"/>
      <c r="AE805" s="1736"/>
      <c r="AF805" s="1737"/>
      <c r="AG805" s="77">
        <f t="shared" si="126"/>
        <v>0</v>
      </c>
      <c r="AH805" s="136">
        <f t="shared" si="127"/>
        <v>0</v>
      </c>
      <c r="AI805" s="251"/>
      <c r="AJ805" s="1736"/>
      <c r="AK805" s="1737"/>
      <c r="AL805" s="79">
        <f t="shared" si="128"/>
        <v>0</v>
      </c>
      <c r="AM805" s="137">
        <f t="shared" si="129"/>
        <v>0</v>
      </c>
      <c r="AN805" s="251"/>
      <c r="AO805" s="1736"/>
      <c r="AP805" s="1737"/>
    </row>
    <row r="806" spans="1:42" s="85" customFormat="1" ht="13.5" thickBot="1">
      <c r="A806" s="240"/>
      <c r="B806" s="241"/>
      <c r="C806" s="242"/>
      <c r="D806" s="242"/>
      <c r="E806" s="243"/>
      <c r="F806" s="244"/>
      <c r="G806" s="244"/>
      <c r="H806" s="243"/>
      <c r="I806" s="258"/>
      <c r="J806" s="245"/>
      <c r="K806" s="245"/>
      <c r="L806" s="76">
        <f t="shared" si="120"/>
        <v>0</v>
      </c>
      <c r="M806" s="246"/>
      <c r="N806" s="247"/>
      <c r="O806" s="248"/>
      <c r="P806" s="246"/>
      <c r="Q806" s="249"/>
      <c r="R806" s="250"/>
      <c r="S806" s="259"/>
      <c r="T806" s="260"/>
      <c r="U806" s="250"/>
      <c r="V806" s="78">
        <f t="shared" si="121"/>
        <v>0</v>
      </c>
      <c r="W806" s="261">
        <f t="shared" si="122"/>
        <v>0</v>
      </c>
      <c r="X806" s="133">
        <f t="shared" si="123"/>
        <v>0</v>
      </c>
      <c r="Y806" s="251"/>
      <c r="Z806" s="1736"/>
      <c r="AA806" s="1737"/>
      <c r="AB806" s="77">
        <f t="shared" si="124"/>
        <v>0</v>
      </c>
      <c r="AC806" s="134">
        <f t="shared" si="125"/>
        <v>0</v>
      </c>
      <c r="AD806" s="251"/>
      <c r="AE806" s="1736"/>
      <c r="AF806" s="1737"/>
      <c r="AG806" s="77">
        <f t="shared" si="126"/>
        <v>0</v>
      </c>
      <c r="AH806" s="136">
        <f t="shared" si="127"/>
        <v>0</v>
      </c>
      <c r="AI806" s="251"/>
      <c r="AJ806" s="1736"/>
      <c r="AK806" s="1737"/>
      <c r="AL806" s="79">
        <f t="shared" si="128"/>
        <v>0</v>
      </c>
      <c r="AM806" s="137">
        <f t="shared" si="129"/>
        <v>0</v>
      </c>
      <c r="AN806" s="251"/>
      <c r="AO806" s="1736"/>
      <c r="AP806" s="1737"/>
    </row>
    <row r="807" spans="1:42" s="85" customFormat="1" ht="13.5" thickBot="1">
      <c r="A807" s="240"/>
      <c r="B807" s="241"/>
      <c r="C807" s="242"/>
      <c r="D807" s="242"/>
      <c r="E807" s="243"/>
      <c r="F807" s="244"/>
      <c r="G807" s="244"/>
      <c r="H807" s="243"/>
      <c r="I807" s="258"/>
      <c r="J807" s="245"/>
      <c r="K807" s="245"/>
      <c r="L807" s="76">
        <f t="shared" si="120"/>
        <v>0</v>
      </c>
      <c r="M807" s="246"/>
      <c r="N807" s="247"/>
      <c r="O807" s="248"/>
      <c r="P807" s="246"/>
      <c r="Q807" s="249"/>
      <c r="R807" s="250"/>
      <c r="S807" s="259"/>
      <c r="T807" s="260"/>
      <c r="U807" s="250"/>
      <c r="V807" s="78">
        <f t="shared" si="121"/>
        <v>0</v>
      </c>
      <c r="W807" s="261">
        <f t="shared" si="122"/>
        <v>0</v>
      </c>
      <c r="X807" s="133">
        <f t="shared" si="123"/>
        <v>0</v>
      </c>
      <c r="Y807" s="251"/>
      <c r="Z807" s="1736"/>
      <c r="AA807" s="1737"/>
      <c r="AB807" s="77">
        <f t="shared" si="124"/>
        <v>0</v>
      </c>
      <c r="AC807" s="134">
        <f t="shared" si="125"/>
        <v>0</v>
      </c>
      <c r="AD807" s="251"/>
      <c r="AE807" s="1736"/>
      <c r="AF807" s="1737"/>
      <c r="AG807" s="77">
        <f t="shared" si="126"/>
        <v>0</v>
      </c>
      <c r="AH807" s="136">
        <f t="shared" si="127"/>
        <v>0</v>
      </c>
      <c r="AI807" s="251"/>
      <c r="AJ807" s="1736"/>
      <c r="AK807" s="1737"/>
      <c r="AL807" s="79">
        <f t="shared" si="128"/>
        <v>0</v>
      </c>
      <c r="AM807" s="137">
        <f t="shared" si="129"/>
        <v>0</v>
      </c>
      <c r="AN807" s="251"/>
      <c r="AO807" s="1736"/>
      <c r="AP807" s="1737"/>
    </row>
    <row r="808" spans="1:42" s="85" customFormat="1" ht="13.5" thickBot="1">
      <c r="A808" s="240"/>
      <c r="B808" s="241"/>
      <c r="C808" s="242"/>
      <c r="D808" s="242"/>
      <c r="E808" s="243"/>
      <c r="F808" s="244"/>
      <c r="G808" s="244"/>
      <c r="H808" s="243"/>
      <c r="I808" s="258"/>
      <c r="J808" s="245"/>
      <c r="K808" s="245"/>
      <c r="L808" s="76">
        <f t="shared" si="120"/>
        <v>0</v>
      </c>
      <c r="M808" s="246"/>
      <c r="N808" s="247"/>
      <c r="O808" s="248"/>
      <c r="P808" s="246"/>
      <c r="Q808" s="249"/>
      <c r="R808" s="250"/>
      <c r="S808" s="259"/>
      <c r="T808" s="260"/>
      <c r="U808" s="250"/>
      <c r="V808" s="78">
        <f t="shared" si="121"/>
        <v>0</v>
      </c>
      <c r="W808" s="261">
        <f t="shared" si="122"/>
        <v>0</v>
      </c>
      <c r="X808" s="133">
        <f t="shared" si="123"/>
        <v>0</v>
      </c>
      <c r="Y808" s="251"/>
      <c r="Z808" s="1736"/>
      <c r="AA808" s="1737"/>
      <c r="AB808" s="77">
        <f t="shared" si="124"/>
        <v>0</v>
      </c>
      <c r="AC808" s="134">
        <f t="shared" si="125"/>
        <v>0</v>
      </c>
      <c r="AD808" s="251"/>
      <c r="AE808" s="1736"/>
      <c r="AF808" s="1737"/>
      <c r="AG808" s="77">
        <f t="shared" si="126"/>
        <v>0</v>
      </c>
      <c r="AH808" s="136">
        <f t="shared" si="127"/>
        <v>0</v>
      </c>
      <c r="AI808" s="251"/>
      <c r="AJ808" s="1736"/>
      <c r="AK808" s="1737"/>
      <c r="AL808" s="79">
        <f t="shared" si="128"/>
        <v>0</v>
      </c>
      <c r="AM808" s="137">
        <f t="shared" si="129"/>
        <v>0</v>
      </c>
      <c r="AN808" s="251"/>
      <c r="AO808" s="1736"/>
      <c r="AP808" s="1737"/>
    </row>
    <row r="809" spans="1:42" s="85" customFormat="1" ht="13.5" thickBot="1">
      <c r="A809" s="240"/>
      <c r="B809" s="241"/>
      <c r="C809" s="242"/>
      <c r="D809" s="242"/>
      <c r="E809" s="243"/>
      <c r="F809" s="244"/>
      <c r="G809" s="244"/>
      <c r="H809" s="243"/>
      <c r="I809" s="258"/>
      <c r="J809" s="245"/>
      <c r="K809" s="245"/>
      <c r="L809" s="76">
        <f t="shared" si="120"/>
        <v>0</v>
      </c>
      <c r="M809" s="246"/>
      <c r="N809" s="247"/>
      <c r="O809" s="248"/>
      <c r="P809" s="246"/>
      <c r="Q809" s="249"/>
      <c r="R809" s="250"/>
      <c r="S809" s="259"/>
      <c r="T809" s="260"/>
      <c r="U809" s="250"/>
      <c r="V809" s="78">
        <f t="shared" si="121"/>
        <v>0</v>
      </c>
      <c r="W809" s="261">
        <f t="shared" si="122"/>
        <v>0</v>
      </c>
      <c r="X809" s="133">
        <f t="shared" si="123"/>
        <v>0</v>
      </c>
      <c r="Y809" s="251"/>
      <c r="Z809" s="1736"/>
      <c r="AA809" s="1737"/>
      <c r="AB809" s="77">
        <f t="shared" si="124"/>
        <v>0</v>
      </c>
      <c r="AC809" s="134">
        <f t="shared" si="125"/>
        <v>0</v>
      </c>
      <c r="AD809" s="251"/>
      <c r="AE809" s="1736"/>
      <c r="AF809" s="1737"/>
      <c r="AG809" s="77">
        <f t="shared" si="126"/>
        <v>0</v>
      </c>
      <c r="AH809" s="136">
        <f t="shared" si="127"/>
        <v>0</v>
      </c>
      <c r="AI809" s="251"/>
      <c r="AJ809" s="1736"/>
      <c r="AK809" s="1737"/>
      <c r="AL809" s="79">
        <f t="shared" si="128"/>
        <v>0</v>
      </c>
      <c r="AM809" s="137">
        <f t="shared" si="129"/>
        <v>0</v>
      </c>
      <c r="AN809" s="251"/>
      <c r="AO809" s="1736"/>
      <c r="AP809" s="1737"/>
    </row>
    <row r="810" spans="1:42" s="85" customFormat="1" ht="13.5" thickBot="1">
      <c r="A810" s="240"/>
      <c r="B810" s="241"/>
      <c r="C810" s="242"/>
      <c r="D810" s="242"/>
      <c r="E810" s="243"/>
      <c r="F810" s="244"/>
      <c r="G810" s="244"/>
      <c r="H810" s="243"/>
      <c r="I810" s="258"/>
      <c r="J810" s="245"/>
      <c r="K810" s="245"/>
      <c r="L810" s="76">
        <f t="shared" si="120"/>
        <v>0</v>
      </c>
      <c r="M810" s="246"/>
      <c r="N810" s="247"/>
      <c r="O810" s="248"/>
      <c r="P810" s="246"/>
      <c r="Q810" s="249"/>
      <c r="R810" s="250"/>
      <c r="S810" s="259"/>
      <c r="T810" s="260"/>
      <c r="U810" s="250"/>
      <c r="V810" s="78">
        <f t="shared" si="121"/>
        <v>0</v>
      </c>
      <c r="W810" s="261">
        <f t="shared" si="122"/>
        <v>0</v>
      </c>
      <c r="X810" s="133">
        <f t="shared" si="123"/>
        <v>0</v>
      </c>
      <c r="Y810" s="251"/>
      <c r="Z810" s="1736"/>
      <c r="AA810" s="1737"/>
      <c r="AB810" s="77">
        <f t="shared" si="124"/>
        <v>0</v>
      </c>
      <c r="AC810" s="134">
        <f t="shared" si="125"/>
        <v>0</v>
      </c>
      <c r="AD810" s="251"/>
      <c r="AE810" s="1736"/>
      <c r="AF810" s="1737"/>
      <c r="AG810" s="77">
        <f t="shared" si="126"/>
        <v>0</v>
      </c>
      <c r="AH810" s="136">
        <f t="shared" si="127"/>
        <v>0</v>
      </c>
      <c r="AI810" s="251"/>
      <c r="AJ810" s="1736"/>
      <c r="AK810" s="1737"/>
      <c r="AL810" s="79">
        <f t="shared" si="128"/>
        <v>0</v>
      </c>
      <c r="AM810" s="137">
        <f t="shared" si="129"/>
        <v>0</v>
      </c>
      <c r="AN810" s="251"/>
      <c r="AO810" s="1736"/>
      <c r="AP810" s="1737"/>
    </row>
    <row r="811" spans="1:42" s="85" customFormat="1" ht="13.5" thickBot="1">
      <c r="A811" s="240"/>
      <c r="B811" s="241"/>
      <c r="C811" s="242"/>
      <c r="D811" s="242"/>
      <c r="E811" s="243"/>
      <c r="F811" s="244"/>
      <c r="G811" s="244"/>
      <c r="H811" s="243"/>
      <c r="I811" s="258"/>
      <c r="J811" s="245"/>
      <c r="K811" s="245"/>
      <c r="L811" s="76">
        <f t="shared" si="120"/>
        <v>0</v>
      </c>
      <c r="M811" s="246"/>
      <c r="N811" s="247"/>
      <c r="O811" s="248"/>
      <c r="P811" s="246"/>
      <c r="Q811" s="249"/>
      <c r="R811" s="250"/>
      <c r="S811" s="259"/>
      <c r="T811" s="260"/>
      <c r="U811" s="250"/>
      <c r="V811" s="78">
        <f t="shared" si="121"/>
        <v>0</v>
      </c>
      <c r="W811" s="261">
        <f t="shared" si="122"/>
        <v>0</v>
      </c>
      <c r="X811" s="133">
        <f t="shared" si="123"/>
        <v>0</v>
      </c>
      <c r="Y811" s="251"/>
      <c r="Z811" s="1736"/>
      <c r="AA811" s="1737"/>
      <c r="AB811" s="77">
        <f t="shared" si="124"/>
        <v>0</v>
      </c>
      <c r="AC811" s="134">
        <f t="shared" si="125"/>
        <v>0</v>
      </c>
      <c r="AD811" s="251"/>
      <c r="AE811" s="1736"/>
      <c r="AF811" s="1737"/>
      <c r="AG811" s="77">
        <f t="shared" si="126"/>
        <v>0</v>
      </c>
      <c r="AH811" s="136">
        <f t="shared" si="127"/>
        <v>0</v>
      </c>
      <c r="AI811" s="251"/>
      <c r="AJ811" s="1736"/>
      <c r="AK811" s="1737"/>
      <c r="AL811" s="79">
        <f t="shared" si="128"/>
        <v>0</v>
      </c>
      <c r="AM811" s="137">
        <f t="shared" si="129"/>
        <v>0</v>
      </c>
      <c r="AN811" s="251"/>
      <c r="AO811" s="1736"/>
      <c r="AP811" s="1737"/>
    </row>
    <row r="812" spans="1:42" s="85" customFormat="1" ht="13.5" thickBot="1">
      <c r="A812" s="240"/>
      <c r="B812" s="241"/>
      <c r="C812" s="242"/>
      <c r="D812" s="242"/>
      <c r="E812" s="243"/>
      <c r="F812" s="244"/>
      <c r="G812" s="244"/>
      <c r="H812" s="243"/>
      <c r="I812" s="258"/>
      <c r="J812" s="245"/>
      <c r="K812" s="245"/>
      <c r="L812" s="76">
        <f t="shared" si="120"/>
        <v>0</v>
      </c>
      <c r="M812" s="246"/>
      <c r="N812" s="247"/>
      <c r="O812" s="248"/>
      <c r="P812" s="246"/>
      <c r="Q812" s="249"/>
      <c r="R812" s="250"/>
      <c r="S812" s="259"/>
      <c r="T812" s="260"/>
      <c r="U812" s="250"/>
      <c r="V812" s="78">
        <f t="shared" si="121"/>
        <v>0</v>
      </c>
      <c r="W812" s="261">
        <f t="shared" si="122"/>
        <v>0</v>
      </c>
      <c r="X812" s="133">
        <f t="shared" si="123"/>
        <v>0</v>
      </c>
      <c r="Y812" s="251"/>
      <c r="Z812" s="1736"/>
      <c r="AA812" s="1737"/>
      <c r="AB812" s="77">
        <f t="shared" si="124"/>
        <v>0</v>
      </c>
      <c r="AC812" s="134">
        <f t="shared" si="125"/>
        <v>0</v>
      </c>
      <c r="AD812" s="251"/>
      <c r="AE812" s="1736"/>
      <c r="AF812" s="1737"/>
      <c r="AG812" s="77">
        <f t="shared" si="126"/>
        <v>0</v>
      </c>
      <c r="AH812" s="136">
        <f t="shared" si="127"/>
        <v>0</v>
      </c>
      <c r="AI812" s="251"/>
      <c r="AJ812" s="1736"/>
      <c r="AK812" s="1737"/>
      <c r="AL812" s="79">
        <f t="shared" si="128"/>
        <v>0</v>
      </c>
      <c r="AM812" s="137">
        <f t="shared" si="129"/>
        <v>0</v>
      </c>
      <c r="AN812" s="251"/>
      <c r="AO812" s="1736"/>
      <c r="AP812" s="1737"/>
    </row>
    <row r="813" spans="1:42" s="85" customFormat="1" ht="13.5" thickBot="1">
      <c r="A813" s="240"/>
      <c r="B813" s="241"/>
      <c r="C813" s="242"/>
      <c r="D813" s="242"/>
      <c r="E813" s="243"/>
      <c r="F813" s="244"/>
      <c r="G813" s="244"/>
      <c r="H813" s="243"/>
      <c r="I813" s="258"/>
      <c r="J813" s="245"/>
      <c r="K813" s="245"/>
      <c r="L813" s="76">
        <f t="shared" si="120"/>
        <v>0</v>
      </c>
      <c r="M813" s="246"/>
      <c r="N813" s="247"/>
      <c r="O813" s="248"/>
      <c r="P813" s="246"/>
      <c r="Q813" s="249"/>
      <c r="R813" s="250"/>
      <c r="S813" s="259"/>
      <c r="T813" s="260"/>
      <c r="U813" s="250"/>
      <c r="V813" s="78">
        <f t="shared" si="121"/>
        <v>0</v>
      </c>
      <c r="W813" s="261">
        <f t="shared" si="122"/>
        <v>0</v>
      </c>
      <c r="X813" s="133">
        <f t="shared" si="123"/>
        <v>0</v>
      </c>
      <c r="Y813" s="251"/>
      <c r="Z813" s="1736"/>
      <c r="AA813" s="1737"/>
      <c r="AB813" s="77">
        <f t="shared" si="124"/>
        <v>0</v>
      </c>
      <c r="AC813" s="134">
        <f t="shared" si="125"/>
        <v>0</v>
      </c>
      <c r="AD813" s="251"/>
      <c r="AE813" s="1736"/>
      <c r="AF813" s="1737"/>
      <c r="AG813" s="77">
        <f t="shared" si="126"/>
        <v>0</v>
      </c>
      <c r="AH813" s="136">
        <f t="shared" si="127"/>
        <v>0</v>
      </c>
      <c r="AI813" s="251"/>
      <c r="AJ813" s="1736"/>
      <c r="AK813" s="1737"/>
      <c r="AL813" s="79">
        <f t="shared" si="128"/>
        <v>0</v>
      </c>
      <c r="AM813" s="137">
        <f t="shared" si="129"/>
        <v>0</v>
      </c>
      <c r="AN813" s="251"/>
      <c r="AO813" s="1736"/>
      <c r="AP813" s="1737"/>
    </row>
    <row r="814" spans="1:42" s="85" customFormat="1" ht="13.5" thickBot="1">
      <c r="A814" s="240"/>
      <c r="B814" s="241"/>
      <c r="C814" s="242"/>
      <c r="D814" s="242"/>
      <c r="E814" s="243"/>
      <c r="F814" s="244"/>
      <c r="G814" s="244"/>
      <c r="H814" s="243"/>
      <c r="I814" s="258"/>
      <c r="J814" s="245"/>
      <c r="K814" s="245"/>
      <c r="L814" s="76">
        <f t="shared" si="120"/>
        <v>0</v>
      </c>
      <c r="M814" s="246"/>
      <c r="N814" s="247"/>
      <c r="O814" s="248"/>
      <c r="P814" s="246"/>
      <c r="Q814" s="249"/>
      <c r="R814" s="250"/>
      <c r="S814" s="259"/>
      <c r="T814" s="260"/>
      <c r="U814" s="250"/>
      <c r="V814" s="78">
        <f t="shared" si="121"/>
        <v>0</v>
      </c>
      <c r="W814" s="261">
        <f t="shared" si="122"/>
        <v>0</v>
      </c>
      <c r="X814" s="133">
        <f t="shared" si="123"/>
        <v>0</v>
      </c>
      <c r="Y814" s="251"/>
      <c r="Z814" s="1736"/>
      <c r="AA814" s="1737"/>
      <c r="AB814" s="77">
        <f t="shared" si="124"/>
        <v>0</v>
      </c>
      <c r="AC814" s="134">
        <f t="shared" si="125"/>
        <v>0</v>
      </c>
      <c r="AD814" s="251"/>
      <c r="AE814" s="1736"/>
      <c r="AF814" s="1737"/>
      <c r="AG814" s="77">
        <f t="shared" si="126"/>
        <v>0</v>
      </c>
      <c r="AH814" s="136">
        <f t="shared" si="127"/>
        <v>0</v>
      </c>
      <c r="AI814" s="251"/>
      <c r="AJ814" s="1736"/>
      <c r="AK814" s="1737"/>
      <c r="AL814" s="79">
        <f t="shared" si="128"/>
        <v>0</v>
      </c>
      <c r="AM814" s="137">
        <f t="shared" si="129"/>
        <v>0</v>
      </c>
      <c r="AN814" s="251"/>
      <c r="AO814" s="1736"/>
      <c r="AP814" s="1737"/>
    </row>
    <row r="815" spans="1:42" s="85" customFormat="1" ht="13.5" thickBot="1">
      <c r="A815" s="240"/>
      <c r="B815" s="241"/>
      <c r="C815" s="242"/>
      <c r="D815" s="242"/>
      <c r="E815" s="243"/>
      <c r="F815" s="244"/>
      <c r="G815" s="244"/>
      <c r="H815" s="243"/>
      <c r="I815" s="258"/>
      <c r="J815" s="245"/>
      <c r="K815" s="245"/>
      <c r="L815" s="76">
        <f t="shared" si="120"/>
        <v>0</v>
      </c>
      <c r="M815" s="246"/>
      <c r="N815" s="247"/>
      <c r="O815" s="248"/>
      <c r="P815" s="246"/>
      <c r="Q815" s="249"/>
      <c r="R815" s="250"/>
      <c r="S815" s="259"/>
      <c r="T815" s="260"/>
      <c r="U815" s="250"/>
      <c r="V815" s="78">
        <f t="shared" si="121"/>
        <v>0</v>
      </c>
      <c r="W815" s="261">
        <f t="shared" si="122"/>
        <v>0</v>
      </c>
      <c r="X815" s="133">
        <f t="shared" si="123"/>
        <v>0</v>
      </c>
      <c r="Y815" s="251"/>
      <c r="Z815" s="1736"/>
      <c r="AA815" s="1737"/>
      <c r="AB815" s="77">
        <f t="shared" si="124"/>
        <v>0</v>
      </c>
      <c r="AC815" s="134">
        <f t="shared" si="125"/>
        <v>0</v>
      </c>
      <c r="AD815" s="251"/>
      <c r="AE815" s="1736"/>
      <c r="AF815" s="1737"/>
      <c r="AG815" s="77">
        <f t="shared" si="126"/>
        <v>0</v>
      </c>
      <c r="AH815" s="136">
        <f t="shared" si="127"/>
        <v>0</v>
      </c>
      <c r="AI815" s="251"/>
      <c r="AJ815" s="1736"/>
      <c r="AK815" s="1737"/>
      <c r="AL815" s="79">
        <f t="shared" si="128"/>
        <v>0</v>
      </c>
      <c r="AM815" s="137">
        <f t="shared" si="129"/>
        <v>0</v>
      </c>
      <c r="AN815" s="251"/>
      <c r="AO815" s="1736"/>
      <c r="AP815" s="1737"/>
    </row>
    <row r="816" spans="1:42" s="85" customFormat="1" ht="13.5" thickBot="1">
      <c r="A816" s="240"/>
      <c r="B816" s="241"/>
      <c r="C816" s="242"/>
      <c r="D816" s="242"/>
      <c r="E816" s="243"/>
      <c r="F816" s="244"/>
      <c r="G816" s="244"/>
      <c r="H816" s="243"/>
      <c r="I816" s="258"/>
      <c r="J816" s="245"/>
      <c r="K816" s="245"/>
      <c r="L816" s="76">
        <f t="shared" si="120"/>
        <v>0</v>
      </c>
      <c r="M816" s="246"/>
      <c r="N816" s="247"/>
      <c r="O816" s="248"/>
      <c r="P816" s="246"/>
      <c r="Q816" s="249"/>
      <c r="R816" s="250"/>
      <c r="S816" s="259"/>
      <c r="T816" s="260"/>
      <c r="U816" s="250"/>
      <c r="V816" s="78">
        <f t="shared" si="121"/>
        <v>0</v>
      </c>
      <c r="W816" s="261">
        <f t="shared" si="122"/>
        <v>0</v>
      </c>
      <c r="X816" s="133">
        <f t="shared" si="123"/>
        <v>0</v>
      </c>
      <c r="Y816" s="251"/>
      <c r="Z816" s="1736"/>
      <c r="AA816" s="1737"/>
      <c r="AB816" s="77">
        <f t="shared" si="124"/>
        <v>0</v>
      </c>
      <c r="AC816" s="134">
        <f t="shared" si="125"/>
        <v>0</v>
      </c>
      <c r="AD816" s="251"/>
      <c r="AE816" s="1736"/>
      <c r="AF816" s="1737"/>
      <c r="AG816" s="77">
        <f t="shared" si="126"/>
        <v>0</v>
      </c>
      <c r="AH816" s="136">
        <f t="shared" si="127"/>
        <v>0</v>
      </c>
      <c r="AI816" s="251"/>
      <c r="AJ816" s="1736"/>
      <c r="AK816" s="1737"/>
      <c r="AL816" s="79">
        <f t="shared" si="128"/>
        <v>0</v>
      </c>
      <c r="AM816" s="137">
        <f t="shared" si="129"/>
        <v>0</v>
      </c>
      <c r="AN816" s="251"/>
      <c r="AO816" s="1736"/>
      <c r="AP816" s="1737"/>
    </row>
    <row r="817" spans="1:42" s="85" customFormat="1" ht="13.5" thickBot="1">
      <c r="A817" s="240"/>
      <c r="B817" s="241"/>
      <c r="C817" s="242"/>
      <c r="D817" s="242"/>
      <c r="E817" s="243"/>
      <c r="F817" s="244"/>
      <c r="G817" s="244"/>
      <c r="H817" s="243"/>
      <c r="I817" s="258"/>
      <c r="J817" s="245"/>
      <c r="K817" s="245"/>
      <c r="L817" s="76">
        <f t="shared" si="120"/>
        <v>0</v>
      </c>
      <c r="M817" s="246"/>
      <c r="N817" s="247"/>
      <c r="O817" s="248"/>
      <c r="P817" s="246"/>
      <c r="Q817" s="249"/>
      <c r="R817" s="250"/>
      <c r="S817" s="259"/>
      <c r="T817" s="260"/>
      <c r="U817" s="250"/>
      <c r="V817" s="78">
        <f t="shared" si="121"/>
        <v>0</v>
      </c>
      <c r="W817" s="261">
        <f t="shared" si="122"/>
        <v>0</v>
      </c>
      <c r="X817" s="133">
        <f t="shared" si="123"/>
        <v>0</v>
      </c>
      <c r="Y817" s="251"/>
      <c r="Z817" s="1736"/>
      <c r="AA817" s="1737"/>
      <c r="AB817" s="77">
        <f t="shared" si="124"/>
        <v>0</v>
      </c>
      <c r="AC817" s="134">
        <f t="shared" si="125"/>
        <v>0</v>
      </c>
      <c r="AD817" s="251"/>
      <c r="AE817" s="1736"/>
      <c r="AF817" s="1737"/>
      <c r="AG817" s="77">
        <f t="shared" si="126"/>
        <v>0</v>
      </c>
      <c r="AH817" s="136">
        <f t="shared" si="127"/>
        <v>0</v>
      </c>
      <c r="AI817" s="251"/>
      <c r="AJ817" s="1736"/>
      <c r="AK817" s="1737"/>
      <c r="AL817" s="79">
        <f t="shared" si="128"/>
        <v>0</v>
      </c>
      <c r="AM817" s="137">
        <f t="shared" si="129"/>
        <v>0</v>
      </c>
      <c r="AN817" s="251"/>
      <c r="AO817" s="1736"/>
      <c r="AP817" s="1737"/>
    </row>
    <row r="818" spans="1:42" s="85" customFormat="1" ht="13.5" thickBot="1">
      <c r="A818" s="240"/>
      <c r="B818" s="241"/>
      <c r="C818" s="242"/>
      <c r="D818" s="242"/>
      <c r="E818" s="243"/>
      <c r="F818" s="244"/>
      <c r="G818" s="244"/>
      <c r="H818" s="243"/>
      <c r="I818" s="258"/>
      <c r="J818" s="245"/>
      <c r="K818" s="245"/>
      <c r="L818" s="76">
        <f t="shared" si="120"/>
        <v>0</v>
      </c>
      <c r="M818" s="246"/>
      <c r="N818" s="247"/>
      <c r="O818" s="248"/>
      <c r="P818" s="246"/>
      <c r="Q818" s="249"/>
      <c r="R818" s="250"/>
      <c r="S818" s="259"/>
      <c r="T818" s="260"/>
      <c r="U818" s="250"/>
      <c r="V818" s="78">
        <f t="shared" si="121"/>
        <v>0</v>
      </c>
      <c r="W818" s="261">
        <f t="shared" si="122"/>
        <v>0</v>
      </c>
      <c r="X818" s="133">
        <f t="shared" si="123"/>
        <v>0</v>
      </c>
      <c r="Y818" s="251"/>
      <c r="Z818" s="1736"/>
      <c r="AA818" s="1737"/>
      <c r="AB818" s="77">
        <f t="shared" si="124"/>
        <v>0</v>
      </c>
      <c r="AC818" s="134">
        <f t="shared" si="125"/>
        <v>0</v>
      </c>
      <c r="AD818" s="251"/>
      <c r="AE818" s="1736"/>
      <c r="AF818" s="1737"/>
      <c r="AG818" s="77">
        <f t="shared" si="126"/>
        <v>0</v>
      </c>
      <c r="AH818" s="136">
        <f t="shared" si="127"/>
        <v>0</v>
      </c>
      <c r="AI818" s="251"/>
      <c r="AJ818" s="1736"/>
      <c r="AK818" s="1737"/>
      <c r="AL818" s="79">
        <f t="shared" si="128"/>
        <v>0</v>
      </c>
      <c r="AM818" s="137">
        <f t="shared" si="129"/>
        <v>0</v>
      </c>
      <c r="AN818" s="251"/>
      <c r="AO818" s="1736"/>
      <c r="AP818" s="1737"/>
    </row>
    <row r="819" spans="1:42" s="85" customFormat="1" ht="13.5" thickBot="1">
      <c r="A819" s="240"/>
      <c r="B819" s="241"/>
      <c r="C819" s="242"/>
      <c r="D819" s="242"/>
      <c r="E819" s="243"/>
      <c r="F819" s="244"/>
      <c r="G819" s="244"/>
      <c r="H819" s="243"/>
      <c r="I819" s="258"/>
      <c r="J819" s="245"/>
      <c r="K819" s="245"/>
      <c r="L819" s="76">
        <f t="shared" si="120"/>
        <v>0</v>
      </c>
      <c r="M819" s="246"/>
      <c r="N819" s="247"/>
      <c r="O819" s="248"/>
      <c r="P819" s="246"/>
      <c r="Q819" s="249"/>
      <c r="R819" s="250"/>
      <c r="S819" s="259"/>
      <c r="T819" s="260"/>
      <c r="U819" s="250"/>
      <c r="V819" s="78">
        <f t="shared" si="121"/>
        <v>0</v>
      </c>
      <c r="W819" s="261">
        <f t="shared" si="122"/>
        <v>0</v>
      </c>
      <c r="X819" s="133">
        <f t="shared" si="123"/>
        <v>0</v>
      </c>
      <c r="Y819" s="251"/>
      <c r="Z819" s="1736"/>
      <c r="AA819" s="1737"/>
      <c r="AB819" s="77">
        <f t="shared" si="124"/>
        <v>0</v>
      </c>
      <c r="AC819" s="134">
        <f t="shared" si="125"/>
        <v>0</v>
      </c>
      <c r="AD819" s="251"/>
      <c r="AE819" s="1736"/>
      <c r="AF819" s="1737"/>
      <c r="AG819" s="77">
        <f t="shared" si="126"/>
        <v>0</v>
      </c>
      <c r="AH819" s="136">
        <f t="shared" si="127"/>
        <v>0</v>
      </c>
      <c r="AI819" s="251"/>
      <c r="AJ819" s="1736"/>
      <c r="AK819" s="1737"/>
      <c r="AL819" s="79">
        <f t="shared" si="128"/>
        <v>0</v>
      </c>
      <c r="AM819" s="137">
        <f t="shared" si="129"/>
        <v>0</v>
      </c>
      <c r="AN819" s="251"/>
      <c r="AO819" s="1736"/>
      <c r="AP819" s="1737"/>
    </row>
    <row r="820" spans="1:42" s="85" customFormat="1" ht="13.5" thickBot="1">
      <c r="A820" s="240"/>
      <c r="B820" s="241"/>
      <c r="C820" s="242"/>
      <c r="D820" s="242"/>
      <c r="E820" s="243"/>
      <c r="F820" s="244"/>
      <c r="G820" s="244"/>
      <c r="H820" s="243"/>
      <c r="I820" s="258"/>
      <c r="J820" s="245"/>
      <c r="K820" s="245"/>
      <c r="L820" s="76">
        <f t="shared" si="120"/>
        <v>0</v>
      </c>
      <c r="M820" s="246"/>
      <c r="N820" s="247"/>
      <c r="O820" s="248"/>
      <c r="P820" s="246"/>
      <c r="Q820" s="249"/>
      <c r="R820" s="250"/>
      <c r="S820" s="259"/>
      <c r="T820" s="260"/>
      <c r="U820" s="250"/>
      <c r="V820" s="78">
        <f t="shared" si="121"/>
        <v>0</v>
      </c>
      <c r="W820" s="261">
        <f t="shared" si="122"/>
        <v>0</v>
      </c>
      <c r="X820" s="133">
        <f t="shared" si="123"/>
        <v>0</v>
      </c>
      <c r="Y820" s="251"/>
      <c r="Z820" s="1736"/>
      <c r="AA820" s="1737"/>
      <c r="AB820" s="77">
        <f t="shared" si="124"/>
        <v>0</v>
      </c>
      <c r="AC820" s="134">
        <f t="shared" si="125"/>
        <v>0</v>
      </c>
      <c r="AD820" s="251"/>
      <c r="AE820" s="1736"/>
      <c r="AF820" s="1737"/>
      <c r="AG820" s="77">
        <f t="shared" si="126"/>
        <v>0</v>
      </c>
      <c r="AH820" s="136">
        <f t="shared" si="127"/>
        <v>0</v>
      </c>
      <c r="AI820" s="251"/>
      <c r="AJ820" s="1736"/>
      <c r="AK820" s="1737"/>
      <c r="AL820" s="79">
        <f t="shared" si="128"/>
        <v>0</v>
      </c>
      <c r="AM820" s="137">
        <f t="shared" si="129"/>
        <v>0</v>
      </c>
      <c r="AN820" s="251"/>
      <c r="AO820" s="1736"/>
      <c r="AP820" s="1737"/>
    </row>
    <row r="821" spans="1:42" s="85" customFormat="1" ht="13.5" thickBot="1">
      <c r="A821" s="240"/>
      <c r="B821" s="241"/>
      <c r="C821" s="242"/>
      <c r="D821" s="242"/>
      <c r="E821" s="243"/>
      <c r="F821" s="244"/>
      <c r="G821" s="244"/>
      <c r="H821" s="243"/>
      <c r="I821" s="258"/>
      <c r="J821" s="245"/>
      <c r="K821" s="245"/>
      <c r="L821" s="76">
        <f t="shared" si="120"/>
        <v>0</v>
      </c>
      <c r="M821" s="246"/>
      <c r="N821" s="247"/>
      <c r="O821" s="248"/>
      <c r="P821" s="246"/>
      <c r="Q821" s="249"/>
      <c r="R821" s="250"/>
      <c r="S821" s="259"/>
      <c r="T821" s="260"/>
      <c r="U821" s="250"/>
      <c r="V821" s="78">
        <f t="shared" si="121"/>
        <v>0</v>
      </c>
      <c r="W821" s="261">
        <f t="shared" si="122"/>
        <v>0</v>
      </c>
      <c r="X821" s="133">
        <f t="shared" si="123"/>
        <v>0</v>
      </c>
      <c r="Y821" s="251"/>
      <c r="Z821" s="1736"/>
      <c r="AA821" s="1737"/>
      <c r="AB821" s="77">
        <f t="shared" si="124"/>
        <v>0</v>
      </c>
      <c r="AC821" s="134">
        <f t="shared" si="125"/>
        <v>0</v>
      </c>
      <c r="AD821" s="251"/>
      <c r="AE821" s="1736"/>
      <c r="AF821" s="1737"/>
      <c r="AG821" s="77">
        <f t="shared" si="126"/>
        <v>0</v>
      </c>
      <c r="AH821" s="136">
        <f t="shared" si="127"/>
        <v>0</v>
      </c>
      <c r="AI821" s="251"/>
      <c r="AJ821" s="1736"/>
      <c r="AK821" s="1737"/>
      <c r="AL821" s="79">
        <f t="shared" si="128"/>
        <v>0</v>
      </c>
      <c r="AM821" s="137">
        <f t="shared" si="129"/>
        <v>0</v>
      </c>
      <c r="AN821" s="251"/>
      <c r="AO821" s="1736"/>
      <c r="AP821" s="1737"/>
    </row>
    <row r="822" spans="1:42" s="85" customFormat="1" ht="13.5" thickBot="1">
      <c r="A822" s="240"/>
      <c r="B822" s="241"/>
      <c r="C822" s="242"/>
      <c r="D822" s="242"/>
      <c r="E822" s="243"/>
      <c r="F822" s="244"/>
      <c r="G822" s="244"/>
      <c r="H822" s="243"/>
      <c r="I822" s="258"/>
      <c r="J822" s="245"/>
      <c r="K822" s="245"/>
      <c r="L822" s="76">
        <f t="shared" si="120"/>
        <v>0</v>
      </c>
      <c r="M822" s="246"/>
      <c r="N822" s="247"/>
      <c r="O822" s="248"/>
      <c r="P822" s="246"/>
      <c r="Q822" s="249"/>
      <c r="R822" s="250"/>
      <c r="S822" s="259"/>
      <c r="T822" s="260"/>
      <c r="U822" s="250"/>
      <c r="V822" s="78">
        <f t="shared" si="121"/>
        <v>0</v>
      </c>
      <c r="W822" s="261">
        <f t="shared" si="122"/>
        <v>0</v>
      </c>
      <c r="X822" s="133">
        <f t="shared" si="123"/>
        <v>0</v>
      </c>
      <c r="Y822" s="251"/>
      <c r="Z822" s="1736"/>
      <c r="AA822" s="1737"/>
      <c r="AB822" s="77">
        <f t="shared" si="124"/>
        <v>0</v>
      </c>
      <c r="AC822" s="134">
        <f t="shared" si="125"/>
        <v>0</v>
      </c>
      <c r="AD822" s="251"/>
      <c r="AE822" s="1736"/>
      <c r="AF822" s="1737"/>
      <c r="AG822" s="77">
        <f t="shared" si="126"/>
        <v>0</v>
      </c>
      <c r="AH822" s="136">
        <f t="shared" si="127"/>
        <v>0</v>
      </c>
      <c r="AI822" s="251"/>
      <c r="AJ822" s="1736"/>
      <c r="AK822" s="1737"/>
      <c r="AL822" s="79">
        <f t="shared" si="128"/>
        <v>0</v>
      </c>
      <c r="AM822" s="137">
        <f t="shared" si="129"/>
        <v>0</v>
      </c>
      <c r="AN822" s="251"/>
      <c r="AO822" s="1736"/>
      <c r="AP822" s="1737"/>
    </row>
    <row r="823" spans="1:42" s="85" customFormat="1" ht="13.5" thickBot="1">
      <c r="A823" s="240"/>
      <c r="B823" s="241"/>
      <c r="C823" s="242"/>
      <c r="D823" s="242"/>
      <c r="E823" s="243"/>
      <c r="F823" s="244"/>
      <c r="G823" s="244"/>
      <c r="H823" s="243"/>
      <c r="I823" s="258"/>
      <c r="J823" s="245"/>
      <c r="K823" s="245"/>
      <c r="L823" s="76">
        <f t="shared" si="120"/>
        <v>0</v>
      </c>
      <c r="M823" s="246"/>
      <c r="N823" s="247"/>
      <c r="O823" s="248"/>
      <c r="P823" s="246"/>
      <c r="Q823" s="249"/>
      <c r="R823" s="250"/>
      <c r="S823" s="259"/>
      <c r="T823" s="260"/>
      <c r="U823" s="250"/>
      <c r="V823" s="78">
        <f t="shared" si="121"/>
        <v>0</v>
      </c>
      <c r="W823" s="261">
        <f t="shared" si="122"/>
        <v>0</v>
      </c>
      <c r="X823" s="133">
        <f t="shared" si="123"/>
        <v>0</v>
      </c>
      <c r="Y823" s="251"/>
      <c r="Z823" s="1736"/>
      <c r="AA823" s="1737"/>
      <c r="AB823" s="77">
        <f t="shared" si="124"/>
        <v>0</v>
      </c>
      <c r="AC823" s="134">
        <f t="shared" si="125"/>
        <v>0</v>
      </c>
      <c r="AD823" s="251"/>
      <c r="AE823" s="1736"/>
      <c r="AF823" s="1737"/>
      <c r="AG823" s="77">
        <f t="shared" si="126"/>
        <v>0</v>
      </c>
      <c r="AH823" s="136">
        <f t="shared" si="127"/>
        <v>0</v>
      </c>
      <c r="AI823" s="251"/>
      <c r="AJ823" s="1736"/>
      <c r="AK823" s="1737"/>
      <c r="AL823" s="79">
        <f t="shared" si="128"/>
        <v>0</v>
      </c>
      <c r="AM823" s="137">
        <f t="shared" si="129"/>
        <v>0</v>
      </c>
      <c r="AN823" s="251"/>
      <c r="AO823" s="1736"/>
      <c r="AP823" s="1737"/>
    </row>
    <row r="824" spans="1:42" s="85" customFormat="1" ht="13.5" thickBot="1">
      <c r="A824" s="240"/>
      <c r="B824" s="241"/>
      <c r="C824" s="242"/>
      <c r="D824" s="242"/>
      <c r="E824" s="243"/>
      <c r="F824" s="244"/>
      <c r="G824" s="244"/>
      <c r="H824" s="243"/>
      <c r="I824" s="258"/>
      <c r="J824" s="245"/>
      <c r="K824" s="245"/>
      <c r="L824" s="76">
        <f t="shared" si="120"/>
        <v>0</v>
      </c>
      <c r="M824" s="246"/>
      <c r="N824" s="247"/>
      <c r="O824" s="248"/>
      <c r="P824" s="246"/>
      <c r="Q824" s="249"/>
      <c r="R824" s="250"/>
      <c r="S824" s="259"/>
      <c r="T824" s="260"/>
      <c r="U824" s="250"/>
      <c r="V824" s="78">
        <f t="shared" si="121"/>
        <v>0</v>
      </c>
      <c r="W824" s="261">
        <f t="shared" si="122"/>
        <v>0</v>
      </c>
      <c r="X824" s="133">
        <f t="shared" si="123"/>
        <v>0</v>
      </c>
      <c r="Y824" s="251"/>
      <c r="Z824" s="1736"/>
      <c r="AA824" s="1737"/>
      <c r="AB824" s="77">
        <f t="shared" si="124"/>
        <v>0</v>
      </c>
      <c r="AC824" s="134">
        <f t="shared" si="125"/>
        <v>0</v>
      </c>
      <c r="AD824" s="251"/>
      <c r="AE824" s="1736"/>
      <c r="AF824" s="1737"/>
      <c r="AG824" s="77">
        <f t="shared" si="126"/>
        <v>0</v>
      </c>
      <c r="AH824" s="136">
        <f t="shared" si="127"/>
        <v>0</v>
      </c>
      <c r="AI824" s="251"/>
      <c r="AJ824" s="1736"/>
      <c r="AK824" s="1737"/>
      <c r="AL824" s="79">
        <f t="shared" si="128"/>
        <v>0</v>
      </c>
      <c r="AM824" s="137">
        <f t="shared" si="129"/>
        <v>0</v>
      </c>
      <c r="AN824" s="251"/>
      <c r="AO824" s="1736"/>
      <c r="AP824" s="1737"/>
    </row>
    <row r="825" spans="1:42" s="85" customFormat="1" ht="13.5" thickBot="1">
      <c r="A825" s="240"/>
      <c r="B825" s="241"/>
      <c r="C825" s="242"/>
      <c r="D825" s="242"/>
      <c r="E825" s="243"/>
      <c r="F825" s="244"/>
      <c r="G825" s="244"/>
      <c r="H825" s="243"/>
      <c r="I825" s="258"/>
      <c r="J825" s="245"/>
      <c r="K825" s="245"/>
      <c r="L825" s="76">
        <f t="shared" si="120"/>
        <v>0</v>
      </c>
      <c r="M825" s="246"/>
      <c r="N825" s="247"/>
      <c r="O825" s="248"/>
      <c r="P825" s="246"/>
      <c r="Q825" s="249"/>
      <c r="R825" s="250"/>
      <c r="S825" s="259"/>
      <c r="T825" s="260"/>
      <c r="U825" s="250"/>
      <c r="V825" s="78">
        <f t="shared" si="121"/>
        <v>0</v>
      </c>
      <c r="W825" s="261">
        <f t="shared" si="122"/>
        <v>0</v>
      </c>
      <c r="X825" s="133">
        <f t="shared" si="123"/>
        <v>0</v>
      </c>
      <c r="Y825" s="251"/>
      <c r="Z825" s="1736"/>
      <c r="AA825" s="1737"/>
      <c r="AB825" s="77">
        <f t="shared" si="124"/>
        <v>0</v>
      </c>
      <c r="AC825" s="134">
        <f t="shared" si="125"/>
        <v>0</v>
      </c>
      <c r="AD825" s="251"/>
      <c r="AE825" s="1736"/>
      <c r="AF825" s="1737"/>
      <c r="AG825" s="77">
        <f t="shared" si="126"/>
        <v>0</v>
      </c>
      <c r="AH825" s="136">
        <f t="shared" si="127"/>
        <v>0</v>
      </c>
      <c r="AI825" s="251"/>
      <c r="AJ825" s="1736"/>
      <c r="AK825" s="1737"/>
      <c r="AL825" s="79">
        <f t="shared" si="128"/>
        <v>0</v>
      </c>
      <c r="AM825" s="137">
        <f t="shared" si="129"/>
        <v>0</v>
      </c>
      <c r="AN825" s="251"/>
      <c r="AO825" s="1736"/>
      <c r="AP825" s="1737"/>
    </row>
    <row r="826" spans="1:42" s="85" customFormat="1" ht="13.5" thickBot="1">
      <c r="A826" s="240"/>
      <c r="B826" s="241"/>
      <c r="C826" s="242"/>
      <c r="D826" s="242"/>
      <c r="E826" s="243"/>
      <c r="F826" s="244"/>
      <c r="G826" s="244"/>
      <c r="H826" s="243"/>
      <c r="I826" s="258"/>
      <c r="J826" s="245"/>
      <c r="K826" s="245"/>
      <c r="L826" s="76">
        <f t="shared" si="120"/>
        <v>0</v>
      </c>
      <c r="M826" s="246"/>
      <c r="N826" s="247"/>
      <c r="O826" s="248"/>
      <c r="P826" s="246"/>
      <c r="Q826" s="249"/>
      <c r="R826" s="250"/>
      <c r="S826" s="259"/>
      <c r="T826" s="260"/>
      <c r="U826" s="250"/>
      <c r="V826" s="78">
        <f t="shared" si="121"/>
        <v>0</v>
      </c>
      <c r="W826" s="261">
        <f t="shared" si="122"/>
        <v>0</v>
      </c>
      <c r="X826" s="133">
        <f t="shared" si="123"/>
        <v>0</v>
      </c>
      <c r="Y826" s="251"/>
      <c r="Z826" s="1736"/>
      <c r="AA826" s="1737"/>
      <c r="AB826" s="77">
        <f t="shared" si="124"/>
        <v>0</v>
      </c>
      <c r="AC826" s="134">
        <f t="shared" si="125"/>
        <v>0</v>
      </c>
      <c r="AD826" s="251"/>
      <c r="AE826" s="1736"/>
      <c r="AF826" s="1737"/>
      <c r="AG826" s="77">
        <f t="shared" si="126"/>
        <v>0</v>
      </c>
      <c r="AH826" s="136">
        <f t="shared" si="127"/>
        <v>0</v>
      </c>
      <c r="AI826" s="251"/>
      <c r="AJ826" s="1736"/>
      <c r="AK826" s="1737"/>
      <c r="AL826" s="79">
        <f t="shared" si="128"/>
        <v>0</v>
      </c>
      <c r="AM826" s="137">
        <f t="shared" si="129"/>
        <v>0</v>
      </c>
      <c r="AN826" s="251"/>
      <c r="AO826" s="1736"/>
      <c r="AP826" s="1737"/>
    </row>
    <row r="827" spans="1:42" s="85" customFormat="1" ht="13.5" thickBot="1">
      <c r="A827" s="240"/>
      <c r="B827" s="241"/>
      <c r="C827" s="242"/>
      <c r="D827" s="242"/>
      <c r="E827" s="243"/>
      <c r="F827" s="244"/>
      <c r="G827" s="244"/>
      <c r="H827" s="243"/>
      <c r="I827" s="258"/>
      <c r="J827" s="245"/>
      <c r="K827" s="245"/>
      <c r="L827" s="76">
        <f t="shared" si="120"/>
        <v>0</v>
      </c>
      <c r="M827" s="246"/>
      <c r="N827" s="247"/>
      <c r="O827" s="248"/>
      <c r="P827" s="246"/>
      <c r="Q827" s="249"/>
      <c r="R827" s="250"/>
      <c r="S827" s="259"/>
      <c r="T827" s="260"/>
      <c r="U827" s="250"/>
      <c r="V827" s="78">
        <f t="shared" si="121"/>
        <v>0</v>
      </c>
      <c r="W827" s="261">
        <f t="shared" si="122"/>
        <v>0</v>
      </c>
      <c r="X827" s="133">
        <f t="shared" si="123"/>
        <v>0</v>
      </c>
      <c r="Y827" s="251"/>
      <c r="Z827" s="1736"/>
      <c r="AA827" s="1737"/>
      <c r="AB827" s="77">
        <f t="shared" si="124"/>
        <v>0</v>
      </c>
      <c r="AC827" s="134">
        <f t="shared" si="125"/>
        <v>0</v>
      </c>
      <c r="AD827" s="251"/>
      <c r="AE827" s="1736"/>
      <c r="AF827" s="1737"/>
      <c r="AG827" s="77">
        <f t="shared" si="126"/>
        <v>0</v>
      </c>
      <c r="AH827" s="136">
        <f t="shared" si="127"/>
        <v>0</v>
      </c>
      <c r="AI827" s="251"/>
      <c r="AJ827" s="1736"/>
      <c r="AK827" s="1737"/>
      <c r="AL827" s="79">
        <f t="shared" si="128"/>
        <v>0</v>
      </c>
      <c r="AM827" s="137">
        <f t="shared" si="129"/>
        <v>0</v>
      </c>
      <c r="AN827" s="251"/>
      <c r="AO827" s="1736"/>
      <c r="AP827" s="1737"/>
    </row>
    <row r="828" spans="1:42" s="85" customFormat="1" ht="13.5" thickBot="1">
      <c r="A828" s="240"/>
      <c r="B828" s="241"/>
      <c r="C828" s="242"/>
      <c r="D828" s="242"/>
      <c r="E828" s="243"/>
      <c r="F828" s="244"/>
      <c r="G828" s="244"/>
      <c r="H828" s="243"/>
      <c r="I828" s="258"/>
      <c r="J828" s="245"/>
      <c r="K828" s="245"/>
      <c r="L828" s="76">
        <f t="shared" si="120"/>
        <v>0</v>
      </c>
      <c r="M828" s="246"/>
      <c r="N828" s="247"/>
      <c r="O828" s="248"/>
      <c r="P828" s="246"/>
      <c r="Q828" s="249"/>
      <c r="R828" s="250"/>
      <c r="S828" s="259"/>
      <c r="T828" s="260"/>
      <c r="U828" s="250"/>
      <c r="V828" s="78">
        <f t="shared" si="121"/>
        <v>0</v>
      </c>
      <c r="W828" s="261">
        <f t="shared" si="122"/>
        <v>0</v>
      </c>
      <c r="X828" s="133">
        <f t="shared" si="123"/>
        <v>0</v>
      </c>
      <c r="Y828" s="251"/>
      <c r="Z828" s="1736"/>
      <c r="AA828" s="1737"/>
      <c r="AB828" s="77">
        <f t="shared" si="124"/>
        <v>0</v>
      </c>
      <c r="AC828" s="134">
        <f t="shared" si="125"/>
        <v>0</v>
      </c>
      <c r="AD828" s="251"/>
      <c r="AE828" s="1736"/>
      <c r="AF828" s="1737"/>
      <c r="AG828" s="77">
        <f t="shared" si="126"/>
        <v>0</v>
      </c>
      <c r="AH828" s="136">
        <f t="shared" si="127"/>
        <v>0</v>
      </c>
      <c r="AI828" s="251"/>
      <c r="AJ828" s="1736"/>
      <c r="AK828" s="1737"/>
      <c r="AL828" s="79">
        <f t="shared" si="128"/>
        <v>0</v>
      </c>
      <c r="AM828" s="137">
        <f t="shared" si="129"/>
        <v>0</v>
      </c>
      <c r="AN828" s="251"/>
      <c r="AO828" s="1736"/>
      <c r="AP828" s="1737"/>
    </row>
    <row r="829" spans="1:42" s="85" customFormat="1" ht="13.5" thickBot="1">
      <c r="A829" s="240"/>
      <c r="B829" s="241"/>
      <c r="C829" s="242"/>
      <c r="D829" s="242"/>
      <c r="E829" s="243"/>
      <c r="F829" s="244"/>
      <c r="G829" s="244"/>
      <c r="H829" s="243"/>
      <c r="I829" s="258"/>
      <c r="J829" s="245"/>
      <c r="K829" s="245"/>
      <c r="L829" s="76">
        <f t="shared" si="120"/>
        <v>0</v>
      </c>
      <c r="M829" s="246"/>
      <c r="N829" s="247"/>
      <c r="O829" s="248"/>
      <c r="P829" s="246"/>
      <c r="Q829" s="249"/>
      <c r="R829" s="250"/>
      <c r="S829" s="259"/>
      <c r="T829" s="260"/>
      <c r="U829" s="250"/>
      <c r="V829" s="78">
        <f t="shared" si="121"/>
        <v>0</v>
      </c>
      <c r="W829" s="261">
        <f t="shared" si="122"/>
        <v>0</v>
      </c>
      <c r="X829" s="133">
        <f t="shared" si="123"/>
        <v>0</v>
      </c>
      <c r="Y829" s="251"/>
      <c r="Z829" s="1736"/>
      <c r="AA829" s="1737"/>
      <c r="AB829" s="77">
        <f t="shared" si="124"/>
        <v>0</v>
      </c>
      <c r="AC829" s="134">
        <f t="shared" si="125"/>
        <v>0</v>
      </c>
      <c r="AD829" s="251"/>
      <c r="AE829" s="1736"/>
      <c r="AF829" s="1737"/>
      <c r="AG829" s="77">
        <f t="shared" si="126"/>
        <v>0</v>
      </c>
      <c r="AH829" s="136">
        <f t="shared" si="127"/>
        <v>0</v>
      </c>
      <c r="AI829" s="251"/>
      <c r="AJ829" s="1736"/>
      <c r="AK829" s="1737"/>
      <c r="AL829" s="79">
        <f t="shared" si="128"/>
        <v>0</v>
      </c>
      <c r="AM829" s="137">
        <f t="shared" si="129"/>
        <v>0</v>
      </c>
      <c r="AN829" s="251"/>
      <c r="AO829" s="1736"/>
      <c r="AP829" s="1737"/>
    </row>
    <row r="830" spans="1:42" s="85" customFormat="1" ht="13.5" thickBot="1">
      <c r="A830" s="240"/>
      <c r="B830" s="241"/>
      <c r="C830" s="242"/>
      <c r="D830" s="242"/>
      <c r="E830" s="243"/>
      <c r="F830" s="244"/>
      <c r="G830" s="244"/>
      <c r="H830" s="243"/>
      <c r="I830" s="258"/>
      <c r="J830" s="245"/>
      <c r="K830" s="245"/>
      <c r="L830" s="76">
        <f t="shared" si="120"/>
        <v>0</v>
      </c>
      <c r="M830" s="246"/>
      <c r="N830" s="247"/>
      <c r="O830" s="248"/>
      <c r="P830" s="246"/>
      <c r="Q830" s="249"/>
      <c r="R830" s="250"/>
      <c r="S830" s="259"/>
      <c r="T830" s="260"/>
      <c r="U830" s="250"/>
      <c r="V830" s="78">
        <f t="shared" si="121"/>
        <v>0</v>
      </c>
      <c r="W830" s="261">
        <f t="shared" si="122"/>
        <v>0</v>
      </c>
      <c r="X830" s="133">
        <f t="shared" si="123"/>
        <v>0</v>
      </c>
      <c r="Y830" s="251"/>
      <c r="Z830" s="1736"/>
      <c r="AA830" s="1737"/>
      <c r="AB830" s="77">
        <f t="shared" si="124"/>
        <v>0</v>
      </c>
      <c r="AC830" s="134">
        <f t="shared" si="125"/>
        <v>0</v>
      </c>
      <c r="AD830" s="251"/>
      <c r="AE830" s="1736"/>
      <c r="AF830" s="1737"/>
      <c r="AG830" s="77">
        <f t="shared" si="126"/>
        <v>0</v>
      </c>
      <c r="AH830" s="136">
        <f t="shared" si="127"/>
        <v>0</v>
      </c>
      <c r="AI830" s="251"/>
      <c r="AJ830" s="1736"/>
      <c r="AK830" s="1737"/>
      <c r="AL830" s="79">
        <f t="shared" si="128"/>
        <v>0</v>
      </c>
      <c r="AM830" s="137">
        <f t="shared" si="129"/>
        <v>0</v>
      </c>
      <c r="AN830" s="251"/>
      <c r="AO830" s="1736"/>
      <c r="AP830" s="1737"/>
    </row>
    <row r="831" spans="1:42" s="85" customFormat="1" ht="13.5" thickBot="1">
      <c r="A831" s="240"/>
      <c r="B831" s="241"/>
      <c r="C831" s="242"/>
      <c r="D831" s="242"/>
      <c r="E831" s="243"/>
      <c r="F831" s="244"/>
      <c r="G831" s="244"/>
      <c r="H831" s="243"/>
      <c r="I831" s="258"/>
      <c r="J831" s="245"/>
      <c r="K831" s="245"/>
      <c r="L831" s="76">
        <f t="shared" si="120"/>
        <v>0</v>
      </c>
      <c r="M831" s="246"/>
      <c r="N831" s="247"/>
      <c r="O831" s="248"/>
      <c r="P831" s="246"/>
      <c r="Q831" s="249"/>
      <c r="R831" s="250"/>
      <c r="S831" s="259"/>
      <c r="T831" s="260"/>
      <c r="U831" s="250"/>
      <c r="V831" s="78">
        <f t="shared" si="121"/>
        <v>0</v>
      </c>
      <c r="W831" s="261">
        <f t="shared" si="122"/>
        <v>0</v>
      </c>
      <c r="X831" s="133">
        <f t="shared" si="123"/>
        <v>0</v>
      </c>
      <c r="Y831" s="251"/>
      <c r="Z831" s="1736"/>
      <c r="AA831" s="1737"/>
      <c r="AB831" s="77">
        <f t="shared" si="124"/>
        <v>0</v>
      </c>
      <c r="AC831" s="134">
        <f t="shared" si="125"/>
        <v>0</v>
      </c>
      <c r="AD831" s="251"/>
      <c r="AE831" s="1736"/>
      <c r="AF831" s="1737"/>
      <c r="AG831" s="77">
        <f t="shared" si="126"/>
        <v>0</v>
      </c>
      <c r="AH831" s="136">
        <f t="shared" si="127"/>
        <v>0</v>
      </c>
      <c r="AI831" s="251"/>
      <c r="AJ831" s="1736"/>
      <c r="AK831" s="1737"/>
      <c r="AL831" s="79">
        <f t="shared" si="128"/>
        <v>0</v>
      </c>
      <c r="AM831" s="137">
        <f t="shared" si="129"/>
        <v>0</v>
      </c>
      <c r="AN831" s="251"/>
      <c r="AO831" s="1736"/>
      <c r="AP831" s="1737"/>
    </row>
    <row r="832" spans="1:42" s="85" customFormat="1" ht="13.5" thickBot="1">
      <c r="A832" s="240"/>
      <c r="B832" s="241"/>
      <c r="C832" s="242"/>
      <c r="D832" s="242"/>
      <c r="E832" s="243"/>
      <c r="F832" s="244"/>
      <c r="G832" s="244"/>
      <c r="H832" s="243"/>
      <c r="I832" s="258"/>
      <c r="J832" s="245"/>
      <c r="K832" s="245"/>
      <c r="L832" s="76">
        <f t="shared" si="120"/>
        <v>0</v>
      </c>
      <c r="M832" s="246"/>
      <c r="N832" s="247"/>
      <c r="O832" s="248"/>
      <c r="P832" s="246"/>
      <c r="Q832" s="249"/>
      <c r="R832" s="250"/>
      <c r="S832" s="259"/>
      <c r="T832" s="260"/>
      <c r="U832" s="250"/>
      <c r="V832" s="78">
        <f t="shared" si="121"/>
        <v>0</v>
      </c>
      <c r="W832" s="261">
        <f t="shared" si="122"/>
        <v>0</v>
      </c>
      <c r="X832" s="133">
        <f t="shared" si="123"/>
        <v>0</v>
      </c>
      <c r="Y832" s="251"/>
      <c r="Z832" s="1736"/>
      <c r="AA832" s="1737"/>
      <c r="AB832" s="77">
        <f t="shared" si="124"/>
        <v>0</v>
      </c>
      <c r="AC832" s="134">
        <f t="shared" si="125"/>
        <v>0</v>
      </c>
      <c r="AD832" s="251"/>
      <c r="AE832" s="1736"/>
      <c r="AF832" s="1737"/>
      <c r="AG832" s="77">
        <f t="shared" si="126"/>
        <v>0</v>
      </c>
      <c r="AH832" s="136">
        <f t="shared" si="127"/>
        <v>0</v>
      </c>
      <c r="AI832" s="251"/>
      <c r="AJ832" s="1736"/>
      <c r="AK832" s="1737"/>
      <c r="AL832" s="79">
        <f t="shared" si="128"/>
        <v>0</v>
      </c>
      <c r="AM832" s="137">
        <f t="shared" si="129"/>
        <v>0</v>
      </c>
      <c r="AN832" s="251"/>
      <c r="AO832" s="1736"/>
      <c r="AP832" s="1737"/>
    </row>
    <row r="833" spans="1:42" s="85" customFormat="1" ht="13.5" thickBot="1">
      <c r="A833" s="240"/>
      <c r="B833" s="241"/>
      <c r="C833" s="242"/>
      <c r="D833" s="242"/>
      <c r="E833" s="243"/>
      <c r="F833" s="244"/>
      <c r="G833" s="244"/>
      <c r="H833" s="243"/>
      <c r="I833" s="258"/>
      <c r="J833" s="245"/>
      <c r="K833" s="245"/>
      <c r="L833" s="76">
        <f t="shared" si="120"/>
        <v>0</v>
      </c>
      <c r="M833" s="246"/>
      <c r="N833" s="247"/>
      <c r="O833" s="248"/>
      <c r="P833" s="246"/>
      <c r="Q833" s="249"/>
      <c r="R833" s="250"/>
      <c r="S833" s="259"/>
      <c r="T833" s="260"/>
      <c r="U833" s="250"/>
      <c r="V833" s="78">
        <f t="shared" si="121"/>
        <v>0</v>
      </c>
      <c r="W833" s="261">
        <f t="shared" si="122"/>
        <v>0</v>
      </c>
      <c r="X833" s="133">
        <f t="shared" si="123"/>
        <v>0</v>
      </c>
      <c r="Y833" s="251"/>
      <c r="Z833" s="1736"/>
      <c r="AA833" s="1737"/>
      <c r="AB833" s="77">
        <f t="shared" si="124"/>
        <v>0</v>
      </c>
      <c r="AC833" s="134">
        <f t="shared" si="125"/>
        <v>0</v>
      </c>
      <c r="AD833" s="251"/>
      <c r="AE833" s="1736"/>
      <c r="AF833" s="1737"/>
      <c r="AG833" s="77">
        <f t="shared" si="126"/>
        <v>0</v>
      </c>
      <c r="AH833" s="136">
        <f t="shared" si="127"/>
        <v>0</v>
      </c>
      <c r="AI833" s="251"/>
      <c r="AJ833" s="1736"/>
      <c r="AK833" s="1737"/>
      <c r="AL833" s="79">
        <f t="shared" si="128"/>
        <v>0</v>
      </c>
      <c r="AM833" s="137">
        <f t="shared" si="129"/>
        <v>0</v>
      </c>
      <c r="AN833" s="251"/>
      <c r="AO833" s="1736"/>
      <c r="AP833" s="1737"/>
    </row>
    <row r="834" spans="1:42" s="85" customFormat="1" ht="13.5" thickBot="1">
      <c r="A834" s="240"/>
      <c r="B834" s="241"/>
      <c r="C834" s="242"/>
      <c r="D834" s="242"/>
      <c r="E834" s="243"/>
      <c r="F834" s="244"/>
      <c r="G834" s="244"/>
      <c r="H834" s="243"/>
      <c r="I834" s="258"/>
      <c r="J834" s="245"/>
      <c r="K834" s="245"/>
      <c r="L834" s="76">
        <f t="shared" si="120"/>
        <v>0</v>
      </c>
      <c r="M834" s="246"/>
      <c r="N834" s="247"/>
      <c r="O834" s="248"/>
      <c r="P834" s="246"/>
      <c r="Q834" s="249"/>
      <c r="R834" s="250"/>
      <c r="S834" s="259"/>
      <c r="T834" s="260"/>
      <c r="U834" s="250"/>
      <c r="V834" s="78">
        <f t="shared" si="121"/>
        <v>0</v>
      </c>
      <c r="W834" s="261">
        <f t="shared" si="122"/>
        <v>0</v>
      </c>
      <c r="X834" s="133">
        <f t="shared" si="123"/>
        <v>0</v>
      </c>
      <c r="Y834" s="251"/>
      <c r="Z834" s="1736"/>
      <c r="AA834" s="1737"/>
      <c r="AB834" s="77">
        <f t="shared" si="124"/>
        <v>0</v>
      </c>
      <c r="AC834" s="134">
        <f t="shared" si="125"/>
        <v>0</v>
      </c>
      <c r="AD834" s="251"/>
      <c r="AE834" s="1736"/>
      <c r="AF834" s="1737"/>
      <c r="AG834" s="77">
        <f t="shared" si="126"/>
        <v>0</v>
      </c>
      <c r="AH834" s="136">
        <f t="shared" si="127"/>
        <v>0</v>
      </c>
      <c r="AI834" s="251"/>
      <c r="AJ834" s="1736"/>
      <c r="AK834" s="1737"/>
      <c r="AL834" s="79">
        <f t="shared" si="128"/>
        <v>0</v>
      </c>
      <c r="AM834" s="137">
        <f t="shared" si="129"/>
        <v>0</v>
      </c>
      <c r="AN834" s="251"/>
      <c r="AO834" s="1736"/>
      <c r="AP834" s="1737"/>
    </row>
    <row r="835" spans="1:42" s="85" customFormat="1" ht="13.5" thickBot="1">
      <c r="A835" s="240"/>
      <c r="B835" s="241"/>
      <c r="C835" s="242"/>
      <c r="D835" s="242"/>
      <c r="E835" s="243"/>
      <c r="F835" s="244"/>
      <c r="G835" s="244"/>
      <c r="H835" s="243"/>
      <c r="I835" s="258"/>
      <c r="J835" s="245"/>
      <c r="K835" s="245"/>
      <c r="L835" s="76">
        <f t="shared" si="120"/>
        <v>0</v>
      </c>
      <c r="M835" s="246"/>
      <c r="N835" s="247"/>
      <c r="O835" s="248"/>
      <c r="P835" s="246"/>
      <c r="Q835" s="249"/>
      <c r="R835" s="250"/>
      <c r="S835" s="259"/>
      <c r="T835" s="260"/>
      <c r="U835" s="250"/>
      <c r="V835" s="78">
        <f t="shared" si="121"/>
        <v>0</v>
      </c>
      <c r="W835" s="261">
        <f t="shared" si="122"/>
        <v>0</v>
      </c>
      <c r="X835" s="133">
        <f t="shared" si="123"/>
        <v>0</v>
      </c>
      <c r="Y835" s="251"/>
      <c r="Z835" s="1736"/>
      <c r="AA835" s="1737"/>
      <c r="AB835" s="77">
        <f t="shared" si="124"/>
        <v>0</v>
      </c>
      <c r="AC835" s="134">
        <f t="shared" si="125"/>
        <v>0</v>
      </c>
      <c r="AD835" s="251"/>
      <c r="AE835" s="1736"/>
      <c r="AF835" s="1737"/>
      <c r="AG835" s="77">
        <f t="shared" si="126"/>
        <v>0</v>
      </c>
      <c r="AH835" s="136">
        <f t="shared" si="127"/>
        <v>0</v>
      </c>
      <c r="AI835" s="251"/>
      <c r="AJ835" s="1736"/>
      <c r="AK835" s="1737"/>
      <c r="AL835" s="79">
        <f t="shared" si="128"/>
        <v>0</v>
      </c>
      <c r="AM835" s="137">
        <f t="shared" si="129"/>
        <v>0</v>
      </c>
      <c r="AN835" s="251"/>
      <c r="AO835" s="1736"/>
      <c r="AP835" s="1737"/>
    </row>
    <row r="836" spans="1:42" s="85" customFormat="1" ht="13.5" thickBot="1">
      <c r="A836" s="240"/>
      <c r="B836" s="241"/>
      <c r="C836" s="242"/>
      <c r="D836" s="242"/>
      <c r="E836" s="243"/>
      <c r="F836" s="244"/>
      <c r="G836" s="244"/>
      <c r="H836" s="243"/>
      <c r="I836" s="258"/>
      <c r="J836" s="245"/>
      <c r="K836" s="245"/>
      <c r="L836" s="76">
        <f t="shared" si="120"/>
        <v>0</v>
      </c>
      <c r="M836" s="246"/>
      <c r="N836" s="247"/>
      <c r="O836" s="248"/>
      <c r="P836" s="246"/>
      <c r="Q836" s="249"/>
      <c r="R836" s="250"/>
      <c r="S836" s="259"/>
      <c r="T836" s="260"/>
      <c r="U836" s="250"/>
      <c r="V836" s="78">
        <f t="shared" si="121"/>
        <v>0</v>
      </c>
      <c r="W836" s="261">
        <f t="shared" si="122"/>
        <v>0</v>
      </c>
      <c r="X836" s="133">
        <f t="shared" si="123"/>
        <v>0</v>
      </c>
      <c r="Y836" s="251"/>
      <c r="Z836" s="1736"/>
      <c r="AA836" s="1737"/>
      <c r="AB836" s="77">
        <f t="shared" si="124"/>
        <v>0</v>
      </c>
      <c r="AC836" s="134">
        <f t="shared" si="125"/>
        <v>0</v>
      </c>
      <c r="AD836" s="251"/>
      <c r="AE836" s="1736"/>
      <c r="AF836" s="1737"/>
      <c r="AG836" s="77">
        <f t="shared" si="126"/>
        <v>0</v>
      </c>
      <c r="AH836" s="136">
        <f t="shared" si="127"/>
        <v>0</v>
      </c>
      <c r="AI836" s="251"/>
      <c r="AJ836" s="1736"/>
      <c r="AK836" s="1737"/>
      <c r="AL836" s="79">
        <f t="shared" si="128"/>
        <v>0</v>
      </c>
      <c r="AM836" s="137">
        <f t="shared" si="129"/>
        <v>0</v>
      </c>
      <c r="AN836" s="251"/>
      <c r="AO836" s="1736"/>
      <c r="AP836" s="1737"/>
    </row>
    <row r="837" spans="1:42" s="85" customFormat="1" ht="13.5" thickBot="1">
      <c r="A837" s="240"/>
      <c r="B837" s="241"/>
      <c r="C837" s="242"/>
      <c r="D837" s="242"/>
      <c r="E837" s="243"/>
      <c r="F837" s="244"/>
      <c r="G837" s="244"/>
      <c r="H837" s="243"/>
      <c r="I837" s="258"/>
      <c r="J837" s="245"/>
      <c r="K837" s="245"/>
      <c r="L837" s="76">
        <f t="shared" si="120"/>
        <v>0</v>
      </c>
      <c r="M837" s="246"/>
      <c r="N837" s="247"/>
      <c r="O837" s="248"/>
      <c r="P837" s="246"/>
      <c r="Q837" s="249"/>
      <c r="R837" s="250"/>
      <c r="S837" s="259"/>
      <c r="T837" s="260"/>
      <c r="U837" s="250"/>
      <c r="V837" s="78">
        <f t="shared" si="121"/>
        <v>0</v>
      </c>
      <c r="W837" s="261">
        <f t="shared" si="122"/>
        <v>0</v>
      </c>
      <c r="X837" s="133">
        <f t="shared" si="123"/>
        <v>0</v>
      </c>
      <c r="Y837" s="251"/>
      <c r="Z837" s="1736"/>
      <c r="AA837" s="1737"/>
      <c r="AB837" s="77">
        <f t="shared" si="124"/>
        <v>0</v>
      </c>
      <c r="AC837" s="134">
        <f t="shared" si="125"/>
        <v>0</v>
      </c>
      <c r="AD837" s="251"/>
      <c r="AE837" s="1736"/>
      <c r="AF837" s="1737"/>
      <c r="AG837" s="77">
        <f t="shared" si="126"/>
        <v>0</v>
      </c>
      <c r="AH837" s="136">
        <f t="shared" si="127"/>
        <v>0</v>
      </c>
      <c r="AI837" s="251"/>
      <c r="AJ837" s="1736"/>
      <c r="AK837" s="1737"/>
      <c r="AL837" s="79">
        <f t="shared" si="128"/>
        <v>0</v>
      </c>
      <c r="AM837" s="137">
        <f t="shared" si="129"/>
        <v>0</v>
      </c>
      <c r="AN837" s="251"/>
      <c r="AO837" s="1736"/>
      <c r="AP837" s="1737"/>
    </row>
    <row r="838" spans="1:42" s="85" customFormat="1" ht="13.5" thickBot="1">
      <c r="A838" s="240"/>
      <c r="B838" s="241"/>
      <c r="C838" s="242"/>
      <c r="D838" s="242"/>
      <c r="E838" s="243"/>
      <c r="F838" s="244"/>
      <c r="G838" s="244"/>
      <c r="H838" s="243"/>
      <c r="I838" s="258"/>
      <c r="J838" s="245"/>
      <c r="K838" s="245"/>
      <c r="L838" s="76">
        <f t="shared" si="120"/>
        <v>0</v>
      </c>
      <c r="M838" s="246"/>
      <c r="N838" s="247"/>
      <c r="O838" s="248"/>
      <c r="P838" s="246"/>
      <c r="Q838" s="249"/>
      <c r="R838" s="250"/>
      <c r="S838" s="259"/>
      <c r="T838" s="260"/>
      <c r="U838" s="250"/>
      <c r="V838" s="78">
        <f t="shared" si="121"/>
        <v>0</v>
      </c>
      <c r="W838" s="261">
        <f t="shared" si="122"/>
        <v>0</v>
      </c>
      <c r="X838" s="133">
        <f t="shared" si="123"/>
        <v>0</v>
      </c>
      <c r="Y838" s="251"/>
      <c r="Z838" s="1736"/>
      <c r="AA838" s="1737"/>
      <c r="AB838" s="77">
        <f t="shared" si="124"/>
        <v>0</v>
      </c>
      <c r="AC838" s="134">
        <f t="shared" si="125"/>
        <v>0</v>
      </c>
      <c r="AD838" s="251"/>
      <c r="AE838" s="1736"/>
      <c r="AF838" s="1737"/>
      <c r="AG838" s="77">
        <f t="shared" si="126"/>
        <v>0</v>
      </c>
      <c r="AH838" s="136">
        <f t="shared" si="127"/>
        <v>0</v>
      </c>
      <c r="AI838" s="251"/>
      <c r="AJ838" s="1736"/>
      <c r="AK838" s="1737"/>
      <c r="AL838" s="79">
        <f t="shared" si="128"/>
        <v>0</v>
      </c>
      <c r="AM838" s="137">
        <f t="shared" si="129"/>
        <v>0</v>
      </c>
      <c r="AN838" s="251"/>
      <c r="AO838" s="1736"/>
      <c r="AP838" s="1737"/>
    </row>
    <row r="839" spans="1:42" s="85" customFormat="1" ht="13.5" thickBot="1">
      <c r="A839" s="240"/>
      <c r="B839" s="241"/>
      <c r="C839" s="242"/>
      <c r="D839" s="242"/>
      <c r="E839" s="243"/>
      <c r="F839" s="244"/>
      <c r="G839" s="244"/>
      <c r="H839" s="243"/>
      <c r="I839" s="258"/>
      <c r="J839" s="245"/>
      <c r="K839" s="245"/>
      <c r="L839" s="76">
        <f t="shared" si="120"/>
        <v>0</v>
      </c>
      <c r="M839" s="246"/>
      <c r="N839" s="247"/>
      <c r="O839" s="248"/>
      <c r="P839" s="246"/>
      <c r="Q839" s="249"/>
      <c r="R839" s="250"/>
      <c r="S839" s="259"/>
      <c r="T839" s="260"/>
      <c r="U839" s="250"/>
      <c r="V839" s="78">
        <f t="shared" si="121"/>
        <v>0</v>
      </c>
      <c r="W839" s="261">
        <f t="shared" si="122"/>
        <v>0</v>
      </c>
      <c r="X839" s="133">
        <f t="shared" si="123"/>
        <v>0</v>
      </c>
      <c r="Y839" s="251"/>
      <c r="Z839" s="1736"/>
      <c r="AA839" s="1737"/>
      <c r="AB839" s="77">
        <f t="shared" si="124"/>
        <v>0</v>
      </c>
      <c r="AC839" s="134">
        <f t="shared" si="125"/>
        <v>0</v>
      </c>
      <c r="AD839" s="251"/>
      <c r="AE839" s="1736"/>
      <c r="AF839" s="1737"/>
      <c r="AG839" s="77">
        <f t="shared" si="126"/>
        <v>0</v>
      </c>
      <c r="AH839" s="136">
        <f t="shared" si="127"/>
        <v>0</v>
      </c>
      <c r="AI839" s="251"/>
      <c r="AJ839" s="1736"/>
      <c r="AK839" s="1737"/>
      <c r="AL839" s="79">
        <f t="shared" si="128"/>
        <v>0</v>
      </c>
      <c r="AM839" s="137">
        <f t="shared" si="129"/>
        <v>0</v>
      </c>
      <c r="AN839" s="251"/>
      <c r="AO839" s="1736"/>
      <c r="AP839" s="1737"/>
    </row>
    <row r="840" spans="1:42" s="85" customFormat="1" ht="13.5" thickBot="1">
      <c r="A840" s="240"/>
      <c r="B840" s="241"/>
      <c r="C840" s="242"/>
      <c r="D840" s="242"/>
      <c r="E840" s="243"/>
      <c r="F840" s="244"/>
      <c r="G840" s="244"/>
      <c r="H840" s="243"/>
      <c r="I840" s="258"/>
      <c r="J840" s="245"/>
      <c r="K840" s="245"/>
      <c r="L840" s="76">
        <f t="shared" si="120"/>
        <v>0</v>
      </c>
      <c r="M840" s="246"/>
      <c r="N840" s="247"/>
      <c r="O840" s="248"/>
      <c r="P840" s="246"/>
      <c r="Q840" s="249"/>
      <c r="R840" s="250"/>
      <c r="S840" s="259"/>
      <c r="T840" s="260"/>
      <c r="U840" s="250"/>
      <c r="V840" s="78">
        <f t="shared" si="121"/>
        <v>0</v>
      </c>
      <c r="W840" s="261">
        <f t="shared" si="122"/>
        <v>0</v>
      </c>
      <c r="X840" s="133">
        <f t="shared" si="123"/>
        <v>0</v>
      </c>
      <c r="Y840" s="251"/>
      <c r="Z840" s="1736"/>
      <c r="AA840" s="1737"/>
      <c r="AB840" s="77">
        <f t="shared" si="124"/>
        <v>0</v>
      </c>
      <c r="AC840" s="134">
        <f t="shared" si="125"/>
        <v>0</v>
      </c>
      <c r="AD840" s="251"/>
      <c r="AE840" s="1736"/>
      <c r="AF840" s="1737"/>
      <c r="AG840" s="77">
        <f t="shared" si="126"/>
        <v>0</v>
      </c>
      <c r="AH840" s="136">
        <f t="shared" si="127"/>
        <v>0</v>
      </c>
      <c r="AI840" s="251"/>
      <c r="AJ840" s="1736"/>
      <c r="AK840" s="1737"/>
      <c r="AL840" s="79">
        <f t="shared" si="128"/>
        <v>0</v>
      </c>
      <c r="AM840" s="137">
        <f t="shared" si="129"/>
        <v>0</v>
      </c>
      <c r="AN840" s="251"/>
      <c r="AO840" s="1736"/>
      <c r="AP840" s="1737"/>
    </row>
    <row r="841" spans="1:42" s="85" customFormat="1" ht="13.5" thickBot="1">
      <c r="A841" s="240"/>
      <c r="B841" s="241"/>
      <c r="C841" s="242"/>
      <c r="D841" s="242"/>
      <c r="E841" s="243"/>
      <c r="F841" s="244"/>
      <c r="G841" s="244"/>
      <c r="H841" s="243"/>
      <c r="I841" s="258"/>
      <c r="J841" s="245"/>
      <c r="K841" s="245"/>
      <c r="L841" s="76">
        <f t="shared" si="120"/>
        <v>0</v>
      </c>
      <c r="M841" s="246"/>
      <c r="N841" s="247"/>
      <c r="O841" s="248"/>
      <c r="P841" s="246"/>
      <c r="Q841" s="249"/>
      <c r="R841" s="250"/>
      <c r="S841" s="259"/>
      <c r="T841" s="260"/>
      <c r="U841" s="250"/>
      <c r="V841" s="78">
        <f t="shared" si="121"/>
        <v>0</v>
      </c>
      <c r="W841" s="261">
        <f t="shared" si="122"/>
        <v>0</v>
      </c>
      <c r="X841" s="133">
        <f t="shared" si="123"/>
        <v>0</v>
      </c>
      <c r="Y841" s="251"/>
      <c r="Z841" s="1736"/>
      <c r="AA841" s="1737"/>
      <c r="AB841" s="77">
        <f t="shared" si="124"/>
        <v>0</v>
      </c>
      <c r="AC841" s="134">
        <f t="shared" si="125"/>
        <v>0</v>
      </c>
      <c r="AD841" s="251"/>
      <c r="AE841" s="1736"/>
      <c r="AF841" s="1737"/>
      <c r="AG841" s="77">
        <f t="shared" si="126"/>
        <v>0</v>
      </c>
      <c r="AH841" s="136">
        <f t="shared" si="127"/>
        <v>0</v>
      </c>
      <c r="AI841" s="251"/>
      <c r="AJ841" s="1736"/>
      <c r="AK841" s="1737"/>
      <c r="AL841" s="79">
        <f t="shared" si="128"/>
        <v>0</v>
      </c>
      <c r="AM841" s="137">
        <f t="shared" si="129"/>
        <v>0</v>
      </c>
      <c r="AN841" s="251"/>
      <c r="AO841" s="1736"/>
      <c r="AP841" s="1737"/>
    </row>
    <row r="842" spans="1:42" s="85" customFormat="1" ht="13.5" thickBot="1">
      <c r="A842" s="240"/>
      <c r="B842" s="241"/>
      <c r="C842" s="242"/>
      <c r="D842" s="242"/>
      <c r="E842" s="243"/>
      <c r="F842" s="244"/>
      <c r="G842" s="244"/>
      <c r="H842" s="243"/>
      <c r="I842" s="258"/>
      <c r="J842" s="245"/>
      <c r="K842" s="245"/>
      <c r="L842" s="76">
        <f t="shared" si="120"/>
        <v>0</v>
      </c>
      <c r="M842" s="246"/>
      <c r="N842" s="247"/>
      <c r="O842" s="248"/>
      <c r="P842" s="246"/>
      <c r="Q842" s="249"/>
      <c r="R842" s="250"/>
      <c r="S842" s="259"/>
      <c r="T842" s="260"/>
      <c r="U842" s="250"/>
      <c r="V842" s="78">
        <f t="shared" si="121"/>
        <v>0</v>
      </c>
      <c r="W842" s="261">
        <f t="shared" si="122"/>
        <v>0</v>
      </c>
      <c r="X842" s="133">
        <f t="shared" si="123"/>
        <v>0</v>
      </c>
      <c r="Y842" s="251"/>
      <c r="Z842" s="1736"/>
      <c r="AA842" s="1737"/>
      <c r="AB842" s="77">
        <f t="shared" si="124"/>
        <v>0</v>
      </c>
      <c r="AC842" s="134">
        <f t="shared" si="125"/>
        <v>0</v>
      </c>
      <c r="AD842" s="251"/>
      <c r="AE842" s="1736"/>
      <c r="AF842" s="1737"/>
      <c r="AG842" s="77">
        <f t="shared" si="126"/>
        <v>0</v>
      </c>
      <c r="AH842" s="136">
        <f t="shared" si="127"/>
        <v>0</v>
      </c>
      <c r="AI842" s="251"/>
      <c r="AJ842" s="1736"/>
      <c r="AK842" s="1737"/>
      <c r="AL842" s="79">
        <f t="shared" si="128"/>
        <v>0</v>
      </c>
      <c r="AM842" s="137">
        <f t="shared" si="129"/>
        <v>0</v>
      </c>
      <c r="AN842" s="251"/>
      <c r="AO842" s="1736"/>
      <c r="AP842" s="1737"/>
    </row>
    <row r="843" spans="1:42" s="85" customFormat="1" ht="13.5" thickBot="1">
      <c r="A843" s="240"/>
      <c r="B843" s="241"/>
      <c r="C843" s="242"/>
      <c r="D843" s="242"/>
      <c r="E843" s="243"/>
      <c r="F843" s="244"/>
      <c r="G843" s="244"/>
      <c r="H843" s="243"/>
      <c r="I843" s="258"/>
      <c r="J843" s="245"/>
      <c r="K843" s="245"/>
      <c r="L843" s="76">
        <f t="shared" ref="L843:L906" si="130">IF(I843=0,0,(K843+J843)/I843)</f>
        <v>0</v>
      </c>
      <c r="M843" s="246"/>
      <c r="N843" s="247"/>
      <c r="O843" s="248"/>
      <c r="P843" s="246"/>
      <c r="Q843" s="249"/>
      <c r="R843" s="250"/>
      <c r="S843" s="259"/>
      <c r="T843" s="260"/>
      <c r="U843" s="250"/>
      <c r="V843" s="78">
        <f t="shared" ref="V843:V906" si="131">IF(U843=0,0,((U843*S843)-AB843-AL843))</f>
        <v>0</v>
      </c>
      <c r="W843" s="261">
        <f t="shared" ref="W843:W906" si="132">+S843-I843</f>
        <v>0</v>
      </c>
      <c r="X843" s="133">
        <f t="shared" ref="X843:X906" si="133">(V843-J843)</f>
        <v>0</v>
      </c>
      <c r="Y843" s="251"/>
      <c r="Z843" s="1736"/>
      <c r="AA843" s="1737"/>
      <c r="AB843" s="77">
        <f t="shared" ref="AB843:AB906" si="134">(IF(I843=0,0,M843/H843))*S843</f>
        <v>0</v>
      </c>
      <c r="AC843" s="134">
        <f t="shared" ref="AC843:AC906" si="135">+AB843-P843</f>
        <v>0</v>
      </c>
      <c r="AD843" s="251"/>
      <c r="AE843" s="1736"/>
      <c r="AF843" s="1737"/>
      <c r="AG843" s="77">
        <f t="shared" ref="AG843:AG906" si="136">(IF(H843=0,0,N843/H843))*T843</f>
        <v>0</v>
      </c>
      <c r="AH843" s="136">
        <f t="shared" ref="AH843:AH906" si="137">+AG843-Q843</f>
        <v>0</v>
      </c>
      <c r="AI843" s="251"/>
      <c r="AJ843" s="1736"/>
      <c r="AK843" s="1737"/>
      <c r="AL843" s="79">
        <f t="shared" ref="AL843:AL906" si="138">+O843*S843</f>
        <v>0</v>
      </c>
      <c r="AM843" s="137">
        <f t="shared" ref="AM843:AM906" si="139">+AL843-R843</f>
        <v>0</v>
      </c>
      <c r="AN843" s="251"/>
      <c r="AO843" s="1736"/>
      <c r="AP843" s="1737"/>
    </row>
    <row r="844" spans="1:42" s="85" customFormat="1" ht="13.5" thickBot="1">
      <c r="A844" s="240"/>
      <c r="B844" s="241"/>
      <c r="C844" s="242"/>
      <c r="D844" s="242"/>
      <c r="E844" s="243"/>
      <c r="F844" s="244"/>
      <c r="G844" s="244"/>
      <c r="H844" s="243"/>
      <c r="I844" s="258"/>
      <c r="J844" s="245"/>
      <c r="K844" s="245"/>
      <c r="L844" s="76">
        <f t="shared" si="130"/>
        <v>0</v>
      </c>
      <c r="M844" s="246"/>
      <c r="N844" s="247"/>
      <c r="O844" s="248"/>
      <c r="P844" s="246"/>
      <c r="Q844" s="249"/>
      <c r="R844" s="250"/>
      <c r="S844" s="259"/>
      <c r="T844" s="260"/>
      <c r="U844" s="250"/>
      <c r="V844" s="78">
        <f t="shared" si="131"/>
        <v>0</v>
      </c>
      <c r="W844" s="261">
        <f t="shared" si="132"/>
        <v>0</v>
      </c>
      <c r="X844" s="133">
        <f t="shared" si="133"/>
        <v>0</v>
      </c>
      <c r="Y844" s="251"/>
      <c r="Z844" s="1736"/>
      <c r="AA844" s="1737"/>
      <c r="AB844" s="77">
        <f t="shared" si="134"/>
        <v>0</v>
      </c>
      <c r="AC844" s="134">
        <f t="shared" si="135"/>
        <v>0</v>
      </c>
      <c r="AD844" s="251"/>
      <c r="AE844" s="1736"/>
      <c r="AF844" s="1737"/>
      <c r="AG844" s="77">
        <f t="shared" si="136"/>
        <v>0</v>
      </c>
      <c r="AH844" s="136">
        <f t="shared" si="137"/>
        <v>0</v>
      </c>
      <c r="AI844" s="251"/>
      <c r="AJ844" s="1736"/>
      <c r="AK844" s="1737"/>
      <c r="AL844" s="79">
        <f t="shared" si="138"/>
        <v>0</v>
      </c>
      <c r="AM844" s="137">
        <f t="shared" si="139"/>
        <v>0</v>
      </c>
      <c r="AN844" s="251"/>
      <c r="AO844" s="1736"/>
      <c r="AP844" s="1737"/>
    </row>
    <row r="845" spans="1:42" s="85" customFormat="1" ht="13.5" thickBot="1">
      <c r="A845" s="240"/>
      <c r="B845" s="241"/>
      <c r="C845" s="242"/>
      <c r="D845" s="242"/>
      <c r="E845" s="243"/>
      <c r="F845" s="244"/>
      <c r="G845" s="244"/>
      <c r="H845" s="243"/>
      <c r="I845" s="258"/>
      <c r="J845" s="245"/>
      <c r="K845" s="245"/>
      <c r="L845" s="76">
        <f t="shared" si="130"/>
        <v>0</v>
      </c>
      <c r="M845" s="246"/>
      <c r="N845" s="247"/>
      <c r="O845" s="248"/>
      <c r="P845" s="246"/>
      <c r="Q845" s="249"/>
      <c r="R845" s="250"/>
      <c r="S845" s="259"/>
      <c r="T845" s="260"/>
      <c r="U845" s="250"/>
      <c r="V845" s="78">
        <f t="shared" si="131"/>
        <v>0</v>
      </c>
      <c r="W845" s="261">
        <f t="shared" si="132"/>
        <v>0</v>
      </c>
      <c r="X845" s="133">
        <f t="shared" si="133"/>
        <v>0</v>
      </c>
      <c r="Y845" s="251"/>
      <c r="Z845" s="1736"/>
      <c r="AA845" s="1737"/>
      <c r="AB845" s="77">
        <f t="shared" si="134"/>
        <v>0</v>
      </c>
      <c r="AC845" s="134">
        <f t="shared" si="135"/>
        <v>0</v>
      </c>
      <c r="AD845" s="251"/>
      <c r="AE845" s="1736"/>
      <c r="AF845" s="1737"/>
      <c r="AG845" s="77">
        <f t="shared" si="136"/>
        <v>0</v>
      </c>
      <c r="AH845" s="136">
        <f t="shared" si="137"/>
        <v>0</v>
      </c>
      <c r="AI845" s="251"/>
      <c r="AJ845" s="1736"/>
      <c r="AK845" s="1737"/>
      <c r="AL845" s="79">
        <f t="shared" si="138"/>
        <v>0</v>
      </c>
      <c r="AM845" s="137">
        <f t="shared" si="139"/>
        <v>0</v>
      </c>
      <c r="AN845" s="251"/>
      <c r="AO845" s="1736"/>
      <c r="AP845" s="1737"/>
    </row>
    <row r="846" spans="1:42" s="85" customFormat="1" ht="13.5" thickBot="1">
      <c r="A846" s="240"/>
      <c r="B846" s="241"/>
      <c r="C846" s="242"/>
      <c r="D846" s="242"/>
      <c r="E846" s="243"/>
      <c r="F846" s="244"/>
      <c r="G846" s="244"/>
      <c r="H846" s="243"/>
      <c r="I846" s="258"/>
      <c r="J846" s="245"/>
      <c r="K846" s="245"/>
      <c r="L846" s="76">
        <f t="shared" si="130"/>
        <v>0</v>
      </c>
      <c r="M846" s="246"/>
      <c r="N846" s="247"/>
      <c r="O846" s="248"/>
      <c r="P846" s="246"/>
      <c r="Q846" s="249"/>
      <c r="R846" s="250"/>
      <c r="S846" s="259"/>
      <c r="T846" s="260"/>
      <c r="U846" s="250"/>
      <c r="V846" s="78">
        <f t="shared" si="131"/>
        <v>0</v>
      </c>
      <c r="W846" s="261">
        <f t="shared" si="132"/>
        <v>0</v>
      </c>
      <c r="X846" s="133">
        <f t="shared" si="133"/>
        <v>0</v>
      </c>
      <c r="Y846" s="251"/>
      <c r="Z846" s="1736"/>
      <c r="AA846" s="1737"/>
      <c r="AB846" s="77">
        <f t="shared" si="134"/>
        <v>0</v>
      </c>
      <c r="AC846" s="134">
        <f t="shared" si="135"/>
        <v>0</v>
      </c>
      <c r="AD846" s="251"/>
      <c r="AE846" s="1736"/>
      <c r="AF846" s="1737"/>
      <c r="AG846" s="77">
        <f t="shared" si="136"/>
        <v>0</v>
      </c>
      <c r="AH846" s="136">
        <f t="shared" si="137"/>
        <v>0</v>
      </c>
      <c r="AI846" s="251"/>
      <c r="AJ846" s="1736"/>
      <c r="AK846" s="1737"/>
      <c r="AL846" s="79">
        <f t="shared" si="138"/>
        <v>0</v>
      </c>
      <c r="AM846" s="137">
        <f t="shared" si="139"/>
        <v>0</v>
      </c>
      <c r="AN846" s="251"/>
      <c r="AO846" s="1736"/>
      <c r="AP846" s="1737"/>
    </row>
    <row r="847" spans="1:42" s="85" customFormat="1" ht="13.5" thickBot="1">
      <c r="A847" s="240"/>
      <c r="B847" s="241"/>
      <c r="C847" s="242"/>
      <c r="D847" s="242"/>
      <c r="E847" s="243"/>
      <c r="F847" s="244"/>
      <c r="G847" s="244"/>
      <c r="H847" s="243"/>
      <c r="I847" s="258"/>
      <c r="J847" s="245"/>
      <c r="K847" s="245"/>
      <c r="L847" s="76">
        <f t="shared" si="130"/>
        <v>0</v>
      </c>
      <c r="M847" s="246"/>
      <c r="N847" s="247"/>
      <c r="O847" s="248"/>
      <c r="P847" s="246"/>
      <c r="Q847" s="249"/>
      <c r="R847" s="250"/>
      <c r="S847" s="259"/>
      <c r="T847" s="260"/>
      <c r="U847" s="250"/>
      <c r="V847" s="78">
        <f t="shared" si="131"/>
        <v>0</v>
      </c>
      <c r="W847" s="261">
        <f t="shared" si="132"/>
        <v>0</v>
      </c>
      <c r="X847" s="133">
        <f t="shared" si="133"/>
        <v>0</v>
      </c>
      <c r="Y847" s="251"/>
      <c r="Z847" s="1736"/>
      <c r="AA847" s="1737"/>
      <c r="AB847" s="77">
        <f t="shared" si="134"/>
        <v>0</v>
      </c>
      <c r="AC847" s="134">
        <f t="shared" si="135"/>
        <v>0</v>
      </c>
      <c r="AD847" s="251"/>
      <c r="AE847" s="1736"/>
      <c r="AF847" s="1737"/>
      <c r="AG847" s="77">
        <f t="shared" si="136"/>
        <v>0</v>
      </c>
      <c r="AH847" s="136">
        <f t="shared" si="137"/>
        <v>0</v>
      </c>
      <c r="AI847" s="251"/>
      <c r="AJ847" s="1736"/>
      <c r="AK847" s="1737"/>
      <c r="AL847" s="79">
        <f t="shared" si="138"/>
        <v>0</v>
      </c>
      <c r="AM847" s="137">
        <f t="shared" si="139"/>
        <v>0</v>
      </c>
      <c r="AN847" s="251"/>
      <c r="AO847" s="1736"/>
      <c r="AP847" s="1737"/>
    </row>
    <row r="848" spans="1:42" s="85" customFormat="1" ht="13.5" thickBot="1">
      <c r="A848" s="240"/>
      <c r="B848" s="241"/>
      <c r="C848" s="242"/>
      <c r="D848" s="242"/>
      <c r="E848" s="243"/>
      <c r="F848" s="244"/>
      <c r="G848" s="244"/>
      <c r="H848" s="243"/>
      <c r="I848" s="258"/>
      <c r="J848" s="245"/>
      <c r="K848" s="245"/>
      <c r="L848" s="76">
        <f t="shared" si="130"/>
        <v>0</v>
      </c>
      <c r="M848" s="246"/>
      <c r="N848" s="247"/>
      <c r="O848" s="248"/>
      <c r="P848" s="246"/>
      <c r="Q848" s="249"/>
      <c r="R848" s="250"/>
      <c r="S848" s="259"/>
      <c r="T848" s="260"/>
      <c r="U848" s="250"/>
      <c r="V848" s="78">
        <f t="shared" si="131"/>
        <v>0</v>
      </c>
      <c r="W848" s="261">
        <f t="shared" si="132"/>
        <v>0</v>
      </c>
      <c r="X848" s="133">
        <f t="shared" si="133"/>
        <v>0</v>
      </c>
      <c r="Y848" s="251"/>
      <c r="Z848" s="1736"/>
      <c r="AA848" s="1737"/>
      <c r="AB848" s="77">
        <f t="shared" si="134"/>
        <v>0</v>
      </c>
      <c r="AC848" s="134">
        <f t="shared" si="135"/>
        <v>0</v>
      </c>
      <c r="AD848" s="251"/>
      <c r="AE848" s="1736"/>
      <c r="AF848" s="1737"/>
      <c r="AG848" s="77">
        <f t="shared" si="136"/>
        <v>0</v>
      </c>
      <c r="AH848" s="136">
        <f t="shared" si="137"/>
        <v>0</v>
      </c>
      <c r="AI848" s="251"/>
      <c r="AJ848" s="1736"/>
      <c r="AK848" s="1737"/>
      <c r="AL848" s="79">
        <f t="shared" si="138"/>
        <v>0</v>
      </c>
      <c r="AM848" s="137">
        <f t="shared" si="139"/>
        <v>0</v>
      </c>
      <c r="AN848" s="251"/>
      <c r="AO848" s="1736"/>
      <c r="AP848" s="1737"/>
    </row>
    <row r="849" spans="1:42" s="85" customFormat="1" ht="13.5" thickBot="1">
      <c r="A849" s="240"/>
      <c r="B849" s="241"/>
      <c r="C849" s="242"/>
      <c r="D849" s="242"/>
      <c r="E849" s="243"/>
      <c r="F849" s="244"/>
      <c r="G849" s="244"/>
      <c r="H849" s="243"/>
      <c r="I849" s="258"/>
      <c r="J849" s="245"/>
      <c r="K849" s="245"/>
      <c r="L849" s="76">
        <f t="shared" si="130"/>
        <v>0</v>
      </c>
      <c r="M849" s="246"/>
      <c r="N849" s="247"/>
      <c r="O849" s="248"/>
      <c r="P849" s="246"/>
      <c r="Q849" s="249"/>
      <c r="R849" s="250"/>
      <c r="S849" s="259"/>
      <c r="T849" s="260"/>
      <c r="U849" s="250"/>
      <c r="V849" s="78">
        <f t="shared" si="131"/>
        <v>0</v>
      </c>
      <c r="W849" s="261">
        <f t="shared" si="132"/>
        <v>0</v>
      </c>
      <c r="X849" s="133">
        <f t="shared" si="133"/>
        <v>0</v>
      </c>
      <c r="Y849" s="251"/>
      <c r="Z849" s="1736"/>
      <c r="AA849" s="1737"/>
      <c r="AB849" s="77">
        <f t="shared" si="134"/>
        <v>0</v>
      </c>
      <c r="AC849" s="134">
        <f t="shared" si="135"/>
        <v>0</v>
      </c>
      <c r="AD849" s="251"/>
      <c r="AE849" s="1736"/>
      <c r="AF849" s="1737"/>
      <c r="AG849" s="77">
        <f t="shared" si="136"/>
        <v>0</v>
      </c>
      <c r="AH849" s="136">
        <f t="shared" si="137"/>
        <v>0</v>
      </c>
      <c r="AI849" s="251"/>
      <c r="AJ849" s="1736"/>
      <c r="AK849" s="1737"/>
      <c r="AL849" s="79">
        <f t="shared" si="138"/>
        <v>0</v>
      </c>
      <c r="AM849" s="137">
        <f t="shared" si="139"/>
        <v>0</v>
      </c>
      <c r="AN849" s="251"/>
      <c r="AO849" s="1736"/>
      <c r="AP849" s="1737"/>
    </row>
    <row r="850" spans="1:42" s="85" customFormat="1" ht="13.5" thickBot="1">
      <c r="A850" s="240"/>
      <c r="B850" s="241"/>
      <c r="C850" s="242"/>
      <c r="D850" s="242"/>
      <c r="E850" s="243"/>
      <c r="F850" s="244"/>
      <c r="G850" s="244"/>
      <c r="H850" s="243"/>
      <c r="I850" s="258"/>
      <c r="J850" s="245"/>
      <c r="K850" s="245"/>
      <c r="L850" s="76">
        <f t="shared" si="130"/>
        <v>0</v>
      </c>
      <c r="M850" s="246"/>
      <c r="N850" s="247"/>
      <c r="O850" s="248"/>
      <c r="P850" s="246"/>
      <c r="Q850" s="249"/>
      <c r="R850" s="250"/>
      <c r="S850" s="259"/>
      <c r="T850" s="260"/>
      <c r="U850" s="250"/>
      <c r="V850" s="78">
        <f t="shared" si="131"/>
        <v>0</v>
      </c>
      <c r="W850" s="261">
        <f t="shared" si="132"/>
        <v>0</v>
      </c>
      <c r="X850" s="133">
        <f t="shared" si="133"/>
        <v>0</v>
      </c>
      <c r="Y850" s="251"/>
      <c r="Z850" s="1736"/>
      <c r="AA850" s="1737"/>
      <c r="AB850" s="77">
        <f t="shared" si="134"/>
        <v>0</v>
      </c>
      <c r="AC850" s="134">
        <f t="shared" si="135"/>
        <v>0</v>
      </c>
      <c r="AD850" s="251"/>
      <c r="AE850" s="1736"/>
      <c r="AF850" s="1737"/>
      <c r="AG850" s="77">
        <f t="shared" si="136"/>
        <v>0</v>
      </c>
      <c r="AH850" s="136">
        <f t="shared" si="137"/>
        <v>0</v>
      </c>
      <c r="AI850" s="251"/>
      <c r="AJ850" s="1736"/>
      <c r="AK850" s="1737"/>
      <c r="AL850" s="79">
        <f t="shared" si="138"/>
        <v>0</v>
      </c>
      <c r="AM850" s="137">
        <f t="shared" si="139"/>
        <v>0</v>
      </c>
      <c r="AN850" s="251"/>
      <c r="AO850" s="1736"/>
      <c r="AP850" s="1737"/>
    </row>
    <row r="851" spans="1:42" s="85" customFormat="1" ht="13.5" thickBot="1">
      <c r="A851" s="240"/>
      <c r="B851" s="241"/>
      <c r="C851" s="242"/>
      <c r="D851" s="242"/>
      <c r="E851" s="243"/>
      <c r="F851" s="244"/>
      <c r="G851" s="244"/>
      <c r="H851" s="243"/>
      <c r="I851" s="258"/>
      <c r="J851" s="245"/>
      <c r="K851" s="245"/>
      <c r="L851" s="76">
        <f t="shared" si="130"/>
        <v>0</v>
      </c>
      <c r="M851" s="246"/>
      <c r="N851" s="247"/>
      <c r="O851" s="248"/>
      <c r="P851" s="246"/>
      <c r="Q851" s="249"/>
      <c r="R851" s="250"/>
      <c r="S851" s="259"/>
      <c r="T851" s="260"/>
      <c r="U851" s="250"/>
      <c r="V851" s="78">
        <f t="shared" si="131"/>
        <v>0</v>
      </c>
      <c r="W851" s="261">
        <f t="shared" si="132"/>
        <v>0</v>
      </c>
      <c r="X851" s="133">
        <f t="shared" si="133"/>
        <v>0</v>
      </c>
      <c r="Y851" s="251"/>
      <c r="Z851" s="1736"/>
      <c r="AA851" s="1737"/>
      <c r="AB851" s="77">
        <f t="shared" si="134"/>
        <v>0</v>
      </c>
      <c r="AC851" s="134">
        <f t="shared" si="135"/>
        <v>0</v>
      </c>
      <c r="AD851" s="251"/>
      <c r="AE851" s="1736"/>
      <c r="AF851" s="1737"/>
      <c r="AG851" s="77">
        <f t="shared" si="136"/>
        <v>0</v>
      </c>
      <c r="AH851" s="136">
        <f t="shared" si="137"/>
        <v>0</v>
      </c>
      <c r="AI851" s="251"/>
      <c r="AJ851" s="1736"/>
      <c r="AK851" s="1737"/>
      <c r="AL851" s="79">
        <f t="shared" si="138"/>
        <v>0</v>
      </c>
      <c r="AM851" s="137">
        <f t="shared" si="139"/>
        <v>0</v>
      </c>
      <c r="AN851" s="251"/>
      <c r="AO851" s="1736"/>
      <c r="AP851" s="1737"/>
    </row>
    <row r="852" spans="1:42" s="85" customFormat="1" ht="13.5" thickBot="1">
      <c r="A852" s="240"/>
      <c r="B852" s="241"/>
      <c r="C852" s="242"/>
      <c r="D852" s="242"/>
      <c r="E852" s="243"/>
      <c r="F852" s="244"/>
      <c r="G852" s="244"/>
      <c r="H852" s="243"/>
      <c r="I852" s="258"/>
      <c r="J852" s="245"/>
      <c r="K852" s="245"/>
      <c r="L852" s="76">
        <f t="shared" si="130"/>
        <v>0</v>
      </c>
      <c r="M852" s="246"/>
      <c r="N852" s="247"/>
      <c r="O852" s="248"/>
      <c r="P852" s="246"/>
      <c r="Q852" s="249"/>
      <c r="R852" s="250"/>
      <c r="S852" s="259"/>
      <c r="T852" s="260"/>
      <c r="U852" s="250"/>
      <c r="V852" s="78">
        <f t="shared" si="131"/>
        <v>0</v>
      </c>
      <c r="W852" s="261">
        <f t="shared" si="132"/>
        <v>0</v>
      </c>
      <c r="X852" s="133">
        <f t="shared" si="133"/>
        <v>0</v>
      </c>
      <c r="Y852" s="251"/>
      <c r="Z852" s="1736"/>
      <c r="AA852" s="1737"/>
      <c r="AB852" s="77">
        <f t="shared" si="134"/>
        <v>0</v>
      </c>
      <c r="AC852" s="134">
        <f t="shared" si="135"/>
        <v>0</v>
      </c>
      <c r="AD852" s="251"/>
      <c r="AE852" s="1736"/>
      <c r="AF852" s="1737"/>
      <c r="AG852" s="77">
        <f t="shared" si="136"/>
        <v>0</v>
      </c>
      <c r="AH852" s="136">
        <f t="shared" si="137"/>
        <v>0</v>
      </c>
      <c r="AI852" s="251"/>
      <c r="AJ852" s="1736"/>
      <c r="AK852" s="1737"/>
      <c r="AL852" s="79">
        <f t="shared" si="138"/>
        <v>0</v>
      </c>
      <c r="AM852" s="137">
        <f t="shared" si="139"/>
        <v>0</v>
      </c>
      <c r="AN852" s="251"/>
      <c r="AO852" s="1736"/>
      <c r="AP852" s="1737"/>
    </row>
    <row r="853" spans="1:42" s="85" customFormat="1" ht="13.5" thickBot="1">
      <c r="A853" s="240"/>
      <c r="B853" s="241"/>
      <c r="C853" s="242"/>
      <c r="D853" s="242"/>
      <c r="E853" s="243"/>
      <c r="F853" s="244"/>
      <c r="G853" s="244"/>
      <c r="H853" s="243"/>
      <c r="I853" s="258"/>
      <c r="J853" s="245"/>
      <c r="K853" s="245"/>
      <c r="L853" s="76">
        <f t="shared" si="130"/>
        <v>0</v>
      </c>
      <c r="M853" s="246"/>
      <c r="N853" s="247"/>
      <c r="O853" s="248"/>
      <c r="P853" s="246"/>
      <c r="Q853" s="249"/>
      <c r="R853" s="250"/>
      <c r="S853" s="259"/>
      <c r="T853" s="260"/>
      <c r="U853" s="250"/>
      <c r="V853" s="78">
        <f t="shared" si="131"/>
        <v>0</v>
      </c>
      <c r="W853" s="261">
        <f t="shared" si="132"/>
        <v>0</v>
      </c>
      <c r="X853" s="133">
        <f t="shared" si="133"/>
        <v>0</v>
      </c>
      <c r="Y853" s="251"/>
      <c r="Z853" s="1736"/>
      <c r="AA853" s="1737"/>
      <c r="AB853" s="77">
        <f t="shared" si="134"/>
        <v>0</v>
      </c>
      <c r="AC853" s="134">
        <f t="shared" si="135"/>
        <v>0</v>
      </c>
      <c r="AD853" s="251"/>
      <c r="AE853" s="1736"/>
      <c r="AF853" s="1737"/>
      <c r="AG853" s="77">
        <f t="shared" si="136"/>
        <v>0</v>
      </c>
      <c r="AH853" s="136">
        <f t="shared" si="137"/>
        <v>0</v>
      </c>
      <c r="AI853" s="251"/>
      <c r="AJ853" s="1736"/>
      <c r="AK853" s="1737"/>
      <c r="AL853" s="79">
        <f t="shared" si="138"/>
        <v>0</v>
      </c>
      <c r="AM853" s="137">
        <f t="shared" si="139"/>
        <v>0</v>
      </c>
      <c r="AN853" s="251"/>
      <c r="AO853" s="1736"/>
      <c r="AP853" s="1737"/>
    </row>
    <row r="854" spans="1:42" s="85" customFormat="1" ht="13.5" thickBot="1">
      <c r="A854" s="240"/>
      <c r="B854" s="241"/>
      <c r="C854" s="242"/>
      <c r="D854" s="242"/>
      <c r="E854" s="243"/>
      <c r="F854" s="244"/>
      <c r="G854" s="244"/>
      <c r="H854" s="243"/>
      <c r="I854" s="258"/>
      <c r="J854" s="245"/>
      <c r="K854" s="245"/>
      <c r="L854" s="76">
        <f t="shared" si="130"/>
        <v>0</v>
      </c>
      <c r="M854" s="246"/>
      <c r="N854" s="247"/>
      <c r="O854" s="248"/>
      <c r="P854" s="246"/>
      <c r="Q854" s="249"/>
      <c r="R854" s="250"/>
      <c r="S854" s="259"/>
      <c r="T854" s="260"/>
      <c r="U854" s="250"/>
      <c r="V854" s="78">
        <f t="shared" si="131"/>
        <v>0</v>
      </c>
      <c r="W854" s="261">
        <f t="shared" si="132"/>
        <v>0</v>
      </c>
      <c r="X854" s="133">
        <f t="shared" si="133"/>
        <v>0</v>
      </c>
      <c r="Y854" s="251"/>
      <c r="Z854" s="1736"/>
      <c r="AA854" s="1737"/>
      <c r="AB854" s="77">
        <f t="shared" si="134"/>
        <v>0</v>
      </c>
      <c r="AC854" s="134">
        <f t="shared" si="135"/>
        <v>0</v>
      </c>
      <c r="AD854" s="251"/>
      <c r="AE854" s="1736"/>
      <c r="AF854" s="1737"/>
      <c r="AG854" s="77">
        <f t="shared" si="136"/>
        <v>0</v>
      </c>
      <c r="AH854" s="136">
        <f t="shared" si="137"/>
        <v>0</v>
      </c>
      <c r="AI854" s="251"/>
      <c r="AJ854" s="1736"/>
      <c r="AK854" s="1737"/>
      <c r="AL854" s="79">
        <f t="shared" si="138"/>
        <v>0</v>
      </c>
      <c r="AM854" s="137">
        <f t="shared" si="139"/>
        <v>0</v>
      </c>
      <c r="AN854" s="251"/>
      <c r="AO854" s="1736"/>
      <c r="AP854" s="1737"/>
    </row>
    <row r="855" spans="1:42" s="85" customFormat="1" ht="13.5" thickBot="1">
      <c r="A855" s="240"/>
      <c r="B855" s="241"/>
      <c r="C855" s="242"/>
      <c r="D855" s="242"/>
      <c r="E855" s="243"/>
      <c r="F855" s="244"/>
      <c r="G855" s="244"/>
      <c r="H855" s="243"/>
      <c r="I855" s="258"/>
      <c r="J855" s="245"/>
      <c r="K855" s="245"/>
      <c r="L855" s="76">
        <f t="shared" si="130"/>
        <v>0</v>
      </c>
      <c r="M855" s="246"/>
      <c r="N855" s="247"/>
      <c r="O855" s="248"/>
      <c r="P855" s="246"/>
      <c r="Q855" s="249"/>
      <c r="R855" s="250"/>
      <c r="S855" s="259"/>
      <c r="T855" s="260"/>
      <c r="U855" s="250"/>
      <c r="V855" s="78">
        <f t="shared" si="131"/>
        <v>0</v>
      </c>
      <c r="W855" s="261">
        <f t="shared" si="132"/>
        <v>0</v>
      </c>
      <c r="X855" s="133">
        <f t="shared" si="133"/>
        <v>0</v>
      </c>
      <c r="Y855" s="251"/>
      <c r="Z855" s="1736"/>
      <c r="AA855" s="1737"/>
      <c r="AB855" s="77">
        <f t="shared" si="134"/>
        <v>0</v>
      </c>
      <c r="AC855" s="134">
        <f t="shared" si="135"/>
        <v>0</v>
      </c>
      <c r="AD855" s="251"/>
      <c r="AE855" s="1736"/>
      <c r="AF855" s="1737"/>
      <c r="AG855" s="77">
        <f t="shared" si="136"/>
        <v>0</v>
      </c>
      <c r="AH855" s="136">
        <f t="shared" si="137"/>
        <v>0</v>
      </c>
      <c r="AI855" s="251"/>
      <c r="AJ855" s="1736"/>
      <c r="AK855" s="1737"/>
      <c r="AL855" s="79">
        <f t="shared" si="138"/>
        <v>0</v>
      </c>
      <c r="AM855" s="137">
        <f t="shared" si="139"/>
        <v>0</v>
      </c>
      <c r="AN855" s="251"/>
      <c r="AO855" s="1736"/>
      <c r="AP855" s="1737"/>
    </row>
    <row r="856" spans="1:42" s="85" customFormat="1" ht="13.5" thickBot="1">
      <c r="A856" s="240"/>
      <c r="B856" s="241"/>
      <c r="C856" s="242"/>
      <c r="D856" s="242"/>
      <c r="E856" s="243"/>
      <c r="F856" s="244"/>
      <c r="G856" s="244"/>
      <c r="H856" s="243"/>
      <c r="I856" s="258"/>
      <c r="J856" s="245"/>
      <c r="K856" s="245"/>
      <c r="L856" s="76">
        <f t="shared" si="130"/>
        <v>0</v>
      </c>
      <c r="M856" s="246"/>
      <c r="N856" s="247"/>
      <c r="O856" s="248"/>
      <c r="P856" s="246"/>
      <c r="Q856" s="249"/>
      <c r="R856" s="250"/>
      <c r="S856" s="259"/>
      <c r="T856" s="260"/>
      <c r="U856" s="250"/>
      <c r="V856" s="78">
        <f t="shared" si="131"/>
        <v>0</v>
      </c>
      <c r="W856" s="261">
        <f t="shared" si="132"/>
        <v>0</v>
      </c>
      <c r="X856" s="133">
        <f t="shared" si="133"/>
        <v>0</v>
      </c>
      <c r="Y856" s="251"/>
      <c r="Z856" s="1736"/>
      <c r="AA856" s="1737"/>
      <c r="AB856" s="77">
        <f t="shared" si="134"/>
        <v>0</v>
      </c>
      <c r="AC856" s="134">
        <f t="shared" si="135"/>
        <v>0</v>
      </c>
      <c r="AD856" s="251"/>
      <c r="AE856" s="1736"/>
      <c r="AF856" s="1737"/>
      <c r="AG856" s="77">
        <f t="shared" si="136"/>
        <v>0</v>
      </c>
      <c r="AH856" s="136">
        <f t="shared" si="137"/>
        <v>0</v>
      </c>
      <c r="AI856" s="251"/>
      <c r="AJ856" s="1736"/>
      <c r="AK856" s="1737"/>
      <c r="AL856" s="79">
        <f t="shared" si="138"/>
        <v>0</v>
      </c>
      <c r="AM856" s="137">
        <f t="shared" si="139"/>
        <v>0</v>
      </c>
      <c r="AN856" s="251"/>
      <c r="AO856" s="1736"/>
      <c r="AP856" s="1737"/>
    </row>
    <row r="857" spans="1:42" s="85" customFormat="1" ht="13.5" thickBot="1">
      <c r="A857" s="240"/>
      <c r="B857" s="241"/>
      <c r="C857" s="242"/>
      <c r="D857" s="242"/>
      <c r="E857" s="243"/>
      <c r="F857" s="244"/>
      <c r="G857" s="244"/>
      <c r="H857" s="243"/>
      <c r="I857" s="258"/>
      <c r="J857" s="245"/>
      <c r="K857" s="245"/>
      <c r="L857" s="76">
        <f t="shared" si="130"/>
        <v>0</v>
      </c>
      <c r="M857" s="246"/>
      <c r="N857" s="247"/>
      <c r="O857" s="248"/>
      <c r="P857" s="246"/>
      <c r="Q857" s="249"/>
      <c r="R857" s="250"/>
      <c r="S857" s="259"/>
      <c r="T857" s="260"/>
      <c r="U857" s="250"/>
      <c r="V857" s="78">
        <f t="shared" si="131"/>
        <v>0</v>
      </c>
      <c r="W857" s="261">
        <f t="shared" si="132"/>
        <v>0</v>
      </c>
      <c r="X857" s="133">
        <f t="shared" si="133"/>
        <v>0</v>
      </c>
      <c r="Y857" s="251"/>
      <c r="Z857" s="1736"/>
      <c r="AA857" s="1737"/>
      <c r="AB857" s="77">
        <f t="shared" si="134"/>
        <v>0</v>
      </c>
      <c r="AC857" s="134">
        <f t="shared" si="135"/>
        <v>0</v>
      </c>
      <c r="AD857" s="251"/>
      <c r="AE857" s="1736"/>
      <c r="AF857" s="1737"/>
      <c r="AG857" s="77">
        <f t="shared" si="136"/>
        <v>0</v>
      </c>
      <c r="AH857" s="136">
        <f t="shared" si="137"/>
        <v>0</v>
      </c>
      <c r="AI857" s="251"/>
      <c r="AJ857" s="1736"/>
      <c r="AK857" s="1737"/>
      <c r="AL857" s="79">
        <f t="shared" si="138"/>
        <v>0</v>
      </c>
      <c r="AM857" s="137">
        <f t="shared" si="139"/>
        <v>0</v>
      </c>
      <c r="AN857" s="251"/>
      <c r="AO857" s="1736"/>
      <c r="AP857" s="1737"/>
    </row>
    <row r="858" spans="1:42" s="85" customFormat="1" ht="13.5" thickBot="1">
      <c r="A858" s="240"/>
      <c r="B858" s="241"/>
      <c r="C858" s="242"/>
      <c r="D858" s="242"/>
      <c r="E858" s="243"/>
      <c r="F858" s="244"/>
      <c r="G858" s="244"/>
      <c r="H858" s="243"/>
      <c r="I858" s="258"/>
      <c r="J858" s="245"/>
      <c r="K858" s="245"/>
      <c r="L858" s="76">
        <f t="shared" si="130"/>
        <v>0</v>
      </c>
      <c r="M858" s="246"/>
      <c r="N858" s="247"/>
      <c r="O858" s="248"/>
      <c r="P858" s="246"/>
      <c r="Q858" s="249"/>
      <c r="R858" s="250"/>
      <c r="S858" s="259"/>
      <c r="T858" s="260"/>
      <c r="U858" s="250"/>
      <c r="V858" s="78">
        <f t="shared" si="131"/>
        <v>0</v>
      </c>
      <c r="W858" s="261">
        <f t="shared" si="132"/>
        <v>0</v>
      </c>
      <c r="X858" s="133">
        <f t="shared" si="133"/>
        <v>0</v>
      </c>
      <c r="Y858" s="251"/>
      <c r="Z858" s="1736"/>
      <c r="AA858" s="1737"/>
      <c r="AB858" s="77">
        <f t="shared" si="134"/>
        <v>0</v>
      </c>
      <c r="AC858" s="134">
        <f t="shared" si="135"/>
        <v>0</v>
      </c>
      <c r="AD858" s="251"/>
      <c r="AE858" s="1736"/>
      <c r="AF858" s="1737"/>
      <c r="AG858" s="77">
        <f t="shared" si="136"/>
        <v>0</v>
      </c>
      <c r="AH858" s="136">
        <f t="shared" si="137"/>
        <v>0</v>
      </c>
      <c r="AI858" s="251"/>
      <c r="AJ858" s="1736"/>
      <c r="AK858" s="1737"/>
      <c r="AL858" s="79">
        <f t="shared" si="138"/>
        <v>0</v>
      </c>
      <c r="AM858" s="137">
        <f t="shared" si="139"/>
        <v>0</v>
      </c>
      <c r="AN858" s="251"/>
      <c r="AO858" s="1736"/>
      <c r="AP858" s="1737"/>
    </row>
    <row r="859" spans="1:42" s="85" customFormat="1" ht="13.5" thickBot="1">
      <c r="A859" s="240"/>
      <c r="B859" s="241"/>
      <c r="C859" s="242"/>
      <c r="D859" s="242"/>
      <c r="E859" s="243"/>
      <c r="F859" s="244"/>
      <c r="G859" s="244"/>
      <c r="H859" s="243"/>
      <c r="I859" s="258"/>
      <c r="J859" s="245"/>
      <c r="K859" s="245"/>
      <c r="L859" s="76">
        <f t="shared" si="130"/>
        <v>0</v>
      </c>
      <c r="M859" s="246"/>
      <c r="N859" s="247"/>
      <c r="O859" s="248"/>
      <c r="P859" s="246"/>
      <c r="Q859" s="249"/>
      <c r="R859" s="250"/>
      <c r="S859" s="259"/>
      <c r="T859" s="260"/>
      <c r="U859" s="250"/>
      <c r="V859" s="78">
        <f t="shared" si="131"/>
        <v>0</v>
      </c>
      <c r="W859" s="261">
        <f t="shared" si="132"/>
        <v>0</v>
      </c>
      <c r="X859" s="133">
        <f t="shared" si="133"/>
        <v>0</v>
      </c>
      <c r="Y859" s="251"/>
      <c r="Z859" s="1736"/>
      <c r="AA859" s="1737"/>
      <c r="AB859" s="77">
        <f t="shared" si="134"/>
        <v>0</v>
      </c>
      <c r="AC859" s="134">
        <f t="shared" si="135"/>
        <v>0</v>
      </c>
      <c r="AD859" s="251"/>
      <c r="AE859" s="1736"/>
      <c r="AF859" s="1737"/>
      <c r="AG859" s="77">
        <f t="shared" si="136"/>
        <v>0</v>
      </c>
      <c r="AH859" s="136">
        <f t="shared" si="137"/>
        <v>0</v>
      </c>
      <c r="AI859" s="251"/>
      <c r="AJ859" s="1736"/>
      <c r="AK859" s="1737"/>
      <c r="AL859" s="79">
        <f t="shared" si="138"/>
        <v>0</v>
      </c>
      <c r="AM859" s="137">
        <f t="shared" si="139"/>
        <v>0</v>
      </c>
      <c r="AN859" s="251"/>
      <c r="AO859" s="1736"/>
      <c r="AP859" s="1737"/>
    </row>
    <row r="860" spans="1:42" s="85" customFormat="1" ht="13.5" thickBot="1">
      <c r="A860" s="240"/>
      <c r="B860" s="241"/>
      <c r="C860" s="242"/>
      <c r="D860" s="242"/>
      <c r="E860" s="243"/>
      <c r="F860" s="244"/>
      <c r="G860" s="244"/>
      <c r="H860" s="243"/>
      <c r="I860" s="258"/>
      <c r="J860" s="245"/>
      <c r="K860" s="245"/>
      <c r="L860" s="76">
        <f t="shared" si="130"/>
        <v>0</v>
      </c>
      <c r="M860" s="246"/>
      <c r="N860" s="247"/>
      <c r="O860" s="248"/>
      <c r="P860" s="246"/>
      <c r="Q860" s="249"/>
      <c r="R860" s="250"/>
      <c r="S860" s="259"/>
      <c r="T860" s="260"/>
      <c r="U860" s="250"/>
      <c r="V860" s="78">
        <f t="shared" si="131"/>
        <v>0</v>
      </c>
      <c r="W860" s="261">
        <f t="shared" si="132"/>
        <v>0</v>
      </c>
      <c r="X860" s="133">
        <f t="shared" si="133"/>
        <v>0</v>
      </c>
      <c r="Y860" s="251"/>
      <c r="Z860" s="1736"/>
      <c r="AA860" s="1737"/>
      <c r="AB860" s="77">
        <f t="shared" si="134"/>
        <v>0</v>
      </c>
      <c r="AC860" s="134">
        <f t="shared" si="135"/>
        <v>0</v>
      </c>
      <c r="AD860" s="251"/>
      <c r="AE860" s="1736"/>
      <c r="AF860" s="1737"/>
      <c r="AG860" s="77">
        <f t="shared" si="136"/>
        <v>0</v>
      </c>
      <c r="AH860" s="136">
        <f t="shared" si="137"/>
        <v>0</v>
      </c>
      <c r="AI860" s="251"/>
      <c r="AJ860" s="1736"/>
      <c r="AK860" s="1737"/>
      <c r="AL860" s="79">
        <f t="shared" si="138"/>
        <v>0</v>
      </c>
      <c r="AM860" s="137">
        <f t="shared" si="139"/>
        <v>0</v>
      </c>
      <c r="AN860" s="251"/>
      <c r="AO860" s="1736"/>
      <c r="AP860" s="1737"/>
    </row>
    <row r="861" spans="1:42" s="85" customFormat="1" ht="13.5" thickBot="1">
      <c r="A861" s="240"/>
      <c r="B861" s="241"/>
      <c r="C861" s="242"/>
      <c r="D861" s="242"/>
      <c r="E861" s="243"/>
      <c r="F861" s="244"/>
      <c r="G861" s="244"/>
      <c r="H861" s="243"/>
      <c r="I861" s="258"/>
      <c r="J861" s="245"/>
      <c r="K861" s="245"/>
      <c r="L861" s="76">
        <f t="shared" si="130"/>
        <v>0</v>
      </c>
      <c r="M861" s="246"/>
      <c r="N861" s="247"/>
      <c r="O861" s="248"/>
      <c r="P861" s="246"/>
      <c r="Q861" s="249"/>
      <c r="R861" s="250"/>
      <c r="S861" s="259"/>
      <c r="T861" s="260"/>
      <c r="U861" s="250"/>
      <c r="V861" s="78">
        <f t="shared" si="131"/>
        <v>0</v>
      </c>
      <c r="W861" s="261">
        <f t="shared" si="132"/>
        <v>0</v>
      </c>
      <c r="X861" s="133">
        <f t="shared" si="133"/>
        <v>0</v>
      </c>
      <c r="Y861" s="251"/>
      <c r="Z861" s="1736"/>
      <c r="AA861" s="1737"/>
      <c r="AB861" s="77">
        <f t="shared" si="134"/>
        <v>0</v>
      </c>
      <c r="AC861" s="134">
        <f t="shared" si="135"/>
        <v>0</v>
      </c>
      <c r="AD861" s="251"/>
      <c r="AE861" s="1736"/>
      <c r="AF861" s="1737"/>
      <c r="AG861" s="77">
        <f t="shared" si="136"/>
        <v>0</v>
      </c>
      <c r="AH861" s="136">
        <f t="shared" si="137"/>
        <v>0</v>
      </c>
      <c r="AI861" s="251"/>
      <c r="AJ861" s="1736"/>
      <c r="AK861" s="1737"/>
      <c r="AL861" s="79">
        <f t="shared" si="138"/>
        <v>0</v>
      </c>
      <c r="AM861" s="137">
        <f t="shared" si="139"/>
        <v>0</v>
      </c>
      <c r="AN861" s="251"/>
      <c r="AO861" s="1736"/>
      <c r="AP861" s="1737"/>
    </row>
    <row r="862" spans="1:42" s="85" customFormat="1" ht="13.5" thickBot="1">
      <c r="A862" s="240"/>
      <c r="B862" s="241"/>
      <c r="C862" s="242"/>
      <c r="D862" s="242"/>
      <c r="E862" s="243"/>
      <c r="F862" s="244"/>
      <c r="G862" s="244"/>
      <c r="H862" s="243"/>
      <c r="I862" s="258"/>
      <c r="J862" s="245"/>
      <c r="K862" s="245"/>
      <c r="L862" s="76">
        <f t="shared" si="130"/>
        <v>0</v>
      </c>
      <c r="M862" s="246"/>
      <c r="N862" s="247"/>
      <c r="O862" s="248"/>
      <c r="P862" s="246"/>
      <c r="Q862" s="249"/>
      <c r="R862" s="250"/>
      <c r="S862" s="259"/>
      <c r="T862" s="260"/>
      <c r="U862" s="250"/>
      <c r="V862" s="78">
        <f t="shared" si="131"/>
        <v>0</v>
      </c>
      <c r="W862" s="261">
        <f t="shared" si="132"/>
        <v>0</v>
      </c>
      <c r="X862" s="133">
        <f t="shared" si="133"/>
        <v>0</v>
      </c>
      <c r="Y862" s="251"/>
      <c r="Z862" s="1736"/>
      <c r="AA862" s="1737"/>
      <c r="AB862" s="77">
        <f t="shared" si="134"/>
        <v>0</v>
      </c>
      <c r="AC862" s="134">
        <f t="shared" si="135"/>
        <v>0</v>
      </c>
      <c r="AD862" s="251"/>
      <c r="AE862" s="1736"/>
      <c r="AF862" s="1737"/>
      <c r="AG862" s="77">
        <f t="shared" si="136"/>
        <v>0</v>
      </c>
      <c r="AH862" s="136">
        <f t="shared" si="137"/>
        <v>0</v>
      </c>
      <c r="AI862" s="251"/>
      <c r="AJ862" s="1736"/>
      <c r="AK862" s="1737"/>
      <c r="AL862" s="79">
        <f t="shared" si="138"/>
        <v>0</v>
      </c>
      <c r="AM862" s="137">
        <f t="shared" si="139"/>
        <v>0</v>
      </c>
      <c r="AN862" s="251"/>
      <c r="AO862" s="1736"/>
      <c r="AP862" s="1737"/>
    </row>
    <row r="863" spans="1:42" s="85" customFormat="1" ht="13.5" thickBot="1">
      <c r="A863" s="240"/>
      <c r="B863" s="241"/>
      <c r="C863" s="242"/>
      <c r="D863" s="242"/>
      <c r="E863" s="243"/>
      <c r="F863" s="244"/>
      <c r="G863" s="244"/>
      <c r="H863" s="243"/>
      <c r="I863" s="258"/>
      <c r="J863" s="245"/>
      <c r="K863" s="245"/>
      <c r="L863" s="76">
        <f t="shared" si="130"/>
        <v>0</v>
      </c>
      <c r="M863" s="246"/>
      <c r="N863" s="247"/>
      <c r="O863" s="248"/>
      <c r="P863" s="246"/>
      <c r="Q863" s="249"/>
      <c r="R863" s="250"/>
      <c r="S863" s="259"/>
      <c r="T863" s="260"/>
      <c r="U863" s="250"/>
      <c r="V863" s="78">
        <f t="shared" si="131"/>
        <v>0</v>
      </c>
      <c r="W863" s="261">
        <f t="shared" si="132"/>
        <v>0</v>
      </c>
      <c r="X863" s="133">
        <f t="shared" si="133"/>
        <v>0</v>
      </c>
      <c r="Y863" s="251"/>
      <c r="Z863" s="1736"/>
      <c r="AA863" s="1737"/>
      <c r="AB863" s="77">
        <f t="shared" si="134"/>
        <v>0</v>
      </c>
      <c r="AC863" s="134">
        <f t="shared" si="135"/>
        <v>0</v>
      </c>
      <c r="AD863" s="251"/>
      <c r="AE863" s="1736"/>
      <c r="AF863" s="1737"/>
      <c r="AG863" s="77">
        <f t="shared" si="136"/>
        <v>0</v>
      </c>
      <c r="AH863" s="136">
        <f t="shared" si="137"/>
        <v>0</v>
      </c>
      <c r="AI863" s="251"/>
      <c r="AJ863" s="1736"/>
      <c r="AK863" s="1737"/>
      <c r="AL863" s="79">
        <f t="shared" si="138"/>
        <v>0</v>
      </c>
      <c r="AM863" s="137">
        <f t="shared" si="139"/>
        <v>0</v>
      </c>
      <c r="AN863" s="251"/>
      <c r="AO863" s="1736"/>
      <c r="AP863" s="1737"/>
    </row>
    <row r="864" spans="1:42" s="85" customFormat="1" ht="13.5" thickBot="1">
      <c r="A864" s="240"/>
      <c r="B864" s="241"/>
      <c r="C864" s="242"/>
      <c r="D864" s="242"/>
      <c r="E864" s="243"/>
      <c r="F864" s="244"/>
      <c r="G864" s="244"/>
      <c r="H864" s="243"/>
      <c r="I864" s="258"/>
      <c r="J864" s="245"/>
      <c r="K864" s="245"/>
      <c r="L864" s="76">
        <f t="shared" si="130"/>
        <v>0</v>
      </c>
      <c r="M864" s="246"/>
      <c r="N864" s="247"/>
      <c r="O864" s="248"/>
      <c r="P864" s="246"/>
      <c r="Q864" s="249"/>
      <c r="R864" s="250"/>
      <c r="S864" s="259"/>
      <c r="T864" s="260"/>
      <c r="U864" s="250"/>
      <c r="V864" s="78">
        <f t="shared" si="131"/>
        <v>0</v>
      </c>
      <c r="W864" s="261">
        <f t="shared" si="132"/>
        <v>0</v>
      </c>
      <c r="X864" s="133">
        <f t="shared" si="133"/>
        <v>0</v>
      </c>
      <c r="Y864" s="251"/>
      <c r="Z864" s="1736"/>
      <c r="AA864" s="1737"/>
      <c r="AB864" s="77">
        <f t="shared" si="134"/>
        <v>0</v>
      </c>
      <c r="AC864" s="134">
        <f t="shared" si="135"/>
        <v>0</v>
      </c>
      <c r="AD864" s="251"/>
      <c r="AE864" s="1736"/>
      <c r="AF864" s="1737"/>
      <c r="AG864" s="77">
        <f t="shared" si="136"/>
        <v>0</v>
      </c>
      <c r="AH864" s="136">
        <f t="shared" si="137"/>
        <v>0</v>
      </c>
      <c r="AI864" s="251"/>
      <c r="AJ864" s="1736"/>
      <c r="AK864" s="1737"/>
      <c r="AL864" s="79">
        <f t="shared" si="138"/>
        <v>0</v>
      </c>
      <c r="AM864" s="137">
        <f t="shared" si="139"/>
        <v>0</v>
      </c>
      <c r="AN864" s="251"/>
      <c r="AO864" s="1736"/>
      <c r="AP864" s="1737"/>
    </row>
    <row r="865" spans="1:42" s="85" customFormat="1" ht="13.5" thickBot="1">
      <c r="A865" s="240"/>
      <c r="B865" s="241"/>
      <c r="C865" s="242"/>
      <c r="D865" s="242"/>
      <c r="E865" s="243"/>
      <c r="F865" s="244"/>
      <c r="G865" s="244"/>
      <c r="H865" s="243"/>
      <c r="I865" s="258"/>
      <c r="J865" s="245"/>
      <c r="K865" s="245"/>
      <c r="L865" s="76">
        <f t="shared" si="130"/>
        <v>0</v>
      </c>
      <c r="M865" s="246"/>
      <c r="N865" s="247"/>
      <c r="O865" s="248"/>
      <c r="P865" s="246"/>
      <c r="Q865" s="249"/>
      <c r="R865" s="250"/>
      <c r="S865" s="259"/>
      <c r="T865" s="260"/>
      <c r="U865" s="250"/>
      <c r="V865" s="78">
        <f t="shared" si="131"/>
        <v>0</v>
      </c>
      <c r="W865" s="261">
        <f t="shared" si="132"/>
        <v>0</v>
      </c>
      <c r="X865" s="133">
        <f t="shared" si="133"/>
        <v>0</v>
      </c>
      <c r="Y865" s="251"/>
      <c r="Z865" s="1736"/>
      <c r="AA865" s="1737"/>
      <c r="AB865" s="77">
        <f t="shared" si="134"/>
        <v>0</v>
      </c>
      <c r="AC865" s="134">
        <f t="shared" si="135"/>
        <v>0</v>
      </c>
      <c r="AD865" s="251"/>
      <c r="AE865" s="1736"/>
      <c r="AF865" s="1737"/>
      <c r="AG865" s="77">
        <f t="shared" si="136"/>
        <v>0</v>
      </c>
      <c r="AH865" s="136">
        <f t="shared" si="137"/>
        <v>0</v>
      </c>
      <c r="AI865" s="251"/>
      <c r="AJ865" s="1736"/>
      <c r="AK865" s="1737"/>
      <c r="AL865" s="79">
        <f t="shared" si="138"/>
        <v>0</v>
      </c>
      <c r="AM865" s="137">
        <f t="shared" si="139"/>
        <v>0</v>
      </c>
      <c r="AN865" s="251"/>
      <c r="AO865" s="1736"/>
      <c r="AP865" s="1737"/>
    </row>
    <row r="866" spans="1:42" s="85" customFormat="1" ht="13.5" thickBot="1">
      <c r="A866" s="240"/>
      <c r="B866" s="241"/>
      <c r="C866" s="242"/>
      <c r="D866" s="242"/>
      <c r="E866" s="243"/>
      <c r="F866" s="244"/>
      <c r="G866" s="244"/>
      <c r="H866" s="243"/>
      <c r="I866" s="258"/>
      <c r="J866" s="245"/>
      <c r="K866" s="245"/>
      <c r="L866" s="76">
        <f t="shared" si="130"/>
        <v>0</v>
      </c>
      <c r="M866" s="246"/>
      <c r="N866" s="247"/>
      <c r="O866" s="248"/>
      <c r="P866" s="246"/>
      <c r="Q866" s="249"/>
      <c r="R866" s="250"/>
      <c r="S866" s="259"/>
      <c r="T866" s="260"/>
      <c r="U866" s="250"/>
      <c r="V866" s="78">
        <f t="shared" si="131"/>
        <v>0</v>
      </c>
      <c r="W866" s="261">
        <f t="shared" si="132"/>
        <v>0</v>
      </c>
      <c r="X866" s="133">
        <f t="shared" si="133"/>
        <v>0</v>
      </c>
      <c r="Y866" s="251"/>
      <c r="Z866" s="1736"/>
      <c r="AA866" s="1737"/>
      <c r="AB866" s="77">
        <f t="shared" si="134"/>
        <v>0</v>
      </c>
      <c r="AC866" s="134">
        <f t="shared" si="135"/>
        <v>0</v>
      </c>
      <c r="AD866" s="251"/>
      <c r="AE866" s="1736"/>
      <c r="AF866" s="1737"/>
      <c r="AG866" s="77">
        <f t="shared" si="136"/>
        <v>0</v>
      </c>
      <c r="AH866" s="136">
        <f t="shared" si="137"/>
        <v>0</v>
      </c>
      <c r="AI866" s="251"/>
      <c r="AJ866" s="1736"/>
      <c r="AK866" s="1737"/>
      <c r="AL866" s="79">
        <f t="shared" si="138"/>
        <v>0</v>
      </c>
      <c r="AM866" s="137">
        <f t="shared" si="139"/>
        <v>0</v>
      </c>
      <c r="AN866" s="251"/>
      <c r="AO866" s="1736"/>
      <c r="AP866" s="1737"/>
    </row>
    <row r="867" spans="1:42" s="85" customFormat="1" ht="13.5" thickBot="1">
      <c r="A867" s="240"/>
      <c r="B867" s="241"/>
      <c r="C867" s="242"/>
      <c r="D867" s="242"/>
      <c r="E867" s="243"/>
      <c r="F867" s="244"/>
      <c r="G867" s="244"/>
      <c r="H867" s="243"/>
      <c r="I867" s="258"/>
      <c r="J867" s="245"/>
      <c r="K867" s="245"/>
      <c r="L867" s="76">
        <f t="shared" si="130"/>
        <v>0</v>
      </c>
      <c r="M867" s="246"/>
      <c r="N867" s="247"/>
      <c r="O867" s="248"/>
      <c r="P867" s="246"/>
      <c r="Q867" s="249"/>
      <c r="R867" s="250"/>
      <c r="S867" s="259"/>
      <c r="T867" s="260"/>
      <c r="U867" s="250"/>
      <c r="V867" s="78">
        <f t="shared" si="131"/>
        <v>0</v>
      </c>
      <c r="W867" s="261">
        <f t="shared" si="132"/>
        <v>0</v>
      </c>
      <c r="X867" s="133">
        <f t="shared" si="133"/>
        <v>0</v>
      </c>
      <c r="Y867" s="251"/>
      <c r="Z867" s="1736"/>
      <c r="AA867" s="1737"/>
      <c r="AB867" s="77">
        <f t="shared" si="134"/>
        <v>0</v>
      </c>
      <c r="AC867" s="134">
        <f t="shared" si="135"/>
        <v>0</v>
      </c>
      <c r="AD867" s="251"/>
      <c r="AE867" s="1736"/>
      <c r="AF867" s="1737"/>
      <c r="AG867" s="77">
        <f t="shared" si="136"/>
        <v>0</v>
      </c>
      <c r="AH867" s="136">
        <f t="shared" si="137"/>
        <v>0</v>
      </c>
      <c r="AI867" s="251"/>
      <c r="AJ867" s="1736"/>
      <c r="AK867" s="1737"/>
      <c r="AL867" s="79">
        <f t="shared" si="138"/>
        <v>0</v>
      </c>
      <c r="AM867" s="137">
        <f t="shared" si="139"/>
        <v>0</v>
      </c>
      <c r="AN867" s="251"/>
      <c r="AO867" s="1736"/>
      <c r="AP867" s="1737"/>
    </row>
    <row r="868" spans="1:42" s="85" customFormat="1" ht="13.5" thickBot="1">
      <c r="A868" s="240"/>
      <c r="B868" s="241"/>
      <c r="C868" s="242"/>
      <c r="D868" s="242"/>
      <c r="E868" s="243"/>
      <c r="F868" s="244"/>
      <c r="G868" s="244"/>
      <c r="H868" s="243"/>
      <c r="I868" s="258"/>
      <c r="J868" s="245"/>
      <c r="K868" s="245"/>
      <c r="L868" s="76">
        <f t="shared" si="130"/>
        <v>0</v>
      </c>
      <c r="M868" s="246"/>
      <c r="N868" s="247"/>
      <c r="O868" s="248"/>
      <c r="P868" s="246"/>
      <c r="Q868" s="249"/>
      <c r="R868" s="250"/>
      <c r="S868" s="259"/>
      <c r="T868" s="260"/>
      <c r="U868" s="250"/>
      <c r="V868" s="78">
        <f t="shared" si="131"/>
        <v>0</v>
      </c>
      <c r="W868" s="261">
        <f t="shared" si="132"/>
        <v>0</v>
      </c>
      <c r="X868" s="133">
        <f t="shared" si="133"/>
        <v>0</v>
      </c>
      <c r="Y868" s="251"/>
      <c r="Z868" s="1736"/>
      <c r="AA868" s="1737"/>
      <c r="AB868" s="77">
        <f t="shared" si="134"/>
        <v>0</v>
      </c>
      <c r="AC868" s="134">
        <f t="shared" si="135"/>
        <v>0</v>
      </c>
      <c r="AD868" s="251"/>
      <c r="AE868" s="1736"/>
      <c r="AF868" s="1737"/>
      <c r="AG868" s="77">
        <f t="shared" si="136"/>
        <v>0</v>
      </c>
      <c r="AH868" s="136">
        <f t="shared" si="137"/>
        <v>0</v>
      </c>
      <c r="AI868" s="251"/>
      <c r="AJ868" s="1736"/>
      <c r="AK868" s="1737"/>
      <c r="AL868" s="79">
        <f t="shared" si="138"/>
        <v>0</v>
      </c>
      <c r="AM868" s="137">
        <f t="shared" si="139"/>
        <v>0</v>
      </c>
      <c r="AN868" s="251"/>
      <c r="AO868" s="1736"/>
      <c r="AP868" s="1737"/>
    </row>
    <row r="869" spans="1:42" s="85" customFormat="1" ht="13.5" thickBot="1">
      <c r="A869" s="240"/>
      <c r="B869" s="241"/>
      <c r="C869" s="242"/>
      <c r="D869" s="242"/>
      <c r="E869" s="243"/>
      <c r="F869" s="244"/>
      <c r="G869" s="244"/>
      <c r="H869" s="243"/>
      <c r="I869" s="258"/>
      <c r="J869" s="245"/>
      <c r="K869" s="245"/>
      <c r="L869" s="76">
        <f t="shared" si="130"/>
        <v>0</v>
      </c>
      <c r="M869" s="246"/>
      <c r="N869" s="247"/>
      <c r="O869" s="248"/>
      <c r="P869" s="246"/>
      <c r="Q869" s="249"/>
      <c r="R869" s="250"/>
      <c r="S869" s="259"/>
      <c r="T869" s="260"/>
      <c r="U869" s="250"/>
      <c r="V869" s="78">
        <f t="shared" si="131"/>
        <v>0</v>
      </c>
      <c r="W869" s="261">
        <f t="shared" si="132"/>
        <v>0</v>
      </c>
      <c r="X869" s="133">
        <f t="shared" si="133"/>
        <v>0</v>
      </c>
      <c r="Y869" s="251"/>
      <c r="Z869" s="1736"/>
      <c r="AA869" s="1737"/>
      <c r="AB869" s="77">
        <f t="shared" si="134"/>
        <v>0</v>
      </c>
      <c r="AC869" s="134">
        <f t="shared" si="135"/>
        <v>0</v>
      </c>
      <c r="AD869" s="251"/>
      <c r="AE869" s="1736"/>
      <c r="AF869" s="1737"/>
      <c r="AG869" s="77">
        <f t="shared" si="136"/>
        <v>0</v>
      </c>
      <c r="AH869" s="136">
        <f t="shared" si="137"/>
        <v>0</v>
      </c>
      <c r="AI869" s="251"/>
      <c r="AJ869" s="1736"/>
      <c r="AK869" s="1737"/>
      <c r="AL869" s="79">
        <f t="shared" si="138"/>
        <v>0</v>
      </c>
      <c r="AM869" s="137">
        <f t="shared" si="139"/>
        <v>0</v>
      </c>
      <c r="AN869" s="251"/>
      <c r="AO869" s="1736"/>
      <c r="AP869" s="1737"/>
    </row>
    <row r="870" spans="1:42" s="85" customFormat="1" ht="13.5" thickBot="1">
      <c r="A870" s="240"/>
      <c r="B870" s="241"/>
      <c r="C870" s="242"/>
      <c r="D870" s="242"/>
      <c r="E870" s="243"/>
      <c r="F870" s="244"/>
      <c r="G870" s="244"/>
      <c r="H870" s="243"/>
      <c r="I870" s="258"/>
      <c r="J870" s="245"/>
      <c r="K870" s="245"/>
      <c r="L870" s="76">
        <f t="shared" si="130"/>
        <v>0</v>
      </c>
      <c r="M870" s="246"/>
      <c r="N870" s="247"/>
      <c r="O870" s="248"/>
      <c r="P870" s="246"/>
      <c r="Q870" s="249"/>
      <c r="R870" s="250"/>
      <c r="S870" s="259"/>
      <c r="T870" s="260"/>
      <c r="U870" s="250"/>
      <c r="V870" s="78">
        <f t="shared" si="131"/>
        <v>0</v>
      </c>
      <c r="W870" s="261">
        <f t="shared" si="132"/>
        <v>0</v>
      </c>
      <c r="X870" s="133">
        <f t="shared" si="133"/>
        <v>0</v>
      </c>
      <c r="Y870" s="251"/>
      <c r="Z870" s="1736"/>
      <c r="AA870" s="1737"/>
      <c r="AB870" s="77">
        <f t="shared" si="134"/>
        <v>0</v>
      </c>
      <c r="AC870" s="134">
        <f t="shared" si="135"/>
        <v>0</v>
      </c>
      <c r="AD870" s="251"/>
      <c r="AE870" s="1736"/>
      <c r="AF870" s="1737"/>
      <c r="AG870" s="77">
        <f t="shared" si="136"/>
        <v>0</v>
      </c>
      <c r="AH870" s="136">
        <f t="shared" si="137"/>
        <v>0</v>
      </c>
      <c r="AI870" s="251"/>
      <c r="AJ870" s="1736"/>
      <c r="AK870" s="1737"/>
      <c r="AL870" s="79">
        <f t="shared" si="138"/>
        <v>0</v>
      </c>
      <c r="AM870" s="137">
        <f t="shared" si="139"/>
        <v>0</v>
      </c>
      <c r="AN870" s="251"/>
      <c r="AO870" s="1736"/>
      <c r="AP870" s="1737"/>
    </row>
    <row r="871" spans="1:42" s="85" customFormat="1" ht="13.5" thickBot="1">
      <c r="A871" s="240"/>
      <c r="B871" s="241"/>
      <c r="C871" s="242"/>
      <c r="D871" s="242"/>
      <c r="E871" s="243"/>
      <c r="F871" s="244"/>
      <c r="G871" s="244"/>
      <c r="H871" s="243"/>
      <c r="I871" s="258"/>
      <c r="J871" s="245"/>
      <c r="K871" s="245"/>
      <c r="L871" s="76">
        <f t="shared" si="130"/>
        <v>0</v>
      </c>
      <c r="M871" s="246"/>
      <c r="N871" s="247"/>
      <c r="O871" s="248"/>
      <c r="P871" s="246"/>
      <c r="Q871" s="249"/>
      <c r="R871" s="250"/>
      <c r="S871" s="259"/>
      <c r="T871" s="260"/>
      <c r="U871" s="250"/>
      <c r="V871" s="78">
        <f t="shared" si="131"/>
        <v>0</v>
      </c>
      <c r="W871" s="261">
        <f t="shared" si="132"/>
        <v>0</v>
      </c>
      <c r="X871" s="133">
        <f t="shared" si="133"/>
        <v>0</v>
      </c>
      <c r="Y871" s="251"/>
      <c r="Z871" s="1736"/>
      <c r="AA871" s="1737"/>
      <c r="AB871" s="77">
        <f t="shared" si="134"/>
        <v>0</v>
      </c>
      <c r="AC871" s="134">
        <f t="shared" si="135"/>
        <v>0</v>
      </c>
      <c r="AD871" s="251"/>
      <c r="AE871" s="1736"/>
      <c r="AF871" s="1737"/>
      <c r="AG871" s="77">
        <f t="shared" si="136"/>
        <v>0</v>
      </c>
      <c r="AH871" s="136">
        <f t="shared" si="137"/>
        <v>0</v>
      </c>
      <c r="AI871" s="251"/>
      <c r="AJ871" s="1736"/>
      <c r="AK871" s="1737"/>
      <c r="AL871" s="79">
        <f t="shared" si="138"/>
        <v>0</v>
      </c>
      <c r="AM871" s="137">
        <f t="shared" si="139"/>
        <v>0</v>
      </c>
      <c r="AN871" s="251"/>
      <c r="AO871" s="1736"/>
      <c r="AP871" s="1737"/>
    </row>
    <row r="872" spans="1:42" s="85" customFormat="1" ht="13.5" thickBot="1">
      <c r="A872" s="240"/>
      <c r="B872" s="241"/>
      <c r="C872" s="242"/>
      <c r="D872" s="242"/>
      <c r="E872" s="243"/>
      <c r="F872" s="244"/>
      <c r="G872" s="244"/>
      <c r="H872" s="243"/>
      <c r="I872" s="258"/>
      <c r="J872" s="245"/>
      <c r="K872" s="245"/>
      <c r="L872" s="76">
        <f t="shared" si="130"/>
        <v>0</v>
      </c>
      <c r="M872" s="246"/>
      <c r="N872" s="247"/>
      <c r="O872" s="248"/>
      <c r="P872" s="246"/>
      <c r="Q872" s="249"/>
      <c r="R872" s="250"/>
      <c r="S872" s="259"/>
      <c r="T872" s="260"/>
      <c r="U872" s="250"/>
      <c r="V872" s="78">
        <f t="shared" si="131"/>
        <v>0</v>
      </c>
      <c r="W872" s="261">
        <f t="shared" si="132"/>
        <v>0</v>
      </c>
      <c r="X872" s="133">
        <f t="shared" si="133"/>
        <v>0</v>
      </c>
      <c r="Y872" s="251"/>
      <c r="Z872" s="1736"/>
      <c r="AA872" s="1737"/>
      <c r="AB872" s="77">
        <f t="shared" si="134"/>
        <v>0</v>
      </c>
      <c r="AC872" s="134">
        <f t="shared" si="135"/>
        <v>0</v>
      </c>
      <c r="AD872" s="251"/>
      <c r="AE872" s="1736"/>
      <c r="AF872" s="1737"/>
      <c r="AG872" s="77">
        <f t="shared" si="136"/>
        <v>0</v>
      </c>
      <c r="AH872" s="136">
        <f t="shared" si="137"/>
        <v>0</v>
      </c>
      <c r="AI872" s="251"/>
      <c r="AJ872" s="1736"/>
      <c r="AK872" s="1737"/>
      <c r="AL872" s="79">
        <f t="shared" si="138"/>
        <v>0</v>
      </c>
      <c r="AM872" s="137">
        <f t="shared" si="139"/>
        <v>0</v>
      </c>
      <c r="AN872" s="251"/>
      <c r="AO872" s="1736"/>
      <c r="AP872" s="1737"/>
    </row>
    <row r="873" spans="1:42" s="85" customFormat="1" ht="13.5" thickBot="1">
      <c r="A873" s="240"/>
      <c r="B873" s="241"/>
      <c r="C873" s="242"/>
      <c r="D873" s="242"/>
      <c r="E873" s="243"/>
      <c r="F873" s="244"/>
      <c r="G873" s="244"/>
      <c r="H873" s="243"/>
      <c r="I873" s="258"/>
      <c r="J873" s="245"/>
      <c r="K873" s="245"/>
      <c r="L873" s="76">
        <f t="shared" si="130"/>
        <v>0</v>
      </c>
      <c r="M873" s="246"/>
      <c r="N873" s="247"/>
      <c r="O873" s="248"/>
      <c r="P873" s="246"/>
      <c r="Q873" s="249"/>
      <c r="R873" s="250"/>
      <c r="S873" s="259"/>
      <c r="T873" s="260"/>
      <c r="U873" s="250"/>
      <c r="V873" s="78">
        <f t="shared" si="131"/>
        <v>0</v>
      </c>
      <c r="W873" s="261">
        <f t="shared" si="132"/>
        <v>0</v>
      </c>
      <c r="X873" s="133">
        <f t="shared" si="133"/>
        <v>0</v>
      </c>
      <c r="Y873" s="251"/>
      <c r="Z873" s="1736"/>
      <c r="AA873" s="1737"/>
      <c r="AB873" s="77">
        <f t="shared" si="134"/>
        <v>0</v>
      </c>
      <c r="AC873" s="134">
        <f t="shared" si="135"/>
        <v>0</v>
      </c>
      <c r="AD873" s="251"/>
      <c r="AE873" s="1736"/>
      <c r="AF873" s="1737"/>
      <c r="AG873" s="77">
        <f t="shared" si="136"/>
        <v>0</v>
      </c>
      <c r="AH873" s="136">
        <f t="shared" si="137"/>
        <v>0</v>
      </c>
      <c r="AI873" s="251"/>
      <c r="AJ873" s="1736"/>
      <c r="AK873" s="1737"/>
      <c r="AL873" s="79">
        <f t="shared" si="138"/>
        <v>0</v>
      </c>
      <c r="AM873" s="137">
        <f t="shared" si="139"/>
        <v>0</v>
      </c>
      <c r="AN873" s="251"/>
      <c r="AO873" s="1736"/>
      <c r="AP873" s="1737"/>
    </row>
    <row r="874" spans="1:42" s="85" customFormat="1" ht="13.5" thickBot="1">
      <c r="A874" s="240"/>
      <c r="B874" s="241"/>
      <c r="C874" s="242"/>
      <c r="D874" s="242"/>
      <c r="E874" s="243"/>
      <c r="F874" s="244"/>
      <c r="G874" s="244"/>
      <c r="H874" s="243"/>
      <c r="I874" s="258"/>
      <c r="J874" s="245"/>
      <c r="K874" s="245"/>
      <c r="L874" s="76">
        <f t="shared" si="130"/>
        <v>0</v>
      </c>
      <c r="M874" s="246"/>
      <c r="N874" s="247"/>
      <c r="O874" s="248"/>
      <c r="P874" s="246"/>
      <c r="Q874" s="249"/>
      <c r="R874" s="250"/>
      <c r="S874" s="259"/>
      <c r="T874" s="260"/>
      <c r="U874" s="250"/>
      <c r="V874" s="78">
        <f t="shared" si="131"/>
        <v>0</v>
      </c>
      <c r="W874" s="261">
        <f t="shared" si="132"/>
        <v>0</v>
      </c>
      <c r="X874" s="133">
        <f t="shared" si="133"/>
        <v>0</v>
      </c>
      <c r="Y874" s="251"/>
      <c r="Z874" s="1736"/>
      <c r="AA874" s="1737"/>
      <c r="AB874" s="77">
        <f t="shared" si="134"/>
        <v>0</v>
      </c>
      <c r="AC874" s="134">
        <f t="shared" si="135"/>
        <v>0</v>
      </c>
      <c r="AD874" s="251"/>
      <c r="AE874" s="1736"/>
      <c r="AF874" s="1737"/>
      <c r="AG874" s="77">
        <f t="shared" si="136"/>
        <v>0</v>
      </c>
      <c r="AH874" s="136">
        <f t="shared" si="137"/>
        <v>0</v>
      </c>
      <c r="AI874" s="251"/>
      <c r="AJ874" s="1736"/>
      <c r="AK874" s="1737"/>
      <c r="AL874" s="79">
        <f t="shared" si="138"/>
        <v>0</v>
      </c>
      <c r="AM874" s="137">
        <f t="shared" si="139"/>
        <v>0</v>
      </c>
      <c r="AN874" s="251"/>
      <c r="AO874" s="1736"/>
      <c r="AP874" s="1737"/>
    </row>
    <row r="875" spans="1:42" s="85" customFormat="1" ht="13.5" thickBot="1">
      <c r="A875" s="240"/>
      <c r="B875" s="241"/>
      <c r="C875" s="242"/>
      <c r="D875" s="242"/>
      <c r="E875" s="243"/>
      <c r="F875" s="244"/>
      <c r="G875" s="244"/>
      <c r="H875" s="243"/>
      <c r="I875" s="258"/>
      <c r="J875" s="245"/>
      <c r="K875" s="245"/>
      <c r="L875" s="76">
        <f t="shared" si="130"/>
        <v>0</v>
      </c>
      <c r="M875" s="246"/>
      <c r="N875" s="247"/>
      <c r="O875" s="248"/>
      <c r="P875" s="246"/>
      <c r="Q875" s="249"/>
      <c r="R875" s="250"/>
      <c r="S875" s="259"/>
      <c r="T875" s="260"/>
      <c r="U875" s="250"/>
      <c r="V875" s="78">
        <f t="shared" si="131"/>
        <v>0</v>
      </c>
      <c r="W875" s="261">
        <f t="shared" si="132"/>
        <v>0</v>
      </c>
      <c r="X875" s="133">
        <f t="shared" si="133"/>
        <v>0</v>
      </c>
      <c r="Y875" s="251"/>
      <c r="Z875" s="1736"/>
      <c r="AA875" s="1737"/>
      <c r="AB875" s="77">
        <f t="shared" si="134"/>
        <v>0</v>
      </c>
      <c r="AC875" s="134">
        <f t="shared" si="135"/>
        <v>0</v>
      </c>
      <c r="AD875" s="251"/>
      <c r="AE875" s="1736"/>
      <c r="AF875" s="1737"/>
      <c r="AG875" s="77">
        <f t="shared" si="136"/>
        <v>0</v>
      </c>
      <c r="AH875" s="136">
        <f t="shared" si="137"/>
        <v>0</v>
      </c>
      <c r="AI875" s="251"/>
      <c r="AJ875" s="1736"/>
      <c r="AK875" s="1737"/>
      <c r="AL875" s="79">
        <f t="shared" si="138"/>
        <v>0</v>
      </c>
      <c r="AM875" s="137">
        <f t="shared" si="139"/>
        <v>0</v>
      </c>
      <c r="AN875" s="251"/>
      <c r="AO875" s="1736"/>
      <c r="AP875" s="1737"/>
    </row>
    <row r="876" spans="1:42" s="85" customFormat="1" ht="13.5" thickBot="1">
      <c r="A876" s="240"/>
      <c r="B876" s="241"/>
      <c r="C876" s="242"/>
      <c r="D876" s="242"/>
      <c r="E876" s="243"/>
      <c r="F876" s="244"/>
      <c r="G876" s="244"/>
      <c r="H876" s="243"/>
      <c r="I876" s="258"/>
      <c r="J876" s="245"/>
      <c r="K876" s="245"/>
      <c r="L876" s="76">
        <f t="shared" si="130"/>
        <v>0</v>
      </c>
      <c r="M876" s="246"/>
      <c r="N876" s="247"/>
      <c r="O876" s="248"/>
      <c r="P876" s="246"/>
      <c r="Q876" s="249"/>
      <c r="R876" s="250"/>
      <c r="S876" s="259"/>
      <c r="T876" s="260"/>
      <c r="U876" s="250"/>
      <c r="V876" s="78">
        <f t="shared" si="131"/>
        <v>0</v>
      </c>
      <c r="W876" s="261">
        <f t="shared" si="132"/>
        <v>0</v>
      </c>
      <c r="X876" s="133">
        <f t="shared" si="133"/>
        <v>0</v>
      </c>
      <c r="Y876" s="251"/>
      <c r="Z876" s="1736"/>
      <c r="AA876" s="1737"/>
      <c r="AB876" s="77">
        <f t="shared" si="134"/>
        <v>0</v>
      </c>
      <c r="AC876" s="134">
        <f t="shared" si="135"/>
        <v>0</v>
      </c>
      <c r="AD876" s="251"/>
      <c r="AE876" s="1736"/>
      <c r="AF876" s="1737"/>
      <c r="AG876" s="77">
        <f t="shared" si="136"/>
        <v>0</v>
      </c>
      <c r="AH876" s="136">
        <f t="shared" si="137"/>
        <v>0</v>
      </c>
      <c r="AI876" s="251"/>
      <c r="AJ876" s="1736"/>
      <c r="AK876" s="1737"/>
      <c r="AL876" s="79">
        <f t="shared" si="138"/>
        <v>0</v>
      </c>
      <c r="AM876" s="137">
        <f t="shared" si="139"/>
        <v>0</v>
      </c>
      <c r="AN876" s="251"/>
      <c r="AO876" s="1736"/>
      <c r="AP876" s="1737"/>
    </row>
    <row r="877" spans="1:42" s="85" customFormat="1" ht="13.5" thickBot="1">
      <c r="A877" s="240"/>
      <c r="B877" s="241"/>
      <c r="C877" s="242"/>
      <c r="D877" s="242"/>
      <c r="E877" s="243"/>
      <c r="F877" s="244"/>
      <c r="G877" s="244"/>
      <c r="H877" s="243"/>
      <c r="I877" s="258"/>
      <c r="J877" s="245"/>
      <c r="K877" s="245"/>
      <c r="L877" s="76">
        <f t="shared" si="130"/>
        <v>0</v>
      </c>
      <c r="M877" s="246"/>
      <c r="N877" s="247"/>
      <c r="O877" s="248"/>
      <c r="P877" s="246"/>
      <c r="Q877" s="249"/>
      <c r="R877" s="250"/>
      <c r="S877" s="259"/>
      <c r="T877" s="260"/>
      <c r="U877" s="250"/>
      <c r="V877" s="78">
        <f t="shared" si="131"/>
        <v>0</v>
      </c>
      <c r="W877" s="261">
        <f t="shared" si="132"/>
        <v>0</v>
      </c>
      <c r="X877" s="133">
        <f t="shared" si="133"/>
        <v>0</v>
      </c>
      <c r="Y877" s="251"/>
      <c r="Z877" s="1736"/>
      <c r="AA877" s="1737"/>
      <c r="AB877" s="77">
        <f t="shared" si="134"/>
        <v>0</v>
      </c>
      <c r="AC877" s="134">
        <f t="shared" si="135"/>
        <v>0</v>
      </c>
      <c r="AD877" s="251"/>
      <c r="AE877" s="1736"/>
      <c r="AF877" s="1737"/>
      <c r="AG877" s="77">
        <f t="shared" si="136"/>
        <v>0</v>
      </c>
      <c r="AH877" s="136">
        <f t="shared" si="137"/>
        <v>0</v>
      </c>
      <c r="AI877" s="251"/>
      <c r="AJ877" s="1736"/>
      <c r="AK877" s="1737"/>
      <c r="AL877" s="79">
        <f t="shared" si="138"/>
        <v>0</v>
      </c>
      <c r="AM877" s="137">
        <f t="shared" si="139"/>
        <v>0</v>
      </c>
      <c r="AN877" s="251"/>
      <c r="AO877" s="1736"/>
      <c r="AP877" s="1737"/>
    </row>
    <row r="878" spans="1:42" s="85" customFormat="1" ht="13.5" thickBot="1">
      <c r="A878" s="240"/>
      <c r="B878" s="241"/>
      <c r="C878" s="242"/>
      <c r="D878" s="242"/>
      <c r="E878" s="243"/>
      <c r="F878" s="244"/>
      <c r="G878" s="244"/>
      <c r="H878" s="243"/>
      <c r="I878" s="258"/>
      <c r="J878" s="245"/>
      <c r="K878" s="245"/>
      <c r="L878" s="76">
        <f t="shared" si="130"/>
        <v>0</v>
      </c>
      <c r="M878" s="246"/>
      <c r="N878" s="247"/>
      <c r="O878" s="248"/>
      <c r="P878" s="246"/>
      <c r="Q878" s="249"/>
      <c r="R878" s="250"/>
      <c r="S878" s="259"/>
      <c r="T878" s="260"/>
      <c r="U878" s="250"/>
      <c r="V878" s="78">
        <f t="shared" si="131"/>
        <v>0</v>
      </c>
      <c r="W878" s="261">
        <f t="shared" si="132"/>
        <v>0</v>
      </c>
      <c r="X878" s="133">
        <f t="shared" si="133"/>
        <v>0</v>
      </c>
      <c r="Y878" s="251"/>
      <c r="Z878" s="1736"/>
      <c r="AA878" s="1737"/>
      <c r="AB878" s="77">
        <f t="shared" si="134"/>
        <v>0</v>
      </c>
      <c r="AC878" s="134">
        <f t="shared" si="135"/>
        <v>0</v>
      </c>
      <c r="AD878" s="251"/>
      <c r="AE878" s="1736"/>
      <c r="AF878" s="1737"/>
      <c r="AG878" s="77">
        <f t="shared" si="136"/>
        <v>0</v>
      </c>
      <c r="AH878" s="136">
        <f t="shared" si="137"/>
        <v>0</v>
      </c>
      <c r="AI878" s="251"/>
      <c r="AJ878" s="1736"/>
      <c r="AK878" s="1737"/>
      <c r="AL878" s="79">
        <f t="shared" si="138"/>
        <v>0</v>
      </c>
      <c r="AM878" s="137">
        <f t="shared" si="139"/>
        <v>0</v>
      </c>
      <c r="AN878" s="251"/>
      <c r="AO878" s="1736"/>
      <c r="AP878" s="1737"/>
    </row>
    <row r="879" spans="1:42" s="85" customFormat="1" ht="13.5" thickBot="1">
      <c r="A879" s="240"/>
      <c r="B879" s="241"/>
      <c r="C879" s="242"/>
      <c r="D879" s="242"/>
      <c r="E879" s="243"/>
      <c r="F879" s="244"/>
      <c r="G879" s="244"/>
      <c r="H879" s="243"/>
      <c r="I879" s="258"/>
      <c r="J879" s="245"/>
      <c r="K879" s="245"/>
      <c r="L879" s="76">
        <f t="shared" si="130"/>
        <v>0</v>
      </c>
      <c r="M879" s="246"/>
      <c r="N879" s="247"/>
      <c r="O879" s="248"/>
      <c r="P879" s="246"/>
      <c r="Q879" s="249"/>
      <c r="R879" s="250"/>
      <c r="S879" s="259"/>
      <c r="T879" s="260"/>
      <c r="U879" s="250"/>
      <c r="V879" s="78">
        <f t="shared" si="131"/>
        <v>0</v>
      </c>
      <c r="W879" s="261">
        <f t="shared" si="132"/>
        <v>0</v>
      </c>
      <c r="X879" s="133">
        <f t="shared" si="133"/>
        <v>0</v>
      </c>
      <c r="Y879" s="251"/>
      <c r="Z879" s="1736"/>
      <c r="AA879" s="1737"/>
      <c r="AB879" s="77">
        <f t="shared" si="134"/>
        <v>0</v>
      </c>
      <c r="AC879" s="134">
        <f t="shared" si="135"/>
        <v>0</v>
      </c>
      <c r="AD879" s="251"/>
      <c r="AE879" s="1736"/>
      <c r="AF879" s="1737"/>
      <c r="AG879" s="77">
        <f t="shared" si="136"/>
        <v>0</v>
      </c>
      <c r="AH879" s="136">
        <f t="shared" si="137"/>
        <v>0</v>
      </c>
      <c r="AI879" s="251"/>
      <c r="AJ879" s="1736"/>
      <c r="AK879" s="1737"/>
      <c r="AL879" s="79">
        <f t="shared" si="138"/>
        <v>0</v>
      </c>
      <c r="AM879" s="137">
        <f t="shared" si="139"/>
        <v>0</v>
      </c>
      <c r="AN879" s="251"/>
      <c r="AO879" s="1736"/>
      <c r="AP879" s="1737"/>
    </row>
    <row r="880" spans="1:42" s="85" customFormat="1" ht="13.5" thickBot="1">
      <c r="A880" s="240"/>
      <c r="B880" s="241"/>
      <c r="C880" s="242"/>
      <c r="D880" s="242"/>
      <c r="E880" s="243"/>
      <c r="F880" s="244"/>
      <c r="G880" s="244"/>
      <c r="H880" s="243"/>
      <c r="I880" s="258"/>
      <c r="J880" s="245"/>
      <c r="K880" s="245"/>
      <c r="L880" s="76">
        <f t="shared" si="130"/>
        <v>0</v>
      </c>
      <c r="M880" s="246"/>
      <c r="N880" s="247"/>
      <c r="O880" s="248"/>
      <c r="P880" s="246"/>
      <c r="Q880" s="249"/>
      <c r="R880" s="250"/>
      <c r="S880" s="259"/>
      <c r="T880" s="260"/>
      <c r="U880" s="250"/>
      <c r="V880" s="78">
        <f t="shared" si="131"/>
        <v>0</v>
      </c>
      <c r="W880" s="261">
        <f t="shared" si="132"/>
        <v>0</v>
      </c>
      <c r="X880" s="133">
        <f t="shared" si="133"/>
        <v>0</v>
      </c>
      <c r="Y880" s="251"/>
      <c r="Z880" s="1736"/>
      <c r="AA880" s="1737"/>
      <c r="AB880" s="77">
        <f t="shared" si="134"/>
        <v>0</v>
      </c>
      <c r="AC880" s="134">
        <f t="shared" si="135"/>
        <v>0</v>
      </c>
      <c r="AD880" s="251"/>
      <c r="AE880" s="1736"/>
      <c r="AF880" s="1737"/>
      <c r="AG880" s="77">
        <f t="shared" si="136"/>
        <v>0</v>
      </c>
      <c r="AH880" s="136">
        <f t="shared" si="137"/>
        <v>0</v>
      </c>
      <c r="AI880" s="251"/>
      <c r="AJ880" s="1736"/>
      <c r="AK880" s="1737"/>
      <c r="AL880" s="79">
        <f t="shared" si="138"/>
        <v>0</v>
      </c>
      <c r="AM880" s="137">
        <f t="shared" si="139"/>
        <v>0</v>
      </c>
      <c r="AN880" s="251"/>
      <c r="AO880" s="1736"/>
      <c r="AP880" s="1737"/>
    </row>
    <row r="881" spans="1:42" s="85" customFormat="1" ht="13.5" thickBot="1">
      <c r="A881" s="240"/>
      <c r="B881" s="241"/>
      <c r="C881" s="242"/>
      <c r="D881" s="242"/>
      <c r="E881" s="243"/>
      <c r="F881" s="244"/>
      <c r="G881" s="244"/>
      <c r="H881" s="243"/>
      <c r="I881" s="258"/>
      <c r="J881" s="245"/>
      <c r="K881" s="245"/>
      <c r="L881" s="76">
        <f t="shared" si="130"/>
        <v>0</v>
      </c>
      <c r="M881" s="246"/>
      <c r="N881" s="247"/>
      <c r="O881" s="248"/>
      <c r="P881" s="246"/>
      <c r="Q881" s="249"/>
      <c r="R881" s="250"/>
      <c r="S881" s="259"/>
      <c r="T881" s="260"/>
      <c r="U881" s="250"/>
      <c r="V881" s="78">
        <f t="shared" si="131"/>
        <v>0</v>
      </c>
      <c r="W881" s="261">
        <f t="shared" si="132"/>
        <v>0</v>
      </c>
      <c r="X881" s="133">
        <f t="shared" si="133"/>
        <v>0</v>
      </c>
      <c r="Y881" s="251"/>
      <c r="Z881" s="1736"/>
      <c r="AA881" s="1737"/>
      <c r="AB881" s="77">
        <f t="shared" si="134"/>
        <v>0</v>
      </c>
      <c r="AC881" s="134">
        <f t="shared" si="135"/>
        <v>0</v>
      </c>
      <c r="AD881" s="251"/>
      <c r="AE881" s="1736"/>
      <c r="AF881" s="1737"/>
      <c r="AG881" s="77">
        <f t="shared" si="136"/>
        <v>0</v>
      </c>
      <c r="AH881" s="136">
        <f t="shared" si="137"/>
        <v>0</v>
      </c>
      <c r="AI881" s="251"/>
      <c r="AJ881" s="1736"/>
      <c r="AK881" s="1737"/>
      <c r="AL881" s="79">
        <f t="shared" si="138"/>
        <v>0</v>
      </c>
      <c r="AM881" s="137">
        <f t="shared" si="139"/>
        <v>0</v>
      </c>
      <c r="AN881" s="251"/>
      <c r="AO881" s="1736"/>
      <c r="AP881" s="1737"/>
    </row>
    <row r="882" spans="1:42" s="85" customFormat="1" ht="13.5" thickBot="1">
      <c r="A882" s="240"/>
      <c r="B882" s="241"/>
      <c r="C882" s="242"/>
      <c r="D882" s="242"/>
      <c r="E882" s="243"/>
      <c r="F882" s="244"/>
      <c r="G882" s="244"/>
      <c r="H882" s="243"/>
      <c r="I882" s="258"/>
      <c r="J882" s="245"/>
      <c r="K882" s="245"/>
      <c r="L882" s="76">
        <f t="shared" si="130"/>
        <v>0</v>
      </c>
      <c r="M882" s="246"/>
      <c r="N882" s="247"/>
      <c r="O882" s="248"/>
      <c r="P882" s="246"/>
      <c r="Q882" s="249"/>
      <c r="R882" s="250"/>
      <c r="S882" s="259"/>
      <c r="T882" s="260"/>
      <c r="U882" s="250"/>
      <c r="V882" s="78">
        <f t="shared" si="131"/>
        <v>0</v>
      </c>
      <c r="W882" s="261">
        <f t="shared" si="132"/>
        <v>0</v>
      </c>
      <c r="X882" s="133">
        <f t="shared" si="133"/>
        <v>0</v>
      </c>
      <c r="Y882" s="251"/>
      <c r="Z882" s="1736"/>
      <c r="AA882" s="1737"/>
      <c r="AB882" s="77">
        <f t="shared" si="134"/>
        <v>0</v>
      </c>
      <c r="AC882" s="134">
        <f t="shared" si="135"/>
        <v>0</v>
      </c>
      <c r="AD882" s="251"/>
      <c r="AE882" s="1736"/>
      <c r="AF882" s="1737"/>
      <c r="AG882" s="77">
        <f t="shared" si="136"/>
        <v>0</v>
      </c>
      <c r="AH882" s="136">
        <f t="shared" si="137"/>
        <v>0</v>
      </c>
      <c r="AI882" s="251"/>
      <c r="AJ882" s="1736"/>
      <c r="AK882" s="1737"/>
      <c r="AL882" s="79">
        <f t="shared" si="138"/>
        <v>0</v>
      </c>
      <c r="AM882" s="137">
        <f t="shared" si="139"/>
        <v>0</v>
      </c>
      <c r="AN882" s="251"/>
      <c r="AO882" s="1736"/>
      <c r="AP882" s="1737"/>
    </row>
    <row r="883" spans="1:42" s="85" customFormat="1" ht="13.5" thickBot="1">
      <c r="A883" s="240"/>
      <c r="B883" s="241"/>
      <c r="C883" s="242"/>
      <c r="D883" s="242"/>
      <c r="E883" s="243"/>
      <c r="F883" s="244"/>
      <c r="G883" s="244"/>
      <c r="H883" s="243"/>
      <c r="I883" s="258"/>
      <c r="J883" s="245"/>
      <c r="K883" s="245"/>
      <c r="L883" s="76">
        <f t="shared" si="130"/>
        <v>0</v>
      </c>
      <c r="M883" s="246"/>
      <c r="N883" s="247"/>
      <c r="O883" s="248"/>
      <c r="P883" s="246"/>
      <c r="Q883" s="249"/>
      <c r="R883" s="250"/>
      <c r="S883" s="259"/>
      <c r="T883" s="260"/>
      <c r="U883" s="250"/>
      <c r="V883" s="78">
        <f t="shared" si="131"/>
        <v>0</v>
      </c>
      <c r="W883" s="261">
        <f t="shared" si="132"/>
        <v>0</v>
      </c>
      <c r="X883" s="133">
        <f t="shared" si="133"/>
        <v>0</v>
      </c>
      <c r="Y883" s="251"/>
      <c r="Z883" s="1736"/>
      <c r="AA883" s="1737"/>
      <c r="AB883" s="77">
        <f t="shared" si="134"/>
        <v>0</v>
      </c>
      <c r="AC883" s="134">
        <f t="shared" si="135"/>
        <v>0</v>
      </c>
      <c r="AD883" s="251"/>
      <c r="AE883" s="1736"/>
      <c r="AF883" s="1737"/>
      <c r="AG883" s="77">
        <f t="shared" si="136"/>
        <v>0</v>
      </c>
      <c r="AH883" s="136">
        <f t="shared" si="137"/>
        <v>0</v>
      </c>
      <c r="AI883" s="251"/>
      <c r="AJ883" s="1736"/>
      <c r="AK883" s="1737"/>
      <c r="AL883" s="79">
        <f t="shared" si="138"/>
        <v>0</v>
      </c>
      <c r="AM883" s="137">
        <f t="shared" si="139"/>
        <v>0</v>
      </c>
      <c r="AN883" s="251"/>
      <c r="AO883" s="1736"/>
      <c r="AP883" s="1737"/>
    </row>
    <row r="884" spans="1:42" s="85" customFormat="1" ht="13.5" thickBot="1">
      <c r="A884" s="240"/>
      <c r="B884" s="241"/>
      <c r="C884" s="242"/>
      <c r="D884" s="242"/>
      <c r="E884" s="243"/>
      <c r="F884" s="244"/>
      <c r="G884" s="244"/>
      <c r="H884" s="243"/>
      <c r="I884" s="258"/>
      <c r="J884" s="245"/>
      <c r="K884" s="245"/>
      <c r="L884" s="76">
        <f t="shared" si="130"/>
        <v>0</v>
      </c>
      <c r="M884" s="246"/>
      <c r="N884" s="247"/>
      <c r="O884" s="248"/>
      <c r="P884" s="246"/>
      <c r="Q884" s="249"/>
      <c r="R884" s="250"/>
      <c r="S884" s="259"/>
      <c r="T884" s="260"/>
      <c r="U884" s="250"/>
      <c r="V884" s="78">
        <f t="shared" si="131"/>
        <v>0</v>
      </c>
      <c r="W884" s="261">
        <f t="shared" si="132"/>
        <v>0</v>
      </c>
      <c r="X884" s="133">
        <f t="shared" si="133"/>
        <v>0</v>
      </c>
      <c r="Y884" s="251"/>
      <c r="Z884" s="1736"/>
      <c r="AA884" s="1737"/>
      <c r="AB884" s="77">
        <f t="shared" si="134"/>
        <v>0</v>
      </c>
      <c r="AC884" s="134">
        <f t="shared" si="135"/>
        <v>0</v>
      </c>
      <c r="AD884" s="251"/>
      <c r="AE884" s="1736"/>
      <c r="AF884" s="1737"/>
      <c r="AG884" s="77">
        <f t="shared" si="136"/>
        <v>0</v>
      </c>
      <c r="AH884" s="136">
        <f t="shared" si="137"/>
        <v>0</v>
      </c>
      <c r="AI884" s="251"/>
      <c r="AJ884" s="1736"/>
      <c r="AK884" s="1737"/>
      <c r="AL884" s="79">
        <f t="shared" si="138"/>
        <v>0</v>
      </c>
      <c r="AM884" s="137">
        <f t="shared" si="139"/>
        <v>0</v>
      </c>
      <c r="AN884" s="251"/>
      <c r="AO884" s="1736"/>
      <c r="AP884" s="1737"/>
    </row>
    <row r="885" spans="1:42" s="85" customFormat="1" ht="13.5" thickBot="1">
      <c r="A885" s="240"/>
      <c r="B885" s="241"/>
      <c r="C885" s="242"/>
      <c r="D885" s="242"/>
      <c r="E885" s="243"/>
      <c r="F885" s="244"/>
      <c r="G885" s="244"/>
      <c r="H885" s="243"/>
      <c r="I885" s="258"/>
      <c r="J885" s="245"/>
      <c r="K885" s="245"/>
      <c r="L885" s="76">
        <f t="shared" si="130"/>
        <v>0</v>
      </c>
      <c r="M885" s="246"/>
      <c r="N885" s="247"/>
      <c r="O885" s="248"/>
      <c r="P885" s="246"/>
      <c r="Q885" s="249"/>
      <c r="R885" s="250"/>
      <c r="S885" s="259"/>
      <c r="T885" s="260"/>
      <c r="U885" s="250"/>
      <c r="V885" s="78">
        <f t="shared" si="131"/>
        <v>0</v>
      </c>
      <c r="W885" s="261">
        <f t="shared" si="132"/>
        <v>0</v>
      </c>
      <c r="X885" s="133">
        <f t="shared" si="133"/>
        <v>0</v>
      </c>
      <c r="Y885" s="251"/>
      <c r="Z885" s="1736"/>
      <c r="AA885" s="1737"/>
      <c r="AB885" s="77">
        <f t="shared" si="134"/>
        <v>0</v>
      </c>
      <c r="AC885" s="134">
        <f t="shared" si="135"/>
        <v>0</v>
      </c>
      <c r="AD885" s="251"/>
      <c r="AE885" s="1736"/>
      <c r="AF885" s="1737"/>
      <c r="AG885" s="77">
        <f t="shared" si="136"/>
        <v>0</v>
      </c>
      <c r="AH885" s="136">
        <f t="shared" si="137"/>
        <v>0</v>
      </c>
      <c r="AI885" s="251"/>
      <c r="AJ885" s="1736"/>
      <c r="AK885" s="1737"/>
      <c r="AL885" s="79">
        <f t="shared" si="138"/>
        <v>0</v>
      </c>
      <c r="AM885" s="137">
        <f t="shared" si="139"/>
        <v>0</v>
      </c>
      <c r="AN885" s="251"/>
      <c r="AO885" s="1736"/>
      <c r="AP885" s="1737"/>
    </row>
    <row r="886" spans="1:42" s="85" customFormat="1" ht="13.5" thickBot="1">
      <c r="A886" s="240"/>
      <c r="B886" s="241"/>
      <c r="C886" s="242"/>
      <c r="D886" s="242"/>
      <c r="E886" s="243"/>
      <c r="F886" s="244"/>
      <c r="G886" s="244"/>
      <c r="H886" s="243"/>
      <c r="I886" s="258"/>
      <c r="J886" s="245"/>
      <c r="K886" s="245"/>
      <c r="L886" s="76">
        <f t="shared" si="130"/>
        <v>0</v>
      </c>
      <c r="M886" s="246"/>
      <c r="N886" s="247"/>
      <c r="O886" s="248"/>
      <c r="P886" s="246"/>
      <c r="Q886" s="249"/>
      <c r="R886" s="250"/>
      <c r="S886" s="259"/>
      <c r="T886" s="260"/>
      <c r="U886" s="250"/>
      <c r="V886" s="78">
        <f t="shared" si="131"/>
        <v>0</v>
      </c>
      <c r="W886" s="261">
        <f t="shared" si="132"/>
        <v>0</v>
      </c>
      <c r="X886" s="133">
        <f t="shared" si="133"/>
        <v>0</v>
      </c>
      <c r="Y886" s="251"/>
      <c r="Z886" s="1736"/>
      <c r="AA886" s="1737"/>
      <c r="AB886" s="77">
        <f t="shared" si="134"/>
        <v>0</v>
      </c>
      <c r="AC886" s="134">
        <f t="shared" si="135"/>
        <v>0</v>
      </c>
      <c r="AD886" s="251"/>
      <c r="AE886" s="1736"/>
      <c r="AF886" s="1737"/>
      <c r="AG886" s="77">
        <f t="shared" si="136"/>
        <v>0</v>
      </c>
      <c r="AH886" s="136">
        <f t="shared" si="137"/>
        <v>0</v>
      </c>
      <c r="AI886" s="251"/>
      <c r="AJ886" s="1736"/>
      <c r="AK886" s="1737"/>
      <c r="AL886" s="79">
        <f t="shared" si="138"/>
        <v>0</v>
      </c>
      <c r="AM886" s="137">
        <f t="shared" si="139"/>
        <v>0</v>
      </c>
      <c r="AN886" s="251"/>
      <c r="AO886" s="1736"/>
      <c r="AP886" s="1737"/>
    </row>
    <row r="887" spans="1:42" s="85" customFormat="1" ht="13.5" thickBot="1">
      <c r="A887" s="240"/>
      <c r="B887" s="241"/>
      <c r="C887" s="242"/>
      <c r="D887" s="242"/>
      <c r="E887" s="243"/>
      <c r="F887" s="244"/>
      <c r="G887" s="244"/>
      <c r="H887" s="243"/>
      <c r="I887" s="258"/>
      <c r="J887" s="245"/>
      <c r="K887" s="245"/>
      <c r="L887" s="76">
        <f t="shared" si="130"/>
        <v>0</v>
      </c>
      <c r="M887" s="246"/>
      <c r="N887" s="247"/>
      <c r="O887" s="248"/>
      <c r="P887" s="246"/>
      <c r="Q887" s="249"/>
      <c r="R887" s="250"/>
      <c r="S887" s="259"/>
      <c r="T887" s="260"/>
      <c r="U887" s="250"/>
      <c r="V887" s="78">
        <f t="shared" si="131"/>
        <v>0</v>
      </c>
      <c r="W887" s="261">
        <f t="shared" si="132"/>
        <v>0</v>
      </c>
      <c r="X887" s="133">
        <f t="shared" si="133"/>
        <v>0</v>
      </c>
      <c r="Y887" s="251"/>
      <c r="Z887" s="1736"/>
      <c r="AA887" s="1737"/>
      <c r="AB887" s="77">
        <f t="shared" si="134"/>
        <v>0</v>
      </c>
      <c r="AC887" s="134">
        <f t="shared" si="135"/>
        <v>0</v>
      </c>
      <c r="AD887" s="251"/>
      <c r="AE887" s="1736"/>
      <c r="AF887" s="1737"/>
      <c r="AG887" s="77">
        <f t="shared" si="136"/>
        <v>0</v>
      </c>
      <c r="AH887" s="136">
        <f t="shared" si="137"/>
        <v>0</v>
      </c>
      <c r="AI887" s="251"/>
      <c r="AJ887" s="1736"/>
      <c r="AK887" s="1737"/>
      <c r="AL887" s="79">
        <f t="shared" si="138"/>
        <v>0</v>
      </c>
      <c r="AM887" s="137">
        <f t="shared" si="139"/>
        <v>0</v>
      </c>
      <c r="AN887" s="251"/>
      <c r="AO887" s="1736"/>
      <c r="AP887" s="1737"/>
    </row>
    <row r="888" spans="1:42" s="85" customFormat="1" ht="13.5" thickBot="1">
      <c r="A888" s="240"/>
      <c r="B888" s="241"/>
      <c r="C888" s="242"/>
      <c r="D888" s="242"/>
      <c r="E888" s="243"/>
      <c r="F888" s="244"/>
      <c r="G888" s="244"/>
      <c r="H888" s="243"/>
      <c r="I888" s="258"/>
      <c r="J888" s="245"/>
      <c r="K888" s="245"/>
      <c r="L888" s="76">
        <f t="shared" si="130"/>
        <v>0</v>
      </c>
      <c r="M888" s="246"/>
      <c r="N888" s="247"/>
      <c r="O888" s="248"/>
      <c r="P888" s="246"/>
      <c r="Q888" s="249"/>
      <c r="R888" s="250"/>
      <c r="S888" s="259"/>
      <c r="T888" s="260"/>
      <c r="U888" s="250"/>
      <c r="V888" s="78">
        <f t="shared" si="131"/>
        <v>0</v>
      </c>
      <c r="W888" s="261">
        <f t="shared" si="132"/>
        <v>0</v>
      </c>
      <c r="X888" s="133">
        <f t="shared" si="133"/>
        <v>0</v>
      </c>
      <c r="Y888" s="251"/>
      <c r="Z888" s="1736"/>
      <c r="AA888" s="1737"/>
      <c r="AB888" s="77">
        <f t="shared" si="134"/>
        <v>0</v>
      </c>
      <c r="AC888" s="134">
        <f t="shared" si="135"/>
        <v>0</v>
      </c>
      <c r="AD888" s="251"/>
      <c r="AE888" s="1736"/>
      <c r="AF888" s="1737"/>
      <c r="AG888" s="77">
        <f t="shared" si="136"/>
        <v>0</v>
      </c>
      <c r="AH888" s="136">
        <f t="shared" si="137"/>
        <v>0</v>
      </c>
      <c r="AI888" s="251"/>
      <c r="AJ888" s="1736"/>
      <c r="AK888" s="1737"/>
      <c r="AL888" s="79">
        <f t="shared" si="138"/>
        <v>0</v>
      </c>
      <c r="AM888" s="137">
        <f t="shared" si="139"/>
        <v>0</v>
      </c>
      <c r="AN888" s="251"/>
      <c r="AO888" s="1736"/>
      <c r="AP888" s="1737"/>
    </row>
    <row r="889" spans="1:42" s="85" customFormat="1" ht="13.5" thickBot="1">
      <c r="A889" s="240"/>
      <c r="B889" s="241"/>
      <c r="C889" s="242"/>
      <c r="D889" s="242"/>
      <c r="E889" s="243"/>
      <c r="F889" s="244"/>
      <c r="G889" s="244"/>
      <c r="H889" s="243"/>
      <c r="I889" s="258"/>
      <c r="J889" s="245"/>
      <c r="K889" s="245"/>
      <c r="L889" s="76">
        <f t="shared" si="130"/>
        <v>0</v>
      </c>
      <c r="M889" s="246"/>
      <c r="N889" s="247"/>
      <c r="O889" s="248"/>
      <c r="P889" s="246"/>
      <c r="Q889" s="249"/>
      <c r="R889" s="250"/>
      <c r="S889" s="259"/>
      <c r="T889" s="260"/>
      <c r="U889" s="250"/>
      <c r="V889" s="78">
        <f t="shared" si="131"/>
        <v>0</v>
      </c>
      <c r="W889" s="261">
        <f t="shared" si="132"/>
        <v>0</v>
      </c>
      <c r="X889" s="133">
        <f t="shared" si="133"/>
        <v>0</v>
      </c>
      <c r="Y889" s="251"/>
      <c r="Z889" s="1736"/>
      <c r="AA889" s="1737"/>
      <c r="AB889" s="77">
        <f t="shared" si="134"/>
        <v>0</v>
      </c>
      <c r="AC889" s="134">
        <f t="shared" si="135"/>
        <v>0</v>
      </c>
      <c r="AD889" s="251"/>
      <c r="AE889" s="1736"/>
      <c r="AF889" s="1737"/>
      <c r="AG889" s="77">
        <f t="shared" si="136"/>
        <v>0</v>
      </c>
      <c r="AH889" s="136">
        <f t="shared" si="137"/>
        <v>0</v>
      </c>
      <c r="AI889" s="251"/>
      <c r="AJ889" s="1736"/>
      <c r="AK889" s="1737"/>
      <c r="AL889" s="79">
        <f t="shared" si="138"/>
        <v>0</v>
      </c>
      <c r="AM889" s="137">
        <f t="shared" si="139"/>
        <v>0</v>
      </c>
      <c r="AN889" s="251"/>
      <c r="AO889" s="1736"/>
      <c r="AP889" s="1737"/>
    </row>
    <row r="890" spans="1:42" s="85" customFormat="1" ht="13.5" thickBot="1">
      <c r="A890" s="240"/>
      <c r="B890" s="241"/>
      <c r="C890" s="242"/>
      <c r="D890" s="242"/>
      <c r="E890" s="243"/>
      <c r="F890" s="244"/>
      <c r="G890" s="244"/>
      <c r="H890" s="243"/>
      <c r="I890" s="258"/>
      <c r="J890" s="245"/>
      <c r="K890" s="245"/>
      <c r="L890" s="76">
        <f t="shared" si="130"/>
        <v>0</v>
      </c>
      <c r="M890" s="246"/>
      <c r="N890" s="247"/>
      <c r="O890" s="248"/>
      <c r="P890" s="246"/>
      <c r="Q890" s="249"/>
      <c r="R890" s="250"/>
      <c r="S890" s="259"/>
      <c r="T890" s="260"/>
      <c r="U890" s="250"/>
      <c r="V890" s="78">
        <f t="shared" si="131"/>
        <v>0</v>
      </c>
      <c r="W890" s="261">
        <f t="shared" si="132"/>
        <v>0</v>
      </c>
      <c r="X890" s="133">
        <f t="shared" si="133"/>
        <v>0</v>
      </c>
      <c r="Y890" s="251"/>
      <c r="Z890" s="1736"/>
      <c r="AA890" s="1737"/>
      <c r="AB890" s="77">
        <f t="shared" si="134"/>
        <v>0</v>
      </c>
      <c r="AC890" s="134">
        <f t="shared" si="135"/>
        <v>0</v>
      </c>
      <c r="AD890" s="251"/>
      <c r="AE890" s="1736"/>
      <c r="AF890" s="1737"/>
      <c r="AG890" s="77">
        <f t="shared" si="136"/>
        <v>0</v>
      </c>
      <c r="AH890" s="136">
        <f t="shared" si="137"/>
        <v>0</v>
      </c>
      <c r="AI890" s="251"/>
      <c r="AJ890" s="1736"/>
      <c r="AK890" s="1737"/>
      <c r="AL890" s="79">
        <f t="shared" si="138"/>
        <v>0</v>
      </c>
      <c r="AM890" s="137">
        <f t="shared" si="139"/>
        <v>0</v>
      </c>
      <c r="AN890" s="251"/>
      <c r="AO890" s="1736"/>
      <c r="AP890" s="1737"/>
    </row>
    <row r="891" spans="1:42" s="85" customFormat="1" ht="13.5" thickBot="1">
      <c r="A891" s="240"/>
      <c r="B891" s="241"/>
      <c r="C891" s="242"/>
      <c r="D891" s="242"/>
      <c r="E891" s="243"/>
      <c r="F891" s="244"/>
      <c r="G891" s="244"/>
      <c r="H891" s="243"/>
      <c r="I891" s="258"/>
      <c r="J891" s="245"/>
      <c r="K891" s="245"/>
      <c r="L891" s="76">
        <f t="shared" si="130"/>
        <v>0</v>
      </c>
      <c r="M891" s="246"/>
      <c r="N891" s="247"/>
      <c r="O891" s="248"/>
      <c r="P891" s="246"/>
      <c r="Q891" s="249"/>
      <c r="R891" s="250"/>
      <c r="S891" s="259"/>
      <c r="T891" s="260"/>
      <c r="U891" s="250"/>
      <c r="V891" s="78">
        <f t="shared" si="131"/>
        <v>0</v>
      </c>
      <c r="W891" s="261">
        <f t="shared" si="132"/>
        <v>0</v>
      </c>
      <c r="X891" s="133">
        <f t="shared" si="133"/>
        <v>0</v>
      </c>
      <c r="Y891" s="251"/>
      <c r="Z891" s="1736"/>
      <c r="AA891" s="1737"/>
      <c r="AB891" s="77">
        <f t="shared" si="134"/>
        <v>0</v>
      </c>
      <c r="AC891" s="134">
        <f t="shared" si="135"/>
        <v>0</v>
      </c>
      <c r="AD891" s="251"/>
      <c r="AE891" s="1736"/>
      <c r="AF891" s="1737"/>
      <c r="AG891" s="77">
        <f t="shared" si="136"/>
        <v>0</v>
      </c>
      <c r="AH891" s="136">
        <f t="shared" si="137"/>
        <v>0</v>
      </c>
      <c r="AI891" s="251"/>
      <c r="AJ891" s="1736"/>
      <c r="AK891" s="1737"/>
      <c r="AL891" s="79">
        <f t="shared" si="138"/>
        <v>0</v>
      </c>
      <c r="AM891" s="137">
        <f t="shared" si="139"/>
        <v>0</v>
      </c>
      <c r="AN891" s="251"/>
      <c r="AO891" s="1736"/>
      <c r="AP891" s="1737"/>
    </row>
    <row r="892" spans="1:42" s="85" customFormat="1" ht="13.5" thickBot="1">
      <c r="A892" s="240"/>
      <c r="B892" s="241"/>
      <c r="C892" s="242"/>
      <c r="D892" s="242"/>
      <c r="E892" s="243"/>
      <c r="F892" s="244"/>
      <c r="G892" s="244"/>
      <c r="H892" s="243"/>
      <c r="I892" s="258"/>
      <c r="J892" s="245"/>
      <c r="K892" s="245"/>
      <c r="L892" s="76">
        <f t="shared" si="130"/>
        <v>0</v>
      </c>
      <c r="M892" s="246"/>
      <c r="N892" s="247"/>
      <c r="O892" s="248"/>
      <c r="P892" s="246"/>
      <c r="Q892" s="249"/>
      <c r="R892" s="250"/>
      <c r="S892" s="259"/>
      <c r="T892" s="260"/>
      <c r="U892" s="250"/>
      <c r="V892" s="78">
        <f t="shared" si="131"/>
        <v>0</v>
      </c>
      <c r="W892" s="261">
        <f t="shared" si="132"/>
        <v>0</v>
      </c>
      <c r="X892" s="133">
        <f t="shared" si="133"/>
        <v>0</v>
      </c>
      <c r="Y892" s="251"/>
      <c r="Z892" s="1736"/>
      <c r="AA892" s="1737"/>
      <c r="AB892" s="77">
        <f t="shared" si="134"/>
        <v>0</v>
      </c>
      <c r="AC892" s="134">
        <f t="shared" si="135"/>
        <v>0</v>
      </c>
      <c r="AD892" s="251"/>
      <c r="AE892" s="1736"/>
      <c r="AF892" s="1737"/>
      <c r="AG892" s="77">
        <f t="shared" si="136"/>
        <v>0</v>
      </c>
      <c r="AH892" s="136">
        <f t="shared" si="137"/>
        <v>0</v>
      </c>
      <c r="AI892" s="251"/>
      <c r="AJ892" s="1736"/>
      <c r="AK892" s="1737"/>
      <c r="AL892" s="79">
        <f t="shared" si="138"/>
        <v>0</v>
      </c>
      <c r="AM892" s="137">
        <f t="shared" si="139"/>
        <v>0</v>
      </c>
      <c r="AN892" s="251"/>
      <c r="AO892" s="1736"/>
      <c r="AP892" s="1737"/>
    </row>
    <row r="893" spans="1:42" s="85" customFormat="1" ht="13.5" thickBot="1">
      <c r="A893" s="240"/>
      <c r="B893" s="241"/>
      <c r="C893" s="242"/>
      <c r="D893" s="242"/>
      <c r="E893" s="243"/>
      <c r="F893" s="244"/>
      <c r="G893" s="244"/>
      <c r="H893" s="243"/>
      <c r="I893" s="258"/>
      <c r="J893" s="245"/>
      <c r="K893" s="245"/>
      <c r="L893" s="76">
        <f t="shared" si="130"/>
        <v>0</v>
      </c>
      <c r="M893" s="246"/>
      <c r="N893" s="247"/>
      <c r="O893" s="248"/>
      <c r="P893" s="246"/>
      <c r="Q893" s="249"/>
      <c r="R893" s="250"/>
      <c r="S893" s="259"/>
      <c r="T893" s="260"/>
      <c r="U893" s="250"/>
      <c r="V893" s="78">
        <f t="shared" si="131"/>
        <v>0</v>
      </c>
      <c r="W893" s="261">
        <f t="shared" si="132"/>
        <v>0</v>
      </c>
      <c r="X893" s="133">
        <f t="shared" si="133"/>
        <v>0</v>
      </c>
      <c r="Y893" s="251"/>
      <c r="Z893" s="1736"/>
      <c r="AA893" s="1737"/>
      <c r="AB893" s="77">
        <f t="shared" si="134"/>
        <v>0</v>
      </c>
      <c r="AC893" s="134">
        <f t="shared" si="135"/>
        <v>0</v>
      </c>
      <c r="AD893" s="251"/>
      <c r="AE893" s="1736"/>
      <c r="AF893" s="1737"/>
      <c r="AG893" s="77">
        <f t="shared" si="136"/>
        <v>0</v>
      </c>
      <c r="AH893" s="136">
        <f t="shared" si="137"/>
        <v>0</v>
      </c>
      <c r="AI893" s="251"/>
      <c r="AJ893" s="1736"/>
      <c r="AK893" s="1737"/>
      <c r="AL893" s="79">
        <f t="shared" si="138"/>
        <v>0</v>
      </c>
      <c r="AM893" s="137">
        <f t="shared" si="139"/>
        <v>0</v>
      </c>
      <c r="AN893" s="251"/>
      <c r="AO893" s="1736"/>
      <c r="AP893" s="1737"/>
    </row>
    <row r="894" spans="1:42" s="85" customFormat="1" ht="13.5" thickBot="1">
      <c r="A894" s="240"/>
      <c r="B894" s="241"/>
      <c r="C894" s="242"/>
      <c r="D894" s="242"/>
      <c r="E894" s="243"/>
      <c r="F894" s="244"/>
      <c r="G894" s="244"/>
      <c r="H894" s="243"/>
      <c r="I894" s="258"/>
      <c r="J894" s="245"/>
      <c r="K894" s="245"/>
      <c r="L894" s="76">
        <f t="shared" si="130"/>
        <v>0</v>
      </c>
      <c r="M894" s="246"/>
      <c r="N894" s="247"/>
      <c r="O894" s="248"/>
      <c r="P894" s="246"/>
      <c r="Q894" s="249"/>
      <c r="R894" s="250"/>
      <c r="S894" s="259"/>
      <c r="T894" s="260"/>
      <c r="U894" s="250"/>
      <c r="V894" s="78">
        <f t="shared" si="131"/>
        <v>0</v>
      </c>
      <c r="W894" s="261">
        <f t="shared" si="132"/>
        <v>0</v>
      </c>
      <c r="X894" s="133">
        <f t="shared" si="133"/>
        <v>0</v>
      </c>
      <c r="Y894" s="251"/>
      <c r="Z894" s="1736"/>
      <c r="AA894" s="1737"/>
      <c r="AB894" s="77">
        <f t="shared" si="134"/>
        <v>0</v>
      </c>
      <c r="AC894" s="134">
        <f t="shared" si="135"/>
        <v>0</v>
      </c>
      <c r="AD894" s="251"/>
      <c r="AE894" s="1736"/>
      <c r="AF894" s="1737"/>
      <c r="AG894" s="77">
        <f t="shared" si="136"/>
        <v>0</v>
      </c>
      <c r="AH894" s="136">
        <f t="shared" si="137"/>
        <v>0</v>
      </c>
      <c r="AI894" s="251"/>
      <c r="AJ894" s="1736"/>
      <c r="AK894" s="1737"/>
      <c r="AL894" s="79">
        <f t="shared" si="138"/>
        <v>0</v>
      </c>
      <c r="AM894" s="137">
        <f t="shared" si="139"/>
        <v>0</v>
      </c>
      <c r="AN894" s="251"/>
      <c r="AO894" s="1736"/>
      <c r="AP894" s="1737"/>
    </row>
    <row r="895" spans="1:42" s="85" customFormat="1" ht="13.5" thickBot="1">
      <c r="A895" s="240"/>
      <c r="B895" s="241"/>
      <c r="C895" s="242"/>
      <c r="D895" s="242"/>
      <c r="E895" s="243"/>
      <c r="F895" s="244"/>
      <c r="G895" s="244"/>
      <c r="H895" s="243"/>
      <c r="I895" s="258"/>
      <c r="J895" s="245"/>
      <c r="K895" s="245"/>
      <c r="L895" s="76">
        <f t="shared" si="130"/>
        <v>0</v>
      </c>
      <c r="M895" s="246"/>
      <c r="N895" s="247"/>
      <c r="O895" s="248"/>
      <c r="P895" s="246"/>
      <c r="Q895" s="249"/>
      <c r="R895" s="250"/>
      <c r="S895" s="259"/>
      <c r="T895" s="260"/>
      <c r="U895" s="250"/>
      <c r="V895" s="78">
        <f t="shared" si="131"/>
        <v>0</v>
      </c>
      <c r="W895" s="261">
        <f t="shared" si="132"/>
        <v>0</v>
      </c>
      <c r="X895" s="133">
        <f t="shared" si="133"/>
        <v>0</v>
      </c>
      <c r="Y895" s="251"/>
      <c r="Z895" s="1736"/>
      <c r="AA895" s="1737"/>
      <c r="AB895" s="77">
        <f t="shared" si="134"/>
        <v>0</v>
      </c>
      <c r="AC895" s="134">
        <f t="shared" si="135"/>
        <v>0</v>
      </c>
      <c r="AD895" s="251"/>
      <c r="AE895" s="1736"/>
      <c r="AF895" s="1737"/>
      <c r="AG895" s="77">
        <f t="shared" si="136"/>
        <v>0</v>
      </c>
      <c r="AH895" s="136">
        <f t="shared" si="137"/>
        <v>0</v>
      </c>
      <c r="AI895" s="251"/>
      <c r="AJ895" s="1736"/>
      <c r="AK895" s="1737"/>
      <c r="AL895" s="79">
        <f t="shared" si="138"/>
        <v>0</v>
      </c>
      <c r="AM895" s="137">
        <f t="shared" si="139"/>
        <v>0</v>
      </c>
      <c r="AN895" s="251"/>
      <c r="AO895" s="1736"/>
      <c r="AP895" s="1737"/>
    </row>
    <row r="896" spans="1:42" s="85" customFormat="1" ht="13.5" thickBot="1">
      <c r="A896" s="240"/>
      <c r="B896" s="241"/>
      <c r="C896" s="242"/>
      <c r="D896" s="242"/>
      <c r="E896" s="243"/>
      <c r="F896" s="244"/>
      <c r="G896" s="244"/>
      <c r="H896" s="243"/>
      <c r="I896" s="258"/>
      <c r="J896" s="245"/>
      <c r="K896" s="245"/>
      <c r="L896" s="76">
        <f t="shared" si="130"/>
        <v>0</v>
      </c>
      <c r="M896" s="246"/>
      <c r="N896" s="247"/>
      <c r="O896" s="248"/>
      <c r="P896" s="246"/>
      <c r="Q896" s="249"/>
      <c r="R896" s="250"/>
      <c r="S896" s="259"/>
      <c r="T896" s="260"/>
      <c r="U896" s="250"/>
      <c r="V896" s="78">
        <f t="shared" si="131"/>
        <v>0</v>
      </c>
      <c r="W896" s="261">
        <f t="shared" si="132"/>
        <v>0</v>
      </c>
      <c r="X896" s="133">
        <f t="shared" si="133"/>
        <v>0</v>
      </c>
      <c r="Y896" s="251"/>
      <c r="Z896" s="1736"/>
      <c r="AA896" s="1737"/>
      <c r="AB896" s="77">
        <f t="shared" si="134"/>
        <v>0</v>
      </c>
      <c r="AC896" s="134">
        <f t="shared" si="135"/>
        <v>0</v>
      </c>
      <c r="AD896" s="251"/>
      <c r="AE896" s="1736"/>
      <c r="AF896" s="1737"/>
      <c r="AG896" s="77">
        <f t="shared" si="136"/>
        <v>0</v>
      </c>
      <c r="AH896" s="136">
        <f t="shared" si="137"/>
        <v>0</v>
      </c>
      <c r="AI896" s="251"/>
      <c r="AJ896" s="1736"/>
      <c r="AK896" s="1737"/>
      <c r="AL896" s="79">
        <f t="shared" si="138"/>
        <v>0</v>
      </c>
      <c r="AM896" s="137">
        <f t="shared" si="139"/>
        <v>0</v>
      </c>
      <c r="AN896" s="251"/>
      <c r="AO896" s="1736"/>
      <c r="AP896" s="1737"/>
    </row>
    <row r="897" spans="1:42" s="85" customFormat="1" ht="13.5" thickBot="1">
      <c r="A897" s="240"/>
      <c r="B897" s="241"/>
      <c r="C897" s="242"/>
      <c r="D897" s="242"/>
      <c r="E897" s="243"/>
      <c r="F897" s="244"/>
      <c r="G897" s="244"/>
      <c r="H897" s="243"/>
      <c r="I897" s="258"/>
      <c r="J897" s="245"/>
      <c r="K897" s="245"/>
      <c r="L897" s="76">
        <f t="shared" si="130"/>
        <v>0</v>
      </c>
      <c r="M897" s="246"/>
      <c r="N897" s="247"/>
      <c r="O897" s="248"/>
      <c r="P897" s="246"/>
      <c r="Q897" s="249"/>
      <c r="R897" s="250"/>
      <c r="S897" s="259"/>
      <c r="T897" s="260"/>
      <c r="U897" s="250"/>
      <c r="V897" s="78">
        <f t="shared" si="131"/>
        <v>0</v>
      </c>
      <c r="W897" s="261">
        <f t="shared" si="132"/>
        <v>0</v>
      </c>
      <c r="X897" s="133">
        <f t="shared" si="133"/>
        <v>0</v>
      </c>
      <c r="Y897" s="251"/>
      <c r="Z897" s="1736"/>
      <c r="AA897" s="1737"/>
      <c r="AB897" s="77">
        <f t="shared" si="134"/>
        <v>0</v>
      </c>
      <c r="AC897" s="134">
        <f t="shared" si="135"/>
        <v>0</v>
      </c>
      <c r="AD897" s="251"/>
      <c r="AE897" s="1736"/>
      <c r="AF897" s="1737"/>
      <c r="AG897" s="77">
        <f t="shared" si="136"/>
        <v>0</v>
      </c>
      <c r="AH897" s="136">
        <f t="shared" si="137"/>
        <v>0</v>
      </c>
      <c r="AI897" s="251"/>
      <c r="AJ897" s="1736"/>
      <c r="AK897" s="1737"/>
      <c r="AL897" s="79">
        <f t="shared" si="138"/>
        <v>0</v>
      </c>
      <c r="AM897" s="137">
        <f t="shared" si="139"/>
        <v>0</v>
      </c>
      <c r="AN897" s="251"/>
      <c r="AO897" s="1736"/>
      <c r="AP897" s="1737"/>
    </row>
    <row r="898" spans="1:42" s="85" customFormat="1" ht="13.5" thickBot="1">
      <c r="A898" s="240"/>
      <c r="B898" s="241"/>
      <c r="C898" s="242"/>
      <c r="D898" s="242"/>
      <c r="E898" s="243"/>
      <c r="F898" s="244"/>
      <c r="G898" s="244"/>
      <c r="H898" s="243"/>
      <c r="I898" s="258"/>
      <c r="J898" s="245"/>
      <c r="K898" s="245"/>
      <c r="L898" s="76">
        <f t="shared" si="130"/>
        <v>0</v>
      </c>
      <c r="M898" s="246"/>
      <c r="N898" s="247"/>
      <c r="O898" s="248"/>
      <c r="P898" s="246"/>
      <c r="Q898" s="249"/>
      <c r="R898" s="250"/>
      <c r="S898" s="259"/>
      <c r="T898" s="260"/>
      <c r="U898" s="250"/>
      <c r="V898" s="78">
        <f t="shared" si="131"/>
        <v>0</v>
      </c>
      <c r="W898" s="261">
        <f t="shared" si="132"/>
        <v>0</v>
      </c>
      <c r="X898" s="133">
        <f t="shared" si="133"/>
        <v>0</v>
      </c>
      <c r="Y898" s="251"/>
      <c r="Z898" s="1736"/>
      <c r="AA898" s="1737"/>
      <c r="AB898" s="77">
        <f t="shared" si="134"/>
        <v>0</v>
      </c>
      <c r="AC898" s="134">
        <f t="shared" si="135"/>
        <v>0</v>
      </c>
      <c r="AD898" s="251"/>
      <c r="AE898" s="1736"/>
      <c r="AF898" s="1737"/>
      <c r="AG898" s="77">
        <f t="shared" si="136"/>
        <v>0</v>
      </c>
      <c r="AH898" s="136">
        <f t="shared" si="137"/>
        <v>0</v>
      </c>
      <c r="AI898" s="251"/>
      <c r="AJ898" s="1736"/>
      <c r="AK898" s="1737"/>
      <c r="AL898" s="79">
        <f t="shared" si="138"/>
        <v>0</v>
      </c>
      <c r="AM898" s="137">
        <f t="shared" si="139"/>
        <v>0</v>
      </c>
      <c r="AN898" s="251"/>
      <c r="AO898" s="1736"/>
      <c r="AP898" s="1737"/>
    </row>
    <row r="899" spans="1:42" s="85" customFormat="1" ht="13.5" thickBot="1">
      <c r="A899" s="240"/>
      <c r="B899" s="241"/>
      <c r="C899" s="242"/>
      <c r="D899" s="242"/>
      <c r="E899" s="243"/>
      <c r="F899" s="244"/>
      <c r="G899" s="244"/>
      <c r="H899" s="243"/>
      <c r="I899" s="258"/>
      <c r="J899" s="245"/>
      <c r="K899" s="245"/>
      <c r="L899" s="76">
        <f t="shared" si="130"/>
        <v>0</v>
      </c>
      <c r="M899" s="246"/>
      <c r="N899" s="247"/>
      <c r="O899" s="248"/>
      <c r="P899" s="246"/>
      <c r="Q899" s="249"/>
      <c r="R899" s="250"/>
      <c r="S899" s="259"/>
      <c r="T899" s="260"/>
      <c r="U899" s="250"/>
      <c r="V899" s="78">
        <f t="shared" si="131"/>
        <v>0</v>
      </c>
      <c r="W899" s="261">
        <f t="shared" si="132"/>
        <v>0</v>
      </c>
      <c r="X899" s="133">
        <f t="shared" si="133"/>
        <v>0</v>
      </c>
      <c r="Y899" s="251"/>
      <c r="Z899" s="1736"/>
      <c r="AA899" s="1737"/>
      <c r="AB899" s="77">
        <f t="shared" si="134"/>
        <v>0</v>
      </c>
      <c r="AC899" s="134">
        <f t="shared" si="135"/>
        <v>0</v>
      </c>
      <c r="AD899" s="251"/>
      <c r="AE899" s="1736"/>
      <c r="AF899" s="1737"/>
      <c r="AG899" s="77">
        <f t="shared" si="136"/>
        <v>0</v>
      </c>
      <c r="AH899" s="136">
        <f t="shared" si="137"/>
        <v>0</v>
      </c>
      <c r="AI899" s="251"/>
      <c r="AJ899" s="1736"/>
      <c r="AK899" s="1737"/>
      <c r="AL899" s="79">
        <f t="shared" si="138"/>
        <v>0</v>
      </c>
      <c r="AM899" s="137">
        <f t="shared" si="139"/>
        <v>0</v>
      </c>
      <c r="AN899" s="251"/>
      <c r="AO899" s="1736"/>
      <c r="AP899" s="1737"/>
    </row>
    <row r="900" spans="1:42" s="85" customFormat="1" ht="13.5" thickBot="1">
      <c r="A900" s="240"/>
      <c r="B900" s="241"/>
      <c r="C900" s="242"/>
      <c r="D900" s="242"/>
      <c r="E900" s="243"/>
      <c r="F900" s="244"/>
      <c r="G900" s="244"/>
      <c r="H900" s="243"/>
      <c r="I900" s="258"/>
      <c r="J900" s="245"/>
      <c r="K900" s="245"/>
      <c r="L900" s="76">
        <f t="shared" si="130"/>
        <v>0</v>
      </c>
      <c r="M900" s="246"/>
      <c r="N900" s="247"/>
      <c r="O900" s="248"/>
      <c r="P900" s="246"/>
      <c r="Q900" s="249"/>
      <c r="R900" s="250"/>
      <c r="S900" s="259"/>
      <c r="T900" s="260"/>
      <c r="U900" s="250"/>
      <c r="V900" s="78">
        <f t="shared" si="131"/>
        <v>0</v>
      </c>
      <c r="W900" s="261">
        <f t="shared" si="132"/>
        <v>0</v>
      </c>
      <c r="X900" s="133">
        <f t="shared" si="133"/>
        <v>0</v>
      </c>
      <c r="Y900" s="251"/>
      <c r="Z900" s="1736"/>
      <c r="AA900" s="1737"/>
      <c r="AB900" s="77">
        <f t="shared" si="134"/>
        <v>0</v>
      </c>
      <c r="AC900" s="134">
        <f t="shared" si="135"/>
        <v>0</v>
      </c>
      <c r="AD900" s="251"/>
      <c r="AE900" s="1736"/>
      <c r="AF900" s="1737"/>
      <c r="AG900" s="77">
        <f t="shared" si="136"/>
        <v>0</v>
      </c>
      <c r="AH900" s="136">
        <f t="shared" si="137"/>
        <v>0</v>
      </c>
      <c r="AI900" s="251"/>
      <c r="AJ900" s="1736"/>
      <c r="AK900" s="1737"/>
      <c r="AL900" s="79">
        <f t="shared" si="138"/>
        <v>0</v>
      </c>
      <c r="AM900" s="137">
        <f t="shared" si="139"/>
        <v>0</v>
      </c>
      <c r="AN900" s="251"/>
      <c r="AO900" s="1736"/>
      <c r="AP900" s="1737"/>
    </row>
    <row r="901" spans="1:42" s="85" customFormat="1" ht="13.5" thickBot="1">
      <c r="A901" s="240"/>
      <c r="B901" s="241"/>
      <c r="C901" s="242"/>
      <c r="D901" s="242"/>
      <c r="E901" s="243"/>
      <c r="F901" s="244"/>
      <c r="G901" s="244"/>
      <c r="H901" s="243"/>
      <c r="I901" s="258"/>
      <c r="J901" s="245"/>
      <c r="K901" s="245"/>
      <c r="L901" s="76">
        <f t="shared" si="130"/>
        <v>0</v>
      </c>
      <c r="M901" s="246"/>
      <c r="N901" s="247"/>
      <c r="O901" s="248"/>
      <c r="P901" s="246"/>
      <c r="Q901" s="249"/>
      <c r="R901" s="250"/>
      <c r="S901" s="259"/>
      <c r="T901" s="260"/>
      <c r="U901" s="250"/>
      <c r="V901" s="78">
        <f t="shared" si="131"/>
        <v>0</v>
      </c>
      <c r="W901" s="261">
        <f t="shared" si="132"/>
        <v>0</v>
      </c>
      <c r="X901" s="133">
        <f t="shared" si="133"/>
        <v>0</v>
      </c>
      <c r="Y901" s="251"/>
      <c r="Z901" s="1736"/>
      <c r="AA901" s="1737"/>
      <c r="AB901" s="77">
        <f t="shared" si="134"/>
        <v>0</v>
      </c>
      <c r="AC901" s="134">
        <f t="shared" si="135"/>
        <v>0</v>
      </c>
      <c r="AD901" s="251"/>
      <c r="AE901" s="1736"/>
      <c r="AF901" s="1737"/>
      <c r="AG901" s="77">
        <f t="shared" si="136"/>
        <v>0</v>
      </c>
      <c r="AH901" s="136">
        <f t="shared" si="137"/>
        <v>0</v>
      </c>
      <c r="AI901" s="251"/>
      <c r="AJ901" s="1736"/>
      <c r="AK901" s="1737"/>
      <c r="AL901" s="79">
        <f t="shared" si="138"/>
        <v>0</v>
      </c>
      <c r="AM901" s="137">
        <f t="shared" si="139"/>
        <v>0</v>
      </c>
      <c r="AN901" s="251"/>
      <c r="AO901" s="1736"/>
      <c r="AP901" s="1737"/>
    </row>
    <row r="902" spans="1:42" s="85" customFormat="1" ht="13.5" thickBot="1">
      <c r="A902" s="240"/>
      <c r="B902" s="241"/>
      <c r="C902" s="242"/>
      <c r="D902" s="242"/>
      <c r="E902" s="243"/>
      <c r="F902" s="244"/>
      <c r="G902" s="244"/>
      <c r="H902" s="243"/>
      <c r="I902" s="258"/>
      <c r="J902" s="245"/>
      <c r="K902" s="245"/>
      <c r="L902" s="76">
        <f t="shared" si="130"/>
        <v>0</v>
      </c>
      <c r="M902" s="246"/>
      <c r="N902" s="247"/>
      <c r="O902" s="248"/>
      <c r="P902" s="246"/>
      <c r="Q902" s="249"/>
      <c r="R902" s="250"/>
      <c r="S902" s="259"/>
      <c r="T902" s="260"/>
      <c r="U902" s="250"/>
      <c r="V902" s="78">
        <f t="shared" si="131"/>
        <v>0</v>
      </c>
      <c r="W902" s="261">
        <f t="shared" si="132"/>
        <v>0</v>
      </c>
      <c r="X902" s="133">
        <f t="shared" si="133"/>
        <v>0</v>
      </c>
      <c r="Y902" s="251"/>
      <c r="Z902" s="1736"/>
      <c r="AA902" s="1737"/>
      <c r="AB902" s="77">
        <f t="shared" si="134"/>
        <v>0</v>
      </c>
      <c r="AC902" s="134">
        <f t="shared" si="135"/>
        <v>0</v>
      </c>
      <c r="AD902" s="251"/>
      <c r="AE902" s="1736"/>
      <c r="AF902" s="1737"/>
      <c r="AG902" s="77">
        <f t="shared" si="136"/>
        <v>0</v>
      </c>
      <c r="AH902" s="136">
        <f t="shared" si="137"/>
        <v>0</v>
      </c>
      <c r="AI902" s="251"/>
      <c r="AJ902" s="1736"/>
      <c r="AK902" s="1737"/>
      <c r="AL902" s="79">
        <f t="shared" si="138"/>
        <v>0</v>
      </c>
      <c r="AM902" s="137">
        <f t="shared" si="139"/>
        <v>0</v>
      </c>
      <c r="AN902" s="251"/>
      <c r="AO902" s="1736"/>
      <c r="AP902" s="1737"/>
    </row>
    <row r="903" spans="1:42" s="85" customFormat="1" ht="13.5" thickBot="1">
      <c r="A903" s="240"/>
      <c r="B903" s="241"/>
      <c r="C903" s="242"/>
      <c r="D903" s="242"/>
      <c r="E903" s="243"/>
      <c r="F903" s="244"/>
      <c r="G903" s="244"/>
      <c r="H903" s="243"/>
      <c r="I903" s="258"/>
      <c r="J903" s="245"/>
      <c r="K903" s="245"/>
      <c r="L903" s="76">
        <f t="shared" si="130"/>
        <v>0</v>
      </c>
      <c r="M903" s="246"/>
      <c r="N903" s="247"/>
      <c r="O903" s="248"/>
      <c r="P903" s="246"/>
      <c r="Q903" s="249"/>
      <c r="R903" s="250"/>
      <c r="S903" s="259"/>
      <c r="T903" s="260"/>
      <c r="U903" s="250"/>
      <c r="V903" s="78">
        <f t="shared" si="131"/>
        <v>0</v>
      </c>
      <c r="W903" s="261">
        <f t="shared" si="132"/>
        <v>0</v>
      </c>
      <c r="X903" s="133">
        <f t="shared" si="133"/>
        <v>0</v>
      </c>
      <c r="Y903" s="251"/>
      <c r="Z903" s="1736"/>
      <c r="AA903" s="1737"/>
      <c r="AB903" s="77">
        <f t="shared" si="134"/>
        <v>0</v>
      </c>
      <c r="AC903" s="134">
        <f t="shared" si="135"/>
        <v>0</v>
      </c>
      <c r="AD903" s="251"/>
      <c r="AE903" s="1736"/>
      <c r="AF903" s="1737"/>
      <c r="AG903" s="77">
        <f t="shared" si="136"/>
        <v>0</v>
      </c>
      <c r="AH903" s="136">
        <f t="shared" si="137"/>
        <v>0</v>
      </c>
      <c r="AI903" s="251"/>
      <c r="AJ903" s="1736"/>
      <c r="AK903" s="1737"/>
      <c r="AL903" s="79">
        <f t="shared" si="138"/>
        <v>0</v>
      </c>
      <c r="AM903" s="137">
        <f t="shared" si="139"/>
        <v>0</v>
      </c>
      <c r="AN903" s="251"/>
      <c r="AO903" s="1736"/>
      <c r="AP903" s="1737"/>
    </row>
    <row r="904" spans="1:42" s="85" customFormat="1" ht="13.5" thickBot="1">
      <c r="A904" s="240"/>
      <c r="B904" s="241"/>
      <c r="C904" s="242"/>
      <c r="D904" s="242"/>
      <c r="E904" s="243"/>
      <c r="F904" s="244"/>
      <c r="G904" s="244"/>
      <c r="H904" s="243"/>
      <c r="I904" s="258"/>
      <c r="J904" s="245"/>
      <c r="K904" s="245"/>
      <c r="L904" s="76">
        <f t="shared" si="130"/>
        <v>0</v>
      </c>
      <c r="M904" s="246"/>
      <c r="N904" s="247"/>
      <c r="O904" s="248"/>
      <c r="P904" s="246"/>
      <c r="Q904" s="249"/>
      <c r="R904" s="250"/>
      <c r="S904" s="259"/>
      <c r="T904" s="260"/>
      <c r="U904" s="250"/>
      <c r="V904" s="78">
        <f t="shared" si="131"/>
        <v>0</v>
      </c>
      <c r="W904" s="261">
        <f t="shared" si="132"/>
        <v>0</v>
      </c>
      <c r="X904" s="133">
        <f t="shared" si="133"/>
        <v>0</v>
      </c>
      <c r="Y904" s="251"/>
      <c r="Z904" s="1736"/>
      <c r="AA904" s="1737"/>
      <c r="AB904" s="77">
        <f t="shared" si="134"/>
        <v>0</v>
      </c>
      <c r="AC904" s="134">
        <f t="shared" si="135"/>
        <v>0</v>
      </c>
      <c r="AD904" s="251"/>
      <c r="AE904" s="1736"/>
      <c r="AF904" s="1737"/>
      <c r="AG904" s="77">
        <f t="shared" si="136"/>
        <v>0</v>
      </c>
      <c r="AH904" s="136">
        <f t="shared" si="137"/>
        <v>0</v>
      </c>
      <c r="AI904" s="251"/>
      <c r="AJ904" s="1736"/>
      <c r="AK904" s="1737"/>
      <c r="AL904" s="79">
        <f t="shared" si="138"/>
        <v>0</v>
      </c>
      <c r="AM904" s="137">
        <f t="shared" si="139"/>
        <v>0</v>
      </c>
      <c r="AN904" s="251"/>
      <c r="AO904" s="1736"/>
      <c r="AP904" s="1737"/>
    </row>
    <row r="905" spans="1:42" s="85" customFormat="1" ht="13.5" thickBot="1">
      <c r="A905" s="240"/>
      <c r="B905" s="241"/>
      <c r="C905" s="242"/>
      <c r="D905" s="242"/>
      <c r="E905" s="243"/>
      <c r="F905" s="244"/>
      <c r="G905" s="244"/>
      <c r="H905" s="243"/>
      <c r="I905" s="258"/>
      <c r="J905" s="245"/>
      <c r="K905" s="245"/>
      <c r="L905" s="76">
        <f t="shared" si="130"/>
        <v>0</v>
      </c>
      <c r="M905" s="246"/>
      <c r="N905" s="247"/>
      <c r="O905" s="248"/>
      <c r="P905" s="246"/>
      <c r="Q905" s="249"/>
      <c r="R905" s="250"/>
      <c r="S905" s="259"/>
      <c r="T905" s="260"/>
      <c r="U905" s="250"/>
      <c r="V905" s="78">
        <f t="shared" si="131"/>
        <v>0</v>
      </c>
      <c r="W905" s="261">
        <f t="shared" si="132"/>
        <v>0</v>
      </c>
      <c r="X905" s="133">
        <f t="shared" si="133"/>
        <v>0</v>
      </c>
      <c r="Y905" s="251"/>
      <c r="Z905" s="1736"/>
      <c r="AA905" s="1737"/>
      <c r="AB905" s="77">
        <f t="shared" si="134"/>
        <v>0</v>
      </c>
      <c r="AC905" s="134">
        <f t="shared" si="135"/>
        <v>0</v>
      </c>
      <c r="AD905" s="251"/>
      <c r="AE905" s="1736"/>
      <c r="AF905" s="1737"/>
      <c r="AG905" s="77">
        <f t="shared" si="136"/>
        <v>0</v>
      </c>
      <c r="AH905" s="136">
        <f t="shared" si="137"/>
        <v>0</v>
      </c>
      <c r="AI905" s="251"/>
      <c r="AJ905" s="1736"/>
      <c r="AK905" s="1737"/>
      <c r="AL905" s="79">
        <f t="shared" si="138"/>
        <v>0</v>
      </c>
      <c r="AM905" s="137">
        <f t="shared" si="139"/>
        <v>0</v>
      </c>
      <c r="AN905" s="251"/>
      <c r="AO905" s="1736"/>
      <c r="AP905" s="1737"/>
    </row>
    <row r="906" spans="1:42" s="85" customFormat="1" ht="13.5" thickBot="1">
      <c r="A906" s="240"/>
      <c r="B906" s="241"/>
      <c r="C906" s="242"/>
      <c r="D906" s="242"/>
      <c r="E906" s="243"/>
      <c r="F906" s="244"/>
      <c r="G906" s="244"/>
      <c r="H906" s="243"/>
      <c r="I906" s="258"/>
      <c r="J906" s="245"/>
      <c r="K906" s="245"/>
      <c r="L906" s="76">
        <f t="shared" si="130"/>
        <v>0</v>
      </c>
      <c r="M906" s="246"/>
      <c r="N906" s="247"/>
      <c r="O906" s="248"/>
      <c r="P906" s="246"/>
      <c r="Q906" s="249"/>
      <c r="R906" s="250"/>
      <c r="S906" s="259"/>
      <c r="T906" s="260"/>
      <c r="U906" s="250"/>
      <c r="V906" s="78">
        <f t="shared" si="131"/>
        <v>0</v>
      </c>
      <c r="W906" s="261">
        <f t="shared" si="132"/>
        <v>0</v>
      </c>
      <c r="X906" s="133">
        <f t="shared" si="133"/>
        <v>0</v>
      </c>
      <c r="Y906" s="251"/>
      <c r="Z906" s="1736"/>
      <c r="AA906" s="1737"/>
      <c r="AB906" s="77">
        <f t="shared" si="134"/>
        <v>0</v>
      </c>
      <c r="AC906" s="134">
        <f t="shared" si="135"/>
        <v>0</v>
      </c>
      <c r="AD906" s="251"/>
      <c r="AE906" s="1736"/>
      <c r="AF906" s="1737"/>
      <c r="AG906" s="77">
        <f t="shared" si="136"/>
        <v>0</v>
      </c>
      <c r="AH906" s="136">
        <f t="shared" si="137"/>
        <v>0</v>
      </c>
      <c r="AI906" s="251"/>
      <c r="AJ906" s="1736"/>
      <c r="AK906" s="1737"/>
      <c r="AL906" s="79">
        <f t="shared" si="138"/>
        <v>0</v>
      </c>
      <c r="AM906" s="137">
        <f t="shared" si="139"/>
        <v>0</v>
      </c>
      <c r="AN906" s="251"/>
      <c r="AO906" s="1736"/>
      <c r="AP906" s="1737"/>
    </row>
    <row r="907" spans="1:42" s="85" customFormat="1" ht="13.5" thickBot="1">
      <c r="A907" s="240"/>
      <c r="B907" s="241"/>
      <c r="C907" s="242"/>
      <c r="D907" s="242"/>
      <c r="E907" s="243"/>
      <c r="F907" s="244"/>
      <c r="G907" s="244"/>
      <c r="H907" s="243"/>
      <c r="I907" s="258"/>
      <c r="J907" s="245"/>
      <c r="K907" s="245"/>
      <c r="L907" s="76">
        <f t="shared" ref="L907:L970" si="140">IF(I907=0,0,(K907+J907)/I907)</f>
        <v>0</v>
      </c>
      <c r="M907" s="246"/>
      <c r="N907" s="247"/>
      <c r="O907" s="248"/>
      <c r="P907" s="246"/>
      <c r="Q907" s="249"/>
      <c r="R907" s="250"/>
      <c r="S907" s="259"/>
      <c r="T907" s="260"/>
      <c r="U907" s="250"/>
      <c r="V907" s="78">
        <f t="shared" ref="V907:V970" si="141">IF(U907=0,0,((U907*S907)-AB907-AL907))</f>
        <v>0</v>
      </c>
      <c r="W907" s="261">
        <f t="shared" ref="W907:W970" si="142">+S907-I907</f>
        <v>0</v>
      </c>
      <c r="X907" s="133">
        <f t="shared" ref="X907:X970" si="143">(V907-J907)</f>
        <v>0</v>
      </c>
      <c r="Y907" s="251"/>
      <c r="Z907" s="1736"/>
      <c r="AA907" s="1737"/>
      <c r="AB907" s="77">
        <f t="shared" ref="AB907:AB970" si="144">(IF(I907=0,0,M907/H907))*S907</f>
        <v>0</v>
      </c>
      <c r="AC907" s="134">
        <f t="shared" ref="AC907:AC970" si="145">+AB907-P907</f>
        <v>0</v>
      </c>
      <c r="AD907" s="251"/>
      <c r="AE907" s="1736"/>
      <c r="AF907" s="1737"/>
      <c r="AG907" s="77">
        <f t="shared" ref="AG907:AG970" si="146">(IF(H907=0,0,N907/H907))*T907</f>
        <v>0</v>
      </c>
      <c r="AH907" s="136">
        <f t="shared" ref="AH907:AH970" si="147">+AG907-Q907</f>
        <v>0</v>
      </c>
      <c r="AI907" s="251"/>
      <c r="AJ907" s="1736"/>
      <c r="AK907" s="1737"/>
      <c r="AL907" s="79">
        <f t="shared" ref="AL907:AL970" si="148">+O907*S907</f>
        <v>0</v>
      </c>
      <c r="AM907" s="137">
        <f t="shared" ref="AM907:AM970" si="149">+AL907-R907</f>
        <v>0</v>
      </c>
      <c r="AN907" s="251"/>
      <c r="AO907" s="1736"/>
      <c r="AP907" s="1737"/>
    </row>
    <row r="908" spans="1:42" s="85" customFormat="1" ht="13.5" thickBot="1">
      <c r="A908" s="240"/>
      <c r="B908" s="241"/>
      <c r="C908" s="242"/>
      <c r="D908" s="242"/>
      <c r="E908" s="243"/>
      <c r="F908" s="244"/>
      <c r="G908" s="244"/>
      <c r="H908" s="243"/>
      <c r="I908" s="258"/>
      <c r="J908" s="245"/>
      <c r="K908" s="245"/>
      <c r="L908" s="76">
        <f t="shared" si="140"/>
        <v>0</v>
      </c>
      <c r="M908" s="246"/>
      <c r="N908" s="247"/>
      <c r="O908" s="248"/>
      <c r="P908" s="246"/>
      <c r="Q908" s="249"/>
      <c r="R908" s="250"/>
      <c r="S908" s="259"/>
      <c r="T908" s="260"/>
      <c r="U908" s="250"/>
      <c r="V908" s="78">
        <f t="shared" si="141"/>
        <v>0</v>
      </c>
      <c r="W908" s="261">
        <f t="shared" si="142"/>
        <v>0</v>
      </c>
      <c r="X908" s="133">
        <f t="shared" si="143"/>
        <v>0</v>
      </c>
      <c r="Y908" s="251"/>
      <c r="Z908" s="1736"/>
      <c r="AA908" s="1737"/>
      <c r="AB908" s="77">
        <f t="shared" si="144"/>
        <v>0</v>
      </c>
      <c r="AC908" s="134">
        <f t="shared" si="145"/>
        <v>0</v>
      </c>
      <c r="AD908" s="251"/>
      <c r="AE908" s="1736"/>
      <c r="AF908" s="1737"/>
      <c r="AG908" s="77">
        <f t="shared" si="146"/>
        <v>0</v>
      </c>
      <c r="AH908" s="136">
        <f t="shared" si="147"/>
        <v>0</v>
      </c>
      <c r="AI908" s="251"/>
      <c r="AJ908" s="1736"/>
      <c r="AK908" s="1737"/>
      <c r="AL908" s="79">
        <f t="shared" si="148"/>
        <v>0</v>
      </c>
      <c r="AM908" s="137">
        <f t="shared" si="149"/>
        <v>0</v>
      </c>
      <c r="AN908" s="251"/>
      <c r="AO908" s="1736"/>
      <c r="AP908" s="1737"/>
    </row>
    <row r="909" spans="1:42" s="85" customFormat="1" ht="13.5" thickBot="1">
      <c r="A909" s="240"/>
      <c r="B909" s="241"/>
      <c r="C909" s="242"/>
      <c r="D909" s="242"/>
      <c r="E909" s="243"/>
      <c r="F909" s="244"/>
      <c r="G909" s="244"/>
      <c r="H909" s="243"/>
      <c r="I909" s="258"/>
      <c r="J909" s="245"/>
      <c r="K909" s="245"/>
      <c r="L909" s="76">
        <f t="shared" si="140"/>
        <v>0</v>
      </c>
      <c r="M909" s="246"/>
      <c r="N909" s="247"/>
      <c r="O909" s="248"/>
      <c r="P909" s="246"/>
      <c r="Q909" s="249"/>
      <c r="R909" s="250"/>
      <c r="S909" s="259"/>
      <c r="T909" s="260"/>
      <c r="U909" s="250"/>
      <c r="V909" s="78">
        <f t="shared" si="141"/>
        <v>0</v>
      </c>
      <c r="W909" s="261">
        <f t="shared" si="142"/>
        <v>0</v>
      </c>
      <c r="X909" s="133">
        <f t="shared" si="143"/>
        <v>0</v>
      </c>
      <c r="Y909" s="251"/>
      <c r="Z909" s="1736"/>
      <c r="AA909" s="1737"/>
      <c r="AB909" s="77">
        <f t="shared" si="144"/>
        <v>0</v>
      </c>
      <c r="AC909" s="134">
        <f t="shared" si="145"/>
        <v>0</v>
      </c>
      <c r="AD909" s="251"/>
      <c r="AE909" s="1736"/>
      <c r="AF909" s="1737"/>
      <c r="AG909" s="77">
        <f t="shared" si="146"/>
        <v>0</v>
      </c>
      <c r="AH909" s="136">
        <f t="shared" si="147"/>
        <v>0</v>
      </c>
      <c r="AI909" s="251"/>
      <c r="AJ909" s="1736"/>
      <c r="AK909" s="1737"/>
      <c r="AL909" s="79">
        <f t="shared" si="148"/>
        <v>0</v>
      </c>
      <c r="AM909" s="137">
        <f t="shared" si="149"/>
        <v>0</v>
      </c>
      <c r="AN909" s="251"/>
      <c r="AO909" s="1736"/>
      <c r="AP909" s="1737"/>
    </row>
    <row r="910" spans="1:42" s="85" customFormat="1" ht="13.5" thickBot="1">
      <c r="A910" s="240"/>
      <c r="B910" s="241"/>
      <c r="C910" s="242"/>
      <c r="D910" s="242"/>
      <c r="E910" s="243"/>
      <c r="F910" s="244"/>
      <c r="G910" s="244"/>
      <c r="H910" s="243"/>
      <c r="I910" s="258"/>
      <c r="J910" s="245"/>
      <c r="K910" s="245"/>
      <c r="L910" s="76">
        <f t="shared" si="140"/>
        <v>0</v>
      </c>
      <c r="M910" s="246"/>
      <c r="N910" s="247"/>
      <c r="O910" s="248"/>
      <c r="P910" s="246"/>
      <c r="Q910" s="249"/>
      <c r="R910" s="250"/>
      <c r="S910" s="259"/>
      <c r="T910" s="260"/>
      <c r="U910" s="250"/>
      <c r="V910" s="78">
        <f t="shared" si="141"/>
        <v>0</v>
      </c>
      <c r="W910" s="261">
        <f t="shared" si="142"/>
        <v>0</v>
      </c>
      <c r="X910" s="133">
        <f t="shared" si="143"/>
        <v>0</v>
      </c>
      <c r="Y910" s="251"/>
      <c r="Z910" s="1736"/>
      <c r="AA910" s="1737"/>
      <c r="AB910" s="77">
        <f t="shared" si="144"/>
        <v>0</v>
      </c>
      <c r="AC910" s="134">
        <f t="shared" si="145"/>
        <v>0</v>
      </c>
      <c r="AD910" s="251"/>
      <c r="AE910" s="1736"/>
      <c r="AF910" s="1737"/>
      <c r="AG910" s="77">
        <f t="shared" si="146"/>
        <v>0</v>
      </c>
      <c r="AH910" s="136">
        <f t="shared" si="147"/>
        <v>0</v>
      </c>
      <c r="AI910" s="251"/>
      <c r="AJ910" s="1736"/>
      <c r="AK910" s="1737"/>
      <c r="AL910" s="79">
        <f t="shared" si="148"/>
        <v>0</v>
      </c>
      <c r="AM910" s="137">
        <f t="shared" si="149"/>
        <v>0</v>
      </c>
      <c r="AN910" s="251"/>
      <c r="AO910" s="1736"/>
      <c r="AP910" s="1737"/>
    </row>
    <row r="911" spans="1:42" s="85" customFormat="1" ht="13.5" thickBot="1">
      <c r="A911" s="240"/>
      <c r="B911" s="241"/>
      <c r="C911" s="242"/>
      <c r="D911" s="242"/>
      <c r="E911" s="243"/>
      <c r="F911" s="244"/>
      <c r="G911" s="244"/>
      <c r="H911" s="243"/>
      <c r="I911" s="258"/>
      <c r="J911" s="245"/>
      <c r="K911" s="245"/>
      <c r="L911" s="76">
        <f t="shared" si="140"/>
        <v>0</v>
      </c>
      <c r="M911" s="246"/>
      <c r="N911" s="247"/>
      <c r="O911" s="248"/>
      <c r="P911" s="246"/>
      <c r="Q911" s="249"/>
      <c r="R911" s="250"/>
      <c r="S911" s="259"/>
      <c r="T911" s="260"/>
      <c r="U911" s="250"/>
      <c r="V911" s="78">
        <f t="shared" si="141"/>
        <v>0</v>
      </c>
      <c r="W911" s="261">
        <f t="shared" si="142"/>
        <v>0</v>
      </c>
      <c r="X911" s="133">
        <f t="shared" si="143"/>
        <v>0</v>
      </c>
      <c r="Y911" s="251"/>
      <c r="Z911" s="1736"/>
      <c r="AA911" s="1737"/>
      <c r="AB911" s="77">
        <f t="shared" si="144"/>
        <v>0</v>
      </c>
      <c r="AC911" s="134">
        <f t="shared" si="145"/>
        <v>0</v>
      </c>
      <c r="AD911" s="251"/>
      <c r="AE911" s="1736"/>
      <c r="AF911" s="1737"/>
      <c r="AG911" s="77">
        <f t="shared" si="146"/>
        <v>0</v>
      </c>
      <c r="AH911" s="136">
        <f t="shared" si="147"/>
        <v>0</v>
      </c>
      <c r="AI911" s="251"/>
      <c r="AJ911" s="1736"/>
      <c r="AK911" s="1737"/>
      <c r="AL911" s="79">
        <f t="shared" si="148"/>
        <v>0</v>
      </c>
      <c r="AM911" s="137">
        <f t="shared" si="149"/>
        <v>0</v>
      </c>
      <c r="AN911" s="251"/>
      <c r="AO911" s="1736"/>
      <c r="AP911" s="1737"/>
    </row>
    <row r="912" spans="1:42" s="85" customFormat="1" ht="13.5" thickBot="1">
      <c r="A912" s="240"/>
      <c r="B912" s="241"/>
      <c r="C912" s="242"/>
      <c r="D912" s="242"/>
      <c r="E912" s="243"/>
      <c r="F912" s="244"/>
      <c r="G912" s="244"/>
      <c r="H912" s="243"/>
      <c r="I912" s="258"/>
      <c r="J912" s="245"/>
      <c r="K912" s="245"/>
      <c r="L912" s="76">
        <f t="shared" si="140"/>
        <v>0</v>
      </c>
      <c r="M912" s="246"/>
      <c r="N912" s="247"/>
      <c r="O912" s="248"/>
      <c r="P912" s="246"/>
      <c r="Q912" s="249"/>
      <c r="R912" s="250"/>
      <c r="S912" s="259"/>
      <c r="T912" s="260"/>
      <c r="U912" s="250"/>
      <c r="V912" s="78">
        <f t="shared" si="141"/>
        <v>0</v>
      </c>
      <c r="W912" s="261">
        <f t="shared" si="142"/>
        <v>0</v>
      </c>
      <c r="X912" s="133">
        <f t="shared" si="143"/>
        <v>0</v>
      </c>
      <c r="Y912" s="251"/>
      <c r="Z912" s="1736"/>
      <c r="AA912" s="1737"/>
      <c r="AB912" s="77">
        <f t="shared" si="144"/>
        <v>0</v>
      </c>
      <c r="AC912" s="134">
        <f t="shared" si="145"/>
        <v>0</v>
      </c>
      <c r="AD912" s="251"/>
      <c r="AE912" s="1736"/>
      <c r="AF912" s="1737"/>
      <c r="AG912" s="77">
        <f t="shared" si="146"/>
        <v>0</v>
      </c>
      <c r="AH912" s="136">
        <f t="shared" si="147"/>
        <v>0</v>
      </c>
      <c r="AI912" s="251"/>
      <c r="AJ912" s="1736"/>
      <c r="AK912" s="1737"/>
      <c r="AL912" s="79">
        <f t="shared" si="148"/>
        <v>0</v>
      </c>
      <c r="AM912" s="137">
        <f t="shared" si="149"/>
        <v>0</v>
      </c>
      <c r="AN912" s="251"/>
      <c r="AO912" s="1736"/>
      <c r="AP912" s="1737"/>
    </row>
    <row r="913" spans="1:42" s="85" customFormat="1" ht="13.5" thickBot="1">
      <c r="A913" s="240"/>
      <c r="B913" s="241"/>
      <c r="C913" s="242"/>
      <c r="D913" s="242"/>
      <c r="E913" s="243"/>
      <c r="F913" s="244"/>
      <c r="G913" s="244"/>
      <c r="H913" s="243"/>
      <c r="I913" s="258"/>
      <c r="J913" s="245"/>
      <c r="K913" s="245"/>
      <c r="L913" s="76">
        <f t="shared" si="140"/>
        <v>0</v>
      </c>
      <c r="M913" s="246"/>
      <c r="N913" s="247"/>
      <c r="O913" s="248"/>
      <c r="P913" s="246"/>
      <c r="Q913" s="249"/>
      <c r="R913" s="250"/>
      <c r="S913" s="259"/>
      <c r="T913" s="260"/>
      <c r="U913" s="250"/>
      <c r="V913" s="78">
        <f t="shared" si="141"/>
        <v>0</v>
      </c>
      <c r="W913" s="261">
        <f t="shared" si="142"/>
        <v>0</v>
      </c>
      <c r="X913" s="133">
        <f t="shared" si="143"/>
        <v>0</v>
      </c>
      <c r="Y913" s="251"/>
      <c r="Z913" s="1736"/>
      <c r="AA913" s="1737"/>
      <c r="AB913" s="77">
        <f t="shared" si="144"/>
        <v>0</v>
      </c>
      <c r="AC913" s="134">
        <f t="shared" si="145"/>
        <v>0</v>
      </c>
      <c r="AD913" s="251"/>
      <c r="AE913" s="1736"/>
      <c r="AF913" s="1737"/>
      <c r="AG913" s="77">
        <f t="shared" si="146"/>
        <v>0</v>
      </c>
      <c r="AH913" s="136">
        <f t="shared" si="147"/>
        <v>0</v>
      </c>
      <c r="AI913" s="251"/>
      <c r="AJ913" s="1736"/>
      <c r="AK913" s="1737"/>
      <c r="AL913" s="79">
        <f t="shared" si="148"/>
        <v>0</v>
      </c>
      <c r="AM913" s="137">
        <f t="shared" si="149"/>
        <v>0</v>
      </c>
      <c r="AN913" s="251"/>
      <c r="AO913" s="1736"/>
      <c r="AP913" s="1737"/>
    </row>
    <row r="914" spans="1:42" s="85" customFormat="1" ht="13.5" thickBot="1">
      <c r="A914" s="240"/>
      <c r="B914" s="241"/>
      <c r="C914" s="242"/>
      <c r="D914" s="242"/>
      <c r="E914" s="243"/>
      <c r="F914" s="244"/>
      <c r="G914" s="244"/>
      <c r="H914" s="243"/>
      <c r="I914" s="258"/>
      <c r="J914" s="245"/>
      <c r="K914" s="245"/>
      <c r="L914" s="76">
        <f t="shared" si="140"/>
        <v>0</v>
      </c>
      <c r="M914" s="246"/>
      <c r="N914" s="247"/>
      <c r="O914" s="248"/>
      <c r="P914" s="246"/>
      <c r="Q914" s="249"/>
      <c r="R914" s="250"/>
      <c r="S914" s="259"/>
      <c r="T914" s="260"/>
      <c r="U914" s="250"/>
      <c r="V914" s="78">
        <f t="shared" si="141"/>
        <v>0</v>
      </c>
      <c r="W914" s="261">
        <f t="shared" si="142"/>
        <v>0</v>
      </c>
      <c r="X914" s="133">
        <f t="shared" si="143"/>
        <v>0</v>
      </c>
      <c r="Y914" s="251"/>
      <c r="Z914" s="1736"/>
      <c r="AA914" s="1737"/>
      <c r="AB914" s="77">
        <f t="shared" si="144"/>
        <v>0</v>
      </c>
      <c r="AC914" s="134">
        <f t="shared" si="145"/>
        <v>0</v>
      </c>
      <c r="AD914" s="251"/>
      <c r="AE914" s="1736"/>
      <c r="AF914" s="1737"/>
      <c r="AG914" s="77">
        <f t="shared" si="146"/>
        <v>0</v>
      </c>
      <c r="AH914" s="136">
        <f t="shared" si="147"/>
        <v>0</v>
      </c>
      <c r="AI914" s="251"/>
      <c r="AJ914" s="1736"/>
      <c r="AK914" s="1737"/>
      <c r="AL914" s="79">
        <f t="shared" si="148"/>
        <v>0</v>
      </c>
      <c r="AM914" s="137">
        <f t="shared" si="149"/>
        <v>0</v>
      </c>
      <c r="AN914" s="251"/>
      <c r="AO914" s="1736"/>
      <c r="AP914" s="1737"/>
    </row>
    <row r="915" spans="1:42" s="85" customFormat="1" ht="13.5" thickBot="1">
      <c r="A915" s="240"/>
      <c r="B915" s="241"/>
      <c r="C915" s="242"/>
      <c r="D915" s="242"/>
      <c r="E915" s="243"/>
      <c r="F915" s="244"/>
      <c r="G915" s="244"/>
      <c r="H915" s="243"/>
      <c r="I915" s="258"/>
      <c r="J915" s="245"/>
      <c r="K915" s="245"/>
      <c r="L915" s="76">
        <f t="shared" si="140"/>
        <v>0</v>
      </c>
      <c r="M915" s="246"/>
      <c r="N915" s="247"/>
      <c r="O915" s="248"/>
      <c r="P915" s="246"/>
      <c r="Q915" s="249"/>
      <c r="R915" s="250"/>
      <c r="S915" s="259"/>
      <c r="T915" s="260"/>
      <c r="U915" s="250"/>
      <c r="V915" s="78">
        <f t="shared" si="141"/>
        <v>0</v>
      </c>
      <c r="W915" s="261">
        <f t="shared" si="142"/>
        <v>0</v>
      </c>
      <c r="X915" s="133">
        <f t="shared" si="143"/>
        <v>0</v>
      </c>
      <c r="Y915" s="251"/>
      <c r="Z915" s="1736"/>
      <c r="AA915" s="1737"/>
      <c r="AB915" s="77">
        <f t="shared" si="144"/>
        <v>0</v>
      </c>
      <c r="AC915" s="134">
        <f t="shared" si="145"/>
        <v>0</v>
      </c>
      <c r="AD915" s="251"/>
      <c r="AE915" s="1736"/>
      <c r="AF915" s="1737"/>
      <c r="AG915" s="77">
        <f t="shared" si="146"/>
        <v>0</v>
      </c>
      <c r="AH915" s="136">
        <f t="shared" si="147"/>
        <v>0</v>
      </c>
      <c r="AI915" s="251"/>
      <c r="AJ915" s="1736"/>
      <c r="AK915" s="1737"/>
      <c r="AL915" s="79">
        <f t="shared" si="148"/>
        <v>0</v>
      </c>
      <c r="AM915" s="137">
        <f t="shared" si="149"/>
        <v>0</v>
      </c>
      <c r="AN915" s="251"/>
      <c r="AO915" s="1736"/>
      <c r="AP915" s="1737"/>
    </row>
    <row r="916" spans="1:42" s="85" customFormat="1" ht="13.5" thickBot="1">
      <c r="A916" s="240"/>
      <c r="B916" s="241"/>
      <c r="C916" s="242"/>
      <c r="D916" s="242"/>
      <c r="E916" s="243"/>
      <c r="F916" s="244"/>
      <c r="G916" s="244"/>
      <c r="H916" s="243"/>
      <c r="I916" s="258"/>
      <c r="J916" s="245"/>
      <c r="K916" s="245"/>
      <c r="L916" s="76">
        <f t="shared" si="140"/>
        <v>0</v>
      </c>
      <c r="M916" s="246"/>
      <c r="N916" s="247"/>
      <c r="O916" s="248"/>
      <c r="P916" s="246"/>
      <c r="Q916" s="249"/>
      <c r="R916" s="250"/>
      <c r="S916" s="259"/>
      <c r="T916" s="260"/>
      <c r="U916" s="250"/>
      <c r="V916" s="78">
        <f t="shared" si="141"/>
        <v>0</v>
      </c>
      <c r="W916" s="261">
        <f t="shared" si="142"/>
        <v>0</v>
      </c>
      <c r="X916" s="133">
        <f t="shared" si="143"/>
        <v>0</v>
      </c>
      <c r="Y916" s="251"/>
      <c r="Z916" s="1736"/>
      <c r="AA916" s="1737"/>
      <c r="AB916" s="77">
        <f t="shared" si="144"/>
        <v>0</v>
      </c>
      <c r="AC916" s="134">
        <f t="shared" si="145"/>
        <v>0</v>
      </c>
      <c r="AD916" s="251"/>
      <c r="AE916" s="1736"/>
      <c r="AF916" s="1737"/>
      <c r="AG916" s="77">
        <f t="shared" si="146"/>
        <v>0</v>
      </c>
      <c r="AH916" s="136">
        <f t="shared" si="147"/>
        <v>0</v>
      </c>
      <c r="AI916" s="251"/>
      <c r="AJ916" s="1736"/>
      <c r="AK916" s="1737"/>
      <c r="AL916" s="79">
        <f t="shared" si="148"/>
        <v>0</v>
      </c>
      <c r="AM916" s="137">
        <f t="shared" si="149"/>
        <v>0</v>
      </c>
      <c r="AN916" s="251"/>
      <c r="AO916" s="1736"/>
      <c r="AP916" s="1737"/>
    </row>
    <row r="917" spans="1:42" s="85" customFormat="1" ht="13.5" thickBot="1">
      <c r="A917" s="240"/>
      <c r="B917" s="241"/>
      <c r="C917" s="242"/>
      <c r="D917" s="242"/>
      <c r="E917" s="243"/>
      <c r="F917" s="244"/>
      <c r="G917" s="244"/>
      <c r="H917" s="243"/>
      <c r="I917" s="258"/>
      <c r="J917" s="245"/>
      <c r="K917" s="245"/>
      <c r="L917" s="76">
        <f t="shared" si="140"/>
        <v>0</v>
      </c>
      <c r="M917" s="246"/>
      <c r="N917" s="247"/>
      <c r="O917" s="248"/>
      <c r="P917" s="246"/>
      <c r="Q917" s="249"/>
      <c r="R917" s="250"/>
      <c r="S917" s="259"/>
      <c r="T917" s="260"/>
      <c r="U917" s="250"/>
      <c r="V917" s="78">
        <f t="shared" si="141"/>
        <v>0</v>
      </c>
      <c r="W917" s="261">
        <f t="shared" si="142"/>
        <v>0</v>
      </c>
      <c r="X917" s="133">
        <f t="shared" si="143"/>
        <v>0</v>
      </c>
      <c r="Y917" s="251"/>
      <c r="Z917" s="1736"/>
      <c r="AA917" s="1737"/>
      <c r="AB917" s="77">
        <f t="shared" si="144"/>
        <v>0</v>
      </c>
      <c r="AC917" s="134">
        <f t="shared" si="145"/>
        <v>0</v>
      </c>
      <c r="AD917" s="251"/>
      <c r="AE917" s="1736"/>
      <c r="AF917" s="1737"/>
      <c r="AG917" s="77">
        <f t="shared" si="146"/>
        <v>0</v>
      </c>
      <c r="AH917" s="136">
        <f t="shared" si="147"/>
        <v>0</v>
      </c>
      <c r="AI917" s="251"/>
      <c r="AJ917" s="1736"/>
      <c r="AK917" s="1737"/>
      <c r="AL917" s="79">
        <f t="shared" si="148"/>
        <v>0</v>
      </c>
      <c r="AM917" s="137">
        <f t="shared" si="149"/>
        <v>0</v>
      </c>
      <c r="AN917" s="251"/>
      <c r="AO917" s="1736"/>
      <c r="AP917" s="1737"/>
    </row>
    <row r="918" spans="1:42" s="85" customFormat="1" ht="13.5" thickBot="1">
      <c r="A918" s="240"/>
      <c r="B918" s="241"/>
      <c r="C918" s="242"/>
      <c r="D918" s="242"/>
      <c r="E918" s="243"/>
      <c r="F918" s="244"/>
      <c r="G918" s="244"/>
      <c r="H918" s="243"/>
      <c r="I918" s="258"/>
      <c r="J918" s="245"/>
      <c r="K918" s="245"/>
      <c r="L918" s="76">
        <f t="shared" si="140"/>
        <v>0</v>
      </c>
      <c r="M918" s="246"/>
      <c r="N918" s="247"/>
      <c r="O918" s="248"/>
      <c r="P918" s="246"/>
      <c r="Q918" s="249"/>
      <c r="R918" s="250"/>
      <c r="S918" s="259"/>
      <c r="T918" s="260"/>
      <c r="U918" s="250"/>
      <c r="V918" s="78">
        <f t="shared" si="141"/>
        <v>0</v>
      </c>
      <c r="W918" s="261">
        <f t="shared" si="142"/>
        <v>0</v>
      </c>
      <c r="X918" s="133">
        <f t="shared" si="143"/>
        <v>0</v>
      </c>
      <c r="Y918" s="251"/>
      <c r="Z918" s="1736"/>
      <c r="AA918" s="1737"/>
      <c r="AB918" s="77">
        <f t="shared" si="144"/>
        <v>0</v>
      </c>
      <c r="AC918" s="134">
        <f t="shared" si="145"/>
        <v>0</v>
      </c>
      <c r="AD918" s="251"/>
      <c r="AE918" s="1736"/>
      <c r="AF918" s="1737"/>
      <c r="AG918" s="77">
        <f t="shared" si="146"/>
        <v>0</v>
      </c>
      <c r="AH918" s="136">
        <f t="shared" si="147"/>
        <v>0</v>
      </c>
      <c r="AI918" s="251"/>
      <c r="AJ918" s="1736"/>
      <c r="AK918" s="1737"/>
      <c r="AL918" s="79">
        <f t="shared" si="148"/>
        <v>0</v>
      </c>
      <c r="AM918" s="137">
        <f t="shared" si="149"/>
        <v>0</v>
      </c>
      <c r="AN918" s="251"/>
      <c r="AO918" s="1736"/>
      <c r="AP918" s="1737"/>
    </row>
    <row r="919" spans="1:42" s="85" customFormat="1" ht="13.5" thickBot="1">
      <c r="A919" s="240"/>
      <c r="B919" s="241"/>
      <c r="C919" s="242"/>
      <c r="D919" s="242"/>
      <c r="E919" s="243"/>
      <c r="F919" s="244"/>
      <c r="G919" s="244"/>
      <c r="H919" s="243"/>
      <c r="I919" s="258"/>
      <c r="J919" s="245"/>
      <c r="K919" s="245"/>
      <c r="L919" s="76">
        <f t="shared" si="140"/>
        <v>0</v>
      </c>
      <c r="M919" s="246"/>
      <c r="N919" s="247"/>
      <c r="O919" s="248"/>
      <c r="P919" s="246"/>
      <c r="Q919" s="249"/>
      <c r="R919" s="250"/>
      <c r="S919" s="259"/>
      <c r="T919" s="260"/>
      <c r="U919" s="250"/>
      <c r="V919" s="78">
        <f t="shared" si="141"/>
        <v>0</v>
      </c>
      <c r="W919" s="261">
        <f t="shared" si="142"/>
        <v>0</v>
      </c>
      <c r="X919" s="133">
        <f t="shared" si="143"/>
        <v>0</v>
      </c>
      <c r="Y919" s="251"/>
      <c r="Z919" s="1736"/>
      <c r="AA919" s="1737"/>
      <c r="AB919" s="77">
        <f t="shared" si="144"/>
        <v>0</v>
      </c>
      <c r="AC919" s="134">
        <f t="shared" si="145"/>
        <v>0</v>
      </c>
      <c r="AD919" s="251"/>
      <c r="AE919" s="1736"/>
      <c r="AF919" s="1737"/>
      <c r="AG919" s="77">
        <f t="shared" si="146"/>
        <v>0</v>
      </c>
      <c r="AH919" s="136">
        <f t="shared" si="147"/>
        <v>0</v>
      </c>
      <c r="AI919" s="251"/>
      <c r="AJ919" s="1736"/>
      <c r="AK919" s="1737"/>
      <c r="AL919" s="79">
        <f t="shared" si="148"/>
        <v>0</v>
      </c>
      <c r="AM919" s="137">
        <f t="shared" si="149"/>
        <v>0</v>
      </c>
      <c r="AN919" s="251"/>
      <c r="AO919" s="1736"/>
      <c r="AP919" s="1737"/>
    </row>
    <row r="920" spans="1:42" s="85" customFormat="1" ht="13.5" thickBot="1">
      <c r="A920" s="240"/>
      <c r="B920" s="241"/>
      <c r="C920" s="242"/>
      <c r="D920" s="242"/>
      <c r="E920" s="243"/>
      <c r="F920" s="244"/>
      <c r="G920" s="244"/>
      <c r="H920" s="243"/>
      <c r="I920" s="258"/>
      <c r="J920" s="245"/>
      <c r="K920" s="245"/>
      <c r="L920" s="76">
        <f t="shared" si="140"/>
        <v>0</v>
      </c>
      <c r="M920" s="246"/>
      <c r="N920" s="247"/>
      <c r="O920" s="248"/>
      <c r="P920" s="246"/>
      <c r="Q920" s="249"/>
      <c r="R920" s="250"/>
      <c r="S920" s="259"/>
      <c r="T920" s="260"/>
      <c r="U920" s="250"/>
      <c r="V920" s="78">
        <f t="shared" si="141"/>
        <v>0</v>
      </c>
      <c r="W920" s="261">
        <f t="shared" si="142"/>
        <v>0</v>
      </c>
      <c r="X920" s="133">
        <f t="shared" si="143"/>
        <v>0</v>
      </c>
      <c r="Y920" s="251"/>
      <c r="Z920" s="1736"/>
      <c r="AA920" s="1737"/>
      <c r="AB920" s="77">
        <f t="shared" si="144"/>
        <v>0</v>
      </c>
      <c r="AC920" s="134">
        <f t="shared" si="145"/>
        <v>0</v>
      </c>
      <c r="AD920" s="251"/>
      <c r="AE920" s="1736"/>
      <c r="AF920" s="1737"/>
      <c r="AG920" s="77">
        <f t="shared" si="146"/>
        <v>0</v>
      </c>
      <c r="AH920" s="136">
        <f t="shared" si="147"/>
        <v>0</v>
      </c>
      <c r="AI920" s="251"/>
      <c r="AJ920" s="1736"/>
      <c r="AK920" s="1737"/>
      <c r="AL920" s="79">
        <f t="shared" si="148"/>
        <v>0</v>
      </c>
      <c r="AM920" s="137">
        <f t="shared" si="149"/>
        <v>0</v>
      </c>
      <c r="AN920" s="251"/>
      <c r="AO920" s="1736"/>
      <c r="AP920" s="1737"/>
    </row>
    <row r="921" spans="1:42" s="85" customFormat="1" ht="13.5" thickBot="1">
      <c r="A921" s="240"/>
      <c r="B921" s="241"/>
      <c r="C921" s="242"/>
      <c r="D921" s="242"/>
      <c r="E921" s="243"/>
      <c r="F921" s="244"/>
      <c r="G921" s="244"/>
      <c r="H921" s="243"/>
      <c r="I921" s="258"/>
      <c r="J921" s="245"/>
      <c r="K921" s="245"/>
      <c r="L921" s="76">
        <f t="shared" si="140"/>
        <v>0</v>
      </c>
      <c r="M921" s="246"/>
      <c r="N921" s="247"/>
      <c r="O921" s="248"/>
      <c r="P921" s="246"/>
      <c r="Q921" s="249"/>
      <c r="R921" s="250"/>
      <c r="S921" s="259"/>
      <c r="T921" s="260"/>
      <c r="U921" s="250"/>
      <c r="V921" s="78">
        <f t="shared" si="141"/>
        <v>0</v>
      </c>
      <c r="W921" s="261">
        <f t="shared" si="142"/>
        <v>0</v>
      </c>
      <c r="X921" s="133">
        <f t="shared" si="143"/>
        <v>0</v>
      </c>
      <c r="Y921" s="251"/>
      <c r="Z921" s="1736"/>
      <c r="AA921" s="1737"/>
      <c r="AB921" s="77">
        <f t="shared" si="144"/>
        <v>0</v>
      </c>
      <c r="AC921" s="134">
        <f t="shared" si="145"/>
        <v>0</v>
      </c>
      <c r="AD921" s="251"/>
      <c r="AE921" s="1736"/>
      <c r="AF921" s="1737"/>
      <c r="AG921" s="77">
        <f t="shared" si="146"/>
        <v>0</v>
      </c>
      <c r="AH921" s="136">
        <f t="shared" si="147"/>
        <v>0</v>
      </c>
      <c r="AI921" s="251"/>
      <c r="AJ921" s="1736"/>
      <c r="AK921" s="1737"/>
      <c r="AL921" s="79">
        <f t="shared" si="148"/>
        <v>0</v>
      </c>
      <c r="AM921" s="137">
        <f t="shared" si="149"/>
        <v>0</v>
      </c>
      <c r="AN921" s="251"/>
      <c r="AO921" s="1736"/>
      <c r="AP921" s="1737"/>
    </row>
    <row r="922" spans="1:42" s="85" customFormat="1" ht="13.5" thickBot="1">
      <c r="A922" s="240"/>
      <c r="B922" s="241"/>
      <c r="C922" s="242"/>
      <c r="D922" s="242"/>
      <c r="E922" s="243"/>
      <c r="F922" s="244"/>
      <c r="G922" s="244"/>
      <c r="H922" s="243"/>
      <c r="I922" s="258"/>
      <c r="J922" s="245"/>
      <c r="K922" s="245"/>
      <c r="L922" s="76">
        <f t="shared" si="140"/>
        <v>0</v>
      </c>
      <c r="M922" s="246"/>
      <c r="N922" s="247"/>
      <c r="O922" s="248"/>
      <c r="P922" s="246"/>
      <c r="Q922" s="249"/>
      <c r="R922" s="250"/>
      <c r="S922" s="259"/>
      <c r="T922" s="260"/>
      <c r="U922" s="250"/>
      <c r="V922" s="78">
        <f t="shared" si="141"/>
        <v>0</v>
      </c>
      <c r="W922" s="261">
        <f t="shared" si="142"/>
        <v>0</v>
      </c>
      <c r="X922" s="133">
        <f t="shared" si="143"/>
        <v>0</v>
      </c>
      <c r="Y922" s="251"/>
      <c r="Z922" s="1736"/>
      <c r="AA922" s="1737"/>
      <c r="AB922" s="77">
        <f t="shared" si="144"/>
        <v>0</v>
      </c>
      <c r="AC922" s="134">
        <f t="shared" si="145"/>
        <v>0</v>
      </c>
      <c r="AD922" s="251"/>
      <c r="AE922" s="1736"/>
      <c r="AF922" s="1737"/>
      <c r="AG922" s="77">
        <f t="shared" si="146"/>
        <v>0</v>
      </c>
      <c r="AH922" s="136">
        <f t="shared" si="147"/>
        <v>0</v>
      </c>
      <c r="AI922" s="251"/>
      <c r="AJ922" s="1736"/>
      <c r="AK922" s="1737"/>
      <c r="AL922" s="79">
        <f t="shared" si="148"/>
        <v>0</v>
      </c>
      <c r="AM922" s="137">
        <f t="shared" si="149"/>
        <v>0</v>
      </c>
      <c r="AN922" s="251"/>
      <c r="AO922" s="1736"/>
      <c r="AP922" s="1737"/>
    </row>
    <row r="923" spans="1:42" s="85" customFormat="1" ht="13.5" thickBot="1">
      <c r="A923" s="240"/>
      <c r="B923" s="241"/>
      <c r="C923" s="242"/>
      <c r="D923" s="242"/>
      <c r="E923" s="243"/>
      <c r="F923" s="244"/>
      <c r="G923" s="244"/>
      <c r="H923" s="243"/>
      <c r="I923" s="258"/>
      <c r="J923" s="245"/>
      <c r="K923" s="245"/>
      <c r="L923" s="76">
        <f t="shared" si="140"/>
        <v>0</v>
      </c>
      <c r="M923" s="246"/>
      <c r="N923" s="247"/>
      <c r="O923" s="248"/>
      <c r="P923" s="246"/>
      <c r="Q923" s="249"/>
      <c r="R923" s="250"/>
      <c r="S923" s="259"/>
      <c r="T923" s="260"/>
      <c r="U923" s="250"/>
      <c r="V923" s="78">
        <f t="shared" si="141"/>
        <v>0</v>
      </c>
      <c r="W923" s="261">
        <f t="shared" si="142"/>
        <v>0</v>
      </c>
      <c r="X923" s="133">
        <f t="shared" si="143"/>
        <v>0</v>
      </c>
      <c r="Y923" s="251"/>
      <c r="Z923" s="1736"/>
      <c r="AA923" s="1737"/>
      <c r="AB923" s="77">
        <f t="shared" si="144"/>
        <v>0</v>
      </c>
      <c r="AC923" s="134">
        <f t="shared" si="145"/>
        <v>0</v>
      </c>
      <c r="AD923" s="251"/>
      <c r="AE923" s="1736"/>
      <c r="AF923" s="1737"/>
      <c r="AG923" s="77">
        <f t="shared" si="146"/>
        <v>0</v>
      </c>
      <c r="AH923" s="136">
        <f t="shared" si="147"/>
        <v>0</v>
      </c>
      <c r="AI923" s="251"/>
      <c r="AJ923" s="1736"/>
      <c r="AK923" s="1737"/>
      <c r="AL923" s="79">
        <f t="shared" si="148"/>
        <v>0</v>
      </c>
      <c r="AM923" s="137">
        <f t="shared" si="149"/>
        <v>0</v>
      </c>
      <c r="AN923" s="251"/>
      <c r="AO923" s="1736"/>
      <c r="AP923" s="1737"/>
    </row>
    <row r="924" spans="1:42" s="85" customFormat="1" ht="13.5" thickBot="1">
      <c r="A924" s="240"/>
      <c r="B924" s="241"/>
      <c r="C924" s="242"/>
      <c r="D924" s="242"/>
      <c r="E924" s="243"/>
      <c r="F924" s="244"/>
      <c r="G924" s="244"/>
      <c r="H924" s="243"/>
      <c r="I924" s="258"/>
      <c r="J924" s="245"/>
      <c r="K924" s="245"/>
      <c r="L924" s="76">
        <f t="shared" si="140"/>
        <v>0</v>
      </c>
      <c r="M924" s="246"/>
      <c r="N924" s="247"/>
      <c r="O924" s="248"/>
      <c r="P924" s="246"/>
      <c r="Q924" s="249"/>
      <c r="R924" s="250"/>
      <c r="S924" s="259"/>
      <c r="T924" s="260"/>
      <c r="U924" s="250"/>
      <c r="V924" s="78">
        <f t="shared" si="141"/>
        <v>0</v>
      </c>
      <c r="W924" s="261">
        <f t="shared" si="142"/>
        <v>0</v>
      </c>
      <c r="X924" s="133">
        <f t="shared" si="143"/>
        <v>0</v>
      </c>
      <c r="Y924" s="251"/>
      <c r="Z924" s="1736"/>
      <c r="AA924" s="1737"/>
      <c r="AB924" s="77">
        <f t="shared" si="144"/>
        <v>0</v>
      </c>
      <c r="AC924" s="134">
        <f t="shared" si="145"/>
        <v>0</v>
      </c>
      <c r="AD924" s="251"/>
      <c r="AE924" s="1736"/>
      <c r="AF924" s="1737"/>
      <c r="AG924" s="77">
        <f t="shared" si="146"/>
        <v>0</v>
      </c>
      <c r="AH924" s="136">
        <f t="shared" si="147"/>
        <v>0</v>
      </c>
      <c r="AI924" s="251"/>
      <c r="AJ924" s="1736"/>
      <c r="AK924" s="1737"/>
      <c r="AL924" s="79">
        <f t="shared" si="148"/>
        <v>0</v>
      </c>
      <c r="AM924" s="137">
        <f t="shared" si="149"/>
        <v>0</v>
      </c>
      <c r="AN924" s="251"/>
      <c r="AO924" s="1736"/>
      <c r="AP924" s="1737"/>
    </row>
    <row r="925" spans="1:42" s="85" customFormat="1" ht="13.5" thickBot="1">
      <c r="A925" s="240"/>
      <c r="B925" s="241"/>
      <c r="C925" s="242"/>
      <c r="D925" s="242"/>
      <c r="E925" s="243"/>
      <c r="F925" s="244"/>
      <c r="G925" s="244"/>
      <c r="H925" s="243"/>
      <c r="I925" s="258"/>
      <c r="J925" s="245"/>
      <c r="K925" s="245"/>
      <c r="L925" s="76">
        <f t="shared" si="140"/>
        <v>0</v>
      </c>
      <c r="M925" s="246"/>
      <c r="N925" s="247"/>
      <c r="O925" s="248"/>
      <c r="P925" s="246"/>
      <c r="Q925" s="249"/>
      <c r="R925" s="250"/>
      <c r="S925" s="259"/>
      <c r="T925" s="260"/>
      <c r="U925" s="250"/>
      <c r="V925" s="78">
        <f t="shared" si="141"/>
        <v>0</v>
      </c>
      <c r="W925" s="261">
        <f t="shared" si="142"/>
        <v>0</v>
      </c>
      <c r="X925" s="133">
        <f t="shared" si="143"/>
        <v>0</v>
      </c>
      <c r="Y925" s="251"/>
      <c r="Z925" s="1736"/>
      <c r="AA925" s="1737"/>
      <c r="AB925" s="77">
        <f t="shared" si="144"/>
        <v>0</v>
      </c>
      <c r="AC925" s="134">
        <f t="shared" si="145"/>
        <v>0</v>
      </c>
      <c r="AD925" s="251"/>
      <c r="AE925" s="1736"/>
      <c r="AF925" s="1737"/>
      <c r="AG925" s="77">
        <f t="shared" si="146"/>
        <v>0</v>
      </c>
      <c r="AH925" s="136">
        <f t="shared" si="147"/>
        <v>0</v>
      </c>
      <c r="AI925" s="251"/>
      <c r="AJ925" s="1736"/>
      <c r="AK925" s="1737"/>
      <c r="AL925" s="79">
        <f t="shared" si="148"/>
        <v>0</v>
      </c>
      <c r="AM925" s="137">
        <f t="shared" si="149"/>
        <v>0</v>
      </c>
      <c r="AN925" s="251"/>
      <c r="AO925" s="1736"/>
      <c r="AP925" s="1737"/>
    </row>
    <row r="926" spans="1:42" s="85" customFormat="1" ht="13.5" thickBot="1">
      <c r="A926" s="240"/>
      <c r="B926" s="241"/>
      <c r="C926" s="242"/>
      <c r="D926" s="242"/>
      <c r="E926" s="243"/>
      <c r="F926" s="244"/>
      <c r="G926" s="244"/>
      <c r="H926" s="243"/>
      <c r="I926" s="258"/>
      <c r="J926" s="245"/>
      <c r="K926" s="245"/>
      <c r="L926" s="76">
        <f t="shared" si="140"/>
        <v>0</v>
      </c>
      <c r="M926" s="246"/>
      <c r="N926" s="247"/>
      <c r="O926" s="248"/>
      <c r="P926" s="246"/>
      <c r="Q926" s="249"/>
      <c r="R926" s="250"/>
      <c r="S926" s="259"/>
      <c r="T926" s="260"/>
      <c r="U926" s="250"/>
      <c r="V926" s="78">
        <f t="shared" si="141"/>
        <v>0</v>
      </c>
      <c r="W926" s="261">
        <f t="shared" si="142"/>
        <v>0</v>
      </c>
      <c r="X926" s="133">
        <f t="shared" si="143"/>
        <v>0</v>
      </c>
      <c r="Y926" s="251"/>
      <c r="Z926" s="1736"/>
      <c r="AA926" s="1737"/>
      <c r="AB926" s="77">
        <f t="shared" si="144"/>
        <v>0</v>
      </c>
      <c r="AC926" s="134">
        <f t="shared" si="145"/>
        <v>0</v>
      </c>
      <c r="AD926" s="251"/>
      <c r="AE926" s="1736"/>
      <c r="AF926" s="1737"/>
      <c r="AG926" s="77">
        <f t="shared" si="146"/>
        <v>0</v>
      </c>
      <c r="AH926" s="136">
        <f t="shared" si="147"/>
        <v>0</v>
      </c>
      <c r="AI926" s="251"/>
      <c r="AJ926" s="1736"/>
      <c r="AK926" s="1737"/>
      <c r="AL926" s="79">
        <f t="shared" si="148"/>
        <v>0</v>
      </c>
      <c r="AM926" s="137">
        <f t="shared" si="149"/>
        <v>0</v>
      </c>
      <c r="AN926" s="251"/>
      <c r="AO926" s="1736"/>
      <c r="AP926" s="1737"/>
    </row>
    <row r="927" spans="1:42" s="85" customFormat="1" ht="13.5" thickBot="1">
      <c r="A927" s="240"/>
      <c r="B927" s="241"/>
      <c r="C927" s="242"/>
      <c r="D927" s="242"/>
      <c r="E927" s="243"/>
      <c r="F927" s="244"/>
      <c r="G927" s="244"/>
      <c r="H927" s="243"/>
      <c r="I927" s="258"/>
      <c r="J927" s="245"/>
      <c r="K927" s="245"/>
      <c r="L927" s="76">
        <f t="shared" si="140"/>
        <v>0</v>
      </c>
      <c r="M927" s="246"/>
      <c r="N927" s="247"/>
      <c r="O927" s="248"/>
      <c r="P927" s="246"/>
      <c r="Q927" s="249"/>
      <c r="R927" s="250"/>
      <c r="S927" s="259"/>
      <c r="T927" s="260"/>
      <c r="U927" s="250"/>
      <c r="V927" s="78">
        <f t="shared" si="141"/>
        <v>0</v>
      </c>
      <c r="W927" s="261">
        <f t="shared" si="142"/>
        <v>0</v>
      </c>
      <c r="X927" s="133">
        <f t="shared" si="143"/>
        <v>0</v>
      </c>
      <c r="Y927" s="251"/>
      <c r="Z927" s="1736"/>
      <c r="AA927" s="1737"/>
      <c r="AB927" s="77">
        <f t="shared" si="144"/>
        <v>0</v>
      </c>
      <c r="AC927" s="134">
        <f t="shared" si="145"/>
        <v>0</v>
      </c>
      <c r="AD927" s="251"/>
      <c r="AE927" s="1736"/>
      <c r="AF927" s="1737"/>
      <c r="AG927" s="77">
        <f t="shared" si="146"/>
        <v>0</v>
      </c>
      <c r="AH927" s="136">
        <f t="shared" si="147"/>
        <v>0</v>
      </c>
      <c r="AI927" s="251"/>
      <c r="AJ927" s="1736"/>
      <c r="AK927" s="1737"/>
      <c r="AL927" s="79">
        <f t="shared" si="148"/>
        <v>0</v>
      </c>
      <c r="AM927" s="137">
        <f t="shared" si="149"/>
        <v>0</v>
      </c>
      <c r="AN927" s="251"/>
      <c r="AO927" s="1736"/>
      <c r="AP927" s="1737"/>
    </row>
    <row r="928" spans="1:42" s="85" customFormat="1" ht="13.5" thickBot="1">
      <c r="A928" s="240"/>
      <c r="B928" s="241"/>
      <c r="C928" s="242"/>
      <c r="D928" s="242"/>
      <c r="E928" s="243"/>
      <c r="F928" s="244"/>
      <c r="G928" s="244"/>
      <c r="H928" s="243"/>
      <c r="I928" s="258"/>
      <c r="J928" s="245"/>
      <c r="K928" s="245"/>
      <c r="L928" s="76">
        <f t="shared" si="140"/>
        <v>0</v>
      </c>
      <c r="M928" s="246"/>
      <c r="N928" s="247"/>
      <c r="O928" s="248"/>
      <c r="P928" s="246"/>
      <c r="Q928" s="249"/>
      <c r="R928" s="250"/>
      <c r="S928" s="259"/>
      <c r="T928" s="260"/>
      <c r="U928" s="250"/>
      <c r="V928" s="78">
        <f t="shared" si="141"/>
        <v>0</v>
      </c>
      <c r="W928" s="261">
        <f t="shared" si="142"/>
        <v>0</v>
      </c>
      <c r="X928" s="133">
        <f t="shared" si="143"/>
        <v>0</v>
      </c>
      <c r="Y928" s="251"/>
      <c r="Z928" s="1736"/>
      <c r="AA928" s="1737"/>
      <c r="AB928" s="77">
        <f t="shared" si="144"/>
        <v>0</v>
      </c>
      <c r="AC928" s="134">
        <f t="shared" si="145"/>
        <v>0</v>
      </c>
      <c r="AD928" s="251"/>
      <c r="AE928" s="1736"/>
      <c r="AF928" s="1737"/>
      <c r="AG928" s="77">
        <f t="shared" si="146"/>
        <v>0</v>
      </c>
      <c r="AH928" s="136">
        <f t="shared" si="147"/>
        <v>0</v>
      </c>
      <c r="AI928" s="251"/>
      <c r="AJ928" s="1736"/>
      <c r="AK928" s="1737"/>
      <c r="AL928" s="79">
        <f t="shared" si="148"/>
        <v>0</v>
      </c>
      <c r="AM928" s="137">
        <f t="shared" si="149"/>
        <v>0</v>
      </c>
      <c r="AN928" s="251"/>
      <c r="AO928" s="1736"/>
      <c r="AP928" s="1737"/>
    </row>
    <row r="929" spans="1:42" s="85" customFormat="1" ht="13.5" thickBot="1">
      <c r="A929" s="240"/>
      <c r="B929" s="241"/>
      <c r="C929" s="242"/>
      <c r="D929" s="242"/>
      <c r="E929" s="243"/>
      <c r="F929" s="244"/>
      <c r="G929" s="244"/>
      <c r="H929" s="243"/>
      <c r="I929" s="258"/>
      <c r="J929" s="245"/>
      <c r="K929" s="245"/>
      <c r="L929" s="76">
        <f t="shared" si="140"/>
        <v>0</v>
      </c>
      <c r="M929" s="246"/>
      <c r="N929" s="247"/>
      <c r="O929" s="248"/>
      <c r="P929" s="246"/>
      <c r="Q929" s="249"/>
      <c r="R929" s="250"/>
      <c r="S929" s="259"/>
      <c r="T929" s="260"/>
      <c r="U929" s="250"/>
      <c r="V929" s="78">
        <f t="shared" si="141"/>
        <v>0</v>
      </c>
      <c r="W929" s="261">
        <f t="shared" si="142"/>
        <v>0</v>
      </c>
      <c r="X929" s="133">
        <f t="shared" si="143"/>
        <v>0</v>
      </c>
      <c r="Y929" s="251"/>
      <c r="Z929" s="1736"/>
      <c r="AA929" s="1737"/>
      <c r="AB929" s="77">
        <f t="shared" si="144"/>
        <v>0</v>
      </c>
      <c r="AC929" s="134">
        <f t="shared" si="145"/>
        <v>0</v>
      </c>
      <c r="AD929" s="251"/>
      <c r="AE929" s="1736"/>
      <c r="AF929" s="1737"/>
      <c r="AG929" s="77">
        <f t="shared" si="146"/>
        <v>0</v>
      </c>
      <c r="AH929" s="136">
        <f t="shared" si="147"/>
        <v>0</v>
      </c>
      <c r="AI929" s="251"/>
      <c r="AJ929" s="1736"/>
      <c r="AK929" s="1737"/>
      <c r="AL929" s="79">
        <f t="shared" si="148"/>
        <v>0</v>
      </c>
      <c r="AM929" s="137">
        <f t="shared" si="149"/>
        <v>0</v>
      </c>
      <c r="AN929" s="251"/>
      <c r="AO929" s="1736"/>
      <c r="AP929" s="1737"/>
    </row>
    <row r="930" spans="1:42" s="85" customFormat="1" ht="13.5" thickBot="1">
      <c r="A930" s="240"/>
      <c r="B930" s="241"/>
      <c r="C930" s="242"/>
      <c r="D930" s="242"/>
      <c r="E930" s="243"/>
      <c r="F930" s="244"/>
      <c r="G930" s="244"/>
      <c r="H930" s="243"/>
      <c r="I930" s="258"/>
      <c r="J930" s="245"/>
      <c r="K930" s="245"/>
      <c r="L930" s="76">
        <f t="shared" si="140"/>
        <v>0</v>
      </c>
      <c r="M930" s="246"/>
      <c r="N930" s="247"/>
      <c r="O930" s="248"/>
      <c r="P930" s="246"/>
      <c r="Q930" s="249"/>
      <c r="R930" s="250"/>
      <c r="S930" s="259"/>
      <c r="T930" s="260"/>
      <c r="U930" s="250"/>
      <c r="V930" s="78">
        <f t="shared" si="141"/>
        <v>0</v>
      </c>
      <c r="W930" s="261">
        <f t="shared" si="142"/>
        <v>0</v>
      </c>
      <c r="X930" s="133">
        <f t="shared" si="143"/>
        <v>0</v>
      </c>
      <c r="Y930" s="251"/>
      <c r="Z930" s="1736"/>
      <c r="AA930" s="1737"/>
      <c r="AB930" s="77">
        <f t="shared" si="144"/>
        <v>0</v>
      </c>
      <c r="AC930" s="134">
        <f t="shared" si="145"/>
        <v>0</v>
      </c>
      <c r="AD930" s="251"/>
      <c r="AE930" s="1736"/>
      <c r="AF930" s="1737"/>
      <c r="AG930" s="77">
        <f t="shared" si="146"/>
        <v>0</v>
      </c>
      <c r="AH930" s="136">
        <f t="shared" si="147"/>
        <v>0</v>
      </c>
      <c r="AI930" s="251"/>
      <c r="AJ930" s="1736"/>
      <c r="AK930" s="1737"/>
      <c r="AL930" s="79">
        <f t="shared" si="148"/>
        <v>0</v>
      </c>
      <c r="AM930" s="137">
        <f t="shared" si="149"/>
        <v>0</v>
      </c>
      <c r="AN930" s="251"/>
      <c r="AO930" s="1736"/>
      <c r="AP930" s="1737"/>
    </row>
    <row r="931" spans="1:42" s="85" customFormat="1" ht="13.5" thickBot="1">
      <c r="A931" s="240"/>
      <c r="B931" s="241"/>
      <c r="C931" s="242"/>
      <c r="D931" s="242"/>
      <c r="E931" s="243"/>
      <c r="F931" s="244"/>
      <c r="G931" s="244"/>
      <c r="H931" s="243"/>
      <c r="I931" s="258"/>
      <c r="J931" s="245"/>
      <c r="K931" s="245"/>
      <c r="L931" s="76">
        <f t="shared" si="140"/>
        <v>0</v>
      </c>
      <c r="M931" s="246"/>
      <c r="N931" s="247"/>
      <c r="O931" s="248"/>
      <c r="P931" s="246"/>
      <c r="Q931" s="249"/>
      <c r="R931" s="250"/>
      <c r="S931" s="259"/>
      <c r="T931" s="260"/>
      <c r="U931" s="250"/>
      <c r="V931" s="78">
        <f t="shared" si="141"/>
        <v>0</v>
      </c>
      <c r="W931" s="261">
        <f t="shared" si="142"/>
        <v>0</v>
      </c>
      <c r="X931" s="133">
        <f t="shared" si="143"/>
        <v>0</v>
      </c>
      <c r="Y931" s="251"/>
      <c r="Z931" s="1736"/>
      <c r="AA931" s="1737"/>
      <c r="AB931" s="77">
        <f t="shared" si="144"/>
        <v>0</v>
      </c>
      <c r="AC931" s="134">
        <f t="shared" si="145"/>
        <v>0</v>
      </c>
      <c r="AD931" s="251"/>
      <c r="AE931" s="1736"/>
      <c r="AF931" s="1737"/>
      <c r="AG931" s="77">
        <f t="shared" si="146"/>
        <v>0</v>
      </c>
      <c r="AH931" s="136">
        <f t="shared" si="147"/>
        <v>0</v>
      </c>
      <c r="AI931" s="251"/>
      <c r="AJ931" s="1736"/>
      <c r="AK931" s="1737"/>
      <c r="AL931" s="79">
        <f t="shared" si="148"/>
        <v>0</v>
      </c>
      <c r="AM931" s="137">
        <f t="shared" si="149"/>
        <v>0</v>
      </c>
      <c r="AN931" s="251"/>
      <c r="AO931" s="1736"/>
      <c r="AP931" s="1737"/>
    </row>
    <row r="932" spans="1:42" s="85" customFormat="1" ht="13.5" thickBot="1">
      <c r="A932" s="240"/>
      <c r="B932" s="241"/>
      <c r="C932" s="242"/>
      <c r="D932" s="242"/>
      <c r="E932" s="243"/>
      <c r="F932" s="244"/>
      <c r="G932" s="244"/>
      <c r="H932" s="243"/>
      <c r="I932" s="258"/>
      <c r="J932" s="245"/>
      <c r="K932" s="245"/>
      <c r="L932" s="76">
        <f t="shared" si="140"/>
        <v>0</v>
      </c>
      <c r="M932" s="246"/>
      <c r="N932" s="247"/>
      <c r="O932" s="248"/>
      <c r="P932" s="246"/>
      <c r="Q932" s="249"/>
      <c r="R932" s="250"/>
      <c r="S932" s="259"/>
      <c r="T932" s="260"/>
      <c r="U932" s="250"/>
      <c r="V932" s="78">
        <f t="shared" si="141"/>
        <v>0</v>
      </c>
      <c r="W932" s="261">
        <f t="shared" si="142"/>
        <v>0</v>
      </c>
      <c r="X932" s="133">
        <f t="shared" si="143"/>
        <v>0</v>
      </c>
      <c r="Y932" s="251"/>
      <c r="Z932" s="1736"/>
      <c r="AA932" s="1737"/>
      <c r="AB932" s="77">
        <f t="shared" si="144"/>
        <v>0</v>
      </c>
      <c r="AC932" s="134">
        <f t="shared" si="145"/>
        <v>0</v>
      </c>
      <c r="AD932" s="251"/>
      <c r="AE932" s="1736"/>
      <c r="AF932" s="1737"/>
      <c r="AG932" s="77">
        <f t="shared" si="146"/>
        <v>0</v>
      </c>
      <c r="AH932" s="136">
        <f t="shared" si="147"/>
        <v>0</v>
      </c>
      <c r="AI932" s="251"/>
      <c r="AJ932" s="1736"/>
      <c r="AK932" s="1737"/>
      <c r="AL932" s="79">
        <f t="shared" si="148"/>
        <v>0</v>
      </c>
      <c r="AM932" s="137">
        <f t="shared" si="149"/>
        <v>0</v>
      </c>
      <c r="AN932" s="251"/>
      <c r="AO932" s="1736"/>
      <c r="AP932" s="1737"/>
    </row>
    <row r="933" spans="1:42" s="85" customFormat="1" ht="13.5" thickBot="1">
      <c r="A933" s="240"/>
      <c r="B933" s="241"/>
      <c r="C933" s="242"/>
      <c r="D933" s="242"/>
      <c r="E933" s="243"/>
      <c r="F933" s="244"/>
      <c r="G933" s="244"/>
      <c r="H933" s="243"/>
      <c r="I933" s="258"/>
      <c r="J933" s="245"/>
      <c r="K933" s="245"/>
      <c r="L933" s="76">
        <f t="shared" si="140"/>
        <v>0</v>
      </c>
      <c r="M933" s="246"/>
      <c r="N933" s="247"/>
      <c r="O933" s="248"/>
      <c r="P933" s="246"/>
      <c r="Q933" s="249"/>
      <c r="R933" s="250"/>
      <c r="S933" s="259"/>
      <c r="T933" s="260"/>
      <c r="U933" s="250"/>
      <c r="V933" s="78">
        <f t="shared" si="141"/>
        <v>0</v>
      </c>
      <c r="W933" s="261">
        <f t="shared" si="142"/>
        <v>0</v>
      </c>
      <c r="X933" s="133">
        <f t="shared" si="143"/>
        <v>0</v>
      </c>
      <c r="Y933" s="251"/>
      <c r="Z933" s="1736"/>
      <c r="AA933" s="1737"/>
      <c r="AB933" s="77">
        <f t="shared" si="144"/>
        <v>0</v>
      </c>
      <c r="AC933" s="134">
        <f t="shared" si="145"/>
        <v>0</v>
      </c>
      <c r="AD933" s="251"/>
      <c r="AE933" s="1736"/>
      <c r="AF933" s="1737"/>
      <c r="AG933" s="77">
        <f t="shared" si="146"/>
        <v>0</v>
      </c>
      <c r="AH933" s="136">
        <f t="shared" si="147"/>
        <v>0</v>
      </c>
      <c r="AI933" s="251"/>
      <c r="AJ933" s="1736"/>
      <c r="AK933" s="1737"/>
      <c r="AL933" s="79">
        <f t="shared" si="148"/>
        <v>0</v>
      </c>
      <c r="AM933" s="137">
        <f t="shared" si="149"/>
        <v>0</v>
      </c>
      <c r="AN933" s="251"/>
      <c r="AO933" s="1736"/>
      <c r="AP933" s="1737"/>
    </row>
    <row r="934" spans="1:42" s="85" customFormat="1" ht="13.5" thickBot="1">
      <c r="A934" s="240"/>
      <c r="B934" s="241"/>
      <c r="C934" s="242"/>
      <c r="D934" s="242"/>
      <c r="E934" s="243"/>
      <c r="F934" s="244"/>
      <c r="G934" s="244"/>
      <c r="H934" s="243"/>
      <c r="I934" s="258"/>
      <c r="J934" s="245"/>
      <c r="K934" s="245"/>
      <c r="L934" s="76">
        <f t="shared" si="140"/>
        <v>0</v>
      </c>
      <c r="M934" s="246"/>
      <c r="N934" s="247"/>
      <c r="O934" s="248"/>
      <c r="P934" s="246"/>
      <c r="Q934" s="249"/>
      <c r="R934" s="250"/>
      <c r="S934" s="259"/>
      <c r="T934" s="260"/>
      <c r="U934" s="250"/>
      <c r="V934" s="78">
        <f t="shared" si="141"/>
        <v>0</v>
      </c>
      <c r="W934" s="261">
        <f t="shared" si="142"/>
        <v>0</v>
      </c>
      <c r="X934" s="133">
        <f t="shared" si="143"/>
        <v>0</v>
      </c>
      <c r="Y934" s="251"/>
      <c r="Z934" s="1736"/>
      <c r="AA934" s="1737"/>
      <c r="AB934" s="77">
        <f t="shared" si="144"/>
        <v>0</v>
      </c>
      <c r="AC934" s="134">
        <f t="shared" si="145"/>
        <v>0</v>
      </c>
      <c r="AD934" s="251"/>
      <c r="AE934" s="1736"/>
      <c r="AF934" s="1737"/>
      <c r="AG934" s="77">
        <f t="shared" si="146"/>
        <v>0</v>
      </c>
      <c r="AH934" s="136">
        <f t="shared" si="147"/>
        <v>0</v>
      </c>
      <c r="AI934" s="251"/>
      <c r="AJ934" s="1736"/>
      <c r="AK934" s="1737"/>
      <c r="AL934" s="79">
        <f t="shared" si="148"/>
        <v>0</v>
      </c>
      <c r="AM934" s="137">
        <f t="shared" si="149"/>
        <v>0</v>
      </c>
      <c r="AN934" s="251"/>
      <c r="AO934" s="1736"/>
      <c r="AP934" s="1737"/>
    </row>
    <row r="935" spans="1:42" s="85" customFormat="1" ht="13.5" thickBot="1">
      <c r="A935" s="240"/>
      <c r="B935" s="241"/>
      <c r="C935" s="242"/>
      <c r="D935" s="242"/>
      <c r="E935" s="243"/>
      <c r="F935" s="244"/>
      <c r="G935" s="244"/>
      <c r="H935" s="243"/>
      <c r="I935" s="258"/>
      <c r="J935" s="245"/>
      <c r="K935" s="245"/>
      <c r="L935" s="76">
        <f t="shared" si="140"/>
        <v>0</v>
      </c>
      <c r="M935" s="246"/>
      <c r="N935" s="247"/>
      <c r="O935" s="248"/>
      <c r="P935" s="246"/>
      <c r="Q935" s="249"/>
      <c r="R935" s="250"/>
      <c r="S935" s="259"/>
      <c r="T935" s="260"/>
      <c r="U935" s="250"/>
      <c r="V935" s="78">
        <f t="shared" si="141"/>
        <v>0</v>
      </c>
      <c r="W935" s="261">
        <f t="shared" si="142"/>
        <v>0</v>
      </c>
      <c r="X935" s="133">
        <f t="shared" si="143"/>
        <v>0</v>
      </c>
      <c r="Y935" s="251"/>
      <c r="Z935" s="1736"/>
      <c r="AA935" s="1737"/>
      <c r="AB935" s="77">
        <f t="shared" si="144"/>
        <v>0</v>
      </c>
      <c r="AC935" s="134">
        <f t="shared" si="145"/>
        <v>0</v>
      </c>
      <c r="AD935" s="251"/>
      <c r="AE935" s="1736"/>
      <c r="AF935" s="1737"/>
      <c r="AG935" s="77">
        <f t="shared" si="146"/>
        <v>0</v>
      </c>
      <c r="AH935" s="136">
        <f t="shared" si="147"/>
        <v>0</v>
      </c>
      <c r="AI935" s="251"/>
      <c r="AJ935" s="1736"/>
      <c r="AK935" s="1737"/>
      <c r="AL935" s="79">
        <f t="shared" si="148"/>
        <v>0</v>
      </c>
      <c r="AM935" s="137">
        <f t="shared" si="149"/>
        <v>0</v>
      </c>
      <c r="AN935" s="251"/>
      <c r="AO935" s="1736"/>
      <c r="AP935" s="1737"/>
    </row>
    <row r="936" spans="1:42" s="85" customFormat="1" ht="13.5" thickBot="1">
      <c r="A936" s="240"/>
      <c r="B936" s="241"/>
      <c r="C936" s="242"/>
      <c r="D936" s="242"/>
      <c r="E936" s="243"/>
      <c r="F936" s="244"/>
      <c r="G936" s="244"/>
      <c r="H936" s="243"/>
      <c r="I936" s="258"/>
      <c r="J936" s="245"/>
      <c r="K936" s="245"/>
      <c r="L936" s="76">
        <f t="shared" si="140"/>
        <v>0</v>
      </c>
      <c r="M936" s="246"/>
      <c r="N936" s="247"/>
      <c r="O936" s="248"/>
      <c r="P936" s="246"/>
      <c r="Q936" s="249"/>
      <c r="R936" s="250"/>
      <c r="S936" s="259"/>
      <c r="T936" s="260"/>
      <c r="U936" s="250"/>
      <c r="V936" s="78">
        <f t="shared" si="141"/>
        <v>0</v>
      </c>
      <c r="W936" s="261">
        <f t="shared" si="142"/>
        <v>0</v>
      </c>
      <c r="X936" s="133">
        <f t="shared" si="143"/>
        <v>0</v>
      </c>
      <c r="Y936" s="251"/>
      <c r="Z936" s="1736"/>
      <c r="AA936" s="1737"/>
      <c r="AB936" s="77">
        <f t="shared" si="144"/>
        <v>0</v>
      </c>
      <c r="AC936" s="134">
        <f t="shared" si="145"/>
        <v>0</v>
      </c>
      <c r="AD936" s="251"/>
      <c r="AE936" s="1736"/>
      <c r="AF936" s="1737"/>
      <c r="AG936" s="77">
        <f t="shared" si="146"/>
        <v>0</v>
      </c>
      <c r="AH936" s="136">
        <f t="shared" si="147"/>
        <v>0</v>
      </c>
      <c r="AI936" s="251"/>
      <c r="AJ936" s="1736"/>
      <c r="AK936" s="1737"/>
      <c r="AL936" s="79">
        <f t="shared" si="148"/>
        <v>0</v>
      </c>
      <c r="AM936" s="137">
        <f t="shared" si="149"/>
        <v>0</v>
      </c>
      <c r="AN936" s="251"/>
      <c r="AO936" s="1736"/>
      <c r="AP936" s="1737"/>
    </row>
    <row r="937" spans="1:42" s="85" customFormat="1" ht="13.5" thickBot="1">
      <c r="A937" s="240"/>
      <c r="B937" s="241"/>
      <c r="C937" s="242"/>
      <c r="D937" s="242"/>
      <c r="E937" s="243"/>
      <c r="F937" s="244"/>
      <c r="G937" s="244"/>
      <c r="H937" s="243"/>
      <c r="I937" s="258"/>
      <c r="J937" s="245"/>
      <c r="K937" s="245"/>
      <c r="L937" s="76">
        <f t="shared" si="140"/>
        <v>0</v>
      </c>
      <c r="M937" s="246"/>
      <c r="N937" s="247"/>
      <c r="O937" s="248"/>
      <c r="P937" s="246"/>
      <c r="Q937" s="249"/>
      <c r="R937" s="250"/>
      <c r="S937" s="259"/>
      <c r="T937" s="260"/>
      <c r="U937" s="250"/>
      <c r="V937" s="78">
        <f t="shared" si="141"/>
        <v>0</v>
      </c>
      <c r="W937" s="261">
        <f t="shared" si="142"/>
        <v>0</v>
      </c>
      <c r="X937" s="133">
        <f t="shared" si="143"/>
        <v>0</v>
      </c>
      <c r="Y937" s="251"/>
      <c r="Z937" s="1736"/>
      <c r="AA937" s="1737"/>
      <c r="AB937" s="77">
        <f t="shared" si="144"/>
        <v>0</v>
      </c>
      <c r="AC937" s="134">
        <f t="shared" si="145"/>
        <v>0</v>
      </c>
      <c r="AD937" s="251"/>
      <c r="AE937" s="1736"/>
      <c r="AF937" s="1737"/>
      <c r="AG937" s="77">
        <f t="shared" si="146"/>
        <v>0</v>
      </c>
      <c r="AH937" s="136">
        <f t="shared" si="147"/>
        <v>0</v>
      </c>
      <c r="AI937" s="251"/>
      <c r="AJ937" s="1736"/>
      <c r="AK937" s="1737"/>
      <c r="AL937" s="79">
        <f t="shared" si="148"/>
        <v>0</v>
      </c>
      <c r="AM937" s="137">
        <f t="shared" si="149"/>
        <v>0</v>
      </c>
      <c r="AN937" s="251"/>
      <c r="AO937" s="1736"/>
      <c r="AP937" s="1737"/>
    </row>
    <row r="938" spans="1:42" s="85" customFormat="1" ht="13.5" thickBot="1">
      <c r="A938" s="240"/>
      <c r="B938" s="241"/>
      <c r="C938" s="242"/>
      <c r="D938" s="242"/>
      <c r="E938" s="243"/>
      <c r="F938" s="244"/>
      <c r="G938" s="244"/>
      <c r="H938" s="243"/>
      <c r="I938" s="258"/>
      <c r="J938" s="245"/>
      <c r="K938" s="245"/>
      <c r="L938" s="76">
        <f t="shared" si="140"/>
        <v>0</v>
      </c>
      <c r="M938" s="246"/>
      <c r="N938" s="247"/>
      <c r="O938" s="248"/>
      <c r="P938" s="246"/>
      <c r="Q938" s="249"/>
      <c r="R938" s="250"/>
      <c r="S938" s="259"/>
      <c r="T938" s="260"/>
      <c r="U938" s="250"/>
      <c r="V938" s="78">
        <f t="shared" si="141"/>
        <v>0</v>
      </c>
      <c r="W938" s="261">
        <f t="shared" si="142"/>
        <v>0</v>
      </c>
      <c r="X938" s="133">
        <f t="shared" si="143"/>
        <v>0</v>
      </c>
      <c r="Y938" s="251"/>
      <c r="Z938" s="1736"/>
      <c r="AA938" s="1737"/>
      <c r="AB938" s="77">
        <f t="shared" si="144"/>
        <v>0</v>
      </c>
      <c r="AC938" s="134">
        <f t="shared" si="145"/>
        <v>0</v>
      </c>
      <c r="AD938" s="251"/>
      <c r="AE938" s="1736"/>
      <c r="AF938" s="1737"/>
      <c r="AG938" s="77">
        <f t="shared" si="146"/>
        <v>0</v>
      </c>
      <c r="AH938" s="136">
        <f t="shared" si="147"/>
        <v>0</v>
      </c>
      <c r="AI938" s="251"/>
      <c r="AJ938" s="1736"/>
      <c r="AK938" s="1737"/>
      <c r="AL938" s="79">
        <f t="shared" si="148"/>
        <v>0</v>
      </c>
      <c r="AM938" s="137">
        <f t="shared" si="149"/>
        <v>0</v>
      </c>
      <c r="AN938" s="251"/>
      <c r="AO938" s="1736"/>
      <c r="AP938" s="1737"/>
    </row>
    <row r="939" spans="1:42" s="85" customFormat="1" ht="13.5" thickBot="1">
      <c r="A939" s="240"/>
      <c r="B939" s="241"/>
      <c r="C939" s="242"/>
      <c r="D939" s="242"/>
      <c r="E939" s="243"/>
      <c r="F939" s="244"/>
      <c r="G939" s="244"/>
      <c r="H939" s="243"/>
      <c r="I939" s="258"/>
      <c r="J939" s="245"/>
      <c r="K939" s="245"/>
      <c r="L939" s="76">
        <f t="shared" si="140"/>
        <v>0</v>
      </c>
      <c r="M939" s="246"/>
      <c r="N939" s="247"/>
      <c r="O939" s="248"/>
      <c r="P939" s="246"/>
      <c r="Q939" s="249"/>
      <c r="R939" s="250"/>
      <c r="S939" s="259"/>
      <c r="T939" s="260"/>
      <c r="U939" s="250"/>
      <c r="V939" s="78">
        <f t="shared" si="141"/>
        <v>0</v>
      </c>
      <c r="W939" s="261">
        <f t="shared" si="142"/>
        <v>0</v>
      </c>
      <c r="X939" s="133">
        <f t="shared" si="143"/>
        <v>0</v>
      </c>
      <c r="Y939" s="251"/>
      <c r="Z939" s="1736"/>
      <c r="AA939" s="1737"/>
      <c r="AB939" s="77">
        <f t="shared" si="144"/>
        <v>0</v>
      </c>
      <c r="AC939" s="134">
        <f t="shared" si="145"/>
        <v>0</v>
      </c>
      <c r="AD939" s="251"/>
      <c r="AE939" s="1736"/>
      <c r="AF939" s="1737"/>
      <c r="AG939" s="77">
        <f t="shared" si="146"/>
        <v>0</v>
      </c>
      <c r="AH939" s="136">
        <f t="shared" si="147"/>
        <v>0</v>
      </c>
      <c r="AI939" s="251"/>
      <c r="AJ939" s="1736"/>
      <c r="AK939" s="1737"/>
      <c r="AL939" s="79">
        <f t="shared" si="148"/>
        <v>0</v>
      </c>
      <c r="AM939" s="137">
        <f t="shared" si="149"/>
        <v>0</v>
      </c>
      <c r="AN939" s="251"/>
      <c r="AO939" s="1736"/>
      <c r="AP939" s="1737"/>
    </row>
    <row r="940" spans="1:42" s="85" customFormat="1" ht="13.5" thickBot="1">
      <c r="A940" s="240"/>
      <c r="B940" s="241"/>
      <c r="C940" s="242"/>
      <c r="D940" s="242"/>
      <c r="E940" s="243"/>
      <c r="F940" s="244"/>
      <c r="G940" s="244"/>
      <c r="H940" s="243"/>
      <c r="I940" s="258"/>
      <c r="J940" s="245"/>
      <c r="K940" s="245"/>
      <c r="L940" s="76">
        <f t="shared" si="140"/>
        <v>0</v>
      </c>
      <c r="M940" s="246"/>
      <c r="N940" s="247"/>
      <c r="O940" s="248"/>
      <c r="P940" s="246"/>
      <c r="Q940" s="249"/>
      <c r="R940" s="250"/>
      <c r="S940" s="259"/>
      <c r="T940" s="260"/>
      <c r="U940" s="250"/>
      <c r="V940" s="78">
        <f t="shared" si="141"/>
        <v>0</v>
      </c>
      <c r="W940" s="261">
        <f t="shared" si="142"/>
        <v>0</v>
      </c>
      <c r="X940" s="133">
        <f t="shared" si="143"/>
        <v>0</v>
      </c>
      <c r="Y940" s="251"/>
      <c r="Z940" s="1736"/>
      <c r="AA940" s="1737"/>
      <c r="AB940" s="77">
        <f t="shared" si="144"/>
        <v>0</v>
      </c>
      <c r="AC940" s="134">
        <f t="shared" si="145"/>
        <v>0</v>
      </c>
      <c r="AD940" s="251"/>
      <c r="AE940" s="1736"/>
      <c r="AF940" s="1737"/>
      <c r="AG940" s="77">
        <f t="shared" si="146"/>
        <v>0</v>
      </c>
      <c r="AH940" s="136">
        <f t="shared" si="147"/>
        <v>0</v>
      </c>
      <c r="AI940" s="251"/>
      <c r="AJ940" s="1736"/>
      <c r="AK940" s="1737"/>
      <c r="AL940" s="79">
        <f t="shared" si="148"/>
        <v>0</v>
      </c>
      <c r="AM940" s="137">
        <f t="shared" si="149"/>
        <v>0</v>
      </c>
      <c r="AN940" s="251"/>
      <c r="AO940" s="1736"/>
      <c r="AP940" s="1737"/>
    </row>
    <row r="941" spans="1:42" s="85" customFormat="1" ht="13.5" thickBot="1">
      <c r="A941" s="240"/>
      <c r="B941" s="241"/>
      <c r="C941" s="242"/>
      <c r="D941" s="242"/>
      <c r="E941" s="243"/>
      <c r="F941" s="244"/>
      <c r="G941" s="244"/>
      <c r="H941" s="243"/>
      <c r="I941" s="258"/>
      <c r="J941" s="245"/>
      <c r="K941" s="245"/>
      <c r="L941" s="76">
        <f t="shared" si="140"/>
        <v>0</v>
      </c>
      <c r="M941" s="246"/>
      <c r="N941" s="247"/>
      <c r="O941" s="248"/>
      <c r="P941" s="246"/>
      <c r="Q941" s="249"/>
      <c r="R941" s="250"/>
      <c r="S941" s="259"/>
      <c r="T941" s="260"/>
      <c r="U941" s="250"/>
      <c r="V941" s="78">
        <f t="shared" si="141"/>
        <v>0</v>
      </c>
      <c r="W941" s="261">
        <f t="shared" si="142"/>
        <v>0</v>
      </c>
      <c r="X941" s="133">
        <f t="shared" si="143"/>
        <v>0</v>
      </c>
      <c r="Y941" s="251"/>
      <c r="Z941" s="1736"/>
      <c r="AA941" s="1737"/>
      <c r="AB941" s="77">
        <f t="shared" si="144"/>
        <v>0</v>
      </c>
      <c r="AC941" s="134">
        <f t="shared" si="145"/>
        <v>0</v>
      </c>
      <c r="AD941" s="251"/>
      <c r="AE941" s="1736"/>
      <c r="AF941" s="1737"/>
      <c r="AG941" s="77">
        <f t="shared" si="146"/>
        <v>0</v>
      </c>
      <c r="AH941" s="136">
        <f t="shared" si="147"/>
        <v>0</v>
      </c>
      <c r="AI941" s="251"/>
      <c r="AJ941" s="1736"/>
      <c r="AK941" s="1737"/>
      <c r="AL941" s="79">
        <f t="shared" si="148"/>
        <v>0</v>
      </c>
      <c r="AM941" s="137">
        <f t="shared" si="149"/>
        <v>0</v>
      </c>
      <c r="AN941" s="251"/>
      <c r="AO941" s="1736"/>
      <c r="AP941" s="1737"/>
    </row>
    <row r="942" spans="1:42" s="85" customFormat="1" ht="13.5" thickBot="1">
      <c r="A942" s="240"/>
      <c r="B942" s="241"/>
      <c r="C942" s="242"/>
      <c r="D942" s="242"/>
      <c r="E942" s="243"/>
      <c r="F942" s="244"/>
      <c r="G942" s="244"/>
      <c r="H942" s="243"/>
      <c r="I942" s="258"/>
      <c r="J942" s="245"/>
      <c r="K942" s="245"/>
      <c r="L942" s="76">
        <f t="shared" si="140"/>
        <v>0</v>
      </c>
      <c r="M942" s="246"/>
      <c r="N942" s="247"/>
      <c r="O942" s="248"/>
      <c r="P942" s="246"/>
      <c r="Q942" s="249"/>
      <c r="R942" s="250"/>
      <c r="S942" s="259"/>
      <c r="T942" s="260"/>
      <c r="U942" s="250"/>
      <c r="V942" s="78">
        <f t="shared" si="141"/>
        <v>0</v>
      </c>
      <c r="W942" s="261">
        <f t="shared" si="142"/>
        <v>0</v>
      </c>
      <c r="X942" s="133">
        <f t="shared" si="143"/>
        <v>0</v>
      </c>
      <c r="Y942" s="251"/>
      <c r="Z942" s="1736"/>
      <c r="AA942" s="1737"/>
      <c r="AB942" s="77">
        <f t="shared" si="144"/>
        <v>0</v>
      </c>
      <c r="AC942" s="134">
        <f t="shared" si="145"/>
        <v>0</v>
      </c>
      <c r="AD942" s="251"/>
      <c r="AE942" s="1736"/>
      <c r="AF942" s="1737"/>
      <c r="AG942" s="77">
        <f t="shared" si="146"/>
        <v>0</v>
      </c>
      <c r="AH942" s="136">
        <f t="shared" si="147"/>
        <v>0</v>
      </c>
      <c r="AI942" s="251"/>
      <c r="AJ942" s="1736"/>
      <c r="AK942" s="1737"/>
      <c r="AL942" s="79">
        <f t="shared" si="148"/>
        <v>0</v>
      </c>
      <c r="AM942" s="137">
        <f t="shared" si="149"/>
        <v>0</v>
      </c>
      <c r="AN942" s="251"/>
      <c r="AO942" s="1736"/>
      <c r="AP942" s="1737"/>
    </row>
    <row r="943" spans="1:42" s="85" customFormat="1" ht="13.5" thickBot="1">
      <c r="A943" s="240"/>
      <c r="B943" s="241"/>
      <c r="C943" s="242"/>
      <c r="D943" s="242"/>
      <c r="E943" s="243"/>
      <c r="F943" s="244"/>
      <c r="G943" s="244"/>
      <c r="H943" s="243"/>
      <c r="I943" s="258"/>
      <c r="J943" s="245"/>
      <c r="K943" s="245"/>
      <c r="L943" s="76">
        <f t="shared" si="140"/>
        <v>0</v>
      </c>
      <c r="M943" s="246"/>
      <c r="N943" s="247"/>
      <c r="O943" s="248"/>
      <c r="P943" s="246"/>
      <c r="Q943" s="249"/>
      <c r="R943" s="250"/>
      <c r="S943" s="259"/>
      <c r="T943" s="260"/>
      <c r="U943" s="250"/>
      <c r="V943" s="78">
        <f t="shared" si="141"/>
        <v>0</v>
      </c>
      <c r="W943" s="261">
        <f t="shared" si="142"/>
        <v>0</v>
      </c>
      <c r="X943" s="133">
        <f t="shared" si="143"/>
        <v>0</v>
      </c>
      <c r="Y943" s="251"/>
      <c r="Z943" s="1736"/>
      <c r="AA943" s="1737"/>
      <c r="AB943" s="77">
        <f t="shared" si="144"/>
        <v>0</v>
      </c>
      <c r="AC943" s="134">
        <f t="shared" si="145"/>
        <v>0</v>
      </c>
      <c r="AD943" s="251"/>
      <c r="AE943" s="1736"/>
      <c r="AF943" s="1737"/>
      <c r="AG943" s="77">
        <f t="shared" si="146"/>
        <v>0</v>
      </c>
      <c r="AH943" s="136">
        <f t="shared" si="147"/>
        <v>0</v>
      </c>
      <c r="AI943" s="251"/>
      <c r="AJ943" s="1736"/>
      <c r="AK943" s="1737"/>
      <c r="AL943" s="79">
        <f t="shared" si="148"/>
        <v>0</v>
      </c>
      <c r="AM943" s="137">
        <f t="shared" si="149"/>
        <v>0</v>
      </c>
      <c r="AN943" s="251"/>
      <c r="AO943" s="1736"/>
      <c r="AP943" s="1737"/>
    </row>
    <row r="944" spans="1:42" s="85" customFormat="1" ht="13.5" thickBot="1">
      <c r="A944" s="240"/>
      <c r="B944" s="241"/>
      <c r="C944" s="242"/>
      <c r="D944" s="242"/>
      <c r="E944" s="243"/>
      <c r="F944" s="244"/>
      <c r="G944" s="244"/>
      <c r="H944" s="243"/>
      <c r="I944" s="258"/>
      <c r="J944" s="245"/>
      <c r="K944" s="245"/>
      <c r="L944" s="76">
        <f t="shared" si="140"/>
        <v>0</v>
      </c>
      <c r="M944" s="246"/>
      <c r="N944" s="247"/>
      <c r="O944" s="248"/>
      <c r="P944" s="246"/>
      <c r="Q944" s="249"/>
      <c r="R944" s="250"/>
      <c r="S944" s="259"/>
      <c r="T944" s="260"/>
      <c r="U944" s="250"/>
      <c r="V944" s="78">
        <f t="shared" si="141"/>
        <v>0</v>
      </c>
      <c r="W944" s="261">
        <f t="shared" si="142"/>
        <v>0</v>
      </c>
      <c r="X944" s="133">
        <f t="shared" si="143"/>
        <v>0</v>
      </c>
      <c r="Y944" s="251"/>
      <c r="Z944" s="1736"/>
      <c r="AA944" s="1737"/>
      <c r="AB944" s="77">
        <f t="shared" si="144"/>
        <v>0</v>
      </c>
      <c r="AC944" s="134">
        <f t="shared" si="145"/>
        <v>0</v>
      </c>
      <c r="AD944" s="251"/>
      <c r="AE944" s="1736"/>
      <c r="AF944" s="1737"/>
      <c r="AG944" s="77">
        <f t="shared" si="146"/>
        <v>0</v>
      </c>
      <c r="AH944" s="136">
        <f t="shared" si="147"/>
        <v>0</v>
      </c>
      <c r="AI944" s="251"/>
      <c r="AJ944" s="1736"/>
      <c r="AK944" s="1737"/>
      <c r="AL944" s="79">
        <f t="shared" si="148"/>
        <v>0</v>
      </c>
      <c r="AM944" s="137">
        <f t="shared" si="149"/>
        <v>0</v>
      </c>
      <c r="AN944" s="251"/>
      <c r="AO944" s="1736"/>
      <c r="AP944" s="1737"/>
    </row>
    <row r="945" spans="1:42" s="85" customFormat="1" ht="13.5" thickBot="1">
      <c r="A945" s="240"/>
      <c r="B945" s="241"/>
      <c r="C945" s="242"/>
      <c r="D945" s="242"/>
      <c r="E945" s="243"/>
      <c r="F945" s="244"/>
      <c r="G945" s="244"/>
      <c r="H945" s="243"/>
      <c r="I945" s="258"/>
      <c r="J945" s="245"/>
      <c r="K945" s="245"/>
      <c r="L945" s="76">
        <f t="shared" si="140"/>
        <v>0</v>
      </c>
      <c r="M945" s="246"/>
      <c r="N945" s="247"/>
      <c r="O945" s="248"/>
      <c r="P945" s="246"/>
      <c r="Q945" s="249"/>
      <c r="R945" s="250"/>
      <c r="S945" s="259"/>
      <c r="T945" s="260"/>
      <c r="U945" s="250"/>
      <c r="V945" s="78">
        <f t="shared" si="141"/>
        <v>0</v>
      </c>
      <c r="W945" s="261">
        <f t="shared" si="142"/>
        <v>0</v>
      </c>
      <c r="X945" s="133">
        <f t="shared" si="143"/>
        <v>0</v>
      </c>
      <c r="Y945" s="251"/>
      <c r="Z945" s="1736"/>
      <c r="AA945" s="1737"/>
      <c r="AB945" s="77">
        <f t="shared" si="144"/>
        <v>0</v>
      </c>
      <c r="AC945" s="134">
        <f t="shared" si="145"/>
        <v>0</v>
      </c>
      <c r="AD945" s="251"/>
      <c r="AE945" s="1736"/>
      <c r="AF945" s="1737"/>
      <c r="AG945" s="77">
        <f t="shared" si="146"/>
        <v>0</v>
      </c>
      <c r="AH945" s="136">
        <f t="shared" si="147"/>
        <v>0</v>
      </c>
      <c r="AI945" s="251"/>
      <c r="AJ945" s="1736"/>
      <c r="AK945" s="1737"/>
      <c r="AL945" s="79">
        <f t="shared" si="148"/>
        <v>0</v>
      </c>
      <c r="AM945" s="137">
        <f t="shared" si="149"/>
        <v>0</v>
      </c>
      <c r="AN945" s="251"/>
      <c r="AO945" s="1736"/>
      <c r="AP945" s="1737"/>
    </row>
    <row r="946" spans="1:42" s="85" customFormat="1" ht="13.5" thickBot="1">
      <c r="A946" s="240"/>
      <c r="B946" s="241"/>
      <c r="C946" s="242"/>
      <c r="D946" s="242"/>
      <c r="E946" s="243"/>
      <c r="F946" s="244"/>
      <c r="G946" s="244"/>
      <c r="H946" s="243"/>
      <c r="I946" s="258"/>
      <c r="J946" s="245"/>
      <c r="K946" s="245"/>
      <c r="L946" s="76">
        <f t="shared" si="140"/>
        <v>0</v>
      </c>
      <c r="M946" s="246"/>
      <c r="N946" s="247"/>
      <c r="O946" s="248"/>
      <c r="P946" s="246"/>
      <c r="Q946" s="249"/>
      <c r="R946" s="250"/>
      <c r="S946" s="259"/>
      <c r="T946" s="260"/>
      <c r="U946" s="250"/>
      <c r="V946" s="78">
        <f t="shared" si="141"/>
        <v>0</v>
      </c>
      <c r="W946" s="261">
        <f t="shared" si="142"/>
        <v>0</v>
      </c>
      <c r="X946" s="133">
        <f t="shared" si="143"/>
        <v>0</v>
      </c>
      <c r="Y946" s="251"/>
      <c r="Z946" s="1736"/>
      <c r="AA946" s="1737"/>
      <c r="AB946" s="77">
        <f t="shared" si="144"/>
        <v>0</v>
      </c>
      <c r="AC946" s="134">
        <f t="shared" si="145"/>
        <v>0</v>
      </c>
      <c r="AD946" s="251"/>
      <c r="AE946" s="1736"/>
      <c r="AF946" s="1737"/>
      <c r="AG946" s="77">
        <f t="shared" si="146"/>
        <v>0</v>
      </c>
      <c r="AH946" s="136">
        <f t="shared" si="147"/>
        <v>0</v>
      </c>
      <c r="AI946" s="251"/>
      <c r="AJ946" s="1736"/>
      <c r="AK946" s="1737"/>
      <c r="AL946" s="79">
        <f t="shared" si="148"/>
        <v>0</v>
      </c>
      <c r="AM946" s="137">
        <f t="shared" si="149"/>
        <v>0</v>
      </c>
      <c r="AN946" s="251"/>
      <c r="AO946" s="1736"/>
      <c r="AP946" s="1737"/>
    </row>
    <row r="947" spans="1:42" s="85" customFormat="1" ht="13.5" thickBot="1">
      <c r="A947" s="240"/>
      <c r="B947" s="241"/>
      <c r="C947" s="242"/>
      <c r="D947" s="242"/>
      <c r="E947" s="243"/>
      <c r="F947" s="244"/>
      <c r="G947" s="244"/>
      <c r="H947" s="243"/>
      <c r="I947" s="258"/>
      <c r="J947" s="245"/>
      <c r="K947" s="245"/>
      <c r="L947" s="76">
        <f t="shared" si="140"/>
        <v>0</v>
      </c>
      <c r="M947" s="246"/>
      <c r="N947" s="247"/>
      <c r="O947" s="248"/>
      <c r="P947" s="246"/>
      <c r="Q947" s="249"/>
      <c r="R947" s="250"/>
      <c r="S947" s="259"/>
      <c r="T947" s="260"/>
      <c r="U947" s="250"/>
      <c r="V947" s="78">
        <f t="shared" si="141"/>
        <v>0</v>
      </c>
      <c r="W947" s="261">
        <f t="shared" si="142"/>
        <v>0</v>
      </c>
      <c r="X947" s="133">
        <f t="shared" si="143"/>
        <v>0</v>
      </c>
      <c r="Y947" s="251"/>
      <c r="Z947" s="1736"/>
      <c r="AA947" s="1737"/>
      <c r="AB947" s="77">
        <f t="shared" si="144"/>
        <v>0</v>
      </c>
      <c r="AC947" s="134">
        <f t="shared" si="145"/>
        <v>0</v>
      </c>
      <c r="AD947" s="251"/>
      <c r="AE947" s="1736"/>
      <c r="AF947" s="1737"/>
      <c r="AG947" s="77">
        <f t="shared" si="146"/>
        <v>0</v>
      </c>
      <c r="AH947" s="136">
        <f t="shared" si="147"/>
        <v>0</v>
      </c>
      <c r="AI947" s="251"/>
      <c r="AJ947" s="1736"/>
      <c r="AK947" s="1737"/>
      <c r="AL947" s="79">
        <f t="shared" si="148"/>
        <v>0</v>
      </c>
      <c r="AM947" s="137">
        <f t="shared" si="149"/>
        <v>0</v>
      </c>
      <c r="AN947" s="251"/>
      <c r="AO947" s="1736"/>
      <c r="AP947" s="1737"/>
    </row>
    <row r="948" spans="1:42" s="85" customFormat="1" ht="13.5" thickBot="1">
      <c r="A948" s="240"/>
      <c r="B948" s="241"/>
      <c r="C948" s="242"/>
      <c r="D948" s="242"/>
      <c r="E948" s="243"/>
      <c r="F948" s="244"/>
      <c r="G948" s="244"/>
      <c r="H948" s="243"/>
      <c r="I948" s="258"/>
      <c r="J948" s="245"/>
      <c r="K948" s="245"/>
      <c r="L948" s="76">
        <f t="shared" si="140"/>
        <v>0</v>
      </c>
      <c r="M948" s="246"/>
      <c r="N948" s="247"/>
      <c r="O948" s="248"/>
      <c r="P948" s="246"/>
      <c r="Q948" s="249"/>
      <c r="R948" s="250"/>
      <c r="S948" s="259"/>
      <c r="T948" s="260"/>
      <c r="U948" s="250"/>
      <c r="V948" s="78">
        <f t="shared" si="141"/>
        <v>0</v>
      </c>
      <c r="W948" s="261">
        <f t="shared" si="142"/>
        <v>0</v>
      </c>
      <c r="X948" s="133">
        <f t="shared" si="143"/>
        <v>0</v>
      </c>
      <c r="Y948" s="251"/>
      <c r="Z948" s="1736"/>
      <c r="AA948" s="1737"/>
      <c r="AB948" s="77">
        <f t="shared" si="144"/>
        <v>0</v>
      </c>
      <c r="AC948" s="134">
        <f t="shared" si="145"/>
        <v>0</v>
      </c>
      <c r="AD948" s="251"/>
      <c r="AE948" s="1736"/>
      <c r="AF948" s="1737"/>
      <c r="AG948" s="77">
        <f t="shared" si="146"/>
        <v>0</v>
      </c>
      <c r="AH948" s="136">
        <f t="shared" si="147"/>
        <v>0</v>
      </c>
      <c r="AI948" s="251"/>
      <c r="AJ948" s="1736"/>
      <c r="AK948" s="1737"/>
      <c r="AL948" s="79">
        <f t="shared" si="148"/>
        <v>0</v>
      </c>
      <c r="AM948" s="137">
        <f t="shared" si="149"/>
        <v>0</v>
      </c>
      <c r="AN948" s="251"/>
      <c r="AO948" s="1736"/>
      <c r="AP948" s="1737"/>
    </row>
    <row r="949" spans="1:42" s="85" customFormat="1" ht="13.5" thickBot="1">
      <c r="A949" s="240"/>
      <c r="B949" s="241"/>
      <c r="C949" s="242"/>
      <c r="D949" s="242"/>
      <c r="E949" s="243"/>
      <c r="F949" s="244"/>
      <c r="G949" s="244"/>
      <c r="H949" s="243"/>
      <c r="I949" s="258"/>
      <c r="J949" s="245"/>
      <c r="K949" s="245"/>
      <c r="L949" s="76">
        <f t="shared" si="140"/>
        <v>0</v>
      </c>
      <c r="M949" s="246"/>
      <c r="N949" s="247"/>
      <c r="O949" s="248"/>
      <c r="P949" s="246"/>
      <c r="Q949" s="249"/>
      <c r="R949" s="250"/>
      <c r="S949" s="259"/>
      <c r="T949" s="260"/>
      <c r="U949" s="250"/>
      <c r="V949" s="78">
        <f t="shared" si="141"/>
        <v>0</v>
      </c>
      <c r="W949" s="261">
        <f t="shared" si="142"/>
        <v>0</v>
      </c>
      <c r="X949" s="133">
        <f t="shared" si="143"/>
        <v>0</v>
      </c>
      <c r="Y949" s="251"/>
      <c r="Z949" s="1736"/>
      <c r="AA949" s="1737"/>
      <c r="AB949" s="77">
        <f t="shared" si="144"/>
        <v>0</v>
      </c>
      <c r="AC949" s="134">
        <f t="shared" si="145"/>
        <v>0</v>
      </c>
      <c r="AD949" s="251"/>
      <c r="AE949" s="1736"/>
      <c r="AF949" s="1737"/>
      <c r="AG949" s="77">
        <f t="shared" si="146"/>
        <v>0</v>
      </c>
      <c r="AH949" s="136">
        <f t="shared" si="147"/>
        <v>0</v>
      </c>
      <c r="AI949" s="251"/>
      <c r="AJ949" s="1736"/>
      <c r="AK949" s="1737"/>
      <c r="AL949" s="79">
        <f t="shared" si="148"/>
        <v>0</v>
      </c>
      <c r="AM949" s="137">
        <f t="shared" si="149"/>
        <v>0</v>
      </c>
      <c r="AN949" s="251"/>
      <c r="AO949" s="1736"/>
      <c r="AP949" s="1737"/>
    </row>
    <row r="950" spans="1:42" s="85" customFormat="1" ht="13.5" thickBot="1">
      <c r="A950" s="240"/>
      <c r="B950" s="241"/>
      <c r="C950" s="242"/>
      <c r="D950" s="242"/>
      <c r="E950" s="243"/>
      <c r="F950" s="244"/>
      <c r="G950" s="244"/>
      <c r="H950" s="243"/>
      <c r="I950" s="258"/>
      <c r="J950" s="245"/>
      <c r="K950" s="245"/>
      <c r="L950" s="76">
        <f t="shared" si="140"/>
        <v>0</v>
      </c>
      <c r="M950" s="246"/>
      <c r="N950" s="247"/>
      <c r="O950" s="248"/>
      <c r="P950" s="246"/>
      <c r="Q950" s="249"/>
      <c r="R950" s="250"/>
      <c r="S950" s="259"/>
      <c r="T950" s="260"/>
      <c r="U950" s="250"/>
      <c r="V950" s="78">
        <f t="shared" si="141"/>
        <v>0</v>
      </c>
      <c r="W950" s="261">
        <f t="shared" si="142"/>
        <v>0</v>
      </c>
      <c r="X950" s="133">
        <f t="shared" si="143"/>
        <v>0</v>
      </c>
      <c r="Y950" s="251"/>
      <c r="Z950" s="1736"/>
      <c r="AA950" s="1737"/>
      <c r="AB950" s="77">
        <f t="shared" si="144"/>
        <v>0</v>
      </c>
      <c r="AC950" s="134">
        <f t="shared" si="145"/>
        <v>0</v>
      </c>
      <c r="AD950" s="251"/>
      <c r="AE950" s="1736"/>
      <c r="AF950" s="1737"/>
      <c r="AG950" s="77">
        <f t="shared" si="146"/>
        <v>0</v>
      </c>
      <c r="AH950" s="136">
        <f t="shared" si="147"/>
        <v>0</v>
      </c>
      <c r="AI950" s="251"/>
      <c r="AJ950" s="1736"/>
      <c r="AK950" s="1737"/>
      <c r="AL950" s="79">
        <f t="shared" si="148"/>
        <v>0</v>
      </c>
      <c r="AM950" s="137">
        <f t="shared" si="149"/>
        <v>0</v>
      </c>
      <c r="AN950" s="251"/>
      <c r="AO950" s="1736"/>
      <c r="AP950" s="1737"/>
    </row>
    <row r="951" spans="1:42" s="85" customFormat="1" ht="13.5" thickBot="1">
      <c r="A951" s="240"/>
      <c r="B951" s="241"/>
      <c r="C951" s="242"/>
      <c r="D951" s="242"/>
      <c r="E951" s="243"/>
      <c r="F951" s="244"/>
      <c r="G951" s="244"/>
      <c r="H951" s="243"/>
      <c r="I951" s="258"/>
      <c r="J951" s="245"/>
      <c r="K951" s="245"/>
      <c r="L951" s="76">
        <f t="shared" si="140"/>
        <v>0</v>
      </c>
      <c r="M951" s="246"/>
      <c r="N951" s="247"/>
      <c r="O951" s="248"/>
      <c r="P951" s="246"/>
      <c r="Q951" s="249"/>
      <c r="R951" s="250"/>
      <c r="S951" s="259"/>
      <c r="T951" s="260"/>
      <c r="U951" s="250"/>
      <c r="V951" s="78">
        <f t="shared" si="141"/>
        <v>0</v>
      </c>
      <c r="W951" s="261">
        <f t="shared" si="142"/>
        <v>0</v>
      </c>
      <c r="X951" s="133">
        <f t="shared" si="143"/>
        <v>0</v>
      </c>
      <c r="Y951" s="251"/>
      <c r="Z951" s="1736"/>
      <c r="AA951" s="1737"/>
      <c r="AB951" s="77">
        <f t="shared" si="144"/>
        <v>0</v>
      </c>
      <c r="AC951" s="134">
        <f t="shared" si="145"/>
        <v>0</v>
      </c>
      <c r="AD951" s="251"/>
      <c r="AE951" s="1736"/>
      <c r="AF951" s="1737"/>
      <c r="AG951" s="77">
        <f t="shared" si="146"/>
        <v>0</v>
      </c>
      <c r="AH951" s="136">
        <f t="shared" si="147"/>
        <v>0</v>
      </c>
      <c r="AI951" s="251"/>
      <c r="AJ951" s="1736"/>
      <c r="AK951" s="1737"/>
      <c r="AL951" s="79">
        <f t="shared" si="148"/>
        <v>0</v>
      </c>
      <c r="AM951" s="137">
        <f t="shared" si="149"/>
        <v>0</v>
      </c>
      <c r="AN951" s="251"/>
      <c r="AO951" s="1736"/>
      <c r="AP951" s="1737"/>
    </row>
    <row r="952" spans="1:42" s="85" customFormat="1" ht="13.5" thickBot="1">
      <c r="A952" s="240"/>
      <c r="B952" s="241"/>
      <c r="C952" s="242"/>
      <c r="D952" s="242"/>
      <c r="E952" s="243"/>
      <c r="F952" s="244"/>
      <c r="G952" s="244"/>
      <c r="H952" s="243"/>
      <c r="I952" s="258"/>
      <c r="J952" s="245"/>
      <c r="K952" s="245"/>
      <c r="L952" s="76">
        <f t="shared" si="140"/>
        <v>0</v>
      </c>
      <c r="M952" s="246"/>
      <c r="N952" s="247"/>
      <c r="O952" s="248"/>
      <c r="P952" s="246"/>
      <c r="Q952" s="249"/>
      <c r="R952" s="250"/>
      <c r="S952" s="259"/>
      <c r="T952" s="260"/>
      <c r="U952" s="250"/>
      <c r="V952" s="78">
        <f t="shared" si="141"/>
        <v>0</v>
      </c>
      <c r="W952" s="261">
        <f t="shared" si="142"/>
        <v>0</v>
      </c>
      <c r="X952" s="133">
        <f t="shared" si="143"/>
        <v>0</v>
      </c>
      <c r="Y952" s="251"/>
      <c r="Z952" s="1736"/>
      <c r="AA952" s="1737"/>
      <c r="AB952" s="77">
        <f t="shared" si="144"/>
        <v>0</v>
      </c>
      <c r="AC952" s="134">
        <f t="shared" si="145"/>
        <v>0</v>
      </c>
      <c r="AD952" s="251"/>
      <c r="AE952" s="1736"/>
      <c r="AF952" s="1737"/>
      <c r="AG952" s="77">
        <f t="shared" si="146"/>
        <v>0</v>
      </c>
      <c r="AH952" s="136">
        <f t="shared" si="147"/>
        <v>0</v>
      </c>
      <c r="AI952" s="251"/>
      <c r="AJ952" s="1736"/>
      <c r="AK952" s="1737"/>
      <c r="AL952" s="79">
        <f t="shared" si="148"/>
        <v>0</v>
      </c>
      <c r="AM952" s="137">
        <f t="shared" si="149"/>
        <v>0</v>
      </c>
      <c r="AN952" s="251"/>
      <c r="AO952" s="1736"/>
      <c r="AP952" s="1737"/>
    </row>
    <row r="953" spans="1:42" s="85" customFormat="1" ht="13.5" thickBot="1">
      <c r="A953" s="240"/>
      <c r="B953" s="241"/>
      <c r="C953" s="242"/>
      <c r="D953" s="242"/>
      <c r="E953" s="243"/>
      <c r="F953" s="244"/>
      <c r="G953" s="244"/>
      <c r="H953" s="243"/>
      <c r="I953" s="258"/>
      <c r="J953" s="245"/>
      <c r="K953" s="245"/>
      <c r="L953" s="76">
        <f t="shared" si="140"/>
        <v>0</v>
      </c>
      <c r="M953" s="246"/>
      <c r="N953" s="247"/>
      <c r="O953" s="248"/>
      <c r="P953" s="246"/>
      <c r="Q953" s="249"/>
      <c r="R953" s="250"/>
      <c r="S953" s="259"/>
      <c r="T953" s="260"/>
      <c r="U953" s="250"/>
      <c r="V953" s="78">
        <f t="shared" si="141"/>
        <v>0</v>
      </c>
      <c r="W953" s="261">
        <f t="shared" si="142"/>
        <v>0</v>
      </c>
      <c r="X953" s="133">
        <f t="shared" si="143"/>
        <v>0</v>
      </c>
      <c r="Y953" s="251"/>
      <c r="Z953" s="1736"/>
      <c r="AA953" s="1737"/>
      <c r="AB953" s="77">
        <f t="shared" si="144"/>
        <v>0</v>
      </c>
      <c r="AC953" s="134">
        <f t="shared" si="145"/>
        <v>0</v>
      </c>
      <c r="AD953" s="251"/>
      <c r="AE953" s="1736"/>
      <c r="AF953" s="1737"/>
      <c r="AG953" s="77">
        <f t="shared" si="146"/>
        <v>0</v>
      </c>
      <c r="AH953" s="136">
        <f t="shared" si="147"/>
        <v>0</v>
      </c>
      <c r="AI953" s="251"/>
      <c r="AJ953" s="1736"/>
      <c r="AK953" s="1737"/>
      <c r="AL953" s="79">
        <f t="shared" si="148"/>
        <v>0</v>
      </c>
      <c r="AM953" s="137">
        <f t="shared" si="149"/>
        <v>0</v>
      </c>
      <c r="AN953" s="251"/>
      <c r="AO953" s="1736"/>
      <c r="AP953" s="1737"/>
    </row>
    <row r="954" spans="1:42" s="85" customFormat="1" ht="13.5" thickBot="1">
      <c r="A954" s="240"/>
      <c r="B954" s="241"/>
      <c r="C954" s="242"/>
      <c r="D954" s="242"/>
      <c r="E954" s="243"/>
      <c r="F954" s="244"/>
      <c r="G954" s="244"/>
      <c r="H954" s="243"/>
      <c r="I954" s="258"/>
      <c r="J954" s="245"/>
      <c r="K954" s="245"/>
      <c r="L954" s="76">
        <f t="shared" si="140"/>
        <v>0</v>
      </c>
      <c r="M954" s="246"/>
      <c r="N954" s="247"/>
      <c r="O954" s="248"/>
      <c r="P954" s="246"/>
      <c r="Q954" s="249"/>
      <c r="R954" s="250"/>
      <c r="S954" s="259"/>
      <c r="T954" s="260"/>
      <c r="U954" s="250"/>
      <c r="V954" s="78">
        <f t="shared" si="141"/>
        <v>0</v>
      </c>
      <c r="W954" s="261">
        <f t="shared" si="142"/>
        <v>0</v>
      </c>
      <c r="X954" s="133">
        <f t="shared" si="143"/>
        <v>0</v>
      </c>
      <c r="Y954" s="251"/>
      <c r="Z954" s="1736"/>
      <c r="AA954" s="1737"/>
      <c r="AB954" s="77">
        <f t="shared" si="144"/>
        <v>0</v>
      </c>
      <c r="AC954" s="134">
        <f t="shared" si="145"/>
        <v>0</v>
      </c>
      <c r="AD954" s="251"/>
      <c r="AE954" s="1736"/>
      <c r="AF954" s="1737"/>
      <c r="AG954" s="77">
        <f t="shared" si="146"/>
        <v>0</v>
      </c>
      <c r="AH954" s="136">
        <f t="shared" si="147"/>
        <v>0</v>
      </c>
      <c r="AI954" s="251"/>
      <c r="AJ954" s="1736"/>
      <c r="AK954" s="1737"/>
      <c r="AL954" s="79">
        <f t="shared" si="148"/>
        <v>0</v>
      </c>
      <c r="AM954" s="137">
        <f t="shared" si="149"/>
        <v>0</v>
      </c>
      <c r="AN954" s="251"/>
      <c r="AO954" s="1736"/>
      <c r="AP954" s="1737"/>
    </row>
    <row r="955" spans="1:42" s="85" customFormat="1" ht="13.5" thickBot="1">
      <c r="A955" s="240"/>
      <c r="B955" s="241"/>
      <c r="C955" s="242"/>
      <c r="D955" s="242"/>
      <c r="E955" s="243"/>
      <c r="F955" s="244"/>
      <c r="G955" s="244"/>
      <c r="H955" s="243"/>
      <c r="I955" s="258"/>
      <c r="J955" s="245"/>
      <c r="K955" s="245"/>
      <c r="L955" s="76">
        <f t="shared" si="140"/>
        <v>0</v>
      </c>
      <c r="M955" s="246"/>
      <c r="N955" s="247"/>
      <c r="O955" s="248"/>
      <c r="P955" s="246"/>
      <c r="Q955" s="249"/>
      <c r="R955" s="250"/>
      <c r="S955" s="259"/>
      <c r="T955" s="260"/>
      <c r="U955" s="250"/>
      <c r="V955" s="78">
        <f t="shared" si="141"/>
        <v>0</v>
      </c>
      <c r="W955" s="261">
        <f t="shared" si="142"/>
        <v>0</v>
      </c>
      <c r="X955" s="133">
        <f t="shared" si="143"/>
        <v>0</v>
      </c>
      <c r="Y955" s="251"/>
      <c r="Z955" s="1736"/>
      <c r="AA955" s="1737"/>
      <c r="AB955" s="77">
        <f t="shared" si="144"/>
        <v>0</v>
      </c>
      <c r="AC955" s="134">
        <f t="shared" si="145"/>
        <v>0</v>
      </c>
      <c r="AD955" s="251"/>
      <c r="AE955" s="1736"/>
      <c r="AF955" s="1737"/>
      <c r="AG955" s="77">
        <f t="shared" si="146"/>
        <v>0</v>
      </c>
      <c r="AH955" s="136">
        <f t="shared" si="147"/>
        <v>0</v>
      </c>
      <c r="AI955" s="251"/>
      <c r="AJ955" s="1736"/>
      <c r="AK955" s="1737"/>
      <c r="AL955" s="79">
        <f t="shared" si="148"/>
        <v>0</v>
      </c>
      <c r="AM955" s="137">
        <f t="shared" si="149"/>
        <v>0</v>
      </c>
      <c r="AN955" s="251"/>
      <c r="AO955" s="1736"/>
      <c r="AP955" s="1737"/>
    </row>
    <row r="956" spans="1:42" s="85" customFormat="1" ht="13.5" thickBot="1">
      <c r="A956" s="240"/>
      <c r="B956" s="241"/>
      <c r="C956" s="242"/>
      <c r="D956" s="242"/>
      <c r="E956" s="243"/>
      <c r="F956" s="244"/>
      <c r="G956" s="244"/>
      <c r="H956" s="243"/>
      <c r="I956" s="258"/>
      <c r="J956" s="245"/>
      <c r="K956" s="245"/>
      <c r="L956" s="76">
        <f t="shared" si="140"/>
        <v>0</v>
      </c>
      <c r="M956" s="246"/>
      <c r="N956" s="247"/>
      <c r="O956" s="248"/>
      <c r="P956" s="246"/>
      <c r="Q956" s="249"/>
      <c r="R956" s="250"/>
      <c r="S956" s="259"/>
      <c r="T956" s="260"/>
      <c r="U956" s="250"/>
      <c r="V956" s="78">
        <f t="shared" si="141"/>
        <v>0</v>
      </c>
      <c r="W956" s="261">
        <f t="shared" si="142"/>
        <v>0</v>
      </c>
      <c r="X956" s="133">
        <f t="shared" si="143"/>
        <v>0</v>
      </c>
      <c r="Y956" s="251"/>
      <c r="Z956" s="1736"/>
      <c r="AA956" s="1737"/>
      <c r="AB956" s="77">
        <f t="shared" si="144"/>
        <v>0</v>
      </c>
      <c r="AC956" s="134">
        <f t="shared" si="145"/>
        <v>0</v>
      </c>
      <c r="AD956" s="251"/>
      <c r="AE956" s="1736"/>
      <c r="AF956" s="1737"/>
      <c r="AG956" s="77">
        <f t="shared" si="146"/>
        <v>0</v>
      </c>
      <c r="AH956" s="136">
        <f t="shared" si="147"/>
        <v>0</v>
      </c>
      <c r="AI956" s="251"/>
      <c r="AJ956" s="1736"/>
      <c r="AK956" s="1737"/>
      <c r="AL956" s="79">
        <f t="shared" si="148"/>
        <v>0</v>
      </c>
      <c r="AM956" s="137">
        <f t="shared" si="149"/>
        <v>0</v>
      </c>
      <c r="AN956" s="251"/>
      <c r="AO956" s="1736"/>
      <c r="AP956" s="1737"/>
    </row>
    <row r="957" spans="1:42" s="85" customFormat="1" ht="13.5" thickBot="1">
      <c r="A957" s="240"/>
      <c r="B957" s="241"/>
      <c r="C957" s="242"/>
      <c r="D957" s="242"/>
      <c r="E957" s="243"/>
      <c r="F957" s="244"/>
      <c r="G957" s="244"/>
      <c r="H957" s="243"/>
      <c r="I957" s="258"/>
      <c r="J957" s="245"/>
      <c r="K957" s="245"/>
      <c r="L957" s="76">
        <f t="shared" si="140"/>
        <v>0</v>
      </c>
      <c r="M957" s="246"/>
      <c r="N957" s="247"/>
      <c r="O957" s="248"/>
      <c r="P957" s="246"/>
      <c r="Q957" s="249"/>
      <c r="R957" s="250"/>
      <c r="S957" s="259"/>
      <c r="T957" s="260"/>
      <c r="U957" s="250"/>
      <c r="V957" s="78">
        <f t="shared" si="141"/>
        <v>0</v>
      </c>
      <c r="W957" s="261">
        <f t="shared" si="142"/>
        <v>0</v>
      </c>
      <c r="X957" s="133">
        <f t="shared" si="143"/>
        <v>0</v>
      </c>
      <c r="Y957" s="251"/>
      <c r="Z957" s="1736"/>
      <c r="AA957" s="1737"/>
      <c r="AB957" s="77">
        <f t="shared" si="144"/>
        <v>0</v>
      </c>
      <c r="AC957" s="134">
        <f t="shared" si="145"/>
        <v>0</v>
      </c>
      <c r="AD957" s="251"/>
      <c r="AE957" s="1736"/>
      <c r="AF957" s="1737"/>
      <c r="AG957" s="77">
        <f t="shared" si="146"/>
        <v>0</v>
      </c>
      <c r="AH957" s="136">
        <f t="shared" si="147"/>
        <v>0</v>
      </c>
      <c r="AI957" s="251"/>
      <c r="AJ957" s="1736"/>
      <c r="AK957" s="1737"/>
      <c r="AL957" s="79">
        <f t="shared" si="148"/>
        <v>0</v>
      </c>
      <c r="AM957" s="137">
        <f t="shared" si="149"/>
        <v>0</v>
      </c>
      <c r="AN957" s="251"/>
      <c r="AO957" s="1736"/>
      <c r="AP957" s="1737"/>
    </row>
    <row r="958" spans="1:42" s="85" customFormat="1" ht="13.5" thickBot="1">
      <c r="A958" s="240"/>
      <c r="B958" s="241"/>
      <c r="C958" s="242"/>
      <c r="D958" s="242"/>
      <c r="E958" s="243"/>
      <c r="F958" s="244"/>
      <c r="G958" s="244"/>
      <c r="H958" s="243"/>
      <c r="I958" s="258"/>
      <c r="J958" s="245"/>
      <c r="K958" s="245"/>
      <c r="L958" s="76">
        <f t="shared" si="140"/>
        <v>0</v>
      </c>
      <c r="M958" s="246"/>
      <c r="N958" s="247"/>
      <c r="O958" s="248"/>
      <c r="P958" s="246"/>
      <c r="Q958" s="249"/>
      <c r="R958" s="250"/>
      <c r="S958" s="259"/>
      <c r="T958" s="260"/>
      <c r="U958" s="250"/>
      <c r="V958" s="78">
        <f t="shared" si="141"/>
        <v>0</v>
      </c>
      <c r="W958" s="261">
        <f t="shared" si="142"/>
        <v>0</v>
      </c>
      <c r="X958" s="133">
        <f t="shared" si="143"/>
        <v>0</v>
      </c>
      <c r="Y958" s="251"/>
      <c r="Z958" s="1736"/>
      <c r="AA958" s="1737"/>
      <c r="AB958" s="77">
        <f t="shared" si="144"/>
        <v>0</v>
      </c>
      <c r="AC958" s="134">
        <f t="shared" si="145"/>
        <v>0</v>
      </c>
      <c r="AD958" s="251"/>
      <c r="AE958" s="1736"/>
      <c r="AF958" s="1737"/>
      <c r="AG958" s="77">
        <f t="shared" si="146"/>
        <v>0</v>
      </c>
      <c r="AH958" s="136">
        <f t="shared" si="147"/>
        <v>0</v>
      </c>
      <c r="AI958" s="251"/>
      <c r="AJ958" s="1736"/>
      <c r="AK958" s="1737"/>
      <c r="AL958" s="79">
        <f t="shared" si="148"/>
        <v>0</v>
      </c>
      <c r="AM958" s="137">
        <f t="shared" si="149"/>
        <v>0</v>
      </c>
      <c r="AN958" s="251"/>
      <c r="AO958" s="1736"/>
      <c r="AP958" s="1737"/>
    </row>
    <row r="959" spans="1:42" s="85" customFormat="1" ht="13.5" thickBot="1">
      <c r="A959" s="240"/>
      <c r="B959" s="241"/>
      <c r="C959" s="242"/>
      <c r="D959" s="242"/>
      <c r="E959" s="243"/>
      <c r="F959" s="244"/>
      <c r="G959" s="244"/>
      <c r="H959" s="243"/>
      <c r="I959" s="258"/>
      <c r="J959" s="245"/>
      <c r="K959" s="245"/>
      <c r="L959" s="76">
        <f t="shared" si="140"/>
        <v>0</v>
      </c>
      <c r="M959" s="246"/>
      <c r="N959" s="247"/>
      <c r="O959" s="248"/>
      <c r="P959" s="246"/>
      <c r="Q959" s="249"/>
      <c r="R959" s="250"/>
      <c r="S959" s="259"/>
      <c r="T959" s="260"/>
      <c r="U959" s="250"/>
      <c r="V959" s="78">
        <f t="shared" si="141"/>
        <v>0</v>
      </c>
      <c r="W959" s="261">
        <f t="shared" si="142"/>
        <v>0</v>
      </c>
      <c r="X959" s="133">
        <f t="shared" si="143"/>
        <v>0</v>
      </c>
      <c r="Y959" s="251"/>
      <c r="Z959" s="1736"/>
      <c r="AA959" s="1737"/>
      <c r="AB959" s="77">
        <f t="shared" si="144"/>
        <v>0</v>
      </c>
      <c r="AC959" s="134">
        <f t="shared" si="145"/>
        <v>0</v>
      </c>
      <c r="AD959" s="251"/>
      <c r="AE959" s="1736"/>
      <c r="AF959" s="1737"/>
      <c r="AG959" s="77">
        <f t="shared" si="146"/>
        <v>0</v>
      </c>
      <c r="AH959" s="136">
        <f t="shared" si="147"/>
        <v>0</v>
      </c>
      <c r="AI959" s="251"/>
      <c r="AJ959" s="1736"/>
      <c r="AK959" s="1737"/>
      <c r="AL959" s="79">
        <f t="shared" si="148"/>
        <v>0</v>
      </c>
      <c r="AM959" s="137">
        <f t="shared" si="149"/>
        <v>0</v>
      </c>
      <c r="AN959" s="251"/>
      <c r="AO959" s="1736"/>
      <c r="AP959" s="1737"/>
    </row>
    <row r="960" spans="1:42" s="85" customFormat="1" ht="13.5" thickBot="1">
      <c r="A960" s="240"/>
      <c r="B960" s="241"/>
      <c r="C960" s="242"/>
      <c r="D960" s="242"/>
      <c r="E960" s="243"/>
      <c r="F960" s="244"/>
      <c r="G960" s="244"/>
      <c r="H960" s="243"/>
      <c r="I960" s="258"/>
      <c r="J960" s="245"/>
      <c r="K960" s="245"/>
      <c r="L960" s="76">
        <f t="shared" si="140"/>
        <v>0</v>
      </c>
      <c r="M960" s="246"/>
      <c r="N960" s="247"/>
      <c r="O960" s="248"/>
      <c r="P960" s="246"/>
      <c r="Q960" s="249"/>
      <c r="R960" s="250"/>
      <c r="S960" s="259"/>
      <c r="T960" s="260"/>
      <c r="U960" s="250"/>
      <c r="V960" s="78">
        <f t="shared" si="141"/>
        <v>0</v>
      </c>
      <c r="W960" s="261">
        <f t="shared" si="142"/>
        <v>0</v>
      </c>
      <c r="X960" s="133">
        <f t="shared" si="143"/>
        <v>0</v>
      </c>
      <c r="Y960" s="251"/>
      <c r="Z960" s="1736"/>
      <c r="AA960" s="1737"/>
      <c r="AB960" s="77">
        <f t="shared" si="144"/>
        <v>0</v>
      </c>
      <c r="AC960" s="134">
        <f t="shared" si="145"/>
        <v>0</v>
      </c>
      <c r="AD960" s="251"/>
      <c r="AE960" s="1736"/>
      <c r="AF960" s="1737"/>
      <c r="AG960" s="77">
        <f t="shared" si="146"/>
        <v>0</v>
      </c>
      <c r="AH960" s="136">
        <f t="shared" si="147"/>
        <v>0</v>
      </c>
      <c r="AI960" s="251"/>
      <c r="AJ960" s="1736"/>
      <c r="AK960" s="1737"/>
      <c r="AL960" s="79">
        <f t="shared" si="148"/>
        <v>0</v>
      </c>
      <c r="AM960" s="137">
        <f t="shared" si="149"/>
        <v>0</v>
      </c>
      <c r="AN960" s="251"/>
      <c r="AO960" s="1736"/>
      <c r="AP960" s="1737"/>
    </row>
    <row r="961" spans="1:42" s="85" customFormat="1" ht="13.5" thickBot="1">
      <c r="A961" s="240"/>
      <c r="B961" s="241"/>
      <c r="C961" s="242"/>
      <c r="D961" s="242"/>
      <c r="E961" s="243"/>
      <c r="F961" s="244"/>
      <c r="G961" s="244"/>
      <c r="H961" s="243"/>
      <c r="I961" s="258"/>
      <c r="J961" s="245"/>
      <c r="K961" s="245"/>
      <c r="L961" s="76">
        <f t="shared" si="140"/>
        <v>0</v>
      </c>
      <c r="M961" s="246"/>
      <c r="N961" s="247"/>
      <c r="O961" s="248"/>
      <c r="P961" s="246"/>
      <c r="Q961" s="249"/>
      <c r="R961" s="250"/>
      <c r="S961" s="259"/>
      <c r="T961" s="260"/>
      <c r="U961" s="250"/>
      <c r="V961" s="78">
        <f t="shared" si="141"/>
        <v>0</v>
      </c>
      <c r="W961" s="261">
        <f t="shared" si="142"/>
        <v>0</v>
      </c>
      <c r="X961" s="133">
        <f t="shared" si="143"/>
        <v>0</v>
      </c>
      <c r="Y961" s="251"/>
      <c r="Z961" s="1736"/>
      <c r="AA961" s="1737"/>
      <c r="AB961" s="77">
        <f t="shared" si="144"/>
        <v>0</v>
      </c>
      <c r="AC961" s="134">
        <f t="shared" si="145"/>
        <v>0</v>
      </c>
      <c r="AD961" s="251"/>
      <c r="AE961" s="1736"/>
      <c r="AF961" s="1737"/>
      <c r="AG961" s="77">
        <f t="shared" si="146"/>
        <v>0</v>
      </c>
      <c r="AH961" s="136">
        <f t="shared" si="147"/>
        <v>0</v>
      </c>
      <c r="AI961" s="251"/>
      <c r="AJ961" s="1736"/>
      <c r="AK961" s="1737"/>
      <c r="AL961" s="79">
        <f t="shared" si="148"/>
        <v>0</v>
      </c>
      <c r="AM961" s="137">
        <f t="shared" si="149"/>
        <v>0</v>
      </c>
      <c r="AN961" s="251"/>
      <c r="AO961" s="1736"/>
      <c r="AP961" s="1737"/>
    </row>
    <row r="962" spans="1:42" s="85" customFormat="1" ht="13.5" thickBot="1">
      <c r="A962" s="240"/>
      <c r="B962" s="241"/>
      <c r="C962" s="242"/>
      <c r="D962" s="242"/>
      <c r="E962" s="243"/>
      <c r="F962" s="244"/>
      <c r="G962" s="244"/>
      <c r="H962" s="243"/>
      <c r="I962" s="258"/>
      <c r="J962" s="245"/>
      <c r="K962" s="245"/>
      <c r="L962" s="76">
        <f t="shared" si="140"/>
        <v>0</v>
      </c>
      <c r="M962" s="246"/>
      <c r="N962" s="247"/>
      <c r="O962" s="248"/>
      <c r="P962" s="246"/>
      <c r="Q962" s="249"/>
      <c r="R962" s="250"/>
      <c r="S962" s="259"/>
      <c r="T962" s="260"/>
      <c r="U962" s="250"/>
      <c r="V962" s="78">
        <f t="shared" si="141"/>
        <v>0</v>
      </c>
      <c r="W962" s="261">
        <f t="shared" si="142"/>
        <v>0</v>
      </c>
      <c r="X962" s="133">
        <f t="shared" si="143"/>
        <v>0</v>
      </c>
      <c r="Y962" s="251"/>
      <c r="Z962" s="1736"/>
      <c r="AA962" s="1737"/>
      <c r="AB962" s="77">
        <f t="shared" si="144"/>
        <v>0</v>
      </c>
      <c r="AC962" s="134">
        <f t="shared" si="145"/>
        <v>0</v>
      </c>
      <c r="AD962" s="251"/>
      <c r="AE962" s="1736"/>
      <c r="AF962" s="1737"/>
      <c r="AG962" s="77">
        <f t="shared" si="146"/>
        <v>0</v>
      </c>
      <c r="AH962" s="136">
        <f t="shared" si="147"/>
        <v>0</v>
      </c>
      <c r="AI962" s="251"/>
      <c r="AJ962" s="1736"/>
      <c r="AK962" s="1737"/>
      <c r="AL962" s="79">
        <f t="shared" si="148"/>
        <v>0</v>
      </c>
      <c r="AM962" s="137">
        <f t="shared" si="149"/>
        <v>0</v>
      </c>
      <c r="AN962" s="251"/>
      <c r="AO962" s="1736"/>
      <c r="AP962" s="1737"/>
    </row>
    <row r="963" spans="1:42" s="85" customFormat="1" ht="13.5" thickBot="1">
      <c r="A963" s="240"/>
      <c r="B963" s="241"/>
      <c r="C963" s="242"/>
      <c r="D963" s="242"/>
      <c r="E963" s="243"/>
      <c r="F963" s="244"/>
      <c r="G963" s="244"/>
      <c r="H963" s="243"/>
      <c r="I963" s="258"/>
      <c r="J963" s="245"/>
      <c r="K963" s="245"/>
      <c r="L963" s="76">
        <f t="shared" si="140"/>
        <v>0</v>
      </c>
      <c r="M963" s="246"/>
      <c r="N963" s="247"/>
      <c r="O963" s="248"/>
      <c r="P963" s="246"/>
      <c r="Q963" s="249"/>
      <c r="R963" s="250"/>
      <c r="S963" s="259"/>
      <c r="T963" s="260"/>
      <c r="U963" s="250"/>
      <c r="V963" s="78">
        <f t="shared" si="141"/>
        <v>0</v>
      </c>
      <c r="W963" s="261">
        <f t="shared" si="142"/>
        <v>0</v>
      </c>
      <c r="X963" s="133">
        <f t="shared" si="143"/>
        <v>0</v>
      </c>
      <c r="Y963" s="251"/>
      <c r="Z963" s="1736"/>
      <c r="AA963" s="1737"/>
      <c r="AB963" s="77">
        <f t="shared" si="144"/>
        <v>0</v>
      </c>
      <c r="AC963" s="134">
        <f t="shared" si="145"/>
        <v>0</v>
      </c>
      <c r="AD963" s="251"/>
      <c r="AE963" s="1736"/>
      <c r="AF963" s="1737"/>
      <c r="AG963" s="77">
        <f t="shared" si="146"/>
        <v>0</v>
      </c>
      <c r="AH963" s="136">
        <f t="shared" si="147"/>
        <v>0</v>
      </c>
      <c r="AI963" s="251"/>
      <c r="AJ963" s="1736"/>
      <c r="AK963" s="1737"/>
      <c r="AL963" s="79">
        <f t="shared" si="148"/>
        <v>0</v>
      </c>
      <c r="AM963" s="137">
        <f t="shared" si="149"/>
        <v>0</v>
      </c>
      <c r="AN963" s="251"/>
      <c r="AO963" s="1736"/>
      <c r="AP963" s="1737"/>
    </row>
    <row r="964" spans="1:42" s="85" customFormat="1" ht="13.5" thickBot="1">
      <c r="A964" s="240"/>
      <c r="B964" s="241"/>
      <c r="C964" s="242"/>
      <c r="D964" s="242"/>
      <c r="E964" s="243"/>
      <c r="F964" s="244"/>
      <c r="G964" s="244"/>
      <c r="H964" s="243"/>
      <c r="I964" s="258"/>
      <c r="J964" s="245"/>
      <c r="K964" s="245"/>
      <c r="L964" s="76">
        <f t="shared" si="140"/>
        <v>0</v>
      </c>
      <c r="M964" s="246"/>
      <c r="N964" s="247"/>
      <c r="O964" s="248"/>
      <c r="P964" s="246"/>
      <c r="Q964" s="249"/>
      <c r="R964" s="250"/>
      <c r="S964" s="259"/>
      <c r="T964" s="260"/>
      <c r="U964" s="250"/>
      <c r="V964" s="78">
        <f t="shared" si="141"/>
        <v>0</v>
      </c>
      <c r="W964" s="261">
        <f t="shared" si="142"/>
        <v>0</v>
      </c>
      <c r="X964" s="133">
        <f t="shared" si="143"/>
        <v>0</v>
      </c>
      <c r="Y964" s="251"/>
      <c r="Z964" s="1736"/>
      <c r="AA964" s="1737"/>
      <c r="AB964" s="77">
        <f t="shared" si="144"/>
        <v>0</v>
      </c>
      <c r="AC964" s="134">
        <f t="shared" si="145"/>
        <v>0</v>
      </c>
      <c r="AD964" s="251"/>
      <c r="AE964" s="1736"/>
      <c r="AF964" s="1737"/>
      <c r="AG964" s="77">
        <f t="shared" si="146"/>
        <v>0</v>
      </c>
      <c r="AH964" s="136">
        <f t="shared" si="147"/>
        <v>0</v>
      </c>
      <c r="AI964" s="251"/>
      <c r="AJ964" s="1736"/>
      <c r="AK964" s="1737"/>
      <c r="AL964" s="79">
        <f t="shared" si="148"/>
        <v>0</v>
      </c>
      <c r="AM964" s="137">
        <f t="shared" si="149"/>
        <v>0</v>
      </c>
      <c r="AN964" s="251"/>
      <c r="AO964" s="1736"/>
      <c r="AP964" s="1737"/>
    </row>
    <row r="965" spans="1:42" s="85" customFormat="1" ht="13.5" thickBot="1">
      <c r="A965" s="240"/>
      <c r="B965" s="241"/>
      <c r="C965" s="242"/>
      <c r="D965" s="242"/>
      <c r="E965" s="243"/>
      <c r="F965" s="244"/>
      <c r="G965" s="244"/>
      <c r="H965" s="243"/>
      <c r="I965" s="258"/>
      <c r="J965" s="245"/>
      <c r="K965" s="245"/>
      <c r="L965" s="76">
        <f t="shared" si="140"/>
        <v>0</v>
      </c>
      <c r="M965" s="246"/>
      <c r="N965" s="247"/>
      <c r="O965" s="248"/>
      <c r="P965" s="246"/>
      <c r="Q965" s="249"/>
      <c r="R965" s="250"/>
      <c r="S965" s="259"/>
      <c r="T965" s="260"/>
      <c r="U965" s="250"/>
      <c r="V965" s="78">
        <f t="shared" si="141"/>
        <v>0</v>
      </c>
      <c r="W965" s="261">
        <f t="shared" si="142"/>
        <v>0</v>
      </c>
      <c r="X965" s="133">
        <f t="shared" si="143"/>
        <v>0</v>
      </c>
      <c r="Y965" s="251"/>
      <c r="Z965" s="1736"/>
      <c r="AA965" s="1737"/>
      <c r="AB965" s="77">
        <f t="shared" si="144"/>
        <v>0</v>
      </c>
      <c r="AC965" s="134">
        <f t="shared" si="145"/>
        <v>0</v>
      </c>
      <c r="AD965" s="251"/>
      <c r="AE965" s="1736"/>
      <c r="AF965" s="1737"/>
      <c r="AG965" s="77">
        <f t="shared" si="146"/>
        <v>0</v>
      </c>
      <c r="AH965" s="136">
        <f t="shared" si="147"/>
        <v>0</v>
      </c>
      <c r="AI965" s="251"/>
      <c r="AJ965" s="1736"/>
      <c r="AK965" s="1737"/>
      <c r="AL965" s="79">
        <f t="shared" si="148"/>
        <v>0</v>
      </c>
      <c r="AM965" s="137">
        <f t="shared" si="149"/>
        <v>0</v>
      </c>
      <c r="AN965" s="251"/>
      <c r="AO965" s="1736"/>
      <c r="AP965" s="1737"/>
    </row>
    <row r="966" spans="1:42" s="85" customFormat="1" ht="13.5" thickBot="1">
      <c r="A966" s="240"/>
      <c r="B966" s="241"/>
      <c r="C966" s="242"/>
      <c r="D966" s="242"/>
      <c r="E966" s="243"/>
      <c r="F966" s="244"/>
      <c r="G966" s="244"/>
      <c r="H966" s="243"/>
      <c r="I966" s="258"/>
      <c r="J966" s="245"/>
      <c r="K966" s="245"/>
      <c r="L966" s="76">
        <f t="shared" si="140"/>
        <v>0</v>
      </c>
      <c r="M966" s="246"/>
      <c r="N966" s="247"/>
      <c r="O966" s="248"/>
      <c r="P966" s="246"/>
      <c r="Q966" s="249"/>
      <c r="R966" s="250"/>
      <c r="S966" s="259"/>
      <c r="T966" s="260"/>
      <c r="U966" s="250"/>
      <c r="V966" s="78">
        <f t="shared" si="141"/>
        <v>0</v>
      </c>
      <c r="W966" s="261">
        <f t="shared" si="142"/>
        <v>0</v>
      </c>
      <c r="X966" s="133">
        <f t="shared" si="143"/>
        <v>0</v>
      </c>
      <c r="Y966" s="251"/>
      <c r="Z966" s="1736"/>
      <c r="AA966" s="1737"/>
      <c r="AB966" s="77">
        <f t="shared" si="144"/>
        <v>0</v>
      </c>
      <c r="AC966" s="134">
        <f t="shared" si="145"/>
        <v>0</v>
      </c>
      <c r="AD966" s="251"/>
      <c r="AE966" s="1736"/>
      <c r="AF966" s="1737"/>
      <c r="AG966" s="77">
        <f t="shared" si="146"/>
        <v>0</v>
      </c>
      <c r="AH966" s="136">
        <f t="shared" si="147"/>
        <v>0</v>
      </c>
      <c r="AI966" s="251"/>
      <c r="AJ966" s="1736"/>
      <c r="AK966" s="1737"/>
      <c r="AL966" s="79">
        <f t="shared" si="148"/>
        <v>0</v>
      </c>
      <c r="AM966" s="137">
        <f t="shared" si="149"/>
        <v>0</v>
      </c>
      <c r="AN966" s="251"/>
      <c r="AO966" s="1736"/>
      <c r="AP966" s="1737"/>
    </row>
    <row r="967" spans="1:42" s="85" customFormat="1" ht="13.5" thickBot="1">
      <c r="A967" s="240"/>
      <c r="B967" s="241"/>
      <c r="C967" s="242"/>
      <c r="D967" s="242"/>
      <c r="E967" s="243"/>
      <c r="F967" s="244"/>
      <c r="G967" s="244"/>
      <c r="H967" s="243"/>
      <c r="I967" s="258"/>
      <c r="J967" s="245"/>
      <c r="K967" s="245"/>
      <c r="L967" s="76">
        <f t="shared" si="140"/>
        <v>0</v>
      </c>
      <c r="M967" s="246"/>
      <c r="N967" s="247"/>
      <c r="O967" s="248"/>
      <c r="P967" s="246"/>
      <c r="Q967" s="249"/>
      <c r="R967" s="250"/>
      <c r="S967" s="259"/>
      <c r="T967" s="260"/>
      <c r="U967" s="250"/>
      <c r="V967" s="78">
        <f t="shared" si="141"/>
        <v>0</v>
      </c>
      <c r="W967" s="261">
        <f t="shared" si="142"/>
        <v>0</v>
      </c>
      <c r="X967" s="133">
        <f t="shared" si="143"/>
        <v>0</v>
      </c>
      <c r="Y967" s="251"/>
      <c r="Z967" s="1736"/>
      <c r="AA967" s="1737"/>
      <c r="AB967" s="77">
        <f t="shared" si="144"/>
        <v>0</v>
      </c>
      <c r="AC967" s="134">
        <f t="shared" si="145"/>
        <v>0</v>
      </c>
      <c r="AD967" s="251"/>
      <c r="AE967" s="1736"/>
      <c r="AF967" s="1737"/>
      <c r="AG967" s="77">
        <f t="shared" si="146"/>
        <v>0</v>
      </c>
      <c r="AH967" s="136">
        <f t="shared" si="147"/>
        <v>0</v>
      </c>
      <c r="AI967" s="251"/>
      <c r="AJ967" s="1736"/>
      <c r="AK967" s="1737"/>
      <c r="AL967" s="79">
        <f t="shared" si="148"/>
        <v>0</v>
      </c>
      <c r="AM967" s="137">
        <f t="shared" si="149"/>
        <v>0</v>
      </c>
      <c r="AN967" s="251"/>
      <c r="AO967" s="1736"/>
      <c r="AP967" s="1737"/>
    </row>
    <row r="968" spans="1:42" s="85" customFormat="1" ht="13.5" thickBot="1">
      <c r="A968" s="240"/>
      <c r="B968" s="241"/>
      <c r="C968" s="242"/>
      <c r="D968" s="242"/>
      <c r="E968" s="243"/>
      <c r="F968" s="244"/>
      <c r="G968" s="244"/>
      <c r="H968" s="243"/>
      <c r="I968" s="258"/>
      <c r="J968" s="245"/>
      <c r="K968" s="245"/>
      <c r="L968" s="76">
        <f t="shared" si="140"/>
        <v>0</v>
      </c>
      <c r="M968" s="246"/>
      <c r="N968" s="247"/>
      <c r="O968" s="248"/>
      <c r="P968" s="246"/>
      <c r="Q968" s="249"/>
      <c r="R968" s="250"/>
      <c r="S968" s="259"/>
      <c r="T968" s="260"/>
      <c r="U968" s="250"/>
      <c r="V968" s="78">
        <f t="shared" si="141"/>
        <v>0</v>
      </c>
      <c r="W968" s="261">
        <f t="shared" si="142"/>
        <v>0</v>
      </c>
      <c r="X968" s="133">
        <f t="shared" si="143"/>
        <v>0</v>
      </c>
      <c r="Y968" s="251"/>
      <c r="Z968" s="1736"/>
      <c r="AA968" s="1737"/>
      <c r="AB968" s="77">
        <f t="shared" si="144"/>
        <v>0</v>
      </c>
      <c r="AC968" s="134">
        <f t="shared" si="145"/>
        <v>0</v>
      </c>
      <c r="AD968" s="251"/>
      <c r="AE968" s="1736"/>
      <c r="AF968" s="1737"/>
      <c r="AG968" s="77">
        <f t="shared" si="146"/>
        <v>0</v>
      </c>
      <c r="AH968" s="136">
        <f t="shared" si="147"/>
        <v>0</v>
      </c>
      <c r="AI968" s="251"/>
      <c r="AJ968" s="1736"/>
      <c r="AK968" s="1737"/>
      <c r="AL968" s="79">
        <f t="shared" si="148"/>
        <v>0</v>
      </c>
      <c r="AM968" s="137">
        <f t="shared" si="149"/>
        <v>0</v>
      </c>
      <c r="AN968" s="251"/>
      <c r="AO968" s="1736"/>
      <c r="AP968" s="1737"/>
    </row>
    <row r="969" spans="1:42" s="85" customFormat="1" ht="13.5" thickBot="1">
      <c r="A969" s="240"/>
      <c r="B969" s="241"/>
      <c r="C969" s="242"/>
      <c r="D969" s="242"/>
      <c r="E969" s="243"/>
      <c r="F969" s="244"/>
      <c r="G969" s="244"/>
      <c r="H969" s="243"/>
      <c r="I969" s="258"/>
      <c r="J969" s="245"/>
      <c r="K969" s="245"/>
      <c r="L969" s="76">
        <f t="shared" si="140"/>
        <v>0</v>
      </c>
      <c r="M969" s="246"/>
      <c r="N969" s="247"/>
      <c r="O969" s="248"/>
      <c r="P969" s="246"/>
      <c r="Q969" s="249"/>
      <c r="R969" s="250"/>
      <c r="S969" s="259"/>
      <c r="T969" s="260"/>
      <c r="U969" s="250"/>
      <c r="V969" s="78">
        <f t="shared" si="141"/>
        <v>0</v>
      </c>
      <c r="W969" s="261">
        <f t="shared" si="142"/>
        <v>0</v>
      </c>
      <c r="X969" s="133">
        <f t="shared" si="143"/>
        <v>0</v>
      </c>
      <c r="Y969" s="251"/>
      <c r="Z969" s="1736"/>
      <c r="AA969" s="1737"/>
      <c r="AB969" s="77">
        <f t="shared" si="144"/>
        <v>0</v>
      </c>
      <c r="AC969" s="134">
        <f t="shared" si="145"/>
        <v>0</v>
      </c>
      <c r="AD969" s="251"/>
      <c r="AE969" s="1736"/>
      <c r="AF969" s="1737"/>
      <c r="AG969" s="77">
        <f t="shared" si="146"/>
        <v>0</v>
      </c>
      <c r="AH969" s="136">
        <f t="shared" si="147"/>
        <v>0</v>
      </c>
      <c r="AI969" s="251"/>
      <c r="AJ969" s="1736"/>
      <c r="AK969" s="1737"/>
      <c r="AL969" s="79">
        <f t="shared" si="148"/>
        <v>0</v>
      </c>
      <c r="AM969" s="137">
        <f t="shared" si="149"/>
        <v>0</v>
      </c>
      <c r="AN969" s="251"/>
      <c r="AO969" s="1736"/>
      <c r="AP969" s="1737"/>
    </row>
    <row r="970" spans="1:42" s="85" customFormat="1" ht="13.5" thickBot="1">
      <c r="A970" s="240"/>
      <c r="B970" s="241"/>
      <c r="C970" s="242"/>
      <c r="D970" s="242"/>
      <c r="E970" s="243"/>
      <c r="F970" s="244"/>
      <c r="G970" s="244"/>
      <c r="H970" s="243"/>
      <c r="I970" s="258"/>
      <c r="J970" s="245"/>
      <c r="K970" s="245"/>
      <c r="L970" s="76">
        <f t="shared" si="140"/>
        <v>0</v>
      </c>
      <c r="M970" s="246"/>
      <c r="N970" s="247"/>
      <c r="O970" s="248"/>
      <c r="P970" s="246"/>
      <c r="Q970" s="249"/>
      <c r="R970" s="250"/>
      <c r="S970" s="259"/>
      <c r="T970" s="260"/>
      <c r="U970" s="250"/>
      <c r="V970" s="78">
        <f t="shared" si="141"/>
        <v>0</v>
      </c>
      <c r="W970" s="261">
        <f t="shared" si="142"/>
        <v>0</v>
      </c>
      <c r="X970" s="133">
        <f t="shared" si="143"/>
        <v>0</v>
      </c>
      <c r="Y970" s="251"/>
      <c r="Z970" s="1736"/>
      <c r="AA970" s="1737"/>
      <c r="AB970" s="77">
        <f t="shared" si="144"/>
        <v>0</v>
      </c>
      <c r="AC970" s="134">
        <f t="shared" si="145"/>
        <v>0</v>
      </c>
      <c r="AD970" s="251"/>
      <c r="AE970" s="1736"/>
      <c r="AF970" s="1737"/>
      <c r="AG970" s="77">
        <f t="shared" si="146"/>
        <v>0</v>
      </c>
      <c r="AH970" s="136">
        <f t="shared" si="147"/>
        <v>0</v>
      </c>
      <c r="AI970" s="251"/>
      <c r="AJ970" s="1736"/>
      <c r="AK970" s="1737"/>
      <c r="AL970" s="79">
        <f t="shared" si="148"/>
        <v>0</v>
      </c>
      <c r="AM970" s="137">
        <f t="shared" si="149"/>
        <v>0</v>
      </c>
      <c r="AN970" s="251"/>
      <c r="AO970" s="1736"/>
      <c r="AP970" s="1737"/>
    </row>
    <row r="971" spans="1:42" s="85" customFormat="1" ht="13.5" thickBot="1">
      <c r="A971" s="240"/>
      <c r="B971" s="241"/>
      <c r="C971" s="242"/>
      <c r="D971" s="242"/>
      <c r="E971" s="243"/>
      <c r="F971" s="244"/>
      <c r="G971" s="244"/>
      <c r="H971" s="243"/>
      <c r="I971" s="258"/>
      <c r="J971" s="245"/>
      <c r="K971" s="245"/>
      <c r="L971" s="76">
        <f t="shared" ref="L971:L1034" si="150">IF(I971=0,0,(K971+J971)/I971)</f>
        <v>0</v>
      </c>
      <c r="M971" s="246"/>
      <c r="N971" s="247"/>
      <c r="O971" s="248"/>
      <c r="P971" s="246"/>
      <c r="Q971" s="249"/>
      <c r="R971" s="250"/>
      <c r="S971" s="259"/>
      <c r="T971" s="260"/>
      <c r="U971" s="250"/>
      <c r="V971" s="78">
        <f t="shared" ref="V971:V1034" si="151">IF(U971=0,0,((U971*S971)-AB971-AL971))</f>
        <v>0</v>
      </c>
      <c r="W971" s="261">
        <f t="shared" ref="W971:W1034" si="152">+S971-I971</f>
        <v>0</v>
      </c>
      <c r="X971" s="133">
        <f t="shared" ref="X971:X1034" si="153">(V971-J971)</f>
        <v>0</v>
      </c>
      <c r="Y971" s="251"/>
      <c r="Z971" s="1736"/>
      <c r="AA971" s="1737"/>
      <c r="AB971" s="77">
        <f t="shared" ref="AB971:AB1034" si="154">(IF(I971=0,0,M971/H971))*S971</f>
        <v>0</v>
      </c>
      <c r="AC971" s="134">
        <f t="shared" ref="AC971:AC1034" si="155">+AB971-P971</f>
        <v>0</v>
      </c>
      <c r="AD971" s="251"/>
      <c r="AE971" s="1736"/>
      <c r="AF971" s="1737"/>
      <c r="AG971" s="77">
        <f t="shared" ref="AG971:AG1034" si="156">(IF(H971=0,0,N971/H971))*T971</f>
        <v>0</v>
      </c>
      <c r="AH971" s="136">
        <f t="shared" ref="AH971:AH1034" si="157">+AG971-Q971</f>
        <v>0</v>
      </c>
      <c r="AI971" s="251"/>
      <c r="AJ971" s="1736"/>
      <c r="AK971" s="1737"/>
      <c r="AL971" s="79">
        <f t="shared" ref="AL971:AL1034" si="158">+O971*S971</f>
        <v>0</v>
      </c>
      <c r="AM971" s="137">
        <f t="shared" ref="AM971:AM1034" si="159">+AL971-R971</f>
        <v>0</v>
      </c>
      <c r="AN971" s="251"/>
      <c r="AO971" s="1736"/>
      <c r="AP971" s="1737"/>
    </row>
    <row r="972" spans="1:42" s="85" customFormat="1" ht="13.5" thickBot="1">
      <c r="A972" s="240"/>
      <c r="B972" s="241"/>
      <c r="C972" s="242"/>
      <c r="D972" s="242"/>
      <c r="E972" s="243"/>
      <c r="F972" s="244"/>
      <c r="G972" s="244"/>
      <c r="H972" s="243"/>
      <c r="I972" s="258"/>
      <c r="J972" s="245"/>
      <c r="K972" s="245"/>
      <c r="L972" s="76">
        <f t="shared" si="150"/>
        <v>0</v>
      </c>
      <c r="M972" s="246"/>
      <c r="N972" s="247"/>
      <c r="O972" s="248"/>
      <c r="P972" s="246"/>
      <c r="Q972" s="249"/>
      <c r="R972" s="250"/>
      <c r="S972" s="259"/>
      <c r="T972" s="260"/>
      <c r="U972" s="250"/>
      <c r="V972" s="78">
        <f t="shared" si="151"/>
        <v>0</v>
      </c>
      <c r="W972" s="261">
        <f t="shared" si="152"/>
        <v>0</v>
      </c>
      <c r="X972" s="133">
        <f t="shared" si="153"/>
        <v>0</v>
      </c>
      <c r="Y972" s="251"/>
      <c r="Z972" s="1736"/>
      <c r="AA972" s="1737"/>
      <c r="AB972" s="77">
        <f t="shared" si="154"/>
        <v>0</v>
      </c>
      <c r="AC972" s="134">
        <f t="shared" si="155"/>
        <v>0</v>
      </c>
      <c r="AD972" s="251"/>
      <c r="AE972" s="1736"/>
      <c r="AF972" s="1737"/>
      <c r="AG972" s="77">
        <f t="shared" si="156"/>
        <v>0</v>
      </c>
      <c r="AH972" s="136">
        <f t="shared" si="157"/>
        <v>0</v>
      </c>
      <c r="AI972" s="251"/>
      <c r="AJ972" s="1736"/>
      <c r="AK972" s="1737"/>
      <c r="AL972" s="79">
        <f t="shared" si="158"/>
        <v>0</v>
      </c>
      <c r="AM972" s="137">
        <f t="shared" si="159"/>
        <v>0</v>
      </c>
      <c r="AN972" s="251"/>
      <c r="AO972" s="1736"/>
      <c r="AP972" s="1737"/>
    </row>
    <row r="973" spans="1:42" s="85" customFormat="1" ht="13.5" thickBot="1">
      <c r="A973" s="240"/>
      <c r="B973" s="241"/>
      <c r="C973" s="242"/>
      <c r="D973" s="242"/>
      <c r="E973" s="243"/>
      <c r="F973" s="244"/>
      <c r="G973" s="244"/>
      <c r="H973" s="243"/>
      <c r="I973" s="258"/>
      <c r="J973" s="245"/>
      <c r="K973" s="245"/>
      <c r="L973" s="76">
        <f t="shared" si="150"/>
        <v>0</v>
      </c>
      <c r="M973" s="246"/>
      <c r="N973" s="247"/>
      <c r="O973" s="248"/>
      <c r="P973" s="246"/>
      <c r="Q973" s="249"/>
      <c r="R973" s="250"/>
      <c r="S973" s="259"/>
      <c r="T973" s="260"/>
      <c r="U973" s="250"/>
      <c r="V973" s="78">
        <f t="shared" si="151"/>
        <v>0</v>
      </c>
      <c r="W973" s="261">
        <f t="shared" si="152"/>
        <v>0</v>
      </c>
      <c r="X973" s="133">
        <f t="shared" si="153"/>
        <v>0</v>
      </c>
      <c r="Y973" s="251"/>
      <c r="Z973" s="1736"/>
      <c r="AA973" s="1737"/>
      <c r="AB973" s="77">
        <f t="shared" si="154"/>
        <v>0</v>
      </c>
      <c r="AC973" s="134">
        <f t="shared" si="155"/>
        <v>0</v>
      </c>
      <c r="AD973" s="251"/>
      <c r="AE973" s="1736"/>
      <c r="AF973" s="1737"/>
      <c r="AG973" s="77">
        <f t="shared" si="156"/>
        <v>0</v>
      </c>
      <c r="AH973" s="136">
        <f t="shared" si="157"/>
        <v>0</v>
      </c>
      <c r="AI973" s="251"/>
      <c r="AJ973" s="1736"/>
      <c r="AK973" s="1737"/>
      <c r="AL973" s="79">
        <f t="shared" si="158"/>
        <v>0</v>
      </c>
      <c r="AM973" s="137">
        <f t="shared" si="159"/>
        <v>0</v>
      </c>
      <c r="AN973" s="251"/>
      <c r="AO973" s="1736"/>
      <c r="AP973" s="1737"/>
    </row>
    <row r="974" spans="1:42" s="85" customFormat="1" ht="13.5" thickBot="1">
      <c r="A974" s="240"/>
      <c r="B974" s="241"/>
      <c r="C974" s="242"/>
      <c r="D974" s="242"/>
      <c r="E974" s="243"/>
      <c r="F974" s="244"/>
      <c r="G974" s="244"/>
      <c r="H974" s="243"/>
      <c r="I974" s="258"/>
      <c r="J974" s="245"/>
      <c r="K974" s="245"/>
      <c r="L974" s="76">
        <f t="shared" si="150"/>
        <v>0</v>
      </c>
      <c r="M974" s="246"/>
      <c r="N974" s="247"/>
      <c r="O974" s="248"/>
      <c r="P974" s="246"/>
      <c r="Q974" s="249"/>
      <c r="R974" s="250"/>
      <c r="S974" s="259"/>
      <c r="T974" s="260"/>
      <c r="U974" s="250"/>
      <c r="V974" s="78">
        <f t="shared" si="151"/>
        <v>0</v>
      </c>
      <c r="W974" s="261">
        <f t="shared" si="152"/>
        <v>0</v>
      </c>
      <c r="X974" s="133">
        <f t="shared" si="153"/>
        <v>0</v>
      </c>
      <c r="Y974" s="251"/>
      <c r="Z974" s="1736"/>
      <c r="AA974" s="1737"/>
      <c r="AB974" s="77">
        <f t="shared" si="154"/>
        <v>0</v>
      </c>
      <c r="AC974" s="134">
        <f t="shared" si="155"/>
        <v>0</v>
      </c>
      <c r="AD974" s="251"/>
      <c r="AE974" s="1736"/>
      <c r="AF974" s="1737"/>
      <c r="AG974" s="77">
        <f t="shared" si="156"/>
        <v>0</v>
      </c>
      <c r="AH974" s="136">
        <f t="shared" si="157"/>
        <v>0</v>
      </c>
      <c r="AI974" s="251"/>
      <c r="AJ974" s="1736"/>
      <c r="AK974" s="1737"/>
      <c r="AL974" s="79">
        <f t="shared" si="158"/>
        <v>0</v>
      </c>
      <c r="AM974" s="137">
        <f t="shared" si="159"/>
        <v>0</v>
      </c>
      <c r="AN974" s="251"/>
      <c r="AO974" s="1736"/>
      <c r="AP974" s="1737"/>
    </row>
    <row r="975" spans="1:42" s="85" customFormat="1" ht="13.5" thickBot="1">
      <c r="A975" s="240"/>
      <c r="B975" s="241"/>
      <c r="C975" s="242"/>
      <c r="D975" s="242"/>
      <c r="E975" s="243"/>
      <c r="F975" s="244"/>
      <c r="G975" s="244"/>
      <c r="H975" s="243"/>
      <c r="I975" s="258"/>
      <c r="J975" s="245"/>
      <c r="K975" s="245"/>
      <c r="L975" s="76">
        <f t="shared" si="150"/>
        <v>0</v>
      </c>
      <c r="M975" s="246"/>
      <c r="N975" s="247"/>
      <c r="O975" s="248"/>
      <c r="P975" s="246"/>
      <c r="Q975" s="249"/>
      <c r="R975" s="250"/>
      <c r="S975" s="259"/>
      <c r="T975" s="260"/>
      <c r="U975" s="250"/>
      <c r="V975" s="78">
        <f t="shared" si="151"/>
        <v>0</v>
      </c>
      <c r="W975" s="261">
        <f t="shared" si="152"/>
        <v>0</v>
      </c>
      <c r="X975" s="133">
        <f t="shared" si="153"/>
        <v>0</v>
      </c>
      <c r="Y975" s="251"/>
      <c r="Z975" s="1736"/>
      <c r="AA975" s="1737"/>
      <c r="AB975" s="77">
        <f t="shared" si="154"/>
        <v>0</v>
      </c>
      <c r="AC975" s="134">
        <f t="shared" si="155"/>
        <v>0</v>
      </c>
      <c r="AD975" s="251"/>
      <c r="AE975" s="1736"/>
      <c r="AF975" s="1737"/>
      <c r="AG975" s="77">
        <f t="shared" si="156"/>
        <v>0</v>
      </c>
      <c r="AH975" s="136">
        <f t="shared" si="157"/>
        <v>0</v>
      </c>
      <c r="AI975" s="251"/>
      <c r="AJ975" s="1736"/>
      <c r="AK975" s="1737"/>
      <c r="AL975" s="79">
        <f t="shared" si="158"/>
        <v>0</v>
      </c>
      <c r="AM975" s="137">
        <f t="shared" si="159"/>
        <v>0</v>
      </c>
      <c r="AN975" s="251"/>
      <c r="AO975" s="1736"/>
      <c r="AP975" s="1737"/>
    </row>
    <row r="976" spans="1:42" s="85" customFormat="1" ht="13.5" thickBot="1">
      <c r="A976" s="240"/>
      <c r="B976" s="241"/>
      <c r="C976" s="242"/>
      <c r="D976" s="242"/>
      <c r="E976" s="243"/>
      <c r="F976" s="244"/>
      <c r="G976" s="244"/>
      <c r="H976" s="243"/>
      <c r="I976" s="258"/>
      <c r="J976" s="245"/>
      <c r="K976" s="245"/>
      <c r="L976" s="76">
        <f t="shared" si="150"/>
        <v>0</v>
      </c>
      <c r="M976" s="246"/>
      <c r="N976" s="247"/>
      <c r="O976" s="248"/>
      <c r="P976" s="246"/>
      <c r="Q976" s="249"/>
      <c r="R976" s="250"/>
      <c r="S976" s="259"/>
      <c r="T976" s="260"/>
      <c r="U976" s="250"/>
      <c r="V976" s="78">
        <f t="shared" si="151"/>
        <v>0</v>
      </c>
      <c r="W976" s="261">
        <f t="shared" si="152"/>
        <v>0</v>
      </c>
      <c r="X976" s="133">
        <f t="shared" si="153"/>
        <v>0</v>
      </c>
      <c r="Y976" s="251"/>
      <c r="Z976" s="1736"/>
      <c r="AA976" s="1737"/>
      <c r="AB976" s="77">
        <f t="shared" si="154"/>
        <v>0</v>
      </c>
      <c r="AC976" s="134">
        <f t="shared" si="155"/>
        <v>0</v>
      </c>
      <c r="AD976" s="251"/>
      <c r="AE976" s="1736"/>
      <c r="AF976" s="1737"/>
      <c r="AG976" s="77">
        <f t="shared" si="156"/>
        <v>0</v>
      </c>
      <c r="AH976" s="136">
        <f t="shared" si="157"/>
        <v>0</v>
      </c>
      <c r="AI976" s="251"/>
      <c r="AJ976" s="1736"/>
      <c r="AK976" s="1737"/>
      <c r="AL976" s="79">
        <f t="shared" si="158"/>
        <v>0</v>
      </c>
      <c r="AM976" s="137">
        <f t="shared" si="159"/>
        <v>0</v>
      </c>
      <c r="AN976" s="251"/>
      <c r="AO976" s="1736"/>
      <c r="AP976" s="1737"/>
    </row>
    <row r="977" spans="1:42" s="85" customFormat="1" ht="13.5" thickBot="1">
      <c r="A977" s="240"/>
      <c r="B977" s="241"/>
      <c r="C977" s="242"/>
      <c r="D977" s="242"/>
      <c r="E977" s="243"/>
      <c r="F977" s="244"/>
      <c r="G977" s="244"/>
      <c r="H977" s="243"/>
      <c r="I977" s="258"/>
      <c r="J977" s="245"/>
      <c r="K977" s="245"/>
      <c r="L977" s="76">
        <f t="shared" si="150"/>
        <v>0</v>
      </c>
      <c r="M977" s="246"/>
      <c r="N977" s="247"/>
      <c r="O977" s="248"/>
      <c r="P977" s="246"/>
      <c r="Q977" s="249"/>
      <c r="R977" s="250"/>
      <c r="S977" s="259"/>
      <c r="T977" s="260"/>
      <c r="U977" s="250"/>
      <c r="V977" s="78">
        <f t="shared" si="151"/>
        <v>0</v>
      </c>
      <c r="W977" s="261">
        <f t="shared" si="152"/>
        <v>0</v>
      </c>
      <c r="X977" s="133">
        <f t="shared" si="153"/>
        <v>0</v>
      </c>
      <c r="Y977" s="251"/>
      <c r="Z977" s="1736"/>
      <c r="AA977" s="1737"/>
      <c r="AB977" s="77">
        <f t="shared" si="154"/>
        <v>0</v>
      </c>
      <c r="AC977" s="134">
        <f t="shared" si="155"/>
        <v>0</v>
      </c>
      <c r="AD977" s="251"/>
      <c r="AE977" s="1736"/>
      <c r="AF977" s="1737"/>
      <c r="AG977" s="77">
        <f t="shared" si="156"/>
        <v>0</v>
      </c>
      <c r="AH977" s="136">
        <f t="shared" si="157"/>
        <v>0</v>
      </c>
      <c r="AI977" s="251"/>
      <c r="AJ977" s="1736"/>
      <c r="AK977" s="1737"/>
      <c r="AL977" s="79">
        <f t="shared" si="158"/>
        <v>0</v>
      </c>
      <c r="AM977" s="137">
        <f t="shared" si="159"/>
        <v>0</v>
      </c>
      <c r="AN977" s="251"/>
      <c r="AO977" s="1736"/>
      <c r="AP977" s="1737"/>
    </row>
    <row r="978" spans="1:42" s="85" customFormat="1" ht="13.5" thickBot="1">
      <c r="A978" s="240"/>
      <c r="B978" s="241"/>
      <c r="C978" s="242"/>
      <c r="D978" s="242"/>
      <c r="E978" s="243"/>
      <c r="F978" s="244"/>
      <c r="G978" s="244"/>
      <c r="H978" s="243"/>
      <c r="I978" s="258"/>
      <c r="J978" s="245"/>
      <c r="K978" s="245"/>
      <c r="L978" s="76">
        <f t="shared" si="150"/>
        <v>0</v>
      </c>
      <c r="M978" s="246"/>
      <c r="N978" s="247"/>
      <c r="O978" s="248"/>
      <c r="P978" s="246"/>
      <c r="Q978" s="249"/>
      <c r="R978" s="250"/>
      <c r="S978" s="259"/>
      <c r="T978" s="260"/>
      <c r="U978" s="250"/>
      <c r="V978" s="78">
        <f t="shared" si="151"/>
        <v>0</v>
      </c>
      <c r="W978" s="261">
        <f t="shared" si="152"/>
        <v>0</v>
      </c>
      <c r="X978" s="133">
        <f t="shared" si="153"/>
        <v>0</v>
      </c>
      <c r="Y978" s="251"/>
      <c r="Z978" s="1736"/>
      <c r="AA978" s="1737"/>
      <c r="AB978" s="77">
        <f t="shared" si="154"/>
        <v>0</v>
      </c>
      <c r="AC978" s="134">
        <f t="shared" si="155"/>
        <v>0</v>
      </c>
      <c r="AD978" s="251"/>
      <c r="AE978" s="1736"/>
      <c r="AF978" s="1737"/>
      <c r="AG978" s="77">
        <f t="shared" si="156"/>
        <v>0</v>
      </c>
      <c r="AH978" s="136">
        <f t="shared" si="157"/>
        <v>0</v>
      </c>
      <c r="AI978" s="251"/>
      <c r="AJ978" s="1736"/>
      <c r="AK978" s="1737"/>
      <c r="AL978" s="79">
        <f t="shared" si="158"/>
        <v>0</v>
      </c>
      <c r="AM978" s="137">
        <f t="shared" si="159"/>
        <v>0</v>
      </c>
      <c r="AN978" s="251"/>
      <c r="AO978" s="1736"/>
      <c r="AP978" s="1737"/>
    </row>
    <row r="979" spans="1:42" s="85" customFormat="1" ht="13.5" thickBot="1">
      <c r="A979" s="240"/>
      <c r="B979" s="241"/>
      <c r="C979" s="242"/>
      <c r="D979" s="242"/>
      <c r="E979" s="243"/>
      <c r="F979" s="244"/>
      <c r="G979" s="244"/>
      <c r="H979" s="243"/>
      <c r="I979" s="258"/>
      <c r="J979" s="245"/>
      <c r="K979" s="245"/>
      <c r="L979" s="76">
        <f t="shared" si="150"/>
        <v>0</v>
      </c>
      <c r="M979" s="246"/>
      <c r="N979" s="247"/>
      <c r="O979" s="248"/>
      <c r="P979" s="246"/>
      <c r="Q979" s="249"/>
      <c r="R979" s="250"/>
      <c r="S979" s="259"/>
      <c r="T979" s="260"/>
      <c r="U979" s="250"/>
      <c r="V979" s="78">
        <f t="shared" si="151"/>
        <v>0</v>
      </c>
      <c r="W979" s="261">
        <f t="shared" si="152"/>
        <v>0</v>
      </c>
      <c r="X979" s="133">
        <f t="shared" si="153"/>
        <v>0</v>
      </c>
      <c r="Y979" s="251"/>
      <c r="Z979" s="1736"/>
      <c r="AA979" s="1737"/>
      <c r="AB979" s="77">
        <f t="shared" si="154"/>
        <v>0</v>
      </c>
      <c r="AC979" s="134">
        <f t="shared" si="155"/>
        <v>0</v>
      </c>
      <c r="AD979" s="251"/>
      <c r="AE979" s="1736"/>
      <c r="AF979" s="1737"/>
      <c r="AG979" s="77">
        <f t="shared" si="156"/>
        <v>0</v>
      </c>
      <c r="AH979" s="136">
        <f t="shared" si="157"/>
        <v>0</v>
      </c>
      <c r="AI979" s="251"/>
      <c r="AJ979" s="1736"/>
      <c r="AK979" s="1737"/>
      <c r="AL979" s="79">
        <f t="shared" si="158"/>
        <v>0</v>
      </c>
      <c r="AM979" s="137">
        <f t="shared" si="159"/>
        <v>0</v>
      </c>
      <c r="AN979" s="251"/>
      <c r="AO979" s="1736"/>
      <c r="AP979" s="1737"/>
    </row>
    <row r="980" spans="1:42" s="85" customFormat="1" ht="13.5" thickBot="1">
      <c r="A980" s="240"/>
      <c r="B980" s="241"/>
      <c r="C980" s="242"/>
      <c r="D980" s="242"/>
      <c r="E980" s="243"/>
      <c r="F980" s="244"/>
      <c r="G980" s="244"/>
      <c r="H980" s="243"/>
      <c r="I980" s="258"/>
      <c r="J980" s="245"/>
      <c r="K980" s="245"/>
      <c r="L980" s="76">
        <f t="shared" si="150"/>
        <v>0</v>
      </c>
      <c r="M980" s="246"/>
      <c r="N980" s="247"/>
      <c r="O980" s="248"/>
      <c r="P980" s="246"/>
      <c r="Q980" s="249"/>
      <c r="R980" s="250"/>
      <c r="S980" s="259"/>
      <c r="T980" s="260"/>
      <c r="U980" s="250"/>
      <c r="V980" s="78">
        <f t="shared" si="151"/>
        <v>0</v>
      </c>
      <c r="W980" s="261">
        <f t="shared" si="152"/>
        <v>0</v>
      </c>
      <c r="X980" s="133">
        <f t="shared" si="153"/>
        <v>0</v>
      </c>
      <c r="Y980" s="251"/>
      <c r="Z980" s="1736"/>
      <c r="AA980" s="1737"/>
      <c r="AB980" s="77">
        <f t="shared" si="154"/>
        <v>0</v>
      </c>
      <c r="AC980" s="134">
        <f t="shared" si="155"/>
        <v>0</v>
      </c>
      <c r="AD980" s="251"/>
      <c r="AE980" s="1736"/>
      <c r="AF980" s="1737"/>
      <c r="AG980" s="77">
        <f t="shared" si="156"/>
        <v>0</v>
      </c>
      <c r="AH980" s="136">
        <f t="shared" si="157"/>
        <v>0</v>
      </c>
      <c r="AI980" s="251"/>
      <c r="AJ980" s="1736"/>
      <c r="AK980" s="1737"/>
      <c r="AL980" s="79">
        <f t="shared" si="158"/>
        <v>0</v>
      </c>
      <c r="AM980" s="137">
        <f t="shared" si="159"/>
        <v>0</v>
      </c>
      <c r="AN980" s="251"/>
      <c r="AO980" s="1736"/>
      <c r="AP980" s="1737"/>
    </row>
    <row r="981" spans="1:42" s="85" customFormat="1" ht="13.5" thickBot="1">
      <c r="A981" s="240"/>
      <c r="B981" s="241"/>
      <c r="C981" s="242"/>
      <c r="D981" s="242"/>
      <c r="E981" s="243"/>
      <c r="F981" s="244"/>
      <c r="G981" s="244"/>
      <c r="H981" s="243"/>
      <c r="I981" s="258"/>
      <c r="J981" s="245"/>
      <c r="K981" s="245"/>
      <c r="L981" s="76">
        <f t="shared" si="150"/>
        <v>0</v>
      </c>
      <c r="M981" s="246"/>
      <c r="N981" s="247"/>
      <c r="O981" s="248"/>
      <c r="P981" s="246"/>
      <c r="Q981" s="249"/>
      <c r="R981" s="250"/>
      <c r="S981" s="259"/>
      <c r="T981" s="260"/>
      <c r="U981" s="250"/>
      <c r="V981" s="78">
        <f t="shared" si="151"/>
        <v>0</v>
      </c>
      <c r="W981" s="261">
        <f t="shared" si="152"/>
        <v>0</v>
      </c>
      <c r="X981" s="133">
        <f t="shared" si="153"/>
        <v>0</v>
      </c>
      <c r="Y981" s="251"/>
      <c r="Z981" s="1736"/>
      <c r="AA981" s="1737"/>
      <c r="AB981" s="77">
        <f t="shared" si="154"/>
        <v>0</v>
      </c>
      <c r="AC981" s="134">
        <f t="shared" si="155"/>
        <v>0</v>
      </c>
      <c r="AD981" s="251"/>
      <c r="AE981" s="1736"/>
      <c r="AF981" s="1737"/>
      <c r="AG981" s="77">
        <f t="shared" si="156"/>
        <v>0</v>
      </c>
      <c r="AH981" s="136">
        <f t="shared" si="157"/>
        <v>0</v>
      </c>
      <c r="AI981" s="251"/>
      <c r="AJ981" s="1736"/>
      <c r="AK981" s="1737"/>
      <c r="AL981" s="79">
        <f t="shared" si="158"/>
        <v>0</v>
      </c>
      <c r="AM981" s="137">
        <f t="shared" si="159"/>
        <v>0</v>
      </c>
      <c r="AN981" s="251"/>
      <c r="AO981" s="1736"/>
      <c r="AP981" s="1737"/>
    </row>
    <row r="982" spans="1:42" s="85" customFormat="1" ht="13.5" thickBot="1">
      <c r="A982" s="240"/>
      <c r="B982" s="241"/>
      <c r="C982" s="242"/>
      <c r="D982" s="242"/>
      <c r="E982" s="243"/>
      <c r="F982" s="244"/>
      <c r="G982" s="244"/>
      <c r="H982" s="243"/>
      <c r="I982" s="258"/>
      <c r="J982" s="245"/>
      <c r="K982" s="245"/>
      <c r="L982" s="76">
        <f t="shared" si="150"/>
        <v>0</v>
      </c>
      <c r="M982" s="246"/>
      <c r="N982" s="247"/>
      <c r="O982" s="248"/>
      <c r="P982" s="246"/>
      <c r="Q982" s="249"/>
      <c r="R982" s="250"/>
      <c r="S982" s="259"/>
      <c r="T982" s="260"/>
      <c r="U982" s="250"/>
      <c r="V982" s="78">
        <f t="shared" si="151"/>
        <v>0</v>
      </c>
      <c r="W982" s="261">
        <f t="shared" si="152"/>
        <v>0</v>
      </c>
      <c r="X982" s="133">
        <f t="shared" si="153"/>
        <v>0</v>
      </c>
      <c r="Y982" s="251"/>
      <c r="Z982" s="1736"/>
      <c r="AA982" s="1737"/>
      <c r="AB982" s="77">
        <f t="shared" si="154"/>
        <v>0</v>
      </c>
      <c r="AC982" s="134">
        <f t="shared" si="155"/>
        <v>0</v>
      </c>
      <c r="AD982" s="251"/>
      <c r="AE982" s="1736"/>
      <c r="AF982" s="1737"/>
      <c r="AG982" s="77">
        <f t="shared" si="156"/>
        <v>0</v>
      </c>
      <c r="AH982" s="136">
        <f t="shared" si="157"/>
        <v>0</v>
      </c>
      <c r="AI982" s="251"/>
      <c r="AJ982" s="1736"/>
      <c r="AK982" s="1737"/>
      <c r="AL982" s="79">
        <f t="shared" si="158"/>
        <v>0</v>
      </c>
      <c r="AM982" s="137">
        <f t="shared" si="159"/>
        <v>0</v>
      </c>
      <c r="AN982" s="251"/>
      <c r="AO982" s="1736"/>
      <c r="AP982" s="1737"/>
    </row>
    <row r="983" spans="1:42" s="85" customFormat="1" ht="13.5" thickBot="1">
      <c r="A983" s="240"/>
      <c r="B983" s="241"/>
      <c r="C983" s="242"/>
      <c r="D983" s="242"/>
      <c r="E983" s="243"/>
      <c r="F983" s="244"/>
      <c r="G983" s="244"/>
      <c r="H983" s="243"/>
      <c r="I983" s="258"/>
      <c r="J983" s="245"/>
      <c r="K983" s="245"/>
      <c r="L983" s="76">
        <f t="shared" si="150"/>
        <v>0</v>
      </c>
      <c r="M983" s="246"/>
      <c r="N983" s="247"/>
      <c r="O983" s="248"/>
      <c r="P983" s="246"/>
      <c r="Q983" s="249"/>
      <c r="R983" s="250"/>
      <c r="S983" s="259"/>
      <c r="T983" s="260"/>
      <c r="U983" s="250"/>
      <c r="V983" s="78">
        <f t="shared" si="151"/>
        <v>0</v>
      </c>
      <c r="W983" s="261">
        <f t="shared" si="152"/>
        <v>0</v>
      </c>
      <c r="X983" s="133">
        <f t="shared" si="153"/>
        <v>0</v>
      </c>
      <c r="Y983" s="251"/>
      <c r="Z983" s="1736"/>
      <c r="AA983" s="1737"/>
      <c r="AB983" s="77">
        <f t="shared" si="154"/>
        <v>0</v>
      </c>
      <c r="AC983" s="134">
        <f t="shared" si="155"/>
        <v>0</v>
      </c>
      <c r="AD983" s="251"/>
      <c r="AE983" s="1736"/>
      <c r="AF983" s="1737"/>
      <c r="AG983" s="77">
        <f t="shared" si="156"/>
        <v>0</v>
      </c>
      <c r="AH983" s="136">
        <f t="shared" si="157"/>
        <v>0</v>
      </c>
      <c r="AI983" s="251"/>
      <c r="AJ983" s="1736"/>
      <c r="AK983" s="1737"/>
      <c r="AL983" s="79">
        <f t="shared" si="158"/>
        <v>0</v>
      </c>
      <c r="AM983" s="137">
        <f t="shared" si="159"/>
        <v>0</v>
      </c>
      <c r="AN983" s="251"/>
      <c r="AO983" s="1736"/>
      <c r="AP983" s="1737"/>
    </row>
    <row r="984" spans="1:42" s="85" customFormat="1" ht="13.5" thickBot="1">
      <c r="A984" s="240"/>
      <c r="B984" s="241"/>
      <c r="C984" s="242"/>
      <c r="D984" s="242"/>
      <c r="E984" s="243"/>
      <c r="F984" s="244"/>
      <c r="G984" s="244"/>
      <c r="H984" s="243"/>
      <c r="I984" s="258"/>
      <c r="J984" s="245"/>
      <c r="K984" s="245"/>
      <c r="L984" s="76">
        <f t="shared" si="150"/>
        <v>0</v>
      </c>
      <c r="M984" s="246"/>
      <c r="N984" s="247"/>
      <c r="O984" s="248"/>
      <c r="P984" s="246"/>
      <c r="Q984" s="249"/>
      <c r="R984" s="250"/>
      <c r="S984" s="259"/>
      <c r="T984" s="260"/>
      <c r="U984" s="250"/>
      <c r="V984" s="78">
        <f t="shared" si="151"/>
        <v>0</v>
      </c>
      <c r="W984" s="261">
        <f t="shared" si="152"/>
        <v>0</v>
      </c>
      <c r="X984" s="133">
        <f t="shared" si="153"/>
        <v>0</v>
      </c>
      <c r="Y984" s="251"/>
      <c r="Z984" s="1736"/>
      <c r="AA984" s="1737"/>
      <c r="AB984" s="77">
        <f t="shared" si="154"/>
        <v>0</v>
      </c>
      <c r="AC984" s="134">
        <f t="shared" si="155"/>
        <v>0</v>
      </c>
      <c r="AD984" s="251"/>
      <c r="AE984" s="1736"/>
      <c r="AF984" s="1737"/>
      <c r="AG984" s="77">
        <f t="shared" si="156"/>
        <v>0</v>
      </c>
      <c r="AH984" s="136">
        <f t="shared" si="157"/>
        <v>0</v>
      </c>
      <c r="AI984" s="251"/>
      <c r="AJ984" s="1736"/>
      <c r="AK984" s="1737"/>
      <c r="AL984" s="79">
        <f t="shared" si="158"/>
        <v>0</v>
      </c>
      <c r="AM984" s="137">
        <f t="shared" si="159"/>
        <v>0</v>
      </c>
      <c r="AN984" s="251"/>
      <c r="AO984" s="1736"/>
      <c r="AP984" s="1737"/>
    </row>
    <row r="985" spans="1:42" s="85" customFormat="1" ht="13.5" thickBot="1">
      <c r="A985" s="240"/>
      <c r="B985" s="241"/>
      <c r="C985" s="242"/>
      <c r="D985" s="242"/>
      <c r="E985" s="243"/>
      <c r="F985" s="244"/>
      <c r="G985" s="244"/>
      <c r="H985" s="243"/>
      <c r="I985" s="258"/>
      <c r="J985" s="245"/>
      <c r="K985" s="245"/>
      <c r="L985" s="76">
        <f t="shared" si="150"/>
        <v>0</v>
      </c>
      <c r="M985" s="246"/>
      <c r="N985" s="247"/>
      <c r="O985" s="248"/>
      <c r="P985" s="246"/>
      <c r="Q985" s="249"/>
      <c r="R985" s="250"/>
      <c r="S985" s="259"/>
      <c r="T985" s="260"/>
      <c r="U985" s="250"/>
      <c r="V985" s="78">
        <f t="shared" si="151"/>
        <v>0</v>
      </c>
      <c r="W985" s="261">
        <f t="shared" si="152"/>
        <v>0</v>
      </c>
      <c r="X985" s="133">
        <f t="shared" si="153"/>
        <v>0</v>
      </c>
      <c r="Y985" s="251"/>
      <c r="Z985" s="1736"/>
      <c r="AA985" s="1737"/>
      <c r="AB985" s="77">
        <f t="shared" si="154"/>
        <v>0</v>
      </c>
      <c r="AC985" s="134">
        <f t="shared" si="155"/>
        <v>0</v>
      </c>
      <c r="AD985" s="251"/>
      <c r="AE985" s="1736"/>
      <c r="AF985" s="1737"/>
      <c r="AG985" s="77">
        <f t="shared" si="156"/>
        <v>0</v>
      </c>
      <c r="AH985" s="136">
        <f t="shared" si="157"/>
        <v>0</v>
      </c>
      <c r="AI985" s="251"/>
      <c r="AJ985" s="1736"/>
      <c r="AK985" s="1737"/>
      <c r="AL985" s="79">
        <f t="shared" si="158"/>
        <v>0</v>
      </c>
      <c r="AM985" s="137">
        <f t="shared" si="159"/>
        <v>0</v>
      </c>
      <c r="AN985" s="251"/>
      <c r="AO985" s="1736"/>
      <c r="AP985" s="1737"/>
    </row>
    <row r="986" spans="1:42" s="85" customFormat="1" ht="13.5" thickBot="1">
      <c r="A986" s="240"/>
      <c r="B986" s="241"/>
      <c r="C986" s="242"/>
      <c r="D986" s="242"/>
      <c r="E986" s="243"/>
      <c r="F986" s="244"/>
      <c r="G986" s="244"/>
      <c r="H986" s="243"/>
      <c r="I986" s="258"/>
      <c r="J986" s="245"/>
      <c r="K986" s="245"/>
      <c r="L986" s="76">
        <f t="shared" si="150"/>
        <v>0</v>
      </c>
      <c r="M986" s="246"/>
      <c r="N986" s="247"/>
      <c r="O986" s="248"/>
      <c r="P986" s="246"/>
      <c r="Q986" s="249"/>
      <c r="R986" s="250"/>
      <c r="S986" s="259"/>
      <c r="T986" s="260"/>
      <c r="U986" s="250"/>
      <c r="V986" s="78">
        <f t="shared" si="151"/>
        <v>0</v>
      </c>
      <c r="W986" s="261">
        <f t="shared" si="152"/>
        <v>0</v>
      </c>
      <c r="X986" s="133">
        <f t="shared" si="153"/>
        <v>0</v>
      </c>
      <c r="Y986" s="251"/>
      <c r="Z986" s="1736"/>
      <c r="AA986" s="1737"/>
      <c r="AB986" s="77">
        <f t="shared" si="154"/>
        <v>0</v>
      </c>
      <c r="AC986" s="134">
        <f t="shared" si="155"/>
        <v>0</v>
      </c>
      <c r="AD986" s="251"/>
      <c r="AE986" s="1736"/>
      <c r="AF986" s="1737"/>
      <c r="AG986" s="77">
        <f t="shared" si="156"/>
        <v>0</v>
      </c>
      <c r="AH986" s="136">
        <f t="shared" si="157"/>
        <v>0</v>
      </c>
      <c r="AI986" s="251"/>
      <c r="AJ986" s="1736"/>
      <c r="AK986" s="1737"/>
      <c r="AL986" s="79">
        <f t="shared" si="158"/>
        <v>0</v>
      </c>
      <c r="AM986" s="137">
        <f t="shared" si="159"/>
        <v>0</v>
      </c>
      <c r="AN986" s="251"/>
      <c r="AO986" s="1736"/>
      <c r="AP986" s="1737"/>
    </row>
    <row r="987" spans="1:42" s="85" customFormat="1" ht="13.5" thickBot="1">
      <c r="A987" s="240"/>
      <c r="B987" s="241"/>
      <c r="C987" s="242"/>
      <c r="D987" s="242"/>
      <c r="E987" s="243"/>
      <c r="F987" s="244"/>
      <c r="G987" s="244"/>
      <c r="H987" s="243"/>
      <c r="I987" s="258"/>
      <c r="J987" s="245"/>
      <c r="K987" s="245"/>
      <c r="L987" s="76">
        <f t="shared" si="150"/>
        <v>0</v>
      </c>
      <c r="M987" s="246"/>
      <c r="N987" s="247"/>
      <c r="O987" s="248"/>
      <c r="P987" s="246"/>
      <c r="Q987" s="249"/>
      <c r="R987" s="250"/>
      <c r="S987" s="259"/>
      <c r="T987" s="260"/>
      <c r="U987" s="250"/>
      <c r="V987" s="78">
        <f t="shared" si="151"/>
        <v>0</v>
      </c>
      <c r="W987" s="261">
        <f t="shared" si="152"/>
        <v>0</v>
      </c>
      <c r="X987" s="133">
        <f t="shared" si="153"/>
        <v>0</v>
      </c>
      <c r="Y987" s="251"/>
      <c r="Z987" s="1736"/>
      <c r="AA987" s="1737"/>
      <c r="AB987" s="77">
        <f t="shared" si="154"/>
        <v>0</v>
      </c>
      <c r="AC987" s="134">
        <f t="shared" si="155"/>
        <v>0</v>
      </c>
      <c r="AD987" s="251"/>
      <c r="AE987" s="1736"/>
      <c r="AF987" s="1737"/>
      <c r="AG987" s="77">
        <f t="shared" si="156"/>
        <v>0</v>
      </c>
      <c r="AH987" s="136">
        <f t="shared" si="157"/>
        <v>0</v>
      </c>
      <c r="AI987" s="251"/>
      <c r="AJ987" s="1736"/>
      <c r="AK987" s="1737"/>
      <c r="AL987" s="79">
        <f t="shared" si="158"/>
        <v>0</v>
      </c>
      <c r="AM987" s="137">
        <f t="shared" si="159"/>
        <v>0</v>
      </c>
      <c r="AN987" s="251"/>
      <c r="AO987" s="1736"/>
      <c r="AP987" s="1737"/>
    </row>
    <row r="988" spans="1:42" s="85" customFormat="1" ht="13.5" thickBot="1">
      <c r="A988" s="240"/>
      <c r="B988" s="241"/>
      <c r="C988" s="242"/>
      <c r="D988" s="242"/>
      <c r="E988" s="243"/>
      <c r="F988" s="244"/>
      <c r="G988" s="244"/>
      <c r="H988" s="243"/>
      <c r="I988" s="258"/>
      <c r="J988" s="245"/>
      <c r="K988" s="245"/>
      <c r="L988" s="76">
        <f t="shared" si="150"/>
        <v>0</v>
      </c>
      <c r="M988" s="246"/>
      <c r="N988" s="247"/>
      <c r="O988" s="248"/>
      <c r="P988" s="246"/>
      <c r="Q988" s="249"/>
      <c r="R988" s="250"/>
      <c r="S988" s="259"/>
      <c r="T988" s="260"/>
      <c r="U988" s="250"/>
      <c r="V988" s="78">
        <f t="shared" si="151"/>
        <v>0</v>
      </c>
      <c r="W988" s="261">
        <f t="shared" si="152"/>
        <v>0</v>
      </c>
      <c r="X988" s="133">
        <f t="shared" si="153"/>
        <v>0</v>
      </c>
      <c r="Y988" s="251"/>
      <c r="Z988" s="1736"/>
      <c r="AA988" s="1737"/>
      <c r="AB988" s="77">
        <f t="shared" si="154"/>
        <v>0</v>
      </c>
      <c r="AC988" s="134">
        <f t="shared" si="155"/>
        <v>0</v>
      </c>
      <c r="AD988" s="251"/>
      <c r="AE988" s="1736"/>
      <c r="AF988" s="1737"/>
      <c r="AG988" s="77">
        <f t="shared" si="156"/>
        <v>0</v>
      </c>
      <c r="AH988" s="136">
        <f t="shared" si="157"/>
        <v>0</v>
      </c>
      <c r="AI988" s="251"/>
      <c r="AJ988" s="1736"/>
      <c r="AK988" s="1737"/>
      <c r="AL988" s="79">
        <f t="shared" si="158"/>
        <v>0</v>
      </c>
      <c r="AM988" s="137">
        <f t="shared" si="159"/>
        <v>0</v>
      </c>
      <c r="AN988" s="251"/>
      <c r="AO988" s="1736"/>
      <c r="AP988" s="1737"/>
    </row>
    <row r="989" spans="1:42" s="85" customFormat="1" ht="13.5" thickBot="1">
      <c r="A989" s="240"/>
      <c r="B989" s="241"/>
      <c r="C989" s="242"/>
      <c r="D989" s="242"/>
      <c r="E989" s="243"/>
      <c r="F989" s="244"/>
      <c r="G989" s="244"/>
      <c r="H989" s="243"/>
      <c r="I989" s="258"/>
      <c r="J989" s="245"/>
      <c r="K989" s="245"/>
      <c r="L989" s="76">
        <f t="shared" si="150"/>
        <v>0</v>
      </c>
      <c r="M989" s="246"/>
      <c r="N989" s="247"/>
      <c r="O989" s="248"/>
      <c r="P989" s="246"/>
      <c r="Q989" s="249"/>
      <c r="R989" s="250"/>
      <c r="S989" s="259"/>
      <c r="T989" s="260"/>
      <c r="U989" s="250"/>
      <c r="V989" s="78">
        <f t="shared" si="151"/>
        <v>0</v>
      </c>
      <c r="W989" s="261">
        <f t="shared" si="152"/>
        <v>0</v>
      </c>
      <c r="X989" s="133">
        <f t="shared" si="153"/>
        <v>0</v>
      </c>
      <c r="Y989" s="251"/>
      <c r="Z989" s="1736"/>
      <c r="AA989" s="1737"/>
      <c r="AB989" s="77">
        <f t="shared" si="154"/>
        <v>0</v>
      </c>
      <c r="AC989" s="134">
        <f t="shared" si="155"/>
        <v>0</v>
      </c>
      <c r="AD989" s="251"/>
      <c r="AE989" s="1736"/>
      <c r="AF989" s="1737"/>
      <c r="AG989" s="77">
        <f t="shared" si="156"/>
        <v>0</v>
      </c>
      <c r="AH989" s="136">
        <f t="shared" si="157"/>
        <v>0</v>
      </c>
      <c r="AI989" s="251"/>
      <c r="AJ989" s="1736"/>
      <c r="AK989" s="1737"/>
      <c r="AL989" s="79">
        <f t="shared" si="158"/>
        <v>0</v>
      </c>
      <c r="AM989" s="137">
        <f t="shared" si="159"/>
        <v>0</v>
      </c>
      <c r="AN989" s="251"/>
      <c r="AO989" s="1736"/>
      <c r="AP989" s="1737"/>
    </row>
    <row r="990" spans="1:42" s="85" customFormat="1" ht="13.5" thickBot="1">
      <c r="A990" s="240"/>
      <c r="B990" s="241"/>
      <c r="C990" s="242"/>
      <c r="D990" s="242"/>
      <c r="E990" s="243"/>
      <c r="F990" s="244"/>
      <c r="G990" s="244"/>
      <c r="H990" s="243"/>
      <c r="I990" s="258"/>
      <c r="J990" s="245"/>
      <c r="K990" s="245"/>
      <c r="L990" s="76">
        <f t="shared" si="150"/>
        <v>0</v>
      </c>
      <c r="M990" s="246"/>
      <c r="N990" s="247"/>
      <c r="O990" s="248"/>
      <c r="P990" s="246"/>
      <c r="Q990" s="249"/>
      <c r="R990" s="250"/>
      <c r="S990" s="259"/>
      <c r="T990" s="260"/>
      <c r="U990" s="250"/>
      <c r="V990" s="78">
        <f t="shared" si="151"/>
        <v>0</v>
      </c>
      <c r="W990" s="261">
        <f t="shared" si="152"/>
        <v>0</v>
      </c>
      <c r="X990" s="133">
        <f t="shared" si="153"/>
        <v>0</v>
      </c>
      <c r="Y990" s="251"/>
      <c r="Z990" s="1736"/>
      <c r="AA990" s="1737"/>
      <c r="AB990" s="77">
        <f t="shared" si="154"/>
        <v>0</v>
      </c>
      <c r="AC990" s="134">
        <f t="shared" si="155"/>
        <v>0</v>
      </c>
      <c r="AD990" s="251"/>
      <c r="AE990" s="1736"/>
      <c r="AF990" s="1737"/>
      <c r="AG990" s="77">
        <f t="shared" si="156"/>
        <v>0</v>
      </c>
      <c r="AH990" s="136">
        <f t="shared" si="157"/>
        <v>0</v>
      </c>
      <c r="AI990" s="251"/>
      <c r="AJ990" s="1736"/>
      <c r="AK990" s="1737"/>
      <c r="AL990" s="79">
        <f t="shared" si="158"/>
        <v>0</v>
      </c>
      <c r="AM990" s="137">
        <f t="shared" si="159"/>
        <v>0</v>
      </c>
      <c r="AN990" s="251"/>
      <c r="AO990" s="1736"/>
      <c r="AP990" s="1737"/>
    </row>
    <row r="991" spans="1:42" s="85" customFormat="1" ht="13.5" thickBot="1">
      <c r="A991" s="240"/>
      <c r="B991" s="241"/>
      <c r="C991" s="242"/>
      <c r="D991" s="242"/>
      <c r="E991" s="243"/>
      <c r="F991" s="244"/>
      <c r="G991" s="244"/>
      <c r="H991" s="243"/>
      <c r="I991" s="258"/>
      <c r="J991" s="245"/>
      <c r="K991" s="245"/>
      <c r="L991" s="76">
        <f t="shared" si="150"/>
        <v>0</v>
      </c>
      <c r="M991" s="246"/>
      <c r="N991" s="247"/>
      <c r="O991" s="248"/>
      <c r="P991" s="246"/>
      <c r="Q991" s="249"/>
      <c r="R991" s="250"/>
      <c r="S991" s="259"/>
      <c r="T991" s="260"/>
      <c r="U991" s="250"/>
      <c r="V991" s="78">
        <f t="shared" si="151"/>
        <v>0</v>
      </c>
      <c r="W991" s="261">
        <f t="shared" si="152"/>
        <v>0</v>
      </c>
      <c r="X991" s="133">
        <f t="shared" si="153"/>
        <v>0</v>
      </c>
      <c r="Y991" s="251"/>
      <c r="Z991" s="1736"/>
      <c r="AA991" s="1737"/>
      <c r="AB991" s="77">
        <f t="shared" si="154"/>
        <v>0</v>
      </c>
      <c r="AC991" s="134">
        <f t="shared" si="155"/>
        <v>0</v>
      </c>
      <c r="AD991" s="251"/>
      <c r="AE991" s="1736"/>
      <c r="AF991" s="1737"/>
      <c r="AG991" s="77">
        <f t="shared" si="156"/>
        <v>0</v>
      </c>
      <c r="AH991" s="136">
        <f t="shared" si="157"/>
        <v>0</v>
      </c>
      <c r="AI991" s="251"/>
      <c r="AJ991" s="1736"/>
      <c r="AK991" s="1737"/>
      <c r="AL991" s="79">
        <f t="shared" si="158"/>
        <v>0</v>
      </c>
      <c r="AM991" s="137">
        <f t="shared" si="159"/>
        <v>0</v>
      </c>
      <c r="AN991" s="251"/>
      <c r="AO991" s="1736"/>
      <c r="AP991" s="1737"/>
    </row>
    <row r="992" spans="1:42" s="85" customFormat="1" ht="13.5" thickBot="1">
      <c r="A992" s="240"/>
      <c r="B992" s="241"/>
      <c r="C992" s="242"/>
      <c r="D992" s="242"/>
      <c r="E992" s="243"/>
      <c r="F992" s="244"/>
      <c r="G992" s="244"/>
      <c r="H992" s="243"/>
      <c r="I992" s="258"/>
      <c r="J992" s="245"/>
      <c r="K992" s="245"/>
      <c r="L992" s="76">
        <f t="shared" si="150"/>
        <v>0</v>
      </c>
      <c r="M992" s="246"/>
      <c r="N992" s="247"/>
      <c r="O992" s="248"/>
      <c r="P992" s="246"/>
      <c r="Q992" s="249"/>
      <c r="R992" s="250"/>
      <c r="S992" s="259"/>
      <c r="T992" s="260"/>
      <c r="U992" s="250"/>
      <c r="V992" s="78">
        <f t="shared" si="151"/>
        <v>0</v>
      </c>
      <c r="W992" s="261">
        <f t="shared" si="152"/>
        <v>0</v>
      </c>
      <c r="X992" s="133">
        <f t="shared" si="153"/>
        <v>0</v>
      </c>
      <c r="Y992" s="251"/>
      <c r="Z992" s="1736"/>
      <c r="AA992" s="1737"/>
      <c r="AB992" s="77">
        <f t="shared" si="154"/>
        <v>0</v>
      </c>
      <c r="AC992" s="134">
        <f t="shared" si="155"/>
        <v>0</v>
      </c>
      <c r="AD992" s="251"/>
      <c r="AE992" s="1736"/>
      <c r="AF992" s="1737"/>
      <c r="AG992" s="77">
        <f t="shared" si="156"/>
        <v>0</v>
      </c>
      <c r="AH992" s="136">
        <f t="shared" si="157"/>
        <v>0</v>
      </c>
      <c r="AI992" s="251"/>
      <c r="AJ992" s="1736"/>
      <c r="AK992" s="1737"/>
      <c r="AL992" s="79">
        <f t="shared" si="158"/>
        <v>0</v>
      </c>
      <c r="AM992" s="137">
        <f t="shared" si="159"/>
        <v>0</v>
      </c>
      <c r="AN992" s="251"/>
      <c r="AO992" s="1736"/>
      <c r="AP992" s="1737"/>
    </row>
    <row r="993" spans="1:42" s="85" customFormat="1" ht="13.5" thickBot="1">
      <c r="A993" s="240"/>
      <c r="B993" s="241"/>
      <c r="C993" s="242"/>
      <c r="D993" s="242"/>
      <c r="E993" s="243"/>
      <c r="F993" s="244"/>
      <c r="G993" s="244"/>
      <c r="H993" s="243"/>
      <c r="I993" s="258"/>
      <c r="J993" s="245"/>
      <c r="K993" s="245"/>
      <c r="L993" s="76">
        <f t="shared" si="150"/>
        <v>0</v>
      </c>
      <c r="M993" s="246"/>
      <c r="N993" s="247"/>
      <c r="O993" s="248"/>
      <c r="P993" s="246"/>
      <c r="Q993" s="249"/>
      <c r="R993" s="250"/>
      <c r="S993" s="259"/>
      <c r="T993" s="260"/>
      <c r="U993" s="250"/>
      <c r="V993" s="78">
        <f t="shared" si="151"/>
        <v>0</v>
      </c>
      <c r="W993" s="261">
        <f t="shared" si="152"/>
        <v>0</v>
      </c>
      <c r="X993" s="133">
        <f t="shared" si="153"/>
        <v>0</v>
      </c>
      <c r="Y993" s="251"/>
      <c r="Z993" s="1736"/>
      <c r="AA993" s="1737"/>
      <c r="AB993" s="77">
        <f t="shared" si="154"/>
        <v>0</v>
      </c>
      <c r="AC993" s="134">
        <f t="shared" si="155"/>
        <v>0</v>
      </c>
      <c r="AD993" s="251"/>
      <c r="AE993" s="1736"/>
      <c r="AF993" s="1737"/>
      <c r="AG993" s="77">
        <f t="shared" si="156"/>
        <v>0</v>
      </c>
      <c r="AH993" s="136">
        <f t="shared" si="157"/>
        <v>0</v>
      </c>
      <c r="AI993" s="251"/>
      <c r="AJ993" s="1736"/>
      <c r="AK993" s="1737"/>
      <c r="AL993" s="79">
        <f t="shared" si="158"/>
        <v>0</v>
      </c>
      <c r="AM993" s="137">
        <f t="shared" si="159"/>
        <v>0</v>
      </c>
      <c r="AN993" s="251"/>
      <c r="AO993" s="1736"/>
      <c r="AP993" s="1737"/>
    </row>
    <row r="994" spans="1:42" s="85" customFormat="1" ht="13.5" thickBot="1">
      <c r="A994" s="240"/>
      <c r="B994" s="241"/>
      <c r="C994" s="242"/>
      <c r="D994" s="242"/>
      <c r="E994" s="243"/>
      <c r="F994" s="244"/>
      <c r="G994" s="244"/>
      <c r="H994" s="243"/>
      <c r="I994" s="258"/>
      <c r="J994" s="245"/>
      <c r="K994" s="245"/>
      <c r="L994" s="76">
        <f t="shared" si="150"/>
        <v>0</v>
      </c>
      <c r="M994" s="246"/>
      <c r="N994" s="247"/>
      <c r="O994" s="248"/>
      <c r="P994" s="246"/>
      <c r="Q994" s="249"/>
      <c r="R994" s="250"/>
      <c r="S994" s="259"/>
      <c r="T994" s="260"/>
      <c r="U994" s="250"/>
      <c r="V994" s="78">
        <f t="shared" si="151"/>
        <v>0</v>
      </c>
      <c r="W994" s="261">
        <f t="shared" si="152"/>
        <v>0</v>
      </c>
      <c r="X994" s="133">
        <f t="shared" si="153"/>
        <v>0</v>
      </c>
      <c r="Y994" s="251"/>
      <c r="Z994" s="1736"/>
      <c r="AA994" s="1737"/>
      <c r="AB994" s="77">
        <f t="shared" si="154"/>
        <v>0</v>
      </c>
      <c r="AC994" s="134">
        <f t="shared" si="155"/>
        <v>0</v>
      </c>
      <c r="AD994" s="251"/>
      <c r="AE994" s="1736"/>
      <c r="AF994" s="1737"/>
      <c r="AG994" s="77">
        <f t="shared" si="156"/>
        <v>0</v>
      </c>
      <c r="AH994" s="136">
        <f t="shared" si="157"/>
        <v>0</v>
      </c>
      <c r="AI994" s="251"/>
      <c r="AJ994" s="1736"/>
      <c r="AK994" s="1737"/>
      <c r="AL994" s="79">
        <f t="shared" si="158"/>
        <v>0</v>
      </c>
      <c r="AM994" s="137">
        <f t="shared" si="159"/>
        <v>0</v>
      </c>
      <c r="AN994" s="251"/>
      <c r="AO994" s="1736"/>
      <c r="AP994" s="1737"/>
    </row>
    <row r="995" spans="1:42" s="85" customFormat="1" ht="13.5" thickBot="1">
      <c r="A995" s="240"/>
      <c r="B995" s="241"/>
      <c r="C995" s="242"/>
      <c r="D995" s="242"/>
      <c r="E995" s="243"/>
      <c r="F995" s="244"/>
      <c r="G995" s="244"/>
      <c r="H995" s="243"/>
      <c r="I995" s="258"/>
      <c r="J995" s="245"/>
      <c r="K995" s="245"/>
      <c r="L995" s="76">
        <f t="shared" si="150"/>
        <v>0</v>
      </c>
      <c r="M995" s="246"/>
      <c r="N995" s="247"/>
      <c r="O995" s="248"/>
      <c r="P995" s="246"/>
      <c r="Q995" s="249"/>
      <c r="R995" s="250"/>
      <c r="S995" s="259"/>
      <c r="T995" s="260"/>
      <c r="U995" s="250"/>
      <c r="V995" s="78">
        <f t="shared" si="151"/>
        <v>0</v>
      </c>
      <c r="W995" s="261">
        <f t="shared" si="152"/>
        <v>0</v>
      </c>
      <c r="X995" s="133">
        <f t="shared" si="153"/>
        <v>0</v>
      </c>
      <c r="Y995" s="251"/>
      <c r="Z995" s="1736"/>
      <c r="AA995" s="1737"/>
      <c r="AB995" s="77">
        <f t="shared" si="154"/>
        <v>0</v>
      </c>
      <c r="AC995" s="134">
        <f t="shared" si="155"/>
        <v>0</v>
      </c>
      <c r="AD995" s="251"/>
      <c r="AE995" s="1736"/>
      <c r="AF995" s="1737"/>
      <c r="AG995" s="77">
        <f t="shared" si="156"/>
        <v>0</v>
      </c>
      <c r="AH995" s="136">
        <f t="shared" si="157"/>
        <v>0</v>
      </c>
      <c r="AI995" s="251"/>
      <c r="AJ995" s="1736"/>
      <c r="AK995" s="1737"/>
      <c r="AL995" s="79">
        <f t="shared" si="158"/>
        <v>0</v>
      </c>
      <c r="AM995" s="137">
        <f t="shared" si="159"/>
        <v>0</v>
      </c>
      <c r="AN995" s="251"/>
      <c r="AO995" s="1736"/>
      <c r="AP995" s="1737"/>
    </row>
    <row r="996" spans="1:42" s="85" customFormat="1" ht="13.5" thickBot="1">
      <c r="A996" s="240"/>
      <c r="B996" s="241"/>
      <c r="C996" s="242"/>
      <c r="D996" s="242"/>
      <c r="E996" s="243"/>
      <c r="F996" s="244"/>
      <c r="G996" s="244"/>
      <c r="H996" s="243"/>
      <c r="I996" s="258"/>
      <c r="J996" s="245"/>
      <c r="K996" s="245"/>
      <c r="L996" s="76">
        <f t="shared" si="150"/>
        <v>0</v>
      </c>
      <c r="M996" s="246"/>
      <c r="N996" s="247"/>
      <c r="O996" s="248"/>
      <c r="P996" s="246"/>
      <c r="Q996" s="249"/>
      <c r="R996" s="250"/>
      <c r="S996" s="259"/>
      <c r="T996" s="260"/>
      <c r="U996" s="250"/>
      <c r="V996" s="78">
        <f t="shared" si="151"/>
        <v>0</v>
      </c>
      <c r="W996" s="261">
        <f t="shared" si="152"/>
        <v>0</v>
      </c>
      <c r="X996" s="133">
        <f t="shared" si="153"/>
        <v>0</v>
      </c>
      <c r="Y996" s="251"/>
      <c r="Z996" s="1736"/>
      <c r="AA996" s="1737"/>
      <c r="AB996" s="77">
        <f t="shared" si="154"/>
        <v>0</v>
      </c>
      <c r="AC996" s="134">
        <f t="shared" si="155"/>
        <v>0</v>
      </c>
      <c r="AD996" s="251"/>
      <c r="AE996" s="1736"/>
      <c r="AF996" s="1737"/>
      <c r="AG996" s="77">
        <f t="shared" si="156"/>
        <v>0</v>
      </c>
      <c r="AH996" s="136">
        <f t="shared" si="157"/>
        <v>0</v>
      </c>
      <c r="AI996" s="251"/>
      <c r="AJ996" s="1736"/>
      <c r="AK996" s="1737"/>
      <c r="AL996" s="79">
        <f t="shared" si="158"/>
        <v>0</v>
      </c>
      <c r="AM996" s="137">
        <f t="shared" si="159"/>
        <v>0</v>
      </c>
      <c r="AN996" s="251"/>
      <c r="AO996" s="1736"/>
      <c r="AP996" s="1737"/>
    </row>
    <row r="997" spans="1:42" s="85" customFormat="1" ht="13.5" thickBot="1">
      <c r="A997" s="240"/>
      <c r="B997" s="241"/>
      <c r="C997" s="242"/>
      <c r="D997" s="242"/>
      <c r="E997" s="243"/>
      <c r="F997" s="244"/>
      <c r="G997" s="244"/>
      <c r="H997" s="243"/>
      <c r="I997" s="258"/>
      <c r="J997" s="245"/>
      <c r="K997" s="245"/>
      <c r="L997" s="76">
        <f t="shared" si="150"/>
        <v>0</v>
      </c>
      <c r="M997" s="246"/>
      <c r="N997" s="247"/>
      <c r="O997" s="248"/>
      <c r="P997" s="246"/>
      <c r="Q997" s="249"/>
      <c r="R997" s="250"/>
      <c r="S997" s="259"/>
      <c r="T997" s="260"/>
      <c r="U997" s="250"/>
      <c r="V997" s="78">
        <f t="shared" si="151"/>
        <v>0</v>
      </c>
      <c r="W997" s="261">
        <f t="shared" si="152"/>
        <v>0</v>
      </c>
      <c r="X997" s="133">
        <f t="shared" si="153"/>
        <v>0</v>
      </c>
      <c r="Y997" s="251"/>
      <c r="Z997" s="1736"/>
      <c r="AA997" s="1737"/>
      <c r="AB997" s="77">
        <f t="shared" si="154"/>
        <v>0</v>
      </c>
      <c r="AC997" s="134">
        <f t="shared" si="155"/>
        <v>0</v>
      </c>
      <c r="AD997" s="251"/>
      <c r="AE997" s="1736"/>
      <c r="AF997" s="1737"/>
      <c r="AG997" s="77">
        <f t="shared" si="156"/>
        <v>0</v>
      </c>
      <c r="AH997" s="136">
        <f t="shared" si="157"/>
        <v>0</v>
      </c>
      <c r="AI997" s="251"/>
      <c r="AJ997" s="1736"/>
      <c r="AK997" s="1737"/>
      <c r="AL997" s="79">
        <f t="shared" si="158"/>
        <v>0</v>
      </c>
      <c r="AM997" s="137">
        <f t="shared" si="159"/>
        <v>0</v>
      </c>
      <c r="AN997" s="251"/>
      <c r="AO997" s="1736"/>
      <c r="AP997" s="1737"/>
    </row>
    <row r="998" spans="1:42" s="85" customFormat="1" ht="13.5" thickBot="1">
      <c r="A998" s="240"/>
      <c r="B998" s="241"/>
      <c r="C998" s="242"/>
      <c r="D998" s="242"/>
      <c r="E998" s="243"/>
      <c r="F998" s="244"/>
      <c r="G998" s="244"/>
      <c r="H998" s="243"/>
      <c r="I998" s="258"/>
      <c r="J998" s="245"/>
      <c r="K998" s="245"/>
      <c r="L998" s="76">
        <f t="shared" si="150"/>
        <v>0</v>
      </c>
      <c r="M998" s="246"/>
      <c r="N998" s="247"/>
      <c r="O998" s="248"/>
      <c r="P998" s="246"/>
      <c r="Q998" s="249"/>
      <c r="R998" s="250"/>
      <c r="S998" s="259"/>
      <c r="T998" s="260"/>
      <c r="U998" s="250"/>
      <c r="V998" s="78">
        <f t="shared" si="151"/>
        <v>0</v>
      </c>
      <c r="W998" s="261">
        <f t="shared" si="152"/>
        <v>0</v>
      </c>
      <c r="X998" s="133">
        <f t="shared" si="153"/>
        <v>0</v>
      </c>
      <c r="Y998" s="251"/>
      <c r="Z998" s="1736"/>
      <c r="AA998" s="1737"/>
      <c r="AB998" s="77">
        <f t="shared" si="154"/>
        <v>0</v>
      </c>
      <c r="AC998" s="134">
        <f t="shared" si="155"/>
        <v>0</v>
      </c>
      <c r="AD998" s="251"/>
      <c r="AE998" s="1736"/>
      <c r="AF998" s="1737"/>
      <c r="AG998" s="77">
        <f t="shared" si="156"/>
        <v>0</v>
      </c>
      <c r="AH998" s="136">
        <f t="shared" si="157"/>
        <v>0</v>
      </c>
      <c r="AI998" s="251"/>
      <c r="AJ998" s="1736"/>
      <c r="AK998" s="1737"/>
      <c r="AL998" s="79">
        <f t="shared" si="158"/>
        <v>0</v>
      </c>
      <c r="AM998" s="137">
        <f t="shared" si="159"/>
        <v>0</v>
      </c>
      <c r="AN998" s="251"/>
      <c r="AO998" s="1736"/>
      <c r="AP998" s="1737"/>
    </row>
    <row r="999" spans="1:42" s="85" customFormat="1" ht="13.5" thickBot="1">
      <c r="A999" s="240"/>
      <c r="B999" s="241"/>
      <c r="C999" s="242"/>
      <c r="D999" s="242"/>
      <c r="E999" s="243"/>
      <c r="F999" s="244"/>
      <c r="G999" s="244"/>
      <c r="H999" s="243"/>
      <c r="I999" s="258"/>
      <c r="J999" s="245"/>
      <c r="K999" s="245"/>
      <c r="L999" s="76">
        <f t="shared" si="150"/>
        <v>0</v>
      </c>
      <c r="M999" s="246"/>
      <c r="N999" s="247"/>
      <c r="O999" s="248"/>
      <c r="P999" s="246"/>
      <c r="Q999" s="249"/>
      <c r="R999" s="250"/>
      <c r="S999" s="259"/>
      <c r="T999" s="260"/>
      <c r="U999" s="250"/>
      <c r="V999" s="78">
        <f t="shared" si="151"/>
        <v>0</v>
      </c>
      <c r="W999" s="261">
        <f t="shared" si="152"/>
        <v>0</v>
      </c>
      <c r="X999" s="133">
        <f t="shared" si="153"/>
        <v>0</v>
      </c>
      <c r="Y999" s="251"/>
      <c r="Z999" s="1736"/>
      <c r="AA999" s="1737"/>
      <c r="AB999" s="77">
        <f t="shared" si="154"/>
        <v>0</v>
      </c>
      <c r="AC999" s="134">
        <f t="shared" si="155"/>
        <v>0</v>
      </c>
      <c r="AD999" s="251"/>
      <c r="AE999" s="1736"/>
      <c r="AF999" s="1737"/>
      <c r="AG999" s="77">
        <f t="shared" si="156"/>
        <v>0</v>
      </c>
      <c r="AH999" s="136">
        <f t="shared" si="157"/>
        <v>0</v>
      </c>
      <c r="AI999" s="251"/>
      <c r="AJ999" s="1736"/>
      <c r="AK999" s="1737"/>
      <c r="AL999" s="79">
        <f t="shared" si="158"/>
        <v>0</v>
      </c>
      <c r="AM999" s="137">
        <f t="shared" si="159"/>
        <v>0</v>
      </c>
      <c r="AN999" s="251"/>
      <c r="AO999" s="1736"/>
      <c r="AP999" s="1737"/>
    </row>
    <row r="1000" spans="1:42" s="85" customFormat="1" ht="13.5" thickBot="1">
      <c r="A1000" s="240"/>
      <c r="B1000" s="241"/>
      <c r="C1000" s="242"/>
      <c r="D1000" s="242"/>
      <c r="E1000" s="243"/>
      <c r="F1000" s="244"/>
      <c r="G1000" s="244"/>
      <c r="H1000" s="243"/>
      <c r="I1000" s="258"/>
      <c r="J1000" s="245"/>
      <c r="K1000" s="245"/>
      <c r="L1000" s="76">
        <f t="shared" si="150"/>
        <v>0</v>
      </c>
      <c r="M1000" s="246"/>
      <c r="N1000" s="247"/>
      <c r="O1000" s="248"/>
      <c r="P1000" s="246"/>
      <c r="Q1000" s="249"/>
      <c r="R1000" s="250"/>
      <c r="S1000" s="259"/>
      <c r="T1000" s="260"/>
      <c r="U1000" s="250"/>
      <c r="V1000" s="78">
        <f t="shared" si="151"/>
        <v>0</v>
      </c>
      <c r="W1000" s="261">
        <f t="shared" si="152"/>
        <v>0</v>
      </c>
      <c r="X1000" s="133">
        <f t="shared" si="153"/>
        <v>0</v>
      </c>
      <c r="Y1000" s="251"/>
      <c r="Z1000" s="1736"/>
      <c r="AA1000" s="1737"/>
      <c r="AB1000" s="77">
        <f t="shared" si="154"/>
        <v>0</v>
      </c>
      <c r="AC1000" s="134">
        <f t="shared" si="155"/>
        <v>0</v>
      </c>
      <c r="AD1000" s="251"/>
      <c r="AE1000" s="1736"/>
      <c r="AF1000" s="1737"/>
      <c r="AG1000" s="77">
        <f t="shared" si="156"/>
        <v>0</v>
      </c>
      <c r="AH1000" s="136">
        <f t="shared" si="157"/>
        <v>0</v>
      </c>
      <c r="AI1000" s="251"/>
      <c r="AJ1000" s="1736"/>
      <c r="AK1000" s="1737"/>
      <c r="AL1000" s="79">
        <f t="shared" si="158"/>
        <v>0</v>
      </c>
      <c r="AM1000" s="137">
        <f t="shared" si="159"/>
        <v>0</v>
      </c>
      <c r="AN1000" s="251"/>
      <c r="AO1000" s="1736"/>
      <c r="AP1000" s="1737"/>
    </row>
    <row r="1001" spans="1:42" s="85" customFormat="1" ht="13.5" thickBot="1">
      <c r="A1001" s="240"/>
      <c r="B1001" s="241"/>
      <c r="C1001" s="242"/>
      <c r="D1001" s="242"/>
      <c r="E1001" s="243"/>
      <c r="F1001" s="244"/>
      <c r="G1001" s="244"/>
      <c r="H1001" s="243"/>
      <c r="I1001" s="258"/>
      <c r="J1001" s="245"/>
      <c r="K1001" s="245"/>
      <c r="L1001" s="76">
        <f t="shared" si="150"/>
        <v>0</v>
      </c>
      <c r="M1001" s="246"/>
      <c r="N1001" s="247"/>
      <c r="O1001" s="248"/>
      <c r="P1001" s="246"/>
      <c r="Q1001" s="249"/>
      <c r="R1001" s="250"/>
      <c r="S1001" s="259"/>
      <c r="T1001" s="260"/>
      <c r="U1001" s="250"/>
      <c r="V1001" s="78">
        <f t="shared" si="151"/>
        <v>0</v>
      </c>
      <c r="W1001" s="261">
        <f t="shared" si="152"/>
        <v>0</v>
      </c>
      <c r="X1001" s="133">
        <f t="shared" si="153"/>
        <v>0</v>
      </c>
      <c r="Y1001" s="251"/>
      <c r="Z1001" s="1736"/>
      <c r="AA1001" s="1737"/>
      <c r="AB1001" s="77">
        <f t="shared" si="154"/>
        <v>0</v>
      </c>
      <c r="AC1001" s="134">
        <f t="shared" si="155"/>
        <v>0</v>
      </c>
      <c r="AD1001" s="251"/>
      <c r="AE1001" s="1736"/>
      <c r="AF1001" s="1737"/>
      <c r="AG1001" s="77">
        <f t="shared" si="156"/>
        <v>0</v>
      </c>
      <c r="AH1001" s="136">
        <f t="shared" si="157"/>
        <v>0</v>
      </c>
      <c r="AI1001" s="251"/>
      <c r="AJ1001" s="1736"/>
      <c r="AK1001" s="1737"/>
      <c r="AL1001" s="79">
        <f t="shared" si="158"/>
        <v>0</v>
      </c>
      <c r="AM1001" s="137">
        <f t="shared" si="159"/>
        <v>0</v>
      </c>
      <c r="AN1001" s="251"/>
      <c r="AO1001" s="1736"/>
      <c r="AP1001" s="1737"/>
    </row>
    <row r="1002" spans="1:42" s="85" customFormat="1" ht="13.5" thickBot="1">
      <c r="A1002" s="240"/>
      <c r="B1002" s="241"/>
      <c r="C1002" s="242"/>
      <c r="D1002" s="242"/>
      <c r="E1002" s="243"/>
      <c r="F1002" s="244"/>
      <c r="G1002" s="244"/>
      <c r="H1002" s="243"/>
      <c r="I1002" s="258"/>
      <c r="J1002" s="245"/>
      <c r="K1002" s="245"/>
      <c r="L1002" s="76">
        <f t="shared" si="150"/>
        <v>0</v>
      </c>
      <c r="M1002" s="246"/>
      <c r="N1002" s="247"/>
      <c r="O1002" s="248"/>
      <c r="P1002" s="246"/>
      <c r="Q1002" s="249"/>
      <c r="R1002" s="250"/>
      <c r="S1002" s="259"/>
      <c r="T1002" s="260"/>
      <c r="U1002" s="250"/>
      <c r="V1002" s="78">
        <f t="shared" si="151"/>
        <v>0</v>
      </c>
      <c r="W1002" s="261">
        <f t="shared" si="152"/>
        <v>0</v>
      </c>
      <c r="X1002" s="133">
        <f t="shared" si="153"/>
        <v>0</v>
      </c>
      <c r="Y1002" s="251"/>
      <c r="Z1002" s="1736"/>
      <c r="AA1002" s="1737"/>
      <c r="AB1002" s="77">
        <f t="shared" si="154"/>
        <v>0</v>
      </c>
      <c r="AC1002" s="134">
        <f t="shared" si="155"/>
        <v>0</v>
      </c>
      <c r="AD1002" s="251"/>
      <c r="AE1002" s="1736"/>
      <c r="AF1002" s="1737"/>
      <c r="AG1002" s="77">
        <f t="shared" si="156"/>
        <v>0</v>
      </c>
      <c r="AH1002" s="136">
        <f t="shared" si="157"/>
        <v>0</v>
      </c>
      <c r="AI1002" s="251"/>
      <c r="AJ1002" s="1736"/>
      <c r="AK1002" s="1737"/>
      <c r="AL1002" s="79">
        <f t="shared" si="158"/>
        <v>0</v>
      </c>
      <c r="AM1002" s="137">
        <f t="shared" si="159"/>
        <v>0</v>
      </c>
      <c r="AN1002" s="251"/>
      <c r="AO1002" s="1736"/>
      <c r="AP1002" s="1737"/>
    </row>
    <row r="1003" spans="1:42" s="85" customFormat="1" ht="13.5" thickBot="1">
      <c r="A1003" s="240"/>
      <c r="B1003" s="241"/>
      <c r="C1003" s="242"/>
      <c r="D1003" s="242"/>
      <c r="E1003" s="243"/>
      <c r="F1003" s="244"/>
      <c r="G1003" s="244"/>
      <c r="H1003" s="243"/>
      <c r="I1003" s="258"/>
      <c r="J1003" s="245"/>
      <c r="K1003" s="245"/>
      <c r="L1003" s="76">
        <f t="shared" si="150"/>
        <v>0</v>
      </c>
      <c r="M1003" s="246"/>
      <c r="N1003" s="247"/>
      <c r="O1003" s="248"/>
      <c r="P1003" s="246"/>
      <c r="Q1003" s="249"/>
      <c r="R1003" s="250"/>
      <c r="S1003" s="259"/>
      <c r="T1003" s="260"/>
      <c r="U1003" s="250"/>
      <c r="V1003" s="78">
        <f t="shared" si="151"/>
        <v>0</v>
      </c>
      <c r="W1003" s="261">
        <f t="shared" si="152"/>
        <v>0</v>
      </c>
      <c r="X1003" s="133">
        <f t="shared" si="153"/>
        <v>0</v>
      </c>
      <c r="Y1003" s="251"/>
      <c r="Z1003" s="1736"/>
      <c r="AA1003" s="1737"/>
      <c r="AB1003" s="77">
        <f t="shared" si="154"/>
        <v>0</v>
      </c>
      <c r="AC1003" s="134">
        <f t="shared" si="155"/>
        <v>0</v>
      </c>
      <c r="AD1003" s="251"/>
      <c r="AE1003" s="1736"/>
      <c r="AF1003" s="1737"/>
      <c r="AG1003" s="77">
        <f t="shared" si="156"/>
        <v>0</v>
      </c>
      <c r="AH1003" s="136">
        <f t="shared" si="157"/>
        <v>0</v>
      </c>
      <c r="AI1003" s="251"/>
      <c r="AJ1003" s="1736"/>
      <c r="AK1003" s="1737"/>
      <c r="AL1003" s="79">
        <f t="shared" si="158"/>
        <v>0</v>
      </c>
      <c r="AM1003" s="137">
        <f t="shared" si="159"/>
        <v>0</v>
      </c>
      <c r="AN1003" s="251"/>
      <c r="AO1003" s="1736"/>
      <c r="AP1003" s="1737"/>
    </row>
    <row r="1004" spans="1:42" s="85" customFormat="1" ht="13.5" thickBot="1">
      <c r="A1004" s="240"/>
      <c r="B1004" s="241"/>
      <c r="C1004" s="242"/>
      <c r="D1004" s="242"/>
      <c r="E1004" s="243"/>
      <c r="F1004" s="244"/>
      <c r="G1004" s="244"/>
      <c r="H1004" s="243"/>
      <c r="I1004" s="258"/>
      <c r="J1004" s="245"/>
      <c r="K1004" s="245"/>
      <c r="L1004" s="76">
        <f t="shared" si="150"/>
        <v>0</v>
      </c>
      <c r="M1004" s="246"/>
      <c r="N1004" s="247"/>
      <c r="O1004" s="248"/>
      <c r="P1004" s="246"/>
      <c r="Q1004" s="249"/>
      <c r="R1004" s="250"/>
      <c r="S1004" s="259"/>
      <c r="T1004" s="260"/>
      <c r="U1004" s="250"/>
      <c r="V1004" s="78">
        <f t="shared" si="151"/>
        <v>0</v>
      </c>
      <c r="W1004" s="261">
        <f t="shared" si="152"/>
        <v>0</v>
      </c>
      <c r="X1004" s="133">
        <f t="shared" si="153"/>
        <v>0</v>
      </c>
      <c r="Y1004" s="251"/>
      <c r="Z1004" s="1736"/>
      <c r="AA1004" s="1737"/>
      <c r="AB1004" s="77">
        <f t="shared" si="154"/>
        <v>0</v>
      </c>
      <c r="AC1004" s="134">
        <f t="shared" si="155"/>
        <v>0</v>
      </c>
      <c r="AD1004" s="251"/>
      <c r="AE1004" s="1736"/>
      <c r="AF1004" s="1737"/>
      <c r="AG1004" s="77">
        <f t="shared" si="156"/>
        <v>0</v>
      </c>
      <c r="AH1004" s="136">
        <f t="shared" si="157"/>
        <v>0</v>
      </c>
      <c r="AI1004" s="251"/>
      <c r="AJ1004" s="1736"/>
      <c r="AK1004" s="1737"/>
      <c r="AL1004" s="79">
        <f t="shared" si="158"/>
        <v>0</v>
      </c>
      <c r="AM1004" s="137">
        <f t="shared" si="159"/>
        <v>0</v>
      </c>
      <c r="AN1004" s="251"/>
      <c r="AO1004" s="1736"/>
      <c r="AP1004" s="1737"/>
    </row>
    <row r="1005" spans="1:42" s="85" customFormat="1" ht="13.5" thickBot="1">
      <c r="A1005" s="240"/>
      <c r="B1005" s="241"/>
      <c r="C1005" s="242"/>
      <c r="D1005" s="242"/>
      <c r="E1005" s="243"/>
      <c r="F1005" s="244"/>
      <c r="G1005" s="244"/>
      <c r="H1005" s="243"/>
      <c r="I1005" s="258"/>
      <c r="J1005" s="245"/>
      <c r="K1005" s="245"/>
      <c r="L1005" s="76">
        <f t="shared" si="150"/>
        <v>0</v>
      </c>
      <c r="M1005" s="246"/>
      <c r="N1005" s="247"/>
      <c r="O1005" s="248"/>
      <c r="P1005" s="246"/>
      <c r="Q1005" s="249"/>
      <c r="R1005" s="250"/>
      <c r="S1005" s="259"/>
      <c r="T1005" s="260"/>
      <c r="U1005" s="250"/>
      <c r="V1005" s="78">
        <f t="shared" si="151"/>
        <v>0</v>
      </c>
      <c r="W1005" s="261">
        <f t="shared" si="152"/>
        <v>0</v>
      </c>
      <c r="X1005" s="133">
        <f t="shared" si="153"/>
        <v>0</v>
      </c>
      <c r="Y1005" s="251"/>
      <c r="Z1005" s="1736"/>
      <c r="AA1005" s="1737"/>
      <c r="AB1005" s="77">
        <f t="shared" si="154"/>
        <v>0</v>
      </c>
      <c r="AC1005" s="134">
        <f t="shared" si="155"/>
        <v>0</v>
      </c>
      <c r="AD1005" s="251"/>
      <c r="AE1005" s="1736"/>
      <c r="AF1005" s="1737"/>
      <c r="AG1005" s="77">
        <f t="shared" si="156"/>
        <v>0</v>
      </c>
      <c r="AH1005" s="136">
        <f t="shared" si="157"/>
        <v>0</v>
      </c>
      <c r="AI1005" s="251"/>
      <c r="AJ1005" s="1736"/>
      <c r="AK1005" s="1737"/>
      <c r="AL1005" s="79">
        <f t="shared" si="158"/>
        <v>0</v>
      </c>
      <c r="AM1005" s="137">
        <f t="shared" si="159"/>
        <v>0</v>
      </c>
      <c r="AN1005" s="251"/>
      <c r="AO1005" s="1736"/>
      <c r="AP1005" s="1737"/>
    </row>
    <row r="1006" spans="1:42" s="85" customFormat="1" ht="13.5" thickBot="1">
      <c r="A1006" s="240"/>
      <c r="B1006" s="241"/>
      <c r="C1006" s="242"/>
      <c r="D1006" s="242"/>
      <c r="E1006" s="243"/>
      <c r="F1006" s="244"/>
      <c r="G1006" s="244"/>
      <c r="H1006" s="243"/>
      <c r="I1006" s="258"/>
      <c r="J1006" s="245"/>
      <c r="K1006" s="245"/>
      <c r="L1006" s="76">
        <f t="shared" si="150"/>
        <v>0</v>
      </c>
      <c r="M1006" s="246"/>
      <c r="N1006" s="247"/>
      <c r="O1006" s="248"/>
      <c r="P1006" s="246"/>
      <c r="Q1006" s="249"/>
      <c r="R1006" s="250"/>
      <c r="S1006" s="259"/>
      <c r="T1006" s="260"/>
      <c r="U1006" s="250"/>
      <c r="V1006" s="78">
        <f t="shared" si="151"/>
        <v>0</v>
      </c>
      <c r="W1006" s="261">
        <f t="shared" si="152"/>
        <v>0</v>
      </c>
      <c r="X1006" s="133">
        <f t="shared" si="153"/>
        <v>0</v>
      </c>
      <c r="Y1006" s="251"/>
      <c r="Z1006" s="1736"/>
      <c r="AA1006" s="1737"/>
      <c r="AB1006" s="77">
        <f t="shared" si="154"/>
        <v>0</v>
      </c>
      <c r="AC1006" s="134">
        <f t="shared" si="155"/>
        <v>0</v>
      </c>
      <c r="AD1006" s="251"/>
      <c r="AE1006" s="1736"/>
      <c r="AF1006" s="1737"/>
      <c r="AG1006" s="77">
        <f t="shared" si="156"/>
        <v>0</v>
      </c>
      <c r="AH1006" s="136">
        <f t="shared" si="157"/>
        <v>0</v>
      </c>
      <c r="AI1006" s="251"/>
      <c r="AJ1006" s="1736"/>
      <c r="AK1006" s="1737"/>
      <c r="AL1006" s="79">
        <f t="shared" si="158"/>
        <v>0</v>
      </c>
      <c r="AM1006" s="137">
        <f t="shared" si="159"/>
        <v>0</v>
      </c>
      <c r="AN1006" s="251"/>
      <c r="AO1006" s="1736"/>
      <c r="AP1006" s="1737"/>
    </row>
    <row r="1007" spans="1:42" s="85" customFormat="1" ht="13.5" thickBot="1">
      <c r="A1007" s="240"/>
      <c r="B1007" s="241"/>
      <c r="C1007" s="242"/>
      <c r="D1007" s="242"/>
      <c r="E1007" s="243"/>
      <c r="F1007" s="244"/>
      <c r="G1007" s="244"/>
      <c r="H1007" s="243"/>
      <c r="I1007" s="258"/>
      <c r="J1007" s="245"/>
      <c r="K1007" s="245"/>
      <c r="L1007" s="76">
        <f t="shared" si="150"/>
        <v>0</v>
      </c>
      <c r="M1007" s="246"/>
      <c r="N1007" s="247"/>
      <c r="O1007" s="248"/>
      <c r="P1007" s="246"/>
      <c r="Q1007" s="249"/>
      <c r="R1007" s="250"/>
      <c r="S1007" s="259"/>
      <c r="T1007" s="260"/>
      <c r="U1007" s="250"/>
      <c r="V1007" s="78">
        <f t="shared" si="151"/>
        <v>0</v>
      </c>
      <c r="W1007" s="261">
        <f t="shared" si="152"/>
        <v>0</v>
      </c>
      <c r="X1007" s="133">
        <f t="shared" si="153"/>
        <v>0</v>
      </c>
      <c r="Y1007" s="251"/>
      <c r="Z1007" s="1736"/>
      <c r="AA1007" s="1737"/>
      <c r="AB1007" s="77">
        <f t="shared" si="154"/>
        <v>0</v>
      </c>
      <c r="AC1007" s="134">
        <f t="shared" si="155"/>
        <v>0</v>
      </c>
      <c r="AD1007" s="251"/>
      <c r="AE1007" s="1736"/>
      <c r="AF1007" s="1737"/>
      <c r="AG1007" s="77">
        <f t="shared" si="156"/>
        <v>0</v>
      </c>
      <c r="AH1007" s="136">
        <f t="shared" si="157"/>
        <v>0</v>
      </c>
      <c r="AI1007" s="251"/>
      <c r="AJ1007" s="1736"/>
      <c r="AK1007" s="1737"/>
      <c r="AL1007" s="79">
        <f t="shared" si="158"/>
        <v>0</v>
      </c>
      <c r="AM1007" s="137">
        <f t="shared" si="159"/>
        <v>0</v>
      </c>
      <c r="AN1007" s="251"/>
      <c r="AO1007" s="1736"/>
      <c r="AP1007" s="1737"/>
    </row>
    <row r="1008" spans="1:42" s="85" customFormat="1" ht="13.5" thickBot="1">
      <c r="A1008" s="240"/>
      <c r="B1008" s="241"/>
      <c r="C1008" s="242"/>
      <c r="D1008" s="242"/>
      <c r="E1008" s="243"/>
      <c r="F1008" s="244"/>
      <c r="G1008" s="244"/>
      <c r="H1008" s="243"/>
      <c r="I1008" s="258"/>
      <c r="J1008" s="245"/>
      <c r="K1008" s="245"/>
      <c r="L1008" s="76">
        <f t="shared" si="150"/>
        <v>0</v>
      </c>
      <c r="M1008" s="246"/>
      <c r="N1008" s="247"/>
      <c r="O1008" s="248"/>
      <c r="P1008" s="246"/>
      <c r="Q1008" s="249"/>
      <c r="R1008" s="250"/>
      <c r="S1008" s="259"/>
      <c r="T1008" s="260"/>
      <c r="U1008" s="250"/>
      <c r="V1008" s="78">
        <f t="shared" si="151"/>
        <v>0</v>
      </c>
      <c r="W1008" s="261">
        <f t="shared" si="152"/>
        <v>0</v>
      </c>
      <c r="X1008" s="133">
        <f t="shared" si="153"/>
        <v>0</v>
      </c>
      <c r="Y1008" s="251"/>
      <c r="Z1008" s="1736"/>
      <c r="AA1008" s="1737"/>
      <c r="AB1008" s="77">
        <f t="shared" si="154"/>
        <v>0</v>
      </c>
      <c r="AC1008" s="134">
        <f t="shared" si="155"/>
        <v>0</v>
      </c>
      <c r="AD1008" s="251"/>
      <c r="AE1008" s="1736"/>
      <c r="AF1008" s="1737"/>
      <c r="AG1008" s="77">
        <f t="shared" si="156"/>
        <v>0</v>
      </c>
      <c r="AH1008" s="136">
        <f t="shared" si="157"/>
        <v>0</v>
      </c>
      <c r="AI1008" s="251"/>
      <c r="AJ1008" s="1736"/>
      <c r="AK1008" s="1737"/>
      <c r="AL1008" s="79">
        <f t="shared" si="158"/>
        <v>0</v>
      </c>
      <c r="AM1008" s="137">
        <f t="shared" si="159"/>
        <v>0</v>
      </c>
      <c r="AN1008" s="251"/>
      <c r="AO1008" s="1736"/>
      <c r="AP1008" s="1737"/>
    </row>
    <row r="1009" spans="1:42" s="85" customFormat="1" ht="13.5" thickBot="1">
      <c r="A1009" s="240"/>
      <c r="B1009" s="241"/>
      <c r="C1009" s="242"/>
      <c r="D1009" s="242"/>
      <c r="E1009" s="243"/>
      <c r="F1009" s="244"/>
      <c r="G1009" s="244"/>
      <c r="H1009" s="243"/>
      <c r="I1009" s="258"/>
      <c r="J1009" s="245"/>
      <c r="K1009" s="245"/>
      <c r="L1009" s="76">
        <f t="shared" si="150"/>
        <v>0</v>
      </c>
      <c r="M1009" s="246"/>
      <c r="N1009" s="247"/>
      <c r="O1009" s="248"/>
      <c r="P1009" s="246"/>
      <c r="Q1009" s="249"/>
      <c r="R1009" s="250"/>
      <c r="S1009" s="259"/>
      <c r="T1009" s="260"/>
      <c r="U1009" s="250"/>
      <c r="V1009" s="78">
        <f t="shared" si="151"/>
        <v>0</v>
      </c>
      <c r="W1009" s="261">
        <f t="shared" si="152"/>
        <v>0</v>
      </c>
      <c r="X1009" s="133">
        <f t="shared" si="153"/>
        <v>0</v>
      </c>
      <c r="Y1009" s="251"/>
      <c r="Z1009" s="1736"/>
      <c r="AA1009" s="1737"/>
      <c r="AB1009" s="77">
        <f t="shared" si="154"/>
        <v>0</v>
      </c>
      <c r="AC1009" s="134">
        <f t="shared" si="155"/>
        <v>0</v>
      </c>
      <c r="AD1009" s="251"/>
      <c r="AE1009" s="1736"/>
      <c r="AF1009" s="1737"/>
      <c r="AG1009" s="77">
        <f t="shared" si="156"/>
        <v>0</v>
      </c>
      <c r="AH1009" s="136">
        <f t="shared" si="157"/>
        <v>0</v>
      </c>
      <c r="AI1009" s="251"/>
      <c r="AJ1009" s="1736"/>
      <c r="AK1009" s="1737"/>
      <c r="AL1009" s="79">
        <f t="shared" si="158"/>
        <v>0</v>
      </c>
      <c r="AM1009" s="137">
        <f t="shared" si="159"/>
        <v>0</v>
      </c>
      <c r="AN1009" s="251"/>
      <c r="AO1009" s="1736"/>
      <c r="AP1009" s="1737"/>
    </row>
    <row r="1010" spans="1:42" s="85" customFormat="1" ht="13.5" thickBot="1">
      <c r="A1010" s="240"/>
      <c r="B1010" s="241"/>
      <c r="C1010" s="242"/>
      <c r="D1010" s="242"/>
      <c r="E1010" s="243"/>
      <c r="F1010" s="244"/>
      <c r="G1010" s="244"/>
      <c r="H1010" s="243"/>
      <c r="I1010" s="258"/>
      <c r="J1010" s="245"/>
      <c r="K1010" s="245"/>
      <c r="L1010" s="76">
        <f t="shared" si="150"/>
        <v>0</v>
      </c>
      <c r="M1010" s="246"/>
      <c r="N1010" s="247"/>
      <c r="O1010" s="248"/>
      <c r="P1010" s="246"/>
      <c r="Q1010" s="249"/>
      <c r="R1010" s="250"/>
      <c r="S1010" s="259"/>
      <c r="T1010" s="260"/>
      <c r="U1010" s="250"/>
      <c r="V1010" s="78">
        <f t="shared" si="151"/>
        <v>0</v>
      </c>
      <c r="W1010" s="261">
        <f t="shared" si="152"/>
        <v>0</v>
      </c>
      <c r="X1010" s="133">
        <f t="shared" si="153"/>
        <v>0</v>
      </c>
      <c r="Y1010" s="251"/>
      <c r="Z1010" s="1736"/>
      <c r="AA1010" s="1737"/>
      <c r="AB1010" s="77">
        <f t="shared" si="154"/>
        <v>0</v>
      </c>
      <c r="AC1010" s="134">
        <f t="shared" si="155"/>
        <v>0</v>
      </c>
      <c r="AD1010" s="251"/>
      <c r="AE1010" s="1736"/>
      <c r="AF1010" s="1737"/>
      <c r="AG1010" s="77">
        <f t="shared" si="156"/>
        <v>0</v>
      </c>
      <c r="AH1010" s="136">
        <f t="shared" si="157"/>
        <v>0</v>
      </c>
      <c r="AI1010" s="251"/>
      <c r="AJ1010" s="1736"/>
      <c r="AK1010" s="1737"/>
      <c r="AL1010" s="79">
        <f t="shared" si="158"/>
        <v>0</v>
      </c>
      <c r="AM1010" s="137">
        <f t="shared" si="159"/>
        <v>0</v>
      </c>
      <c r="AN1010" s="251"/>
      <c r="AO1010" s="1736"/>
      <c r="AP1010" s="1737"/>
    </row>
    <row r="1011" spans="1:42" s="85" customFormat="1" ht="13.5" thickBot="1">
      <c r="A1011" s="240"/>
      <c r="B1011" s="241"/>
      <c r="C1011" s="242"/>
      <c r="D1011" s="242"/>
      <c r="E1011" s="243"/>
      <c r="F1011" s="244"/>
      <c r="G1011" s="244"/>
      <c r="H1011" s="243"/>
      <c r="I1011" s="258"/>
      <c r="J1011" s="245"/>
      <c r="K1011" s="245"/>
      <c r="L1011" s="76">
        <f t="shared" si="150"/>
        <v>0</v>
      </c>
      <c r="M1011" s="246"/>
      <c r="N1011" s="247"/>
      <c r="O1011" s="248"/>
      <c r="P1011" s="246"/>
      <c r="Q1011" s="249"/>
      <c r="R1011" s="250"/>
      <c r="S1011" s="259"/>
      <c r="T1011" s="260"/>
      <c r="U1011" s="250"/>
      <c r="V1011" s="78">
        <f t="shared" si="151"/>
        <v>0</v>
      </c>
      <c r="W1011" s="261">
        <f t="shared" si="152"/>
        <v>0</v>
      </c>
      <c r="X1011" s="133">
        <f t="shared" si="153"/>
        <v>0</v>
      </c>
      <c r="Y1011" s="251"/>
      <c r="Z1011" s="1736"/>
      <c r="AA1011" s="1737"/>
      <c r="AB1011" s="77">
        <f t="shared" si="154"/>
        <v>0</v>
      </c>
      <c r="AC1011" s="134">
        <f t="shared" si="155"/>
        <v>0</v>
      </c>
      <c r="AD1011" s="251"/>
      <c r="AE1011" s="1736"/>
      <c r="AF1011" s="1737"/>
      <c r="AG1011" s="77">
        <f t="shared" si="156"/>
        <v>0</v>
      </c>
      <c r="AH1011" s="136">
        <f t="shared" si="157"/>
        <v>0</v>
      </c>
      <c r="AI1011" s="251"/>
      <c r="AJ1011" s="1736"/>
      <c r="AK1011" s="1737"/>
      <c r="AL1011" s="79">
        <f t="shared" si="158"/>
        <v>0</v>
      </c>
      <c r="AM1011" s="137">
        <f t="shared" si="159"/>
        <v>0</v>
      </c>
      <c r="AN1011" s="251"/>
      <c r="AO1011" s="1736"/>
      <c r="AP1011" s="1737"/>
    </row>
    <row r="1012" spans="1:42" s="85" customFormat="1" ht="13.5" thickBot="1">
      <c r="A1012" s="240"/>
      <c r="B1012" s="241"/>
      <c r="C1012" s="242"/>
      <c r="D1012" s="242"/>
      <c r="E1012" s="243"/>
      <c r="F1012" s="244"/>
      <c r="G1012" s="244"/>
      <c r="H1012" s="243"/>
      <c r="I1012" s="258"/>
      <c r="J1012" s="245"/>
      <c r="K1012" s="245"/>
      <c r="L1012" s="76">
        <f t="shared" si="150"/>
        <v>0</v>
      </c>
      <c r="M1012" s="246"/>
      <c r="N1012" s="247"/>
      <c r="O1012" s="248"/>
      <c r="P1012" s="246"/>
      <c r="Q1012" s="249"/>
      <c r="R1012" s="250"/>
      <c r="S1012" s="259"/>
      <c r="T1012" s="260"/>
      <c r="U1012" s="250"/>
      <c r="V1012" s="78">
        <f t="shared" si="151"/>
        <v>0</v>
      </c>
      <c r="W1012" s="261">
        <f t="shared" si="152"/>
        <v>0</v>
      </c>
      <c r="X1012" s="133">
        <f t="shared" si="153"/>
        <v>0</v>
      </c>
      <c r="Y1012" s="251"/>
      <c r="Z1012" s="1736"/>
      <c r="AA1012" s="1737"/>
      <c r="AB1012" s="77">
        <f t="shared" si="154"/>
        <v>0</v>
      </c>
      <c r="AC1012" s="134">
        <f t="shared" si="155"/>
        <v>0</v>
      </c>
      <c r="AD1012" s="251"/>
      <c r="AE1012" s="1736"/>
      <c r="AF1012" s="1737"/>
      <c r="AG1012" s="77">
        <f t="shared" si="156"/>
        <v>0</v>
      </c>
      <c r="AH1012" s="136">
        <f t="shared" si="157"/>
        <v>0</v>
      </c>
      <c r="AI1012" s="251"/>
      <c r="AJ1012" s="1736"/>
      <c r="AK1012" s="1737"/>
      <c r="AL1012" s="79">
        <f t="shared" si="158"/>
        <v>0</v>
      </c>
      <c r="AM1012" s="137">
        <f t="shared" si="159"/>
        <v>0</v>
      </c>
      <c r="AN1012" s="251"/>
      <c r="AO1012" s="1736"/>
      <c r="AP1012" s="1737"/>
    </row>
    <row r="1013" spans="1:42" s="85" customFormat="1" ht="13.5" thickBot="1">
      <c r="A1013" s="240"/>
      <c r="B1013" s="241"/>
      <c r="C1013" s="242"/>
      <c r="D1013" s="242"/>
      <c r="E1013" s="243"/>
      <c r="F1013" s="244"/>
      <c r="G1013" s="244"/>
      <c r="H1013" s="243"/>
      <c r="I1013" s="258"/>
      <c r="J1013" s="245"/>
      <c r="K1013" s="245"/>
      <c r="L1013" s="76">
        <f t="shared" si="150"/>
        <v>0</v>
      </c>
      <c r="M1013" s="246"/>
      <c r="N1013" s="247"/>
      <c r="O1013" s="248"/>
      <c r="P1013" s="246"/>
      <c r="Q1013" s="249"/>
      <c r="R1013" s="250"/>
      <c r="S1013" s="259"/>
      <c r="T1013" s="260"/>
      <c r="U1013" s="250"/>
      <c r="V1013" s="78">
        <f t="shared" si="151"/>
        <v>0</v>
      </c>
      <c r="W1013" s="261">
        <f t="shared" si="152"/>
        <v>0</v>
      </c>
      <c r="X1013" s="133">
        <f t="shared" si="153"/>
        <v>0</v>
      </c>
      <c r="Y1013" s="251"/>
      <c r="Z1013" s="1736"/>
      <c r="AA1013" s="1737"/>
      <c r="AB1013" s="77">
        <f t="shared" si="154"/>
        <v>0</v>
      </c>
      <c r="AC1013" s="134">
        <f t="shared" si="155"/>
        <v>0</v>
      </c>
      <c r="AD1013" s="251"/>
      <c r="AE1013" s="1736"/>
      <c r="AF1013" s="1737"/>
      <c r="AG1013" s="77">
        <f t="shared" si="156"/>
        <v>0</v>
      </c>
      <c r="AH1013" s="136">
        <f t="shared" si="157"/>
        <v>0</v>
      </c>
      <c r="AI1013" s="251"/>
      <c r="AJ1013" s="1736"/>
      <c r="AK1013" s="1737"/>
      <c r="AL1013" s="79">
        <f t="shared" si="158"/>
        <v>0</v>
      </c>
      <c r="AM1013" s="137">
        <f t="shared" si="159"/>
        <v>0</v>
      </c>
      <c r="AN1013" s="251"/>
      <c r="AO1013" s="1736"/>
      <c r="AP1013" s="1737"/>
    </row>
    <row r="1014" spans="1:42" s="85" customFormat="1" ht="13.5" thickBot="1">
      <c r="A1014" s="240"/>
      <c r="B1014" s="241"/>
      <c r="C1014" s="242"/>
      <c r="D1014" s="242"/>
      <c r="E1014" s="243"/>
      <c r="F1014" s="244"/>
      <c r="G1014" s="244"/>
      <c r="H1014" s="243"/>
      <c r="I1014" s="258"/>
      <c r="J1014" s="245"/>
      <c r="K1014" s="245"/>
      <c r="L1014" s="76">
        <f t="shared" si="150"/>
        <v>0</v>
      </c>
      <c r="M1014" s="246"/>
      <c r="N1014" s="247"/>
      <c r="O1014" s="248"/>
      <c r="P1014" s="246"/>
      <c r="Q1014" s="249"/>
      <c r="R1014" s="250"/>
      <c r="S1014" s="259"/>
      <c r="T1014" s="260"/>
      <c r="U1014" s="250"/>
      <c r="V1014" s="78">
        <f t="shared" si="151"/>
        <v>0</v>
      </c>
      <c r="W1014" s="261">
        <f t="shared" si="152"/>
        <v>0</v>
      </c>
      <c r="X1014" s="133">
        <f t="shared" si="153"/>
        <v>0</v>
      </c>
      <c r="Y1014" s="251"/>
      <c r="Z1014" s="1736"/>
      <c r="AA1014" s="1737"/>
      <c r="AB1014" s="77">
        <f t="shared" si="154"/>
        <v>0</v>
      </c>
      <c r="AC1014" s="134">
        <f t="shared" si="155"/>
        <v>0</v>
      </c>
      <c r="AD1014" s="251"/>
      <c r="AE1014" s="1736"/>
      <c r="AF1014" s="1737"/>
      <c r="AG1014" s="77">
        <f t="shared" si="156"/>
        <v>0</v>
      </c>
      <c r="AH1014" s="136">
        <f t="shared" si="157"/>
        <v>0</v>
      </c>
      <c r="AI1014" s="251"/>
      <c r="AJ1014" s="1736"/>
      <c r="AK1014" s="1737"/>
      <c r="AL1014" s="79">
        <f t="shared" si="158"/>
        <v>0</v>
      </c>
      <c r="AM1014" s="137">
        <f t="shared" si="159"/>
        <v>0</v>
      </c>
      <c r="AN1014" s="251"/>
      <c r="AO1014" s="1736"/>
      <c r="AP1014" s="1737"/>
    </row>
    <row r="1015" spans="1:42" s="85" customFormat="1" ht="13.5" thickBot="1">
      <c r="A1015" s="240"/>
      <c r="B1015" s="241"/>
      <c r="C1015" s="242"/>
      <c r="D1015" s="242"/>
      <c r="E1015" s="243"/>
      <c r="F1015" s="244"/>
      <c r="G1015" s="244"/>
      <c r="H1015" s="243"/>
      <c r="I1015" s="258"/>
      <c r="J1015" s="245"/>
      <c r="K1015" s="245"/>
      <c r="L1015" s="76">
        <f t="shared" si="150"/>
        <v>0</v>
      </c>
      <c r="M1015" s="246"/>
      <c r="N1015" s="247"/>
      <c r="O1015" s="248"/>
      <c r="P1015" s="246"/>
      <c r="Q1015" s="249"/>
      <c r="R1015" s="250"/>
      <c r="S1015" s="259"/>
      <c r="T1015" s="260"/>
      <c r="U1015" s="250"/>
      <c r="V1015" s="78">
        <f t="shared" si="151"/>
        <v>0</v>
      </c>
      <c r="W1015" s="261">
        <f t="shared" si="152"/>
        <v>0</v>
      </c>
      <c r="X1015" s="133">
        <f t="shared" si="153"/>
        <v>0</v>
      </c>
      <c r="Y1015" s="251"/>
      <c r="Z1015" s="1736"/>
      <c r="AA1015" s="1737"/>
      <c r="AB1015" s="77">
        <f t="shared" si="154"/>
        <v>0</v>
      </c>
      <c r="AC1015" s="134">
        <f t="shared" si="155"/>
        <v>0</v>
      </c>
      <c r="AD1015" s="251"/>
      <c r="AE1015" s="1736"/>
      <c r="AF1015" s="1737"/>
      <c r="AG1015" s="77">
        <f t="shared" si="156"/>
        <v>0</v>
      </c>
      <c r="AH1015" s="136">
        <f t="shared" si="157"/>
        <v>0</v>
      </c>
      <c r="AI1015" s="251"/>
      <c r="AJ1015" s="1736"/>
      <c r="AK1015" s="1737"/>
      <c r="AL1015" s="79">
        <f t="shared" si="158"/>
        <v>0</v>
      </c>
      <c r="AM1015" s="137">
        <f t="shared" si="159"/>
        <v>0</v>
      </c>
      <c r="AN1015" s="251"/>
      <c r="AO1015" s="1736"/>
      <c r="AP1015" s="1737"/>
    </row>
    <row r="1016" spans="1:42" s="85" customFormat="1" ht="13.5" thickBot="1">
      <c r="A1016" s="240"/>
      <c r="B1016" s="241"/>
      <c r="C1016" s="242"/>
      <c r="D1016" s="242"/>
      <c r="E1016" s="243"/>
      <c r="F1016" s="244"/>
      <c r="G1016" s="244"/>
      <c r="H1016" s="243"/>
      <c r="I1016" s="258"/>
      <c r="J1016" s="245"/>
      <c r="K1016" s="245"/>
      <c r="L1016" s="76">
        <f t="shared" si="150"/>
        <v>0</v>
      </c>
      <c r="M1016" s="246"/>
      <c r="N1016" s="247"/>
      <c r="O1016" s="248"/>
      <c r="P1016" s="246"/>
      <c r="Q1016" s="249"/>
      <c r="R1016" s="250"/>
      <c r="S1016" s="259"/>
      <c r="T1016" s="260"/>
      <c r="U1016" s="250"/>
      <c r="V1016" s="78">
        <f t="shared" si="151"/>
        <v>0</v>
      </c>
      <c r="W1016" s="261">
        <f t="shared" si="152"/>
        <v>0</v>
      </c>
      <c r="X1016" s="133">
        <f t="shared" si="153"/>
        <v>0</v>
      </c>
      <c r="Y1016" s="251"/>
      <c r="Z1016" s="1736"/>
      <c r="AA1016" s="1737"/>
      <c r="AB1016" s="77">
        <f t="shared" si="154"/>
        <v>0</v>
      </c>
      <c r="AC1016" s="134">
        <f t="shared" si="155"/>
        <v>0</v>
      </c>
      <c r="AD1016" s="251"/>
      <c r="AE1016" s="1736"/>
      <c r="AF1016" s="1737"/>
      <c r="AG1016" s="77">
        <f t="shared" si="156"/>
        <v>0</v>
      </c>
      <c r="AH1016" s="136">
        <f t="shared" si="157"/>
        <v>0</v>
      </c>
      <c r="AI1016" s="251"/>
      <c r="AJ1016" s="1736"/>
      <c r="AK1016" s="1737"/>
      <c r="AL1016" s="79">
        <f t="shared" si="158"/>
        <v>0</v>
      </c>
      <c r="AM1016" s="137">
        <f t="shared" si="159"/>
        <v>0</v>
      </c>
      <c r="AN1016" s="251"/>
      <c r="AO1016" s="1736"/>
      <c r="AP1016" s="1737"/>
    </row>
    <row r="1017" spans="1:42" s="85" customFormat="1" ht="13.5" thickBot="1">
      <c r="A1017" s="240"/>
      <c r="B1017" s="241"/>
      <c r="C1017" s="242"/>
      <c r="D1017" s="242"/>
      <c r="E1017" s="243"/>
      <c r="F1017" s="244"/>
      <c r="G1017" s="244"/>
      <c r="H1017" s="243"/>
      <c r="I1017" s="258"/>
      <c r="J1017" s="245"/>
      <c r="K1017" s="245"/>
      <c r="L1017" s="76">
        <f t="shared" si="150"/>
        <v>0</v>
      </c>
      <c r="M1017" s="246"/>
      <c r="N1017" s="247"/>
      <c r="O1017" s="248"/>
      <c r="P1017" s="246"/>
      <c r="Q1017" s="249"/>
      <c r="R1017" s="250"/>
      <c r="S1017" s="259"/>
      <c r="T1017" s="260"/>
      <c r="U1017" s="250"/>
      <c r="V1017" s="78">
        <f t="shared" si="151"/>
        <v>0</v>
      </c>
      <c r="W1017" s="261">
        <f t="shared" si="152"/>
        <v>0</v>
      </c>
      <c r="X1017" s="133">
        <f t="shared" si="153"/>
        <v>0</v>
      </c>
      <c r="Y1017" s="251"/>
      <c r="Z1017" s="1736"/>
      <c r="AA1017" s="1737"/>
      <c r="AB1017" s="77">
        <f t="shared" si="154"/>
        <v>0</v>
      </c>
      <c r="AC1017" s="134">
        <f t="shared" si="155"/>
        <v>0</v>
      </c>
      <c r="AD1017" s="251"/>
      <c r="AE1017" s="1736"/>
      <c r="AF1017" s="1737"/>
      <c r="AG1017" s="77">
        <f t="shared" si="156"/>
        <v>0</v>
      </c>
      <c r="AH1017" s="136">
        <f t="shared" si="157"/>
        <v>0</v>
      </c>
      <c r="AI1017" s="251"/>
      <c r="AJ1017" s="1736"/>
      <c r="AK1017" s="1737"/>
      <c r="AL1017" s="79">
        <f t="shared" si="158"/>
        <v>0</v>
      </c>
      <c r="AM1017" s="137">
        <f t="shared" si="159"/>
        <v>0</v>
      </c>
      <c r="AN1017" s="251"/>
      <c r="AO1017" s="1736"/>
      <c r="AP1017" s="1737"/>
    </row>
    <row r="1018" spans="1:42" s="85" customFormat="1" ht="13.5" thickBot="1">
      <c r="A1018" s="240"/>
      <c r="B1018" s="241"/>
      <c r="C1018" s="242"/>
      <c r="D1018" s="242"/>
      <c r="E1018" s="243"/>
      <c r="F1018" s="244"/>
      <c r="G1018" s="244"/>
      <c r="H1018" s="243"/>
      <c r="I1018" s="258"/>
      <c r="J1018" s="245"/>
      <c r="K1018" s="245"/>
      <c r="L1018" s="76">
        <f t="shared" si="150"/>
        <v>0</v>
      </c>
      <c r="M1018" s="246"/>
      <c r="N1018" s="247"/>
      <c r="O1018" s="248"/>
      <c r="P1018" s="246"/>
      <c r="Q1018" s="249"/>
      <c r="R1018" s="250"/>
      <c r="S1018" s="259"/>
      <c r="T1018" s="260"/>
      <c r="U1018" s="250"/>
      <c r="V1018" s="78">
        <f t="shared" si="151"/>
        <v>0</v>
      </c>
      <c r="W1018" s="261">
        <f t="shared" si="152"/>
        <v>0</v>
      </c>
      <c r="X1018" s="133">
        <f t="shared" si="153"/>
        <v>0</v>
      </c>
      <c r="Y1018" s="251"/>
      <c r="Z1018" s="1736"/>
      <c r="AA1018" s="1737"/>
      <c r="AB1018" s="77">
        <f t="shared" si="154"/>
        <v>0</v>
      </c>
      <c r="AC1018" s="134">
        <f t="shared" si="155"/>
        <v>0</v>
      </c>
      <c r="AD1018" s="251"/>
      <c r="AE1018" s="1736"/>
      <c r="AF1018" s="1737"/>
      <c r="AG1018" s="77">
        <f t="shared" si="156"/>
        <v>0</v>
      </c>
      <c r="AH1018" s="136">
        <f t="shared" si="157"/>
        <v>0</v>
      </c>
      <c r="AI1018" s="251"/>
      <c r="AJ1018" s="1736"/>
      <c r="AK1018" s="1737"/>
      <c r="AL1018" s="79">
        <f t="shared" si="158"/>
        <v>0</v>
      </c>
      <c r="AM1018" s="137">
        <f t="shared" si="159"/>
        <v>0</v>
      </c>
      <c r="AN1018" s="251"/>
      <c r="AO1018" s="1736"/>
      <c r="AP1018" s="1737"/>
    </row>
    <row r="1019" spans="1:42" s="85" customFormat="1" ht="13.5" thickBot="1">
      <c r="A1019" s="240"/>
      <c r="B1019" s="241"/>
      <c r="C1019" s="242"/>
      <c r="D1019" s="242"/>
      <c r="E1019" s="243"/>
      <c r="F1019" s="244"/>
      <c r="G1019" s="244"/>
      <c r="H1019" s="243"/>
      <c r="I1019" s="258"/>
      <c r="J1019" s="245"/>
      <c r="K1019" s="245"/>
      <c r="L1019" s="76">
        <f t="shared" si="150"/>
        <v>0</v>
      </c>
      <c r="M1019" s="246"/>
      <c r="N1019" s="247"/>
      <c r="O1019" s="248"/>
      <c r="P1019" s="246"/>
      <c r="Q1019" s="249"/>
      <c r="R1019" s="250"/>
      <c r="S1019" s="259"/>
      <c r="T1019" s="260"/>
      <c r="U1019" s="250"/>
      <c r="V1019" s="78">
        <f t="shared" si="151"/>
        <v>0</v>
      </c>
      <c r="W1019" s="261">
        <f t="shared" si="152"/>
        <v>0</v>
      </c>
      <c r="X1019" s="133">
        <f t="shared" si="153"/>
        <v>0</v>
      </c>
      <c r="Y1019" s="251"/>
      <c r="Z1019" s="1736"/>
      <c r="AA1019" s="1737"/>
      <c r="AB1019" s="77">
        <f t="shared" si="154"/>
        <v>0</v>
      </c>
      <c r="AC1019" s="134">
        <f t="shared" si="155"/>
        <v>0</v>
      </c>
      <c r="AD1019" s="251"/>
      <c r="AE1019" s="1736"/>
      <c r="AF1019" s="1737"/>
      <c r="AG1019" s="77">
        <f t="shared" si="156"/>
        <v>0</v>
      </c>
      <c r="AH1019" s="136">
        <f t="shared" si="157"/>
        <v>0</v>
      </c>
      <c r="AI1019" s="251"/>
      <c r="AJ1019" s="1736"/>
      <c r="AK1019" s="1737"/>
      <c r="AL1019" s="79">
        <f t="shared" si="158"/>
        <v>0</v>
      </c>
      <c r="AM1019" s="137">
        <f t="shared" si="159"/>
        <v>0</v>
      </c>
      <c r="AN1019" s="251"/>
      <c r="AO1019" s="1736"/>
      <c r="AP1019" s="1737"/>
    </row>
    <row r="1020" spans="1:42" s="85" customFormat="1" ht="13.5" thickBot="1">
      <c r="A1020" s="240"/>
      <c r="B1020" s="241"/>
      <c r="C1020" s="242"/>
      <c r="D1020" s="242"/>
      <c r="E1020" s="243"/>
      <c r="F1020" s="244"/>
      <c r="G1020" s="244"/>
      <c r="H1020" s="243"/>
      <c r="I1020" s="258"/>
      <c r="J1020" s="245"/>
      <c r="K1020" s="245"/>
      <c r="L1020" s="76">
        <f t="shared" si="150"/>
        <v>0</v>
      </c>
      <c r="M1020" s="246"/>
      <c r="N1020" s="247"/>
      <c r="O1020" s="248"/>
      <c r="P1020" s="246"/>
      <c r="Q1020" s="249"/>
      <c r="R1020" s="250"/>
      <c r="S1020" s="259"/>
      <c r="T1020" s="260"/>
      <c r="U1020" s="250"/>
      <c r="V1020" s="78">
        <f t="shared" si="151"/>
        <v>0</v>
      </c>
      <c r="W1020" s="261">
        <f t="shared" si="152"/>
        <v>0</v>
      </c>
      <c r="X1020" s="133">
        <f t="shared" si="153"/>
        <v>0</v>
      </c>
      <c r="Y1020" s="251"/>
      <c r="Z1020" s="1736"/>
      <c r="AA1020" s="1737"/>
      <c r="AB1020" s="77">
        <f t="shared" si="154"/>
        <v>0</v>
      </c>
      <c r="AC1020" s="134">
        <f t="shared" si="155"/>
        <v>0</v>
      </c>
      <c r="AD1020" s="251"/>
      <c r="AE1020" s="1736"/>
      <c r="AF1020" s="1737"/>
      <c r="AG1020" s="77">
        <f t="shared" si="156"/>
        <v>0</v>
      </c>
      <c r="AH1020" s="136">
        <f t="shared" si="157"/>
        <v>0</v>
      </c>
      <c r="AI1020" s="251"/>
      <c r="AJ1020" s="1736"/>
      <c r="AK1020" s="1737"/>
      <c r="AL1020" s="79">
        <f t="shared" si="158"/>
        <v>0</v>
      </c>
      <c r="AM1020" s="137">
        <f t="shared" si="159"/>
        <v>0</v>
      </c>
      <c r="AN1020" s="251"/>
      <c r="AO1020" s="1736"/>
      <c r="AP1020" s="1737"/>
    </row>
    <row r="1021" spans="1:42" s="85" customFormat="1" ht="13.5" thickBot="1">
      <c r="A1021" s="240"/>
      <c r="B1021" s="241"/>
      <c r="C1021" s="242"/>
      <c r="D1021" s="242"/>
      <c r="E1021" s="243"/>
      <c r="F1021" s="244"/>
      <c r="G1021" s="244"/>
      <c r="H1021" s="243"/>
      <c r="I1021" s="258"/>
      <c r="J1021" s="245"/>
      <c r="K1021" s="245"/>
      <c r="L1021" s="76">
        <f t="shared" si="150"/>
        <v>0</v>
      </c>
      <c r="M1021" s="246"/>
      <c r="N1021" s="247"/>
      <c r="O1021" s="248"/>
      <c r="P1021" s="246"/>
      <c r="Q1021" s="249"/>
      <c r="R1021" s="250"/>
      <c r="S1021" s="259"/>
      <c r="T1021" s="260"/>
      <c r="U1021" s="250"/>
      <c r="V1021" s="78">
        <f t="shared" si="151"/>
        <v>0</v>
      </c>
      <c r="W1021" s="261">
        <f t="shared" si="152"/>
        <v>0</v>
      </c>
      <c r="X1021" s="133">
        <f t="shared" si="153"/>
        <v>0</v>
      </c>
      <c r="Y1021" s="251"/>
      <c r="Z1021" s="1736"/>
      <c r="AA1021" s="1737"/>
      <c r="AB1021" s="77">
        <f t="shared" si="154"/>
        <v>0</v>
      </c>
      <c r="AC1021" s="134">
        <f t="shared" si="155"/>
        <v>0</v>
      </c>
      <c r="AD1021" s="251"/>
      <c r="AE1021" s="1736"/>
      <c r="AF1021" s="1737"/>
      <c r="AG1021" s="77">
        <f t="shared" si="156"/>
        <v>0</v>
      </c>
      <c r="AH1021" s="136">
        <f t="shared" si="157"/>
        <v>0</v>
      </c>
      <c r="AI1021" s="251"/>
      <c r="AJ1021" s="1736"/>
      <c r="AK1021" s="1737"/>
      <c r="AL1021" s="79">
        <f t="shared" si="158"/>
        <v>0</v>
      </c>
      <c r="AM1021" s="137">
        <f t="shared" si="159"/>
        <v>0</v>
      </c>
      <c r="AN1021" s="251"/>
      <c r="AO1021" s="1736"/>
      <c r="AP1021" s="1737"/>
    </row>
    <row r="1022" spans="1:42" s="85" customFormat="1" ht="13.5" thickBot="1">
      <c r="A1022" s="240"/>
      <c r="B1022" s="241"/>
      <c r="C1022" s="242"/>
      <c r="D1022" s="242"/>
      <c r="E1022" s="243"/>
      <c r="F1022" s="244"/>
      <c r="G1022" s="244"/>
      <c r="H1022" s="243"/>
      <c r="I1022" s="258"/>
      <c r="J1022" s="245"/>
      <c r="K1022" s="245"/>
      <c r="L1022" s="76">
        <f t="shared" si="150"/>
        <v>0</v>
      </c>
      <c r="M1022" s="246"/>
      <c r="N1022" s="247"/>
      <c r="O1022" s="248"/>
      <c r="P1022" s="246"/>
      <c r="Q1022" s="249"/>
      <c r="R1022" s="250"/>
      <c r="S1022" s="259"/>
      <c r="T1022" s="260"/>
      <c r="U1022" s="250"/>
      <c r="V1022" s="78">
        <f t="shared" si="151"/>
        <v>0</v>
      </c>
      <c r="W1022" s="261">
        <f t="shared" si="152"/>
        <v>0</v>
      </c>
      <c r="X1022" s="133">
        <f t="shared" si="153"/>
        <v>0</v>
      </c>
      <c r="Y1022" s="251"/>
      <c r="Z1022" s="1736"/>
      <c r="AA1022" s="1737"/>
      <c r="AB1022" s="77">
        <f t="shared" si="154"/>
        <v>0</v>
      </c>
      <c r="AC1022" s="134">
        <f t="shared" si="155"/>
        <v>0</v>
      </c>
      <c r="AD1022" s="251"/>
      <c r="AE1022" s="1736"/>
      <c r="AF1022" s="1737"/>
      <c r="AG1022" s="77">
        <f t="shared" si="156"/>
        <v>0</v>
      </c>
      <c r="AH1022" s="136">
        <f t="shared" si="157"/>
        <v>0</v>
      </c>
      <c r="AI1022" s="251"/>
      <c r="AJ1022" s="1736"/>
      <c r="AK1022" s="1737"/>
      <c r="AL1022" s="79">
        <f t="shared" si="158"/>
        <v>0</v>
      </c>
      <c r="AM1022" s="137">
        <f t="shared" si="159"/>
        <v>0</v>
      </c>
      <c r="AN1022" s="251"/>
      <c r="AO1022" s="1736"/>
      <c r="AP1022" s="1737"/>
    </row>
    <row r="1023" spans="1:42" s="85" customFormat="1" ht="13.5" thickBot="1">
      <c r="A1023" s="240"/>
      <c r="B1023" s="241"/>
      <c r="C1023" s="242"/>
      <c r="D1023" s="242"/>
      <c r="E1023" s="243"/>
      <c r="F1023" s="244"/>
      <c r="G1023" s="244"/>
      <c r="H1023" s="243"/>
      <c r="I1023" s="258"/>
      <c r="J1023" s="245"/>
      <c r="K1023" s="245"/>
      <c r="L1023" s="76">
        <f t="shared" si="150"/>
        <v>0</v>
      </c>
      <c r="M1023" s="246"/>
      <c r="N1023" s="247"/>
      <c r="O1023" s="248"/>
      <c r="P1023" s="246"/>
      <c r="Q1023" s="249"/>
      <c r="R1023" s="250"/>
      <c r="S1023" s="259"/>
      <c r="T1023" s="260"/>
      <c r="U1023" s="250"/>
      <c r="V1023" s="78">
        <f t="shared" si="151"/>
        <v>0</v>
      </c>
      <c r="W1023" s="261">
        <f t="shared" si="152"/>
        <v>0</v>
      </c>
      <c r="X1023" s="133">
        <f t="shared" si="153"/>
        <v>0</v>
      </c>
      <c r="Y1023" s="251"/>
      <c r="Z1023" s="1736"/>
      <c r="AA1023" s="1737"/>
      <c r="AB1023" s="77">
        <f t="shared" si="154"/>
        <v>0</v>
      </c>
      <c r="AC1023" s="134">
        <f t="shared" si="155"/>
        <v>0</v>
      </c>
      <c r="AD1023" s="251"/>
      <c r="AE1023" s="1736"/>
      <c r="AF1023" s="1737"/>
      <c r="AG1023" s="77">
        <f t="shared" si="156"/>
        <v>0</v>
      </c>
      <c r="AH1023" s="136">
        <f t="shared" si="157"/>
        <v>0</v>
      </c>
      <c r="AI1023" s="251"/>
      <c r="AJ1023" s="1736"/>
      <c r="AK1023" s="1737"/>
      <c r="AL1023" s="79">
        <f t="shared" si="158"/>
        <v>0</v>
      </c>
      <c r="AM1023" s="137">
        <f t="shared" si="159"/>
        <v>0</v>
      </c>
      <c r="AN1023" s="251"/>
      <c r="AO1023" s="1736"/>
      <c r="AP1023" s="1737"/>
    </row>
    <row r="1024" spans="1:42" s="85" customFormat="1" ht="13.5" thickBot="1">
      <c r="A1024" s="240"/>
      <c r="B1024" s="241"/>
      <c r="C1024" s="242"/>
      <c r="D1024" s="242"/>
      <c r="E1024" s="243"/>
      <c r="F1024" s="244"/>
      <c r="G1024" s="244"/>
      <c r="H1024" s="243"/>
      <c r="I1024" s="258"/>
      <c r="J1024" s="245"/>
      <c r="K1024" s="245"/>
      <c r="L1024" s="76">
        <f t="shared" si="150"/>
        <v>0</v>
      </c>
      <c r="M1024" s="246"/>
      <c r="N1024" s="247"/>
      <c r="O1024" s="248"/>
      <c r="P1024" s="246"/>
      <c r="Q1024" s="249"/>
      <c r="R1024" s="250"/>
      <c r="S1024" s="259"/>
      <c r="T1024" s="260"/>
      <c r="U1024" s="250"/>
      <c r="V1024" s="78">
        <f t="shared" si="151"/>
        <v>0</v>
      </c>
      <c r="W1024" s="261">
        <f t="shared" si="152"/>
        <v>0</v>
      </c>
      <c r="X1024" s="133">
        <f t="shared" si="153"/>
        <v>0</v>
      </c>
      <c r="Y1024" s="251"/>
      <c r="Z1024" s="1736"/>
      <c r="AA1024" s="1737"/>
      <c r="AB1024" s="77">
        <f t="shared" si="154"/>
        <v>0</v>
      </c>
      <c r="AC1024" s="134">
        <f t="shared" si="155"/>
        <v>0</v>
      </c>
      <c r="AD1024" s="251"/>
      <c r="AE1024" s="1736"/>
      <c r="AF1024" s="1737"/>
      <c r="AG1024" s="77">
        <f t="shared" si="156"/>
        <v>0</v>
      </c>
      <c r="AH1024" s="136">
        <f t="shared" si="157"/>
        <v>0</v>
      </c>
      <c r="AI1024" s="251"/>
      <c r="AJ1024" s="1736"/>
      <c r="AK1024" s="1737"/>
      <c r="AL1024" s="79">
        <f t="shared" si="158"/>
        <v>0</v>
      </c>
      <c r="AM1024" s="137">
        <f t="shared" si="159"/>
        <v>0</v>
      </c>
      <c r="AN1024" s="251"/>
      <c r="AO1024" s="1736"/>
      <c r="AP1024" s="1737"/>
    </row>
    <row r="1025" spans="1:42" s="85" customFormat="1" ht="13.5" thickBot="1">
      <c r="A1025" s="240"/>
      <c r="B1025" s="241"/>
      <c r="C1025" s="242"/>
      <c r="D1025" s="242"/>
      <c r="E1025" s="243"/>
      <c r="F1025" s="244"/>
      <c r="G1025" s="244"/>
      <c r="H1025" s="243"/>
      <c r="I1025" s="258"/>
      <c r="J1025" s="245"/>
      <c r="K1025" s="245"/>
      <c r="L1025" s="76">
        <f t="shared" si="150"/>
        <v>0</v>
      </c>
      <c r="M1025" s="246"/>
      <c r="N1025" s="247"/>
      <c r="O1025" s="248"/>
      <c r="P1025" s="246"/>
      <c r="Q1025" s="249"/>
      <c r="R1025" s="250"/>
      <c r="S1025" s="259"/>
      <c r="T1025" s="260"/>
      <c r="U1025" s="250"/>
      <c r="V1025" s="78">
        <f t="shared" si="151"/>
        <v>0</v>
      </c>
      <c r="W1025" s="261">
        <f t="shared" si="152"/>
        <v>0</v>
      </c>
      <c r="X1025" s="133">
        <f t="shared" si="153"/>
        <v>0</v>
      </c>
      <c r="Y1025" s="251"/>
      <c r="Z1025" s="1736"/>
      <c r="AA1025" s="1737"/>
      <c r="AB1025" s="77">
        <f t="shared" si="154"/>
        <v>0</v>
      </c>
      <c r="AC1025" s="134">
        <f t="shared" si="155"/>
        <v>0</v>
      </c>
      <c r="AD1025" s="251"/>
      <c r="AE1025" s="1736"/>
      <c r="AF1025" s="1737"/>
      <c r="AG1025" s="77">
        <f t="shared" si="156"/>
        <v>0</v>
      </c>
      <c r="AH1025" s="136">
        <f t="shared" si="157"/>
        <v>0</v>
      </c>
      <c r="AI1025" s="251"/>
      <c r="AJ1025" s="1736"/>
      <c r="AK1025" s="1737"/>
      <c r="AL1025" s="79">
        <f t="shared" si="158"/>
        <v>0</v>
      </c>
      <c r="AM1025" s="137">
        <f t="shared" si="159"/>
        <v>0</v>
      </c>
      <c r="AN1025" s="251"/>
      <c r="AO1025" s="1736"/>
      <c r="AP1025" s="1737"/>
    </row>
    <row r="1026" spans="1:42" s="85" customFormat="1" ht="13.5" thickBot="1">
      <c r="A1026" s="240"/>
      <c r="B1026" s="241"/>
      <c r="C1026" s="242"/>
      <c r="D1026" s="242"/>
      <c r="E1026" s="243"/>
      <c r="F1026" s="244"/>
      <c r="G1026" s="244"/>
      <c r="H1026" s="243"/>
      <c r="I1026" s="258"/>
      <c r="J1026" s="245"/>
      <c r="K1026" s="245"/>
      <c r="L1026" s="76">
        <f t="shared" si="150"/>
        <v>0</v>
      </c>
      <c r="M1026" s="246"/>
      <c r="N1026" s="247"/>
      <c r="O1026" s="248"/>
      <c r="P1026" s="246"/>
      <c r="Q1026" s="249"/>
      <c r="R1026" s="250"/>
      <c r="S1026" s="259"/>
      <c r="T1026" s="260"/>
      <c r="U1026" s="250"/>
      <c r="V1026" s="78">
        <f t="shared" si="151"/>
        <v>0</v>
      </c>
      <c r="W1026" s="261">
        <f t="shared" si="152"/>
        <v>0</v>
      </c>
      <c r="X1026" s="133">
        <f t="shared" si="153"/>
        <v>0</v>
      </c>
      <c r="Y1026" s="251"/>
      <c r="Z1026" s="1736"/>
      <c r="AA1026" s="1737"/>
      <c r="AB1026" s="77">
        <f t="shared" si="154"/>
        <v>0</v>
      </c>
      <c r="AC1026" s="134">
        <f t="shared" si="155"/>
        <v>0</v>
      </c>
      <c r="AD1026" s="251"/>
      <c r="AE1026" s="1736"/>
      <c r="AF1026" s="1737"/>
      <c r="AG1026" s="77">
        <f t="shared" si="156"/>
        <v>0</v>
      </c>
      <c r="AH1026" s="136">
        <f t="shared" si="157"/>
        <v>0</v>
      </c>
      <c r="AI1026" s="251"/>
      <c r="AJ1026" s="1736"/>
      <c r="AK1026" s="1737"/>
      <c r="AL1026" s="79">
        <f t="shared" si="158"/>
        <v>0</v>
      </c>
      <c r="AM1026" s="137">
        <f t="shared" si="159"/>
        <v>0</v>
      </c>
      <c r="AN1026" s="251"/>
      <c r="AO1026" s="1736"/>
      <c r="AP1026" s="1737"/>
    </row>
    <row r="1027" spans="1:42" s="85" customFormat="1" ht="13.5" thickBot="1">
      <c r="A1027" s="240"/>
      <c r="B1027" s="241"/>
      <c r="C1027" s="242"/>
      <c r="D1027" s="242"/>
      <c r="E1027" s="243"/>
      <c r="F1027" s="244"/>
      <c r="G1027" s="244"/>
      <c r="H1027" s="243"/>
      <c r="I1027" s="258"/>
      <c r="J1027" s="245"/>
      <c r="K1027" s="245"/>
      <c r="L1027" s="76">
        <f t="shared" si="150"/>
        <v>0</v>
      </c>
      <c r="M1027" s="246"/>
      <c r="N1027" s="247"/>
      <c r="O1027" s="248"/>
      <c r="P1027" s="246"/>
      <c r="Q1027" s="249"/>
      <c r="R1027" s="250"/>
      <c r="S1027" s="259"/>
      <c r="T1027" s="260"/>
      <c r="U1027" s="250"/>
      <c r="V1027" s="78">
        <f t="shared" si="151"/>
        <v>0</v>
      </c>
      <c r="W1027" s="261">
        <f t="shared" si="152"/>
        <v>0</v>
      </c>
      <c r="X1027" s="133">
        <f t="shared" si="153"/>
        <v>0</v>
      </c>
      <c r="Y1027" s="251"/>
      <c r="Z1027" s="1736"/>
      <c r="AA1027" s="1737"/>
      <c r="AB1027" s="77">
        <f t="shared" si="154"/>
        <v>0</v>
      </c>
      <c r="AC1027" s="134">
        <f t="shared" si="155"/>
        <v>0</v>
      </c>
      <c r="AD1027" s="251"/>
      <c r="AE1027" s="1736"/>
      <c r="AF1027" s="1737"/>
      <c r="AG1027" s="77">
        <f t="shared" si="156"/>
        <v>0</v>
      </c>
      <c r="AH1027" s="136">
        <f t="shared" si="157"/>
        <v>0</v>
      </c>
      <c r="AI1027" s="251"/>
      <c r="AJ1027" s="1736"/>
      <c r="AK1027" s="1737"/>
      <c r="AL1027" s="79">
        <f t="shared" si="158"/>
        <v>0</v>
      </c>
      <c r="AM1027" s="137">
        <f t="shared" si="159"/>
        <v>0</v>
      </c>
      <c r="AN1027" s="251"/>
      <c r="AO1027" s="1736"/>
      <c r="AP1027" s="1737"/>
    </row>
    <row r="1028" spans="1:42" s="85" customFormat="1" ht="13.5" thickBot="1">
      <c r="A1028" s="240"/>
      <c r="B1028" s="241"/>
      <c r="C1028" s="242"/>
      <c r="D1028" s="242"/>
      <c r="E1028" s="243"/>
      <c r="F1028" s="244"/>
      <c r="G1028" s="244"/>
      <c r="H1028" s="243"/>
      <c r="I1028" s="258"/>
      <c r="J1028" s="245"/>
      <c r="K1028" s="245"/>
      <c r="L1028" s="76">
        <f t="shared" si="150"/>
        <v>0</v>
      </c>
      <c r="M1028" s="246"/>
      <c r="N1028" s="247"/>
      <c r="O1028" s="248"/>
      <c r="P1028" s="246"/>
      <c r="Q1028" s="249"/>
      <c r="R1028" s="250"/>
      <c r="S1028" s="259"/>
      <c r="T1028" s="260"/>
      <c r="U1028" s="250"/>
      <c r="V1028" s="78">
        <f t="shared" si="151"/>
        <v>0</v>
      </c>
      <c r="W1028" s="261">
        <f t="shared" si="152"/>
        <v>0</v>
      </c>
      <c r="X1028" s="133">
        <f t="shared" si="153"/>
        <v>0</v>
      </c>
      <c r="Y1028" s="251"/>
      <c r="Z1028" s="1736"/>
      <c r="AA1028" s="1737"/>
      <c r="AB1028" s="77">
        <f t="shared" si="154"/>
        <v>0</v>
      </c>
      <c r="AC1028" s="134">
        <f t="shared" si="155"/>
        <v>0</v>
      </c>
      <c r="AD1028" s="251"/>
      <c r="AE1028" s="1736"/>
      <c r="AF1028" s="1737"/>
      <c r="AG1028" s="77">
        <f t="shared" si="156"/>
        <v>0</v>
      </c>
      <c r="AH1028" s="136">
        <f t="shared" si="157"/>
        <v>0</v>
      </c>
      <c r="AI1028" s="251"/>
      <c r="AJ1028" s="1736"/>
      <c r="AK1028" s="1737"/>
      <c r="AL1028" s="79">
        <f t="shared" si="158"/>
        <v>0</v>
      </c>
      <c r="AM1028" s="137">
        <f t="shared" si="159"/>
        <v>0</v>
      </c>
      <c r="AN1028" s="251"/>
      <c r="AO1028" s="1736"/>
      <c r="AP1028" s="1737"/>
    </row>
    <row r="1029" spans="1:42" s="85" customFormat="1" ht="13.5" thickBot="1">
      <c r="A1029" s="240"/>
      <c r="B1029" s="241"/>
      <c r="C1029" s="242"/>
      <c r="D1029" s="242"/>
      <c r="E1029" s="243"/>
      <c r="F1029" s="244"/>
      <c r="G1029" s="244"/>
      <c r="H1029" s="243"/>
      <c r="I1029" s="258"/>
      <c r="J1029" s="245"/>
      <c r="K1029" s="245"/>
      <c r="L1029" s="76">
        <f t="shared" si="150"/>
        <v>0</v>
      </c>
      <c r="M1029" s="246"/>
      <c r="N1029" s="247"/>
      <c r="O1029" s="248"/>
      <c r="P1029" s="246"/>
      <c r="Q1029" s="249"/>
      <c r="R1029" s="250"/>
      <c r="S1029" s="259"/>
      <c r="T1029" s="260"/>
      <c r="U1029" s="250"/>
      <c r="V1029" s="78">
        <f t="shared" si="151"/>
        <v>0</v>
      </c>
      <c r="W1029" s="261">
        <f t="shared" si="152"/>
        <v>0</v>
      </c>
      <c r="X1029" s="133">
        <f t="shared" si="153"/>
        <v>0</v>
      </c>
      <c r="Y1029" s="251"/>
      <c r="Z1029" s="1736"/>
      <c r="AA1029" s="1737"/>
      <c r="AB1029" s="77">
        <f t="shared" si="154"/>
        <v>0</v>
      </c>
      <c r="AC1029" s="134">
        <f t="shared" si="155"/>
        <v>0</v>
      </c>
      <c r="AD1029" s="251"/>
      <c r="AE1029" s="1736"/>
      <c r="AF1029" s="1737"/>
      <c r="AG1029" s="77">
        <f t="shared" si="156"/>
        <v>0</v>
      </c>
      <c r="AH1029" s="136">
        <f t="shared" si="157"/>
        <v>0</v>
      </c>
      <c r="AI1029" s="251"/>
      <c r="AJ1029" s="1736"/>
      <c r="AK1029" s="1737"/>
      <c r="AL1029" s="79">
        <f t="shared" si="158"/>
        <v>0</v>
      </c>
      <c r="AM1029" s="137">
        <f t="shared" si="159"/>
        <v>0</v>
      </c>
      <c r="AN1029" s="251"/>
      <c r="AO1029" s="1736"/>
      <c r="AP1029" s="1737"/>
    </row>
    <row r="1030" spans="1:42" s="85" customFormat="1" ht="13.5" thickBot="1">
      <c r="A1030" s="240"/>
      <c r="B1030" s="241"/>
      <c r="C1030" s="242"/>
      <c r="D1030" s="242"/>
      <c r="E1030" s="243"/>
      <c r="F1030" s="244"/>
      <c r="G1030" s="244"/>
      <c r="H1030" s="243"/>
      <c r="I1030" s="258"/>
      <c r="J1030" s="245"/>
      <c r="K1030" s="245"/>
      <c r="L1030" s="76">
        <f t="shared" si="150"/>
        <v>0</v>
      </c>
      <c r="M1030" s="246"/>
      <c r="N1030" s="247"/>
      <c r="O1030" s="248"/>
      <c r="P1030" s="246"/>
      <c r="Q1030" s="249"/>
      <c r="R1030" s="250"/>
      <c r="S1030" s="259"/>
      <c r="T1030" s="260"/>
      <c r="U1030" s="250"/>
      <c r="V1030" s="78">
        <f t="shared" si="151"/>
        <v>0</v>
      </c>
      <c r="W1030" s="261">
        <f t="shared" si="152"/>
        <v>0</v>
      </c>
      <c r="X1030" s="133">
        <f t="shared" si="153"/>
        <v>0</v>
      </c>
      <c r="Y1030" s="251"/>
      <c r="Z1030" s="1736"/>
      <c r="AA1030" s="1737"/>
      <c r="AB1030" s="77">
        <f t="shared" si="154"/>
        <v>0</v>
      </c>
      <c r="AC1030" s="134">
        <f t="shared" si="155"/>
        <v>0</v>
      </c>
      <c r="AD1030" s="251"/>
      <c r="AE1030" s="1736"/>
      <c r="AF1030" s="1737"/>
      <c r="AG1030" s="77">
        <f t="shared" si="156"/>
        <v>0</v>
      </c>
      <c r="AH1030" s="136">
        <f t="shared" si="157"/>
        <v>0</v>
      </c>
      <c r="AI1030" s="251"/>
      <c r="AJ1030" s="1736"/>
      <c r="AK1030" s="1737"/>
      <c r="AL1030" s="79">
        <f t="shared" si="158"/>
        <v>0</v>
      </c>
      <c r="AM1030" s="137">
        <f t="shared" si="159"/>
        <v>0</v>
      </c>
      <c r="AN1030" s="251"/>
      <c r="AO1030" s="1736"/>
      <c r="AP1030" s="1737"/>
    </row>
    <row r="1031" spans="1:42" s="85" customFormat="1" ht="13.5" thickBot="1">
      <c r="A1031" s="240"/>
      <c r="B1031" s="241"/>
      <c r="C1031" s="242"/>
      <c r="D1031" s="242"/>
      <c r="E1031" s="243"/>
      <c r="F1031" s="244"/>
      <c r="G1031" s="244"/>
      <c r="H1031" s="243"/>
      <c r="I1031" s="258"/>
      <c r="J1031" s="245"/>
      <c r="K1031" s="245"/>
      <c r="L1031" s="76">
        <f t="shared" si="150"/>
        <v>0</v>
      </c>
      <c r="M1031" s="246"/>
      <c r="N1031" s="247"/>
      <c r="O1031" s="248"/>
      <c r="P1031" s="246"/>
      <c r="Q1031" s="249"/>
      <c r="R1031" s="250"/>
      <c r="S1031" s="259"/>
      <c r="T1031" s="260"/>
      <c r="U1031" s="250"/>
      <c r="V1031" s="78">
        <f t="shared" si="151"/>
        <v>0</v>
      </c>
      <c r="W1031" s="261">
        <f t="shared" si="152"/>
        <v>0</v>
      </c>
      <c r="X1031" s="133">
        <f t="shared" si="153"/>
        <v>0</v>
      </c>
      <c r="Y1031" s="251"/>
      <c r="Z1031" s="1736"/>
      <c r="AA1031" s="1737"/>
      <c r="AB1031" s="77">
        <f t="shared" si="154"/>
        <v>0</v>
      </c>
      <c r="AC1031" s="134">
        <f t="shared" si="155"/>
        <v>0</v>
      </c>
      <c r="AD1031" s="251"/>
      <c r="AE1031" s="1736"/>
      <c r="AF1031" s="1737"/>
      <c r="AG1031" s="77">
        <f t="shared" si="156"/>
        <v>0</v>
      </c>
      <c r="AH1031" s="136">
        <f t="shared" si="157"/>
        <v>0</v>
      </c>
      <c r="AI1031" s="251"/>
      <c r="AJ1031" s="1736"/>
      <c r="AK1031" s="1737"/>
      <c r="AL1031" s="79">
        <f t="shared" si="158"/>
        <v>0</v>
      </c>
      <c r="AM1031" s="137">
        <f t="shared" si="159"/>
        <v>0</v>
      </c>
      <c r="AN1031" s="251"/>
      <c r="AO1031" s="1736"/>
      <c r="AP1031" s="1737"/>
    </row>
    <row r="1032" spans="1:42" s="85" customFormat="1" ht="13.5" thickBot="1">
      <c r="A1032" s="240"/>
      <c r="B1032" s="241"/>
      <c r="C1032" s="242"/>
      <c r="D1032" s="242"/>
      <c r="E1032" s="243"/>
      <c r="F1032" s="244"/>
      <c r="G1032" s="244"/>
      <c r="H1032" s="243"/>
      <c r="I1032" s="258"/>
      <c r="J1032" s="245"/>
      <c r="K1032" s="245"/>
      <c r="L1032" s="76">
        <f t="shared" si="150"/>
        <v>0</v>
      </c>
      <c r="M1032" s="246"/>
      <c r="N1032" s="247"/>
      <c r="O1032" s="248"/>
      <c r="P1032" s="246"/>
      <c r="Q1032" s="249"/>
      <c r="R1032" s="250"/>
      <c r="S1032" s="259"/>
      <c r="T1032" s="260"/>
      <c r="U1032" s="250"/>
      <c r="V1032" s="78">
        <f t="shared" si="151"/>
        <v>0</v>
      </c>
      <c r="W1032" s="261">
        <f t="shared" si="152"/>
        <v>0</v>
      </c>
      <c r="X1032" s="133">
        <f t="shared" si="153"/>
        <v>0</v>
      </c>
      <c r="Y1032" s="251"/>
      <c r="Z1032" s="1736"/>
      <c r="AA1032" s="1737"/>
      <c r="AB1032" s="77">
        <f t="shared" si="154"/>
        <v>0</v>
      </c>
      <c r="AC1032" s="134">
        <f t="shared" si="155"/>
        <v>0</v>
      </c>
      <c r="AD1032" s="251"/>
      <c r="AE1032" s="1736"/>
      <c r="AF1032" s="1737"/>
      <c r="AG1032" s="77">
        <f t="shared" si="156"/>
        <v>0</v>
      </c>
      <c r="AH1032" s="136">
        <f t="shared" si="157"/>
        <v>0</v>
      </c>
      <c r="AI1032" s="251"/>
      <c r="AJ1032" s="1736"/>
      <c r="AK1032" s="1737"/>
      <c r="AL1032" s="79">
        <f t="shared" si="158"/>
        <v>0</v>
      </c>
      <c r="AM1032" s="137">
        <f t="shared" si="159"/>
        <v>0</v>
      </c>
      <c r="AN1032" s="251"/>
      <c r="AO1032" s="1736"/>
      <c r="AP1032" s="1737"/>
    </row>
    <row r="1033" spans="1:42" s="85" customFormat="1" ht="13.5" thickBot="1">
      <c r="A1033" s="240"/>
      <c r="B1033" s="241"/>
      <c r="C1033" s="242"/>
      <c r="D1033" s="242"/>
      <c r="E1033" s="243"/>
      <c r="F1033" s="244"/>
      <c r="G1033" s="244"/>
      <c r="H1033" s="243"/>
      <c r="I1033" s="258"/>
      <c r="J1033" s="245"/>
      <c r="K1033" s="245"/>
      <c r="L1033" s="76">
        <f t="shared" si="150"/>
        <v>0</v>
      </c>
      <c r="M1033" s="246"/>
      <c r="N1033" s="247"/>
      <c r="O1033" s="248"/>
      <c r="P1033" s="246"/>
      <c r="Q1033" s="249"/>
      <c r="R1033" s="250"/>
      <c r="S1033" s="259"/>
      <c r="T1033" s="260"/>
      <c r="U1033" s="250"/>
      <c r="V1033" s="78">
        <f t="shared" si="151"/>
        <v>0</v>
      </c>
      <c r="W1033" s="261">
        <f t="shared" si="152"/>
        <v>0</v>
      </c>
      <c r="X1033" s="133">
        <f t="shared" si="153"/>
        <v>0</v>
      </c>
      <c r="Y1033" s="251"/>
      <c r="Z1033" s="1736"/>
      <c r="AA1033" s="1737"/>
      <c r="AB1033" s="77">
        <f t="shared" si="154"/>
        <v>0</v>
      </c>
      <c r="AC1033" s="134">
        <f t="shared" si="155"/>
        <v>0</v>
      </c>
      <c r="AD1033" s="251"/>
      <c r="AE1033" s="1736"/>
      <c r="AF1033" s="1737"/>
      <c r="AG1033" s="77">
        <f t="shared" si="156"/>
        <v>0</v>
      </c>
      <c r="AH1033" s="136">
        <f t="shared" si="157"/>
        <v>0</v>
      </c>
      <c r="AI1033" s="251"/>
      <c r="AJ1033" s="1736"/>
      <c r="AK1033" s="1737"/>
      <c r="AL1033" s="79">
        <f t="shared" si="158"/>
        <v>0</v>
      </c>
      <c r="AM1033" s="137">
        <f t="shared" si="159"/>
        <v>0</v>
      </c>
      <c r="AN1033" s="251"/>
      <c r="AO1033" s="1736"/>
      <c r="AP1033" s="1737"/>
    </row>
    <row r="1034" spans="1:42" s="85" customFormat="1" ht="13.5" thickBot="1">
      <c r="A1034" s="240"/>
      <c r="B1034" s="241"/>
      <c r="C1034" s="242"/>
      <c r="D1034" s="242"/>
      <c r="E1034" s="243"/>
      <c r="F1034" s="244"/>
      <c r="G1034" s="244"/>
      <c r="H1034" s="243"/>
      <c r="I1034" s="258"/>
      <c r="J1034" s="245"/>
      <c r="K1034" s="245"/>
      <c r="L1034" s="76">
        <f t="shared" si="150"/>
        <v>0</v>
      </c>
      <c r="M1034" s="246"/>
      <c r="N1034" s="247"/>
      <c r="O1034" s="248"/>
      <c r="P1034" s="246"/>
      <c r="Q1034" s="249"/>
      <c r="R1034" s="250"/>
      <c r="S1034" s="259"/>
      <c r="T1034" s="260"/>
      <c r="U1034" s="250"/>
      <c r="V1034" s="78">
        <f t="shared" si="151"/>
        <v>0</v>
      </c>
      <c r="W1034" s="261">
        <f t="shared" si="152"/>
        <v>0</v>
      </c>
      <c r="X1034" s="133">
        <f t="shared" si="153"/>
        <v>0</v>
      </c>
      <c r="Y1034" s="251"/>
      <c r="Z1034" s="1736"/>
      <c r="AA1034" s="1737"/>
      <c r="AB1034" s="77">
        <f t="shared" si="154"/>
        <v>0</v>
      </c>
      <c r="AC1034" s="134">
        <f t="shared" si="155"/>
        <v>0</v>
      </c>
      <c r="AD1034" s="251"/>
      <c r="AE1034" s="1736"/>
      <c r="AF1034" s="1737"/>
      <c r="AG1034" s="77">
        <f t="shared" si="156"/>
        <v>0</v>
      </c>
      <c r="AH1034" s="136">
        <f t="shared" si="157"/>
        <v>0</v>
      </c>
      <c r="AI1034" s="251"/>
      <c r="AJ1034" s="1736"/>
      <c r="AK1034" s="1737"/>
      <c r="AL1034" s="79">
        <f t="shared" si="158"/>
        <v>0</v>
      </c>
      <c r="AM1034" s="137">
        <f t="shared" si="159"/>
        <v>0</v>
      </c>
      <c r="AN1034" s="251"/>
      <c r="AO1034" s="1736"/>
      <c r="AP1034" s="1737"/>
    </row>
    <row r="1035" spans="1:42" s="85" customFormat="1" ht="13.5" thickBot="1">
      <c r="A1035" s="240"/>
      <c r="B1035" s="241"/>
      <c r="C1035" s="242"/>
      <c r="D1035" s="242"/>
      <c r="E1035" s="243"/>
      <c r="F1035" s="244"/>
      <c r="G1035" s="244"/>
      <c r="H1035" s="243"/>
      <c r="I1035" s="258"/>
      <c r="J1035" s="245"/>
      <c r="K1035" s="245"/>
      <c r="L1035" s="76">
        <f t="shared" ref="L1035:L1098" si="160">IF(I1035=0,0,(K1035+J1035)/I1035)</f>
        <v>0</v>
      </c>
      <c r="M1035" s="246"/>
      <c r="N1035" s="247"/>
      <c r="O1035" s="248"/>
      <c r="P1035" s="246"/>
      <c r="Q1035" s="249"/>
      <c r="R1035" s="250"/>
      <c r="S1035" s="259"/>
      <c r="T1035" s="260"/>
      <c r="U1035" s="250"/>
      <c r="V1035" s="78">
        <f t="shared" ref="V1035:V1098" si="161">IF(U1035=0,0,((U1035*S1035)-AB1035-AL1035))</f>
        <v>0</v>
      </c>
      <c r="W1035" s="261">
        <f t="shared" ref="W1035:W1098" si="162">+S1035-I1035</f>
        <v>0</v>
      </c>
      <c r="X1035" s="133">
        <f t="shared" ref="X1035:X1098" si="163">(V1035-J1035)</f>
        <v>0</v>
      </c>
      <c r="Y1035" s="251"/>
      <c r="Z1035" s="1736"/>
      <c r="AA1035" s="1737"/>
      <c r="AB1035" s="77">
        <f t="shared" ref="AB1035:AB1098" si="164">(IF(I1035=0,0,M1035/H1035))*S1035</f>
        <v>0</v>
      </c>
      <c r="AC1035" s="134">
        <f t="shared" ref="AC1035:AC1098" si="165">+AB1035-P1035</f>
        <v>0</v>
      </c>
      <c r="AD1035" s="251"/>
      <c r="AE1035" s="1736"/>
      <c r="AF1035" s="1737"/>
      <c r="AG1035" s="77">
        <f t="shared" ref="AG1035:AG1098" si="166">(IF(H1035=0,0,N1035/H1035))*T1035</f>
        <v>0</v>
      </c>
      <c r="AH1035" s="136">
        <f t="shared" ref="AH1035:AH1098" si="167">+AG1035-Q1035</f>
        <v>0</v>
      </c>
      <c r="AI1035" s="251"/>
      <c r="AJ1035" s="1736"/>
      <c r="AK1035" s="1737"/>
      <c r="AL1035" s="79">
        <f t="shared" ref="AL1035:AL1098" si="168">+O1035*S1035</f>
        <v>0</v>
      </c>
      <c r="AM1035" s="137">
        <f t="shared" ref="AM1035:AM1098" si="169">+AL1035-R1035</f>
        <v>0</v>
      </c>
      <c r="AN1035" s="251"/>
      <c r="AO1035" s="1736"/>
      <c r="AP1035" s="1737"/>
    </row>
    <row r="1036" spans="1:42" s="85" customFormat="1" ht="13.5" thickBot="1">
      <c r="A1036" s="240"/>
      <c r="B1036" s="241"/>
      <c r="C1036" s="242"/>
      <c r="D1036" s="242"/>
      <c r="E1036" s="243"/>
      <c r="F1036" s="244"/>
      <c r="G1036" s="244"/>
      <c r="H1036" s="243"/>
      <c r="I1036" s="258"/>
      <c r="J1036" s="245"/>
      <c r="K1036" s="245"/>
      <c r="L1036" s="76">
        <f t="shared" si="160"/>
        <v>0</v>
      </c>
      <c r="M1036" s="246"/>
      <c r="N1036" s="247"/>
      <c r="O1036" s="248"/>
      <c r="P1036" s="246"/>
      <c r="Q1036" s="249"/>
      <c r="R1036" s="250"/>
      <c r="S1036" s="259"/>
      <c r="T1036" s="260"/>
      <c r="U1036" s="250"/>
      <c r="V1036" s="78">
        <f t="shared" si="161"/>
        <v>0</v>
      </c>
      <c r="W1036" s="261">
        <f t="shared" si="162"/>
        <v>0</v>
      </c>
      <c r="X1036" s="133">
        <f t="shared" si="163"/>
        <v>0</v>
      </c>
      <c r="Y1036" s="251"/>
      <c r="Z1036" s="1736"/>
      <c r="AA1036" s="1737"/>
      <c r="AB1036" s="77">
        <f t="shared" si="164"/>
        <v>0</v>
      </c>
      <c r="AC1036" s="134">
        <f t="shared" si="165"/>
        <v>0</v>
      </c>
      <c r="AD1036" s="251"/>
      <c r="AE1036" s="1736"/>
      <c r="AF1036" s="1737"/>
      <c r="AG1036" s="77">
        <f t="shared" si="166"/>
        <v>0</v>
      </c>
      <c r="AH1036" s="136">
        <f t="shared" si="167"/>
        <v>0</v>
      </c>
      <c r="AI1036" s="251"/>
      <c r="AJ1036" s="1736"/>
      <c r="AK1036" s="1737"/>
      <c r="AL1036" s="79">
        <f t="shared" si="168"/>
        <v>0</v>
      </c>
      <c r="AM1036" s="137">
        <f t="shared" si="169"/>
        <v>0</v>
      </c>
      <c r="AN1036" s="251"/>
      <c r="AO1036" s="1736"/>
      <c r="AP1036" s="1737"/>
    </row>
    <row r="1037" spans="1:42" s="85" customFormat="1" ht="13.5" thickBot="1">
      <c r="A1037" s="240"/>
      <c r="B1037" s="241"/>
      <c r="C1037" s="242"/>
      <c r="D1037" s="242"/>
      <c r="E1037" s="243"/>
      <c r="F1037" s="244"/>
      <c r="G1037" s="244"/>
      <c r="H1037" s="243"/>
      <c r="I1037" s="258"/>
      <c r="J1037" s="245"/>
      <c r="K1037" s="245"/>
      <c r="L1037" s="76">
        <f t="shared" si="160"/>
        <v>0</v>
      </c>
      <c r="M1037" s="246"/>
      <c r="N1037" s="247"/>
      <c r="O1037" s="248"/>
      <c r="P1037" s="246"/>
      <c r="Q1037" s="249"/>
      <c r="R1037" s="250"/>
      <c r="S1037" s="259"/>
      <c r="T1037" s="260"/>
      <c r="U1037" s="250"/>
      <c r="V1037" s="78">
        <f t="shared" si="161"/>
        <v>0</v>
      </c>
      <c r="W1037" s="261">
        <f t="shared" si="162"/>
        <v>0</v>
      </c>
      <c r="X1037" s="133">
        <f t="shared" si="163"/>
        <v>0</v>
      </c>
      <c r="Y1037" s="251"/>
      <c r="Z1037" s="1736"/>
      <c r="AA1037" s="1737"/>
      <c r="AB1037" s="77">
        <f t="shared" si="164"/>
        <v>0</v>
      </c>
      <c r="AC1037" s="134">
        <f t="shared" si="165"/>
        <v>0</v>
      </c>
      <c r="AD1037" s="251"/>
      <c r="AE1037" s="1736"/>
      <c r="AF1037" s="1737"/>
      <c r="AG1037" s="77">
        <f t="shared" si="166"/>
        <v>0</v>
      </c>
      <c r="AH1037" s="136">
        <f t="shared" si="167"/>
        <v>0</v>
      </c>
      <c r="AI1037" s="251"/>
      <c r="AJ1037" s="1736"/>
      <c r="AK1037" s="1737"/>
      <c r="AL1037" s="79">
        <f t="shared" si="168"/>
        <v>0</v>
      </c>
      <c r="AM1037" s="137">
        <f t="shared" si="169"/>
        <v>0</v>
      </c>
      <c r="AN1037" s="251"/>
      <c r="AO1037" s="1736"/>
      <c r="AP1037" s="1737"/>
    </row>
    <row r="1038" spans="1:42" s="85" customFormat="1" ht="13.5" thickBot="1">
      <c r="A1038" s="240"/>
      <c r="B1038" s="241"/>
      <c r="C1038" s="242"/>
      <c r="D1038" s="242"/>
      <c r="E1038" s="243"/>
      <c r="F1038" s="244"/>
      <c r="G1038" s="244"/>
      <c r="H1038" s="243"/>
      <c r="I1038" s="258"/>
      <c r="J1038" s="245"/>
      <c r="K1038" s="245"/>
      <c r="L1038" s="76">
        <f t="shared" si="160"/>
        <v>0</v>
      </c>
      <c r="M1038" s="246"/>
      <c r="N1038" s="247"/>
      <c r="O1038" s="248"/>
      <c r="P1038" s="246"/>
      <c r="Q1038" s="249"/>
      <c r="R1038" s="250"/>
      <c r="S1038" s="259"/>
      <c r="T1038" s="260"/>
      <c r="U1038" s="250"/>
      <c r="V1038" s="78">
        <f t="shared" si="161"/>
        <v>0</v>
      </c>
      <c r="W1038" s="261">
        <f t="shared" si="162"/>
        <v>0</v>
      </c>
      <c r="X1038" s="133">
        <f t="shared" si="163"/>
        <v>0</v>
      </c>
      <c r="Y1038" s="251"/>
      <c r="Z1038" s="1736"/>
      <c r="AA1038" s="1737"/>
      <c r="AB1038" s="77">
        <f t="shared" si="164"/>
        <v>0</v>
      </c>
      <c r="AC1038" s="134">
        <f t="shared" si="165"/>
        <v>0</v>
      </c>
      <c r="AD1038" s="251"/>
      <c r="AE1038" s="1736"/>
      <c r="AF1038" s="1737"/>
      <c r="AG1038" s="77">
        <f t="shared" si="166"/>
        <v>0</v>
      </c>
      <c r="AH1038" s="136">
        <f t="shared" si="167"/>
        <v>0</v>
      </c>
      <c r="AI1038" s="251"/>
      <c r="AJ1038" s="1736"/>
      <c r="AK1038" s="1737"/>
      <c r="AL1038" s="79">
        <f t="shared" si="168"/>
        <v>0</v>
      </c>
      <c r="AM1038" s="137">
        <f t="shared" si="169"/>
        <v>0</v>
      </c>
      <c r="AN1038" s="251"/>
      <c r="AO1038" s="1736"/>
      <c r="AP1038" s="1737"/>
    </row>
    <row r="1039" spans="1:42" s="85" customFormat="1" ht="13.5" thickBot="1">
      <c r="A1039" s="240"/>
      <c r="B1039" s="241"/>
      <c r="C1039" s="242"/>
      <c r="D1039" s="242"/>
      <c r="E1039" s="243"/>
      <c r="F1039" s="244"/>
      <c r="G1039" s="244"/>
      <c r="H1039" s="243"/>
      <c r="I1039" s="258"/>
      <c r="J1039" s="245"/>
      <c r="K1039" s="245"/>
      <c r="L1039" s="76">
        <f t="shared" si="160"/>
        <v>0</v>
      </c>
      <c r="M1039" s="246"/>
      <c r="N1039" s="247"/>
      <c r="O1039" s="248"/>
      <c r="P1039" s="246"/>
      <c r="Q1039" s="249"/>
      <c r="R1039" s="250"/>
      <c r="S1039" s="259"/>
      <c r="T1039" s="260"/>
      <c r="U1039" s="250"/>
      <c r="V1039" s="78">
        <f t="shared" si="161"/>
        <v>0</v>
      </c>
      <c r="W1039" s="261">
        <f t="shared" si="162"/>
        <v>0</v>
      </c>
      <c r="X1039" s="133">
        <f t="shared" si="163"/>
        <v>0</v>
      </c>
      <c r="Y1039" s="251"/>
      <c r="Z1039" s="1736"/>
      <c r="AA1039" s="1737"/>
      <c r="AB1039" s="77">
        <f t="shared" si="164"/>
        <v>0</v>
      </c>
      <c r="AC1039" s="134">
        <f t="shared" si="165"/>
        <v>0</v>
      </c>
      <c r="AD1039" s="251"/>
      <c r="AE1039" s="1736"/>
      <c r="AF1039" s="1737"/>
      <c r="AG1039" s="77">
        <f t="shared" si="166"/>
        <v>0</v>
      </c>
      <c r="AH1039" s="136">
        <f t="shared" si="167"/>
        <v>0</v>
      </c>
      <c r="AI1039" s="251"/>
      <c r="AJ1039" s="1736"/>
      <c r="AK1039" s="1737"/>
      <c r="AL1039" s="79">
        <f t="shared" si="168"/>
        <v>0</v>
      </c>
      <c r="AM1039" s="137">
        <f t="shared" si="169"/>
        <v>0</v>
      </c>
      <c r="AN1039" s="251"/>
      <c r="AO1039" s="1736"/>
      <c r="AP1039" s="1737"/>
    </row>
    <row r="1040" spans="1:42" s="85" customFormat="1" ht="13.5" thickBot="1">
      <c r="A1040" s="240"/>
      <c r="B1040" s="241"/>
      <c r="C1040" s="242"/>
      <c r="D1040" s="242"/>
      <c r="E1040" s="243"/>
      <c r="F1040" s="244"/>
      <c r="G1040" s="244"/>
      <c r="H1040" s="243"/>
      <c r="I1040" s="258"/>
      <c r="J1040" s="245"/>
      <c r="K1040" s="245"/>
      <c r="L1040" s="76">
        <f t="shared" si="160"/>
        <v>0</v>
      </c>
      <c r="M1040" s="246"/>
      <c r="N1040" s="247"/>
      <c r="O1040" s="248"/>
      <c r="P1040" s="246"/>
      <c r="Q1040" s="249"/>
      <c r="R1040" s="250"/>
      <c r="S1040" s="259"/>
      <c r="T1040" s="260"/>
      <c r="U1040" s="250"/>
      <c r="V1040" s="78">
        <f t="shared" si="161"/>
        <v>0</v>
      </c>
      <c r="W1040" s="261">
        <f t="shared" si="162"/>
        <v>0</v>
      </c>
      <c r="X1040" s="133">
        <f t="shared" si="163"/>
        <v>0</v>
      </c>
      <c r="Y1040" s="251"/>
      <c r="Z1040" s="1736"/>
      <c r="AA1040" s="1737"/>
      <c r="AB1040" s="77">
        <f t="shared" si="164"/>
        <v>0</v>
      </c>
      <c r="AC1040" s="134">
        <f t="shared" si="165"/>
        <v>0</v>
      </c>
      <c r="AD1040" s="251"/>
      <c r="AE1040" s="1736"/>
      <c r="AF1040" s="1737"/>
      <c r="AG1040" s="77">
        <f t="shared" si="166"/>
        <v>0</v>
      </c>
      <c r="AH1040" s="136">
        <f t="shared" si="167"/>
        <v>0</v>
      </c>
      <c r="AI1040" s="251"/>
      <c r="AJ1040" s="1736"/>
      <c r="AK1040" s="1737"/>
      <c r="AL1040" s="79">
        <f t="shared" si="168"/>
        <v>0</v>
      </c>
      <c r="AM1040" s="137">
        <f t="shared" si="169"/>
        <v>0</v>
      </c>
      <c r="AN1040" s="251"/>
      <c r="AO1040" s="1736"/>
      <c r="AP1040" s="1737"/>
    </row>
    <row r="1041" spans="1:42" s="85" customFormat="1" ht="13.5" thickBot="1">
      <c r="A1041" s="240"/>
      <c r="B1041" s="241"/>
      <c r="C1041" s="242"/>
      <c r="D1041" s="242"/>
      <c r="E1041" s="243"/>
      <c r="F1041" s="244"/>
      <c r="G1041" s="244"/>
      <c r="H1041" s="243"/>
      <c r="I1041" s="258"/>
      <c r="J1041" s="245"/>
      <c r="K1041" s="245"/>
      <c r="L1041" s="76">
        <f t="shared" si="160"/>
        <v>0</v>
      </c>
      <c r="M1041" s="246"/>
      <c r="N1041" s="247"/>
      <c r="O1041" s="248"/>
      <c r="P1041" s="246"/>
      <c r="Q1041" s="249"/>
      <c r="R1041" s="250"/>
      <c r="S1041" s="259"/>
      <c r="T1041" s="260"/>
      <c r="U1041" s="250"/>
      <c r="V1041" s="78">
        <f t="shared" si="161"/>
        <v>0</v>
      </c>
      <c r="W1041" s="261">
        <f t="shared" si="162"/>
        <v>0</v>
      </c>
      <c r="X1041" s="133">
        <f t="shared" si="163"/>
        <v>0</v>
      </c>
      <c r="Y1041" s="251"/>
      <c r="Z1041" s="1736"/>
      <c r="AA1041" s="1737"/>
      <c r="AB1041" s="77">
        <f t="shared" si="164"/>
        <v>0</v>
      </c>
      <c r="AC1041" s="134">
        <f t="shared" si="165"/>
        <v>0</v>
      </c>
      <c r="AD1041" s="251"/>
      <c r="AE1041" s="1736"/>
      <c r="AF1041" s="1737"/>
      <c r="AG1041" s="77">
        <f t="shared" si="166"/>
        <v>0</v>
      </c>
      <c r="AH1041" s="136">
        <f t="shared" si="167"/>
        <v>0</v>
      </c>
      <c r="AI1041" s="251"/>
      <c r="AJ1041" s="1736"/>
      <c r="AK1041" s="1737"/>
      <c r="AL1041" s="79">
        <f t="shared" si="168"/>
        <v>0</v>
      </c>
      <c r="AM1041" s="137">
        <f t="shared" si="169"/>
        <v>0</v>
      </c>
      <c r="AN1041" s="251"/>
      <c r="AO1041" s="1736"/>
      <c r="AP1041" s="1737"/>
    </row>
    <row r="1042" spans="1:42" s="85" customFormat="1" ht="13.5" thickBot="1">
      <c r="A1042" s="240"/>
      <c r="B1042" s="241"/>
      <c r="C1042" s="242"/>
      <c r="D1042" s="242"/>
      <c r="E1042" s="243"/>
      <c r="F1042" s="244"/>
      <c r="G1042" s="244"/>
      <c r="H1042" s="243"/>
      <c r="I1042" s="258"/>
      <c r="J1042" s="245"/>
      <c r="K1042" s="245"/>
      <c r="L1042" s="76">
        <f t="shared" si="160"/>
        <v>0</v>
      </c>
      <c r="M1042" s="246"/>
      <c r="N1042" s="247"/>
      <c r="O1042" s="248"/>
      <c r="P1042" s="246"/>
      <c r="Q1042" s="249"/>
      <c r="R1042" s="250"/>
      <c r="S1042" s="259"/>
      <c r="T1042" s="260"/>
      <c r="U1042" s="250"/>
      <c r="V1042" s="78">
        <f t="shared" si="161"/>
        <v>0</v>
      </c>
      <c r="W1042" s="261">
        <f t="shared" si="162"/>
        <v>0</v>
      </c>
      <c r="X1042" s="133">
        <f t="shared" si="163"/>
        <v>0</v>
      </c>
      <c r="Y1042" s="251"/>
      <c r="Z1042" s="1736"/>
      <c r="AA1042" s="1737"/>
      <c r="AB1042" s="77">
        <f t="shared" si="164"/>
        <v>0</v>
      </c>
      <c r="AC1042" s="134">
        <f t="shared" si="165"/>
        <v>0</v>
      </c>
      <c r="AD1042" s="251"/>
      <c r="AE1042" s="1736"/>
      <c r="AF1042" s="1737"/>
      <c r="AG1042" s="77">
        <f t="shared" si="166"/>
        <v>0</v>
      </c>
      <c r="AH1042" s="136">
        <f t="shared" si="167"/>
        <v>0</v>
      </c>
      <c r="AI1042" s="251"/>
      <c r="AJ1042" s="1736"/>
      <c r="AK1042" s="1737"/>
      <c r="AL1042" s="79">
        <f t="shared" si="168"/>
        <v>0</v>
      </c>
      <c r="AM1042" s="137">
        <f t="shared" si="169"/>
        <v>0</v>
      </c>
      <c r="AN1042" s="251"/>
      <c r="AO1042" s="1736"/>
      <c r="AP1042" s="1737"/>
    </row>
    <row r="1043" spans="1:42" s="85" customFormat="1" ht="13.5" thickBot="1">
      <c r="A1043" s="240"/>
      <c r="B1043" s="241"/>
      <c r="C1043" s="242"/>
      <c r="D1043" s="242"/>
      <c r="E1043" s="243"/>
      <c r="F1043" s="244"/>
      <c r="G1043" s="244"/>
      <c r="H1043" s="243"/>
      <c r="I1043" s="258"/>
      <c r="J1043" s="245"/>
      <c r="K1043" s="245"/>
      <c r="L1043" s="76">
        <f t="shared" si="160"/>
        <v>0</v>
      </c>
      <c r="M1043" s="246"/>
      <c r="N1043" s="247"/>
      <c r="O1043" s="248"/>
      <c r="P1043" s="246"/>
      <c r="Q1043" s="249"/>
      <c r="R1043" s="250"/>
      <c r="S1043" s="259"/>
      <c r="T1043" s="260"/>
      <c r="U1043" s="250"/>
      <c r="V1043" s="78">
        <f t="shared" si="161"/>
        <v>0</v>
      </c>
      <c r="W1043" s="261">
        <f t="shared" si="162"/>
        <v>0</v>
      </c>
      <c r="X1043" s="133">
        <f t="shared" si="163"/>
        <v>0</v>
      </c>
      <c r="Y1043" s="251"/>
      <c r="Z1043" s="1736"/>
      <c r="AA1043" s="1737"/>
      <c r="AB1043" s="77">
        <f t="shared" si="164"/>
        <v>0</v>
      </c>
      <c r="AC1043" s="134">
        <f t="shared" si="165"/>
        <v>0</v>
      </c>
      <c r="AD1043" s="251"/>
      <c r="AE1043" s="1736"/>
      <c r="AF1043" s="1737"/>
      <c r="AG1043" s="77">
        <f t="shared" si="166"/>
        <v>0</v>
      </c>
      <c r="AH1043" s="136">
        <f t="shared" si="167"/>
        <v>0</v>
      </c>
      <c r="AI1043" s="251"/>
      <c r="AJ1043" s="1736"/>
      <c r="AK1043" s="1737"/>
      <c r="AL1043" s="79">
        <f t="shared" si="168"/>
        <v>0</v>
      </c>
      <c r="AM1043" s="137">
        <f t="shared" si="169"/>
        <v>0</v>
      </c>
      <c r="AN1043" s="251"/>
      <c r="AO1043" s="1736"/>
      <c r="AP1043" s="1737"/>
    </row>
    <row r="1044" spans="1:42" s="85" customFormat="1" ht="13.5" thickBot="1">
      <c r="A1044" s="240"/>
      <c r="B1044" s="241"/>
      <c r="C1044" s="242"/>
      <c r="D1044" s="242"/>
      <c r="E1044" s="243"/>
      <c r="F1044" s="244"/>
      <c r="G1044" s="244"/>
      <c r="H1044" s="243"/>
      <c r="I1044" s="258"/>
      <c r="J1044" s="245"/>
      <c r="K1044" s="245"/>
      <c r="L1044" s="76">
        <f t="shared" si="160"/>
        <v>0</v>
      </c>
      <c r="M1044" s="246"/>
      <c r="N1044" s="247"/>
      <c r="O1044" s="248"/>
      <c r="P1044" s="246"/>
      <c r="Q1044" s="249"/>
      <c r="R1044" s="250"/>
      <c r="S1044" s="259"/>
      <c r="T1044" s="260"/>
      <c r="U1044" s="250"/>
      <c r="V1044" s="78">
        <f t="shared" si="161"/>
        <v>0</v>
      </c>
      <c r="W1044" s="261">
        <f t="shared" si="162"/>
        <v>0</v>
      </c>
      <c r="X1044" s="133">
        <f t="shared" si="163"/>
        <v>0</v>
      </c>
      <c r="Y1044" s="251"/>
      <c r="Z1044" s="1736"/>
      <c r="AA1044" s="1737"/>
      <c r="AB1044" s="77">
        <f t="shared" si="164"/>
        <v>0</v>
      </c>
      <c r="AC1044" s="134">
        <f t="shared" si="165"/>
        <v>0</v>
      </c>
      <c r="AD1044" s="251"/>
      <c r="AE1044" s="1736"/>
      <c r="AF1044" s="1737"/>
      <c r="AG1044" s="77">
        <f t="shared" si="166"/>
        <v>0</v>
      </c>
      <c r="AH1044" s="136">
        <f t="shared" si="167"/>
        <v>0</v>
      </c>
      <c r="AI1044" s="251"/>
      <c r="AJ1044" s="1736"/>
      <c r="AK1044" s="1737"/>
      <c r="AL1044" s="79">
        <f t="shared" si="168"/>
        <v>0</v>
      </c>
      <c r="AM1044" s="137">
        <f t="shared" si="169"/>
        <v>0</v>
      </c>
      <c r="AN1044" s="251"/>
      <c r="AO1044" s="1736"/>
      <c r="AP1044" s="1737"/>
    </row>
    <row r="1045" spans="1:42" s="85" customFormat="1" ht="13.5" thickBot="1">
      <c r="A1045" s="240"/>
      <c r="B1045" s="241"/>
      <c r="C1045" s="242"/>
      <c r="D1045" s="242"/>
      <c r="E1045" s="243"/>
      <c r="F1045" s="244"/>
      <c r="G1045" s="244"/>
      <c r="H1045" s="243"/>
      <c r="I1045" s="258"/>
      <c r="J1045" s="245"/>
      <c r="K1045" s="245"/>
      <c r="L1045" s="76">
        <f t="shared" si="160"/>
        <v>0</v>
      </c>
      <c r="M1045" s="246"/>
      <c r="N1045" s="247"/>
      <c r="O1045" s="248"/>
      <c r="P1045" s="246"/>
      <c r="Q1045" s="249"/>
      <c r="R1045" s="250"/>
      <c r="S1045" s="259"/>
      <c r="T1045" s="260"/>
      <c r="U1045" s="250"/>
      <c r="V1045" s="78">
        <f t="shared" si="161"/>
        <v>0</v>
      </c>
      <c r="W1045" s="261">
        <f t="shared" si="162"/>
        <v>0</v>
      </c>
      <c r="X1045" s="133">
        <f t="shared" si="163"/>
        <v>0</v>
      </c>
      <c r="Y1045" s="251"/>
      <c r="Z1045" s="1736"/>
      <c r="AA1045" s="1737"/>
      <c r="AB1045" s="77">
        <f t="shared" si="164"/>
        <v>0</v>
      </c>
      <c r="AC1045" s="134">
        <f t="shared" si="165"/>
        <v>0</v>
      </c>
      <c r="AD1045" s="251"/>
      <c r="AE1045" s="1736"/>
      <c r="AF1045" s="1737"/>
      <c r="AG1045" s="77">
        <f t="shared" si="166"/>
        <v>0</v>
      </c>
      <c r="AH1045" s="136">
        <f t="shared" si="167"/>
        <v>0</v>
      </c>
      <c r="AI1045" s="251"/>
      <c r="AJ1045" s="1736"/>
      <c r="AK1045" s="1737"/>
      <c r="AL1045" s="79">
        <f t="shared" si="168"/>
        <v>0</v>
      </c>
      <c r="AM1045" s="137">
        <f t="shared" si="169"/>
        <v>0</v>
      </c>
      <c r="AN1045" s="251"/>
      <c r="AO1045" s="1736"/>
      <c r="AP1045" s="1737"/>
    </row>
    <row r="1046" spans="1:42" s="85" customFormat="1" ht="13.5" thickBot="1">
      <c r="A1046" s="240"/>
      <c r="B1046" s="241"/>
      <c r="C1046" s="242"/>
      <c r="D1046" s="242"/>
      <c r="E1046" s="243"/>
      <c r="F1046" s="244"/>
      <c r="G1046" s="244"/>
      <c r="H1046" s="243"/>
      <c r="I1046" s="258"/>
      <c r="J1046" s="245"/>
      <c r="K1046" s="245"/>
      <c r="L1046" s="76">
        <f t="shared" si="160"/>
        <v>0</v>
      </c>
      <c r="M1046" s="246"/>
      <c r="N1046" s="247"/>
      <c r="O1046" s="248"/>
      <c r="P1046" s="246"/>
      <c r="Q1046" s="249"/>
      <c r="R1046" s="250"/>
      <c r="S1046" s="259"/>
      <c r="T1046" s="260"/>
      <c r="U1046" s="250"/>
      <c r="V1046" s="78">
        <f t="shared" si="161"/>
        <v>0</v>
      </c>
      <c r="W1046" s="261">
        <f t="shared" si="162"/>
        <v>0</v>
      </c>
      <c r="X1046" s="133">
        <f t="shared" si="163"/>
        <v>0</v>
      </c>
      <c r="Y1046" s="251"/>
      <c r="Z1046" s="1736"/>
      <c r="AA1046" s="1737"/>
      <c r="AB1046" s="77">
        <f t="shared" si="164"/>
        <v>0</v>
      </c>
      <c r="AC1046" s="134">
        <f t="shared" si="165"/>
        <v>0</v>
      </c>
      <c r="AD1046" s="251"/>
      <c r="AE1046" s="1736"/>
      <c r="AF1046" s="1737"/>
      <c r="AG1046" s="77">
        <f t="shared" si="166"/>
        <v>0</v>
      </c>
      <c r="AH1046" s="136">
        <f t="shared" si="167"/>
        <v>0</v>
      </c>
      <c r="AI1046" s="251"/>
      <c r="AJ1046" s="1736"/>
      <c r="AK1046" s="1737"/>
      <c r="AL1046" s="79">
        <f t="shared" si="168"/>
        <v>0</v>
      </c>
      <c r="AM1046" s="137">
        <f t="shared" si="169"/>
        <v>0</v>
      </c>
      <c r="AN1046" s="251"/>
      <c r="AO1046" s="1736"/>
      <c r="AP1046" s="1737"/>
    </row>
    <row r="1047" spans="1:42" s="85" customFormat="1" ht="13.5" thickBot="1">
      <c r="A1047" s="240"/>
      <c r="B1047" s="241"/>
      <c r="C1047" s="242"/>
      <c r="D1047" s="242"/>
      <c r="E1047" s="243"/>
      <c r="F1047" s="244"/>
      <c r="G1047" s="244"/>
      <c r="H1047" s="243"/>
      <c r="I1047" s="258"/>
      <c r="J1047" s="245"/>
      <c r="K1047" s="245"/>
      <c r="L1047" s="76">
        <f t="shared" si="160"/>
        <v>0</v>
      </c>
      <c r="M1047" s="246"/>
      <c r="N1047" s="247"/>
      <c r="O1047" s="248"/>
      <c r="P1047" s="246"/>
      <c r="Q1047" s="249"/>
      <c r="R1047" s="250"/>
      <c r="S1047" s="259"/>
      <c r="T1047" s="260"/>
      <c r="U1047" s="250"/>
      <c r="V1047" s="78">
        <f t="shared" si="161"/>
        <v>0</v>
      </c>
      <c r="W1047" s="261">
        <f t="shared" si="162"/>
        <v>0</v>
      </c>
      <c r="X1047" s="133">
        <f t="shared" si="163"/>
        <v>0</v>
      </c>
      <c r="Y1047" s="251"/>
      <c r="Z1047" s="1736"/>
      <c r="AA1047" s="1737"/>
      <c r="AB1047" s="77">
        <f t="shared" si="164"/>
        <v>0</v>
      </c>
      <c r="AC1047" s="134">
        <f t="shared" si="165"/>
        <v>0</v>
      </c>
      <c r="AD1047" s="251"/>
      <c r="AE1047" s="1736"/>
      <c r="AF1047" s="1737"/>
      <c r="AG1047" s="77">
        <f t="shared" si="166"/>
        <v>0</v>
      </c>
      <c r="AH1047" s="136">
        <f t="shared" si="167"/>
        <v>0</v>
      </c>
      <c r="AI1047" s="251"/>
      <c r="AJ1047" s="1736"/>
      <c r="AK1047" s="1737"/>
      <c r="AL1047" s="79">
        <f t="shared" si="168"/>
        <v>0</v>
      </c>
      <c r="AM1047" s="137">
        <f t="shared" si="169"/>
        <v>0</v>
      </c>
      <c r="AN1047" s="251"/>
      <c r="AO1047" s="1736"/>
      <c r="AP1047" s="1737"/>
    </row>
    <row r="1048" spans="1:42" s="85" customFormat="1" ht="13.5" thickBot="1">
      <c r="A1048" s="240"/>
      <c r="B1048" s="241"/>
      <c r="C1048" s="242"/>
      <c r="D1048" s="242"/>
      <c r="E1048" s="243"/>
      <c r="F1048" s="244"/>
      <c r="G1048" s="244"/>
      <c r="H1048" s="243"/>
      <c r="I1048" s="258"/>
      <c r="J1048" s="245"/>
      <c r="K1048" s="245"/>
      <c r="L1048" s="76">
        <f t="shared" si="160"/>
        <v>0</v>
      </c>
      <c r="M1048" s="246"/>
      <c r="N1048" s="247"/>
      <c r="O1048" s="248"/>
      <c r="P1048" s="246"/>
      <c r="Q1048" s="249"/>
      <c r="R1048" s="250"/>
      <c r="S1048" s="259"/>
      <c r="T1048" s="260"/>
      <c r="U1048" s="250"/>
      <c r="V1048" s="78">
        <f t="shared" si="161"/>
        <v>0</v>
      </c>
      <c r="W1048" s="261">
        <f t="shared" si="162"/>
        <v>0</v>
      </c>
      <c r="X1048" s="133">
        <f t="shared" si="163"/>
        <v>0</v>
      </c>
      <c r="Y1048" s="251"/>
      <c r="Z1048" s="1736"/>
      <c r="AA1048" s="1737"/>
      <c r="AB1048" s="77">
        <f t="shared" si="164"/>
        <v>0</v>
      </c>
      <c r="AC1048" s="134">
        <f t="shared" si="165"/>
        <v>0</v>
      </c>
      <c r="AD1048" s="251"/>
      <c r="AE1048" s="1736"/>
      <c r="AF1048" s="1737"/>
      <c r="AG1048" s="77">
        <f t="shared" si="166"/>
        <v>0</v>
      </c>
      <c r="AH1048" s="136">
        <f t="shared" si="167"/>
        <v>0</v>
      </c>
      <c r="AI1048" s="251"/>
      <c r="AJ1048" s="1736"/>
      <c r="AK1048" s="1737"/>
      <c r="AL1048" s="79">
        <f t="shared" si="168"/>
        <v>0</v>
      </c>
      <c r="AM1048" s="137">
        <f t="shared" si="169"/>
        <v>0</v>
      </c>
      <c r="AN1048" s="251"/>
      <c r="AO1048" s="1736"/>
      <c r="AP1048" s="1737"/>
    </row>
    <row r="1049" spans="1:42" s="85" customFormat="1" ht="13.5" thickBot="1">
      <c r="A1049" s="240"/>
      <c r="B1049" s="241"/>
      <c r="C1049" s="242"/>
      <c r="D1049" s="242"/>
      <c r="E1049" s="243"/>
      <c r="F1049" s="244"/>
      <c r="G1049" s="244"/>
      <c r="H1049" s="243"/>
      <c r="I1049" s="258"/>
      <c r="J1049" s="245"/>
      <c r="K1049" s="245"/>
      <c r="L1049" s="76">
        <f t="shared" si="160"/>
        <v>0</v>
      </c>
      <c r="M1049" s="246"/>
      <c r="N1049" s="247"/>
      <c r="O1049" s="248"/>
      <c r="P1049" s="246"/>
      <c r="Q1049" s="249"/>
      <c r="R1049" s="250"/>
      <c r="S1049" s="259"/>
      <c r="T1049" s="260"/>
      <c r="U1049" s="250"/>
      <c r="V1049" s="78">
        <f t="shared" si="161"/>
        <v>0</v>
      </c>
      <c r="W1049" s="261">
        <f t="shared" si="162"/>
        <v>0</v>
      </c>
      <c r="X1049" s="133">
        <f t="shared" si="163"/>
        <v>0</v>
      </c>
      <c r="Y1049" s="251"/>
      <c r="Z1049" s="1736"/>
      <c r="AA1049" s="1737"/>
      <c r="AB1049" s="77">
        <f t="shared" si="164"/>
        <v>0</v>
      </c>
      <c r="AC1049" s="134">
        <f t="shared" si="165"/>
        <v>0</v>
      </c>
      <c r="AD1049" s="251"/>
      <c r="AE1049" s="1736"/>
      <c r="AF1049" s="1737"/>
      <c r="AG1049" s="77">
        <f t="shared" si="166"/>
        <v>0</v>
      </c>
      <c r="AH1049" s="136">
        <f t="shared" si="167"/>
        <v>0</v>
      </c>
      <c r="AI1049" s="251"/>
      <c r="AJ1049" s="1736"/>
      <c r="AK1049" s="1737"/>
      <c r="AL1049" s="79">
        <f t="shared" si="168"/>
        <v>0</v>
      </c>
      <c r="AM1049" s="137">
        <f t="shared" si="169"/>
        <v>0</v>
      </c>
      <c r="AN1049" s="251"/>
      <c r="AO1049" s="1736"/>
      <c r="AP1049" s="1737"/>
    </row>
    <row r="1050" spans="1:42" s="85" customFormat="1" ht="13.5" thickBot="1">
      <c r="A1050" s="240"/>
      <c r="B1050" s="241"/>
      <c r="C1050" s="242"/>
      <c r="D1050" s="242"/>
      <c r="E1050" s="243"/>
      <c r="F1050" s="244"/>
      <c r="G1050" s="244"/>
      <c r="H1050" s="243"/>
      <c r="I1050" s="258"/>
      <c r="J1050" s="245"/>
      <c r="K1050" s="245"/>
      <c r="L1050" s="76">
        <f t="shared" si="160"/>
        <v>0</v>
      </c>
      <c r="M1050" s="246"/>
      <c r="N1050" s="247"/>
      <c r="O1050" s="248"/>
      <c r="P1050" s="246"/>
      <c r="Q1050" s="249"/>
      <c r="R1050" s="250"/>
      <c r="S1050" s="259"/>
      <c r="T1050" s="260"/>
      <c r="U1050" s="250"/>
      <c r="V1050" s="78">
        <f t="shared" si="161"/>
        <v>0</v>
      </c>
      <c r="W1050" s="261">
        <f t="shared" si="162"/>
        <v>0</v>
      </c>
      <c r="X1050" s="133">
        <f t="shared" si="163"/>
        <v>0</v>
      </c>
      <c r="Y1050" s="251"/>
      <c r="Z1050" s="1736"/>
      <c r="AA1050" s="1737"/>
      <c r="AB1050" s="77">
        <f t="shared" si="164"/>
        <v>0</v>
      </c>
      <c r="AC1050" s="134">
        <f t="shared" si="165"/>
        <v>0</v>
      </c>
      <c r="AD1050" s="251"/>
      <c r="AE1050" s="1736"/>
      <c r="AF1050" s="1737"/>
      <c r="AG1050" s="77">
        <f t="shared" si="166"/>
        <v>0</v>
      </c>
      <c r="AH1050" s="136">
        <f t="shared" si="167"/>
        <v>0</v>
      </c>
      <c r="AI1050" s="251"/>
      <c r="AJ1050" s="1736"/>
      <c r="AK1050" s="1737"/>
      <c r="AL1050" s="79">
        <f t="shared" si="168"/>
        <v>0</v>
      </c>
      <c r="AM1050" s="137">
        <f t="shared" si="169"/>
        <v>0</v>
      </c>
      <c r="AN1050" s="251"/>
      <c r="AO1050" s="1736"/>
      <c r="AP1050" s="1737"/>
    </row>
    <row r="1051" spans="1:42" s="85" customFormat="1" ht="13.5" thickBot="1">
      <c r="A1051" s="240"/>
      <c r="B1051" s="241"/>
      <c r="C1051" s="242"/>
      <c r="D1051" s="242"/>
      <c r="E1051" s="243"/>
      <c r="F1051" s="244"/>
      <c r="G1051" s="244"/>
      <c r="H1051" s="243"/>
      <c r="I1051" s="258"/>
      <c r="J1051" s="245"/>
      <c r="K1051" s="245"/>
      <c r="L1051" s="76">
        <f t="shared" si="160"/>
        <v>0</v>
      </c>
      <c r="M1051" s="246"/>
      <c r="N1051" s="247"/>
      <c r="O1051" s="248"/>
      <c r="P1051" s="246"/>
      <c r="Q1051" s="249"/>
      <c r="R1051" s="250"/>
      <c r="S1051" s="259"/>
      <c r="T1051" s="260"/>
      <c r="U1051" s="250"/>
      <c r="V1051" s="78">
        <f t="shared" si="161"/>
        <v>0</v>
      </c>
      <c r="W1051" s="261">
        <f t="shared" si="162"/>
        <v>0</v>
      </c>
      <c r="X1051" s="133">
        <f t="shared" si="163"/>
        <v>0</v>
      </c>
      <c r="Y1051" s="251"/>
      <c r="Z1051" s="1736"/>
      <c r="AA1051" s="1737"/>
      <c r="AB1051" s="77">
        <f t="shared" si="164"/>
        <v>0</v>
      </c>
      <c r="AC1051" s="134">
        <f t="shared" si="165"/>
        <v>0</v>
      </c>
      <c r="AD1051" s="251"/>
      <c r="AE1051" s="1736"/>
      <c r="AF1051" s="1737"/>
      <c r="AG1051" s="77">
        <f t="shared" si="166"/>
        <v>0</v>
      </c>
      <c r="AH1051" s="136">
        <f t="shared" si="167"/>
        <v>0</v>
      </c>
      <c r="AI1051" s="251"/>
      <c r="AJ1051" s="1736"/>
      <c r="AK1051" s="1737"/>
      <c r="AL1051" s="79">
        <f t="shared" si="168"/>
        <v>0</v>
      </c>
      <c r="AM1051" s="137">
        <f t="shared" si="169"/>
        <v>0</v>
      </c>
      <c r="AN1051" s="251"/>
      <c r="AO1051" s="1736"/>
      <c r="AP1051" s="1737"/>
    </row>
    <row r="1052" spans="1:42" s="85" customFormat="1" ht="13.5" thickBot="1">
      <c r="A1052" s="240"/>
      <c r="B1052" s="241"/>
      <c r="C1052" s="242"/>
      <c r="D1052" s="242"/>
      <c r="E1052" s="243"/>
      <c r="F1052" s="244"/>
      <c r="G1052" s="244"/>
      <c r="H1052" s="243"/>
      <c r="I1052" s="258"/>
      <c r="J1052" s="245"/>
      <c r="K1052" s="245"/>
      <c r="L1052" s="76">
        <f t="shared" si="160"/>
        <v>0</v>
      </c>
      <c r="M1052" s="246"/>
      <c r="N1052" s="247"/>
      <c r="O1052" s="248"/>
      <c r="P1052" s="246"/>
      <c r="Q1052" s="249"/>
      <c r="R1052" s="250"/>
      <c r="S1052" s="259"/>
      <c r="T1052" s="260"/>
      <c r="U1052" s="250"/>
      <c r="V1052" s="78">
        <f t="shared" si="161"/>
        <v>0</v>
      </c>
      <c r="W1052" s="261">
        <f t="shared" si="162"/>
        <v>0</v>
      </c>
      <c r="X1052" s="133">
        <f t="shared" si="163"/>
        <v>0</v>
      </c>
      <c r="Y1052" s="251"/>
      <c r="Z1052" s="1736"/>
      <c r="AA1052" s="1737"/>
      <c r="AB1052" s="77">
        <f t="shared" si="164"/>
        <v>0</v>
      </c>
      <c r="AC1052" s="134">
        <f t="shared" si="165"/>
        <v>0</v>
      </c>
      <c r="AD1052" s="251"/>
      <c r="AE1052" s="1736"/>
      <c r="AF1052" s="1737"/>
      <c r="AG1052" s="77">
        <f t="shared" si="166"/>
        <v>0</v>
      </c>
      <c r="AH1052" s="136">
        <f t="shared" si="167"/>
        <v>0</v>
      </c>
      <c r="AI1052" s="251"/>
      <c r="AJ1052" s="1736"/>
      <c r="AK1052" s="1737"/>
      <c r="AL1052" s="79">
        <f t="shared" si="168"/>
        <v>0</v>
      </c>
      <c r="AM1052" s="137">
        <f t="shared" si="169"/>
        <v>0</v>
      </c>
      <c r="AN1052" s="251"/>
      <c r="AO1052" s="1736"/>
      <c r="AP1052" s="1737"/>
    </row>
    <row r="1053" spans="1:42" s="85" customFormat="1" ht="13.5" thickBot="1">
      <c r="A1053" s="240"/>
      <c r="B1053" s="241"/>
      <c r="C1053" s="242"/>
      <c r="D1053" s="242"/>
      <c r="E1053" s="243"/>
      <c r="F1053" s="244"/>
      <c r="G1053" s="244"/>
      <c r="H1053" s="243"/>
      <c r="I1053" s="258"/>
      <c r="J1053" s="245"/>
      <c r="K1053" s="245"/>
      <c r="L1053" s="76">
        <f t="shared" si="160"/>
        <v>0</v>
      </c>
      <c r="M1053" s="246"/>
      <c r="N1053" s="247"/>
      <c r="O1053" s="248"/>
      <c r="P1053" s="246"/>
      <c r="Q1053" s="249"/>
      <c r="R1053" s="250"/>
      <c r="S1053" s="259"/>
      <c r="T1053" s="260"/>
      <c r="U1053" s="250"/>
      <c r="V1053" s="78">
        <f t="shared" si="161"/>
        <v>0</v>
      </c>
      <c r="W1053" s="261">
        <f t="shared" si="162"/>
        <v>0</v>
      </c>
      <c r="X1053" s="133">
        <f t="shared" si="163"/>
        <v>0</v>
      </c>
      <c r="Y1053" s="251"/>
      <c r="Z1053" s="1736"/>
      <c r="AA1053" s="1737"/>
      <c r="AB1053" s="77">
        <f t="shared" si="164"/>
        <v>0</v>
      </c>
      <c r="AC1053" s="134">
        <f t="shared" si="165"/>
        <v>0</v>
      </c>
      <c r="AD1053" s="251"/>
      <c r="AE1053" s="1736"/>
      <c r="AF1053" s="1737"/>
      <c r="AG1053" s="77">
        <f t="shared" si="166"/>
        <v>0</v>
      </c>
      <c r="AH1053" s="136">
        <f t="shared" si="167"/>
        <v>0</v>
      </c>
      <c r="AI1053" s="251"/>
      <c r="AJ1053" s="1736"/>
      <c r="AK1053" s="1737"/>
      <c r="AL1053" s="79">
        <f t="shared" si="168"/>
        <v>0</v>
      </c>
      <c r="AM1053" s="137">
        <f t="shared" si="169"/>
        <v>0</v>
      </c>
      <c r="AN1053" s="251"/>
      <c r="AO1053" s="1736"/>
      <c r="AP1053" s="1737"/>
    </row>
    <row r="1054" spans="1:42" s="85" customFormat="1" ht="13.5" thickBot="1">
      <c r="A1054" s="240"/>
      <c r="B1054" s="241"/>
      <c r="C1054" s="242"/>
      <c r="D1054" s="242"/>
      <c r="E1054" s="243"/>
      <c r="F1054" s="244"/>
      <c r="G1054" s="244"/>
      <c r="H1054" s="243"/>
      <c r="I1054" s="258"/>
      <c r="J1054" s="245"/>
      <c r="K1054" s="245"/>
      <c r="L1054" s="76">
        <f t="shared" si="160"/>
        <v>0</v>
      </c>
      <c r="M1054" s="246"/>
      <c r="N1054" s="247"/>
      <c r="O1054" s="248"/>
      <c r="P1054" s="246"/>
      <c r="Q1054" s="249"/>
      <c r="R1054" s="250"/>
      <c r="S1054" s="259"/>
      <c r="T1054" s="260"/>
      <c r="U1054" s="250"/>
      <c r="V1054" s="78">
        <f t="shared" si="161"/>
        <v>0</v>
      </c>
      <c r="W1054" s="261">
        <f t="shared" si="162"/>
        <v>0</v>
      </c>
      <c r="X1054" s="133">
        <f t="shared" si="163"/>
        <v>0</v>
      </c>
      <c r="Y1054" s="251"/>
      <c r="Z1054" s="1736"/>
      <c r="AA1054" s="1737"/>
      <c r="AB1054" s="77">
        <f t="shared" si="164"/>
        <v>0</v>
      </c>
      <c r="AC1054" s="134">
        <f t="shared" si="165"/>
        <v>0</v>
      </c>
      <c r="AD1054" s="251"/>
      <c r="AE1054" s="1736"/>
      <c r="AF1054" s="1737"/>
      <c r="AG1054" s="77">
        <f t="shared" si="166"/>
        <v>0</v>
      </c>
      <c r="AH1054" s="136">
        <f t="shared" si="167"/>
        <v>0</v>
      </c>
      <c r="AI1054" s="251"/>
      <c r="AJ1054" s="1736"/>
      <c r="AK1054" s="1737"/>
      <c r="AL1054" s="79">
        <f t="shared" si="168"/>
        <v>0</v>
      </c>
      <c r="AM1054" s="137">
        <f t="shared" si="169"/>
        <v>0</v>
      </c>
      <c r="AN1054" s="251"/>
      <c r="AO1054" s="1736"/>
      <c r="AP1054" s="1737"/>
    </row>
    <row r="1055" spans="1:42" s="85" customFormat="1" ht="13.5" thickBot="1">
      <c r="A1055" s="240"/>
      <c r="B1055" s="241"/>
      <c r="C1055" s="242"/>
      <c r="D1055" s="242"/>
      <c r="E1055" s="243"/>
      <c r="F1055" s="244"/>
      <c r="G1055" s="244"/>
      <c r="H1055" s="243"/>
      <c r="I1055" s="258"/>
      <c r="J1055" s="245"/>
      <c r="K1055" s="245"/>
      <c r="L1055" s="76">
        <f t="shared" si="160"/>
        <v>0</v>
      </c>
      <c r="M1055" s="246"/>
      <c r="N1055" s="247"/>
      <c r="O1055" s="248"/>
      <c r="P1055" s="246"/>
      <c r="Q1055" s="249"/>
      <c r="R1055" s="250"/>
      <c r="S1055" s="259"/>
      <c r="T1055" s="260"/>
      <c r="U1055" s="250"/>
      <c r="V1055" s="78">
        <f t="shared" si="161"/>
        <v>0</v>
      </c>
      <c r="W1055" s="261">
        <f t="shared" si="162"/>
        <v>0</v>
      </c>
      <c r="X1055" s="133">
        <f t="shared" si="163"/>
        <v>0</v>
      </c>
      <c r="Y1055" s="251"/>
      <c r="Z1055" s="1736"/>
      <c r="AA1055" s="1737"/>
      <c r="AB1055" s="77">
        <f t="shared" si="164"/>
        <v>0</v>
      </c>
      <c r="AC1055" s="134">
        <f t="shared" si="165"/>
        <v>0</v>
      </c>
      <c r="AD1055" s="251"/>
      <c r="AE1055" s="1736"/>
      <c r="AF1055" s="1737"/>
      <c r="AG1055" s="77">
        <f t="shared" si="166"/>
        <v>0</v>
      </c>
      <c r="AH1055" s="136">
        <f t="shared" si="167"/>
        <v>0</v>
      </c>
      <c r="AI1055" s="251"/>
      <c r="AJ1055" s="1736"/>
      <c r="AK1055" s="1737"/>
      <c r="AL1055" s="79">
        <f t="shared" si="168"/>
        <v>0</v>
      </c>
      <c r="AM1055" s="137">
        <f t="shared" si="169"/>
        <v>0</v>
      </c>
      <c r="AN1055" s="251"/>
      <c r="AO1055" s="1736"/>
      <c r="AP1055" s="1737"/>
    </row>
    <row r="1056" spans="1:42" s="85" customFormat="1" ht="13.5" thickBot="1">
      <c r="A1056" s="240"/>
      <c r="B1056" s="241"/>
      <c r="C1056" s="242"/>
      <c r="D1056" s="242"/>
      <c r="E1056" s="243"/>
      <c r="F1056" s="244"/>
      <c r="G1056" s="244"/>
      <c r="H1056" s="243"/>
      <c r="I1056" s="258"/>
      <c r="J1056" s="245"/>
      <c r="K1056" s="245"/>
      <c r="L1056" s="76">
        <f t="shared" si="160"/>
        <v>0</v>
      </c>
      <c r="M1056" s="246"/>
      <c r="N1056" s="247"/>
      <c r="O1056" s="248"/>
      <c r="P1056" s="246"/>
      <c r="Q1056" s="249"/>
      <c r="R1056" s="250"/>
      <c r="S1056" s="259"/>
      <c r="T1056" s="260"/>
      <c r="U1056" s="250"/>
      <c r="V1056" s="78">
        <f t="shared" si="161"/>
        <v>0</v>
      </c>
      <c r="W1056" s="261">
        <f t="shared" si="162"/>
        <v>0</v>
      </c>
      <c r="X1056" s="133">
        <f t="shared" si="163"/>
        <v>0</v>
      </c>
      <c r="Y1056" s="251"/>
      <c r="Z1056" s="1736"/>
      <c r="AA1056" s="1737"/>
      <c r="AB1056" s="77">
        <f t="shared" si="164"/>
        <v>0</v>
      </c>
      <c r="AC1056" s="134">
        <f t="shared" si="165"/>
        <v>0</v>
      </c>
      <c r="AD1056" s="251"/>
      <c r="AE1056" s="1736"/>
      <c r="AF1056" s="1737"/>
      <c r="AG1056" s="77">
        <f t="shared" si="166"/>
        <v>0</v>
      </c>
      <c r="AH1056" s="136">
        <f t="shared" si="167"/>
        <v>0</v>
      </c>
      <c r="AI1056" s="251"/>
      <c r="AJ1056" s="1736"/>
      <c r="AK1056" s="1737"/>
      <c r="AL1056" s="79">
        <f t="shared" si="168"/>
        <v>0</v>
      </c>
      <c r="AM1056" s="137">
        <f t="shared" si="169"/>
        <v>0</v>
      </c>
      <c r="AN1056" s="251"/>
      <c r="AO1056" s="1736"/>
      <c r="AP1056" s="1737"/>
    </row>
    <row r="1057" spans="1:42" s="85" customFormat="1" ht="13.5" thickBot="1">
      <c r="A1057" s="240"/>
      <c r="B1057" s="241"/>
      <c r="C1057" s="242"/>
      <c r="D1057" s="242"/>
      <c r="E1057" s="243"/>
      <c r="F1057" s="244"/>
      <c r="G1057" s="244"/>
      <c r="H1057" s="243"/>
      <c r="I1057" s="258"/>
      <c r="J1057" s="245"/>
      <c r="K1057" s="245"/>
      <c r="L1057" s="76">
        <f t="shared" si="160"/>
        <v>0</v>
      </c>
      <c r="M1057" s="246"/>
      <c r="N1057" s="247"/>
      <c r="O1057" s="248"/>
      <c r="P1057" s="246"/>
      <c r="Q1057" s="249"/>
      <c r="R1057" s="250"/>
      <c r="S1057" s="259"/>
      <c r="T1057" s="260"/>
      <c r="U1057" s="250"/>
      <c r="V1057" s="78">
        <f t="shared" si="161"/>
        <v>0</v>
      </c>
      <c r="W1057" s="261">
        <f t="shared" si="162"/>
        <v>0</v>
      </c>
      <c r="X1057" s="133">
        <f t="shared" si="163"/>
        <v>0</v>
      </c>
      <c r="Y1057" s="251"/>
      <c r="Z1057" s="1736"/>
      <c r="AA1057" s="1737"/>
      <c r="AB1057" s="77">
        <f t="shared" si="164"/>
        <v>0</v>
      </c>
      <c r="AC1057" s="134">
        <f t="shared" si="165"/>
        <v>0</v>
      </c>
      <c r="AD1057" s="251"/>
      <c r="AE1057" s="1736"/>
      <c r="AF1057" s="1737"/>
      <c r="AG1057" s="77">
        <f t="shared" si="166"/>
        <v>0</v>
      </c>
      <c r="AH1057" s="136">
        <f t="shared" si="167"/>
        <v>0</v>
      </c>
      <c r="AI1057" s="251"/>
      <c r="AJ1057" s="1736"/>
      <c r="AK1057" s="1737"/>
      <c r="AL1057" s="79">
        <f t="shared" si="168"/>
        <v>0</v>
      </c>
      <c r="AM1057" s="137">
        <f t="shared" si="169"/>
        <v>0</v>
      </c>
      <c r="AN1057" s="251"/>
      <c r="AO1057" s="1736"/>
      <c r="AP1057" s="1737"/>
    </row>
    <row r="1058" spans="1:42" s="85" customFormat="1" ht="13.5" thickBot="1">
      <c r="A1058" s="240"/>
      <c r="B1058" s="241"/>
      <c r="C1058" s="242"/>
      <c r="D1058" s="242"/>
      <c r="E1058" s="243"/>
      <c r="F1058" s="244"/>
      <c r="G1058" s="244"/>
      <c r="H1058" s="243"/>
      <c r="I1058" s="258"/>
      <c r="J1058" s="245"/>
      <c r="K1058" s="245"/>
      <c r="L1058" s="76">
        <f t="shared" si="160"/>
        <v>0</v>
      </c>
      <c r="M1058" s="246"/>
      <c r="N1058" s="247"/>
      <c r="O1058" s="248"/>
      <c r="P1058" s="246"/>
      <c r="Q1058" s="249"/>
      <c r="R1058" s="250"/>
      <c r="S1058" s="259"/>
      <c r="T1058" s="260"/>
      <c r="U1058" s="250"/>
      <c r="V1058" s="78">
        <f t="shared" si="161"/>
        <v>0</v>
      </c>
      <c r="W1058" s="261">
        <f t="shared" si="162"/>
        <v>0</v>
      </c>
      <c r="X1058" s="133">
        <f t="shared" si="163"/>
        <v>0</v>
      </c>
      <c r="Y1058" s="251"/>
      <c r="Z1058" s="1736"/>
      <c r="AA1058" s="1737"/>
      <c r="AB1058" s="77">
        <f t="shared" si="164"/>
        <v>0</v>
      </c>
      <c r="AC1058" s="134">
        <f t="shared" si="165"/>
        <v>0</v>
      </c>
      <c r="AD1058" s="251"/>
      <c r="AE1058" s="1736"/>
      <c r="AF1058" s="1737"/>
      <c r="AG1058" s="77">
        <f t="shared" si="166"/>
        <v>0</v>
      </c>
      <c r="AH1058" s="136">
        <f t="shared" si="167"/>
        <v>0</v>
      </c>
      <c r="AI1058" s="251"/>
      <c r="AJ1058" s="1736"/>
      <c r="AK1058" s="1737"/>
      <c r="AL1058" s="79">
        <f t="shared" si="168"/>
        <v>0</v>
      </c>
      <c r="AM1058" s="137">
        <f t="shared" si="169"/>
        <v>0</v>
      </c>
      <c r="AN1058" s="251"/>
      <c r="AO1058" s="1736"/>
      <c r="AP1058" s="1737"/>
    </row>
    <row r="1059" spans="1:42" s="85" customFormat="1" ht="13.5" thickBot="1">
      <c r="A1059" s="240"/>
      <c r="B1059" s="241"/>
      <c r="C1059" s="242"/>
      <c r="D1059" s="242"/>
      <c r="E1059" s="243"/>
      <c r="F1059" s="244"/>
      <c r="G1059" s="244"/>
      <c r="H1059" s="243"/>
      <c r="I1059" s="258"/>
      <c r="J1059" s="245"/>
      <c r="K1059" s="245"/>
      <c r="L1059" s="76">
        <f t="shared" si="160"/>
        <v>0</v>
      </c>
      <c r="M1059" s="246"/>
      <c r="N1059" s="247"/>
      <c r="O1059" s="248"/>
      <c r="P1059" s="246"/>
      <c r="Q1059" s="249"/>
      <c r="R1059" s="250"/>
      <c r="S1059" s="259"/>
      <c r="T1059" s="260"/>
      <c r="U1059" s="250"/>
      <c r="V1059" s="78">
        <f t="shared" si="161"/>
        <v>0</v>
      </c>
      <c r="W1059" s="261">
        <f t="shared" si="162"/>
        <v>0</v>
      </c>
      <c r="X1059" s="133">
        <f t="shared" si="163"/>
        <v>0</v>
      </c>
      <c r="Y1059" s="251"/>
      <c r="Z1059" s="1736"/>
      <c r="AA1059" s="1737"/>
      <c r="AB1059" s="77">
        <f t="shared" si="164"/>
        <v>0</v>
      </c>
      <c r="AC1059" s="134">
        <f t="shared" si="165"/>
        <v>0</v>
      </c>
      <c r="AD1059" s="251"/>
      <c r="AE1059" s="1736"/>
      <c r="AF1059" s="1737"/>
      <c r="AG1059" s="77">
        <f t="shared" si="166"/>
        <v>0</v>
      </c>
      <c r="AH1059" s="136">
        <f t="shared" si="167"/>
        <v>0</v>
      </c>
      <c r="AI1059" s="251"/>
      <c r="AJ1059" s="1736"/>
      <c r="AK1059" s="1737"/>
      <c r="AL1059" s="79">
        <f t="shared" si="168"/>
        <v>0</v>
      </c>
      <c r="AM1059" s="137">
        <f t="shared" si="169"/>
        <v>0</v>
      </c>
      <c r="AN1059" s="251"/>
      <c r="AO1059" s="1736"/>
      <c r="AP1059" s="1737"/>
    </row>
    <row r="1060" spans="1:42" s="85" customFormat="1" ht="13.5" thickBot="1">
      <c r="A1060" s="240"/>
      <c r="B1060" s="241"/>
      <c r="C1060" s="242"/>
      <c r="D1060" s="242"/>
      <c r="E1060" s="243"/>
      <c r="F1060" s="244"/>
      <c r="G1060" s="244"/>
      <c r="H1060" s="243"/>
      <c r="I1060" s="258"/>
      <c r="J1060" s="245"/>
      <c r="K1060" s="245"/>
      <c r="L1060" s="76">
        <f t="shared" si="160"/>
        <v>0</v>
      </c>
      <c r="M1060" s="246"/>
      <c r="N1060" s="247"/>
      <c r="O1060" s="248"/>
      <c r="P1060" s="246"/>
      <c r="Q1060" s="249"/>
      <c r="R1060" s="250"/>
      <c r="S1060" s="259"/>
      <c r="T1060" s="260"/>
      <c r="U1060" s="250"/>
      <c r="V1060" s="78">
        <f t="shared" si="161"/>
        <v>0</v>
      </c>
      <c r="W1060" s="261">
        <f t="shared" si="162"/>
        <v>0</v>
      </c>
      <c r="X1060" s="133">
        <f t="shared" si="163"/>
        <v>0</v>
      </c>
      <c r="Y1060" s="251"/>
      <c r="Z1060" s="1736"/>
      <c r="AA1060" s="1737"/>
      <c r="AB1060" s="77">
        <f t="shared" si="164"/>
        <v>0</v>
      </c>
      <c r="AC1060" s="134">
        <f t="shared" si="165"/>
        <v>0</v>
      </c>
      <c r="AD1060" s="251"/>
      <c r="AE1060" s="1736"/>
      <c r="AF1060" s="1737"/>
      <c r="AG1060" s="77">
        <f t="shared" si="166"/>
        <v>0</v>
      </c>
      <c r="AH1060" s="136">
        <f t="shared" si="167"/>
        <v>0</v>
      </c>
      <c r="AI1060" s="251"/>
      <c r="AJ1060" s="1736"/>
      <c r="AK1060" s="1737"/>
      <c r="AL1060" s="79">
        <f t="shared" si="168"/>
        <v>0</v>
      </c>
      <c r="AM1060" s="137">
        <f t="shared" si="169"/>
        <v>0</v>
      </c>
      <c r="AN1060" s="251"/>
      <c r="AO1060" s="1736"/>
      <c r="AP1060" s="1737"/>
    </row>
    <row r="1061" spans="1:42" s="85" customFormat="1" ht="13.5" thickBot="1">
      <c r="A1061" s="240"/>
      <c r="B1061" s="241"/>
      <c r="C1061" s="242"/>
      <c r="D1061" s="242"/>
      <c r="E1061" s="243"/>
      <c r="F1061" s="244"/>
      <c r="G1061" s="244"/>
      <c r="H1061" s="243"/>
      <c r="I1061" s="258"/>
      <c r="J1061" s="245"/>
      <c r="K1061" s="245"/>
      <c r="L1061" s="76">
        <f t="shared" si="160"/>
        <v>0</v>
      </c>
      <c r="M1061" s="246"/>
      <c r="N1061" s="247"/>
      <c r="O1061" s="248"/>
      <c r="P1061" s="246"/>
      <c r="Q1061" s="249"/>
      <c r="R1061" s="250"/>
      <c r="S1061" s="259"/>
      <c r="T1061" s="260"/>
      <c r="U1061" s="250"/>
      <c r="V1061" s="78">
        <f t="shared" si="161"/>
        <v>0</v>
      </c>
      <c r="W1061" s="261">
        <f t="shared" si="162"/>
        <v>0</v>
      </c>
      <c r="X1061" s="133">
        <f t="shared" si="163"/>
        <v>0</v>
      </c>
      <c r="Y1061" s="251"/>
      <c r="Z1061" s="1736"/>
      <c r="AA1061" s="1737"/>
      <c r="AB1061" s="77">
        <f t="shared" si="164"/>
        <v>0</v>
      </c>
      <c r="AC1061" s="134">
        <f t="shared" si="165"/>
        <v>0</v>
      </c>
      <c r="AD1061" s="251"/>
      <c r="AE1061" s="1736"/>
      <c r="AF1061" s="1737"/>
      <c r="AG1061" s="77">
        <f t="shared" si="166"/>
        <v>0</v>
      </c>
      <c r="AH1061" s="136">
        <f t="shared" si="167"/>
        <v>0</v>
      </c>
      <c r="AI1061" s="251"/>
      <c r="AJ1061" s="1736"/>
      <c r="AK1061" s="1737"/>
      <c r="AL1061" s="79">
        <f t="shared" si="168"/>
        <v>0</v>
      </c>
      <c r="AM1061" s="137">
        <f t="shared" si="169"/>
        <v>0</v>
      </c>
      <c r="AN1061" s="251"/>
      <c r="AO1061" s="1736"/>
      <c r="AP1061" s="1737"/>
    </row>
    <row r="1062" spans="1:42" s="85" customFormat="1" ht="13.5" thickBot="1">
      <c r="A1062" s="240"/>
      <c r="B1062" s="241"/>
      <c r="C1062" s="242"/>
      <c r="D1062" s="242"/>
      <c r="E1062" s="243"/>
      <c r="F1062" s="244"/>
      <c r="G1062" s="244"/>
      <c r="H1062" s="243"/>
      <c r="I1062" s="258"/>
      <c r="J1062" s="245"/>
      <c r="K1062" s="245"/>
      <c r="L1062" s="76">
        <f t="shared" si="160"/>
        <v>0</v>
      </c>
      <c r="M1062" s="246"/>
      <c r="N1062" s="247"/>
      <c r="O1062" s="248"/>
      <c r="P1062" s="246"/>
      <c r="Q1062" s="249"/>
      <c r="R1062" s="250"/>
      <c r="S1062" s="259"/>
      <c r="T1062" s="260"/>
      <c r="U1062" s="250"/>
      <c r="V1062" s="78">
        <f t="shared" si="161"/>
        <v>0</v>
      </c>
      <c r="W1062" s="261">
        <f t="shared" si="162"/>
        <v>0</v>
      </c>
      <c r="X1062" s="133">
        <f t="shared" si="163"/>
        <v>0</v>
      </c>
      <c r="Y1062" s="251"/>
      <c r="Z1062" s="1736"/>
      <c r="AA1062" s="1737"/>
      <c r="AB1062" s="77">
        <f t="shared" si="164"/>
        <v>0</v>
      </c>
      <c r="AC1062" s="134">
        <f t="shared" si="165"/>
        <v>0</v>
      </c>
      <c r="AD1062" s="251"/>
      <c r="AE1062" s="1736"/>
      <c r="AF1062" s="1737"/>
      <c r="AG1062" s="77">
        <f t="shared" si="166"/>
        <v>0</v>
      </c>
      <c r="AH1062" s="136">
        <f t="shared" si="167"/>
        <v>0</v>
      </c>
      <c r="AI1062" s="251"/>
      <c r="AJ1062" s="1736"/>
      <c r="AK1062" s="1737"/>
      <c r="AL1062" s="79">
        <f t="shared" si="168"/>
        <v>0</v>
      </c>
      <c r="AM1062" s="137">
        <f t="shared" si="169"/>
        <v>0</v>
      </c>
      <c r="AN1062" s="251"/>
      <c r="AO1062" s="1736"/>
      <c r="AP1062" s="1737"/>
    </row>
    <row r="1063" spans="1:42" s="85" customFormat="1" ht="13.5" thickBot="1">
      <c r="A1063" s="240"/>
      <c r="B1063" s="241"/>
      <c r="C1063" s="242"/>
      <c r="D1063" s="242"/>
      <c r="E1063" s="243"/>
      <c r="F1063" s="244"/>
      <c r="G1063" s="244"/>
      <c r="H1063" s="243"/>
      <c r="I1063" s="258"/>
      <c r="J1063" s="245"/>
      <c r="K1063" s="245"/>
      <c r="L1063" s="76">
        <f t="shared" si="160"/>
        <v>0</v>
      </c>
      <c r="M1063" s="246"/>
      <c r="N1063" s="247"/>
      <c r="O1063" s="248"/>
      <c r="P1063" s="246"/>
      <c r="Q1063" s="249"/>
      <c r="R1063" s="250"/>
      <c r="S1063" s="259"/>
      <c r="T1063" s="260"/>
      <c r="U1063" s="250"/>
      <c r="V1063" s="78">
        <f t="shared" si="161"/>
        <v>0</v>
      </c>
      <c r="W1063" s="261">
        <f t="shared" si="162"/>
        <v>0</v>
      </c>
      <c r="X1063" s="133">
        <f t="shared" si="163"/>
        <v>0</v>
      </c>
      <c r="Y1063" s="251"/>
      <c r="Z1063" s="1736"/>
      <c r="AA1063" s="1737"/>
      <c r="AB1063" s="77">
        <f t="shared" si="164"/>
        <v>0</v>
      </c>
      <c r="AC1063" s="134">
        <f t="shared" si="165"/>
        <v>0</v>
      </c>
      <c r="AD1063" s="251"/>
      <c r="AE1063" s="1736"/>
      <c r="AF1063" s="1737"/>
      <c r="AG1063" s="77">
        <f t="shared" si="166"/>
        <v>0</v>
      </c>
      <c r="AH1063" s="136">
        <f t="shared" si="167"/>
        <v>0</v>
      </c>
      <c r="AI1063" s="251"/>
      <c r="AJ1063" s="1736"/>
      <c r="AK1063" s="1737"/>
      <c r="AL1063" s="79">
        <f t="shared" si="168"/>
        <v>0</v>
      </c>
      <c r="AM1063" s="137">
        <f t="shared" si="169"/>
        <v>0</v>
      </c>
      <c r="AN1063" s="251"/>
      <c r="AO1063" s="1736"/>
      <c r="AP1063" s="1737"/>
    </row>
    <row r="1064" spans="1:42" s="85" customFormat="1" ht="13.5" thickBot="1">
      <c r="A1064" s="240"/>
      <c r="B1064" s="241"/>
      <c r="C1064" s="242"/>
      <c r="D1064" s="242"/>
      <c r="E1064" s="243"/>
      <c r="F1064" s="244"/>
      <c r="G1064" s="244"/>
      <c r="H1064" s="243"/>
      <c r="I1064" s="258"/>
      <c r="J1064" s="245"/>
      <c r="K1064" s="245"/>
      <c r="L1064" s="76">
        <f t="shared" si="160"/>
        <v>0</v>
      </c>
      <c r="M1064" s="246"/>
      <c r="N1064" s="247"/>
      <c r="O1064" s="248"/>
      <c r="P1064" s="246"/>
      <c r="Q1064" s="249"/>
      <c r="R1064" s="250"/>
      <c r="S1064" s="259"/>
      <c r="T1064" s="260"/>
      <c r="U1064" s="250"/>
      <c r="V1064" s="78">
        <f t="shared" si="161"/>
        <v>0</v>
      </c>
      <c r="W1064" s="261">
        <f t="shared" si="162"/>
        <v>0</v>
      </c>
      <c r="X1064" s="133">
        <f t="shared" si="163"/>
        <v>0</v>
      </c>
      <c r="Y1064" s="251"/>
      <c r="Z1064" s="1736"/>
      <c r="AA1064" s="1737"/>
      <c r="AB1064" s="77">
        <f t="shared" si="164"/>
        <v>0</v>
      </c>
      <c r="AC1064" s="134">
        <f t="shared" si="165"/>
        <v>0</v>
      </c>
      <c r="AD1064" s="251"/>
      <c r="AE1064" s="1736"/>
      <c r="AF1064" s="1737"/>
      <c r="AG1064" s="77">
        <f t="shared" si="166"/>
        <v>0</v>
      </c>
      <c r="AH1064" s="136">
        <f t="shared" si="167"/>
        <v>0</v>
      </c>
      <c r="AI1064" s="251"/>
      <c r="AJ1064" s="1736"/>
      <c r="AK1064" s="1737"/>
      <c r="AL1064" s="79">
        <f t="shared" si="168"/>
        <v>0</v>
      </c>
      <c r="AM1064" s="137">
        <f t="shared" si="169"/>
        <v>0</v>
      </c>
      <c r="AN1064" s="251"/>
      <c r="AO1064" s="1736"/>
      <c r="AP1064" s="1737"/>
    </row>
    <row r="1065" spans="1:42" s="85" customFormat="1" ht="13.5" thickBot="1">
      <c r="A1065" s="240"/>
      <c r="B1065" s="241"/>
      <c r="C1065" s="242"/>
      <c r="D1065" s="242"/>
      <c r="E1065" s="243"/>
      <c r="F1065" s="244"/>
      <c r="G1065" s="244"/>
      <c r="H1065" s="243"/>
      <c r="I1065" s="258"/>
      <c r="J1065" s="245"/>
      <c r="K1065" s="245"/>
      <c r="L1065" s="76">
        <f t="shared" si="160"/>
        <v>0</v>
      </c>
      <c r="M1065" s="246"/>
      <c r="N1065" s="247"/>
      <c r="O1065" s="248"/>
      <c r="P1065" s="246"/>
      <c r="Q1065" s="249"/>
      <c r="R1065" s="250"/>
      <c r="S1065" s="259"/>
      <c r="T1065" s="260"/>
      <c r="U1065" s="250"/>
      <c r="V1065" s="78">
        <f t="shared" si="161"/>
        <v>0</v>
      </c>
      <c r="W1065" s="261">
        <f t="shared" si="162"/>
        <v>0</v>
      </c>
      <c r="X1065" s="133">
        <f t="shared" si="163"/>
        <v>0</v>
      </c>
      <c r="Y1065" s="251"/>
      <c r="Z1065" s="1736"/>
      <c r="AA1065" s="1737"/>
      <c r="AB1065" s="77">
        <f t="shared" si="164"/>
        <v>0</v>
      </c>
      <c r="AC1065" s="134">
        <f t="shared" si="165"/>
        <v>0</v>
      </c>
      <c r="AD1065" s="251"/>
      <c r="AE1065" s="1736"/>
      <c r="AF1065" s="1737"/>
      <c r="AG1065" s="77">
        <f t="shared" si="166"/>
        <v>0</v>
      </c>
      <c r="AH1065" s="136">
        <f t="shared" si="167"/>
        <v>0</v>
      </c>
      <c r="AI1065" s="251"/>
      <c r="AJ1065" s="1736"/>
      <c r="AK1065" s="1737"/>
      <c r="AL1065" s="79">
        <f t="shared" si="168"/>
        <v>0</v>
      </c>
      <c r="AM1065" s="137">
        <f t="shared" si="169"/>
        <v>0</v>
      </c>
      <c r="AN1065" s="251"/>
      <c r="AO1065" s="1736"/>
      <c r="AP1065" s="1737"/>
    </row>
    <row r="1066" spans="1:42" s="85" customFormat="1" ht="13.5" thickBot="1">
      <c r="A1066" s="240"/>
      <c r="B1066" s="241"/>
      <c r="C1066" s="242"/>
      <c r="D1066" s="242"/>
      <c r="E1066" s="243"/>
      <c r="F1066" s="244"/>
      <c r="G1066" s="244"/>
      <c r="H1066" s="243"/>
      <c r="I1066" s="258"/>
      <c r="J1066" s="245"/>
      <c r="K1066" s="245"/>
      <c r="L1066" s="76">
        <f t="shared" si="160"/>
        <v>0</v>
      </c>
      <c r="M1066" s="246"/>
      <c r="N1066" s="247"/>
      <c r="O1066" s="248"/>
      <c r="P1066" s="246"/>
      <c r="Q1066" s="249"/>
      <c r="R1066" s="250"/>
      <c r="S1066" s="259"/>
      <c r="T1066" s="260"/>
      <c r="U1066" s="250"/>
      <c r="V1066" s="78">
        <f t="shared" si="161"/>
        <v>0</v>
      </c>
      <c r="W1066" s="261">
        <f t="shared" si="162"/>
        <v>0</v>
      </c>
      <c r="X1066" s="133">
        <f t="shared" si="163"/>
        <v>0</v>
      </c>
      <c r="Y1066" s="251"/>
      <c r="Z1066" s="1736"/>
      <c r="AA1066" s="1737"/>
      <c r="AB1066" s="77">
        <f t="shared" si="164"/>
        <v>0</v>
      </c>
      <c r="AC1066" s="134">
        <f t="shared" si="165"/>
        <v>0</v>
      </c>
      <c r="AD1066" s="251"/>
      <c r="AE1066" s="1736"/>
      <c r="AF1066" s="1737"/>
      <c r="AG1066" s="77">
        <f t="shared" si="166"/>
        <v>0</v>
      </c>
      <c r="AH1066" s="136">
        <f t="shared" si="167"/>
        <v>0</v>
      </c>
      <c r="AI1066" s="251"/>
      <c r="AJ1066" s="1736"/>
      <c r="AK1066" s="1737"/>
      <c r="AL1066" s="79">
        <f t="shared" si="168"/>
        <v>0</v>
      </c>
      <c r="AM1066" s="137">
        <f t="shared" si="169"/>
        <v>0</v>
      </c>
      <c r="AN1066" s="251"/>
      <c r="AO1066" s="1736"/>
      <c r="AP1066" s="1737"/>
    </row>
    <row r="1067" spans="1:42" s="85" customFormat="1" ht="13.5" thickBot="1">
      <c r="A1067" s="240"/>
      <c r="B1067" s="241"/>
      <c r="C1067" s="242"/>
      <c r="D1067" s="242"/>
      <c r="E1067" s="243"/>
      <c r="F1067" s="244"/>
      <c r="G1067" s="244"/>
      <c r="H1067" s="243"/>
      <c r="I1067" s="258"/>
      <c r="J1067" s="245"/>
      <c r="K1067" s="245"/>
      <c r="L1067" s="76">
        <f t="shared" si="160"/>
        <v>0</v>
      </c>
      <c r="M1067" s="246"/>
      <c r="N1067" s="247"/>
      <c r="O1067" s="248"/>
      <c r="P1067" s="246"/>
      <c r="Q1067" s="249"/>
      <c r="R1067" s="250"/>
      <c r="S1067" s="259"/>
      <c r="T1067" s="260"/>
      <c r="U1067" s="250"/>
      <c r="V1067" s="78">
        <f t="shared" si="161"/>
        <v>0</v>
      </c>
      <c r="W1067" s="261">
        <f t="shared" si="162"/>
        <v>0</v>
      </c>
      <c r="X1067" s="133">
        <f t="shared" si="163"/>
        <v>0</v>
      </c>
      <c r="Y1067" s="251"/>
      <c r="Z1067" s="1736"/>
      <c r="AA1067" s="1737"/>
      <c r="AB1067" s="77">
        <f t="shared" si="164"/>
        <v>0</v>
      </c>
      <c r="AC1067" s="134">
        <f t="shared" si="165"/>
        <v>0</v>
      </c>
      <c r="AD1067" s="251"/>
      <c r="AE1067" s="1736"/>
      <c r="AF1067" s="1737"/>
      <c r="AG1067" s="77">
        <f t="shared" si="166"/>
        <v>0</v>
      </c>
      <c r="AH1067" s="136">
        <f t="shared" si="167"/>
        <v>0</v>
      </c>
      <c r="AI1067" s="251"/>
      <c r="AJ1067" s="1736"/>
      <c r="AK1067" s="1737"/>
      <c r="AL1067" s="79">
        <f t="shared" si="168"/>
        <v>0</v>
      </c>
      <c r="AM1067" s="137">
        <f t="shared" si="169"/>
        <v>0</v>
      </c>
      <c r="AN1067" s="251"/>
      <c r="AO1067" s="1736"/>
      <c r="AP1067" s="1737"/>
    </row>
    <row r="1068" spans="1:42" s="85" customFormat="1" ht="13.5" thickBot="1">
      <c r="A1068" s="240"/>
      <c r="B1068" s="241"/>
      <c r="C1068" s="242"/>
      <c r="D1068" s="242"/>
      <c r="E1068" s="243"/>
      <c r="F1068" s="244"/>
      <c r="G1068" s="244"/>
      <c r="H1068" s="243"/>
      <c r="I1068" s="258"/>
      <c r="J1068" s="245"/>
      <c r="K1068" s="245"/>
      <c r="L1068" s="76">
        <f t="shared" si="160"/>
        <v>0</v>
      </c>
      <c r="M1068" s="246"/>
      <c r="N1068" s="247"/>
      <c r="O1068" s="248"/>
      <c r="P1068" s="246"/>
      <c r="Q1068" s="249"/>
      <c r="R1068" s="250"/>
      <c r="S1068" s="259"/>
      <c r="T1068" s="260"/>
      <c r="U1068" s="250"/>
      <c r="V1068" s="78">
        <f t="shared" si="161"/>
        <v>0</v>
      </c>
      <c r="W1068" s="261">
        <f t="shared" si="162"/>
        <v>0</v>
      </c>
      <c r="X1068" s="133">
        <f t="shared" si="163"/>
        <v>0</v>
      </c>
      <c r="Y1068" s="251"/>
      <c r="Z1068" s="1736"/>
      <c r="AA1068" s="1737"/>
      <c r="AB1068" s="77">
        <f t="shared" si="164"/>
        <v>0</v>
      </c>
      <c r="AC1068" s="134">
        <f t="shared" si="165"/>
        <v>0</v>
      </c>
      <c r="AD1068" s="251"/>
      <c r="AE1068" s="1736"/>
      <c r="AF1068" s="1737"/>
      <c r="AG1068" s="77">
        <f t="shared" si="166"/>
        <v>0</v>
      </c>
      <c r="AH1068" s="136">
        <f t="shared" si="167"/>
        <v>0</v>
      </c>
      <c r="AI1068" s="251"/>
      <c r="AJ1068" s="1736"/>
      <c r="AK1068" s="1737"/>
      <c r="AL1068" s="79">
        <f t="shared" si="168"/>
        <v>0</v>
      </c>
      <c r="AM1068" s="137">
        <f t="shared" si="169"/>
        <v>0</v>
      </c>
      <c r="AN1068" s="251"/>
      <c r="AO1068" s="1736"/>
      <c r="AP1068" s="1737"/>
    </row>
    <row r="1069" spans="1:42" s="85" customFormat="1" ht="13.5" thickBot="1">
      <c r="A1069" s="240"/>
      <c r="B1069" s="241"/>
      <c r="C1069" s="242"/>
      <c r="D1069" s="242"/>
      <c r="E1069" s="243"/>
      <c r="F1069" s="244"/>
      <c r="G1069" s="244"/>
      <c r="H1069" s="243"/>
      <c r="I1069" s="258"/>
      <c r="J1069" s="245"/>
      <c r="K1069" s="245"/>
      <c r="L1069" s="76">
        <f t="shared" si="160"/>
        <v>0</v>
      </c>
      <c r="M1069" s="246"/>
      <c r="N1069" s="247"/>
      <c r="O1069" s="248"/>
      <c r="P1069" s="246"/>
      <c r="Q1069" s="249"/>
      <c r="R1069" s="250"/>
      <c r="S1069" s="259"/>
      <c r="T1069" s="260"/>
      <c r="U1069" s="250"/>
      <c r="V1069" s="78">
        <f t="shared" si="161"/>
        <v>0</v>
      </c>
      <c r="W1069" s="261">
        <f t="shared" si="162"/>
        <v>0</v>
      </c>
      <c r="X1069" s="133">
        <f t="shared" si="163"/>
        <v>0</v>
      </c>
      <c r="Y1069" s="251"/>
      <c r="Z1069" s="1736"/>
      <c r="AA1069" s="1737"/>
      <c r="AB1069" s="77">
        <f t="shared" si="164"/>
        <v>0</v>
      </c>
      <c r="AC1069" s="134">
        <f t="shared" si="165"/>
        <v>0</v>
      </c>
      <c r="AD1069" s="251"/>
      <c r="AE1069" s="1736"/>
      <c r="AF1069" s="1737"/>
      <c r="AG1069" s="77">
        <f t="shared" si="166"/>
        <v>0</v>
      </c>
      <c r="AH1069" s="136">
        <f t="shared" si="167"/>
        <v>0</v>
      </c>
      <c r="AI1069" s="251"/>
      <c r="AJ1069" s="1736"/>
      <c r="AK1069" s="1737"/>
      <c r="AL1069" s="79">
        <f t="shared" si="168"/>
        <v>0</v>
      </c>
      <c r="AM1069" s="137">
        <f t="shared" si="169"/>
        <v>0</v>
      </c>
      <c r="AN1069" s="251"/>
      <c r="AO1069" s="1736"/>
      <c r="AP1069" s="1737"/>
    </row>
    <row r="1070" spans="1:42" s="85" customFormat="1" ht="13.5" thickBot="1">
      <c r="A1070" s="240"/>
      <c r="B1070" s="241"/>
      <c r="C1070" s="242"/>
      <c r="D1070" s="242"/>
      <c r="E1070" s="243"/>
      <c r="F1070" s="244"/>
      <c r="G1070" s="244"/>
      <c r="H1070" s="243"/>
      <c r="I1070" s="258"/>
      <c r="J1070" s="245"/>
      <c r="K1070" s="245"/>
      <c r="L1070" s="76">
        <f t="shared" si="160"/>
        <v>0</v>
      </c>
      <c r="M1070" s="246"/>
      <c r="N1070" s="247"/>
      <c r="O1070" s="248"/>
      <c r="P1070" s="246"/>
      <c r="Q1070" s="249"/>
      <c r="R1070" s="250"/>
      <c r="S1070" s="259"/>
      <c r="T1070" s="260"/>
      <c r="U1070" s="250"/>
      <c r="V1070" s="78">
        <f t="shared" si="161"/>
        <v>0</v>
      </c>
      <c r="W1070" s="261">
        <f t="shared" si="162"/>
        <v>0</v>
      </c>
      <c r="X1070" s="133">
        <f t="shared" si="163"/>
        <v>0</v>
      </c>
      <c r="Y1070" s="251"/>
      <c r="Z1070" s="1736"/>
      <c r="AA1070" s="1737"/>
      <c r="AB1070" s="77">
        <f t="shared" si="164"/>
        <v>0</v>
      </c>
      <c r="AC1070" s="134">
        <f t="shared" si="165"/>
        <v>0</v>
      </c>
      <c r="AD1070" s="251"/>
      <c r="AE1070" s="1736"/>
      <c r="AF1070" s="1737"/>
      <c r="AG1070" s="77">
        <f t="shared" si="166"/>
        <v>0</v>
      </c>
      <c r="AH1070" s="136">
        <f t="shared" si="167"/>
        <v>0</v>
      </c>
      <c r="AI1070" s="251"/>
      <c r="AJ1070" s="1736"/>
      <c r="AK1070" s="1737"/>
      <c r="AL1070" s="79">
        <f t="shared" si="168"/>
        <v>0</v>
      </c>
      <c r="AM1070" s="137">
        <f t="shared" si="169"/>
        <v>0</v>
      </c>
      <c r="AN1070" s="251"/>
      <c r="AO1070" s="1736"/>
      <c r="AP1070" s="1737"/>
    </row>
    <row r="1071" spans="1:42" s="85" customFormat="1" ht="13.5" thickBot="1">
      <c r="A1071" s="240"/>
      <c r="B1071" s="241"/>
      <c r="C1071" s="242"/>
      <c r="D1071" s="242"/>
      <c r="E1071" s="243"/>
      <c r="F1071" s="244"/>
      <c r="G1071" s="244"/>
      <c r="H1071" s="243"/>
      <c r="I1071" s="258"/>
      <c r="J1071" s="245"/>
      <c r="K1071" s="245"/>
      <c r="L1071" s="76">
        <f t="shared" si="160"/>
        <v>0</v>
      </c>
      <c r="M1071" s="246"/>
      <c r="N1071" s="247"/>
      <c r="O1071" s="248"/>
      <c r="P1071" s="246"/>
      <c r="Q1071" s="249"/>
      <c r="R1071" s="250"/>
      <c r="S1071" s="259"/>
      <c r="T1071" s="260"/>
      <c r="U1071" s="250"/>
      <c r="V1071" s="78">
        <f t="shared" si="161"/>
        <v>0</v>
      </c>
      <c r="W1071" s="261">
        <f t="shared" si="162"/>
        <v>0</v>
      </c>
      <c r="X1071" s="133">
        <f t="shared" si="163"/>
        <v>0</v>
      </c>
      <c r="Y1071" s="251"/>
      <c r="Z1071" s="1736"/>
      <c r="AA1071" s="1737"/>
      <c r="AB1071" s="77">
        <f t="shared" si="164"/>
        <v>0</v>
      </c>
      <c r="AC1071" s="134">
        <f t="shared" si="165"/>
        <v>0</v>
      </c>
      <c r="AD1071" s="251"/>
      <c r="AE1071" s="1736"/>
      <c r="AF1071" s="1737"/>
      <c r="AG1071" s="77">
        <f t="shared" si="166"/>
        <v>0</v>
      </c>
      <c r="AH1071" s="136">
        <f t="shared" si="167"/>
        <v>0</v>
      </c>
      <c r="AI1071" s="251"/>
      <c r="AJ1071" s="1736"/>
      <c r="AK1071" s="1737"/>
      <c r="AL1071" s="79">
        <f t="shared" si="168"/>
        <v>0</v>
      </c>
      <c r="AM1071" s="137">
        <f t="shared" si="169"/>
        <v>0</v>
      </c>
      <c r="AN1071" s="251"/>
      <c r="AO1071" s="1736"/>
      <c r="AP1071" s="1737"/>
    </row>
    <row r="1072" spans="1:42" s="85" customFormat="1" ht="13.5" thickBot="1">
      <c r="A1072" s="240"/>
      <c r="B1072" s="241"/>
      <c r="C1072" s="242"/>
      <c r="D1072" s="242"/>
      <c r="E1072" s="243"/>
      <c r="F1072" s="244"/>
      <c r="G1072" s="244"/>
      <c r="H1072" s="243"/>
      <c r="I1072" s="258"/>
      <c r="J1072" s="245"/>
      <c r="K1072" s="245"/>
      <c r="L1072" s="76">
        <f t="shared" si="160"/>
        <v>0</v>
      </c>
      <c r="M1072" s="246"/>
      <c r="N1072" s="247"/>
      <c r="O1072" s="248"/>
      <c r="P1072" s="246"/>
      <c r="Q1072" s="249"/>
      <c r="R1072" s="250"/>
      <c r="S1072" s="259"/>
      <c r="T1072" s="260"/>
      <c r="U1072" s="250"/>
      <c r="V1072" s="78">
        <f t="shared" si="161"/>
        <v>0</v>
      </c>
      <c r="W1072" s="261">
        <f t="shared" si="162"/>
        <v>0</v>
      </c>
      <c r="X1072" s="133">
        <f t="shared" si="163"/>
        <v>0</v>
      </c>
      <c r="Y1072" s="251"/>
      <c r="Z1072" s="1736"/>
      <c r="AA1072" s="1737"/>
      <c r="AB1072" s="77">
        <f t="shared" si="164"/>
        <v>0</v>
      </c>
      <c r="AC1072" s="134">
        <f t="shared" si="165"/>
        <v>0</v>
      </c>
      <c r="AD1072" s="251"/>
      <c r="AE1072" s="1736"/>
      <c r="AF1072" s="1737"/>
      <c r="AG1072" s="77">
        <f t="shared" si="166"/>
        <v>0</v>
      </c>
      <c r="AH1072" s="136">
        <f t="shared" si="167"/>
        <v>0</v>
      </c>
      <c r="AI1072" s="251"/>
      <c r="AJ1072" s="1736"/>
      <c r="AK1072" s="1737"/>
      <c r="AL1072" s="79">
        <f t="shared" si="168"/>
        <v>0</v>
      </c>
      <c r="AM1072" s="137">
        <f t="shared" si="169"/>
        <v>0</v>
      </c>
      <c r="AN1072" s="251"/>
      <c r="AO1072" s="1736"/>
      <c r="AP1072" s="1737"/>
    </row>
    <row r="1073" spans="1:42" s="85" customFormat="1" ht="13.5" thickBot="1">
      <c r="A1073" s="240"/>
      <c r="B1073" s="241"/>
      <c r="C1073" s="242"/>
      <c r="D1073" s="242"/>
      <c r="E1073" s="243"/>
      <c r="F1073" s="244"/>
      <c r="G1073" s="244"/>
      <c r="H1073" s="243"/>
      <c r="I1073" s="258"/>
      <c r="J1073" s="245"/>
      <c r="K1073" s="245"/>
      <c r="L1073" s="76">
        <f t="shared" si="160"/>
        <v>0</v>
      </c>
      <c r="M1073" s="246"/>
      <c r="N1073" s="247"/>
      <c r="O1073" s="248"/>
      <c r="P1073" s="246"/>
      <c r="Q1073" s="249"/>
      <c r="R1073" s="250"/>
      <c r="S1073" s="259"/>
      <c r="T1073" s="260"/>
      <c r="U1073" s="250"/>
      <c r="V1073" s="78">
        <f t="shared" si="161"/>
        <v>0</v>
      </c>
      <c r="W1073" s="261">
        <f t="shared" si="162"/>
        <v>0</v>
      </c>
      <c r="X1073" s="133">
        <f t="shared" si="163"/>
        <v>0</v>
      </c>
      <c r="Y1073" s="251"/>
      <c r="Z1073" s="1736"/>
      <c r="AA1073" s="1737"/>
      <c r="AB1073" s="77">
        <f t="shared" si="164"/>
        <v>0</v>
      </c>
      <c r="AC1073" s="134">
        <f t="shared" si="165"/>
        <v>0</v>
      </c>
      <c r="AD1073" s="251"/>
      <c r="AE1073" s="1736"/>
      <c r="AF1073" s="1737"/>
      <c r="AG1073" s="77">
        <f t="shared" si="166"/>
        <v>0</v>
      </c>
      <c r="AH1073" s="136">
        <f t="shared" si="167"/>
        <v>0</v>
      </c>
      <c r="AI1073" s="251"/>
      <c r="AJ1073" s="1736"/>
      <c r="AK1073" s="1737"/>
      <c r="AL1073" s="79">
        <f t="shared" si="168"/>
        <v>0</v>
      </c>
      <c r="AM1073" s="137">
        <f t="shared" si="169"/>
        <v>0</v>
      </c>
      <c r="AN1073" s="251"/>
      <c r="AO1073" s="1736"/>
      <c r="AP1073" s="1737"/>
    </row>
    <row r="1074" spans="1:42" s="85" customFormat="1" ht="13.5" thickBot="1">
      <c r="A1074" s="240"/>
      <c r="B1074" s="241"/>
      <c r="C1074" s="242"/>
      <c r="D1074" s="242"/>
      <c r="E1074" s="243"/>
      <c r="F1074" s="244"/>
      <c r="G1074" s="244"/>
      <c r="H1074" s="243"/>
      <c r="I1074" s="258"/>
      <c r="J1074" s="245"/>
      <c r="K1074" s="245"/>
      <c r="L1074" s="76">
        <f t="shared" si="160"/>
        <v>0</v>
      </c>
      <c r="M1074" s="246"/>
      <c r="N1074" s="247"/>
      <c r="O1074" s="248"/>
      <c r="P1074" s="246"/>
      <c r="Q1074" s="249"/>
      <c r="R1074" s="250"/>
      <c r="S1074" s="259"/>
      <c r="T1074" s="260"/>
      <c r="U1074" s="250"/>
      <c r="V1074" s="78">
        <f t="shared" si="161"/>
        <v>0</v>
      </c>
      <c r="W1074" s="261">
        <f t="shared" si="162"/>
        <v>0</v>
      </c>
      <c r="X1074" s="133">
        <f t="shared" si="163"/>
        <v>0</v>
      </c>
      <c r="Y1074" s="251"/>
      <c r="Z1074" s="1736"/>
      <c r="AA1074" s="1737"/>
      <c r="AB1074" s="77">
        <f t="shared" si="164"/>
        <v>0</v>
      </c>
      <c r="AC1074" s="134">
        <f t="shared" si="165"/>
        <v>0</v>
      </c>
      <c r="AD1074" s="251"/>
      <c r="AE1074" s="1736"/>
      <c r="AF1074" s="1737"/>
      <c r="AG1074" s="77">
        <f t="shared" si="166"/>
        <v>0</v>
      </c>
      <c r="AH1074" s="136">
        <f t="shared" si="167"/>
        <v>0</v>
      </c>
      <c r="AI1074" s="251"/>
      <c r="AJ1074" s="1736"/>
      <c r="AK1074" s="1737"/>
      <c r="AL1074" s="79">
        <f t="shared" si="168"/>
        <v>0</v>
      </c>
      <c r="AM1074" s="137">
        <f t="shared" si="169"/>
        <v>0</v>
      </c>
      <c r="AN1074" s="251"/>
      <c r="AO1074" s="1736"/>
      <c r="AP1074" s="1737"/>
    </row>
    <row r="1075" spans="1:42" s="85" customFormat="1" ht="13.5" thickBot="1">
      <c r="A1075" s="240"/>
      <c r="B1075" s="241"/>
      <c r="C1075" s="242"/>
      <c r="D1075" s="242"/>
      <c r="E1075" s="243"/>
      <c r="F1075" s="244"/>
      <c r="G1075" s="244"/>
      <c r="H1075" s="243"/>
      <c r="I1075" s="258"/>
      <c r="J1075" s="245"/>
      <c r="K1075" s="245"/>
      <c r="L1075" s="76">
        <f t="shared" si="160"/>
        <v>0</v>
      </c>
      <c r="M1075" s="246"/>
      <c r="N1075" s="247"/>
      <c r="O1075" s="248"/>
      <c r="P1075" s="246"/>
      <c r="Q1075" s="249"/>
      <c r="R1075" s="250"/>
      <c r="S1075" s="259"/>
      <c r="T1075" s="260"/>
      <c r="U1075" s="250"/>
      <c r="V1075" s="78">
        <f t="shared" si="161"/>
        <v>0</v>
      </c>
      <c r="W1075" s="261">
        <f t="shared" si="162"/>
        <v>0</v>
      </c>
      <c r="X1075" s="133">
        <f t="shared" si="163"/>
        <v>0</v>
      </c>
      <c r="Y1075" s="251"/>
      <c r="Z1075" s="1736"/>
      <c r="AA1075" s="1737"/>
      <c r="AB1075" s="77">
        <f t="shared" si="164"/>
        <v>0</v>
      </c>
      <c r="AC1075" s="134">
        <f t="shared" si="165"/>
        <v>0</v>
      </c>
      <c r="AD1075" s="251"/>
      <c r="AE1075" s="1736"/>
      <c r="AF1075" s="1737"/>
      <c r="AG1075" s="77">
        <f t="shared" si="166"/>
        <v>0</v>
      </c>
      <c r="AH1075" s="136">
        <f t="shared" si="167"/>
        <v>0</v>
      </c>
      <c r="AI1075" s="251"/>
      <c r="AJ1075" s="1736"/>
      <c r="AK1075" s="1737"/>
      <c r="AL1075" s="79">
        <f t="shared" si="168"/>
        <v>0</v>
      </c>
      <c r="AM1075" s="137">
        <f t="shared" si="169"/>
        <v>0</v>
      </c>
      <c r="AN1075" s="251"/>
      <c r="AO1075" s="1736"/>
      <c r="AP1075" s="1737"/>
    </row>
    <row r="1076" spans="1:42" s="85" customFormat="1" ht="13.5" thickBot="1">
      <c r="A1076" s="240"/>
      <c r="B1076" s="241"/>
      <c r="C1076" s="242"/>
      <c r="D1076" s="242"/>
      <c r="E1076" s="243"/>
      <c r="F1076" s="244"/>
      <c r="G1076" s="244"/>
      <c r="H1076" s="243"/>
      <c r="I1076" s="258"/>
      <c r="J1076" s="245"/>
      <c r="K1076" s="245"/>
      <c r="L1076" s="76">
        <f t="shared" si="160"/>
        <v>0</v>
      </c>
      <c r="M1076" s="246"/>
      <c r="N1076" s="247"/>
      <c r="O1076" s="248"/>
      <c r="P1076" s="246"/>
      <c r="Q1076" s="249"/>
      <c r="R1076" s="250"/>
      <c r="S1076" s="259"/>
      <c r="T1076" s="260"/>
      <c r="U1076" s="250"/>
      <c r="V1076" s="78">
        <f t="shared" si="161"/>
        <v>0</v>
      </c>
      <c r="W1076" s="261">
        <f t="shared" si="162"/>
        <v>0</v>
      </c>
      <c r="X1076" s="133">
        <f t="shared" si="163"/>
        <v>0</v>
      </c>
      <c r="Y1076" s="251"/>
      <c r="Z1076" s="1736"/>
      <c r="AA1076" s="1737"/>
      <c r="AB1076" s="77">
        <f t="shared" si="164"/>
        <v>0</v>
      </c>
      <c r="AC1076" s="134">
        <f t="shared" si="165"/>
        <v>0</v>
      </c>
      <c r="AD1076" s="251"/>
      <c r="AE1076" s="1736"/>
      <c r="AF1076" s="1737"/>
      <c r="AG1076" s="77">
        <f t="shared" si="166"/>
        <v>0</v>
      </c>
      <c r="AH1076" s="136">
        <f t="shared" si="167"/>
        <v>0</v>
      </c>
      <c r="AI1076" s="251"/>
      <c r="AJ1076" s="1736"/>
      <c r="AK1076" s="1737"/>
      <c r="AL1076" s="79">
        <f t="shared" si="168"/>
        <v>0</v>
      </c>
      <c r="AM1076" s="137">
        <f t="shared" si="169"/>
        <v>0</v>
      </c>
      <c r="AN1076" s="251"/>
      <c r="AO1076" s="1736"/>
      <c r="AP1076" s="1737"/>
    </row>
    <row r="1077" spans="1:42" s="85" customFormat="1" ht="13.5" thickBot="1">
      <c r="A1077" s="240"/>
      <c r="B1077" s="241"/>
      <c r="C1077" s="242"/>
      <c r="D1077" s="242"/>
      <c r="E1077" s="243"/>
      <c r="F1077" s="244"/>
      <c r="G1077" s="244"/>
      <c r="H1077" s="243"/>
      <c r="I1077" s="258"/>
      <c r="J1077" s="245"/>
      <c r="K1077" s="245"/>
      <c r="L1077" s="76">
        <f t="shared" si="160"/>
        <v>0</v>
      </c>
      <c r="M1077" s="246"/>
      <c r="N1077" s="247"/>
      <c r="O1077" s="248"/>
      <c r="P1077" s="246"/>
      <c r="Q1077" s="249"/>
      <c r="R1077" s="250"/>
      <c r="S1077" s="259"/>
      <c r="T1077" s="260"/>
      <c r="U1077" s="250"/>
      <c r="V1077" s="78">
        <f t="shared" si="161"/>
        <v>0</v>
      </c>
      <c r="W1077" s="261">
        <f t="shared" si="162"/>
        <v>0</v>
      </c>
      <c r="X1077" s="133">
        <f t="shared" si="163"/>
        <v>0</v>
      </c>
      <c r="Y1077" s="251"/>
      <c r="Z1077" s="1736"/>
      <c r="AA1077" s="1737"/>
      <c r="AB1077" s="77">
        <f t="shared" si="164"/>
        <v>0</v>
      </c>
      <c r="AC1077" s="134">
        <f t="shared" si="165"/>
        <v>0</v>
      </c>
      <c r="AD1077" s="251"/>
      <c r="AE1077" s="1736"/>
      <c r="AF1077" s="1737"/>
      <c r="AG1077" s="77">
        <f t="shared" si="166"/>
        <v>0</v>
      </c>
      <c r="AH1077" s="136">
        <f t="shared" si="167"/>
        <v>0</v>
      </c>
      <c r="AI1077" s="251"/>
      <c r="AJ1077" s="1736"/>
      <c r="AK1077" s="1737"/>
      <c r="AL1077" s="79">
        <f t="shared" si="168"/>
        <v>0</v>
      </c>
      <c r="AM1077" s="137">
        <f t="shared" si="169"/>
        <v>0</v>
      </c>
      <c r="AN1077" s="251"/>
      <c r="AO1077" s="1736"/>
      <c r="AP1077" s="1737"/>
    </row>
    <row r="1078" spans="1:42" s="85" customFormat="1" ht="13.5" thickBot="1">
      <c r="A1078" s="240"/>
      <c r="B1078" s="241"/>
      <c r="C1078" s="242"/>
      <c r="D1078" s="242"/>
      <c r="E1078" s="243"/>
      <c r="F1078" s="244"/>
      <c r="G1078" s="244"/>
      <c r="H1078" s="243"/>
      <c r="I1078" s="258"/>
      <c r="J1078" s="245"/>
      <c r="K1078" s="245"/>
      <c r="L1078" s="76">
        <f t="shared" si="160"/>
        <v>0</v>
      </c>
      <c r="M1078" s="246"/>
      <c r="N1078" s="247"/>
      <c r="O1078" s="248"/>
      <c r="P1078" s="246"/>
      <c r="Q1078" s="249"/>
      <c r="R1078" s="250"/>
      <c r="S1078" s="259"/>
      <c r="T1078" s="260"/>
      <c r="U1078" s="250"/>
      <c r="V1078" s="78">
        <f t="shared" si="161"/>
        <v>0</v>
      </c>
      <c r="W1078" s="261">
        <f t="shared" si="162"/>
        <v>0</v>
      </c>
      <c r="X1078" s="133">
        <f t="shared" si="163"/>
        <v>0</v>
      </c>
      <c r="Y1078" s="251"/>
      <c r="Z1078" s="1736"/>
      <c r="AA1078" s="1737"/>
      <c r="AB1078" s="77">
        <f t="shared" si="164"/>
        <v>0</v>
      </c>
      <c r="AC1078" s="134">
        <f t="shared" si="165"/>
        <v>0</v>
      </c>
      <c r="AD1078" s="251"/>
      <c r="AE1078" s="1736"/>
      <c r="AF1078" s="1737"/>
      <c r="AG1078" s="77">
        <f t="shared" si="166"/>
        <v>0</v>
      </c>
      <c r="AH1078" s="136">
        <f t="shared" si="167"/>
        <v>0</v>
      </c>
      <c r="AI1078" s="251"/>
      <c r="AJ1078" s="1736"/>
      <c r="AK1078" s="1737"/>
      <c r="AL1078" s="79">
        <f t="shared" si="168"/>
        <v>0</v>
      </c>
      <c r="AM1078" s="137">
        <f t="shared" si="169"/>
        <v>0</v>
      </c>
      <c r="AN1078" s="251"/>
      <c r="AO1078" s="1736"/>
      <c r="AP1078" s="1737"/>
    </row>
    <row r="1079" spans="1:42" s="85" customFormat="1" ht="13.5" thickBot="1">
      <c r="A1079" s="240"/>
      <c r="B1079" s="241"/>
      <c r="C1079" s="242"/>
      <c r="D1079" s="242"/>
      <c r="E1079" s="243"/>
      <c r="F1079" s="244"/>
      <c r="G1079" s="244"/>
      <c r="H1079" s="243"/>
      <c r="I1079" s="258"/>
      <c r="J1079" s="245"/>
      <c r="K1079" s="245"/>
      <c r="L1079" s="76">
        <f t="shared" si="160"/>
        <v>0</v>
      </c>
      <c r="M1079" s="246"/>
      <c r="N1079" s="247"/>
      <c r="O1079" s="248"/>
      <c r="P1079" s="246"/>
      <c r="Q1079" s="249"/>
      <c r="R1079" s="250"/>
      <c r="S1079" s="259"/>
      <c r="T1079" s="260"/>
      <c r="U1079" s="250"/>
      <c r="V1079" s="78">
        <f t="shared" si="161"/>
        <v>0</v>
      </c>
      <c r="W1079" s="261">
        <f t="shared" si="162"/>
        <v>0</v>
      </c>
      <c r="X1079" s="133">
        <f t="shared" si="163"/>
        <v>0</v>
      </c>
      <c r="Y1079" s="251"/>
      <c r="Z1079" s="1736"/>
      <c r="AA1079" s="1737"/>
      <c r="AB1079" s="77">
        <f t="shared" si="164"/>
        <v>0</v>
      </c>
      <c r="AC1079" s="134">
        <f t="shared" si="165"/>
        <v>0</v>
      </c>
      <c r="AD1079" s="251"/>
      <c r="AE1079" s="1736"/>
      <c r="AF1079" s="1737"/>
      <c r="AG1079" s="77">
        <f t="shared" si="166"/>
        <v>0</v>
      </c>
      <c r="AH1079" s="136">
        <f t="shared" si="167"/>
        <v>0</v>
      </c>
      <c r="AI1079" s="251"/>
      <c r="AJ1079" s="1736"/>
      <c r="AK1079" s="1737"/>
      <c r="AL1079" s="79">
        <f t="shared" si="168"/>
        <v>0</v>
      </c>
      <c r="AM1079" s="137">
        <f t="shared" si="169"/>
        <v>0</v>
      </c>
      <c r="AN1079" s="251"/>
      <c r="AO1079" s="1736"/>
      <c r="AP1079" s="1737"/>
    </row>
    <row r="1080" spans="1:42" s="85" customFormat="1" ht="13.5" thickBot="1">
      <c r="A1080" s="240"/>
      <c r="B1080" s="241"/>
      <c r="C1080" s="242"/>
      <c r="D1080" s="242"/>
      <c r="E1080" s="243"/>
      <c r="F1080" s="244"/>
      <c r="G1080" s="244"/>
      <c r="H1080" s="243"/>
      <c r="I1080" s="258"/>
      <c r="J1080" s="245"/>
      <c r="K1080" s="245"/>
      <c r="L1080" s="76">
        <f t="shared" si="160"/>
        <v>0</v>
      </c>
      <c r="M1080" s="246"/>
      <c r="N1080" s="247"/>
      <c r="O1080" s="248"/>
      <c r="P1080" s="246"/>
      <c r="Q1080" s="249"/>
      <c r="R1080" s="250"/>
      <c r="S1080" s="259"/>
      <c r="T1080" s="260"/>
      <c r="U1080" s="250"/>
      <c r="V1080" s="78">
        <f t="shared" si="161"/>
        <v>0</v>
      </c>
      <c r="W1080" s="261">
        <f t="shared" si="162"/>
        <v>0</v>
      </c>
      <c r="X1080" s="133">
        <f t="shared" si="163"/>
        <v>0</v>
      </c>
      <c r="Y1080" s="251"/>
      <c r="Z1080" s="1736"/>
      <c r="AA1080" s="1737"/>
      <c r="AB1080" s="77">
        <f t="shared" si="164"/>
        <v>0</v>
      </c>
      <c r="AC1080" s="134">
        <f t="shared" si="165"/>
        <v>0</v>
      </c>
      <c r="AD1080" s="251"/>
      <c r="AE1080" s="1736"/>
      <c r="AF1080" s="1737"/>
      <c r="AG1080" s="77">
        <f t="shared" si="166"/>
        <v>0</v>
      </c>
      <c r="AH1080" s="136">
        <f t="shared" si="167"/>
        <v>0</v>
      </c>
      <c r="AI1080" s="251"/>
      <c r="AJ1080" s="1736"/>
      <c r="AK1080" s="1737"/>
      <c r="AL1080" s="79">
        <f t="shared" si="168"/>
        <v>0</v>
      </c>
      <c r="AM1080" s="137">
        <f t="shared" si="169"/>
        <v>0</v>
      </c>
      <c r="AN1080" s="251"/>
      <c r="AO1080" s="1736"/>
      <c r="AP1080" s="1737"/>
    </row>
    <row r="1081" spans="1:42" s="85" customFormat="1" ht="13.5" thickBot="1">
      <c r="A1081" s="240"/>
      <c r="B1081" s="241"/>
      <c r="C1081" s="242"/>
      <c r="D1081" s="242"/>
      <c r="E1081" s="243"/>
      <c r="F1081" s="244"/>
      <c r="G1081" s="244"/>
      <c r="H1081" s="243"/>
      <c r="I1081" s="258"/>
      <c r="J1081" s="245"/>
      <c r="K1081" s="245"/>
      <c r="L1081" s="76">
        <f t="shared" si="160"/>
        <v>0</v>
      </c>
      <c r="M1081" s="246"/>
      <c r="N1081" s="247"/>
      <c r="O1081" s="248"/>
      <c r="P1081" s="246"/>
      <c r="Q1081" s="249"/>
      <c r="R1081" s="250"/>
      <c r="S1081" s="259"/>
      <c r="T1081" s="260"/>
      <c r="U1081" s="250"/>
      <c r="V1081" s="78">
        <f t="shared" si="161"/>
        <v>0</v>
      </c>
      <c r="W1081" s="261">
        <f t="shared" si="162"/>
        <v>0</v>
      </c>
      <c r="X1081" s="133">
        <f t="shared" si="163"/>
        <v>0</v>
      </c>
      <c r="Y1081" s="251"/>
      <c r="Z1081" s="1736"/>
      <c r="AA1081" s="1737"/>
      <c r="AB1081" s="77">
        <f t="shared" si="164"/>
        <v>0</v>
      </c>
      <c r="AC1081" s="134">
        <f t="shared" si="165"/>
        <v>0</v>
      </c>
      <c r="AD1081" s="251"/>
      <c r="AE1081" s="1736"/>
      <c r="AF1081" s="1737"/>
      <c r="AG1081" s="77">
        <f t="shared" si="166"/>
        <v>0</v>
      </c>
      <c r="AH1081" s="136">
        <f t="shared" si="167"/>
        <v>0</v>
      </c>
      <c r="AI1081" s="251"/>
      <c r="AJ1081" s="1736"/>
      <c r="AK1081" s="1737"/>
      <c r="AL1081" s="79">
        <f t="shared" si="168"/>
        <v>0</v>
      </c>
      <c r="AM1081" s="137">
        <f t="shared" si="169"/>
        <v>0</v>
      </c>
      <c r="AN1081" s="251"/>
      <c r="AO1081" s="1736"/>
      <c r="AP1081" s="1737"/>
    </row>
    <row r="1082" spans="1:42" s="85" customFormat="1" ht="13.5" thickBot="1">
      <c r="A1082" s="240"/>
      <c r="B1082" s="241"/>
      <c r="C1082" s="242"/>
      <c r="D1082" s="242"/>
      <c r="E1082" s="243"/>
      <c r="F1082" s="244"/>
      <c r="G1082" s="244"/>
      <c r="H1082" s="243"/>
      <c r="I1082" s="258"/>
      <c r="J1082" s="245"/>
      <c r="K1082" s="245"/>
      <c r="L1082" s="76">
        <f t="shared" si="160"/>
        <v>0</v>
      </c>
      <c r="M1082" s="246"/>
      <c r="N1082" s="247"/>
      <c r="O1082" s="248"/>
      <c r="P1082" s="246"/>
      <c r="Q1082" s="249"/>
      <c r="R1082" s="250"/>
      <c r="S1082" s="259"/>
      <c r="T1082" s="260"/>
      <c r="U1082" s="250"/>
      <c r="V1082" s="78">
        <f t="shared" si="161"/>
        <v>0</v>
      </c>
      <c r="W1082" s="261">
        <f t="shared" si="162"/>
        <v>0</v>
      </c>
      <c r="X1082" s="133">
        <f t="shared" si="163"/>
        <v>0</v>
      </c>
      <c r="Y1082" s="251"/>
      <c r="Z1082" s="1736"/>
      <c r="AA1082" s="1737"/>
      <c r="AB1082" s="77">
        <f t="shared" si="164"/>
        <v>0</v>
      </c>
      <c r="AC1082" s="134">
        <f t="shared" si="165"/>
        <v>0</v>
      </c>
      <c r="AD1082" s="251"/>
      <c r="AE1082" s="1736"/>
      <c r="AF1082" s="1737"/>
      <c r="AG1082" s="77">
        <f t="shared" si="166"/>
        <v>0</v>
      </c>
      <c r="AH1082" s="136">
        <f t="shared" si="167"/>
        <v>0</v>
      </c>
      <c r="AI1082" s="251"/>
      <c r="AJ1082" s="1736"/>
      <c r="AK1082" s="1737"/>
      <c r="AL1082" s="79">
        <f t="shared" si="168"/>
        <v>0</v>
      </c>
      <c r="AM1082" s="137">
        <f t="shared" si="169"/>
        <v>0</v>
      </c>
      <c r="AN1082" s="251"/>
      <c r="AO1082" s="1736"/>
      <c r="AP1082" s="1737"/>
    </row>
    <row r="1083" spans="1:42" s="85" customFormat="1" ht="13.5" thickBot="1">
      <c r="A1083" s="240"/>
      <c r="B1083" s="241"/>
      <c r="C1083" s="242"/>
      <c r="D1083" s="242"/>
      <c r="E1083" s="243"/>
      <c r="F1083" s="244"/>
      <c r="G1083" s="244"/>
      <c r="H1083" s="243"/>
      <c r="I1083" s="258"/>
      <c r="J1083" s="245"/>
      <c r="K1083" s="245"/>
      <c r="L1083" s="76">
        <f t="shared" si="160"/>
        <v>0</v>
      </c>
      <c r="M1083" s="246"/>
      <c r="N1083" s="247"/>
      <c r="O1083" s="248"/>
      <c r="P1083" s="246"/>
      <c r="Q1083" s="249"/>
      <c r="R1083" s="250"/>
      <c r="S1083" s="259"/>
      <c r="T1083" s="260"/>
      <c r="U1083" s="250"/>
      <c r="V1083" s="78">
        <f t="shared" si="161"/>
        <v>0</v>
      </c>
      <c r="W1083" s="261">
        <f t="shared" si="162"/>
        <v>0</v>
      </c>
      <c r="X1083" s="133">
        <f t="shared" si="163"/>
        <v>0</v>
      </c>
      <c r="Y1083" s="251"/>
      <c r="Z1083" s="1736"/>
      <c r="AA1083" s="1737"/>
      <c r="AB1083" s="77">
        <f t="shared" si="164"/>
        <v>0</v>
      </c>
      <c r="AC1083" s="134">
        <f t="shared" si="165"/>
        <v>0</v>
      </c>
      <c r="AD1083" s="251"/>
      <c r="AE1083" s="1736"/>
      <c r="AF1083" s="1737"/>
      <c r="AG1083" s="77">
        <f t="shared" si="166"/>
        <v>0</v>
      </c>
      <c r="AH1083" s="136">
        <f t="shared" si="167"/>
        <v>0</v>
      </c>
      <c r="AI1083" s="251"/>
      <c r="AJ1083" s="1736"/>
      <c r="AK1083" s="1737"/>
      <c r="AL1083" s="79">
        <f t="shared" si="168"/>
        <v>0</v>
      </c>
      <c r="AM1083" s="137">
        <f t="shared" si="169"/>
        <v>0</v>
      </c>
      <c r="AN1083" s="251"/>
      <c r="AO1083" s="1736"/>
      <c r="AP1083" s="1737"/>
    </row>
    <row r="1084" spans="1:42" s="85" customFormat="1" ht="13.5" thickBot="1">
      <c r="A1084" s="240"/>
      <c r="B1084" s="241"/>
      <c r="C1084" s="242"/>
      <c r="D1084" s="242"/>
      <c r="E1084" s="243"/>
      <c r="F1084" s="244"/>
      <c r="G1084" s="244"/>
      <c r="H1084" s="243"/>
      <c r="I1084" s="258"/>
      <c r="J1084" s="245"/>
      <c r="K1084" s="245"/>
      <c r="L1084" s="76">
        <f t="shared" si="160"/>
        <v>0</v>
      </c>
      <c r="M1084" s="246"/>
      <c r="N1084" s="247"/>
      <c r="O1084" s="248"/>
      <c r="P1084" s="246"/>
      <c r="Q1084" s="249"/>
      <c r="R1084" s="250"/>
      <c r="S1084" s="259"/>
      <c r="T1084" s="260"/>
      <c r="U1084" s="250"/>
      <c r="V1084" s="78">
        <f t="shared" si="161"/>
        <v>0</v>
      </c>
      <c r="W1084" s="261">
        <f t="shared" si="162"/>
        <v>0</v>
      </c>
      <c r="X1084" s="133">
        <f t="shared" si="163"/>
        <v>0</v>
      </c>
      <c r="Y1084" s="251"/>
      <c r="Z1084" s="1736"/>
      <c r="AA1084" s="1737"/>
      <c r="AB1084" s="77">
        <f t="shared" si="164"/>
        <v>0</v>
      </c>
      <c r="AC1084" s="134">
        <f t="shared" si="165"/>
        <v>0</v>
      </c>
      <c r="AD1084" s="251"/>
      <c r="AE1084" s="1736"/>
      <c r="AF1084" s="1737"/>
      <c r="AG1084" s="77">
        <f t="shared" si="166"/>
        <v>0</v>
      </c>
      <c r="AH1084" s="136">
        <f t="shared" si="167"/>
        <v>0</v>
      </c>
      <c r="AI1084" s="251"/>
      <c r="AJ1084" s="1736"/>
      <c r="AK1084" s="1737"/>
      <c r="AL1084" s="79">
        <f t="shared" si="168"/>
        <v>0</v>
      </c>
      <c r="AM1084" s="137">
        <f t="shared" si="169"/>
        <v>0</v>
      </c>
      <c r="AN1084" s="251"/>
      <c r="AO1084" s="1736"/>
      <c r="AP1084" s="1737"/>
    </row>
    <row r="1085" spans="1:42" s="85" customFormat="1" ht="13.5" thickBot="1">
      <c r="A1085" s="240"/>
      <c r="B1085" s="241"/>
      <c r="C1085" s="242"/>
      <c r="D1085" s="242"/>
      <c r="E1085" s="243"/>
      <c r="F1085" s="244"/>
      <c r="G1085" s="244"/>
      <c r="H1085" s="243"/>
      <c r="I1085" s="258"/>
      <c r="J1085" s="245"/>
      <c r="K1085" s="245"/>
      <c r="L1085" s="76">
        <f t="shared" si="160"/>
        <v>0</v>
      </c>
      <c r="M1085" s="246"/>
      <c r="N1085" s="247"/>
      <c r="O1085" s="248"/>
      <c r="P1085" s="246"/>
      <c r="Q1085" s="249"/>
      <c r="R1085" s="250"/>
      <c r="S1085" s="259"/>
      <c r="T1085" s="260"/>
      <c r="U1085" s="250"/>
      <c r="V1085" s="78">
        <f t="shared" si="161"/>
        <v>0</v>
      </c>
      <c r="W1085" s="261">
        <f t="shared" si="162"/>
        <v>0</v>
      </c>
      <c r="X1085" s="133">
        <f t="shared" si="163"/>
        <v>0</v>
      </c>
      <c r="Y1085" s="251"/>
      <c r="Z1085" s="1736"/>
      <c r="AA1085" s="1737"/>
      <c r="AB1085" s="77">
        <f t="shared" si="164"/>
        <v>0</v>
      </c>
      <c r="AC1085" s="134">
        <f t="shared" si="165"/>
        <v>0</v>
      </c>
      <c r="AD1085" s="251"/>
      <c r="AE1085" s="1736"/>
      <c r="AF1085" s="1737"/>
      <c r="AG1085" s="77">
        <f t="shared" si="166"/>
        <v>0</v>
      </c>
      <c r="AH1085" s="136">
        <f t="shared" si="167"/>
        <v>0</v>
      </c>
      <c r="AI1085" s="251"/>
      <c r="AJ1085" s="1736"/>
      <c r="AK1085" s="1737"/>
      <c r="AL1085" s="79">
        <f t="shared" si="168"/>
        <v>0</v>
      </c>
      <c r="AM1085" s="137">
        <f t="shared" si="169"/>
        <v>0</v>
      </c>
      <c r="AN1085" s="251"/>
      <c r="AO1085" s="1736"/>
      <c r="AP1085" s="1737"/>
    </row>
    <row r="1086" spans="1:42" s="85" customFormat="1" ht="13.5" thickBot="1">
      <c r="A1086" s="240"/>
      <c r="B1086" s="241"/>
      <c r="C1086" s="242"/>
      <c r="D1086" s="242"/>
      <c r="E1086" s="243"/>
      <c r="F1086" s="244"/>
      <c r="G1086" s="244"/>
      <c r="H1086" s="243"/>
      <c r="I1086" s="258"/>
      <c r="J1086" s="245"/>
      <c r="K1086" s="245"/>
      <c r="L1086" s="76">
        <f t="shared" si="160"/>
        <v>0</v>
      </c>
      <c r="M1086" s="246"/>
      <c r="N1086" s="247"/>
      <c r="O1086" s="248"/>
      <c r="P1086" s="246"/>
      <c r="Q1086" s="249"/>
      <c r="R1086" s="250"/>
      <c r="S1086" s="259"/>
      <c r="T1086" s="260"/>
      <c r="U1086" s="250"/>
      <c r="V1086" s="78">
        <f t="shared" si="161"/>
        <v>0</v>
      </c>
      <c r="W1086" s="261">
        <f t="shared" si="162"/>
        <v>0</v>
      </c>
      <c r="X1086" s="133">
        <f t="shared" si="163"/>
        <v>0</v>
      </c>
      <c r="Y1086" s="251"/>
      <c r="Z1086" s="1736"/>
      <c r="AA1086" s="1737"/>
      <c r="AB1086" s="77">
        <f t="shared" si="164"/>
        <v>0</v>
      </c>
      <c r="AC1086" s="134">
        <f t="shared" si="165"/>
        <v>0</v>
      </c>
      <c r="AD1086" s="251"/>
      <c r="AE1086" s="1736"/>
      <c r="AF1086" s="1737"/>
      <c r="AG1086" s="77">
        <f t="shared" si="166"/>
        <v>0</v>
      </c>
      <c r="AH1086" s="136">
        <f t="shared" si="167"/>
        <v>0</v>
      </c>
      <c r="AI1086" s="251"/>
      <c r="AJ1086" s="1736"/>
      <c r="AK1086" s="1737"/>
      <c r="AL1086" s="79">
        <f t="shared" si="168"/>
        <v>0</v>
      </c>
      <c r="AM1086" s="137">
        <f t="shared" si="169"/>
        <v>0</v>
      </c>
      <c r="AN1086" s="251"/>
      <c r="AO1086" s="1736"/>
      <c r="AP1086" s="1737"/>
    </row>
    <row r="1087" spans="1:42" s="85" customFormat="1" ht="13.5" thickBot="1">
      <c r="A1087" s="240"/>
      <c r="B1087" s="241"/>
      <c r="C1087" s="242"/>
      <c r="D1087" s="242"/>
      <c r="E1087" s="243"/>
      <c r="F1087" s="244"/>
      <c r="G1087" s="244"/>
      <c r="H1087" s="243"/>
      <c r="I1087" s="258"/>
      <c r="J1087" s="245"/>
      <c r="K1087" s="245"/>
      <c r="L1087" s="76">
        <f t="shared" si="160"/>
        <v>0</v>
      </c>
      <c r="M1087" s="246"/>
      <c r="N1087" s="247"/>
      <c r="O1087" s="248"/>
      <c r="P1087" s="246"/>
      <c r="Q1087" s="249"/>
      <c r="R1087" s="250"/>
      <c r="S1087" s="259"/>
      <c r="T1087" s="260"/>
      <c r="U1087" s="250"/>
      <c r="V1087" s="78">
        <f t="shared" si="161"/>
        <v>0</v>
      </c>
      <c r="W1087" s="261">
        <f t="shared" si="162"/>
        <v>0</v>
      </c>
      <c r="X1087" s="133">
        <f t="shared" si="163"/>
        <v>0</v>
      </c>
      <c r="Y1087" s="251"/>
      <c r="Z1087" s="1736"/>
      <c r="AA1087" s="1737"/>
      <c r="AB1087" s="77">
        <f t="shared" si="164"/>
        <v>0</v>
      </c>
      <c r="AC1087" s="134">
        <f t="shared" si="165"/>
        <v>0</v>
      </c>
      <c r="AD1087" s="251"/>
      <c r="AE1087" s="1736"/>
      <c r="AF1087" s="1737"/>
      <c r="AG1087" s="77">
        <f t="shared" si="166"/>
        <v>0</v>
      </c>
      <c r="AH1087" s="136">
        <f t="shared" si="167"/>
        <v>0</v>
      </c>
      <c r="AI1087" s="251"/>
      <c r="AJ1087" s="1736"/>
      <c r="AK1087" s="1737"/>
      <c r="AL1087" s="79">
        <f t="shared" si="168"/>
        <v>0</v>
      </c>
      <c r="AM1087" s="137">
        <f t="shared" si="169"/>
        <v>0</v>
      </c>
      <c r="AN1087" s="251"/>
      <c r="AO1087" s="1736"/>
      <c r="AP1087" s="1737"/>
    </row>
    <row r="1088" spans="1:42" s="85" customFormat="1" ht="13.5" thickBot="1">
      <c r="A1088" s="240"/>
      <c r="B1088" s="241"/>
      <c r="C1088" s="242"/>
      <c r="D1088" s="242"/>
      <c r="E1088" s="243"/>
      <c r="F1088" s="244"/>
      <c r="G1088" s="244"/>
      <c r="H1088" s="243"/>
      <c r="I1088" s="258"/>
      <c r="J1088" s="245"/>
      <c r="K1088" s="245"/>
      <c r="L1088" s="76">
        <f t="shared" si="160"/>
        <v>0</v>
      </c>
      <c r="M1088" s="246"/>
      <c r="N1088" s="247"/>
      <c r="O1088" s="248"/>
      <c r="P1088" s="246"/>
      <c r="Q1088" s="249"/>
      <c r="R1088" s="250"/>
      <c r="S1088" s="259"/>
      <c r="T1088" s="260"/>
      <c r="U1088" s="250"/>
      <c r="V1088" s="78">
        <f t="shared" si="161"/>
        <v>0</v>
      </c>
      <c r="W1088" s="261">
        <f t="shared" si="162"/>
        <v>0</v>
      </c>
      <c r="X1088" s="133">
        <f t="shared" si="163"/>
        <v>0</v>
      </c>
      <c r="Y1088" s="251"/>
      <c r="Z1088" s="1736"/>
      <c r="AA1088" s="1737"/>
      <c r="AB1088" s="77">
        <f t="shared" si="164"/>
        <v>0</v>
      </c>
      <c r="AC1088" s="134">
        <f t="shared" si="165"/>
        <v>0</v>
      </c>
      <c r="AD1088" s="251"/>
      <c r="AE1088" s="1736"/>
      <c r="AF1088" s="1737"/>
      <c r="AG1088" s="77">
        <f t="shared" si="166"/>
        <v>0</v>
      </c>
      <c r="AH1088" s="136">
        <f t="shared" si="167"/>
        <v>0</v>
      </c>
      <c r="AI1088" s="251"/>
      <c r="AJ1088" s="1736"/>
      <c r="AK1088" s="1737"/>
      <c r="AL1088" s="79">
        <f t="shared" si="168"/>
        <v>0</v>
      </c>
      <c r="AM1088" s="137">
        <f t="shared" si="169"/>
        <v>0</v>
      </c>
      <c r="AN1088" s="251"/>
      <c r="AO1088" s="1736"/>
      <c r="AP1088" s="1737"/>
    </row>
    <row r="1089" spans="1:42" s="85" customFormat="1" ht="13.5" thickBot="1">
      <c r="A1089" s="240"/>
      <c r="B1089" s="241"/>
      <c r="C1089" s="242"/>
      <c r="D1089" s="242"/>
      <c r="E1089" s="243"/>
      <c r="F1089" s="244"/>
      <c r="G1089" s="244"/>
      <c r="H1089" s="243"/>
      <c r="I1089" s="258"/>
      <c r="J1089" s="245"/>
      <c r="K1089" s="245"/>
      <c r="L1089" s="76">
        <f t="shared" si="160"/>
        <v>0</v>
      </c>
      <c r="M1089" s="246"/>
      <c r="N1089" s="247"/>
      <c r="O1089" s="248"/>
      <c r="P1089" s="246"/>
      <c r="Q1089" s="249"/>
      <c r="R1089" s="250"/>
      <c r="S1089" s="259"/>
      <c r="T1089" s="260"/>
      <c r="U1089" s="250"/>
      <c r="V1089" s="78">
        <f t="shared" si="161"/>
        <v>0</v>
      </c>
      <c r="W1089" s="261">
        <f t="shared" si="162"/>
        <v>0</v>
      </c>
      <c r="X1089" s="133">
        <f t="shared" si="163"/>
        <v>0</v>
      </c>
      <c r="Y1089" s="251"/>
      <c r="Z1089" s="1736"/>
      <c r="AA1089" s="1737"/>
      <c r="AB1089" s="77">
        <f t="shared" si="164"/>
        <v>0</v>
      </c>
      <c r="AC1089" s="134">
        <f t="shared" si="165"/>
        <v>0</v>
      </c>
      <c r="AD1089" s="251"/>
      <c r="AE1089" s="1736"/>
      <c r="AF1089" s="1737"/>
      <c r="AG1089" s="77">
        <f t="shared" si="166"/>
        <v>0</v>
      </c>
      <c r="AH1089" s="136">
        <f t="shared" si="167"/>
        <v>0</v>
      </c>
      <c r="AI1089" s="251"/>
      <c r="AJ1089" s="1736"/>
      <c r="AK1089" s="1737"/>
      <c r="AL1089" s="79">
        <f t="shared" si="168"/>
        <v>0</v>
      </c>
      <c r="AM1089" s="137">
        <f t="shared" si="169"/>
        <v>0</v>
      </c>
      <c r="AN1089" s="251"/>
      <c r="AO1089" s="1736"/>
      <c r="AP1089" s="1737"/>
    </row>
    <row r="1090" spans="1:42" s="85" customFormat="1" ht="13.5" thickBot="1">
      <c r="A1090" s="240"/>
      <c r="B1090" s="241"/>
      <c r="C1090" s="242"/>
      <c r="D1090" s="242"/>
      <c r="E1090" s="243"/>
      <c r="F1090" s="244"/>
      <c r="G1090" s="244"/>
      <c r="H1090" s="243"/>
      <c r="I1090" s="258"/>
      <c r="J1090" s="245"/>
      <c r="K1090" s="245"/>
      <c r="L1090" s="76">
        <f t="shared" si="160"/>
        <v>0</v>
      </c>
      <c r="M1090" s="246"/>
      <c r="N1090" s="247"/>
      <c r="O1090" s="248"/>
      <c r="P1090" s="246"/>
      <c r="Q1090" s="249"/>
      <c r="R1090" s="250"/>
      <c r="S1090" s="259"/>
      <c r="T1090" s="260"/>
      <c r="U1090" s="250"/>
      <c r="V1090" s="78">
        <f t="shared" si="161"/>
        <v>0</v>
      </c>
      <c r="W1090" s="261">
        <f t="shared" si="162"/>
        <v>0</v>
      </c>
      <c r="X1090" s="133">
        <f t="shared" si="163"/>
        <v>0</v>
      </c>
      <c r="Y1090" s="251"/>
      <c r="Z1090" s="1736"/>
      <c r="AA1090" s="1737"/>
      <c r="AB1090" s="77">
        <f t="shared" si="164"/>
        <v>0</v>
      </c>
      <c r="AC1090" s="134">
        <f t="shared" si="165"/>
        <v>0</v>
      </c>
      <c r="AD1090" s="251"/>
      <c r="AE1090" s="1736"/>
      <c r="AF1090" s="1737"/>
      <c r="AG1090" s="77">
        <f t="shared" si="166"/>
        <v>0</v>
      </c>
      <c r="AH1090" s="136">
        <f t="shared" si="167"/>
        <v>0</v>
      </c>
      <c r="AI1090" s="251"/>
      <c r="AJ1090" s="1736"/>
      <c r="AK1090" s="1737"/>
      <c r="AL1090" s="79">
        <f t="shared" si="168"/>
        <v>0</v>
      </c>
      <c r="AM1090" s="137">
        <f t="shared" si="169"/>
        <v>0</v>
      </c>
      <c r="AN1090" s="251"/>
      <c r="AO1090" s="1736"/>
      <c r="AP1090" s="1737"/>
    </row>
    <row r="1091" spans="1:42" s="85" customFormat="1" ht="13.5" thickBot="1">
      <c r="A1091" s="240"/>
      <c r="B1091" s="241"/>
      <c r="C1091" s="242"/>
      <c r="D1091" s="242"/>
      <c r="E1091" s="243"/>
      <c r="F1091" s="244"/>
      <c r="G1091" s="244"/>
      <c r="H1091" s="243"/>
      <c r="I1091" s="258"/>
      <c r="J1091" s="245"/>
      <c r="K1091" s="245"/>
      <c r="L1091" s="76">
        <f t="shared" si="160"/>
        <v>0</v>
      </c>
      <c r="M1091" s="246"/>
      <c r="N1091" s="247"/>
      <c r="O1091" s="248"/>
      <c r="P1091" s="246"/>
      <c r="Q1091" s="249"/>
      <c r="R1091" s="250"/>
      <c r="S1091" s="259"/>
      <c r="T1091" s="260"/>
      <c r="U1091" s="250"/>
      <c r="V1091" s="78">
        <f t="shared" si="161"/>
        <v>0</v>
      </c>
      <c r="W1091" s="261">
        <f t="shared" si="162"/>
        <v>0</v>
      </c>
      <c r="X1091" s="133">
        <f t="shared" si="163"/>
        <v>0</v>
      </c>
      <c r="Y1091" s="251"/>
      <c r="Z1091" s="1736"/>
      <c r="AA1091" s="1737"/>
      <c r="AB1091" s="77">
        <f t="shared" si="164"/>
        <v>0</v>
      </c>
      <c r="AC1091" s="134">
        <f t="shared" si="165"/>
        <v>0</v>
      </c>
      <c r="AD1091" s="251"/>
      <c r="AE1091" s="1736"/>
      <c r="AF1091" s="1737"/>
      <c r="AG1091" s="77">
        <f t="shared" si="166"/>
        <v>0</v>
      </c>
      <c r="AH1091" s="136">
        <f t="shared" si="167"/>
        <v>0</v>
      </c>
      <c r="AI1091" s="251"/>
      <c r="AJ1091" s="1736"/>
      <c r="AK1091" s="1737"/>
      <c r="AL1091" s="79">
        <f t="shared" si="168"/>
        <v>0</v>
      </c>
      <c r="AM1091" s="137">
        <f t="shared" si="169"/>
        <v>0</v>
      </c>
      <c r="AN1091" s="251"/>
      <c r="AO1091" s="1736"/>
      <c r="AP1091" s="1737"/>
    </row>
    <row r="1092" spans="1:42" s="85" customFormat="1" ht="13.5" thickBot="1">
      <c r="A1092" s="240"/>
      <c r="B1092" s="241"/>
      <c r="C1092" s="242"/>
      <c r="D1092" s="242"/>
      <c r="E1092" s="243"/>
      <c r="F1092" s="244"/>
      <c r="G1092" s="244"/>
      <c r="H1092" s="243"/>
      <c r="I1092" s="258"/>
      <c r="J1092" s="245"/>
      <c r="K1092" s="245"/>
      <c r="L1092" s="76">
        <f t="shared" si="160"/>
        <v>0</v>
      </c>
      <c r="M1092" s="246"/>
      <c r="N1092" s="247"/>
      <c r="O1092" s="248"/>
      <c r="P1092" s="246"/>
      <c r="Q1092" s="249"/>
      <c r="R1092" s="250"/>
      <c r="S1092" s="259"/>
      <c r="T1092" s="260"/>
      <c r="U1092" s="250"/>
      <c r="V1092" s="78">
        <f t="shared" si="161"/>
        <v>0</v>
      </c>
      <c r="W1092" s="261">
        <f t="shared" si="162"/>
        <v>0</v>
      </c>
      <c r="X1092" s="133">
        <f t="shared" si="163"/>
        <v>0</v>
      </c>
      <c r="Y1092" s="251"/>
      <c r="Z1092" s="1736"/>
      <c r="AA1092" s="1737"/>
      <c r="AB1092" s="77">
        <f t="shared" si="164"/>
        <v>0</v>
      </c>
      <c r="AC1092" s="134">
        <f t="shared" si="165"/>
        <v>0</v>
      </c>
      <c r="AD1092" s="251"/>
      <c r="AE1092" s="1736"/>
      <c r="AF1092" s="1737"/>
      <c r="AG1092" s="77">
        <f t="shared" si="166"/>
        <v>0</v>
      </c>
      <c r="AH1092" s="136">
        <f t="shared" si="167"/>
        <v>0</v>
      </c>
      <c r="AI1092" s="251"/>
      <c r="AJ1092" s="1736"/>
      <c r="AK1092" s="1737"/>
      <c r="AL1092" s="79">
        <f t="shared" si="168"/>
        <v>0</v>
      </c>
      <c r="AM1092" s="137">
        <f t="shared" si="169"/>
        <v>0</v>
      </c>
      <c r="AN1092" s="251"/>
      <c r="AO1092" s="1736"/>
      <c r="AP1092" s="1737"/>
    </row>
    <row r="1093" spans="1:42" s="85" customFormat="1" ht="13.5" thickBot="1">
      <c r="A1093" s="240"/>
      <c r="B1093" s="241"/>
      <c r="C1093" s="242"/>
      <c r="D1093" s="242"/>
      <c r="E1093" s="243"/>
      <c r="F1093" s="244"/>
      <c r="G1093" s="244"/>
      <c r="H1093" s="243"/>
      <c r="I1093" s="258"/>
      <c r="J1093" s="245"/>
      <c r="K1093" s="245"/>
      <c r="L1093" s="76">
        <f t="shared" si="160"/>
        <v>0</v>
      </c>
      <c r="M1093" s="246"/>
      <c r="N1093" s="247"/>
      <c r="O1093" s="248"/>
      <c r="P1093" s="246"/>
      <c r="Q1093" s="249"/>
      <c r="R1093" s="250"/>
      <c r="S1093" s="259"/>
      <c r="T1093" s="260"/>
      <c r="U1093" s="250"/>
      <c r="V1093" s="78">
        <f t="shared" si="161"/>
        <v>0</v>
      </c>
      <c r="W1093" s="261">
        <f t="shared" si="162"/>
        <v>0</v>
      </c>
      <c r="X1093" s="133">
        <f t="shared" si="163"/>
        <v>0</v>
      </c>
      <c r="Y1093" s="251"/>
      <c r="Z1093" s="1736"/>
      <c r="AA1093" s="1737"/>
      <c r="AB1093" s="77">
        <f t="shared" si="164"/>
        <v>0</v>
      </c>
      <c r="AC1093" s="134">
        <f t="shared" si="165"/>
        <v>0</v>
      </c>
      <c r="AD1093" s="251"/>
      <c r="AE1093" s="1736"/>
      <c r="AF1093" s="1737"/>
      <c r="AG1093" s="77">
        <f t="shared" si="166"/>
        <v>0</v>
      </c>
      <c r="AH1093" s="136">
        <f t="shared" si="167"/>
        <v>0</v>
      </c>
      <c r="AI1093" s="251"/>
      <c r="AJ1093" s="1736"/>
      <c r="AK1093" s="1737"/>
      <c r="AL1093" s="79">
        <f t="shared" si="168"/>
        <v>0</v>
      </c>
      <c r="AM1093" s="137">
        <f t="shared" si="169"/>
        <v>0</v>
      </c>
      <c r="AN1093" s="251"/>
      <c r="AO1093" s="1736"/>
      <c r="AP1093" s="1737"/>
    </row>
    <row r="1094" spans="1:42" s="85" customFormat="1" ht="13.5" thickBot="1">
      <c r="A1094" s="240"/>
      <c r="B1094" s="241"/>
      <c r="C1094" s="242"/>
      <c r="D1094" s="242"/>
      <c r="E1094" s="243"/>
      <c r="F1094" s="244"/>
      <c r="G1094" s="244"/>
      <c r="H1094" s="243"/>
      <c r="I1094" s="258"/>
      <c r="J1094" s="245"/>
      <c r="K1094" s="245"/>
      <c r="L1094" s="76">
        <f t="shared" si="160"/>
        <v>0</v>
      </c>
      <c r="M1094" s="246"/>
      <c r="N1094" s="247"/>
      <c r="O1094" s="248"/>
      <c r="P1094" s="246"/>
      <c r="Q1094" s="249"/>
      <c r="R1094" s="250"/>
      <c r="S1094" s="259"/>
      <c r="T1094" s="260"/>
      <c r="U1094" s="250"/>
      <c r="V1094" s="78">
        <f t="shared" si="161"/>
        <v>0</v>
      </c>
      <c r="W1094" s="261">
        <f t="shared" si="162"/>
        <v>0</v>
      </c>
      <c r="X1094" s="133">
        <f t="shared" si="163"/>
        <v>0</v>
      </c>
      <c r="Y1094" s="251"/>
      <c r="Z1094" s="1736"/>
      <c r="AA1094" s="1737"/>
      <c r="AB1094" s="77">
        <f t="shared" si="164"/>
        <v>0</v>
      </c>
      <c r="AC1094" s="134">
        <f t="shared" si="165"/>
        <v>0</v>
      </c>
      <c r="AD1094" s="251"/>
      <c r="AE1094" s="1736"/>
      <c r="AF1094" s="1737"/>
      <c r="AG1094" s="77">
        <f t="shared" si="166"/>
        <v>0</v>
      </c>
      <c r="AH1094" s="136">
        <f t="shared" si="167"/>
        <v>0</v>
      </c>
      <c r="AI1094" s="251"/>
      <c r="AJ1094" s="1736"/>
      <c r="AK1094" s="1737"/>
      <c r="AL1094" s="79">
        <f t="shared" si="168"/>
        <v>0</v>
      </c>
      <c r="AM1094" s="137">
        <f t="shared" si="169"/>
        <v>0</v>
      </c>
      <c r="AN1094" s="251"/>
      <c r="AO1094" s="1736"/>
      <c r="AP1094" s="1737"/>
    </row>
    <row r="1095" spans="1:42" s="85" customFormat="1" ht="13.5" thickBot="1">
      <c r="A1095" s="240"/>
      <c r="B1095" s="241"/>
      <c r="C1095" s="242"/>
      <c r="D1095" s="242"/>
      <c r="E1095" s="243"/>
      <c r="F1095" s="244"/>
      <c r="G1095" s="244"/>
      <c r="H1095" s="243"/>
      <c r="I1095" s="258"/>
      <c r="J1095" s="245"/>
      <c r="K1095" s="245"/>
      <c r="L1095" s="76">
        <f t="shared" si="160"/>
        <v>0</v>
      </c>
      <c r="M1095" s="246"/>
      <c r="N1095" s="247"/>
      <c r="O1095" s="248"/>
      <c r="P1095" s="246"/>
      <c r="Q1095" s="249"/>
      <c r="R1095" s="250"/>
      <c r="S1095" s="259"/>
      <c r="T1095" s="260"/>
      <c r="U1095" s="250"/>
      <c r="V1095" s="78">
        <f t="shared" si="161"/>
        <v>0</v>
      </c>
      <c r="W1095" s="261">
        <f t="shared" si="162"/>
        <v>0</v>
      </c>
      <c r="X1095" s="133">
        <f t="shared" si="163"/>
        <v>0</v>
      </c>
      <c r="Y1095" s="251"/>
      <c r="Z1095" s="1736"/>
      <c r="AA1095" s="1737"/>
      <c r="AB1095" s="77">
        <f t="shared" si="164"/>
        <v>0</v>
      </c>
      <c r="AC1095" s="134">
        <f t="shared" si="165"/>
        <v>0</v>
      </c>
      <c r="AD1095" s="251"/>
      <c r="AE1095" s="1736"/>
      <c r="AF1095" s="1737"/>
      <c r="AG1095" s="77">
        <f t="shared" si="166"/>
        <v>0</v>
      </c>
      <c r="AH1095" s="136">
        <f t="shared" si="167"/>
        <v>0</v>
      </c>
      <c r="AI1095" s="251"/>
      <c r="AJ1095" s="1736"/>
      <c r="AK1095" s="1737"/>
      <c r="AL1095" s="79">
        <f t="shared" si="168"/>
        <v>0</v>
      </c>
      <c r="AM1095" s="137">
        <f t="shared" si="169"/>
        <v>0</v>
      </c>
      <c r="AN1095" s="251"/>
      <c r="AO1095" s="1736"/>
      <c r="AP1095" s="1737"/>
    </row>
    <row r="1096" spans="1:42" s="85" customFormat="1" ht="13.5" thickBot="1">
      <c r="A1096" s="240"/>
      <c r="B1096" s="241"/>
      <c r="C1096" s="242"/>
      <c r="D1096" s="242"/>
      <c r="E1096" s="243"/>
      <c r="F1096" s="244"/>
      <c r="G1096" s="244"/>
      <c r="H1096" s="243"/>
      <c r="I1096" s="258"/>
      <c r="J1096" s="245"/>
      <c r="K1096" s="245"/>
      <c r="L1096" s="76">
        <f t="shared" si="160"/>
        <v>0</v>
      </c>
      <c r="M1096" s="246"/>
      <c r="N1096" s="247"/>
      <c r="O1096" s="248"/>
      <c r="P1096" s="246"/>
      <c r="Q1096" s="249"/>
      <c r="R1096" s="250"/>
      <c r="S1096" s="259"/>
      <c r="T1096" s="260"/>
      <c r="U1096" s="250"/>
      <c r="V1096" s="78">
        <f t="shared" si="161"/>
        <v>0</v>
      </c>
      <c r="W1096" s="261">
        <f t="shared" si="162"/>
        <v>0</v>
      </c>
      <c r="X1096" s="133">
        <f t="shared" si="163"/>
        <v>0</v>
      </c>
      <c r="Y1096" s="251"/>
      <c r="Z1096" s="1736"/>
      <c r="AA1096" s="1737"/>
      <c r="AB1096" s="77">
        <f t="shared" si="164"/>
        <v>0</v>
      </c>
      <c r="AC1096" s="134">
        <f t="shared" si="165"/>
        <v>0</v>
      </c>
      <c r="AD1096" s="251"/>
      <c r="AE1096" s="1736"/>
      <c r="AF1096" s="1737"/>
      <c r="AG1096" s="77">
        <f t="shared" si="166"/>
        <v>0</v>
      </c>
      <c r="AH1096" s="136">
        <f t="shared" si="167"/>
        <v>0</v>
      </c>
      <c r="AI1096" s="251"/>
      <c r="AJ1096" s="1736"/>
      <c r="AK1096" s="1737"/>
      <c r="AL1096" s="79">
        <f t="shared" si="168"/>
        <v>0</v>
      </c>
      <c r="AM1096" s="137">
        <f t="shared" si="169"/>
        <v>0</v>
      </c>
      <c r="AN1096" s="251"/>
      <c r="AO1096" s="1736"/>
      <c r="AP1096" s="1737"/>
    </row>
    <row r="1097" spans="1:42" s="85" customFormat="1" ht="13.5" thickBot="1">
      <c r="A1097" s="240"/>
      <c r="B1097" s="241"/>
      <c r="C1097" s="242"/>
      <c r="D1097" s="242"/>
      <c r="E1097" s="243"/>
      <c r="F1097" s="244"/>
      <c r="G1097" s="244"/>
      <c r="H1097" s="243"/>
      <c r="I1097" s="258"/>
      <c r="J1097" s="245"/>
      <c r="K1097" s="245"/>
      <c r="L1097" s="76">
        <f t="shared" si="160"/>
        <v>0</v>
      </c>
      <c r="M1097" s="246"/>
      <c r="N1097" s="247"/>
      <c r="O1097" s="248"/>
      <c r="P1097" s="246"/>
      <c r="Q1097" s="249"/>
      <c r="R1097" s="250"/>
      <c r="S1097" s="259"/>
      <c r="T1097" s="260"/>
      <c r="U1097" s="250"/>
      <c r="V1097" s="78">
        <f t="shared" si="161"/>
        <v>0</v>
      </c>
      <c r="W1097" s="261">
        <f t="shared" si="162"/>
        <v>0</v>
      </c>
      <c r="X1097" s="133">
        <f t="shared" si="163"/>
        <v>0</v>
      </c>
      <c r="Y1097" s="251"/>
      <c r="Z1097" s="1736"/>
      <c r="AA1097" s="1737"/>
      <c r="AB1097" s="77">
        <f t="shared" si="164"/>
        <v>0</v>
      </c>
      <c r="AC1097" s="134">
        <f t="shared" si="165"/>
        <v>0</v>
      </c>
      <c r="AD1097" s="251"/>
      <c r="AE1097" s="1736"/>
      <c r="AF1097" s="1737"/>
      <c r="AG1097" s="77">
        <f t="shared" si="166"/>
        <v>0</v>
      </c>
      <c r="AH1097" s="136">
        <f t="shared" si="167"/>
        <v>0</v>
      </c>
      <c r="AI1097" s="251"/>
      <c r="AJ1097" s="1736"/>
      <c r="AK1097" s="1737"/>
      <c r="AL1097" s="79">
        <f t="shared" si="168"/>
        <v>0</v>
      </c>
      <c r="AM1097" s="137">
        <f t="shared" si="169"/>
        <v>0</v>
      </c>
      <c r="AN1097" s="251"/>
      <c r="AO1097" s="1736"/>
      <c r="AP1097" s="1737"/>
    </row>
    <row r="1098" spans="1:42" s="85" customFormat="1" ht="13.5" thickBot="1">
      <c r="A1098" s="240"/>
      <c r="B1098" s="241"/>
      <c r="C1098" s="242"/>
      <c r="D1098" s="242"/>
      <c r="E1098" s="243"/>
      <c r="F1098" s="244"/>
      <c r="G1098" s="244"/>
      <c r="H1098" s="243"/>
      <c r="I1098" s="258"/>
      <c r="J1098" s="245"/>
      <c r="K1098" s="245"/>
      <c r="L1098" s="76">
        <f t="shared" si="160"/>
        <v>0</v>
      </c>
      <c r="M1098" s="246"/>
      <c r="N1098" s="247"/>
      <c r="O1098" s="248"/>
      <c r="P1098" s="246"/>
      <c r="Q1098" s="249"/>
      <c r="R1098" s="250"/>
      <c r="S1098" s="259"/>
      <c r="T1098" s="260"/>
      <c r="U1098" s="250"/>
      <c r="V1098" s="78">
        <f t="shared" si="161"/>
        <v>0</v>
      </c>
      <c r="W1098" s="261">
        <f t="shared" si="162"/>
        <v>0</v>
      </c>
      <c r="X1098" s="133">
        <f t="shared" si="163"/>
        <v>0</v>
      </c>
      <c r="Y1098" s="251"/>
      <c r="Z1098" s="1736"/>
      <c r="AA1098" s="1737"/>
      <c r="AB1098" s="77">
        <f t="shared" si="164"/>
        <v>0</v>
      </c>
      <c r="AC1098" s="134">
        <f t="shared" si="165"/>
        <v>0</v>
      </c>
      <c r="AD1098" s="251"/>
      <c r="AE1098" s="1736"/>
      <c r="AF1098" s="1737"/>
      <c r="AG1098" s="77">
        <f t="shared" si="166"/>
        <v>0</v>
      </c>
      <c r="AH1098" s="136">
        <f t="shared" si="167"/>
        <v>0</v>
      </c>
      <c r="AI1098" s="251"/>
      <c r="AJ1098" s="1736"/>
      <c r="AK1098" s="1737"/>
      <c r="AL1098" s="79">
        <f t="shared" si="168"/>
        <v>0</v>
      </c>
      <c r="AM1098" s="137">
        <f t="shared" si="169"/>
        <v>0</v>
      </c>
      <c r="AN1098" s="251"/>
      <c r="AO1098" s="1736"/>
      <c r="AP1098" s="1737"/>
    </row>
    <row r="1099" spans="1:42" s="85" customFormat="1" ht="13.5" thickBot="1">
      <c r="A1099" s="240"/>
      <c r="B1099" s="241"/>
      <c r="C1099" s="242"/>
      <c r="D1099" s="242"/>
      <c r="E1099" s="243"/>
      <c r="F1099" s="244"/>
      <c r="G1099" s="244"/>
      <c r="H1099" s="243"/>
      <c r="I1099" s="258"/>
      <c r="J1099" s="245"/>
      <c r="K1099" s="245"/>
      <c r="L1099" s="76">
        <f t="shared" ref="L1099:L1162" si="170">IF(I1099=0,0,(K1099+J1099)/I1099)</f>
        <v>0</v>
      </c>
      <c r="M1099" s="246"/>
      <c r="N1099" s="247"/>
      <c r="O1099" s="248"/>
      <c r="P1099" s="246"/>
      <c r="Q1099" s="249"/>
      <c r="R1099" s="250"/>
      <c r="S1099" s="259"/>
      <c r="T1099" s="260"/>
      <c r="U1099" s="250"/>
      <c r="V1099" s="78">
        <f t="shared" ref="V1099:V1162" si="171">IF(U1099=0,0,((U1099*S1099)-AB1099-AL1099))</f>
        <v>0</v>
      </c>
      <c r="W1099" s="261">
        <f t="shared" ref="W1099:W1162" si="172">+S1099-I1099</f>
        <v>0</v>
      </c>
      <c r="X1099" s="133">
        <f t="shared" ref="X1099:X1162" si="173">(V1099-J1099)</f>
        <v>0</v>
      </c>
      <c r="Y1099" s="251"/>
      <c r="Z1099" s="1736"/>
      <c r="AA1099" s="1737"/>
      <c r="AB1099" s="77">
        <f t="shared" ref="AB1099:AB1162" si="174">(IF(I1099=0,0,M1099/H1099))*S1099</f>
        <v>0</v>
      </c>
      <c r="AC1099" s="134">
        <f t="shared" ref="AC1099:AC1162" si="175">+AB1099-P1099</f>
        <v>0</v>
      </c>
      <c r="AD1099" s="251"/>
      <c r="AE1099" s="1736"/>
      <c r="AF1099" s="1737"/>
      <c r="AG1099" s="77">
        <f t="shared" ref="AG1099:AG1162" si="176">(IF(H1099=0,0,N1099/H1099))*T1099</f>
        <v>0</v>
      </c>
      <c r="AH1099" s="136">
        <f t="shared" ref="AH1099:AH1162" si="177">+AG1099-Q1099</f>
        <v>0</v>
      </c>
      <c r="AI1099" s="251"/>
      <c r="AJ1099" s="1736"/>
      <c r="AK1099" s="1737"/>
      <c r="AL1099" s="79">
        <f t="shared" ref="AL1099:AL1162" si="178">+O1099*S1099</f>
        <v>0</v>
      </c>
      <c r="AM1099" s="137">
        <f t="shared" ref="AM1099:AM1162" si="179">+AL1099-R1099</f>
        <v>0</v>
      </c>
      <c r="AN1099" s="251"/>
      <c r="AO1099" s="1736"/>
      <c r="AP1099" s="1737"/>
    </row>
    <row r="1100" spans="1:42" s="85" customFormat="1" ht="13.5" thickBot="1">
      <c r="A1100" s="240"/>
      <c r="B1100" s="241"/>
      <c r="C1100" s="242"/>
      <c r="D1100" s="242"/>
      <c r="E1100" s="243"/>
      <c r="F1100" s="244"/>
      <c r="G1100" s="244"/>
      <c r="H1100" s="243"/>
      <c r="I1100" s="258"/>
      <c r="J1100" s="245"/>
      <c r="K1100" s="245"/>
      <c r="L1100" s="76">
        <f t="shared" si="170"/>
        <v>0</v>
      </c>
      <c r="M1100" s="246"/>
      <c r="N1100" s="247"/>
      <c r="O1100" s="248"/>
      <c r="P1100" s="246"/>
      <c r="Q1100" s="249"/>
      <c r="R1100" s="250"/>
      <c r="S1100" s="259"/>
      <c r="T1100" s="260"/>
      <c r="U1100" s="250"/>
      <c r="V1100" s="78">
        <f t="shared" si="171"/>
        <v>0</v>
      </c>
      <c r="W1100" s="261">
        <f t="shared" si="172"/>
        <v>0</v>
      </c>
      <c r="X1100" s="133">
        <f t="shared" si="173"/>
        <v>0</v>
      </c>
      <c r="Y1100" s="251"/>
      <c r="Z1100" s="1736"/>
      <c r="AA1100" s="1737"/>
      <c r="AB1100" s="77">
        <f t="shared" si="174"/>
        <v>0</v>
      </c>
      <c r="AC1100" s="134">
        <f t="shared" si="175"/>
        <v>0</v>
      </c>
      <c r="AD1100" s="251"/>
      <c r="AE1100" s="1736"/>
      <c r="AF1100" s="1737"/>
      <c r="AG1100" s="77">
        <f t="shared" si="176"/>
        <v>0</v>
      </c>
      <c r="AH1100" s="136">
        <f t="shared" si="177"/>
        <v>0</v>
      </c>
      <c r="AI1100" s="251"/>
      <c r="AJ1100" s="1736"/>
      <c r="AK1100" s="1737"/>
      <c r="AL1100" s="79">
        <f t="shared" si="178"/>
        <v>0</v>
      </c>
      <c r="AM1100" s="137">
        <f t="shared" si="179"/>
        <v>0</v>
      </c>
      <c r="AN1100" s="251"/>
      <c r="AO1100" s="1736"/>
      <c r="AP1100" s="1737"/>
    </row>
    <row r="1101" spans="1:42" s="85" customFormat="1" ht="13.5" thickBot="1">
      <c r="A1101" s="240"/>
      <c r="B1101" s="241"/>
      <c r="C1101" s="242"/>
      <c r="D1101" s="242"/>
      <c r="E1101" s="243"/>
      <c r="F1101" s="244"/>
      <c r="G1101" s="244"/>
      <c r="H1101" s="243"/>
      <c r="I1101" s="258"/>
      <c r="J1101" s="245"/>
      <c r="K1101" s="245"/>
      <c r="L1101" s="76">
        <f t="shared" si="170"/>
        <v>0</v>
      </c>
      <c r="M1101" s="246"/>
      <c r="N1101" s="247"/>
      <c r="O1101" s="248"/>
      <c r="P1101" s="246"/>
      <c r="Q1101" s="249"/>
      <c r="R1101" s="250"/>
      <c r="S1101" s="259"/>
      <c r="T1101" s="260"/>
      <c r="U1101" s="250"/>
      <c r="V1101" s="78">
        <f t="shared" si="171"/>
        <v>0</v>
      </c>
      <c r="W1101" s="261">
        <f t="shared" si="172"/>
        <v>0</v>
      </c>
      <c r="X1101" s="133">
        <f t="shared" si="173"/>
        <v>0</v>
      </c>
      <c r="Y1101" s="251"/>
      <c r="Z1101" s="1736"/>
      <c r="AA1101" s="1737"/>
      <c r="AB1101" s="77">
        <f t="shared" si="174"/>
        <v>0</v>
      </c>
      <c r="AC1101" s="134">
        <f t="shared" si="175"/>
        <v>0</v>
      </c>
      <c r="AD1101" s="251"/>
      <c r="AE1101" s="1736"/>
      <c r="AF1101" s="1737"/>
      <c r="AG1101" s="77">
        <f t="shared" si="176"/>
        <v>0</v>
      </c>
      <c r="AH1101" s="136">
        <f t="shared" si="177"/>
        <v>0</v>
      </c>
      <c r="AI1101" s="251"/>
      <c r="AJ1101" s="1736"/>
      <c r="AK1101" s="1737"/>
      <c r="AL1101" s="79">
        <f t="shared" si="178"/>
        <v>0</v>
      </c>
      <c r="AM1101" s="137">
        <f t="shared" si="179"/>
        <v>0</v>
      </c>
      <c r="AN1101" s="251"/>
      <c r="AO1101" s="1736"/>
      <c r="AP1101" s="1737"/>
    </row>
    <row r="1102" spans="1:42" s="85" customFormat="1" ht="13.5" thickBot="1">
      <c r="A1102" s="240"/>
      <c r="B1102" s="241"/>
      <c r="C1102" s="242"/>
      <c r="D1102" s="242"/>
      <c r="E1102" s="243"/>
      <c r="F1102" s="244"/>
      <c r="G1102" s="244"/>
      <c r="H1102" s="243"/>
      <c r="I1102" s="258"/>
      <c r="J1102" s="245"/>
      <c r="K1102" s="245"/>
      <c r="L1102" s="76">
        <f t="shared" si="170"/>
        <v>0</v>
      </c>
      <c r="M1102" s="246"/>
      <c r="N1102" s="247"/>
      <c r="O1102" s="248"/>
      <c r="P1102" s="246"/>
      <c r="Q1102" s="249"/>
      <c r="R1102" s="250"/>
      <c r="S1102" s="259"/>
      <c r="T1102" s="260"/>
      <c r="U1102" s="250"/>
      <c r="V1102" s="78">
        <f t="shared" si="171"/>
        <v>0</v>
      </c>
      <c r="W1102" s="261">
        <f t="shared" si="172"/>
        <v>0</v>
      </c>
      <c r="X1102" s="133">
        <f t="shared" si="173"/>
        <v>0</v>
      </c>
      <c r="Y1102" s="251"/>
      <c r="Z1102" s="1736"/>
      <c r="AA1102" s="1737"/>
      <c r="AB1102" s="77">
        <f t="shared" si="174"/>
        <v>0</v>
      </c>
      <c r="AC1102" s="134">
        <f t="shared" si="175"/>
        <v>0</v>
      </c>
      <c r="AD1102" s="251"/>
      <c r="AE1102" s="1736"/>
      <c r="AF1102" s="1737"/>
      <c r="AG1102" s="77">
        <f t="shared" si="176"/>
        <v>0</v>
      </c>
      <c r="AH1102" s="136">
        <f t="shared" si="177"/>
        <v>0</v>
      </c>
      <c r="AI1102" s="251"/>
      <c r="AJ1102" s="1736"/>
      <c r="AK1102" s="1737"/>
      <c r="AL1102" s="79">
        <f t="shared" si="178"/>
        <v>0</v>
      </c>
      <c r="AM1102" s="137">
        <f t="shared" si="179"/>
        <v>0</v>
      </c>
      <c r="AN1102" s="251"/>
      <c r="AO1102" s="1736"/>
      <c r="AP1102" s="1737"/>
    </row>
    <row r="1103" spans="1:42" s="85" customFormat="1" ht="13.5" thickBot="1">
      <c r="A1103" s="240"/>
      <c r="B1103" s="241"/>
      <c r="C1103" s="242"/>
      <c r="D1103" s="242"/>
      <c r="E1103" s="243"/>
      <c r="F1103" s="244"/>
      <c r="G1103" s="244"/>
      <c r="H1103" s="243"/>
      <c r="I1103" s="258"/>
      <c r="J1103" s="245"/>
      <c r="K1103" s="245"/>
      <c r="L1103" s="76">
        <f t="shared" si="170"/>
        <v>0</v>
      </c>
      <c r="M1103" s="246"/>
      <c r="N1103" s="247"/>
      <c r="O1103" s="248"/>
      <c r="P1103" s="246"/>
      <c r="Q1103" s="249"/>
      <c r="R1103" s="250"/>
      <c r="S1103" s="259"/>
      <c r="T1103" s="260"/>
      <c r="U1103" s="250"/>
      <c r="V1103" s="78">
        <f t="shared" si="171"/>
        <v>0</v>
      </c>
      <c r="W1103" s="261">
        <f t="shared" si="172"/>
        <v>0</v>
      </c>
      <c r="X1103" s="133">
        <f t="shared" si="173"/>
        <v>0</v>
      </c>
      <c r="Y1103" s="251"/>
      <c r="Z1103" s="1736"/>
      <c r="AA1103" s="1737"/>
      <c r="AB1103" s="77">
        <f t="shared" si="174"/>
        <v>0</v>
      </c>
      <c r="AC1103" s="134">
        <f t="shared" si="175"/>
        <v>0</v>
      </c>
      <c r="AD1103" s="251"/>
      <c r="AE1103" s="1736"/>
      <c r="AF1103" s="1737"/>
      <c r="AG1103" s="77">
        <f t="shared" si="176"/>
        <v>0</v>
      </c>
      <c r="AH1103" s="136">
        <f t="shared" si="177"/>
        <v>0</v>
      </c>
      <c r="AI1103" s="251"/>
      <c r="AJ1103" s="1736"/>
      <c r="AK1103" s="1737"/>
      <c r="AL1103" s="79">
        <f t="shared" si="178"/>
        <v>0</v>
      </c>
      <c r="AM1103" s="137">
        <f t="shared" si="179"/>
        <v>0</v>
      </c>
      <c r="AN1103" s="251"/>
      <c r="AO1103" s="1736"/>
      <c r="AP1103" s="1737"/>
    </row>
    <row r="1104" spans="1:42" s="85" customFormat="1" ht="13.5" thickBot="1">
      <c r="A1104" s="240"/>
      <c r="B1104" s="241"/>
      <c r="C1104" s="242"/>
      <c r="D1104" s="242"/>
      <c r="E1104" s="243"/>
      <c r="F1104" s="244"/>
      <c r="G1104" s="244"/>
      <c r="H1104" s="243"/>
      <c r="I1104" s="258"/>
      <c r="J1104" s="245"/>
      <c r="K1104" s="245"/>
      <c r="L1104" s="76">
        <f t="shared" si="170"/>
        <v>0</v>
      </c>
      <c r="M1104" s="246"/>
      <c r="N1104" s="247"/>
      <c r="O1104" s="248"/>
      <c r="P1104" s="246"/>
      <c r="Q1104" s="249"/>
      <c r="R1104" s="250"/>
      <c r="S1104" s="259"/>
      <c r="T1104" s="260"/>
      <c r="U1104" s="250"/>
      <c r="V1104" s="78">
        <f t="shared" si="171"/>
        <v>0</v>
      </c>
      <c r="W1104" s="261">
        <f t="shared" si="172"/>
        <v>0</v>
      </c>
      <c r="X1104" s="133">
        <f t="shared" si="173"/>
        <v>0</v>
      </c>
      <c r="Y1104" s="251"/>
      <c r="Z1104" s="1736"/>
      <c r="AA1104" s="1737"/>
      <c r="AB1104" s="77">
        <f t="shared" si="174"/>
        <v>0</v>
      </c>
      <c r="AC1104" s="134">
        <f t="shared" si="175"/>
        <v>0</v>
      </c>
      <c r="AD1104" s="251"/>
      <c r="AE1104" s="1736"/>
      <c r="AF1104" s="1737"/>
      <c r="AG1104" s="77">
        <f t="shared" si="176"/>
        <v>0</v>
      </c>
      <c r="AH1104" s="136">
        <f t="shared" si="177"/>
        <v>0</v>
      </c>
      <c r="AI1104" s="251"/>
      <c r="AJ1104" s="1736"/>
      <c r="AK1104" s="1737"/>
      <c r="AL1104" s="79">
        <f t="shared" si="178"/>
        <v>0</v>
      </c>
      <c r="AM1104" s="137">
        <f t="shared" si="179"/>
        <v>0</v>
      </c>
      <c r="AN1104" s="251"/>
      <c r="AO1104" s="1736"/>
      <c r="AP1104" s="1737"/>
    </row>
    <row r="1105" spans="1:42" s="85" customFormat="1" ht="13.5" thickBot="1">
      <c r="A1105" s="240"/>
      <c r="B1105" s="241"/>
      <c r="C1105" s="242"/>
      <c r="D1105" s="242"/>
      <c r="E1105" s="243"/>
      <c r="F1105" s="244"/>
      <c r="G1105" s="244"/>
      <c r="H1105" s="243"/>
      <c r="I1105" s="258"/>
      <c r="J1105" s="245"/>
      <c r="K1105" s="245"/>
      <c r="L1105" s="76">
        <f t="shared" si="170"/>
        <v>0</v>
      </c>
      <c r="M1105" s="246"/>
      <c r="N1105" s="247"/>
      <c r="O1105" s="248"/>
      <c r="P1105" s="246"/>
      <c r="Q1105" s="249"/>
      <c r="R1105" s="250"/>
      <c r="S1105" s="259"/>
      <c r="T1105" s="260"/>
      <c r="U1105" s="250"/>
      <c r="V1105" s="78">
        <f t="shared" si="171"/>
        <v>0</v>
      </c>
      <c r="W1105" s="261">
        <f t="shared" si="172"/>
        <v>0</v>
      </c>
      <c r="X1105" s="133">
        <f t="shared" si="173"/>
        <v>0</v>
      </c>
      <c r="Y1105" s="251"/>
      <c r="Z1105" s="1736"/>
      <c r="AA1105" s="1737"/>
      <c r="AB1105" s="77">
        <f t="shared" si="174"/>
        <v>0</v>
      </c>
      <c r="AC1105" s="134">
        <f t="shared" si="175"/>
        <v>0</v>
      </c>
      <c r="AD1105" s="251"/>
      <c r="AE1105" s="1736"/>
      <c r="AF1105" s="1737"/>
      <c r="AG1105" s="77">
        <f t="shared" si="176"/>
        <v>0</v>
      </c>
      <c r="AH1105" s="136">
        <f t="shared" si="177"/>
        <v>0</v>
      </c>
      <c r="AI1105" s="251"/>
      <c r="AJ1105" s="1736"/>
      <c r="AK1105" s="1737"/>
      <c r="AL1105" s="79">
        <f t="shared" si="178"/>
        <v>0</v>
      </c>
      <c r="AM1105" s="137">
        <f t="shared" si="179"/>
        <v>0</v>
      </c>
      <c r="AN1105" s="251"/>
      <c r="AO1105" s="1736"/>
      <c r="AP1105" s="1737"/>
    </row>
    <row r="1106" spans="1:42" s="85" customFormat="1" ht="13.5" thickBot="1">
      <c r="A1106" s="240"/>
      <c r="B1106" s="241"/>
      <c r="C1106" s="242"/>
      <c r="D1106" s="242"/>
      <c r="E1106" s="243"/>
      <c r="F1106" s="244"/>
      <c r="G1106" s="244"/>
      <c r="H1106" s="243"/>
      <c r="I1106" s="258"/>
      <c r="J1106" s="245"/>
      <c r="K1106" s="245"/>
      <c r="L1106" s="76">
        <f t="shared" si="170"/>
        <v>0</v>
      </c>
      <c r="M1106" s="246"/>
      <c r="N1106" s="247"/>
      <c r="O1106" s="248"/>
      <c r="P1106" s="246"/>
      <c r="Q1106" s="249"/>
      <c r="R1106" s="250"/>
      <c r="S1106" s="259"/>
      <c r="T1106" s="260"/>
      <c r="U1106" s="250"/>
      <c r="V1106" s="78">
        <f t="shared" si="171"/>
        <v>0</v>
      </c>
      <c r="W1106" s="261">
        <f t="shared" si="172"/>
        <v>0</v>
      </c>
      <c r="X1106" s="133">
        <f t="shared" si="173"/>
        <v>0</v>
      </c>
      <c r="Y1106" s="251"/>
      <c r="Z1106" s="1736"/>
      <c r="AA1106" s="1737"/>
      <c r="AB1106" s="77">
        <f t="shared" si="174"/>
        <v>0</v>
      </c>
      <c r="AC1106" s="134">
        <f t="shared" si="175"/>
        <v>0</v>
      </c>
      <c r="AD1106" s="251"/>
      <c r="AE1106" s="1736"/>
      <c r="AF1106" s="1737"/>
      <c r="AG1106" s="77">
        <f t="shared" si="176"/>
        <v>0</v>
      </c>
      <c r="AH1106" s="136">
        <f t="shared" si="177"/>
        <v>0</v>
      </c>
      <c r="AI1106" s="251"/>
      <c r="AJ1106" s="1736"/>
      <c r="AK1106" s="1737"/>
      <c r="AL1106" s="79">
        <f t="shared" si="178"/>
        <v>0</v>
      </c>
      <c r="AM1106" s="137">
        <f t="shared" si="179"/>
        <v>0</v>
      </c>
      <c r="AN1106" s="251"/>
      <c r="AO1106" s="1736"/>
      <c r="AP1106" s="1737"/>
    </row>
    <row r="1107" spans="1:42" s="85" customFormat="1" ht="13.5" thickBot="1">
      <c r="A1107" s="240"/>
      <c r="B1107" s="241"/>
      <c r="C1107" s="242"/>
      <c r="D1107" s="242"/>
      <c r="E1107" s="243"/>
      <c r="F1107" s="244"/>
      <c r="G1107" s="244"/>
      <c r="H1107" s="243"/>
      <c r="I1107" s="258"/>
      <c r="J1107" s="245"/>
      <c r="K1107" s="245"/>
      <c r="L1107" s="76">
        <f t="shared" si="170"/>
        <v>0</v>
      </c>
      <c r="M1107" s="246"/>
      <c r="N1107" s="247"/>
      <c r="O1107" s="248"/>
      <c r="P1107" s="246"/>
      <c r="Q1107" s="249"/>
      <c r="R1107" s="250"/>
      <c r="S1107" s="259"/>
      <c r="T1107" s="260"/>
      <c r="U1107" s="250"/>
      <c r="V1107" s="78">
        <f t="shared" si="171"/>
        <v>0</v>
      </c>
      <c r="W1107" s="261">
        <f t="shared" si="172"/>
        <v>0</v>
      </c>
      <c r="X1107" s="133">
        <f t="shared" si="173"/>
        <v>0</v>
      </c>
      <c r="Y1107" s="251"/>
      <c r="Z1107" s="1736"/>
      <c r="AA1107" s="1737"/>
      <c r="AB1107" s="77">
        <f t="shared" si="174"/>
        <v>0</v>
      </c>
      <c r="AC1107" s="134">
        <f t="shared" si="175"/>
        <v>0</v>
      </c>
      <c r="AD1107" s="251"/>
      <c r="AE1107" s="1736"/>
      <c r="AF1107" s="1737"/>
      <c r="AG1107" s="77">
        <f t="shared" si="176"/>
        <v>0</v>
      </c>
      <c r="AH1107" s="136">
        <f t="shared" si="177"/>
        <v>0</v>
      </c>
      <c r="AI1107" s="251"/>
      <c r="AJ1107" s="1736"/>
      <c r="AK1107" s="1737"/>
      <c r="AL1107" s="79">
        <f t="shared" si="178"/>
        <v>0</v>
      </c>
      <c r="AM1107" s="137">
        <f t="shared" si="179"/>
        <v>0</v>
      </c>
      <c r="AN1107" s="251"/>
      <c r="AO1107" s="1736"/>
      <c r="AP1107" s="1737"/>
    </row>
    <row r="1108" spans="1:42" s="85" customFormat="1" ht="13.5" thickBot="1">
      <c r="A1108" s="240"/>
      <c r="B1108" s="241"/>
      <c r="C1108" s="242"/>
      <c r="D1108" s="242"/>
      <c r="E1108" s="243"/>
      <c r="F1108" s="244"/>
      <c r="G1108" s="244"/>
      <c r="H1108" s="243"/>
      <c r="I1108" s="258"/>
      <c r="J1108" s="245"/>
      <c r="K1108" s="245"/>
      <c r="L1108" s="76">
        <f t="shared" si="170"/>
        <v>0</v>
      </c>
      <c r="M1108" s="246"/>
      <c r="N1108" s="247"/>
      <c r="O1108" s="248"/>
      <c r="P1108" s="246"/>
      <c r="Q1108" s="249"/>
      <c r="R1108" s="250"/>
      <c r="S1108" s="259"/>
      <c r="T1108" s="260"/>
      <c r="U1108" s="250"/>
      <c r="V1108" s="78">
        <f t="shared" si="171"/>
        <v>0</v>
      </c>
      <c r="W1108" s="261">
        <f t="shared" si="172"/>
        <v>0</v>
      </c>
      <c r="X1108" s="133">
        <f t="shared" si="173"/>
        <v>0</v>
      </c>
      <c r="Y1108" s="251"/>
      <c r="Z1108" s="1736"/>
      <c r="AA1108" s="1737"/>
      <c r="AB1108" s="77">
        <f t="shared" si="174"/>
        <v>0</v>
      </c>
      <c r="AC1108" s="134">
        <f t="shared" si="175"/>
        <v>0</v>
      </c>
      <c r="AD1108" s="251"/>
      <c r="AE1108" s="1736"/>
      <c r="AF1108" s="1737"/>
      <c r="AG1108" s="77">
        <f t="shared" si="176"/>
        <v>0</v>
      </c>
      <c r="AH1108" s="136">
        <f t="shared" si="177"/>
        <v>0</v>
      </c>
      <c r="AI1108" s="251"/>
      <c r="AJ1108" s="1736"/>
      <c r="AK1108" s="1737"/>
      <c r="AL1108" s="79">
        <f t="shared" si="178"/>
        <v>0</v>
      </c>
      <c r="AM1108" s="137">
        <f t="shared" si="179"/>
        <v>0</v>
      </c>
      <c r="AN1108" s="251"/>
      <c r="AO1108" s="1736"/>
      <c r="AP1108" s="1737"/>
    </row>
    <row r="1109" spans="1:42" s="85" customFormat="1" ht="13.5" thickBot="1">
      <c r="A1109" s="240"/>
      <c r="B1109" s="241"/>
      <c r="C1109" s="242"/>
      <c r="D1109" s="242"/>
      <c r="E1109" s="243"/>
      <c r="F1109" s="244"/>
      <c r="G1109" s="244"/>
      <c r="H1109" s="243"/>
      <c r="I1109" s="258"/>
      <c r="J1109" s="245"/>
      <c r="K1109" s="245"/>
      <c r="L1109" s="76">
        <f t="shared" si="170"/>
        <v>0</v>
      </c>
      <c r="M1109" s="246"/>
      <c r="N1109" s="247"/>
      <c r="O1109" s="248"/>
      <c r="P1109" s="246"/>
      <c r="Q1109" s="249"/>
      <c r="R1109" s="250"/>
      <c r="S1109" s="259"/>
      <c r="T1109" s="260"/>
      <c r="U1109" s="250"/>
      <c r="V1109" s="78">
        <f t="shared" si="171"/>
        <v>0</v>
      </c>
      <c r="W1109" s="261">
        <f t="shared" si="172"/>
        <v>0</v>
      </c>
      <c r="X1109" s="133">
        <f t="shared" si="173"/>
        <v>0</v>
      </c>
      <c r="Y1109" s="251"/>
      <c r="Z1109" s="1736"/>
      <c r="AA1109" s="1737"/>
      <c r="AB1109" s="77">
        <f t="shared" si="174"/>
        <v>0</v>
      </c>
      <c r="AC1109" s="134">
        <f t="shared" si="175"/>
        <v>0</v>
      </c>
      <c r="AD1109" s="251"/>
      <c r="AE1109" s="1736"/>
      <c r="AF1109" s="1737"/>
      <c r="AG1109" s="77">
        <f t="shared" si="176"/>
        <v>0</v>
      </c>
      <c r="AH1109" s="136">
        <f t="shared" si="177"/>
        <v>0</v>
      </c>
      <c r="AI1109" s="251"/>
      <c r="AJ1109" s="1736"/>
      <c r="AK1109" s="1737"/>
      <c r="AL1109" s="79">
        <f t="shared" si="178"/>
        <v>0</v>
      </c>
      <c r="AM1109" s="137">
        <f t="shared" si="179"/>
        <v>0</v>
      </c>
      <c r="AN1109" s="251"/>
      <c r="AO1109" s="1736"/>
      <c r="AP1109" s="1737"/>
    </row>
    <row r="1110" spans="1:42" s="85" customFormat="1" ht="13.5" thickBot="1">
      <c r="A1110" s="240"/>
      <c r="B1110" s="241"/>
      <c r="C1110" s="242"/>
      <c r="D1110" s="242"/>
      <c r="E1110" s="243"/>
      <c r="F1110" s="244"/>
      <c r="G1110" s="244"/>
      <c r="H1110" s="243"/>
      <c r="I1110" s="258"/>
      <c r="J1110" s="245"/>
      <c r="K1110" s="245"/>
      <c r="L1110" s="76">
        <f t="shared" si="170"/>
        <v>0</v>
      </c>
      <c r="M1110" s="246"/>
      <c r="N1110" s="247"/>
      <c r="O1110" s="248"/>
      <c r="P1110" s="246"/>
      <c r="Q1110" s="249"/>
      <c r="R1110" s="250"/>
      <c r="S1110" s="259"/>
      <c r="T1110" s="260"/>
      <c r="U1110" s="250"/>
      <c r="V1110" s="78">
        <f t="shared" si="171"/>
        <v>0</v>
      </c>
      <c r="W1110" s="261">
        <f t="shared" si="172"/>
        <v>0</v>
      </c>
      <c r="X1110" s="133">
        <f t="shared" si="173"/>
        <v>0</v>
      </c>
      <c r="Y1110" s="251"/>
      <c r="Z1110" s="1736"/>
      <c r="AA1110" s="1737"/>
      <c r="AB1110" s="77">
        <f t="shared" si="174"/>
        <v>0</v>
      </c>
      <c r="AC1110" s="134">
        <f t="shared" si="175"/>
        <v>0</v>
      </c>
      <c r="AD1110" s="251"/>
      <c r="AE1110" s="1736"/>
      <c r="AF1110" s="1737"/>
      <c r="AG1110" s="77">
        <f t="shared" si="176"/>
        <v>0</v>
      </c>
      <c r="AH1110" s="136">
        <f t="shared" si="177"/>
        <v>0</v>
      </c>
      <c r="AI1110" s="251"/>
      <c r="AJ1110" s="1736"/>
      <c r="AK1110" s="1737"/>
      <c r="AL1110" s="79">
        <f t="shared" si="178"/>
        <v>0</v>
      </c>
      <c r="AM1110" s="137">
        <f t="shared" si="179"/>
        <v>0</v>
      </c>
      <c r="AN1110" s="251"/>
      <c r="AO1110" s="1736"/>
      <c r="AP1110" s="1737"/>
    </row>
    <row r="1111" spans="1:42" s="85" customFormat="1" ht="13.5" thickBot="1">
      <c r="A1111" s="240"/>
      <c r="B1111" s="241"/>
      <c r="C1111" s="242"/>
      <c r="D1111" s="242"/>
      <c r="E1111" s="243"/>
      <c r="F1111" s="244"/>
      <c r="G1111" s="244"/>
      <c r="H1111" s="243"/>
      <c r="I1111" s="258"/>
      <c r="J1111" s="245"/>
      <c r="K1111" s="245"/>
      <c r="L1111" s="76">
        <f t="shared" si="170"/>
        <v>0</v>
      </c>
      <c r="M1111" s="246"/>
      <c r="N1111" s="247"/>
      <c r="O1111" s="248"/>
      <c r="P1111" s="246"/>
      <c r="Q1111" s="249"/>
      <c r="R1111" s="250"/>
      <c r="S1111" s="259"/>
      <c r="T1111" s="260"/>
      <c r="U1111" s="250"/>
      <c r="V1111" s="78">
        <f t="shared" si="171"/>
        <v>0</v>
      </c>
      <c r="W1111" s="261">
        <f t="shared" si="172"/>
        <v>0</v>
      </c>
      <c r="X1111" s="133">
        <f t="shared" si="173"/>
        <v>0</v>
      </c>
      <c r="Y1111" s="251"/>
      <c r="Z1111" s="1736"/>
      <c r="AA1111" s="1737"/>
      <c r="AB1111" s="77">
        <f t="shared" si="174"/>
        <v>0</v>
      </c>
      <c r="AC1111" s="134">
        <f t="shared" si="175"/>
        <v>0</v>
      </c>
      <c r="AD1111" s="251"/>
      <c r="AE1111" s="1736"/>
      <c r="AF1111" s="1737"/>
      <c r="AG1111" s="77">
        <f t="shared" si="176"/>
        <v>0</v>
      </c>
      <c r="AH1111" s="136">
        <f t="shared" si="177"/>
        <v>0</v>
      </c>
      <c r="AI1111" s="251"/>
      <c r="AJ1111" s="1736"/>
      <c r="AK1111" s="1737"/>
      <c r="AL1111" s="79">
        <f t="shared" si="178"/>
        <v>0</v>
      </c>
      <c r="AM1111" s="137">
        <f t="shared" si="179"/>
        <v>0</v>
      </c>
      <c r="AN1111" s="251"/>
      <c r="AO1111" s="1736"/>
      <c r="AP1111" s="1737"/>
    </row>
    <row r="1112" spans="1:42" s="85" customFormat="1" ht="13.5" thickBot="1">
      <c r="A1112" s="240"/>
      <c r="B1112" s="241"/>
      <c r="C1112" s="242"/>
      <c r="D1112" s="242"/>
      <c r="E1112" s="243"/>
      <c r="F1112" s="244"/>
      <c r="G1112" s="244"/>
      <c r="H1112" s="243"/>
      <c r="I1112" s="258"/>
      <c r="J1112" s="245"/>
      <c r="K1112" s="245"/>
      <c r="L1112" s="76">
        <f t="shared" si="170"/>
        <v>0</v>
      </c>
      <c r="M1112" s="246"/>
      <c r="N1112" s="247"/>
      <c r="O1112" s="248"/>
      <c r="P1112" s="246"/>
      <c r="Q1112" s="249"/>
      <c r="R1112" s="250"/>
      <c r="S1112" s="259"/>
      <c r="T1112" s="260"/>
      <c r="U1112" s="250"/>
      <c r="V1112" s="78">
        <f t="shared" si="171"/>
        <v>0</v>
      </c>
      <c r="W1112" s="261">
        <f t="shared" si="172"/>
        <v>0</v>
      </c>
      <c r="X1112" s="133">
        <f t="shared" si="173"/>
        <v>0</v>
      </c>
      <c r="Y1112" s="251"/>
      <c r="Z1112" s="1736"/>
      <c r="AA1112" s="1737"/>
      <c r="AB1112" s="77">
        <f t="shared" si="174"/>
        <v>0</v>
      </c>
      <c r="AC1112" s="134">
        <f t="shared" si="175"/>
        <v>0</v>
      </c>
      <c r="AD1112" s="251"/>
      <c r="AE1112" s="1736"/>
      <c r="AF1112" s="1737"/>
      <c r="AG1112" s="77">
        <f t="shared" si="176"/>
        <v>0</v>
      </c>
      <c r="AH1112" s="136">
        <f t="shared" si="177"/>
        <v>0</v>
      </c>
      <c r="AI1112" s="251"/>
      <c r="AJ1112" s="1736"/>
      <c r="AK1112" s="1737"/>
      <c r="AL1112" s="79">
        <f t="shared" si="178"/>
        <v>0</v>
      </c>
      <c r="AM1112" s="137">
        <f t="shared" si="179"/>
        <v>0</v>
      </c>
      <c r="AN1112" s="251"/>
      <c r="AO1112" s="1736"/>
      <c r="AP1112" s="1737"/>
    </row>
    <row r="1113" spans="1:42" s="85" customFormat="1" ht="13.5" thickBot="1">
      <c r="A1113" s="240"/>
      <c r="B1113" s="241"/>
      <c r="C1113" s="242"/>
      <c r="D1113" s="242"/>
      <c r="E1113" s="243"/>
      <c r="F1113" s="244"/>
      <c r="G1113" s="244"/>
      <c r="H1113" s="243"/>
      <c r="I1113" s="258"/>
      <c r="J1113" s="245"/>
      <c r="K1113" s="245"/>
      <c r="L1113" s="76">
        <f t="shared" si="170"/>
        <v>0</v>
      </c>
      <c r="M1113" s="246"/>
      <c r="N1113" s="247"/>
      <c r="O1113" s="248"/>
      <c r="P1113" s="246"/>
      <c r="Q1113" s="249"/>
      <c r="R1113" s="250"/>
      <c r="S1113" s="259"/>
      <c r="T1113" s="260"/>
      <c r="U1113" s="250"/>
      <c r="V1113" s="78">
        <f t="shared" si="171"/>
        <v>0</v>
      </c>
      <c r="W1113" s="261">
        <f t="shared" si="172"/>
        <v>0</v>
      </c>
      <c r="X1113" s="133">
        <f t="shared" si="173"/>
        <v>0</v>
      </c>
      <c r="Y1113" s="251"/>
      <c r="Z1113" s="1736"/>
      <c r="AA1113" s="1737"/>
      <c r="AB1113" s="77">
        <f t="shared" si="174"/>
        <v>0</v>
      </c>
      <c r="AC1113" s="134">
        <f t="shared" si="175"/>
        <v>0</v>
      </c>
      <c r="AD1113" s="251"/>
      <c r="AE1113" s="1736"/>
      <c r="AF1113" s="1737"/>
      <c r="AG1113" s="77">
        <f t="shared" si="176"/>
        <v>0</v>
      </c>
      <c r="AH1113" s="136">
        <f t="shared" si="177"/>
        <v>0</v>
      </c>
      <c r="AI1113" s="251"/>
      <c r="AJ1113" s="1736"/>
      <c r="AK1113" s="1737"/>
      <c r="AL1113" s="79">
        <f t="shared" si="178"/>
        <v>0</v>
      </c>
      <c r="AM1113" s="137">
        <f t="shared" si="179"/>
        <v>0</v>
      </c>
      <c r="AN1113" s="251"/>
      <c r="AO1113" s="1736"/>
      <c r="AP1113" s="1737"/>
    </row>
    <row r="1114" spans="1:42" s="85" customFormat="1" ht="13.5" thickBot="1">
      <c r="A1114" s="240"/>
      <c r="B1114" s="241"/>
      <c r="C1114" s="242"/>
      <c r="D1114" s="242"/>
      <c r="E1114" s="243"/>
      <c r="F1114" s="244"/>
      <c r="G1114" s="244"/>
      <c r="H1114" s="243"/>
      <c r="I1114" s="258"/>
      <c r="J1114" s="245"/>
      <c r="K1114" s="245"/>
      <c r="L1114" s="76">
        <f t="shared" si="170"/>
        <v>0</v>
      </c>
      <c r="M1114" s="246"/>
      <c r="N1114" s="247"/>
      <c r="O1114" s="248"/>
      <c r="P1114" s="246"/>
      <c r="Q1114" s="249"/>
      <c r="R1114" s="250"/>
      <c r="S1114" s="259"/>
      <c r="T1114" s="260"/>
      <c r="U1114" s="250"/>
      <c r="V1114" s="78">
        <f t="shared" si="171"/>
        <v>0</v>
      </c>
      <c r="W1114" s="261">
        <f t="shared" si="172"/>
        <v>0</v>
      </c>
      <c r="X1114" s="133">
        <f t="shared" si="173"/>
        <v>0</v>
      </c>
      <c r="Y1114" s="251"/>
      <c r="Z1114" s="1736"/>
      <c r="AA1114" s="1737"/>
      <c r="AB1114" s="77">
        <f t="shared" si="174"/>
        <v>0</v>
      </c>
      <c r="AC1114" s="134">
        <f t="shared" si="175"/>
        <v>0</v>
      </c>
      <c r="AD1114" s="251"/>
      <c r="AE1114" s="1736"/>
      <c r="AF1114" s="1737"/>
      <c r="AG1114" s="77">
        <f t="shared" si="176"/>
        <v>0</v>
      </c>
      <c r="AH1114" s="136">
        <f t="shared" si="177"/>
        <v>0</v>
      </c>
      <c r="AI1114" s="251"/>
      <c r="AJ1114" s="1736"/>
      <c r="AK1114" s="1737"/>
      <c r="AL1114" s="79">
        <f t="shared" si="178"/>
        <v>0</v>
      </c>
      <c r="AM1114" s="137">
        <f t="shared" si="179"/>
        <v>0</v>
      </c>
      <c r="AN1114" s="251"/>
      <c r="AO1114" s="1736"/>
      <c r="AP1114" s="1737"/>
    </row>
    <row r="1115" spans="1:42" s="85" customFormat="1" ht="13.5" thickBot="1">
      <c r="A1115" s="240"/>
      <c r="B1115" s="241"/>
      <c r="C1115" s="242"/>
      <c r="D1115" s="242"/>
      <c r="E1115" s="243"/>
      <c r="F1115" s="244"/>
      <c r="G1115" s="244"/>
      <c r="H1115" s="243"/>
      <c r="I1115" s="258"/>
      <c r="J1115" s="245"/>
      <c r="K1115" s="245"/>
      <c r="L1115" s="76">
        <f t="shared" si="170"/>
        <v>0</v>
      </c>
      <c r="M1115" s="246"/>
      <c r="N1115" s="247"/>
      <c r="O1115" s="248"/>
      <c r="P1115" s="246"/>
      <c r="Q1115" s="249"/>
      <c r="R1115" s="250"/>
      <c r="S1115" s="259"/>
      <c r="T1115" s="260"/>
      <c r="U1115" s="250"/>
      <c r="V1115" s="78">
        <f t="shared" si="171"/>
        <v>0</v>
      </c>
      <c r="W1115" s="261">
        <f t="shared" si="172"/>
        <v>0</v>
      </c>
      <c r="X1115" s="133">
        <f t="shared" si="173"/>
        <v>0</v>
      </c>
      <c r="Y1115" s="251"/>
      <c r="Z1115" s="1736"/>
      <c r="AA1115" s="1737"/>
      <c r="AB1115" s="77">
        <f t="shared" si="174"/>
        <v>0</v>
      </c>
      <c r="AC1115" s="134">
        <f t="shared" si="175"/>
        <v>0</v>
      </c>
      <c r="AD1115" s="251"/>
      <c r="AE1115" s="1736"/>
      <c r="AF1115" s="1737"/>
      <c r="AG1115" s="77">
        <f t="shared" si="176"/>
        <v>0</v>
      </c>
      <c r="AH1115" s="136">
        <f t="shared" si="177"/>
        <v>0</v>
      </c>
      <c r="AI1115" s="251"/>
      <c r="AJ1115" s="1736"/>
      <c r="AK1115" s="1737"/>
      <c r="AL1115" s="79">
        <f t="shared" si="178"/>
        <v>0</v>
      </c>
      <c r="AM1115" s="137">
        <f t="shared" si="179"/>
        <v>0</v>
      </c>
      <c r="AN1115" s="251"/>
      <c r="AO1115" s="1736"/>
      <c r="AP1115" s="1737"/>
    </row>
    <row r="1116" spans="1:42" s="85" customFormat="1" ht="13.5" thickBot="1">
      <c r="A1116" s="240"/>
      <c r="B1116" s="241"/>
      <c r="C1116" s="242"/>
      <c r="D1116" s="242"/>
      <c r="E1116" s="243"/>
      <c r="F1116" s="244"/>
      <c r="G1116" s="244"/>
      <c r="H1116" s="243"/>
      <c r="I1116" s="258"/>
      <c r="J1116" s="245"/>
      <c r="K1116" s="245"/>
      <c r="L1116" s="76">
        <f t="shared" si="170"/>
        <v>0</v>
      </c>
      <c r="M1116" s="246"/>
      <c r="N1116" s="247"/>
      <c r="O1116" s="248"/>
      <c r="P1116" s="246"/>
      <c r="Q1116" s="249"/>
      <c r="R1116" s="250"/>
      <c r="S1116" s="259"/>
      <c r="T1116" s="260"/>
      <c r="U1116" s="250"/>
      <c r="V1116" s="78">
        <f t="shared" si="171"/>
        <v>0</v>
      </c>
      <c r="W1116" s="261">
        <f t="shared" si="172"/>
        <v>0</v>
      </c>
      <c r="X1116" s="133">
        <f t="shared" si="173"/>
        <v>0</v>
      </c>
      <c r="Y1116" s="251"/>
      <c r="Z1116" s="1736"/>
      <c r="AA1116" s="1737"/>
      <c r="AB1116" s="77">
        <f t="shared" si="174"/>
        <v>0</v>
      </c>
      <c r="AC1116" s="134">
        <f t="shared" si="175"/>
        <v>0</v>
      </c>
      <c r="AD1116" s="251"/>
      <c r="AE1116" s="1736"/>
      <c r="AF1116" s="1737"/>
      <c r="AG1116" s="77">
        <f t="shared" si="176"/>
        <v>0</v>
      </c>
      <c r="AH1116" s="136">
        <f t="shared" si="177"/>
        <v>0</v>
      </c>
      <c r="AI1116" s="251"/>
      <c r="AJ1116" s="1736"/>
      <c r="AK1116" s="1737"/>
      <c r="AL1116" s="79">
        <f t="shared" si="178"/>
        <v>0</v>
      </c>
      <c r="AM1116" s="137">
        <f t="shared" si="179"/>
        <v>0</v>
      </c>
      <c r="AN1116" s="251"/>
      <c r="AO1116" s="1736"/>
      <c r="AP1116" s="1737"/>
    </row>
    <row r="1117" spans="1:42" s="85" customFormat="1" ht="13.5" thickBot="1">
      <c r="A1117" s="240"/>
      <c r="B1117" s="241"/>
      <c r="C1117" s="242"/>
      <c r="D1117" s="242"/>
      <c r="E1117" s="243"/>
      <c r="F1117" s="244"/>
      <c r="G1117" s="244"/>
      <c r="H1117" s="243"/>
      <c r="I1117" s="258"/>
      <c r="J1117" s="245"/>
      <c r="K1117" s="245"/>
      <c r="L1117" s="76">
        <f t="shared" si="170"/>
        <v>0</v>
      </c>
      <c r="M1117" s="246"/>
      <c r="N1117" s="247"/>
      <c r="O1117" s="248"/>
      <c r="P1117" s="246"/>
      <c r="Q1117" s="249"/>
      <c r="R1117" s="250"/>
      <c r="S1117" s="259"/>
      <c r="T1117" s="260"/>
      <c r="U1117" s="250"/>
      <c r="V1117" s="78">
        <f t="shared" si="171"/>
        <v>0</v>
      </c>
      <c r="W1117" s="261">
        <f t="shared" si="172"/>
        <v>0</v>
      </c>
      <c r="X1117" s="133">
        <f t="shared" si="173"/>
        <v>0</v>
      </c>
      <c r="Y1117" s="251"/>
      <c r="Z1117" s="1736"/>
      <c r="AA1117" s="1737"/>
      <c r="AB1117" s="77">
        <f t="shared" si="174"/>
        <v>0</v>
      </c>
      <c r="AC1117" s="134">
        <f t="shared" si="175"/>
        <v>0</v>
      </c>
      <c r="AD1117" s="251"/>
      <c r="AE1117" s="1736"/>
      <c r="AF1117" s="1737"/>
      <c r="AG1117" s="77">
        <f t="shared" si="176"/>
        <v>0</v>
      </c>
      <c r="AH1117" s="136">
        <f t="shared" si="177"/>
        <v>0</v>
      </c>
      <c r="AI1117" s="251"/>
      <c r="AJ1117" s="1736"/>
      <c r="AK1117" s="1737"/>
      <c r="AL1117" s="79">
        <f t="shared" si="178"/>
        <v>0</v>
      </c>
      <c r="AM1117" s="137">
        <f t="shared" si="179"/>
        <v>0</v>
      </c>
      <c r="AN1117" s="251"/>
      <c r="AO1117" s="1736"/>
      <c r="AP1117" s="1737"/>
    </row>
    <row r="1118" spans="1:42" s="85" customFormat="1" ht="13.5" thickBot="1">
      <c r="A1118" s="240"/>
      <c r="B1118" s="241"/>
      <c r="C1118" s="242"/>
      <c r="D1118" s="242"/>
      <c r="E1118" s="243"/>
      <c r="F1118" s="244"/>
      <c r="G1118" s="244"/>
      <c r="H1118" s="243"/>
      <c r="I1118" s="258"/>
      <c r="J1118" s="245"/>
      <c r="K1118" s="245"/>
      <c r="L1118" s="76">
        <f t="shared" si="170"/>
        <v>0</v>
      </c>
      <c r="M1118" s="246"/>
      <c r="N1118" s="247"/>
      <c r="O1118" s="248"/>
      <c r="P1118" s="246"/>
      <c r="Q1118" s="249"/>
      <c r="R1118" s="250"/>
      <c r="S1118" s="259"/>
      <c r="T1118" s="260"/>
      <c r="U1118" s="250"/>
      <c r="V1118" s="78">
        <f t="shared" si="171"/>
        <v>0</v>
      </c>
      <c r="W1118" s="261">
        <f t="shared" si="172"/>
        <v>0</v>
      </c>
      <c r="X1118" s="133">
        <f t="shared" si="173"/>
        <v>0</v>
      </c>
      <c r="Y1118" s="251"/>
      <c r="Z1118" s="1736"/>
      <c r="AA1118" s="1737"/>
      <c r="AB1118" s="77">
        <f t="shared" si="174"/>
        <v>0</v>
      </c>
      <c r="AC1118" s="134">
        <f t="shared" si="175"/>
        <v>0</v>
      </c>
      <c r="AD1118" s="251"/>
      <c r="AE1118" s="1736"/>
      <c r="AF1118" s="1737"/>
      <c r="AG1118" s="77">
        <f t="shared" si="176"/>
        <v>0</v>
      </c>
      <c r="AH1118" s="136">
        <f t="shared" si="177"/>
        <v>0</v>
      </c>
      <c r="AI1118" s="251"/>
      <c r="AJ1118" s="1736"/>
      <c r="AK1118" s="1737"/>
      <c r="AL1118" s="79">
        <f t="shared" si="178"/>
        <v>0</v>
      </c>
      <c r="AM1118" s="137">
        <f t="shared" si="179"/>
        <v>0</v>
      </c>
      <c r="AN1118" s="251"/>
      <c r="AO1118" s="1736"/>
      <c r="AP1118" s="1737"/>
    </row>
    <row r="1119" spans="1:42" s="85" customFormat="1" ht="13.5" thickBot="1">
      <c r="A1119" s="240"/>
      <c r="B1119" s="241"/>
      <c r="C1119" s="242"/>
      <c r="D1119" s="242"/>
      <c r="E1119" s="243"/>
      <c r="F1119" s="244"/>
      <c r="G1119" s="244"/>
      <c r="H1119" s="243"/>
      <c r="I1119" s="258"/>
      <c r="J1119" s="245"/>
      <c r="K1119" s="245"/>
      <c r="L1119" s="76">
        <f t="shared" si="170"/>
        <v>0</v>
      </c>
      <c r="M1119" s="246"/>
      <c r="N1119" s="247"/>
      <c r="O1119" s="248"/>
      <c r="P1119" s="246"/>
      <c r="Q1119" s="249"/>
      <c r="R1119" s="250"/>
      <c r="S1119" s="259"/>
      <c r="T1119" s="260"/>
      <c r="U1119" s="250"/>
      <c r="V1119" s="78">
        <f t="shared" si="171"/>
        <v>0</v>
      </c>
      <c r="W1119" s="261">
        <f t="shared" si="172"/>
        <v>0</v>
      </c>
      <c r="X1119" s="133">
        <f t="shared" si="173"/>
        <v>0</v>
      </c>
      <c r="Y1119" s="251"/>
      <c r="Z1119" s="1736"/>
      <c r="AA1119" s="1737"/>
      <c r="AB1119" s="77">
        <f t="shared" si="174"/>
        <v>0</v>
      </c>
      <c r="AC1119" s="134">
        <f t="shared" si="175"/>
        <v>0</v>
      </c>
      <c r="AD1119" s="251"/>
      <c r="AE1119" s="1736"/>
      <c r="AF1119" s="1737"/>
      <c r="AG1119" s="77">
        <f t="shared" si="176"/>
        <v>0</v>
      </c>
      <c r="AH1119" s="136">
        <f t="shared" si="177"/>
        <v>0</v>
      </c>
      <c r="AI1119" s="251"/>
      <c r="AJ1119" s="1736"/>
      <c r="AK1119" s="1737"/>
      <c r="AL1119" s="79">
        <f t="shared" si="178"/>
        <v>0</v>
      </c>
      <c r="AM1119" s="137">
        <f t="shared" si="179"/>
        <v>0</v>
      </c>
      <c r="AN1119" s="251"/>
      <c r="AO1119" s="1736"/>
      <c r="AP1119" s="1737"/>
    </row>
    <row r="1120" spans="1:42" s="85" customFormat="1" ht="13.5" thickBot="1">
      <c r="A1120" s="240"/>
      <c r="B1120" s="241"/>
      <c r="C1120" s="242"/>
      <c r="D1120" s="242"/>
      <c r="E1120" s="243"/>
      <c r="F1120" s="244"/>
      <c r="G1120" s="244"/>
      <c r="H1120" s="243"/>
      <c r="I1120" s="258"/>
      <c r="J1120" s="245"/>
      <c r="K1120" s="245"/>
      <c r="L1120" s="76">
        <f t="shared" si="170"/>
        <v>0</v>
      </c>
      <c r="M1120" s="246"/>
      <c r="N1120" s="247"/>
      <c r="O1120" s="248"/>
      <c r="P1120" s="246"/>
      <c r="Q1120" s="249"/>
      <c r="R1120" s="250"/>
      <c r="S1120" s="259"/>
      <c r="T1120" s="260"/>
      <c r="U1120" s="250"/>
      <c r="V1120" s="78">
        <f t="shared" si="171"/>
        <v>0</v>
      </c>
      <c r="W1120" s="261">
        <f t="shared" si="172"/>
        <v>0</v>
      </c>
      <c r="X1120" s="133">
        <f t="shared" si="173"/>
        <v>0</v>
      </c>
      <c r="Y1120" s="251"/>
      <c r="Z1120" s="1736"/>
      <c r="AA1120" s="1737"/>
      <c r="AB1120" s="77">
        <f t="shared" si="174"/>
        <v>0</v>
      </c>
      <c r="AC1120" s="134">
        <f t="shared" si="175"/>
        <v>0</v>
      </c>
      <c r="AD1120" s="251"/>
      <c r="AE1120" s="1736"/>
      <c r="AF1120" s="1737"/>
      <c r="AG1120" s="77">
        <f t="shared" si="176"/>
        <v>0</v>
      </c>
      <c r="AH1120" s="136">
        <f t="shared" si="177"/>
        <v>0</v>
      </c>
      <c r="AI1120" s="251"/>
      <c r="AJ1120" s="1736"/>
      <c r="AK1120" s="1737"/>
      <c r="AL1120" s="79">
        <f t="shared" si="178"/>
        <v>0</v>
      </c>
      <c r="AM1120" s="137">
        <f t="shared" si="179"/>
        <v>0</v>
      </c>
      <c r="AN1120" s="251"/>
      <c r="AO1120" s="1736"/>
      <c r="AP1120" s="1737"/>
    </row>
    <row r="1121" spans="1:42" s="85" customFormat="1" ht="13.5" thickBot="1">
      <c r="A1121" s="240"/>
      <c r="B1121" s="241"/>
      <c r="C1121" s="242"/>
      <c r="D1121" s="242"/>
      <c r="E1121" s="243"/>
      <c r="F1121" s="244"/>
      <c r="G1121" s="244"/>
      <c r="H1121" s="243"/>
      <c r="I1121" s="258"/>
      <c r="J1121" s="245"/>
      <c r="K1121" s="245"/>
      <c r="L1121" s="76">
        <f t="shared" si="170"/>
        <v>0</v>
      </c>
      <c r="M1121" s="246"/>
      <c r="N1121" s="247"/>
      <c r="O1121" s="248"/>
      <c r="P1121" s="246"/>
      <c r="Q1121" s="249"/>
      <c r="R1121" s="250"/>
      <c r="S1121" s="259"/>
      <c r="T1121" s="260"/>
      <c r="U1121" s="250"/>
      <c r="V1121" s="78">
        <f t="shared" si="171"/>
        <v>0</v>
      </c>
      <c r="W1121" s="261">
        <f t="shared" si="172"/>
        <v>0</v>
      </c>
      <c r="X1121" s="133">
        <f t="shared" si="173"/>
        <v>0</v>
      </c>
      <c r="Y1121" s="251"/>
      <c r="Z1121" s="1736"/>
      <c r="AA1121" s="1737"/>
      <c r="AB1121" s="77">
        <f t="shared" si="174"/>
        <v>0</v>
      </c>
      <c r="AC1121" s="134">
        <f t="shared" si="175"/>
        <v>0</v>
      </c>
      <c r="AD1121" s="251"/>
      <c r="AE1121" s="1736"/>
      <c r="AF1121" s="1737"/>
      <c r="AG1121" s="77">
        <f t="shared" si="176"/>
        <v>0</v>
      </c>
      <c r="AH1121" s="136">
        <f t="shared" si="177"/>
        <v>0</v>
      </c>
      <c r="AI1121" s="251"/>
      <c r="AJ1121" s="1736"/>
      <c r="AK1121" s="1737"/>
      <c r="AL1121" s="79">
        <f t="shared" si="178"/>
        <v>0</v>
      </c>
      <c r="AM1121" s="137">
        <f t="shared" si="179"/>
        <v>0</v>
      </c>
      <c r="AN1121" s="251"/>
      <c r="AO1121" s="1736"/>
      <c r="AP1121" s="1737"/>
    </row>
    <row r="1122" spans="1:42" s="85" customFormat="1" ht="13.5" thickBot="1">
      <c r="A1122" s="240"/>
      <c r="B1122" s="241"/>
      <c r="C1122" s="242"/>
      <c r="D1122" s="242"/>
      <c r="E1122" s="243"/>
      <c r="F1122" s="244"/>
      <c r="G1122" s="244"/>
      <c r="H1122" s="243"/>
      <c r="I1122" s="258"/>
      <c r="J1122" s="245"/>
      <c r="K1122" s="245"/>
      <c r="L1122" s="76">
        <f t="shared" si="170"/>
        <v>0</v>
      </c>
      <c r="M1122" s="246"/>
      <c r="N1122" s="247"/>
      <c r="O1122" s="248"/>
      <c r="P1122" s="246"/>
      <c r="Q1122" s="249"/>
      <c r="R1122" s="250"/>
      <c r="S1122" s="259"/>
      <c r="T1122" s="260"/>
      <c r="U1122" s="250"/>
      <c r="V1122" s="78">
        <f t="shared" si="171"/>
        <v>0</v>
      </c>
      <c r="W1122" s="261">
        <f t="shared" si="172"/>
        <v>0</v>
      </c>
      <c r="X1122" s="133">
        <f t="shared" si="173"/>
        <v>0</v>
      </c>
      <c r="Y1122" s="251"/>
      <c r="Z1122" s="1736"/>
      <c r="AA1122" s="1737"/>
      <c r="AB1122" s="77">
        <f t="shared" si="174"/>
        <v>0</v>
      </c>
      <c r="AC1122" s="134">
        <f t="shared" si="175"/>
        <v>0</v>
      </c>
      <c r="AD1122" s="251"/>
      <c r="AE1122" s="1736"/>
      <c r="AF1122" s="1737"/>
      <c r="AG1122" s="77">
        <f t="shared" si="176"/>
        <v>0</v>
      </c>
      <c r="AH1122" s="136">
        <f t="shared" si="177"/>
        <v>0</v>
      </c>
      <c r="AI1122" s="251"/>
      <c r="AJ1122" s="1736"/>
      <c r="AK1122" s="1737"/>
      <c r="AL1122" s="79">
        <f t="shared" si="178"/>
        <v>0</v>
      </c>
      <c r="AM1122" s="137">
        <f t="shared" si="179"/>
        <v>0</v>
      </c>
      <c r="AN1122" s="251"/>
      <c r="AO1122" s="1736"/>
      <c r="AP1122" s="1737"/>
    </row>
    <row r="1123" spans="1:42" s="85" customFormat="1" ht="13.5" thickBot="1">
      <c r="A1123" s="240"/>
      <c r="B1123" s="241"/>
      <c r="C1123" s="242"/>
      <c r="D1123" s="242"/>
      <c r="E1123" s="243"/>
      <c r="F1123" s="244"/>
      <c r="G1123" s="244"/>
      <c r="H1123" s="243"/>
      <c r="I1123" s="258"/>
      <c r="J1123" s="245"/>
      <c r="K1123" s="245"/>
      <c r="L1123" s="76">
        <f t="shared" si="170"/>
        <v>0</v>
      </c>
      <c r="M1123" s="246"/>
      <c r="N1123" s="247"/>
      <c r="O1123" s="248"/>
      <c r="P1123" s="246"/>
      <c r="Q1123" s="249"/>
      <c r="R1123" s="250"/>
      <c r="S1123" s="259"/>
      <c r="T1123" s="260"/>
      <c r="U1123" s="250"/>
      <c r="V1123" s="78">
        <f t="shared" si="171"/>
        <v>0</v>
      </c>
      <c r="W1123" s="261">
        <f t="shared" si="172"/>
        <v>0</v>
      </c>
      <c r="X1123" s="133">
        <f t="shared" si="173"/>
        <v>0</v>
      </c>
      <c r="Y1123" s="251"/>
      <c r="Z1123" s="1736"/>
      <c r="AA1123" s="1737"/>
      <c r="AB1123" s="77">
        <f t="shared" si="174"/>
        <v>0</v>
      </c>
      <c r="AC1123" s="134">
        <f t="shared" si="175"/>
        <v>0</v>
      </c>
      <c r="AD1123" s="251"/>
      <c r="AE1123" s="1736"/>
      <c r="AF1123" s="1737"/>
      <c r="AG1123" s="77">
        <f t="shared" si="176"/>
        <v>0</v>
      </c>
      <c r="AH1123" s="136">
        <f t="shared" si="177"/>
        <v>0</v>
      </c>
      <c r="AI1123" s="251"/>
      <c r="AJ1123" s="1736"/>
      <c r="AK1123" s="1737"/>
      <c r="AL1123" s="79">
        <f t="shared" si="178"/>
        <v>0</v>
      </c>
      <c r="AM1123" s="137">
        <f t="shared" si="179"/>
        <v>0</v>
      </c>
      <c r="AN1123" s="251"/>
      <c r="AO1123" s="1736"/>
      <c r="AP1123" s="1737"/>
    </row>
    <row r="1124" spans="1:42" s="85" customFormat="1" ht="13.5" thickBot="1">
      <c r="A1124" s="240"/>
      <c r="B1124" s="241"/>
      <c r="C1124" s="242"/>
      <c r="D1124" s="242"/>
      <c r="E1124" s="243"/>
      <c r="F1124" s="244"/>
      <c r="G1124" s="244"/>
      <c r="H1124" s="243"/>
      <c r="I1124" s="258"/>
      <c r="J1124" s="245"/>
      <c r="K1124" s="245"/>
      <c r="L1124" s="76">
        <f t="shared" si="170"/>
        <v>0</v>
      </c>
      <c r="M1124" s="246"/>
      <c r="N1124" s="247"/>
      <c r="O1124" s="248"/>
      <c r="P1124" s="246"/>
      <c r="Q1124" s="249"/>
      <c r="R1124" s="250"/>
      <c r="S1124" s="259"/>
      <c r="T1124" s="260"/>
      <c r="U1124" s="250"/>
      <c r="V1124" s="78">
        <f t="shared" si="171"/>
        <v>0</v>
      </c>
      <c r="W1124" s="261">
        <f t="shared" si="172"/>
        <v>0</v>
      </c>
      <c r="X1124" s="133">
        <f t="shared" si="173"/>
        <v>0</v>
      </c>
      <c r="Y1124" s="251"/>
      <c r="Z1124" s="1736"/>
      <c r="AA1124" s="1737"/>
      <c r="AB1124" s="77">
        <f t="shared" si="174"/>
        <v>0</v>
      </c>
      <c r="AC1124" s="134">
        <f t="shared" si="175"/>
        <v>0</v>
      </c>
      <c r="AD1124" s="251"/>
      <c r="AE1124" s="1736"/>
      <c r="AF1124" s="1737"/>
      <c r="AG1124" s="77">
        <f t="shared" si="176"/>
        <v>0</v>
      </c>
      <c r="AH1124" s="136">
        <f t="shared" si="177"/>
        <v>0</v>
      </c>
      <c r="AI1124" s="251"/>
      <c r="AJ1124" s="1736"/>
      <c r="AK1124" s="1737"/>
      <c r="AL1124" s="79">
        <f t="shared" si="178"/>
        <v>0</v>
      </c>
      <c r="AM1124" s="137">
        <f t="shared" si="179"/>
        <v>0</v>
      </c>
      <c r="AN1124" s="251"/>
      <c r="AO1124" s="1736"/>
      <c r="AP1124" s="1737"/>
    </row>
    <row r="1125" spans="1:42" s="85" customFormat="1" ht="13.5" thickBot="1">
      <c r="A1125" s="240"/>
      <c r="B1125" s="241"/>
      <c r="C1125" s="242"/>
      <c r="D1125" s="242"/>
      <c r="E1125" s="243"/>
      <c r="F1125" s="244"/>
      <c r="G1125" s="244"/>
      <c r="H1125" s="243"/>
      <c r="I1125" s="258"/>
      <c r="J1125" s="245"/>
      <c r="K1125" s="245"/>
      <c r="L1125" s="76">
        <f t="shared" si="170"/>
        <v>0</v>
      </c>
      <c r="M1125" s="246"/>
      <c r="N1125" s="247"/>
      <c r="O1125" s="248"/>
      <c r="P1125" s="246"/>
      <c r="Q1125" s="249"/>
      <c r="R1125" s="250"/>
      <c r="S1125" s="259"/>
      <c r="T1125" s="260"/>
      <c r="U1125" s="250"/>
      <c r="V1125" s="78">
        <f t="shared" si="171"/>
        <v>0</v>
      </c>
      <c r="W1125" s="261">
        <f t="shared" si="172"/>
        <v>0</v>
      </c>
      <c r="X1125" s="133">
        <f t="shared" si="173"/>
        <v>0</v>
      </c>
      <c r="Y1125" s="251"/>
      <c r="Z1125" s="1736"/>
      <c r="AA1125" s="1737"/>
      <c r="AB1125" s="77">
        <f t="shared" si="174"/>
        <v>0</v>
      </c>
      <c r="AC1125" s="134">
        <f t="shared" si="175"/>
        <v>0</v>
      </c>
      <c r="AD1125" s="251"/>
      <c r="AE1125" s="1736"/>
      <c r="AF1125" s="1737"/>
      <c r="AG1125" s="77">
        <f t="shared" si="176"/>
        <v>0</v>
      </c>
      <c r="AH1125" s="136">
        <f t="shared" si="177"/>
        <v>0</v>
      </c>
      <c r="AI1125" s="251"/>
      <c r="AJ1125" s="1736"/>
      <c r="AK1125" s="1737"/>
      <c r="AL1125" s="79">
        <f t="shared" si="178"/>
        <v>0</v>
      </c>
      <c r="AM1125" s="137">
        <f t="shared" si="179"/>
        <v>0</v>
      </c>
      <c r="AN1125" s="251"/>
      <c r="AO1125" s="1736"/>
      <c r="AP1125" s="1737"/>
    </row>
    <row r="1126" spans="1:42" s="85" customFormat="1" ht="13.5" thickBot="1">
      <c r="A1126" s="240"/>
      <c r="B1126" s="241"/>
      <c r="C1126" s="242"/>
      <c r="D1126" s="242"/>
      <c r="E1126" s="243"/>
      <c r="F1126" s="244"/>
      <c r="G1126" s="244"/>
      <c r="H1126" s="243"/>
      <c r="I1126" s="258"/>
      <c r="J1126" s="245"/>
      <c r="K1126" s="245"/>
      <c r="L1126" s="76">
        <f t="shared" si="170"/>
        <v>0</v>
      </c>
      <c r="M1126" s="246"/>
      <c r="N1126" s="247"/>
      <c r="O1126" s="248"/>
      <c r="P1126" s="246"/>
      <c r="Q1126" s="249"/>
      <c r="R1126" s="250"/>
      <c r="S1126" s="259"/>
      <c r="T1126" s="260"/>
      <c r="U1126" s="250"/>
      <c r="V1126" s="78">
        <f t="shared" si="171"/>
        <v>0</v>
      </c>
      <c r="W1126" s="261">
        <f t="shared" si="172"/>
        <v>0</v>
      </c>
      <c r="X1126" s="133">
        <f t="shared" si="173"/>
        <v>0</v>
      </c>
      <c r="Y1126" s="251"/>
      <c r="Z1126" s="1736"/>
      <c r="AA1126" s="1737"/>
      <c r="AB1126" s="77">
        <f t="shared" si="174"/>
        <v>0</v>
      </c>
      <c r="AC1126" s="134">
        <f t="shared" si="175"/>
        <v>0</v>
      </c>
      <c r="AD1126" s="251"/>
      <c r="AE1126" s="1736"/>
      <c r="AF1126" s="1737"/>
      <c r="AG1126" s="77">
        <f t="shared" si="176"/>
        <v>0</v>
      </c>
      <c r="AH1126" s="136">
        <f t="shared" si="177"/>
        <v>0</v>
      </c>
      <c r="AI1126" s="251"/>
      <c r="AJ1126" s="1736"/>
      <c r="AK1126" s="1737"/>
      <c r="AL1126" s="79">
        <f t="shared" si="178"/>
        <v>0</v>
      </c>
      <c r="AM1126" s="137">
        <f t="shared" si="179"/>
        <v>0</v>
      </c>
      <c r="AN1126" s="251"/>
      <c r="AO1126" s="1736"/>
      <c r="AP1126" s="1737"/>
    </row>
    <row r="1127" spans="1:42" s="85" customFormat="1" ht="13.5" thickBot="1">
      <c r="A1127" s="240"/>
      <c r="B1127" s="241"/>
      <c r="C1127" s="242"/>
      <c r="D1127" s="242"/>
      <c r="E1127" s="243"/>
      <c r="F1127" s="244"/>
      <c r="G1127" s="244"/>
      <c r="H1127" s="243"/>
      <c r="I1127" s="258"/>
      <c r="J1127" s="245"/>
      <c r="K1127" s="245"/>
      <c r="L1127" s="76">
        <f t="shared" si="170"/>
        <v>0</v>
      </c>
      <c r="M1127" s="246"/>
      <c r="N1127" s="247"/>
      <c r="O1127" s="248"/>
      <c r="P1127" s="246"/>
      <c r="Q1127" s="249"/>
      <c r="R1127" s="250"/>
      <c r="S1127" s="259"/>
      <c r="T1127" s="260"/>
      <c r="U1127" s="250"/>
      <c r="V1127" s="78">
        <f t="shared" si="171"/>
        <v>0</v>
      </c>
      <c r="W1127" s="261">
        <f t="shared" si="172"/>
        <v>0</v>
      </c>
      <c r="X1127" s="133">
        <f t="shared" si="173"/>
        <v>0</v>
      </c>
      <c r="Y1127" s="251"/>
      <c r="Z1127" s="1736"/>
      <c r="AA1127" s="1737"/>
      <c r="AB1127" s="77">
        <f t="shared" si="174"/>
        <v>0</v>
      </c>
      <c r="AC1127" s="134">
        <f t="shared" si="175"/>
        <v>0</v>
      </c>
      <c r="AD1127" s="251"/>
      <c r="AE1127" s="1736"/>
      <c r="AF1127" s="1737"/>
      <c r="AG1127" s="77">
        <f t="shared" si="176"/>
        <v>0</v>
      </c>
      <c r="AH1127" s="136">
        <f t="shared" si="177"/>
        <v>0</v>
      </c>
      <c r="AI1127" s="251"/>
      <c r="AJ1127" s="1736"/>
      <c r="AK1127" s="1737"/>
      <c r="AL1127" s="79">
        <f t="shared" si="178"/>
        <v>0</v>
      </c>
      <c r="AM1127" s="137">
        <f t="shared" si="179"/>
        <v>0</v>
      </c>
      <c r="AN1127" s="251"/>
      <c r="AO1127" s="1736"/>
      <c r="AP1127" s="1737"/>
    </row>
    <row r="1128" spans="1:42" s="85" customFormat="1" ht="13.5" thickBot="1">
      <c r="A1128" s="240"/>
      <c r="B1128" s="241"/>
      <c r="C1128" s="242"/>
      <c r="D1128" s="242"/>
      <c r="E1128" s="243"/>
      <c r="F1128" s="244"/>
      <c r="G1128" s="244"/>
      <c r="H1128" s="243"/>
      <c r="I1128" s="258"/>
      <c r="J1128" s="245"/>
      <c r="K1128" s="245"/>
      <c r="L1128" s="76">
        <f t="shared" si="170"/>
        <v>0</v>
      </c>
      <c r="M1128" s="246"/>
      <c r="N1128" s="247"/>
      <c r="O1128" s="248"/>
      <c r="P1128" s="246"/>
      <c r="Q1128" s="249"/>
      <c r="R1128" s="250"/>
      <c r="S1128" s="259"/>
      <c r="T1128" s="260"/>
      <c r="U1128" s="250"/>
      <c r="V1128" s="78">
        <f t="shared" si="171"/>
        <v>0</v>
      </c>
      <c r="W1128" s="261">
        <f t="shared" si="172"/>
        <v>0</v>
      </c>
      <c r="X1128" s="133">
        <f t="shared" si="173"/>
        <v>0</v>
      </c>
      <c r="Y1128" s="251"/>
      <c r="Z1128" s="1736"/>
      <c r="AA1128" s="1737"/>
      <c r="AB1128" s="77">
        <f t="shared" si="174"/>
        <v>0</v>
      </c>
      <c r="AC1128" s="134">
        <f t="shared" si="175"/>
        <v>0</v>
      </c>
      <c r="AD1128" s="251"/>
      <c r="AE1128" s="1736"/>
      <c r="AF1128" s="1737"/>
      <c r="AG1128" s="77">
        <f t="shared" si="176"/>
        <v>0</v>
      </c>
      <c r="AH1128" s="136">
        <f t="shared" si="177"/>
        <v>0</v>
      </c>
      <c r="AI1128" s="251"/>
      <c r="AJ1128" s="1736"/>
      <c r="AK1128" s="1737"/>
      <c r="AL1128" s="79">
        <f t="shared" si="178"/>
        <v>0</v>
      </c>
      <c r="AM1128" s="137">
        <f t="shared" si="179"/>
        <v>0</v>
      </c>
      <c r="AN1128" s="251"/>
      <c r="AO1128" s="1736"/>
      <c r="AP1128" s="1737"/>
    </row>
    <row r="1129" spans="1:42" s="85" customFormat="1" ht="13.5" thickBot="1">
      <c r="A1129" s="240"/>
      <c r="B1129" s="241"/>
      <c r="C1129" s="242"/>
      <c r="D1129" s="242"/>
      <c r="E1129" s="243"/>
      <c r="F1129" s="244"/>
      <c r="G1129" s="244"/>
      <c r="H1129" s="243"/>
      <c r="I1129" s="258"/>
      <c r="J1129" s="245"/>
      <c r="K1129" s="245"/>
      <c r="L1129" s="76">
        <f t="shared" si="170"/>
        <v>0</v>
      </c>
      <c r="M1129" s="246"/>
      <c r="N1129" s="247"/>
      <c r="O1129" s="248"/>
      <c r="P1129" s="246"/>
      <c r="Q1129" s="249"/>
      <c r="R1129" s="250"/>
      <c r="S1129" s="259"/>
      <c r="T1129" s="260"/>
      <c r="U1129" s="250"/>
      <c r="V1129" s="78">
        <f t="shared" si="171"/>
        <v>0</v>
      </c>
      <c r="W1129" s="261">
        <f t="shared" si="172"/>
        <v>0</v>
      </c>
      <c r="X1129" s="133">
        <f t="shared" si="173"/>
        <v>0</v>
      </c>
      <c r="Y1129" s="251"/>
      <c r="Z1129" s="1736"/>
      <c r="AA1129" s="1737"/>
      <c r="AB1129" s="77">
        <f t="shared" si="174"/>
        <v>0</v>
      </c>
      <c r="AC1129" s="134">
        <f t="shared" si="175"/>
        <v>0</v>
      </c>
      <c r="AD1129" s="251"/>
      <c r="AE1129" s="1736"/>
      <c r="AF1129" s="1737"/>
      <c r="AG1129" s="77">
        <f t="shared" si="176"/>
        <v>0</v>
      </c>
      <c r="AH1129" s="136">
        <f t="shared" si="177"/>
        <v>0</v>
      </c>
      <c r="AI1129" s="251"/>
      <c r="AJ1129" s="1736"/>
      <c r="AK1129" s="1737"/>
      <c r="AL1129" s="79">
        <f t="shared" si="178"/>
        <v>0</v>
      </c>
      <c r="AM1129" s="137">
        <f t="shared" si="179"/>
        <v>0</v>
      </c>
      <c r="AN1129" s="251"/>
      <c r="AO1129" s="1736"/>
      <c r="AP1129" s="1737"/>
    </row>
    <row r="1130" spans="1:42" s="85" customFormat="1" ht="13.5" thickBot="1">
      <c r="A1130" s="240"/>
      <c r="B1130" s="241"/>
      <c r="C1130" s="242"/>
      <c r="D1130" s="242"/>
      <c r="E1130" s="243"/>
      <c r="F1130" s="244"/>
      <c r="G1130" s="244"/>
      <c r="H1130" s="243"/>
      <c r="I1130" s="258"/>
      <c r="J1130" s="245"/>
      <c r="K1130" s="245"/>
      <c r="L1130" s="76">
        <f t="shared" si="170"/>
        <v>0</v>
      </c>
      <c r="M1130" s="246"/>
      <c r="N1130" s="247"/>
      <c r="O1130" s="248"/>
      <c r="P1130" s="246"/>
      <c r="Q1130" s="249"/>
      <c r="R1130" s="250"/>
      <c r="S1130" s="259"/>
      <c r="T1130" s="260"/>
      <c r="U1130" s="250"/>
      <c r="V1130" s="78">
        <f t="shared" si="171"/>
        <v>0</v>
      </c>
      <c r="W1130" s="261">
        <f t="shared" si="172"/>
        <v>0</v>
      </c>
      <c r="X1130" s="133">
        <f t="shared" si="173"/>
        <v>0</v>
      </c>
      <c r="Y1130" s="251"/>
      <c r="Z1130" s="1736"/>
      <c r="AA1130" s="1737"/>
      <c r="AB1130" s="77">
        <f t="shared" si="174"/>
        <v>0</v>
      </c>
      <c r="AC1130" s="134">
        <f t="shared" si="175"/>
        <v>0</v>
      </c>
      <c r="AD1130" s="251"/>
      <c r="AE1130" s="1736"/>
      <c r="AF1130" s="1737"/>
      <c r="AG1130" s="77">
        <f t="shared" si="176"/>
        <v>0</v>
      </c>
      <c r="AH1130" s="136">
        <f t="shared" si="177"/>
        <v>0</v>
      </c>
      <c r="AI1130" s="251"/>
      <c r="AJ1130" s="1736"/>
      <c r="AK1130" s="1737"/>
      <c r="AL1130" s="79">
        <f t="shared" si="178"/>
        <v>0</v>
      </c>
      <c r="AM1130" s="137">
        <f t="shared" si="179"/>
        <v>0</v>
      </c>
      <c r="AN1130" s="251"/>
      <c r="AO1130" s="1736"/>
      <c r="AP1130" s="1737"/>
    </row>
    <row r="1131" spans="1:42" s="85" customFormat="1" ht="13.5" thickBot="1">
      <c r="A1131" s="240"/>
      <c r="B1131" s="241"/>
      <c r="C1131" s="242"/>
      <c r="D1131" s="242"/>
      <c r="E1131" s="243"/>
      <c r="F1131" s="244"/>
      <c r="G1131" s="244"/>
      <c r="H1131" s="243"/>
      <c r="I1131" s="258"/>
      <c r="J1131" s="245"/>
      <c r="K1131" s="245"/>
      <c r="L1131" s="76">
        <f t="shared" si="170"/>
        <v>0</v>
      </c>
      <c r="M1131" s="246"/>
      <c r="N1131" s="247"/>
      <c r="O1131" s="248"/>
      <c r="P1131" s="246"/>
      <c r="Q1131" s="249"/>
      <c r="R1131" s="250"/>
      <c r="S1131" s="259"/>
      <c r="T1131" s="260"/>
      <c r="U1131" s="250"/>
      <c r="V1131" s="78">
        <f t="shared" si="171"/>
        <v>0</v>
      </c>
      <c r="W1131" s="261">
        <f t="shared" si="172"/>
        <v>0</v>
      </c>
      <c r="X1131" s="133">
        <f t="shared" si="173"/>
        <v>0</v>
      </c>
      <c r="Y1131" s="251"/>
      <c r="Z1131" s="1736"/>
      <c r="AA1131" s="1737"/>
      <c r="AB1131" s="77">
        <f t="shared" si="174"/>
        <v>0</v>
      </c>
      <c r="AC1131" s="134">
        <f t="shared" si="175"/>
        <v>0</v>
      </c>
      <c r="AD1131" s="251"/>
      <c r="AE1131" s="1736"/>
      <c r="AF1131" s="1737"/>
      <c r="AG1131" s="77">
        <f t="shared" si="176"/>
        <v>0</v>
      </c>
      <c r="AH1131" s="136">
        <f t="shared" si="177"/>
        <v>0</v>
      </c>
      <c r="AI1131" s="251"/>
      <c r="AJ1131" s="1736"/>
      <c r="AK1131" s="1737"/>
      <c r="AL1131" s="79">
        <f t="shared" si="178"/>
        <v>0</v>
      </c>
      <c r="AM1131" s="137">
        <f t="shared" si="179"/>
        <v>0</v>
      </c>
      <c r="AN1131" s="251"/>
      <c r="AO1131" s="1736"/>
      <c r="AP1131" s="1737"/>
    </row>
    <row r="1132" spans="1:42" s="85" customFormat="1" ht="13.5" thickBot="1">
      <c r="A1132" s="240"/>
      <c r="B1132" s="241"/>
      <c r="C1132" s="242"/>
      <c r="D1132" s="242"/>
      <c r="E1132" s="243"/>
      <c r="F1132" s="244"/>
      <c r="G1132" s="244"/>
      <c r="H1132" s="243"/>
      <c r="I1132" s="258"/>
      <c r="J1132" s="245"/>
      <c r="K1132" s="245"/>
      <c r="L1132" s="76">
        <f t="shared" si="170"/>
        <v>0</v>
      </c>
      <c r="M1132" s="246"/>
      <c r="N1132" s="247"/>
      <c r="O1132" s="248"/>
      <c r="P1132" s="246"/>
      <c r="Q1132" s="249"/>
      <c r="R1132" s="250"/>
      <c r="S1132" s="259"/>
      <c r="T1132" s="260"/>
      <c r="U1132" s="250"/>
      <c r="V1132" s="78">
        <f t="shared" si="171"/>
        <v>0</v>
      </c>
      <c r="W1132" s="261">
        <f t="shared" si="172"/>
        <v>0</v>
      </c>
      <c r="X1132" s="133">
        <f t="shared" si="173"/>
        <v>0</v>
      </c>
      <c r="Y1132" s="251"/>
      <c r="Z1132" s="1736"/>
      <c r="AA1132" s="1737"/>
      <c r="AB1132" s="77">
        <f t="shared" si="174"/>
        <v>0</v>
      </c>
      <c r="AC1132" s="134">
        <f t="shared" si="175"/>
        <v>0</v>
      </c>
      <c r="AD1132" s="251"/>
      <c r="AE1132" s="1736"/>
      <c r="AF1132" s="1737"/>
      <c r="AG1132" s="77">
        <f t="shared" si="176"/>
        <v>0</v>
      </c>
      <c r="AH1132" s="136">
        <f t="shared" si="177"/>
        <v>0</v>
      </c>
      <c r="AI1132" s="251"/>
      <c r="AJ1132" s="1736"/>
      <c r="AK1132" s="1737"/>
      <c r="AL1132" s="79">
        <f t="shared" si="178"/>
        <v>0</v>
      </c>
      <c r="AM1132" s="137">
        <f t="shared" si="179"/>
        <v>0</v>
      </c>
      <c r="AN1132" s="251"/>
      <c r="AO1132" s="1736"/>
      <c r="AP1132" s="1737"/>
    </row>
    <row r="1133" spans="1:42" s="85" customFormat="1" ht="13.5" thickBot="1">
      <c r="A1133" s="240"/>
      <c r="B1133" s="241"/>
      <c r="C1133" s="242"/>
      <c r="D1133" s="242"/>
      <c r="E1133" s="243"/>
      <c r="F1133" s="244"/>
      <c r="G1133" s="244"/>
      <c r="H1133" s="243"/>
      <c r="I1133" s="258"/>
      <c r="J1133" s="245"/>
      <c r="K1133" s="245"/>
      <c r="L1133" s="76">
        <f t="shared" si="170"/>
        <v>0</v>
      </c>
      <c r="M1133" s="246"/>
      <c r="N1133" s="247"/>
      <c r="O1133" s="248"/>
      <c r="P1133" s="246"/>
      <c r="Q1133" s="249"/>
      <c r="R1133" s="250"/>
      <c r="S1133" s="259"/>
      <c r="T1133" s="260"/>
      <c r="U1133" s="250"/>
      <c r="V1133" s="78">
        <f t="shared" si="171"/>
        <v>0</v>
      </c>
      <c r="W1133" s="261">
        <f t="shared" si="172"/>
        <v>0</v>
      </c>
      <c r="X1133" s="133">
        <f t="shared" si="173"/>
        <v>0</v>
      </c>
      <c r="Y1133" s="251"/>
      <c r="Z1133" s="1736"/>
      <c r="AA1133" s="1737"/>
      <c r="AB1133" s="77">
        <f t="shared" si="174"/>
        <v>0</v>
      </c>
      <c r="AC1133" s="134">
        <f t="shared" si="175"/>
        <v>0</v>
      </c>
      <c r="AD1133" s="251"/>
      <c r="AE1133" s="1736"/>
      <c r="AF1133" s="1737"/>
      <c r="AG1133" s="77">
        <f t="shared" si="176"/>
        <v>0</v>
      </c>
      <c r="AH1133" s="136">
        <f t="shared" si="177"/>
        <v>0</v>
      </c>
      <c r="AI1133" s="251"/>
      <c r="AJ1133" s="1736"/>
      <c r="AK1133" s="1737"/>
      <c r="AL1133" s="79">
        <f t="shared" si="178"/>
        <v>0</v>
      </c>
      <c r="AM1133" s="137">
        <f t="shared" si="179"/>
        <v>0</v>
      </c>
      <c r="AN1133" s="251"/>
      <c r="AO1133" s="1736"/>
      <c r="AP1133" s="1737"/>
    </row>
    <row r="1134" spans="1:42" s="85" customFormat="1" ht="13.5" thickBot="1">
      <c r="A1134" s="240"/>
      <c r="B1134" s="241"/>
      <c r="C1134" s="242"/>
      <c r="D1134" s="242"/>
      <c r="E1134" s="243"/>
      <c r="F1134" s="244"/>
      <c r="G1134" s="244"/>
      <c r="H1134" s="243"/>
      <c r="I1134" s="258"/>
      <c r="J1134" s="245"/>
      <c r="K1134" s="245"/>
      <c r="L1134" s="76">
        <f t="shared" si="170"/>
        <v>0</v>
      </c>
      <c r="M1134" s="246"/>
      <c r="N1134" s="247"/>
      <c r="O1134" s="248"/>
      <c r="P1134" s="246"/>
      <c r="Q1134" s="249"/>
      <c r="R1134" s="250"/>
      <c r="S1134" s="259"/>
      <c r="T1134" s="260"/>
      <c r="U1134" s="250"/>
      <c r="V1134" s="78">
        <f t="shared" si="171"/>
        <v>0</v>
      </c>
      <c r="W1134" s="261">
        <f t="shared" si="172"/>
        <v>0</v>
      </c>
      <c r="X1134" s="133">
        <f t="shared" si="173"/>
        <v>0</v>
      </c>
      <c r="Y1134" s="251"/>
      <c r="Z1134" s="1736"/>
      <c r="AA1134" s="1737"/>
      <c r="AB1134" s="77">
        <f t="shared" si="174"/>
        <v>0</v>
      </c>
      <c r="AC1134" s="134">
        <f t="shared" si="175"/>
        <v>0</v>
      </c>
      <c r="AD1134" s="251"/>
      <c r="AE1134" s="1736"/>
      <c r="AF1134" s="1737"/>
      <c r="AG1134" s="77">
        <f t="shared" si="176"/>
        <v>0</v>
      </c>
      <c r="AH1134" s="136">
        <f t="shared" si="177"/>
        <v>0</v>
      </c>
      <c r="AI1134" s="251"/>
      <c r="AJ1134" s="1736"/>
      <c r="AK1134" s="1737"/>
      <c r="AL1134" s="79">
        <f t="shared" si="178"/>
        <v>0</v>
      </c>
      <c r="AM1134" s="137">
        <f t="shared" si="179"/>
        <v>0</v>
      </c>
      <c r="AN1134" s="251"/>
      <c r="AO1134" s="1736"/>
      <c r="AP1134" s="1737"/>
    </row>
    <row r="1135" spans="1:42" s="85" customFormat="1" ht="13.5" thickBot="1">
      <c r="A1135" s="240"/>
      <c r="B1135" s="241"/>
      <c r="C1135" s="242"/>
      <c r="D1135" s="242"/>
      <c r="E1135" s="243"/>
      <c r="F1135" s="244"/>
      <c r="G1135" s="244"/>
      <c r="H1135" s="243"/>
      <c r="I1135" s="258"/>
      <c r="J1135" s="245"/>
      <c r="K1135" s="245"/>
      <c r="L1135" s="76">
        <f t="shared" si="170"/>
        <v>0</v>
      </c>
      <c r="M1135" s="246"/>
      <c r="N1135" s="247"/>
      <c r="O1135" s="248"/>
      <c r="P1135" s="246"/>
      <c r="Q1135" s="249"/>
      <c r="R1135" s="250"/>
      <c r="S1135" s="259"/>
      <c r="T1135" s="260"/>
      <c r="U1135" s="250"/>
      <c r="V1135" s="78">
        <f t="shared" si="171"/>
        <v>0</v>
      </c>
      <c r="W1135" s="261">
        <f t="shared" si="172"/>
        <v>0</v>
      </c>
      <c r="X1135" s="133">
        <f t="shared" si="173"/>
        <v>0</v>
      </c>
      <c r="Y1135" s="251"/>
      <c r="Z1135" s="1736"/>
      <c r="AA1135" s="1737"/>
      <c r="AB1135" s="77">
        <f t="shared" si="174"/>
        <v>0</v>
      </c>
      <c r="AC1135" s="134">
        <f t="shared" si="175"/>
        <v>0</v>
      </c>
      <c r="AD1135" s="251"/>
      <c r="AE1135" s="1736"/>
      <c r="AF1135" s="1737"/>
      <c r="AG1135" s="77">
        <f t="shared" si="176"/>
        <v>0</v>
      </c>
      <c r="AH1135" s="136">
        <f t="shared" si="177"/>
        <v>0</v>
      </c>
      <c r="AI1135" s="251"/>
      <c r="AJ1135" s="1736"/>
      <c r="AK1135" s="1737"/>
      <c r="AL1135" s="79">
        <f t="shared" si="178"/>
        <v>0</v>
      </c>
      <c r="AM1135" s="137">
        <f t="shared" si="179"/>
        <v>0</v>
      </c>
      <c r="AN1135" s="251"/>
      <c r="AO1135" s="1736"/>
      <c r="AP1135" s="1737"/>
    </row>
    <row r="1136" spans="1:42" s="85" customFormat="1" ht="13.5" thickBot="1">
      <c r="A1136" s="240"/>
      <c r="B1136" s="241"/>
      <c r="C1136" s="242"/>
      <c r="D1136" s="242"/>
      <c r="E1136" s="243"/>
      <c r="F1136" s="244"/>
      <c r="G1136" s="244"/>
      <c r="H1136" s="243"/>
      <c r="I1136" s="258"/>
      <c r="J1136" s="245"/>
      <c r="K1136" s="245"/>
      <c r="L1136" s="76">
        <f t="shared" si="170"/>
        <v>0</v>
      </c>
      <c r="M1136" s="246"/>
      <c r="N1136" s="247"/>
      <c r="O1136" s="248"/>
      <c r="P1136" s="246"/>
      <c r="Q1136" s="249"/>
      <c r="R1136" s="250"/>
      <c r="S1136" s="259"/>
      <c r="T1136" s="260"/>
      <c r="U1136" s="250"/>
      <c r="V1136" s="78">
        <f t="shared" si="171"/>
        <v>0</v>
      </c>
      <c r="W1136" s="261">
        <f t="shared" si="172"/>
        <v>0</v>
      </c>
      <c r="X1136" s="133">
        <f t="shared" si="173"/>
        <v>0</v>
      </c>
      <c r="Y1136" s="251"/>
      <c r="Z1136" s="1736"/>
      <c r="AA1136" s="1737"/>
      <c r="AB1136" s="77">
        <f t="shared" si="174"/>
        <v>0</v>
      </c>
      <c r="AC1136" s="134">
        <f t="shared" si="175"/>
        <v>0</v>
      </c>
      <c r="AD1136" s="251"/>
      <c r="AE1136" s="1736"/>
      <c r="AF1136" s="1737"/>
      <c r="AG1136" s="77">
        <f t="shared" si="176"/>
        <v>0</v>
      </c>
      <c r="AH1136" s="136">
        <f t="shared" si="177"/>
        <v>0</v>
      </c>
      <c r="AI1136" s="251"/>
      <c r="AJ1136" s="1736"/>
      <c r="AK1136" s="1737"/>
      <c r="AL1136" s="79">
        <f t="shared" si="178"/>
        <v>0</v>
      </c>
      <c r="AM1136" s="137">
        <f t="shared" si="179"/>
        <v>0</v>
      </c>
      <c r="AN1136" s="251"/>
      <c r="AO1136" s="1736"/>
      <c r="AP1136" s="1737"/>
    </row>
    <row r="1137" spans="1:42" s="85" customFormat="1" ht="13.5" thickBot="1">
      <c r="A1137" s="240"/>
      <c r="B1137" s="241"/>
      <c r="C1137" s="242"/>
      <c r="D1137" s="242"/>
      <c r="E1137" s="243"/>
      <c r="F1137" s="244"/>
      <c r="G1137" s="244"/>
      <c r="H1137" s="243"/>
      <c r="I1137" s="258"/>
      <c r="J1137" s="245"/>
      <c r="K1137" s="245"/>
      <c r="L1137" s="76">
        <f t="shared" si="170"/>
        <v>0</v>
      </c>
      <c r="M1137" s="246"/>
      <c r="N1137" s="247"/>
      <c r="O1137" s="248"/>
      <c r="P1137" s="246"/>
      <c r="Q1137" s="249"/>
      <c r="R1137" s="250"/>
      <c r="S1137" s="259"/>
      <c r="T1137" s="260"/>
      <c r="U1137" s="250"/>
      <c r="V1137" s="78">
        <f t="shared" si="171"/>
        <v>0</v>
      </c>
      <c r="W1137" s="261">
        <f t="shared" si="172"/>
        <v>0</v>
      </c>
      <c r="X1137" s="133">
        <f t="shared" si="173"/>
        <v>0</v>
      </c>
      <c r="Y1137" s="251"/>
      <c r="Z1137" s="1736"/>
      <c r="AA1137" s="1737"/>
      <c r="AB1137" s="77">
        <f t="shared" si="174"/>
        <v>0</v>
      </c>
      <c r="AC1137" s="134">
        <f t="shared" si="175"/>
        <v>0</v>
      </c>
      <c r="AD1137" s="251"/>
      <c r="AE1137" s="1736"/>
      <c r="AF1137" s="1737"/>
      <c r="AG1137" s="77">
        <f t="shared" si="176"/>
        <v>0</v>
      </c>
      <c r="AH1137" s="136">
        <f t="shared" si="177"/>
        <v>0</v>
      </c>
      <c r="AI1137" s="251"/>
      <c r="AJ1137" s="1736"/>
      <c r="AK1137" s="1737"/>
      <c r="AL1137" s="79">
        <f t="shared" si="178"/>
        <v>0</v>
      </c>
      <c r="AM1137" s="137">
        <f t="shared" si="179"/>
        <v>0</v>
      </c>
      <c r="AN1137" s="251"/>
      <c r="AO1137" s="1736"/>
      <c r="AP1137" s="1737"/>
    </row>
    <row r="1138" spans="1:42" s="85" customFormat="1" ht="13.5" thickBot="1">
      <c r="A1138" s="240"/>
      <c r="B1138" s="241"/>
      <c r="C1138" s="242"/>
      <c r="D1138" s="242"/>
      <c r="E1138" s="243"/>
      <c r="F1138" s="244"/>
      <c r="G1138" s="244"/>
      <c r="H1138" s="243"/>
      <c r="I1138" s="258"/>
      <c r="J1138" s="245"/>
      <c r="K1138" s="245"/>
      <c r="L1138" s="76">
        <f t="shared" si="170"/>
        <v>0</v>
      </c>
      <c r="M1138" s="246"/>
      <c r="N1138" s="247"/>
      <c r="O1138" s="248"/>
      <c r="P1138" s="246"/>
      <c r="Q1138" s="249"/>
      <c r="R1138" s="250"/>
      <c r="S1138" s="259"/>
      <c r="T1138" s="260"/>
      <c r="U1138" s="250"/>
      <c r="V1138" s="78">
        <f t="shared" si="171"/>
        <v>0</v>
      </c>
      <c r="W1138" s="261">
        <f t="shared" si="172"/>
        <v>0</v>
      </c>
      <c r="X1138" s="133">
        <f t="shared" si="173"/>
        <v>0</v>
      </c>
      <c r="Y1138" s="251"/>
      <c r="Z1138" s="1736"/>
      <c r="AA1138" s="1737"/>
      <c r="AB1138" s="77">
        <f t="shared" si="174"/>
        <v>0</v>
      </c>
      <c r="AC1138" s="134">
        <f t="shared" si="175"/>
        <v>0</v>
      </c>
      <c r="AD1138" s="251"/>
      <c r="AE1138" s="1736"/>
      <c r="AF1138" s="1737"/>
      <c r="AG1138" s="77">
        <f t="shared" si="176"/>
        <v>0</v>
      </c>
      <c r="AH1138" s="136">
        <f t="shared" si="177"/>
        <v>0</v>
      </c>
      <c r="AI1138" s="251"/>
      <c r="AJ1138" s="1736"/>
      <c r="AK1138" s="1737"/>
      <c r="AL1138" s="79">
        <f t="shared" si="178"/>
        <v>0</v>
      </c>
      <c r="AM1138" s="137">
        <f t="shared" si="179"/>
        <v>0</v>
      </c>
      <c r="AN1138" s="251"/>
      <c r="AO1138" s="1736"/>
      <c r="AP1138" s="1737"/>
    </row>
    <row r="1139" spans="1:42" s="85" customFormat="1" ht="13.5" thickBot="1">
      <c r="A1139" s="240"/>
      <c r="B1139" s="241"/>
      <c r="C1139" s="242"/>
      <c r="D1139" s="242"/>
      <c r="E1139" s="243"/>
      <c r="F1139" s="244"/>
      <c r="G1139" s="244"/>
      <c r="H1139" s="243"/>
      <c r="I1139" s="258"/>
      <c r="J1139" s="245"/>
      <c r="K1139" s="245"/>
      <c r="L1139" s="76">
        <f t="shared" si="170"/>
        <v>0</v>
      </c>
      <c r="M1139" s="246"/>
      <c r="N1139" s="247"/>
      <c r="O1139" s="248"/>
      <c r="P1139" s="246"/>
      <c r="Q1139" s="249"/>
      <c r="R1139" s="250"/>
      <c r="S1139" s="259"/>
      <c r="T1139" s="260"/>
      <c r="U1139" s="250"/>
      <c r="V1139" s="78">
        <f t="shared" si="171"/>
        <v>0</v>
      </c>
      <c r="W1139" s="261">
        <f t="shared" si="172"/>
        <v>0</v>
      </c>
      <c r="X1139" s="133">
        <f t="shared" si="173"/>
        <v>0</v>
      </c>
      <c r="Y1139" s="251"/>
      <c r="Z1139" s="1736"/>
      <c r="AA1139" s="1737"/>
      <c r="AB1139" s="77">
        <f t="shared" si="174"/>
        <v>0</v>
      </c>
      <c r="AC1139" s="134">
        <f t="shared" si="175"/>
        <v>0</v>
      </c>
      <c r="AD1139" s="251"/>
      <c r="AE1139" s="1736"/>
      <c r="AF1139" s="1737"/>
      <c r="AG1139" s="77">
        <f t="shared" si="176"/>
        <v>0</v>
      </c>
      <c r="AH1139" s="136">
        <f t="shared" si="177"/>
        <v>0</v>
      </c>
      <c r="AI1139" s="251"/>
      <c r="AJ1139" s="1736"/>
      <c r="AK1139" s="1737"/>
      <c r="AL1139" s="79">
        <f t="shared" si="178"/>
        <v>0</v>
      </c>
      <c r="AM1139" s="137">
        <f t="shared" si="179"/>
        <v>0</v>
      </c>
      <c r="AN1139" s="251"/>
      <c r="AO1139" s="1736"/>
      <c r="AP1139" s="1737"/>
    </row>
    <row r="1140" spans="1:42" s="85" customFormat="1" ht="13.5" thickBot="1">
      <c r="A1140" s="240"/>
      <c r="B1140" s="241"/>
      <c r="C1140" s="242"/>
      <c r="D1140" s="242"/>
      <c r="E1140" s="243"/>
      <c r="F1140" s="244"/>
      <c r="G1140" s="244"/>
      <c r="H1140" s="243"/>
      <c r="I1140" s="258"/>
      <c r="J1140" s="245"/>
      <c r="K1140" s="245"/>
      <c r="L1140" s="76">
        <f t="shared" si="170"/>
        <v>0</v>
      </c>
      <c r="M1140" s="246"/>
      <c r="N1140" s="247"/>
      <c r="O1140" s="248"/>
      <c r="P1140" s="246"/>
      <c r="Q1140" s="249"/>
      <c r="R1140" s="250"/>
      <c r="S1140" s="259"/>
      <c r="T1140" s="260"/>
      <c r="U1140" s="250"/>
      <c r="V1140" s="78">
        <f t="shared" si="171"/>
        <v>0</v>
      </c>
      <c r="W1140" s="261">
        <f t="shared" si="172"/>
        <v>0</v>
      </c>
      <c r="X1140" s="133">
        <f t="shared" si="173"/>
        <v>0</v>
      </c>
      <c r="Y1140" s="251"/>
      <c r="Z1140" s="1736"/>
      <c r="AA1140" s="1737"/>
      <c r="AB1140" s="77">
        <f t="shared" si="174"/>
        <v>0</v>
      </c>
      <c r="AC1140" s="134">
        <f t="shared" si="175"/>
        <v>0</v>
      </c>
      <c r="AD1140" s="251"/>
      <c r="AE1140" s="1736"/>
      <c r="AF1140" s="1737"/>
      <c r="AG1140" s="77">
        <f t="shared" si="176"/>
        <v>0</v>
      </c>
      <c r="AH1140" s="136">
        <f t="shared" si="177"/>
        <v>0</v>
      </c>
      <c r="AI1140" s="251"/>
      <c r="AJ1140" s="1736"/>
      <c r="AK1140" s="1737"/>
      <c r="AL1140" s="79">
        <f t="shared" si="178"/>
        <v>0</v>
      </c>
      <c r="AM1140" s="137">
        <f t="shared" si="179"/>
        <v>0</v>
      </c>
      <c r="AN1140" s="251"/>
      <c r="AO1140" s="1736"/>
      <c r="AP1140" s="1737"/>
    </row>
    <row r="1141" spans="1:42" s="85" customFormat="1" ht="13.5" thickBot="1">
      <c r="A1141" s="240"/>
      <c r="B1141" s="241"/>
      <c r="C1141" s="242"/>
      <c r="D1141" s="242"/>
      <c r="E1141" s="243"/>
      <c r="F1141" s="244"/>
      <c r="G1141" s="244"/>
      <c r="H1141" s="243"/>
      <c r="I1141" s="258"/>
      <c r="J1141" s="245"/>
      <c r="K1141" s="245"/>
      <c r="L1141" s="76">
        <f t="shared" si="170"/>
        <v>0</v>
      </c>
      <c r="M1141" s="246"/>
      <c r="N1141" s="247"/>
      <c r="O1141" s="248"/>
      <c r="P1141" s="246"/>
      <c r="Q1141" s="249"/>
      <c r="R1141" s="250"/>
      <c r="S1141" s="259"/>
      <c r="T1141" s="260"/>
      <c r="U1141" s="250"/>
      <c r="V1141" s="78">
        <f t="shared" si="171"/>
        <v>0</v>
      </c>
      <c r="W1141" s="261">
        <f t="shared" si="172"/>
        <v>0</v>
      </c>
      <c r="X1141" s="133">
        <f t="shared" si="173"/>
        <v>0</v>
      </c>
      <c r="Y1141" s="251"/>
      <c r="Z1141" s="1736"/>
      <c r="AA1141" s="1737"/>
      <c r="AB1141" s="77">
        <f t="shared" si="174"/>
        <v>0</v>
      </c>
      <c r="AC1141" s="134">
        <f t="shared" si="175"/>
        <v>0</v>
      </c>
      <c r="AD1141" s="251"/>
      <c r="AE1141" s="1736"/>
      <c r="AF1141" s="1737"/>
      <c r="AG1141" s="77">
        <f t="shared" si="176"/>
        <v>0</v>
      </c>
      <c r="AH1141" s="136">
        <f t="shared" si="177"/>
        <v>0</v>
      </c>
      <c r="AI1141" s="251"/>
      <c r="AJ1141" s="1736"/>
      <c r="AK1141" s="1737"/>
      <c r="AL1141" s="79">
        <f t="shared" si="178"/>
        <v>0</v>
      </c>
      <c r="AM1141" s="137">
        <f t="shared" si="179"/>
        <v>0</v>
      </c>
      <c r="AN1141" s="251"/>
      <c r="AO1141" s="1736"/>
      <c r="AP1141" s="1737"/>
    </row>
    <row r="1142" spans="1:42" s="85" customFormat="1" ht="13.5" thickBot="1">
      <c r="A1142" s="240"/>
      <c r="B1142" s="241"/>
      <c r="C1142" s="242"/>
      <c r="D1142" s="242"/>
      <c r="E1142" s="243"/>
      <c r="F1142" s="244"/>
      <c r="G1142" s="244"/>
      <c r="H1142" s="243"/>
      <c r="I1142" s="258"/>
      <c r="J1142" s="245"/>
      <c r="K1142" s="245"/>
      <c r="L1142" s="76">
        <f t="shared" si="170"/>
        <v>0</v>
      </c>
      <c r="M1142" s="246"/>
      <c r="N1142" s="247"/>
      <c r="O1142" s="248"/>
      <c r="P1142" s="246"/>
      <c r="Q1142" s="249"/>
      <c r="R1142" s="250"/>
      <c r="S1142" s="259"/>
      <c r="T1142" s="260"/>
      <c r="U1142" s="250"/>
      <c r="V1142" s="78">
        <f t="shared" si="171"/>
        <v>0</v>
      </c>
      <c r="W1142" s="261">
        <f t="shared" si="172"/>
        <v>0</v>
      </c>
      <c r="X1142" s="133">
        <f t="shared" si="173"/>
        <v>0</v>
      </c>
      <c r="Y1142" s="251"/>
      <c r="Z1142" s="1736"/>
      <c r="AA1142" s="1737"/>
      <c r="AB1142" s="77">
        <f t="shared" si="174"/>
        <v>0</v>
      </c>
      <c r="AC1142" s="134">
        <f t="shared" si="175"/>
        <v>0</v>
      </c>
      <c r="AD1142" s="251"/>
      <c r="AE1142" s="1736"/>
      <c r="AF1142" s="1737"/>
      <c r="AG1142" s="77">
        <f t="shared" si="176"/>
        <v>0</v>
      </c>
      <c r="AH1142" s="136">
        <f t="shared" si="177"/>
        <v>0</v>
      </c>
      <c r="AI1142" s="251"/>
      <c r="AJ1142" s="1736"/>
      <c r="AK1142" s="1737"/>
      <c r="AL1142" s="79">
        <f t="shared" si="178"/>
        <v>0</v>
      </c>
      <c r="AM1142" s="137">
        <f t="shared" si="179"/>
        <v>0</v>
      </c>
      <c r="AN1142" s="251"/>
      <c r="AO1142" s="1736"/>
      <c r="AP1142" s="1737"/>
    </row>
    <row r="1143" spans="1:42" s="85" customFormat="1" ht="13.5" thickBot="1">
      <c r="A1143" s="240"/>
      <c r="B1143" s="241"/>
      <c r="C1143" s="242"/>
      <c r="D1143" s="242"/>
      <c r="E1143" s="243"/>
      <c r="F1143" s="244"/>
      <c r="G1143" s="244"/>
      <c r="H1143" s="243"/>
      <c r="I1143" s="258"/>
      <c r="J1143" s="245"/>
      <c r="K1143" s="245"/>
      <c r="L1143" s="76">
        <f t="shared" si="170"/>
        <v>0</v>
      </c>
      <c r="M1143" s="246"/>
      <c r="N1143" s="247"/>
      <c r="O1143" s="248"/>
      <c r="P1143" s="246"/>
      <c r="Q1143" s="249"/>
      <c r="R1143" s="250"/>
      <c r="S1143" s="259"/>
      <c r="T1143" s="260"/>
      <c r="U1143" s="250"/>
      <c r="V1143" s="78">
        <f t="shared" si="171"/>
        <v>0</v>
      </c>
      <c r="W1143" s="261">
        <f t="shared" si="172"/>
        <v>0</v>
      </c>
      <c r="X1143" s="133">
        <f t="shared" si="173"/>
        <v>0</v>
      </c>
      <c r="Y1143" s="251"/>
      <c r="Z1143" s="1736"/>
      <c r="AA1143" s="1737"/>
      <c r="AB1143" s="77">
        <f t="shared" si="174"/>
        <v>0</v>
      </c>
      <c r="AC1143" s="134">
        <f t="shared" si="175"/>
        <v>0</v>
      </c>
      <c r="AD1143" s="251"/>
      <c r="AE1143" s="1736"/>
      <c r="AF1143" s="1737"/>
      <c r="AG1143" s="77">
        <f t="shared" si="176"/>
        <v>0</v>
      </c>
      <c r="AH1143" s="136">
        <f t="shared" si="177"/>
        <v>0</v>
      </c>
      <c r="AI1143" s="251"/>
      <c r="AJ1143" s="1736"/>
      <c r="AK1143" s="1737"/>
      <c r="AL1143" s="79">
        <f t="shared" si="178"/>
        <v>0</v>
      </c>
      <c r="AM1143" s="137">
        <f t="shared" si="179"/>
        <v>0</v>
      </c>
      <c r="AN1143" s="251"/>
      <c r="AO1143" s="1736"/>
      <c r="AP1143" s="1737"/>
    </row>
    <row r="1144" spans="1:42" s="85" customFormat="1" ht="13.5" thickBot="1">
      <c r="A1144" s="240"/>
      <c r="B1144" s="241"/>
      <c r="C1144" s="242"/>
      <c r="D1144" s="242"/>
      <c r="E1144" s="243"/>
      <c r="F1144" s="244"/>
      <c r="G1144" s="244"/>
      <c r="H1144" s="243"/>
      <c r="I1144" s="258"/>
      <c r="J1144" s="245"/>
      <c r="K1144" s="245"/>
      <c r="L1144" s="76">
        <f t="shared" si="170"/>
        <v>0</v>
      </c>
      <c r="M1144" s="246"/>
      <c r="N1144" s="247"/>
      <c r="O1144" s="248"/>
      <c r="P1144" s="246"/>
      <c r="Q1144" s="249"/>
      <c r="R1144" s="250"/>
      <c r="S1144" s="259"/>
      <c r="T1144" s="260"/>
      <c r="U1144" s="250"/>
      <c r="V1144" s="78">
        <f t="shared" si="171"/>
        <v>0</v>
      </c>
      <c r="W1144" s="261">
        <f t="shared" si="172"/>
        <v>0</v>
      </c>
      <c r="X1144" s="133">
        <f t="shared" si="173"/>
        <v>0</v>
      </c>
      <c r="Y1144" s="251"/>
      <c r="Z1144" s="1736"/>
      <c r="AA1144" s="1737"/>
      <c r="AB1144" s="77">
        <f t="shared" si="174"/>
        <v>0</v>
      </c>
      <c r="AC1144" s="134">
        <f t="shared" si="175"/>
        <v>0</v>
      </c>
      <c r="AD1144" s="251"/>
      <c r="AE1144" s="1736"/>
      <c r="AF1144" s="1737"/>
      <c r="AG1144" s="77">
        <f t="shared" si="176"/>
        <v>0</v>
      </c>
      <c r="AH1144" s="136">
        <f t="shared" si="177"/>
        <v>0</v>
      </c>
      <c r="AI1144" s="251"/>
      <c r="AJ1144" s="1736"/>
      <c r="AK1144" s="1737"/>
      <c r="AL1144" s="79">
        <f t="shared" si="178"/>
        <v>0</v>
      </c>
      <c r="AM1144" s="137">
        <f t="shared" si="179"/>
        <v>0</v>
      </c>
      <c r="AN1144" s="251"/>
      <c r="AO1144" s="1736"/>
      <c r="AP1144" s="1737"/>
    </row>
    <row r="1145" spans="1:42" s="85" customFormat="1" ht="13.5" thickBot="1">
      <c r="A1145" s="240"/>
      <c r="B1145" s="241"/>
      <c r="C1145" s="242"/>
      <c r="D1145" s="242"/>
      <c r="E1145" s="243"/>
      <c r="F1145" s="244"/>
      <c r="G1145" s="244"/>
      <c r="H1145" s="243"/>
      <c r="I1145" s="258"/>
      <c r="J1145" s="245"/>
      <c r="K1145" s="245"/>
      <c r="L1145" s="76">
        <f t="shared" si="170"/>
        <v>0</v>
      </c>
      <c r="M1145" s="246"/>
      <c r="N1145" s="247"/>
      <c r="O1145" s="248"/>
      <c r="P1145" s="246"/>
      <c r="Q1145" s="249"/>
      <c r="R1145" s="250"/>
      <c r="S1145" s="259"/>
      <c r="T1145" s="260"/>
      <c r="U1145" s="250"/>
      <c r="V1145" s="78">
        <f t="shared" si="171"/>
        <v>0</v>
      </c>
      <c r="W1145" s="261">
        <f t="shared" si="172"/>
        <v>0</v>
      </c>
      <c r="X1145" s="133">
        <f t="shared" si="173"/>
        <v>0</v>
      </c>
      <c r="Y1145" s="251"/>
      <c r="Z1145" s="1736"/>
      <c r="AA1145" s="1737"/>
      <c r="AB1145" s="77">
        <f t="shared" si="174"/>
        <v>0</v>
      </c>
      <c r="AC1145" s="134">
        <f t="shared" si="175"/>
        <v>0</v>
      </c>
      <c r="AD1145" s="251"/>
      <c r="AE1145" s="1736"/>
      <c r="AF1145" s="1737"/>
      <c r="AG1145" s="77">
        <f t="shared" si="176"/>
        <v>0</v>
      </c>
      <c r="AH1145" s="136">
        <f t="shared" si="177"/>
        <v>0</v>
      </c>
      <c r="AI1145" s="251"/>
      <c r="AJ1145" s="1736"/>
      <c r="AK1145" s="1737"/>
      <c r="AL1145" s="79">
        <f t="shared" si="178"/>
        <v>0</v>
      </c>
      <c r="AM1145" s="137">
        <f t="shared" si="179"/>
        <v>0</v>
      </c>
      <c r="AN1145" s="251"/>
      <c r="AO1145" s="1736"/>
      <c r="AP1145" s="1737"/>
    </row>
    <row r="1146" spans="1:42" s="85" customFormat="1" ht="13.5" thickBot="1">
      <c r="A1146" s="240"/>
      <c r="B1146" s="241"/>
      <c r="C1146" s="242"/>
      <c r="D1146" s="242"/>
      <c r="E1146" s="243"/>
      <c r="F1146" s="244"/>
      <c r="G1146" s="244"/>
      <c r="H1146" s="243"/>
      <c r="I1146" s="258"/>
      <c r="J1146" s="245"/>
      <c r="K1146" s="245"/>
      <c r="L1146" s="76">
        <f t="shared" si="170"/>
        <v>0</v>
      </c>
      <c r="M1146" s="246"/>
      <c r="N1146" s="247"/>
      <c r="O1146" s="248"/>
      <c r="P1146" s="246"/>
      <c r="Q1146" s="249"/>
      <c r="R1146" s="250"/>
      <c r="S1146" s="259"/>
      <c r="T1146" s="260"/>
      <c r="U1146" s="250"/>
      <c r="V1146" s="78">
        <f t="shared" si="171"/>
        <v>0</v>
      </c>
      <c r="W1146" s="261">
        <f t="shared" si="172"/>
        <v>0</v>
      </c>
      <c r="X1146" s="133">
        <f t="shared" si="173"/>
        <v>0</v>
      </c>
      <c r="Y1146" s="251"/>
      <c r="Z1146" s="1736"/>
      <c r="AA1146" s="1737"/>
      <c r="AB1146" s="77">
        <f t="shared" si="174"/>
        <v>0</v>
      </c>
      <c r="AC1146" s="134">
        <f t="shared" si="175"/>
        <v>0</v>
      </c>
      <c r="AD1146" s="251"/>
      <c r="AE1146" s="1736"/>
      <c r="AF1146" s="1737"/>
      <c r="AG1146" s="77">
        <f t="shared" si="176"/>
        <v>0</v>
      </c>
      <c r="AH1146" s="136">
        <f t="shared" si="177"/>
        <v>0</v>
      </c>
      <c r="AI1146" s="251"/>
      <c r="AJ1146" s="1736"/>
      <c r="AK1146" s="1737"/>
      <c r="AL1146" s="79">
        <f t="shared" si="178"/>
        <v>0</v>
      </c>
      <c r="AM1146" s="137">
        <f t="shared" si="179"/>
        <v>0</v>
      </c>
      <c r="AN1146" s="251"/>
      <c r="AO1146" s="1736"/>
      <c r="AP1146" s="1737"/>
    </row>
    <row r="1147" spans="1:42" s="85" customFormat="1" ht="13.5" thickBot="1">
      <c r="A1147" s="240"/>
      <c r="B1147" s="241"/>
      <c r="C1147" s="242"/>
      <c r="D1147" s="242"/>
      <c r="E1147" s="243"/>
      <c r="F1147" s="244"/>
      <c r="G1147" s="244"/>
      <c r="H1147" s="243"/>
      <c r="I1147" s="258"/>
      <c r="J1147" s="245"/>
      <c r="K1147" s="245"/>
      <c r="L1147" s="76">
        <f t="shared" si="170"/>
        <v>0</v>
      </c>
      <c r="M1147" s="246"/>
      <c r="N1147" s="247"/>
      <c r="O1147" s="248"/>
      <c r="P1147" s="246"/>
      <c r="Q1147" s="249"/>
      <c r="R1147" s="250"/>
      <c r="S1147" s="259"/>
      <c r="T1147" s="260"/>
      <c r="U1147" s="250"/>
      <c r="V1147" s="78">
        <f t="shared" si="171"/>
        <v>0</v>
      </c>
      <c r="W1147" s="261">
        <f t="shared" si="172"/>
        <v>0</v>
      </c>
      <c r="X1147" s="133">
        <f t="shared" si="173"/>
        <v>0</v>
      </c>
      <c r="Y1147" s="251"/>
      <c r="Z1147" s="1736"/>
      <c r="AA1147" s="1737"/>
      <c r="AB1147" s="77">
        <f t="shared" si="174"/>
        <v>0</v>
      </c>
      <c r="AC1147" s="134">
        <f t="shared" si="175"/>
        <v>0</v>
      </c>
      <c r="AD1147" s="251"/>
      <c r="AE1147" s="1736"/>
      <c r="AF1147" s="1737"/>
      <c r="AG1147" s="77">
        <f t="shared" si="176"/>
        <v>0</v>
      </c>
      <c r="AH1147" s="136">
        <f t="shared" si="177"/>
        <v>0</v>
      </c>
      <c r="AI1147" s="251"/>
      <c r="AJ1147" s="1736"/>
      <c r="AK1147" s="1737"/>
      <c r="AL1147" s="79">
        <f t="shared" si="178"/>
        <v>0</v>
      </c>
      <c r="AM1147" s="137">
        <f t="shared" si="179"/>
        <v>0</v>
      </c>
      <c r="AN1147" s="251"/>
      <c r="AO1147" s="1736"/>
      <c r="AP1147" s="1737"/>
    </row>
    <row r="1148" spans="1:42" s="85" customFormat="1" ht="13.5" thickBot="1">
      <c r="A1148" s="240"/>
      <c r="B1148" s="241"/>
      <c r="C1148" s="242"/>
      <c r="D1148" s="242"/>
      <c r="E1148" s="243"/>
      <c r="F1148" s="244"/>
      <c r="G1148" s="244"/>
      <c r="H1148" s="243"/>
      <c r="I1148" s="258"/>
      <c r="J1148" s="245"/>
      <c r="K1148" s="245"/>
      <c r="L1148" s="76">
        <f t="shared" si="170"/>
        <v>0</v>
      </c>
      <c r="M1148" s="246"/>
      <c r="N1148" s="247"/>
      <c r="O1148" s="248"/>
      <c r="P1148" s="246"/>
      <c r="Q1148" s="249"/>
      <c r="R1148" s="250"/>
      <c r="S1148" s="259"/>
      <c r="T1148" s="260"/>
      <c r="U1148" s="250"/>
      <c r="V1148" s="78">
        <f t="shared" si="171"/>
        <v>0</v>
      </c>
      <c r="W1148" s="261">
        <f t="shared" si="172"/>
        <v>0</v>
      </c>
      <c r="X1148" s="133">
        <f t="shared" si="173"/>
        <v>0</v>
      </c>
      <c r="Y1148" s="251"/>
      <c r="Z1148" s="1736"/>
      <c r="AA1148" s="1737"/>
      <c r="AB1148" s="77">
        <f t="shared" si="174"/>
        <v>0</v>
      </c>
      <c r="AC1148" s="134">
        <f t="shared" si="175"/>
        <v>0</v>
      </c>
      <c r="AD1148" s="251"/>
      <c r="AE1148" s="1736"/>
      <c r="AF1148" s="1737"/>
      <c r="AG1148" s="77">
        <f t="shared" si="176"/>
        <v>0</v>
      </c>
      <c r="AH1148" s="136">
        <f t="shared" si="177"/>
        <v>0</v>
      </c>
      <c r="AI1148" s="251"/>
      <c r="AJ1148" s="1736"/>
      <c r="AK1148" s="1737"/>
      <c r="AL1148" s="79">
        <f t="shared" si="178"/>
        <v>0</v>
      </c>
      <c r="AM1148" s="137">
        <f t="shared" si="179"/>
        <v>0</v>
      </c>
      <c r="AN1148" s="251"/>
      <c r="AO1148" s="1736"/>
      <c r="AP1148" s="1737"/>
    </row>
    <row r="1149" spans="1:42" s="85" customFormat="1" ht="13.5" thickBot="1">
      <c r="A1149" s="240"/>
      <c r="B1149" s="241"/>
      <c r="C1149" s="242"/>
      <c r="D1149" s="242"/>
      <c r="E1149" s="243"/>
      <c r="F1149" s="244"/>
      <c r="G1149" s="244"/>
      <c r="H1149" s="243"/>
      <c r="I1149" s="258"/>
      <c r="J1149" s="245"/>
      <c r="K1149" s="245"/>
      <c r="L1149" s="76">
        <f t="shared" si="170"/>
        <v>0</v>
      </c>
      <c r="M1149" s="246"/>
      <c r="N1149" s="247"/>
      <c r="O1149" s="248"/>
      <c r="P1149" s="246"/>
      <c r="Q1149" s="249"/>
      <c r="R1149" s="250"/>
      <c r="S1149" s="259"/>
      <c r="T1149" s="260"/>
      <c r="U1149" s="250"/>
      <c r="V1149" s="78">
        <f t="shared" si="171"/>
        <v>0</v>
      </c>
      <c r="W1149" s="261">
        <f t="shared" si="172"/>
        <v>0</v>
      </c>
      <c r="X1149" s="133">
        <f t="shared" si="173"/>
        <v>0</v>
      </c>
      <c r="Y1149" s="251"/>
      <c r="Z1149" s="1736"/>
      <c r="AA1149" s="1737"/>
      <c r="AB1149" s="77">
        <f t="shared" si="174"/>
        <v>0</v>
      </c>
      <c r="AC1149" s="134">
        <f t="shared" si="175"/>
        <v>0</v>
      </c>
      <c r="AD1149" s="251"/>
      <c r="AE1149" s="1736"/>
      <c r="AF1149" s="1737"/>
      <c r="AG1149" s="77">
        <f t="shared" si="176"/>
        <v>0</v>
      </c>
      <c r="AH1149" s="136">
        <f t="shared" si="177"/>
        <v>0</v>
      </c>
      <c r="AI1149" s="251"/>
      <c r="AJ1149" s="1736"/>
      <c r="AK1149" s="1737"/>
      <c r="AL1149" s="79">
        <f t="shared" si="178"/>
        <v>0</v>
      </c>
      <c r="AM1149" s="137">
        <f t="shared" si="179"/>
        <v>0</v>
      </c>
      <c r="AN1149" s="251"/>
      <c r="AO1149" s="1736"/>
      <c r="AP1149" s="1737"/>
    </row>
    <row r="1150" spans="1:42" s="85" customFormat="1" ht="13.5" thickBot="1">
      <c r="A1150" s="240"/>
      <c r="B1150" s="241"/>
      <c r="C1150" s="242"/>
      <c r="D1150" s="242"/>
      <c r="E1150" s="243"/>
      <c r="F1150" s="244"/>
      <c r="G1150" s="244"/>
      <c r="H1150" s="243"/>
      <c r="I1150" s="258"/>
      <c r="J1150" s="245"/>
      <c r="K1150" s="245"/>
      <c r="L1150" s="76">
        <f t="shared" si="170"/>
        <v>0</v>
      </c>
      <c r="M1150" s="246"/>
      <c r="N1150" s="247"/>
      <c r="O1150" s="248"/>
      <c r="P1150" s="246"/>
      <c r="Q1150" s="249"/>
      <c r="R1150" s="250"/>
      <c r="S1150" s="259"/>
      <c r="T1150" s="260"/>
      <c r="U1150" s="250"/>
      <c r="V1150" s="78">
        <f t="shared" si="171"/>
        <v>0</v>
      </c>
      <c r="W1150" s="261">
        <f t="shared" si="172"/>
        <v>0</v>
      </c>
      <c r="X1150" s="133">
        <f t="shared" si="173"/>
        <v>0</v>
      </c>
      <c r="Y1150" s="251"/>
      <c r="Z1150" s="1736"/>
      <c r="AA1150" s="1737"/>
      <c r="AB1150" s="77">
        <f t="shared" si="174"/>
        <v>0</v>
      </c>
      <c r="AC1150" s="134">
        <f t="shared" si="175"/>
        <v>0</v>
      </c>
      <c r="AD1150" s="251"/>
      <c r="AE1150" s="1736"/>
      <c r="AF1150" s="1737"/>
      <c r="AG1150" s="77">
        <f t="shared" si="176"/>
        <v>0</v>
      </c>
      <c r="AH1150" s="136">
        <f t="shared" si="177"/>
        <v>0</v>
      </c>
      <c r="AI1150" s="251"/>
      <c r="AJ1150" s="1736"/>
      <c r="AK1150" s="1737"/>
      <c r="AL1150" s="79">
        <f t="shared" si="178"/>
        <v>0</v>
      </c>
      <c r="AM1150" s="137">
        <f t="shared" si="179"/>
        <v>0</v>
      </c>
      <c r="AN1150" s="251"/>
      <c r="AO1150" s="1736"/>
      <c r="AP1150" s="1737"/>
    </row>
    <row r="1151" spans="1:42" s="85" customFormat="1" ht="13.5" thickBot="1">
      <c r="A1151" s="240"/>
      <c r="B1151" s="241"/>
      <c r="C1151" s="242"/>
      <c r="D1151" s="242"/>
      <c r="E1151" s="243"/>
      <c r="F1151" s="244"/>
      <c r="G1151" s="244"/>
      <c r="H1151" s="243"/>
      <c r="I1151" s="258"/>
      <c r="J1151" s="245"/>
      <c r="K1151" s="245"/>
      <c r="L1151" s="76">
        <f t="shared" si="170"/>
        <v>0</v>
      </c>
      <c r="M1151" s="246"/>
      <c r="N1151" s="247"/>
      <c r="O1151" s="248"/>
      <c r="P1151" s="246"/>
      <c r="Q1151" s="249"/>
      <c r="R1151" s="250"/>
      <c r="S1151" s="259"/>
      <c r="T1151" s="260"/>
      <c r="U1151" s="250"/>
      <c r="V1151" s="78">
        <f t="shared" si="171"/>
        <v>0</v>
      </c>
      <c r="W1151" s="261">
        <f t="shared" si="172"/>
        <v>0</v>
      </c>
      <c r="X1151" s="133">
        <f t="shared" si="173"/>
        <v>0</v>
      </c>
      <c r="Y1151" s="251"/>
      <c r="Z1151" s="1736"/>
      <c r="AA1151" s="1737"/>
      <c r="AB1151" s="77">
        <f t="shared" si="174"/>
        <v>0</v>
      </c>
      <c r="AC1151" s="134">
        <f t="shared" si="175"/>
        <v>0</v>
      </c>
      <c r="AD1151" s="251"/>
      <c r="AE1151" s="1736"/>
      <c r="AF1151" s="1737"/>
      <c r="AG1151" s="77">
        <f t="shared" si="176"/>
        <v>0</v>
      </c>
      <c r="AH1151" s="136">
        <f t="shared" si="177"/>
        <v>0</v>
      </c>
      <c r="AI1151" s="251"/>
      <c r="AJ1151" s="1736"/>
      <c r="AK1151" s="1737"/>
      <c r="AL1151" s="79">
        <f t="shared" si="178"/>
        <v>0</v>
      </c>
      <c r="AM1151" s="137">
        <f t="shared" si="179"/>
        <v>0</v>
      </c>
      <c r="AN1151" s="251"/>
      <c r="AO1151" s="1736"/>
      <c r="AP1151" s="1737"/>
    </row>
    <row r="1152" spans="1:42" s="85" customFormat="1" ht="13.5" thickBot="1">
      <c r="A1152" s="240"/>
      <c r="B1152" s="241"/>
      <c r="C1152" s="242"/>
      <c r="D1152" s="242"/>
      <c r="E1152" s="243"/>
      <c r="F1152" s="244"/>
      <c r="G1152" s="244"/>
      <c r="H1152" s="243"/>
      <c r="I1152" s="258"/>
      <c r="J1152" s="245"/>
      <c r="K1152" s="245"/>
      <c r="L1152" s="76">
        <f t="shared" si="170"/>
        <v>0</v>
      </c>
      <c r="M1152" s="246"/>
      <c r="N1152" s="247"/>
      <c r="O1152" s="248"/>
      <c r="P1152" s="246"/>
      <c r="Q1152" s="249"/>
      <c r="R1152" s="250"/>
      <c r="S1152" s="259"/>
      <c r="T1152" s="260"/>
      <c r="U1152" s="250"/>
      <c r="V1152" s="78">
        <f t="shared" si="171"/>
        <v>0</v>
      </c>
      <c r="W1152" s="261">
        <f t="shared" si="172"/>
        <v>0</v>
      </c>
      <c r="X1152" s="133">
        <f t="shared" si="173"/>
        <v>0</v>
      </c>
      <c r="Y1152" s="251"/>
      <c r="Z1152" s="1736"/>
      <c r="AA1152" s="1737"/>
      <c r="AB1152" s="77">
        <f t="shared" si="174"/>
        <v>0</v>
      </c>
      <c r="AC1152" s="134">
        <f t="shared" si="175"/>
        <v>0</v>
      </c>
      <c r="AD1152" s="251"/>
      <c r="AE1152" s="1736"/>
      <c r="AF1152" s="1737"/>
      <c r="AG1152" s="77">
        <f t="shared" si="176"/>
        <v>0</v>
      </c>
      <c r="AH1152" s="136">
        <f t="shared" si="177"/>
        <v>0</v>
      </c>
      <c r="AI1152" s="251"/>
      <c r="AJ1152" s="1736"/>
      <c r="AK1152" s="1737"/>
      <c r="AL1152" s="79">
        <f t="shared" si="178"/>
        <v>0</v>
      </c>
      <c r="AM1152" s="137">
        <f t="shared" si="179"/>
        <v>0</v>
      </c>
      <c r="AN1152" s="251"/>
      <c r="AO1152" s="1736"/>
      <c r="AP1152" s="1737"/>
    </row>
    <row r="1153" spans="1:42" s="85" customFormat="1" ht="13.5" thickBot="1">
      <c r="A1153" s="240"/>
      <c r="B1153" s="241"/>
      <c r="C1153" s="242"/>
      <c r="D1153" s="242"/>
      <c r="E1153" s="243"/>
      <c r="F1153" s="244"/>
      <c r="G1153" s="244"/>
      <c r="H1153" s="243"/>
      <c r="I1153" s="258"/>
      <c r="J1153" s="245"/>
      <c r="K1153" s="245"/>
      <c r="L1153" s="76">
        <f t="shared" si="170"/>
        <v>0</v>
      </c>
      <c r="M1153" s="246"/>
      <c r="N1153" s="247"/>
      <c r="O1153" s="248"/>
      <c r="P1153" s="246"/>
      <c r="Q1153" s="249"/>
      <c r="R1153" s="250"/>
      <c r="S1153" s="259"/>
      <c r="T1153" s="260"/>
      <c r="U1153" s="250"/>
      <c r="V1153" s="78">
        <f t="shared" si="171"/>
        <v>0</v>
      </c>
      <c r="W1153" s="261">
        <f t="shared" si="172"/>
        <v>0</v>
      </c>
      <c r="X1153" s="133">
        <f t="shared" si="173"/>
        <v>0</v>
      </c>
      <c r="Y1153" s="251"/>
      <c r="Z1153" s="1736"/>
      <c r="AA1153" s="1737"/>
      <c r="AB1153" s="77">
        <f t="shared" si="174"/>
        <v>0</v>
      </c>
      <c r="AC1153" s="134">
        <f t="shared" si="175"/>
        <v>0</v>
      </c>
      <c r="AD1153" s="251"/>
      <c r="AE1153" s="1736"/>
      <c r="AF1153" s="1737"/>
      <c r="AG1153" s="77">
        <f t="shared" si="176"/>
        <v>0</v>
      </c>
      <c r="AH1153" s="136">
        <f t="shared" si="177"/>
        <v>0</v>
      </c>
      <c r="AI1153" s="251"/>
      <c r="AJ1153" s="1736"/>
      <c r="AK1153" s="1737"/>
      <c r="AL1153" s="79">
        <f t="shared" si="178"/>
        <v>0</v>
      </c>
      <c r="AM1153" s="137">
        <f t="shared" si="179"/>
        <v>0</v>
      </c>
      <c r="AN1153" s="251"/>
      <c r="AO1153" s="1736"/>
      <c r="AP1153" s="1737"/>
    </row>
    <row r="1154" spans="1:42" s="85" customFormat="1" ht="13.5" thickBot="1">
      <c r="A1154" s="240"/>
      <c r="B1154" s="241"/>
      <c r="C1154" s="242"/>
      <c r="D1154" s="242"/>
      <c r="E1154" s="243"/>
      <c r="F1154" s="244"/>
      <c r="G1154" s="244"/>
      <c r="H1154" s="243"/>
      <c r="I1154" s="258"/>
      <c r="J1154" s="245"/>
      <c r="K1154" s="245"/>
      <c r="L1154" s="76">
        <f t="shared" si="170"/>
        <v>0</v>
      </c>
      <c r="M1154" s="246"/>
      <c r="N1154" s="247"/>
      <c r="O1154" s="248"/>
      <c r="P1154" s="246"/>
      <c r="Q1154" s="249"/>
      <c r="R1154" s="250"/>
      <c r="S1154" s="259"/>
      <c r="T1154" s="260"/>
      <c r="U1154" s="250"/>
      <c r="V1154" s="78">
        <f t="shared" si="171"/>
        <v>0</v>
      </c>
      <c r="W1154" s="261">
        <f t="shared" si="172"/>
        <v>0</v>
      </c>
      <c r="X1154" s="133">
        <f t="shared" si="173"/>
        <v>0</v>
      </c>
      <c r="Y1154" s="251"/>
      <c r="Z1154" s="1736"/>
      <c r="AA1154" s="1737"/>
      <c r="AB1154" s="77">
        <f t="shared" si="174"/>
        <v>0</v>
      </c>
      <c r="AC1154" s="134">
        <f t="shared" si="175"/>
        <v>0</v>
      </c>
      <c r="AD1154" s="251"/>
      <c r="AE1154" s="1736"/>
      <c r="AF1154" s="1737"/>
      <c r="AG1154" s="77">
        <f t="shared" si="176"/>
        <v>0</v>
      </c>
      <c r="AH1154" s="136">
        <f t="shared" si="177"/>
        <v>0</v>
      </c>
      <c r="AI1154" s="251"/>
      <c r="AJ1154" s="1736"/>
      <c r="AK1154" s="1737"/>
      <c r="AL1154" s="79">
        <f t="shared" si="178"/>
        <v>0</v>
      </c>
      <c r="AM1154" s="137">
        <f t="shared" si="179"/>
        <v>0</v>
      </c>
      <c r="AN1154" s="251"/>
      <c r="AO1154" s="1736"/>
      <c r="AP1154" s="1737"/>
    </row>
    <row r="1155" spans="1:42" s="85" customFormat="1" ht="13.5" thickBot="1">
      <c r="A1155" s="240"/>
      <c r="B1155" s="241"/>
      <c r="C1155" s="242"/>
      <c r="D1155" s="242"/>
      <c r="E1155" s="243"/>
      <c r="F1155" s="244"/>
      <c r="G1155" s="244"/>
      <c r="H1155" s="243"/>
      <c r="I1155" s="258"/>
      <c r="J1155" s="245"/>
      <c r="K1155" s="245"/>
      <c r="L1155" s="76">
        <f t="shared" si="170"/>
        <v>0</v>
      </c>
      <c r="M1155" s="246"/>
      <c r="N1155" s="247"/>
      <c r="O1155" s="248"/>
      <c r="P1155" s="246"/>
      <c r="Q1155" s="249"/>
      <c r="R1155" s="250"/>
      <c r="S1155" s="259"/>
      <c r="T1155" s="260"/>
      <c r="U1155" s="250"/>
      <c r="V1155" s="78">
        <f t="shared" si="171"/>
        <v>0</v>
      </c>
      <c r="W1155" s="261">
        <f t="shared" si="172"/>
        <v>0</v>
      </c>
      <c r="X1155" s="133">
        <f t="shared" si="173"/>
        <v>0</v>
      </c>
      <c r="Y1155" s="251"/>
      <c r="Z1155" s="1736"/>
      <c r="AA1155" s="1737"/>
      <c r="AB1155" s="77">
        <f t="shared" si="174"/>
        <v>0</v>
      </c>
      <c r="AC1155" s="134">
        <f t="shared" si="175"/>
        <v>0</v>
      </c>
      <c r="AD1155" s="251"/>
      <c r="AE1155" s="1736"/>
      <c r="AF1155" s="1737"/>
      <c r="AG1155" s="77">
        <f t="shared" si="176"/>
        <v>0</v>
      </c>
      <c r="AH1155" s="136">
        <f t="shared" si="177"/>
        <v>0</v>
      </c>
      <c r="AI1155" s="251"/>
      <c r="AJ1155" s="1736"/>
      <c r="AK1155" s="1737"/>
      <c r="AL1155" s="79">
        <f t="shared" si="178"/>
        <v>0</v>
      </c>
      <c r="AM1155" s="137">
        <f t="shared" si="179"/>
        <v>0</v>
      </c>
      <c r="AN1155" s="251"/>
      <c r="AO1155" s="1736"/>
      <c r="AP1155" s="1737"/>
    </row>
    <row r="1156" spans="1:42" s="85" customFormat="1" ht="13.5" thickBot="1">
      <c r="A1156" s="240"/>
      <c r="B1156" s="241"/>
      <c r="C1156" s="242"/>
      <c r="D1156" s="242"/>
      <c r="E1156" s="243"/>
      <c r="F1156" s="244"/>
      <c r="G1156" s="244"/>
      <c r="H1156" s="243"/>
      <c r="I1156" s="258"/>
      <c r="J1156" s="245"/>
      <c r="K1156" s="245"/>
      <c r="L1156" s="76">
        <f t="shared" si="170"/>
        <v>0</v>
      </c>
      <c r="M1156" s="246"/>
      <c r="N1156" s="247"/>
      <c r="O1156" s="248"/>
      <c r="P1156" s="246"/>
      <c r="Q1156" s="249"/>
      <c r="R1156" s="250"/>
      <c r="S1156" s="259"/>
      <c r="T1156" s="260"/>
      <c r="U1156" s="250"/>
      <c r="V1156" s="78">
        <f t="shared" si="171"/>
        <v>0</v>
      </c>
      <c r="W1156" s="261">
        <f t="shared" si="172"/>
        <v>0</v>
      </c>
      <c r="X1156" s="133">
        <f t="shared" si="173"/>
        <v>0</v>
      </c>
      <c r="Y1156" s="251"/>
      <c r="Z1156" s="1736"/>
      <c r="AA1156" s="1737"/>
      <c r="AB1156" s="77">
        <f t="shared" si="174"/>
        <v>0</v>
      </c>
      <c r="AC1156" s="134">
        <f t="shared" si="175"/>
        <v>0</v>
      </c>
      <c r="AD1156" s="251"/>
      <c r="AE1156" s="1736"/>
      <c r="AF1156" s="1737"/>
      <c r="AG1156" s="77">
        <f t="shared" si="176"/>
        <v>0</v>
      </c>
      <c r="AH1156" s="136">
        <f t="shared" si="177"/>
        <v>0</v>
      </c>
      <c r="AI1156" s="251"/>
      <c r="AJ1156" s="1736"/>
      <c r="AK1156" s="1737"/>
      <c r="AL1156" s="79">
        <f t="shared" si="178"/>
        <v>0</v>
      </c>
      <c r="AM1156" s="137">
        <f t="shared" si="179"/>
        <v>0</v>
      </c>
      <c r="AN1156" s="251"/>
      <c r="AO1156" s="1736"/>
      <c r="AP1156" s="1737"/>
    </row>
    <row r="1157" spans="1:42" s="85" customFormat="1" ht="13.5" thickBot="1">
      <c r="A1157" s="240"/>
      <c r="B1157" s="241"/>
      <c r="C1157" s="242"/>
      <c r="D1157" s="242"/>
      <c r="E1157" s="243"/>
      <c r="F1157" s="244"/>
      <c r="G1157" s="244"/>
      <c r="H1157" s="243"/>
      <c r="I1157" s="258"/>
      <c r="J1157" s="245"/>
      <c r="K1157" s="245"/>
      <c r="L1157" s="76">
        <f t="shared" si="170"/>
        <v>0</v>
      </c>
      <c r="M1157" s="246"/>
      <c r="N1157" s="247"/>
      <c r="O1157" s="248"/>
      <c r="P1157" s="246"/>
      <c r="Q1157" s="249"/>
      <c r="R1157" s="250"/>
      <c r="S1157" s="259"/>
      <c r="T1157" s="260"/>
      <c r="U1157" s="250"/>
      <c r="V1157" s="78">
        <f t="shared" si="171"/>
        <v>0</v>
      </c>
      <c r="W1157" s="261">
        <f t="shared" si="172"/>
        <v>0</v>
      </c>
      <c r="X1157" s="133">
        <f t="shared" si="173"/>
        <v>0</v>
      </c>
      <c r="Y1157" s="251"/>
      <c r="Z1157" s="1736"/>
      <c r="AA1157" s="1737"/>
      <c r="AB1157" s="77">
        <f t="shared" si="174"/>
        <v>0</v>
      </c>
      <c r="AC1157" s="134">
        <f t="shared" si="175"/>
        <v>0</v>
      </c>
      <c r="AD1157" s="251"/>
      <c r="AE1157" s="1736"/>
      <c r="AF1157" s="1737"/>
      <c r="AG1157" s="77">
        <f t="shared" si="176"/>
        <v>0</v>
      </c>
      <c r="AH1157" s="136">
        <f t="shared" si="177"/>
        <v>0</v>
      </c>
      <c r="AI1157" s="251"/>
      <c r="AJ1157" s="1736"/>
      <c r="AK1157" s="1737"/>
      <c r="AL1157" s="79">
        <f t="shared" si="178"/>
        <v>0</v>
      </c>
      <c r="AM1157" s="137">
        <f t="shared" si="179"/>
        <v>0</v>
      </c>
      <c r="AN1157" s="251"/>
      <c r="AO1157" s="1736"/>
      <c r="AP1157" s="1737"/>
    </row>
    <row r="1158" spans="1:42" s="85" customFormat="1" ht="13.5" thickBot="1">
      <c r="A1158" s="240"/>
      <c r="B1158" s="241"/>
      <c r="C1158" s="242"/>
      <c r="D1158" s="242"/>
      <c r="E1158" s="243"/>
      <c r="F1158" s="244"/>
      <c r="G1158" s="244"/>
      <c r="H1158" s="243"/>
      <c r="I1158" s="258"/>
      <c r="J1158" s="245"/>
      <c r="K1158" s="245"/>
      <c r="L1158" s="76">
        <f t="shared" si="170"/>
        <v>0</v>
      </c>
      <c r="M1158" s="246"/>
      <c r="N1158" s="247"/>
      <c r="O1158" s="248"/>
      <c r="P1158" s="246"/>
      <c r="Q1158" s="249"/>
      <c r="R1158" s="250"/>
      <c r="S1158" s="259"/>
      <c r="T1158" s="260"/>
      <c r="U1158" s="250"/>
      <c r="V1158" s="78">
        <f t="shared" si="171"/>
        <v>0</v>
      </c>
      <c r="W1158" s="261">
        <f t="shared" si="172"/>
        <v>0</v>
      </c>
      <c r="X1158" s="133">
        <f t="shared" si="173"/>
        <v>0</v>
      </c>
      <c r="Y1158" s="251"/>
      <c r="Z1158" s="1736"/>
      <c r="AA1158" s="1737"/>
      <c r="AB1158" s="77">
        <f t="shared" si="174"/>
        <v>0</v>
      </c>
      <c r="AC1158" s="134">
        <f t="shared" si="175"/>
        <v>0</v>
      </c>
      <c r="AD1158" s="251"/>
      <c r="AE1158" s="1736"/>
      <c r="AF1158" s="1737"/>
      <c r="AG1158" s="77">
        <f t="shared" si="176"/>
        <v>0</v>
      </c>
      <c r="AH1158" s="136">
        <f t="shared" si="177"/>
        <v>0</v>
      </c>
      <c r="AI1158" s="251"/>
      <c r="AJ1158" s="1736"/>
      <c r="AK1158" s="1737"/>
      <c r="AL1158" s="79">
        <f t="shared" si="178"/>
        <v>0</v>
      </c>
      <c r="AM1158" s="137">
        <f t="shared" si="179"/>
        <v>0</v>
      </c>
      <c r="AN1158" s="251"/>
      <c r="AO1158" s="1736"/>
      <c r="AP1158" s="1737"/>
    </row>
    <row r="1159" spans="1:42" s="85" customFormat="1" ht="13.5" thickBot="1">
      <c r="A1159" s="240"/>
      <c r="B1159" s="241"/>
      <c r="C1159" s="242"/>
      <c r="D1159" s="242"/>
      <c r="E1159" s="243"/>
      <c r="F1159" s="244"/>
      <c r="G1159" s="244"/>
      <c r="H1159" s="243"/>
      <c r="I1159" s="258"/>
      <c r="J1159" s="245"/>
      <c r="K1159" s="245"/>
      <c r="L1159" s="76">
        <f t="shared" si="170"/>
        <v>0</v>
      </c>
      <c r="M1159" s="246"/>
      <c r="N1159" s="247"/>
      <c r="O1159" s="248"/>
      <c r="P1159" s="246"/>
      <c r="Q1159" s="249"/>
      <c r="R1159" s="250"/>
      <c r="S1159" s="259"/>
      <c r="T1159" s="260"/>
      <c r="U1159" s="250"/>
      <c r="V1159" s="78">
        <f t="shared" si="171"/>
        <v>0</v>
      </c>
      <c r="W1159" s="261">
        <f t="shared" si="172"/>
        <v>0</v>
      </c>
      <c r="X1159" s="133">
        <f t="shared" si="173"/>
        <v>0</v>
      </c>
      <c r="Y1159" s="251"/>
      <c r="Z1159" s="1736"/>
      <c r="AA1159" s="1737"/>
      <c r="AB1159" s="77">
        <f t="shared" si="174"/>
        <v>0</v>
      </c>
      <c r="AC1159" s="134">
        <f t="shared" si="175"/>
        <v>0</v>
      </c>
      <c r="AD1159" s="251"/>
      <c r="AE1159" s="1736"/>
      <c r="AF1159" s="1737"/>
      <c r="AG1159" s="77">
        <f t="shared" si="176"/>
        <v>0</v>
      </c>
      <c r="AH1159" s="136">
        <f t="shared" si="177"/>
        <v>0</v>
      </c>
      <c r="AI1159" s="251"/>
      <c r="AJ1159" s="1736"/>
      <c r="AK1159" s="1737"/>
      <c r="AL1159" s="79">
        <f t="shared" si="178"/>
        <v>0</v>
      </c>
      <c r="AM1159" s="137">
        <f t="shared" si="179"/>
        <v>0</v>
      </c>
      <c r="AN1159" s="251"/>
      <c r="AO1159" s="1736"/>
      <c r="AP1159" s="1737"/>
    </row>
    <row r="1160" spans="1:42" s="85" customFormat="1" ht="13.5" thickBot="1">
      <c r="A1160" s="240"/>
      <c r="B1160" s="241"/>
      <c r="C1160" s="242"/>
      <c r="D1160" s="242"/>
      <c r="E1160" s="243"/>
      <c r="F1160" s="244"/>
      <c r="G1160" s="244"/>
      <c r="H1160" s="243"/>
      <c r="I1160" s="258"/>
      <c r="J1160" s="245"/>
      <c r="K1160" s="245"/>
      <c r="L1160" s="76">
        <f t="shared" si="170"/>
        <v>0</v>
      </c>
      <c r="M1160" s="246"/>
      <c r="N1160" s="247"/>
      <c r="O1160" s="248"/>
      <c r="P1160" s="246"/>
      <c r="Q1160" s="249"/>
      <c r="R1160" s="250"/>
      <c r="S1160" s="259"/>
      <c r="T1160" s="260"/>
      <c r="U1160" s="250"/>
      <c r="V1160" s="78">
        <f t="shared" si="171"/>
        <v>0</v>
      </c>
      <c r="W1160" s="261">
        <f t="shared" si="172"/>
        <v>0</v>
      </c>
      <c r="X1160" s="133">
        <f t="shared" si="173"/>
        <v>0</v>
      </c>
      <c r="Y1160" s="251"/>
      <c r="Z1160" s="1736"/>
      <c r="AA1160" s="1737"/>
      <c r="AB1160" s="77">
        <f t="shared" si="174"/>
        <v>0</v>
      </c>
      <c r="AC1160" s="134">
        <f t="shared" si="175"/>
        <v>0</v>
      </c>
      <c r="AD1160" s="251"/>
      <c r="AE1160" s="1736"/>
      <c r="AF1160" s="1737"/>
      <c r="AG1160" s="77">
        <f t="shared" si="176"/>
        <v>0</v>
      </c>
      <c r="AH1160" s="136">
        <f t="shared" si="177"/>
        <v>0</v>
      </c>
      <c r="AI1160" s="251"/>
      <c r="AJ1160" s="1736"/>
      <c r="AK1160" s="1737"/>
      <c r="AL1160" s="79">
        <f t="shared" si="178"/>
        <v>0</v>
      </c>
      <c r="AM1160" s="137">
        <f t="shared" si="179"/>
        <v>0</v>
      </c>
      <c r="AN1160" s="251"/>
      <c r="AO1160" s="1736"/>
      <c r="AP1160" s="1737"/>
    </row>
    <row r="1161" spans="1:42" s="85" customFormat="1" ht="13.5" thickBot="1">
      <c r="A1161" s="240"/>
      <c r="B1161" s="241"/>
      <c r="C1161" s="242"/>
      <c r="D1161" s="242"/>
      <c r="E1161" s="243"/>
      <c r="F1161" s="244"/>
      <c r="G1161" s="244"/>
      <c r="H1161" s="243"/>
      <c r="I1161" s="258"/>
      <c r="J1161" s="245"/>
      <c r="K1161" s="245"/>
      <c r="L1161" s="76">
        <f t="shared" si="170"/>
        <v>0</v>
      </c>
      <c r="M1161" s="246"/>
      <c r="N1161" s="247"/>
      <c r="O1161" s="248"/>
      <c r="P1161" s="246"/>
      <c r="Q1161" s="249"/>
      <c r="R1161" s="250"/>
      <c r="S1161" s="259"/>
      <c r="T1161" s="260"/>
      <c r="U1161" s="250"/>
      <c r="V1161" s="78">
        <f t="shared" si="171"/>
        <v>0</v>
      </c>
      <c r="W1161" s="261">
        <f t="shared" si="172"/>
        <v>0</v>
      </c>
      <c r="X1161" s="133">
        <f t="shared" si="173"/>
        <v>0</v>
      </c>
      <c r="Y1161" s="251"/>
      <c r="Z1161" s="1736"/>
      <c r="AA1161" s="1737"/>
      <c r="AB1161" s="77">
        <f t="shared" si="174"/>
        <v>0</v>
      </c>
      <c r="AC1161" s="134">
        <f t="shared" si="175"/>
        <v>0</v>
      </c>
      <c r="AD1161" s="251"/>
      <c r="AE1161" s="1736"/>
      <c r="AF1161" s="1737"/>
      <c r="AG1161" s="77">
        <f t="shared" si="176"/>
        <v>0</v>
      </c>
      <c r="AH1161" s="136">
        <f t="shared" si="177"/>
        <v>0</v>
      </c>
      <c r="AI1161" s="251"/>
      <c r="AJ1161" s="1736"/>
      <c r="AK1161" s="1737"/>
      <c r="AL1161" s="79">
        <f t="shared" si="178"/>
        <v>0</v>
      </c>
      <c r="AM1161" s="137">
        <f t="shared" si="179"/>
        <v>0</v>
      </c>
      <c r="AN1161" s="251"/>
      <c r="AO1161" s="1736"/>
      <c r="AP1161" s="1737"/>
    </row>
    <row r="1162" spans="1:42" s="85" customFormat="1" ht="13.5" thickBot="1">
      <c r="A1162" s="240"/>
      <c r="B1162" s="241"/>
      <c r="C1162" s="242"/>
      <c r="D1162" s="242"/>
      <c r="E1162" s="243"/>
      <c r="F1162" s="244"/>
      <c r="G1162" s="244"/>
      <c r="H1162" s="243"/>
      <c r="I1162" s="258"/>
      <c r="J1162" s="245"/>
      <c r="K1162" s="245"/>
      <c r="L1162" s="76">
        <f t="shared" si="170"/>
        <v>0</v>
      </c>
      <c r="M1162" s="246"/>
      <c r="N1162" s="247"/>
      <c r="O1162" s="248"/>
      <c r="P1162" s="246"/>
      <c r="Q1162" s="249"/>
      <c r="R1162" s="250"/>
      <c r="S1162" s="259"/>
      <c r="T1162" s="260"/>
      <c r="U1162" s="250"/>
      <c r="V1162" s="78">
        <f t="shared" si="171"/>
        <v>0</v>
      </c>
      <c r="W1162" s="261">
        <f t="shared" si="172"/>
        <v>0</v>
      </c>
      <c r="X1162" s="133">
        <f t="shared" si="173"/>
        <v>0</v>
      </c>
      <c r="Y1162" s="251"/>
      <c r="Z1162" s="1736"/>
      <c r="AA1162" s="1737"/>
      <c r="AB1162" s="77">
        <f t="shared" si="174"/>
        <v>0</v>
      </c>
      <c r="AC1162" s="134">
        <f t="shared" si="175"/>
        <v>0</v>
      </c>
      <c r="AD1162" s="251"/>
      <c r="AE1162" s="1736"/>
      <c r="AF1162" s="1737"/>
      <c r="AG1162" s="77">
        <f t="shared" si="176"/>
        <v>0</v>
      </c>
      <c r="AH1162" s="136">
        <f t="shared" si="177"/>
        <v>0</v>
      </c>
      <c r="AI1162" s="251"/>
      <c r="AJ1162" s="1736"/>
      <c r="AK1162" s="1737"/>
      <c r="AL1162" s="79">
        <f t="shared" si="178"/>
        <v>0</v>
      </c>
      <c r="AM1162" s="137">
        <f t="shared" si="179"/>
        <v>0</v>
      </c>
      <c r="AN1162" s="251"/>
      <c r="AO1162" s="1736"/>
      <c r="AP1162" s="1737"/>
    </row>
    <row r="1163" spans="1:42" s="85" customFormat="1" ht="13.5" thickBot="1">
      <c r="A1163" s="240"/>
      <c r="B1163" s="241"/>
      <c r="C1163" s="242"/>
      <c r="D1163" s="242"/>
      <c r="E1163" s="243"/>
      <c r="F1163" s="244"/>
      <c r="G1163" s="244"/>
      <c r="H1163" s="243"/>
      <c r="I1163" s="258"/>
      <c r="J1163" s="245"/>
      <c r="K1163" s="245"/>
      <c r="L1163" s="76">
        <f t="shared" ref="L1163:L1226" si="180">IF(I1163=0,0,(K1163+J1163)/I1163)</f>
        <v>0</v>
      </c>
      <c r="M1163" s="246"/>
      <c r="N1163" s="247"/>
      <c r="O1163" s="248"/>
      <c r="P1163" s="246"/>
      <c r="Q1163" s="249"/>
      <c r="R1163" s="250"/>
      <c r="S1163" s="259"/>
      <c r="T1163" s="260"/>
      <c r="U1163" s="250"/>
      <c r="V1163" s="78">
        <f t="shared" ref="V1163:V1226" si="181">IF(U1163=0,0,((U1163*S1163)-AB1163-AL1163))</f>
        <v>0</v>
      </c>
      <c r="W1163" s="261">
        <f t="shared" ref="W1163:W1226" si="182">+S1163-I1163</f>
        <v>0</v>
      </c>
      <c r="X1163" s="133">
        <f t="shared" ref="X1163:X1226" si="183">(V1163-J1163)</f>
        <v>0</v>
      </c>
      <c r="Y1163" s="251"/>
      <c r="Z1163" s="1736"/>
      <c r="AA1163" s="1737"/>
      <c r="AB1163" s="77">
        <f t="shared" ref="AB1163:AB1226" si="184">(IF(I1163=0,0,M1163/H1163))*S1163</f>
        <v>0</v>
      </c>
      <c r="AC1163" s="134">
        <f t="shared" ref="AC1163:AC1226" si="185">+AB1163-P1163</f>
        <v>0</v>
      </c>
      <c r="AD1163" s="251"/>
      <c r="AE1163" s="1736"/>
      <c r="AF1163" s="1737"/>
      <c r="AG1163" s="77">
        <f t="shared" ref="AG1163:AG1226" si="186">(IF(H1163=0,0,N1163/H1163))*T1163</f>
        <v>0</v>
      </c>
      <c r="AH1163" s="136">
        <f t="shared" ref="AH1163:AH1226" si="187">+AG1163-Q1163</f>
        <v>0</v>
      </c>
      <c r="AI1163" s="251"/>
      <c r="AJ1163" s="1736"/>
      <c r="AK1163" s="1737"/>
      <c r="AL1163" s="79">
        <f t="shared" ref="AL1163:AL1226" si="188">+O1163*S1163</f>
        <v>0</v>
      </c>
      <c r="AM1163" s="137">
        <f t="shared" ref="AM1163:AM1226" si="189">+AL1163-R1163</f>
        <v>0</v>
      </c>
      <c r="AN1163" s="251"/>
      <c r="AO1163" s="1736"/>
      <c r="AP1163" s="1737"/>
    </row>
    <row r="1164" spans="1:42" s="85" customFormat="1" ht="13.5" thickBot="1">
      <c r="A1164" s="240"/>
      <c r="B1164" s="241"/>
      <c r="C1164" s="242"/>
      <c r="D1164" s="242"/>
      <c r="E1164" s="243"/>
      <c r="F1164" s="244"/>
      <c r="G1164" s="244"/>
      <c r="H1164" s="243"/>
      <c r="I1164" s="258"/>
      <c r="J1164" s="245"/>
      <c r="K1164" s="245"/>
      <c r="L1164" s="76">
        <f t="shared" si="180"/>
        <v>0</v>
      </c>
      <c r="M1164" s="246"/>
      <c r="N1164" s="247"/>
      <c r="O1164" s="248"/>
      <c r="P1164" s="246"/>
      <c r="Q1164" s="249"/>
      <c r="R1164" s="250"/>
      <c r="S1164" s="259"/>
      <c r="T1164" s="260"/>
      <c r="U1164" s="250"/>
      <c r="V1164" s="78">
        <f t="shared" si="181"/>
        <v>0</v>
      </c>
      <c r="W1164" s="261">
        <f t="shared" si="182"/>
        <v>0</v>
      </c>
      <c r="X1164" s="133">
        <f t="shared" si="183"/>
        <v>0</v>
      </c>
      <c r="Y1164" s="251"/>
      <c r="Z1164" s="1736"/>
      <c r="AA1164" s="1737"/>
      <c r="AB1164" s="77">
        <f t="shared" si="184"/>
        <v>0</v>
      </c>
      <c r="AC1164" s="134">
        <f t="shared" si="185"/>
        <v>0</v>
      </c>
      <c r="AD1164" s="251"/>
      <c r="AE1164" s="1736"/>
      <c r="AF1164" s="1737"/>
      <c r="AG1164" s="77">
        <f t="shared" si="186"/>
        <v>0</v>
      </c>
      <c r="AH1164" s="136">
        <f t="shared" si="187"/>
        <v>0</v>
      </c>
      <c r="AI1164" s="251"/>
      <c r="AJ1164" s="1736"/>
      <c r="AK1164" s="1737"/>
      <c r="AL1164" s="79">
        <f t="shared" si="188"/>
        <v>0</v>
      </c>
      <c r="AM1164" s="137">
        <f t="shared" si="189"/>
        <v>0</v>
      </c>
      <c r="AN1164" s="251"/>
      <c r="AO1164" s="1736"/>
      <c r="AP1164" s="1737"/>
    </row>
    <row r="1165" spans="1:42" s="85" customFormat="1" ht="13.5" thickBot="1">
      <c r="A1165" s="240"/>
      <c r="B1165" s="241"/>
      <c r="C1165" s="242"/>
      <c r="D1165" s="242"/>
      <c r="E1165" s="243"/>
      <c r="F1165" s="244"/>
      <c r="G1165" s="244"/>
      <c r="H1165" s="243"/>
      <c r="I1165" s="258"/>
      <c r="J1165" s="245"/>
      <c r="K1165" s="245"/>
      <c r="L1165" s="76">
        <f t="shared" si="180"/>
        <v>0</v>
      </c>
      <c r="M1165" s="246"/>
      <c r="N1165" s="247"/>
      <c r="O1165" s="248"/>
      <c r="P1165" s="246"/>
      <c r="Q1165" s="249"/>
      <c r="R1165" s="250"/>
      <c r="S1165" s="259"/>
      <c r="T1165" s="260"/>
      <c r="U1165" s="250"/>
      <c r="V1165" s="78">
        <f t="shared" si="181"/>
        <v>0</v>
      </c>
      <c r="W1165" s="261">
        <f t="shared" si="182"/>
        <v>0</v>
      </c>
      <c r="X1165" s="133">
        <f t="shared" si="183"/>
        <v>0</v>
      </c>
      <c r="Y1165" s="251"/>
      <c r="Z1165" s="1736"/>
      <c r="AA1165" s="1737"/>
      <c r="AB1165" s="77">
        <f t="shared" si="184"/>
        <v>0</v>
      </c>
      <c r="AC1165" s="134">
        <f t="shared" si="185"/>
        <v>0</v>
      </c>
      <c r="AD1165" s="251"/>
      <c r="AE1165" s="1736"/>
      <c r="AF1165" s="1737"/>
      <c r="AG1165" s="77">
        <f t="shared" si="186"/>
        <v>0</v>
      </c>
      <c r="AH1165" s="136">
        <f t="shared" si="187"/>
        <v>0</v>
      </c>
      <c r="AI1165" s="251"/>
      <c r="AJ1165" s="1736"/>
      <c r="AK1165" s="1737"/>
      <c r="AL1165" s="79">
        <f t="shared" si="188"/>
        <v>0</v>
      </c>
      <c r="AM1165" s="137">
        <f t="shared" si="189"/>
        <v>0</v>
      </c>
      <c r="AN1165" s="251"/>
      <c r="AO1165" s="1736"/>
      <c r="AP1165" s="1737"/>
    </row>
    <row r="1166" spans="1:42" s="85" customFormat="1" ht="13.5" thickBot="1">
      <c r="A1166" s="240"/>
      <c r="B1166" s="241"/>
      <c r="C1166" s="242"/>
      <c r="D1166" s="242"/>
      <c r="E1166" s="243"/>
      <c r="F1166" s="244"/>
      <c r="G1166" s="244"/>
      <c r="H1166" s="243"/>
      <c r="I1166" s="258"/>
      <c r="J1166" s="245"/>
      <c r="K1166" s="245"/>
      <c r="L1166" s="76">
        <f t="shared" si="180"/>
        <v>0</v>
      </c>
      <c r="M1166" s="246"/>
      <c r="N1166" s="247"/>
      <c r="O1166" s="248"/>
      <c r="P1166" s="246"/>
      <c r="Q1166" s="249"/>
      <c r="R1166" s="250"/>
      <c r="S1166" s="259"/>
      <c r="T1166" s="260"/>
      <c r="U1166" s="250"/>
      <c r="V1166" s="78">
        <f t="shared" si="181"/>
        <v>0</v>
      </c>
      <c r="W1166" s="261">
        <f t="shared" si="182"/>
        <v>0</v>
      </c>
      <c r="X1166" s="133">
        <f t="shared" si="183"/>
        <v>0</v>
      </c>
      <c r="Y1166" s="251"/>
      <c r="Z1166" s="1736"/>
      <c r="AA1166" s="1737"/>
      <c r="AB1166" s="77">
        <f t="shared" si="184"/>
        <v>0</v>
      </c>
      <c r="AC1166" s="134">
        <f t="shared" si="185"/>
        <v>0</v>
      </c>
      <c r="AD1166" s="251"/>
      <c r="AE1166" s="1736"/>
      <c r="AF1166" s="1737"/>
      <c r="AG1166" s="77">
        <f t="shared" si="186"/>
        <v>0</v>
      </c>
      <c r="AH1166" s="136">
        <f t="shared" si="187"/>
        <v>0</v>
      </c>
      <c r="AI1166" s="251"/>
      <c r="AJ1166" s="1736"/>
      <c r="AK1166" s="1737"/>
      <c r="AL1166" s="79">
        <f t="shared" si="188"/>
        <v>0</v>
      </c>
      <c r="AM1166" s="137">
        <f t="shared" si="189"/>
        <v>0</v>
      </c>
      <c r="AN1166" s="251"/>
      <c r="AO1166" s="1736"/>
      <c r="AP1166" s="1737"/>
    </row>
    <row r="1167" spans="1:42" s="85" customFormat="1" ht="13.5" thickBot="1">
      <c r="A1167" s="240"/>
      <c r="B1167" s="241"/>
      <c r="C1167" s="242"/>
      <c r="D1167" s="242"/>
      <c r="E1167" s="243"/>
      <c r="F1167" s="244"/>
      <c r="G1167" s="244"/>
      <c r="H1167" s="243"/>
      <c r="I1167" s="258"/>
      <c r="J1167" s="245"/>
      <c r="K1167" s="245"/>
      <c r="L1167" s="76">
        <f t="shared" si="180"/>
        <v>0</v>
      </c>
      <c r="M1167" s="246"/>
      <c r="N1167" s="247"/>
      <c r="O1167" s="248"/>
      <c r="P1167" s="246"/>
      <c r="Q1167" s="249"/>
      <c r="R1167" s="250"/>
      <c r="S1167" s="259"/>
      <c r="T1167" s="260"/>
      <c r="U1167" s="250"/>
      <c r="V1167" s="78">
        <f t="shared" si="181"/>
        <v>0</v>
      </c>
      <c r="W1167" s="261">
        <f t="shared" si="182"/>
        <v>0</v>
      </c>
      <c r="X1167" s="133">
        <f t="shared" si="183"/>
        <v>0</v>
      </c>
      <c r="Y1167" s="251"/>
      <c r="Z1167" s="1736"/>
      <c r="AA1167" s="1737"/>
      <c r="AB1167" s="77">
        <f t="shared" si="184"/>
        <v>0</v>
      </c>
      <c r="AC1167" s="134">
        <f t="shared" si="185"/>
        <v>0</v>
      </c>
      <c r="AD1167" s="251"/>
      <c r="AE1167" s="1736"/>
      <c r="AF1167" s="1737"/>
      <c r="AG1167" s="77">
        <f t="shared" si="186"/>
        <v>0</v>
      </c>
      <c r="AH1167" s="136">
        <f t="shared" si="187"/>
        <v>0</v>
      </c>
      <c r="AI1167" s="251"/>
      <c r="AJ1167" s="1736"/>
      <c r="AK1167" s="1737"/>
      <c r="AL1167" s="79">
        <f t="shared" si="188"/>
        <v>0</v>
      </c>
      <c r="AM1167" s="137">
        <f t="shared" si="189"/>
        <v>0</v>
      </c>
      <c r="AN1167" s="251"/>
      <c r="AO1167" s="1736"/>
      <c r="AP1167" s="1737"/>
    </row>
    <row r="1168" spans="1:42" s="85" customFormat="1" ht="13.5" thickBot="1">
      <c r="A1168" s="240"/>
      <c r="B1168" s="241"/>
      <c r="C1168" s="242"/>
      <c r="D1168" s="242"/>
      <c r="E1168" s="243"/>
      <c r="F1168" s="244"/>
      <c r="G1168" s="244"/>
      <c r="H1168" s="243"/>
      <c r="I1168" s="258"/>
      <c r="J1168" s="245"/>
      <c r="K1168" s="245"/>
      <c r="L1168" s="76">
        <f t="shared" si="180"/>
        <v>0</v>
      </c>
      <c r="M1168" s="246"/>
      <c r="N1168" s="247"/>
      <c r="O1168" s="248"/>
      <c r="P1168" s="246"/>
      <c r="Q1168" s="249"/>
      <c r="R1168" s="250"/>
      <c r="S1168" s="259"/>
      <c r="T1168" s="260"/>
      <c r="U1168" s="250"/>
      <c r="V1168" s="78">
        <f t="shared" si="181"/>
        <v>0</v>
      </c>
      <c r="W1168" s="261">
        <f t="shared" si="182"/>
        <v>0</v>
      </c>
      <c r="X1168" s="133">
        <f t="shared" si="183"/>
        <v>0</v>
      </c>
      <c r="Y1168" s="251"/>
      <c r="Z1168" s="1736"/>
      <c r="AA1168" s="1737"/>
      <c r="AB1168" s="77">
        <f t="shared" si="184"/>
        <v>0</v>
      </c>
      <c r="AC1168" s="134">
        <f t="shared" si="185"/>
        <v>0</v>
      </c>
      <c r="AD1168" s="251"/>
      <c r="AE1168" s="1736"/>
      <c r="AF1168" s="1737"/>
      <c r="AG1168" s="77">
        <f t="shared" si="186"/>
        <v>0</v>
      </c>
      <c r="AH1168" s="136">
        <f t="shared" si="187"/>
        <v>0</v>
      </c>
      <c r="AI1168" s="251"/>
      <c r="AJ1168" s="1736"/>
      <c r="AK1168" s="1737"/>
      <c r="AL1168" s="79">
        <f t="shared" si="188"/>
        <v>0</v>
      </c>
      <c r="AM1168" s="137">
        <f t="shared" si="189"/>
        <v>0</v>
      </c>
      <c r="AN1168" s="251"/>
      <c r="AO1168" s="1736"/>
      <c r="AP1168" s="1737"/>
    </row>
    <row r="1169" spans="1:42" s="85" customFormat="1" ht="13.5" thickBot="1">
      <c r="A1169" s="240"/>
      <c r="B1169" s="241"/>
      <c r="C1169" s="242"/>
      <c r="D1169" s="242"/>
      <c r="E1169" s="243"/>
      <c r="F1169" s="244"/>
      <c r="G1169" s="244"/>
      <c r="H1169" s="243"/>
      <c r="I1169" s="258"/>
      <c r="J1169" s="245"/>
      <c r="K1169" s="245"/>
      <c r="L1169" s="76">
        <f t="shared" si="180"/>
        <v>0</v>
      </c>
      <c r="M1169" s="246"/>
      <c r="N1169" s="247"/>
      <c r="O1169" s="248"/>
      <c r="P1169" s="246"/>
      <c r="Q1169" s="249"/>
      <c r="R1169" s="250"/>
      <c r="S1169" s="259"/>
      <c r="T1169" s="260"/>
      <c r="U1169" s="250"/>
      <c r="V1169" s="78">
        <f t="shared" si="181"/>
        <v>0</v>
      </c>
      <c r="W1169" s="261">
        <f t="shared" si="182"/>
        <v>0</v>
      </c>
      <c r="X1169" s="133">
        <f t="shared" si="183"/>
        <v>0</v>
      </c>
      <c r="Y1169" s="251"/>
      <c r="Z1169" s="1736"/>
      <c r="AA1169" s="1737"/>
      <c r="AB1169" s="77">
        <f t="shared" si="184"/>
        <v>0</v>
      </c>
      <c r="AC1169" s="134">
        <f t="shared" si="185"/>
        <v>0</v>
      </c>
      <c r="AD1169" s="251"/>
      <c r="AE1169" s="1736"/>
      <c r="AF1169" s="1737"/>
      <c r="AG1169" s="77">
        <f t="shared" si="186"/>
        <v>0</v>
      </c>
      <c r="AH1169" s="136">
        <f t="shared" si="187"/>
        <v>0</v>
      </c>
      <c r="AI1169" s="251"/>
      <c r="AJ1169" s="1736"/>
      <c r="AK1169" s="1737"/>
      <c r="AL1169" s="79">
        <f t="shared" si="188"/>
        <v>0</v>
      </c>
      <c r="AM1169" s="137">
        <f t="shared" si="189"/>
        <v>0</v>
      </c>
      <c r="AN1169" s="251"/>
      <c r="AO1169" s="1736"/>
      <c r="AP1169" s="1737"/>
    </row>
    <row r="1170" spans="1:42" s="85" customFormat="1" ht="13.5" thickBot="1">
      <c r="A1170" s="240"/>
      <c r="B1170" s="241"/>
      <c r="C1170" s="242"/>
      <c r="D1170" s="242"/>
      <c r="E1170" s="243"/>
      <c r="F1170" s="244"/>
      <c r="G1170" s="244"/>
      <c r="H1170" s="243"/>
      <c r="I1170" s="258"/>
      <c r="J1170" s="245"/>
      <c r="K1170" s="245"/>
      <c r="L1170" s="76">
        <f t="shared" si="180"/>
        <v>0</v>
      </c>
      <c r="M1170" s="246"/>
      <c r="N1170" s="247"/>
      <c r="O1170" s="248"/>
      <c r="P1170" s="246"/>
      <c r="Q1170" s="249"/>
      <c r="R1170" s="250"/>
      <c r="S1170" s="259"/>
      <c r="T1170" s="260"/>
      <c r="U1170" s="250"/>
      <c r="V1170" s="78">
        <f t="shared" si="181"/>
        <v>0</v>
      </c>
      <c r="W1170" s="261">
        <f t="shared" si="182"/>
        <v>0</v>
      </c>
      <c r="X1170" s="133">
        <f t="shared" si="183"/>
        <v>0</v>
      </c>
      <c r="Y1170" s="251"/>
      <c r="Z1170" s="1736"/>
      <c r="AA1170" s="1737"/>
      <c r="AB1170" s="77">
        <f t="shared" si="184"/>
        <v>0</v>
      </c>
      <c r="AC1170" s="134">
        <f t="shared" si="185"/>
        <v>0</v>
      </c>
      <c r="AD1170" s="251"/>
      <c r="AE1170" s="1736"/>
      <c r="AF1170" s="1737"/>
      <c r="AG1170" s="77">
        <f t="shared" si="186"/>
        <v>0</v>
      </c>
      <c r="AH1170" s="136">
        <f t="shared" si="187"/>
        <v>0</v>
      </c>
      <c r="AI1170" s="251"/>
      <c r="AJ1170" s="1736"/>
      <c r="AK1170" s="1737"/>
      <c r="AL1170" s="79">
        <f t="shared" si="188"/>
        <v>0</v>
      </c>
      <c r="AM1170" s="137">
        <f t="shared" si="189"/>
        <v>0</v>
      </c>
      <c r="AN1170" s="251"/>
      <c r="AO1170" s="1736"/>
      <c r="AP1170" s="1737"/>
    </row>
    <row r="1171" spans="1:42" s="85" customFormat="1" ht="13.5" thickBot="1">
      <c r="A1171" s="240"/>
      <c r="B1171" s="241"/>
      <c r="C1171" s="242"/>
      <c r="D1171" s="242"/>
      <c r="E1171" s="243"/>
      <c r="F1171" s="244"/>
      <c r="G1171" s="244"/>
      <c r="H1171" s="243"/>
      <c r="I1171" s="258"/>
      <c r="J1171" s="245"/>
      <c r="K1171" s="245"/>
      <c r="L1171" s="76">
        <f t="shared" si="180"/>
        <v>0</v>
      </c>
      <c r="M1171" s="246"/>
      <c r="N1171" s="247"/>
      <c r="O1171" s="248"/>
      <c r="P1171" s="246"/>
      <c r="Q1171" s="249"/>
      <c r="R1171" s="250"/>
      <c r="S1171" s="259"/>
      <c r="T1171" s="260"/>
      <c r="U1171" s="250"/>
      <c r="V1171" s="78">
        <f t="shared" si="181"/>
        <v>0</v>
      </c>
      <c r="W1171" s="261">
        <f t="shared" si="182"/>
        <v>0</v>
      </c>
      <c r="X1171" s="133">
        <f t="shared" si="183"/>
        <v>0</v>
      </c>
      <c r="Y1171" s="251"/>
      <c r="Z1171" s="1736"/>
      <c r="AA1171" s="1737"/>
      <c r="AB1171" s="77">
        <f t="shared" si="184"/>
        <v>0</v>
      </c>
      <c r="AC1171" s="134">
        <f t="shared" si="185"/>
        <v>0</v>
      </c>
      <c r="AD1171" s="251"/>
      <c r="AE1171" s="1736"/>
      <c r="AF1171" s="1737"/>
      <c r="AG1171" s="77">
        <f t="shared" si="186"/>
        <v>0</v>
      </c>
      <c r="AH1171" s="136">
        <f t="shared" si="187"/>
        <v>0</v>
      </c>
      <c r="AI1171" s="251"/>
      <c r="AJ1171" s="1736"/>
      <c r="AK1171" s="1737"/>
      <c r="AL1171" s="79">
        <f t="shared" si="188"/>
        <v>0</v>
      </c>
      <c r="AM1171" s="137">
        <f t="shared" si="189"/>
        <v>0</v>
      </c>
      <c r="AN1171" s="251"/>
      <c r="AO1171" s="1736"/>
      <c r="AP1171" s="1737"/>
    </row>
    <row r="1172" spans="1:42" s="85" customFormat="1" ht="13.5" thickBot="1">
      <c r="A1172" s="240"/>
      <c r="B1172" s="241"/>
      <c r="C1172" s="242"/>
      <c r="D1172" s="242"/>
      <c r="E1172" s="243"/>
      <c r="F1172" s="244"/>
      <c r="G1172" s="244"/>
      <c r="H1172" s="243"/>
      <c r="I1172" s="258"/>
      <c r="J1172" s="245"/>
      <c r="K1172" s="245"/>
      <c r="L1172" s="76">
        <f t="shared" si="180"/>
        <v>0</v>
      </c>
      <c r="M1172" s="246"/>
      <c r="N1172" s="247"/>
      <c r="O1172" s="248"/>
      <c r="P1172" s="246"/>
      <c r="Q1172" s="249"/>
      <c r="R1172" s="250"/>
      <c r="S1172" s="259"/>
      <c r="T1172" s="260"/>
      <c r="U1172" s="250"/>
      <c r="V1172" s="78">
        <f t="shared" si="181"/>
        <v>0</v>
      </c>
      <c r="W1172" s="261">
        <f t="shared" si="182"/>
        <v>0</v>
      </c>
      <c r="X1172" s="133">
        <f t="shared" si="183"/>
        <v>0</v>
      </c>
      <c r="Y1172" s="251"/>
      <c r="Z1172" s="1736"/>
      <c r="AA1172" s="1737"/>
      <c r="AB1172" s="77">
        <f t="shared" si="184"/>
        <v>0</v>
      </c>
      <c r="AC1172" s="134">
        <f t="shared" si="185"/>
        <v>0</v>
      </c>
      <c r="AD1172" s="251"/>
      <c r="AE1172" s="1736"/>
      <c r="AF1172" s="1737"/>
      <c r="AG1172" s="77">
        <f t="shared" si="186"/>
        <v>0</v>
      </c>
      <c r="AH1172" s="136">
        <f t="shared" si="187"/>
        <v>0</v>
      </c>
      <c r="AI1172" s="251"/>
      <c r="AJ1172" s="1736"/>
      <c r="AK1172" s="1737"/>
      <c r="AL1172" s="79">
        <f t="shared" si="188"/>
        <v>0</v>
      </c>
      <c r="AM1172" s="137">
        <f t="shared" si="189"/>
        <v>0</v>
      </c>
      <c r="AN1172" s="251"/>
      <c r="AO1172" s="1736"/>
      <c r="AP1172" s="1737"/>
    </row>
    <row r="1173" spans="1:42" s="85" customFormat="1" ht="13.5" thickBot="1">
      <c r="A1173" s="240"/>
      <c r="B1173" s="241"/>
      <c r="C1173" s="242"/>
      <c r="D1173" s="242"/>
      <c r="E1173" s="243"/>
      <c r="F1173" s="244"/>
      <c r="G1173" s="244"/>
      <c r="H1173" s="243"/>
      <c r="I1173" s="258"/>
      <c r="J1173" s="245"/>
      <c r="K1173" s="245"/>
      <c r="L1173" s="76">
        <f t="shared" si="180"/>
        <v>0</v>
      </c>
      <c r="M1173" s="246"/>
      <c r="N1173" s="247"/>
      <c r="O1173" s="248"/>
      <c r="P1173" s="246"/>
      <c r="Q1173" s="249"/>
      <c r="R1173" s="250"/>
      <c r="S1173" s="259"/>
      <c r="T1173" s="260"/>
      <c r="U1173" s="250"/>
      <c r="V1173" s="78">
        <f t="shared" si="181"/>
        <v>0</v>
      </c>
      <c r="W1173" s="261">
        <f t="shared" si="182"/>
        <v>0</v>
      </c>
      <c r="X1173" s="133">
        <f t="shared" si="183"/>
        <v>0</v>
      </c>
      <c r="Y1173" s="251"/>
      <c r="Z1173" s="1736"/>
      <c r="AA1173" s="1737"/>
      <c r="AB1173" s="77">
        <f t="shared" si="184"/>
        <v>0</v>
      </c>
      <c r="AC1173" s="134">
        <f t="shared" si="185"/>
        <v>0</v>
      </c>
      <c r="AD1173" s="251"/>
      <c r="AE1173" s="1736"/>
      <c r="AF1173" s="1737"/>
      <c r="AG1173" s="77">
        <f t="shared" si="186"/>
        <v>0</v>
      </c>
      <c r="AH1173" s="136">
        <f t="shared" si="187"/>
        <v>0</v>
      </c>
      <c r="AI1173" s="251"/>
      <c r="AJ1173" s="1736"/>
      <c r="AK1173" s="1737"/>
      <c r="AL1173" s="79">
        <f t="shared" si="188"/>
        <v>0</v>
      </c>
      <c r="AM1173" s="137">
        <f t="shared" si="189"/>
        <v>0</v>
      </c>
      <c r="AN1173" s="251"/>
      <c r="AO1173" s="1736"/>
      <c r="AP1173" s="1737"/>
    </row>
    <row r="1174" spans="1:42" s="85" customFormat="1" ht="13.5" thickBot="1">
      <c r="A1174" s="240"/>
      <c r="B1174" s="241"/>
      <c r="C1174" s="242"/>
      <c r="D1174" s="242"/>
      <c r="E1174" s="243"/>
      <c r="F1174" s="244"/>
      <c r="G1174" s="244"/>
      <c r="H1174" s="243"/>
      <c r="I1174" s="258"/>
      <c r="J1174" s="245"/>
      <c r="K1174" s="245"/>
      <c r="L1174" s="76">
        <f t="shared" si="180"/>
        <v>0</v>
      </c>
      <c r="M1174" s="246"/>
      <c r="N1174" s="247"/>
      <c r="O1174" s="248"/>
      <c r="P1174" s="246"/>
      <c r="Q1174" s="249"/>
      <c r="R1174" s="250"/>
      <c r="S1174" s="259"/>
      <c r="T1174" s="260"/>
      <c r="U1174" s="250"/>
      <c r="V1174" s="78">
        <f t="shared" si="181"/>
        <v>0</v>
      </c>
      <c r="W1174" s="261">
        <f t="shared" si="182"/>
        <v>0</v>
      </c>
      <c r="X1174" s="133">
        <f t="shared" si="183"/>
        <v>0</v>
      </c>
      <c r="Y1174" s="251"/>
      <c r="Z1174" s="1736"/>
      <c r="AA1174" s="1737"/>
      <c r="AB1174" s="77">
        <f t="shared" si="184"/>
        <v>0</v>
      </c>
      <c r="AC1174" s="134">
        <f t="shared" si="185"/>
        <v>0</v>
      </c>
      <c r="AD1174" s="251"/>
      <c r="AE1174" s="1736"/>
      <c r="AF1174" s="1737"/>
      <c r="AG1174" s="77">
        <f t="shared" si="186"/>
        <v>0</v>
      </c>
      <c r="AH1174" s="136">
        <f t="shared" si="187"/>
        <v>0</v>
      </c>
      <c r="AI1174" s="251"/>
      <c r="AJ1174" s="1736"/>
      <c r="AK1174" s="1737"/>
      <c r="AL1174" s="79">
        <f t="shared" si="188"/>
        <v>0</v>
      </c>
      <c r="AM1174" s="137">
        <f t="shared" si="189"/>
        <v>0</v>
      </c>
      <c r="AN1174" s="251"/>
      <c r="AO1174" s="1736"/>
      <c r="AP1174" s="1737"/>
    </row>
    <row r="1175" spans="1:42" s="85" customFormat="1" ht="13.5" thickBot="1">
      <c r="A1175" s="240"/>
      <c r="B1175" s="241"/>
      <c r="C1175" s="242"/>
      <c r="D1175" s="242"/>
      <c r="E1175" s="243"/>
      <c r="F1175" s="244"/>
      <c r="G1175" s="244"/>
      <c r="H1175" s="243"/>
      <c r="I1175" s="258"/>
      <c r="J1175" s="245"/>
      <c r="K1175" s="245"/>
      <c r="L1175" s="76">
        <f t="shared" si="180"/>
        <v>0</v>
      </c>
      <c r="M1175" s="246"/>
      <c r="N1175" s="247"/>
      <c r="O1175" s="248"/>
      <c r="P1175" s="246"/>
      <c r="Q1175" s="249"/>
      <c r="R1175" s="250"/>
      <c r="S1175" s="259"/>
      <c r="T1175" s="260"/>
      <c r="U1175" s="250"/>
      <c r="V1175" s="78">
        <f t="shared" si="181"/>
        <v>0</v>
      </c>
      <c r="W1175" s="261">
        <f t="shared" si="182"/>
        <v>0</v>
      </c>
      <c r="X1175" s="133">
        <f t="shared" si="183"/>
        <v>0</v>
      </c>
      <c r="Y1175" s="251"/>
      <c r="Z1175" s="1736"/>
      <c r="AA1175" s="1737"/>
      <c r="AB1175" s="77">
        <f t="shared" si="184"/>
        <v>0</v>
      </c>
      <c r="AC1175" s="134">
        <f t="shared" si="185"/>
        <v>0</v>
      </c>
      <c r="AD1175" s="251"/>
      <c r="AE1175" s="1736"/>
      <c r="AF1175" s="1737"/>
      <c r="AG1175" s="77">
        <f t="shared" si="186"/>
        <v>0</v>
      </c>
      <c r="AH1175" s="136">
        <f t="shared" si="187"/>
        <v>0</v>
      </c>
      <c r="AI1175" s="251"/>
      <c r="AJ1175" s="1736"/>
      <c r="AK1175" s="1737"/>
      <c r="AL1175" s="79">
        <f t="shared" si="188"/>
        <v>0</v>
      </c>
      <c r="AM1175" s="137">
        <f t="shared" si="189"/>
        <v>0</v>
      </c>
      <c r="AN1175" s="251"/>
      <c r="AO1175" s="1736"/>
      <c r="AP1175" s="1737"/>
    </row>
    <row r="1176" spans="1:42" s="85" customFormat="1" ht="13.5" thickBot="1">
      <c r="A1176" s="240"/>
      <c r="B1176" s="241"/>
      <c r="C1176" s="242"/>
      <c r="D1176" s="242"/>
      <c r="E1176" s="243"/>
      <c r="F1176" s="244"/>
      <c r="G1176" s="244"/>
      <c r="H1176" s="243"/>
      <c r="I1176" s="258"/>
      <c r="J1176" s="245"/>
      <c r="K1176" s="245"/>
      <c r="L1176" s="76">
        <f t="shared" si="180"/>
        <v>0</v>
      </c>
      <c r="M1176" s="246"/>
      <c r="N1176" s="247"/>
      <c r="O1176" s="248"/>
      <c r="P1176" s="246"/>
      <c r="Q1176" s="249"/>
      <c r="R1176" s="250"/>
      <c r="S1176" s="259"/>
      <c r="T1176" s="260"/>
      <c r="U1176" s="250"/>
      <c r="V1176" s="78">
        <f t="shared" si="181"/>
        <v>0</v>
      </c>
      <c r="W1176" s="261">
        <f t="shared" si="182"/>
        <v>0</v>
      </c>
      <c r="X1176" s="133">
        <f t="shared" si="183"/>
        <v>0</v>
      </c>
      <c r="Y1176" s="251"/>
      <c r="Z1176" s="1736"/>
      <c r="AA1176" s="1737"/>
      <c r="AB1176" s="77">
        <f t="shared" si="184"/>
        <v>0</v>
      </c>
      <c r="AC1176" s="134">
        <f t="shared" si="185"/>
        <v>0</v>
      </c>
      <c r="AD1176" s="251"/>
      <c r="AE1176" s="1736"/>
      <c r="AF1176" s="1737"/>
      <c r="AG1176" s="77">
        <f t="shared" si="186"/>
        <v>0</v>
      </c>
      <c r="AH1176" s="136">
        <f t="shared" si="187"/>
        <v>0</v>
      </c>
      <c r="AI1176" s="251"/>
      <c r="AJ1176" s="1736"/>
      <c r="AK1176" s="1737"/>
      <c r="AL1176" s="79">
        <f t="shared" si="188"/>
        <v>0</v>
      </c>
      <c r="AM1176" s="137">
        <f t="shared" si="189"/>
        <v>0</v>
      </c>
      <c r="AN1176" s="251"/>
      <c r="AO1176" s="1736"/>
      <c r="AP1176" s="1737"/>
    </row>
    <row r="1177" spans="1:42" s="85" customFormat="1" ht="13.5" thickBot="1">
      <c r="A1177" s="240"/>
      <c r="B1177" s="241"/>
      <c r="C1177" s="242"/>
      <c r="D1177" s="242"/>
      <c r="E1177" s="243"/>
      <c r="F1177" s="244"/>
      <c r="G1177" s="244"/>
      <c r="H1177" s="243"/>
      <c r="I1177" s="258"/>
      <c r="J1177" s="245"/>
      <c r="K1177" s="245"/>
      <c r="L1177" s="76">
        <f t="shared" si="180"/>
        <v>0</v>
      </c>
      <c r="M1177" s="246"/>
      <c r="N1177" s="247"/>
      <c r="O1177" s="248"/>
      <c r="P1177" s="246"/>
      <c r="Q1177" s="249"/>
      <c r="R1177" s="250"/>
      <c r="S1177" s="259"/>
      <c r="T1177" s="260"/>
      <c r="U1177" s="250"/>
      <c r="V1177" s="78">
        <f t="shared" si="181"/>
        <v>0</v>
      </c>
      <c r="W1177" s="261">
        <f t="shared" si="182"/>
        <v>0</v>
      </c>
      <c r="X1177" s="133">
        <f t="shared" si="183"/>
        <v>0</v>
      </c>
      <c r="Y1177" s="251"/>
      <c r="Z1177" s="1736"/>
      <c r="AA1177" s="1737"/>
      <c r="AB1177" s="77">
        <f t="shared" si="184"/>
        <v>0</v>
      </c>
      <c r="AC1177" s="134">
        <f t="shared" si="185"/>
        <v>0</v>
      </c>
      <c r="AD1177" s="251"/>
      <c r="AE1177" s="1736"/>
      <c r="AF1177" s="1737"/>
      <c r="AG1177" s="77">
        <f t="shared" si="186"/>
        <v>0</v>
      </c>
      <c r="AH1177" s="136">
        <f t="shared" si="187"/>
        <v>0</v>
      </c>
      <c r="AI1177" s="251"/>
      <c r="AJ1177" s="1736"/>
      <c r="AK1177" s="1737"/>
      <c r="AL1177" s="79">
        <f t="shared" si="188"/>
        <v>0</v>
      </c>
      <c r="AM1177" s="137">
        <f t="shared" si="189"/>
        <v>0</v>
      </c>
      <c r="AN1177" s="251"/>
      <c r="AO1177" s="1736"/>
      <c r="AP1177" s="1737"/>
    </row>
    <row r="1178" spans="1:42" s="85" customFormat="1" ht="13.5" thickBot="1">
      <c r="A1178" s="240"/>
      <c r="B1178" s="241"/>
      <c r="C1178" s="242"/>
      <c r="D1178" s="242"/>
      <c r="E1178" s="243"/>
      <c r="F1178" s="244"/>
      <c r="G1178" s="244"/>
      <c r="H1178" s="243"/>
      <c r="I1178" s="258"/>
      <c r="J1178" s="245"/>
      <c r="K1178" s="245"/>
      <c r="L1178" s="76">
        <f t="shared" si="180"/>
        <v>0</v>
      </c>
      <c r="M1178" s="246"/>
      <c r="N1178" s="247"/>
      <c r="O1178" s="248"/>
      <c r="P1178" s="246"/>
      <c r="Q1178" s="249"/>
      <c r="R1178" s="250"/>
      <c r="S1178" s="259"/>
      <c r="T1178" s="260"/>
      <c r="U1178" s="250"/>
      <c r="V1178" s="78">
        <f t="shared" si="181"/>
        <v>0</v>
      </c>
      <c r="W1178" s="261">
        <f t="shared" si="182"/>
        <v>0</v>
      </c>
      <c r="X1178" s="133">
        <f t="shared" si="183"/>
        <v>0</v>
      </c>
      <c r="Y1178" s="251"/>
      <c r="Z1178" s="1736"/>
      <c r="AA1178" s="1737"/>
      <c r="AB1178" s="77">
        <f t="shared" si="184"/>
        <v>0</v>
      </c>
      <c r="AC1178" s="134">
        <f t="shared" si="185"/>
        <v>0</v>
      </c>
      <c r="AD1178" s="251"/>
      <c r="AE1178" s="1736"/>
      <c r="AF1178" s="1737"/>
      <c r="AG1178" s="77">
        <f t="shared" si="186"/>
        <v>0</v>
      </c>
      <c r="AH1178" s="136">
        <f t="shared" si="187"/>
        <v>0</v>
      </c>
      <c r="AI1178" s="251"/>
      <c r="AJ1178" s="1736"/>
      <c r="AK1178" s="1737"/>
      <c r="AL1178" s="79">
        <f t="shared" si="188"/>
        <v>0</v>
      </c>
      <c r="AM1178" s="137">
        <f t="shared" si="189"/>
        <v>0</v>
      </c>
      <c r="AN1178" s="251"/>
      <c r="AO1178" s="1736"/>
      <c r="AP1178" s="1737"/>
    </row>
    <row r="1179" spans="1:42" s="85" customFormat="1" ht="13.5" thickBot="1">
      <c r="A1179" s="240"/>
      <c r="B1179" s="241"/>
      <c r="C1179" s="242"/>
      <c r="D1179" s="242"/>
      <c r="E1179" s="243"/>
      <c r="F1179" s="244"/>
      <c r="G1179" s="244"/>
      <c r="H1179" s="243"/>
      <c r="I1179" s="258"/>
      <c r="J1179" s="245"/>
      <c r="K1179" s="245"/>
      <c r="L1179" s="76">
        <f t="shared" si="180"/>
        <v>0</v>
      </c>
      <c r="M1179" s="246"/>
      <c r="N1179" s="247"/>
      <c r="O1179" s="248"/>
      <c r="P1179" s="246"/>
      <c r="Q1179" s="249"/>
      <c r="R1179" s="250"/>
      <c r="S1179" s="259"/>
      <c r="T1179" s="260"/>
      <c r="U1179" s="250"/>
      <c r="V1179" s="78">
        <f t="shared" si="181"/>
        <v>0</v>
      </c>
      <c r="W1179" s="261">
        <f t="shared" si="182"/>
        <v>0</v>
      </c>
      <c r="X1179" s="133">
        <f t="shared" si="183"/>
        <v>0</v>
      </c>
      <c r="Y1179" s="251"/>
      <c r="Z1179" s="1736"/>
      <c r="AA1179" s="1737"/>
      <c r="AB1179" s="77">
        <f t="shared" si="184"/>
        <v>0</v>
      </c>
      <c r="AC1179" s="134">
        <f t="shared" si="185"/>
        <v>0</v>
      </c>
      <c r="AD1179" s="251"/>
      <c r="AE1179" s="1736"/>
      <c r="AF1179" s="1737"/>
      <c r="AG1179" s="77">
        <f t="shared" si="186"/>
        <v>0</v>
      </c>
      <c r="AH1179" s="136">
        <f t="shared" si="187"/>
        <v>0</v>
      </c>
      <c r="AI1179" s="251"/>
      <c r="AJ1179" s="1736"/>
      <c r="AK1179" s="1737"/>
      <c r="AL1179" s="79">
        <f t="shared" si="188"/>
        <v>0</v>
      </c>
      <c r="AM1179" s="137">
        <f t="shared" si="189"/>
        <v>0</v>
      </c>
      <c r="AN1179" s="251"/>
      <c r="AO1179" s="1736"/>
      <c r="AP1179" s="1737"/>
    </row>
    <row r="1180" spans="1:42" s="85" customFormat="1" ht="13.5" thickBot="1">
      <c r="A1180" s="240"/>
      <c r="B1180" s="241"/>
      <c r="C1180" s="242"/>
      <c r="D1180" s="242"/>
      <c r="E1180" s="243"/>
      <c r="F1180" s="244"/>
      <c r="G1180" s="244"/>
      <c r="H1180" s="243"/>
      <c r="I1180" s="258"/>
      <c r="J1180" s="245"/>
      <c r="K1180" s="245"/>
      <c r="L1180" s="76">
        <f t="shared" si="180"/>
        <v>0</v>
      </c>
      <c r="M1180" s="246"/>
      <c r="N1180" s="247"/>
      <c r="O1180" s="248"/>
      <c r="P1180" s="246"/>
      <c r="Q1180" s="249"/>
      <c r="R1180" s="250"/>
      <c r="S1180" s="259"/>
      <c r="T1180" s="260"/>
      <c r="U1180" s="250"/>
      <c r="V1180" s="78">
        <f t="shared" si="181"/>
        <v>0</v>
      </c>
      <c r="W1180" s="261">
        <f t="shared" si="182"/>
        <v>0</v>
      </c>
      <c r="X1180" s="133">
        <f t="shared" si="183"/>
        <v>0</v>
      </c>
      <c r="Y1180" s="251"/>
      <c r="Z1180" s="1736"/>
      <c r="AA1180" s="1737"/>
      <c r="AB1180" s="77">
        <f t="shared" si="184"/>
        <v>0</v>
      </c>
      <c r="AC1180" s="134">
        <f t="shared" si="185"/>
        <v>0</v>
      </c>
      <c r="AD1180" s="251"/>
      <c r="AE1180" s="1736"/>
      <c r="AF1180" s="1737"/>
      <c r="AG1180" s="77">
        <f t="shared" si="186"/>
        <v>0</v>
      </c>
      <c r="AH1180" s="136">
        <f t="shared" si="187"/>
        <v>0</v>
      </c>
      <c r="AI1180" s="251"/>
      <c r="AJ1180" s="1736"/>
      <c r="AK1180" s="1737"/>
      <c r="AL1180" s="79">
        <f t="shared" si="188"/>
        <v>0</v>
      </c>
      <c r="AM1180" s="137">
        <f t="shared" si="189"/>
        <v>0</v>
      </c>
      <c r="AN1180" s="251"/>
      <c r="AO1180" s="1736"/>
      <c r="AP1180" s="1737"/>
    </row>
    <row r="1181" spans="1:42" s="85" customFormat="1" ht="13.5" thickBot="1">
      <c r="A1181" s="240"/>
      <c r="B1181" s="241"/>
      <c r="C1181" s="242"/>
      <c r="D1181" s="242"/>
      <c r="E1181" s="243"/>
      <c r="F1181" s="244"/>
      <c r="G1181" s="244"/>
      <c r="H1181" s="243"/>
      <c r="I1181" s="258"/>
      <c r="J1181" s="245"/>
      <c r="K1181" s="245"/>
      <c r="L1181" s="76">
        <f t="shared" si="180"/>
        <v>0</v>
      </c>
      <c r="M1181" s="246"/>
      <c r="N1181" s="247"/>
      <c r="O1181" s="248"/>
      <c r="P1181" s="246"/>
      <c r="Q1181" s="249"/>
      <c r="R1181" s="250"/>
      <c r="S1181" s="259"/>
      <c r="T1181" s="260"/>
      <c r="U1181" s="250"/>
      <c r="V1181" s="78">
        <f t="shared" si="181"/>
        <v>0</v>
      </c>
      <c r="W1181" s="261">
        <f t="shared" si="182"/>
        <v>0</v>
      </c>
      <c r="X1181" s="133">
        <f t="shared" si="183"/>
        <v>0</v>
      </c>
      <c r="Y1181" s="251"/>
      <c r="Z1181" s="1736"/>
      <c r="AA1181" s="1737"/>
      <c r="AB1181" s="77">
        <f t="shared" si="184"/>
        <v>0</v>
      </c>
      <c r="AC1181" s="134">
        <f t="shared" si="185"/>
        <v>0</v>
      </c>
      <c r="AD1181" s="251"/>
      <c r="AE1181" s="1736"/>
      <c r="AF1181" s="1737"/>
      <c r="AG1181" s="77">
        <f t="shared" si="186"/>
        <v>0</v>
      </c>
      <c r="AH1181" s="136">
        <f t="shared" si="187"/>
        <v>0</v>
      </c>
      <c r="AI1181" s="251"/>
      <c r="AJ1181" s="1736"/>
      <c r="AK1181" s="1737"/>
      <c r="AL1181" s="79">
        <f t="shared" si="188"/>
        <v>0</v>
      </c>
      <c r="AM1181" s="137">
        <f t="shared" si="189"/>
        <v>0</v>
      </c>
      <c r="AN1181" s="251"/>
      <c r="AO1181" s="1736"/>
      <c r="AP1181" s="1737"/>
    </row>
    <row r="1182" spans="1:42" s="85" customFormat="1" ht="13.5" thickBot="1">
      <c r="A1182" s="240"/>
      <c r="B1182" s="241"/>
      <c r="C1182" s="242"/>
      <c r="D1182" s="242"/>
      <c r="E1182" s="243"/>
      <c r="F1182" s="244"/>
      <c r="G1182" s="244"/>
      <c r="H1182" s="243"/>
      <c r="I1182" s="258"/>
      <c r="J1182" s="245"/>
      <c r="K1182" s="245"/>
      <c r="L1182" s="76">
        <f t="shared" si="180"/>
        <v>0</v>
      </c>
      <c r="M1182" s="246"/>
      <c r="N1182" s="247"/>
      <c r="O1182" s="248"/>
      <c r="P1182" s="246"/>
      <c r="Q1182" s="249"/>
      <c r="R1182" s="250"/>
      <c r="S1182" s="259"/>
      <c r="T1182" s="260"/>
      <c r="U1182" s="250"/>
      <c r="V1182" s="78">
        <f t="shared" si="181"/>
        <v>0</v>
      </c>
      <c r="W1182" s="261">
        <f t="shared" si="182"/>
        <v>0</v>
      </c>
      <c r="X1182" s="133">
        <f t="shared" si="183"/>
        <v>0</v>
      </c>
      <c r="Y1182" s="251"/>
      <c r="Z1182" s="1736"/>
      <c r="AA1182" s="1737"/>
      <c r="AB1182" s="77">
        <f t="shared" si="184"/>
        <v>0</v>
      </c>
      <c r="AC1182" s="134">
        <f t="shared" si="185"/>
        <v>0</v>
      </c>
      <c r="AD1182" s="251"/>
      <c r="AE1182" s="1736"/>
      <c r="AF1182" s="1737"/>
      <c r="AG1182" s="77">
        <f t="shared" si="186"/>
        <v>0</v>
      </c>
      <c r="AH1182" s="136">
        <f t="shared" si="187"/>
        <v>0</v>
      </c>
      <c r="AI1182" s="251"/>
      <c r="AJ1182" s="1736"/>
      <c r="AK1182" s="1737"/>
      <c r="AL1182" s="79">
        <f t="shared" si="188"/>
        <v>0</v>
      </c>
      <c r="AM1182" s="137">
        <f t="shared" si="189"/>
        <v>0</v>
      </c>
      <c r="AN1182" s="251"/>
      <c r="AO1182" s="1736"/>
      <c r="AP1182" s="1737"/>
    </row>
    <row r="1183" spans="1:42" s="85" customFormat="1" ht="13.5" thickBot="1">
      <c r="A1183" s="240"/>
      <c r="B1183" s="241"/>
      <c r="C1183" s="242"/>
      <c r="D1183" s="242"/>
      <c r="E1183" s="243"/>
      <c r="F1183" s="244"/>
      <c r="G1183" s="244"/>
      <c r="H1183" s="243"/>
      <c r="I1183" s="258"/>
      <c r="J1183" s="245"/>
      <c r="K1183" s="245"/>
      <c r="L1183" s="76">
        <f t="shared" si="180"/>
        <v>0</v>
      </c>
      <c r="M1183" s="246"/>
      <c r="N1183" s="247"/>
      <c r="O1183" s="248"/>
      <c r="P1183" s="246"/>
      <c r="Q1183" s="249"/>
      <c r="R1183" s="250"/>
      <c r="S1183" s="259"/>
      <c r="T1183" s="260"/>
      <c r="U1183" s="250"/>
      <c r="V1183" s="78">
        <f t="shared" si="181"/>
        <v>0</v>
      </c>
      <c r="W1183" s="261">
        <f t="shared" si="182"/>
        <v>0</v>
      </c>
      <c r="X1183" s="133">
        <f t="shared" si="183"/>
        <v>0</v>
      </c>
      <c r="Y1183" s="251"/>
      <c r="Z1183" s="1736"/>
      <c r="AA1183" s="1737"/>
      <c r="AB1183" s="77">
        <f t="shared" si="184"/>
        <v>0</v>
      </c>
      <c r="AC1183" s="134">
        <f t="shared" si="185"/>
        <v>0</v>
      </c>
      <c r="AD1183" s="251"/>
      <c r="AE1183" s="1736"/>
      <c r="AF1183" s="1737"/>
      <c r="AG1183" s="77">
        <f t="shared" si="186"/>
        <v>0</v>
      </c>
      <c r="AH1183" s="136">
        <f t="shared" si="187"/>
        <v>0</v>
      </c>
      <c r="AI1183" s="251"/>
      <c r="AJ1183" s="1736"/>
      <c r="AK1183" s="1737"/>
      <c r="AL1183" s="79">
        <f t="shared" si="188"/>
        <v>0</v>
      </c>
      <c r="AM1183" s="137">
        <f t="shared" si="189"/>
        <v>0</v>
      </c>
      <c r="AN1183" s="251"/>
      <c r="AO1183" s="1736"/>
      <c r="AP1183" s="1737"/>
    </row>
    <row r="1184" spans="1:42" s="85" customFormat="1" ht="13.5" thickBot="1">
      <c r="A1184" s="240"/>
      <c r="B1184" s="241"/>
      <c r="C1184" s="242"/>
      <c r="D1184" s="242"/>
      <c r="E1184" s="243"/>
      <c r="F1184" s="244"/>
      <c r="G1184" s="244"/>
      <c r="H1184" s="243"/>
      <c r="I1184" s="258"/>
      <c r="J1184" s="245"/>
      <c r="K1184" s="245"/>
      <c r="L1184" s="76">
        <f t="shared" si="180"/>
        <v>0</v>
      </c>
      <c r="M1184" s="246"/>
      <c r="N1184" s="247"/>
      <c r="O1184" s="248"/>
      <c r="P1184" s="246"/>
      <c r="Q1184" s="249"/>
      <c r="R1184" s="250"/>
      <c r="S1184" s="259"/>
      <c r="T1184" s="260"/>
      <c r="U1184" s="250"/>
      <c r="V1184" s="78">
        <f t="shared" si="181"/>
        <v>0</v>
      </c>
      <c r="W1184" s="261">
        <f t="shared" si="182"/>
        <v>0</v>
      </c>
      <c r="X1184" s="133">
        <f t="shared" si="183"/>
        <v>0</v>
      </c>
      <c r="Y1184" s="251"/>
      <c r="Z1184" s="1736"/>
      <c r="AA1184" s="1737"/>
      <c r="AB1184" s="77">
        <f t="shared" si="184"/>
        <v>0</v>
      </c>
      <c r="AC1184" s="134">
        <f t="shared" si="185"/>
        <v>0</v>
      </c>
      <c r="AD1184" s="251"/>
      <c r="AE1184" s="1736"/>
      <c r="AF1184" s="1737"/>
      <c r="AG1184" s="77">
        <f t="shared" si="186"/>
        <v>0</v>
      </c>
      <c r="AH1184" s="136">
        <f t="shared" si="187"/>
        <v>0</v>
      </c>
      <c r="AI1184" s="251"/>
      <c r="AJ1184" s="1736"/>
      <c r="AK1184" s="1737"/>
      <c r="AL1184" s="79">
        <f t="shared" si="188"/>
        <v>0</v>
      </c>
      <c r="AM1184" s="137">
        <f t="shared" si="189"/>
        <v>0</v>
      </c>
      <c r="AN1184" s="251"/>
      <c r="AO1184" s="1736"/>
      <c r="AP1184" s="1737"/>
    </row>
    <row r="1185" spans="1:42" s="85" customFormat="1" ht="13.5" thickBot="1">
      <c r="A1185" s="240"/>
      <c r="B1185" s="241"/>
      <c r="C1185" s="242"/>
      <c r="D1185" s="242"/>
      <c r="E1185" s="243"/>
      <c r="F1185" s="244"/>
      <c r="G1185" s="244"/>
      <c r="H1185" s="243"/>
      <c r="I1185" s="258"/>
      <c r="J1185" s="245"/>
      <c r="K1185" s="245"/>
      <c r="L1185" s="76">
        <f t="shared" si="180"/>
        <v>0</v>
      </c>
      <c r="M1185" s="246"/>
      <c r="N1185" s="247"/>
      <c r="O1185" s="248"/>
      <c r="P1185" s="246"/>
      <c r="Q1185" s="249"/>
      <c r="R1185" s="250"/>
      <c r="S1185" s="259"/>
      <c r="T1185" s="260"/>
      <c r="U1185" s="250"/>
      <c r="V1185" s="78">
        <f t="shared" si="181"/>
        <v>0</v>
      </c>
      <c r="W1185" s="261">
        <f t="shared" si="182"/>
        <v>0</v>
      </c>
      <c r="X1185" s="133">
        <f t="shared" si="183"/>
        <v>0</v>
      </c>
      <c r="Y1185" s="251"/>
      <c r="Z1185" s="1736"/>
      <c r="AA1185" s="1737"/>
      <c r="AB1185" s="77">
        <f t="shared" si="184"/>
        <v>0</v>
      </c>
      <c r="AC1185" s="134">
        <f t="shared" si="185"/>
        <v>0</v>
      </c>
      <c r="AD1185" s="251"/>
      <c r="AE1185" s="1736"/>
      <c r="AF1185" s="1737"/>
      <c r="AG1185" s="77">
        <f t="shared" si="186"/>
        <v>0</v>
      </c>
      <c r="AH1185" s="136">
        <f t="shared" si="187"/>
        <v>0</v>
      </c>
      <c r="AI1185" s="251"/>
      <c r="AJ1185" s="1736"/>
      <c r="AK1185" s="1737"/>
      <c r="AL1185" s="79">
        <f t="shared" si="188"/>
        <v>0</v>
      </c>
      <c r="AM1185" s="137">
        <f t="shared" si="189"/>
        <v>0</v>
      </c>
      <c r="AN1185" s="251"/>
      <c r="AO1185" s="1736"/>
      <c r="AP1185" s="1737"/>
    </row>
    <row r="1186" spans="1:42" s="85" customFormat="1" ht="13.5" thickBot="1">
      <c r="A1186" s="240"/>
      <c r="B1186" s="241"/>
      <c r="C1186" s="242"/>
      <c r="D1186" s="242"/>
      <c r="E1186" s="243"/>
      <c r="F1186" s="244"/>
      <c r="G1186" s="244"/>
      <c r="H1186" s="243"/>
      <c r="I1186" s="258"/>
      <c r="J1186" s="245"/>
      <c r="K1186" s="245"/>
      <c r="L1186" s="76">
        <f t="shared" si="180"/>
        <v>0</v>
      </c>
      <c r="M1186" s="246"/>
      <c r="N1186" s="247"/>
      <c r="O1186" s="248"/>
      <c r="P1186" s="246"/>
      <c r="Q1186" s="249"/>
      <c r="R1186" s="250"/>
      <c r="S1186" s="259"/>
      <c r="T1186" s="260"/>
      <c r="U1186" s="250"/>
      <c r="V1186" s="78">
        <f t="shared" si="181"/>
        <v>0</v>
      </c>
      <c r="W1186" s="261">
        <f t="shared" si="182"/>
        <v>0</v>
      </c>
      <c r="X1186" s="133">
        <f t="shared" si="183"/>
        <v>0</v>
      </c>
      <c r="Y1186" s="251"/>
      <c r="Z1186" s="1736"/>
      <c r="AA1186" s="1737"/>
      <c r="AB1186" s="77">
        <f t="shared" si="184"/>
        <v>0</v>
      </c>
      <c r="AC1186" s="134">
        <f t="shared" si="185"/>
        <v>0</v>
      </c>
      <c r="AD1186" s="251"/>
      <c r="AE1186" s="1736"/>
      <c r="AF1186" s="1737"/>
      <c r="AG1186" s="77">
        <f t="shared" si="186"/>
        <v>0</v>
      </c>
      <c r="AH1186" s="136">
        <f t="shared" si="187"/>
        <v>0</v>
      </c>
      <c r="AI1186" s="251"/>
      <c r="AJ1186" s="1736"/>
      <c r="AK1186" s="1737"/>
      <c r="AL1186" s="79">
        <f t="shared" si="188"/>
        <v>0</v>
      </c>
      <c r="AM1186" s="137">
        <f t="shared" si="189"/>
        <v>0</v>
      </c>
      <c r="AN1186" s="251"/>
      <c r="AO1186" s="1736"/>
      <c r="AP1186" s="1737"/>
    </row>
    <row r="1187" spans="1:42" s="85" customFormat="1" ht="13.5" thickBot="1">
      <c r="A1187" s="240"/>
      <c r="B1187" s="241"/>
      <c r="C1187" s="242"/>
      <c r="D1187" s="242"/>
      <c r="E1187" s="243"/>
      <c r="F1187" s="244"/>
      <c r="G1187" s="244"/>
      <c r="H1187" s="243"/>
      <c r="I1187" s="258"/>
      <c r="J1187" s="245"/>
      <c r="K1187" s="245"/>
      <c r="L1187" s="76">
        <f t="shared" si="180"/>
        <v>0</v>
      </c>
      <c r="M1187" s="246"/>
      <c r="N1187" s="247"/>
      <c r="O1187" s="248"/>
      <c r="P1187" s="246"/>
      <c r="Q1187" s="249"/>
      <c r="R1187" s="250"/>
      <c r="S1187" s="259"/>
      <c r="T1187" s="260"/>
      <c r="U1187" s="250"/>
      <c r="V1187" s="78">
        <f t="shared" si="181"/>
        <v>0</v>
      </c>
      <c r="W1187" s="261">
        <f t="shared" si="182"/>
        <v>0</v>
      </c>
      <c r="X1187" s="133">
        <f t="shared" si="183"/>
        <v>0</v>
      </c>
      <c r="Y1187" s="251"/>
      <c r="Z1187" s="1736"/>
      <c r="AA1187" s="1737"/>
      <c r="AB1187" s="77">
        <f t="shared" si="184"/>
        <v>0</v>
      </c>
      <c r="AC1187" s="134">
        <f t="shared" si="185"/>
        <v>0</v>
      </c>
      <c r="AD1187" s="251"/>
      <c r="AE1187" s="1736"/>
      <c r="AF1187" s="1737"/>
      <c r="AG1187" s="77">
        <f t="shared" si="186"/>
        <v>0</v>
      </c>
      <c r="AH1187" s="136">
        <f t="shared" si="187"/>
        <v>0</v>
      </c>
      <c r="AI1187" s="251"/>
      <c r="AJ1187" s="1736"/>
      <c r="AK1187" s="1737"/>
      <c r="AL1187" s="79">
        <f t="shared" si="188"/>
        <v>0</v>
      </c>
      <c r="AM1187" s="137">
        <f t="shared" si="189"/>
        <v>0</v>
      </c>
      <c r="AN1187" s="251"/>
      <c r="AO1187" s="1736"/>
      <c r="AP1187" s="1737"/>
    </row>
    <row r="1188" spans="1:42" s="85" customFormat="1" ht="13.5" thickBot="1">
      <c r="A1188" s="240"/>
      <c r="B1188" s="241"/>
      <c r="C1188" s="242"/>
      <c r="D1188" s="242"/>
      <c r="E1188" s="243"/>
      <c r="F1188" s="244"/>
      <c r="G1188" s="244"/>
      <c r="H1188" s="243"/>
      <c r="I1188" s="258"/>
      <c r="J1188" s="245"/>
      <c r="K1188" s="245"/>
      <c r="L1188" s="76">
        <f t="shared" si="180"/>
        <v>0</v>
      </c>
      <c r="M1188" s="246"/>
      <c r="N1188" s="247"/>
      <c r="O1188" s="248"/>
      <c r="P1188" s="246"/>
      <c r="Q1188" s="249"/>
      <c r="R1188" s="250"/>
      <c r="S1188" s="259"/>
      <c r="T1188" s="260"/>
      <c r="U1188" s="250"/>
      <c r="V1188" s="78">
        <f t="shared" si="181"/>
        <v>0</v>
      </c>
      <c r="W1188" s="261">
        <f t="shared" si="182"/>
        <v>0</v>
      </c>
      <c r="X1188" s="133">
        <f t="shared" si="183"/>
        <v>0</v>
      </c>
      <c r="Y1188" s="251"/>
      <c r="Z1188" s="1736"/>
      <c r="AA1188" s="1737"/>
      <c r="AB1188" s="77">
        <f t="shared" si="184"/>
        <v>0</v>
      </c>
      <c r="AC1188" s="134">
        <f t="shared" si="185"/>
        <v>0</v>
      </c>
      <c r="AD1188" s="251"/>
      <c r="AE1188" s="1736"/>
      <c r="AF1188" s="1737"/>
      <c r="AG1188" s="77">
        <f t="shared" si="186"/>
        <v>0</v>
      </c>
      <c r="AH1188" s="136">
        <f t="shared" si="187"/>
        <v>0</v>
      </c>
      <c r="AI1188" s="251"/>
      <c r="AJ1188" s="1736"/>
      <c r="AK1188" s="1737"/>
      <c r="AL1188" s="79">
        <f t="shared" si="188"/>
        <v>0</v>
      </c>
      <c r="AM1188" s="137">
        <f t="shared" si="189"/>
        <v>0</v>
      </c>
      <c r="AN1188" s="251"/>
      <c r="AO1188" s="1736"/>
      <c r="AP1188" s="1737"/>
    </row>
    <row r="1189" spans="1:42" s="85" customFormat="1" ht="13.5" thickBot="1">
      <c r="A1189" s="240"/>
      <c r="B1189" s="241"/>
      <c r="C1189" s="242"/>
      <c r="D1189" s="242"/>
      <c r="E1189" s="243"/>
      <c r="F1189" s="244"/>
      <c r="G1189" s="244"/>
      <c r="H1189" s="243"/>
      <c r="I1189" s="258"/>
      <c r="J1189" s="245"/>
      <c r="K1189" s="245"/>
      <c r="L1189" s="76">
        <f t="shared" si="180"/>
        <v>0</v>
      </c>
      <c r="M1189" s="246"/>
      <c r="N1189" s="247"/>
      <c r="O1189" s="248"/>
      <c r="P1189" s="246"/>
      <c r="Q1189" s="249"/>
      <c r="R1189" s="250"/>
      <c r="S1189" s="259"/>
      <c r="T1189" s="260"/>
      <c r="U1189" s="250"/>
      <c r="V1189" s="78">
        <f t="shared" si="181"/>
        <v>0</v>
      </c>
      <c r="W1189" s="261">
        <f t="shared" si="182"/>
        <v>0</v>
      </c>
      <c r="X1189" s="133">
        <f t="shared" si="183"/>
        <v>0</v>
      </c>
      <c r="Y1189" s="251"/>
      <c r="Z1189" s="1736"/>
      <c r="AA1189" s="1737"/>
      <c r="AB1189" s="77">
        <f t="shared" si="184"/>
        <v>0</v>
      </c>
      <c r="AC1189" s="134">
        <f t="shared" si="185"/>
        <v>0</v>
      </c>
      <c r="AD1189" s="251"/>
      <c r="AE1189" s="1736"/>
      <c r="AF1189" s="1737"/>
      <c r="AG1189" s="77">
        <f t="shared" si="186"/>
        <v>0</v>
      </c>
      <c r="AH1189" s="136">
        <f t="shared" si="187"/>
        <v>0</v>
      </c>
      <c r="AI1189" s="251"/>
      <c r="AJ1189" s="1736"/>
      <c r="AK1189" s="1737"/>
      <c r="AL1189" s="79">
        <f t="shared" si="188"/>
        <v>0</v>
      </c>
      <c r="AM1189" s="137">
        <f t="shared" si="189"/>
        <v>0</v>
      </c>
      <c r="AN1189" s="251"/>
      <c r="AO1189" s="1736"/>
      <c r="AP1189" s="1737"/>
    </row>
    <row r="1190" spans="1:42" s="85" customFormat="1" ht="13.5" thickBot="1">
      <c r="A1190" s="240"/>
      <c r="B1190" s="241"/>
      <c r="C1190" s="242"/>
      <c r="D1190" s="242"/>
      <c r="E1190" s="243"/>
      <c r="F1190" s="244"/>
      <c r="G1190" s="244"/>
      <c r="H1190" s="243"/>
      <c r="I1190" s="258"/>
      <c r="J1190" s="245"/>
      <c r="K1190" s="245"/>
      <c r="L1190" s="76">
        <f t="shared" si="180"/>
        <v>0</v>
      </c>
      <c r="M1190" s="246"/>
      <c r="N1190" s="247"/>
      <c r="O1190" s="248"/>
      <c r="P1190" s="246"/>
      <c r="Q1190" s="249"/>
      <c r="R1190" s="250"/>
      <c r="S1190" s="259"/>
      <c r="T1190" s="260"/>
      <c r="U1190" s="250"/>
      <c r="V1190" s="78">
        <f t="shared" si="181"/>
        <v>0</v>
      </c>
      <c r="W1190" s="261">
        <f t="shared" si="182"/>
        <v>0</v>
      </c>
      <c r="X1190" s="133">
        <f t="shared" si="183"/>
        <v>0</v>
      </c>
      <c r="Y1190" s="251"/>
      <c r="Z1190" s="1736"/>
      <c r="AA1190" s="1737"/>
      <c r="AB1190" s="77">
        <f t="shared" si="184"/>
        <v>0</v>
      </c>
      <c r="AC1190" s="134">
        <f t="shared" si="185"/>
        <v>0</v>
      </c>
      <c r="AD1190" s="251"/>
      <c r="AE1190" s="1736"/>
      <c r="AF1190" s="1737"/>
      <c r="AG1190" s="77">
        <f t="shared" si="186"/>
        <v>0</v>
      </c>
      <c r="AH1190" s="136">
        <f t="shared" si="187"/>
        <v>0</v>
      </c>
      <c r="AI1190" s="251"/>
      <c r="AJ1190" s="1736"/>
      <c r="AK1190" s="1737"/>
      <c r="AL1190" s="79">
        <f t="shared" si="188"/>
        <v>0</v>
      </c>
      <c r="AM1190" s="137">
        <f t="shared" si="189"/>
        <v>0</v>
      </c>
      <c r="AN1190" s="251"/>
      <c r="AO1190" s="1736"/>
      <c r="AP1190" s="1737"/>
    </row>
    <row r="1191" spans="1:42" s="85" customFormat="1" ht="13.5" thickBot="1">
      <c r="A1191" s="240"/>
      <c r="B1191" s="241"/>
      <c r="C1191" s="242"/>
      <c r="D1191" s="242"/>
      <c r="E1191" s="243"/>
      <c r="F1191" s="244"/>
      <c r="G1191" s="244"/>
      <c r="H1191" s="243"/>
      <c r="I1191" s="258"/>
      <c r="J1191" s="245"/>
      <c r="K1191" s="245"/>
      <c r="L1191" s="76">
        <f t="shared" si="180"/>
        <v>0</v>
      </c>
      <c r="M1191" s="246"/>
      <c r="N1191" s="247"/>
      <c r="O1191" s="248"/>
      <c r="P1191" s="246"/>
      <c r="Q1191" s="249"/>
      <c r="R1191" s="250"/>
      <c r="S1191" s="259"/>
      <c r="T1191" s="260"/>
      <c r="U1191" s="250"/>
      <c r="V1191" s="78">
        <f t="shared" si="181"/>
        <v>0</v>
      </c>
      <c r="W1191" s="261">
        <f t="shared" si="182"/>
        <v>0</v>
      </c>
      <c r="X1191" s="133">
        <f t="shared" si="183"/>
        <v>0</v>
      </c>
      <c r="Y1191" s="251"/>
      <c r="Z1191" s="1736"/>
      <c r="AA1191" s="1737"/>
      <c r="AB1191" s="77">
        <f t="shared" si="184"/>
        <v>0</v>
      </c>
      <c r="AC1191" s="134">
        <f t="shared" si="185"/>
        <v>0</v>
      </c>
      <c r="AD1191" s="251"/>
      <c r="AE1191" s="1736"/>
      <c r="AF1191" s="1737"/>
      <c r="AG1191" s="77">
        <f t="shared" si="186"/>
        <v>0</v>
      </c>
      <c r="AH1191" s="136">
        <f t="shared" si="187"/>
        <v>0</v>
      </c>
      <c r="AI1191" s="251"/>
      <c r="AJ1191" s="1736"/>
      <c r="AK1191" s="1737"/>
      <c r="AL1191" s="79">
        <f t="shared" si="188"/>
        <v>0</v>
      </c>
      <c r="AM1191" s="137">
        <f t="shared" si="189"/>
        <v>0</v>
      </c>
      <c r="AN1191" s="251"/>
      <c r="AO1191" s="1736"/>
      <c r="AP1191" s="1737"/>
    </row>
    <row r="1192" spans="1:42" s="85" customFormat="1" ht="13.5" thickBot="1">
      <c r="A1192" s="240"/>
      <c r="B1192" s="241"/>
      <c r="C1192" s="242"/>
      <c r="D1192" s="242"/>
      <c r="E1192" s="243"/>
      <c r="F1192" s="244"/>
      <c r="G1192" s="244"/>
      <c r="H1192" s="243"/>
      <c r="I1192" s="258"/>
      <c r="J1192" s="245"/>
      <c r="K1192" s="245"/>
      <c r="L1192" s="76">
        <f t="shared" si="180"/>
        <v>0</v>
      </c>
      <c r="M1192" s="246"/>
      <c r="N1192" s="247"/>
      <c r="O1192" s="248"/>
      <c r="P1192" s="246"/>
      <c r="Q1192" s="249"/>
      <c r="R1192" s="250"/>
      <c r="S1192" s="259"/>
      <c r="T1192" s="260"/>
      <c r="U1192" s="250"/>
      <c r="V1192" s="78">
        <f t="shared" si="181"/>
        <v>0</v>
      </c>
      <c r="W1192" s="261">
        <f t="shared" si="182"/>
        <v>0</v>
      </c>
      <c r="X1192" s="133">
        <f t="shared" si="183"/>
        <v>0</v>
      </c>
      <c r="Y1192" s="251"/>
      <c r="Z1192" s="1736"/>
      <c r="AA1192" s="1737"/>
      <c r="AB1192" s="77">
        <f t="shared" si="184"/>
        <v>0</v>
      </c>
      <c r="AC1192" s="134">
        <f t="shared" si="185"/>
        <v>0</v>
      </c>
      <c r="AD1192" s="251"/>
      <c r="AE1192" s="1736"/>
      <c r="AF1192" s="1737"/>
      <c r="AG1192" s="77">
        <f t="shared" si="186"/>
        <v>0</v>
      </c>
      <c r="AH1192" s="136">
        <f t="shared" si="187"/>
        <v>0</v>
      </c>
      <c r="AI1192" s="251"/>
      <c r="AJ1192" s="1736"/>
      <c r="AK1192" s="1737"/>
      <c r="AL1192" s="79">
        <f t="shared" si="188"/>
        <v>0</v>
      </c>
      <c r="AM1192" s="137">
        <f t="shared" si="189"/>
        <v>0</v>
      </c>
      <c r="AN1192" s="251"/>
      <c r="AO1192" s="1736"/>
      <c r="AP1192" s="1737"/>
    </row>
    <row r="1193" spans="1:42" s="85" customFormat="1" ht="13.5" thickBot="1">
      <c r="A1193" s="240"/>
      <c r="B1193" s="241"/>
      <c r="C1193" s="242"/>
      <c r="D1193" s="242"/>
      <c r="E1193" s="243"/>
      <c r="F1193" s="244"/>
      <c r="G1193" s="244"/>
      <c r="H1193" s="243"/>
      <c r="I1193" s="258"/>
      <c r="J1193" s="245"/>
      <c r="K1193" s="245"/>
      <c r="L1193" s="76">
        <f t="shared" si="180"/>
        <v>0</v>
      </c>
      <c r="M1193" s="246"/>
      <c r="N1193" s="247"/>
      <c r="O1193" s="248"/>
      <c r="P1193" s="246"/>
      <c r="Q1193" s="249"/>
      <c r="R1193" s="250"/>
      <c r="S1193" s="259"/>
      <c r="T1193" s="260"/>
      <c r="U1193" s="250"/>
      <c r="V1193" s="78">
        <f t="shared" si="181"/>
        <v>0</v>
      </c>
      <c r="W1193" s="261">
        <f t="shared" si="182"/>
        <v>0</v>
      </c>
      <c r="X1193" s="133">
        <f t="shared" si="183"/>
        <v>0</v>
      </c>
      <c r="Y1193" s="251"/>
      <c r="Z1193" s="1736"/>
      <c r="AA1193" s="1737"/>
      <c r="AB1193" s="77">
        <f t="shared" si="184"/>
        <v>0</v>
      </c>
      <c r="AC1193" s="134">
        <f t="shared" si="185"/>
        <v>0</v>
      </c>
      <c r="AD1193" s="251"/>
      <c r="AE1193" s="1736"/>
      <c r="AF1193" s="1737"/>
      <c r="AG1193" s="77">
        <f t="shared" si="186"/>
        <v>0</v>
      </c>
      <c r="AH1193" s="136">
        <f t="shared" si="187"/>
        <v>0</v>
      </c>
      <c r="AI1193" s="251"/>
      <c r="AJ1193" s="1736"/>
      <c r="AK1193" s="1737"/>
      <c r="AL1193" s="79">
        <f t="shared" si="188"/>
        <v>0</v>
      </c>
      <c r="AM1193" s="137">
        <f t="shared" si="189"/>
        <v>0</v>
      </c>
      <c r="AN1193" s="251"/>
      <c r="AO1193" s="1736"/>
      <c r="AP1193" s="1737"/>
    </row>
    <row r="1194" spans="1:42" s="85" customFormat="1" ht="13.5" thickBot="1">
      <c r="A1194" s="240"/>
      <c r="B1194" s="241"/>
      <c r="C1194" s="242"/>
      <c r="D1194" s="242"/>
      <c r="E1194" s="243"/>
      <c r="F1194" s="244"/>
      <c r="G1194" s="244"/>
      <c r="H1194" s="243"/>
      <c r="I1194" s="258"/>
      <c r="J1194" s="245"/>
      <c r="K1194" s="245"/>
      <c r="L1194" s="76">
        <f t="shared" si="180"/>
        <v>0</v>
      </c>
      <c r="M1194" s="246"/>
      <c r="N1194" s="247"/>
      <c r="O1194" s="248"/>
      <c r="P1194" s="246"/>
      <c r="Q1194" s="249"/>
      <c r="R1194" s="250"/>
      <c r="S1194" s="259"/>
      <c r="T1194" s="260"/>
      <c r="U1194" s="250"/>
      <c r="V1194" s="78">
        <f t="shared" si="181"/>
        <v>0</v>
      </c>
      <c r="W1194" s="261">
        <f t="shared" si="182"/>
        <v>0</v>
      </c>
      <c r="X1194" s="133">
        <f t="shared" si="183"/>
        <v>0</v>
      </c>
      <c r="Y1194" s="251"/>
      <c r="Z1194" s="1736"/>
      <c r="AA1194" s="1737"/>
      <c r="AB1194" s="77">
        <f t="shared" si="184"/>
        <v>0</v>
      </c>
      <c r="AC1194" s="134">
        <f t="shared" si="185"/>
        <v>0</v>
      </c>
      <c r="AD1194" s="251"/>
      <c r="AE1194" s="1736"/>
      <c r="AF1194" s="1737"/>
      <c r="AG1194" s="77">
        <f t="shared" si="186"/>
        <v>0</v>
      </c>
      <c r="AH1194" s="136">
        <f t="shared" si="187"/>
        <v>0</v>
      </c>
      <c r="AI1194" s="251"/>
      <c r="AJ1194" s="1736"/>
      <c r="AK1194" s="1737"/>
      <c r="AL1194" s="79">
        <f t="shared" si="188"/>
        <v>0</v>
      </c>
      <c r="AM1194" s="137">
        <f t="shared" si="189"/>
        <v>0</v>
      </c>
      <c r="AN1194" s="251"/>
      <c r="AO1194" s="1736"/>
      <c r="AP1194" s="1737"/>
    </row>
    <row r="1195" spans="1:42" s="85" customFormat="1" ht="13.5" thickBot="1">
      <c r="A1195" s="240"/>
      <c r="B1195" s="241"/>
      <c r="C1195" s="242"/>
      <c r="D1195" s="242"/>
      <c r="E1195" s="243"/>
      <c r="F1195" s="244"/>
      <c r="G1195" s="244"/>
      <c r="H1195" s="243"/>
      <c r="I1195" s="258"/>
      <c r="J1195" s="245"/>
      <c r="K1195" s="245"/>
      <c r="L1195" s="76">
        <f t="shared" si="180"/>
        <v>0</v>
      </c>
      <c r="M1195" s="246"/>
      <c r="N1195" s="247"/>
      <c r="O1195" s="248"/>
      <c r="P1195" s="246"/>
      <c r="Q1195" s="249"/>
      <c r="R1195" s="250"/>
      <c r="S1195" s="259"/>
      <c r="T1195" s="260"/>
      <c r="U1195" s="250"/>
      <c r="V1195" s="78">
        <f t="shared" si="181"/>
        <v>0</v>
      </c>
      <c r="W1195" s="261">
        <f t="shared" si="182"/>
        <v>0</v>
      </c>
      <c r="X1195" s="133">
        <f t="shared" si="183"/>
        <v>0</v>
      </c>
      <c r="Y1195" s="251"/>
      <c r="Z1195" s="1736"/>
      <c r="AA1195" s="1737"/>
      <c r="AB1195" s="77">
        <f t="shared" si="184"/>
        <v>0</v>
      </c>
      <c r="AC1195" s="134">
        <f t="shared" si="185"/>
        <v>0</v>
      </c>
      <c r="AD1195" s="251"/>
      <c r="AE1195" s="1736"/>
      <c r="AF1195" s="1737"/>
      <c r="AG1195" s="77">
        <f t="shared" si="186"/>
        <v>0</v>
      </c>
      <c r="AH1195" s="136">
        <f t="shared" si="187"/>
        <v>0</v>
      </c>
      <c r="AI1195" s="251"/>
      <c r="AJ1195" s="1736"/>
      <c r="AK1195" s="1737"/>
      <c r="AL1195" s="79">
        <f t="shared" si="188"/>
        <v>0</v>
      </c>
      <c r="AM1195" s="137">
        <f t="shared" si="189"/>
        <v>0</v>
      </c>
      <c r="AN1195" s="251"/>
      <c r="AO1195" s="1736"/>
      <c r="AP1195" s="1737"/>
    </row>
    <row r="1196" spans="1:42" s="85" customFormat="1" ht="13.5" thickBot="1">
      <c r="A1196" s="240"/>
      <c r="B1196" s="241"/>
      <c r="C1196" s="242"/>
      <c r="D1196" s="242"/>
      <c r="E1196" s="243"/>
      <c r="F1196" s="244"/>
      <c r="G1196" s="244"/>
      <c r="H1196" s="243"/>
      <c r="I1196" s="258"/>
      <c r="J1196" s="245"/>
      <c r="K1196" s="245"/>
      <c r="L1196" s="76">
        <f t="shared" si="180"/>
        <v>0</v>
      </c>
      <c r="M1196" s="246"/>
      <c r="N1196" s="247"/>
      <c r="O1196" s="248"/>
      <c r="P1196" s="246"/>
      <c r="Q1196" s="249"/>
      <c r="R1196" s="250"/>
      <c r="S1196" s="259"/>
      <c r="T1196" s="260"/>
      <c r="U1196" s="250"/>
      <c r="V1196" s="78">
        <f t="shared" si="181"/>
        <v>0</v>
      </c>
      <c r="W1196" s="261">
        <f t="shared" si="182"/>
        <v>0</v>
      </c>
      <c r="X1196" s="133">
        <f t="shared" si="183"/>
        <v>0</v>
      </c>
      <c r="Y1196" s="251"/>
      <c r="Z1196" s="1736"/>
      <c r="AA1196" s="1737"/>
      <c r="AB1196" s="77">
        <f t="shared" si="184"/>
        <v>0</v>
      </c>
      <c r="AC1196" s="134">
        <f t="shared" si="185"/>
        <v>0</v>
      </c>
      <c r="AD1196" s="251"/>
      <c r="AE1196" s="1736"/>
      <c r="AF1196" s="1737"/>
      <c r="AG1196" s="77">
        <f t="shared" si="186"/>
        <v>0</v>
      </c>
      <c r="AH1196" s="136">
        <f t="shared" si="187"/>
        <v>0</v>
      </c>
      <c r="AI1196" s="251"/>
      <c r="AJ1196" s="1736"/>
      <c r="AK1196" s="1737"/>
      <c r="AL1196" s="79">
        <f t="shared" si="188"/>
        <v>0</v>
      </c>
      <c r="AM1196" s="137">
        <f t="shared" si="189"/>
        <v>0</v>
      </c>
      <c r="AN1196" s="251"/>
      <c r="AO1196" s="1736"/>
      <c r="AP1196" s="1737"/>
    </row>
    <row r="1197" spans="1:42" s="85" customFormat="1" ht="13.5" thickBot="1">
      <c r="A1197" s="240"/>
      <c r="B1197" s="241"/>
      <c r="C1197" s="242"/>
      <c r="D1197" s="242"/>
      <c r="E1197" s="243"/>
      <c r="F1197" s="244"/>
      <c r="G1197" s="244"/>
      <c r="H1197" s="243"/>
      <c r="I1197" s="258"/>
      <c r="J1197" s="245"/>
      <c r="K1197" s="245"/>
      <c r="L1197" s="76">
        <f t="shared" si="180"/>
        <v>0</v>
      </c>
      <c r="M1197" s="246"/>
      <c r="N1197" s="247"/>
      <c r="O1197" s="248"/>
      <c r="P1197" s="246"/>
      <c r="Q1197" s="249"/>
      <c r="R1197" s="250"/>
      <c r="S1197" s="259"/>
      <c r="T1197" s="260"/>
      <c r="U1197" s="250"/>
      <c r="V1197" s="78">
        <f t="shared" si="181"/>
        <v>0</v>
      </c>
      <c r="W1197" s="261">
        <f t="shared" si="182"/>
        <v>0</v>
      </c>
      <c r="X1197" s="133">
        <f t="shared" si="183"/>
        <v>0</v>
      </c>
      <c r="Y1197" s="251"/>
      <c r="Z1197" s="1736"/>
      <c r="AA1197" s="1737"/>
      <c r="AB1197" s="77">
        <f t="shared" si="184"/>
        <v>0</v>
      </c>
      <c r="AC1197" s="134">
        <f t="shared" si="185"/>
        <v>0</v>
      </c>
      <c r="AD1197" s="251"/>
      <c r="AE1197" s="1736"/>
      <c r="AF1197" s="1737"/>
      <c r="AG1197" s="77">
        <f t="shared" si="186"/>
        <v>0</v>
      </c>
      <c r="AH1197" s="136">
        <f t="shared" si="187"/>
        <v>0</v>
      </c>
      <c r="AI1197" s="251"/>
      <c r="AJ1197" s="1736"/>
      <c r="AK1197" s="1737"/>
      <c r="AL1197" s="79">
        <f t="shared" si="188"/>
        <v>0</v>
      </c>
      <c r="AM1197" s="137">
        <f t="shared" si="189"/>
        <v>0</v>
      </c>
      <c r="AN1197" s="251"/>
      <c r="AO1197" s="1736"/>
      <c r="AP1197" s="1737"/>
    </row>
    <row r="1198" spans="1:42" s="85" customFormat="1" ht="13.5" thickBot="1">
      <c r="A1198" s="240"/>
      <c r="B1198" s="241"/>
      <c r="C1198" s="242"/>
      <c r="D1198" s="242"/>
      <c r="E1198" s="243"/>
      <c r="F1198" s="244"/>
      <c r="G1198" s="244"/>
      <c r="H1198" s="243"/>
      <c r="I1198" s="258"/>
      <c r="J1198" s="245"/>
      <c r="K1198" s="245"/>
      <c r="L1198" s="76">
        <f t="shared" si="180"/>
        <v>0</v>
      </c>
      <c r="M1198" s="246"/>
      <c r="N1198" s="247"/>
      <c r="O1198" s="248"/>
      <c r="P1198" s="246"/>
      <c r="Q1198" s="249"/>
      <c r="R1198" s="250"/>
      <c r="S1198" s="259"/>
      <c r="T1198" s="260"/>
      <c r="U1198" s="250"/>
      <c r="V1198" s="78">
        <f t="shared" si="181"/>
        <v>0</v>
      </c>
      <c r="W1198" s="261">
        <f t="shared" si="182"/>
        <v>0</v>
      </c>
      <c r="X1198" s="133">
        <f t="shared" si="183"/>
        <v>0</v>
      </c>
      <c r="Y1198" s="251"/>
      <c r="Z1198" s="1736"/>
      <c r="AA1198" s="1737"/>
      <c r="AB1198" s="77">
        <f t="shared" si="184"/>
        <v>0</v>
      </c>
      <c r="AC1198" s="134">
        <f t="shared" si="185"/>
        <v>0</v>
      </c>
      <c r="AD1198" s="251"/>
      <c r="AE1198" s="1736"/>
      <c r="AF1198" s="1737"/>
      <c r="AG1198" s="77">
        <f t="shared" si="186"/>
        <v>0</v>
      </c>
      <c r="AH1198" s="136">
        <f t="shared" si="187"/>
        <v>0</v>
      </c>
      <c r="AI1198" s="251"/>
      <c r="AJ1198" s="1736"/>
      <c r="AK1198" s="1737"/>
      <c r="AL1198" s="79">
        <f t="shared" si="188"/>
        <v>0</v>
      </c>
      <c r="AM1198" s="137">
        <f t="shared" si="189"/>
        <v>0</v>
      </c>
      <c r="AN1198" s="251"/>
      <c r="AO1198" s="1736"/>
      <c r="AP1198" s="1737"/>
    </row>
    <row r="1199" spans="1:42" s="85" customFormat="1" ht="13.5" thickBot="1">
      <c r="A1199" s="240"/>
      <c r="B1199" s="241"/>
      <c r="C1199" s="242"/>
      <c r="D1199" s="242"/>
      <c r="E1199" s="243"/>
      <c r="F1199" s="244"/>
      <c r="G1199" s="244"/>
      <c r="H1199" s="243"/>
      <c r="I1199" s="258"/>
      <c r="J1199" s="245"/>
      <c r="K1199" s="245"/>
      <c r="L1199" s="76">
        <f t="shared" si="180"/>
        <v>0</v>
      </c>
      <c r="M1199" s="246"/>
      <c r="N1199" s="247"/>
      <c r="O1199" s="248"/>
      <c r="P1199" s="246"/>
      <c r="Q1199" s="249"/>
      <c r="R1199" s="250"/>
      <c r="S1199" s="259"/>
      <c r="T1199" s="260"/>
      <c r="U1199" s="250"/>
      <c r="V1199" s="78">
        <f t="shared" si="181"/>
        <v>0</v>
      </c>
      <c r="W1199" s="261">
        <f t="shared" si="182"/>
        <v>0</v>
      </c>
      <c r="X1199" s="133">
        <f t="shared" si="183"/>
        <v>0</v>
      </c>
      <c r="Y1199" s="251"/>
      <c r="Z1199" s="1736"/>
      <c r="AA1199" s="1737"/>
      <c r="AB1199" s="77">
        <f t="shared" si="184"/>
        <v>0</v>
      </c>
      <c r="AC1199" s="134">
        <f t="shared" si="185"/>
        <v>0</v>
      </c>
      <c r="AD1199" s="251"/>
      <c r="AE1199" s="1736"/>
      <c r="AF1199" s="1737"/>
      <c r="AG1199" s="77">
        <f t="shared" si="186"/>
        <v>0</v>
      </c>
      <c r="AH1199" s="136">
        <f t="shared" si="187"/>
        <v>0</v>
      </c>
      <c r="AI1199" s="251"/>
      <c r="AJ1199" s="1736"/>
      <c r="AK1199" s="1737"/>
      <c r="AL1199" s="79">
        <f t="shared" si="188"/>
        <v>0</v>
      </c>
      <c r="AM1199" s="137">
        <f t="shared" si="189"/>
        <v>0</v>
      </c>
      <c r="AN1199" s="251"/>
      <c r="AO1199" s="1736"/>
      <c r="AP1199" s="1737"/>
    </row>
    <row r="1200" spans="1:42" s="85" customFormat="1" ht="13.5" thickBot="1">
      <c r="A1200" s="240"/>
      <c r="B1200" s="241"/>
      <c r="C1200" s="242"/>
      <c r="D1200" s="242"/>
      <c r="E1200" s="243"/>
      <c r="F1200" s="244"/>
      <c r="G1200" s="244"/>
      <c r="H1200" s="243"/>
      <c r="I1200" s="258"/>
      <c r="J1200" s="245"/>
      <c r="K1200" s="245"/>
      <c r="L1200" s="76">
        <f t="shared" si="180"/>
        <v>0</v>
      </c>
      <c r="M1200" s="246"/>
      <c r="N1200" s="247"/>
      <c r="O1200" s="248"/>
      <c r="P1200" s="246"/>
      <c r="Q1200" s="249"/>
      <c r="R1200" s="250"/>
      <c r="S1200" s="259"/>
      <c r="T1200" s="260"/>
      <c r="U1200" s="250"/>
      <c r="V1200" s="78">
        <f t="shared" si="181"/>
        <v>0</v>
      </c>
      <c r="W1200" s="261">
        <f t="shared" si="182"/>
        <v>0</v>
      </c>
      <c r="X1200" s="133">
        <f t="shared" si="183"/>
        <v>0</v>
      </c>
      <c r="Y1200" s="251"/>
      <c r="Z1200" s="1736"/>
      <c r="AA1200" s="1737"/>
      <c r="AB1200" s="77">
        <f t="shared" si="184"/>
        <v>0</v>
      </c>
      <c r="AC1200" s="134">
        <f t="shared" si="185"/>
        <v>0</v>
      </c>
      <c r="AD1200" s="251"/>
      <c r="AE1200" s="1736"/>
      <c r="AF1200" s="1737"/>
      <c r="AG1200" s="77">
        <f t="shared" si="186"/>
        <v>0</v>
      </c>
      <c r="AH1200" s="136">
        <f t="shared" si="187"/>
        <v>0</v>
      </c>
      <c r="AI1200" s="251"/>
      <c r="AJ1200" s="1736"/>
      <c r="AK1200" s="1737"/>
      <c r="AL1200" s="79">
        <f t="shared" si="188"/>
        <v>0</v>
      </c>
      <c r="AM1200" s="137">
        <f t="shared" si="189"/>
        <v>0</v>
      </c>
      <c r="AN1200" s="251"/>
      <c r="AO1200" s="1736"/>
      <c r="AP1200" s="1737"/>
    </row>
    <row r="1201" spans="1:42" s="85" customFormat="1" ht="13.5" thickBot="1">
      <c r="A1201" s="240"/>
      <c r="B1201" s="241"/>
      <c r="C1201" s="242"/>
      <c r="D1201" s="242"/>
      <c r="E1201" s="243"/>
      <c r="F1201" s="244"/>
      <c r="G1201" s="244"/>
      <c r="H1201" s="243"/>
      <c r="I1201" s="258"/>
      <c r="J1201" s="245"/>
      <c r="K1201" s="245"/>
      <c r="L1201" s="76">
        <f t="shared" si="180"/>
        <v>0</v>
      </c>
      <c r="M1201" s="246"/>
      <c r="N1201" s="247"/>
      <c r="O1201" s="248"/>
      <c r="P1201" s="246"/>
      <c r="Q1201" s="249"/>
      <c r="R1201" s="250"/>
      <c r="S1201" s="259"/>
      <c r="T1201" s="260"/>
      <c r="U1201" s="250"/>
      <c r="V1201" s="78">
        <f t="shared" si="181"/>
        <v>0</v>
      </c>
      <c r="W1201" s="261">
        <f t="shared" si="182"/>
        <v>0</v>
      </c>
      <c r="X1201" s="133">
        <f t="shared" si="183"/>
        <v>0</v>
      </c>
      <c r="Y1201" s="251"/>
      <c r="Z1201" s="1736"/>
      <c r="AA1201" s="1737"/>
      <c r="AB1201" s="77">
        <f t="shared" si="184"/>
        <v>0</v>
      </c>
      <c r="AC1201" s="134">
        <f t="shared" si="185"/>
        <v>0</v>
      </c>
      <c r="AD1201" s="251"/>
      <c r="AE1201" s="1736"/>
      <c r="AF1201" s="1737"/>
      <c r="AG1201" s="77">
        <f t="shared" si="186"/>
        <v>0</v>
      </c>
      <c r="AH1201" s="136">
        <f t="shared" si="187"/>
        <v>0</v>
      </c>
      <c r="AI1201" s="251"/>
      <c r="AJ1201" s="1736"/>
      <c r="AK1201" s="1737"/>
      <c r="AL1201" s="79">
        <f t="shared" si="188"/>
        <v>0</v>
      </c>
      <c r="AM1201" s="137">
        <f t="shared" si="189"/>
        <v>0</v>
      </c>
      <c r="AN1201" s="251"/>
      <c r="AO1201" s="1736"/>
      <c r="AP1201" s="1737"/>
    </row>
    <row r="1202" spans="1:42" s="85" customFormat="1" ht="13.5" thickBot="1">
      <c r="A1202" s="240"/>
      <c r="B1202" s="241"/>
      <c r="C1202" s="242"/>
      <c r="D1202" s="242"/>
      <c r="E1202" s="243"/>
      <c r="F1202" s="244"/>
      <c r="G1202" s="244"/>
      <c r="H1202" s="243"/>
      <c r="I1202" s="258"/>
      <c r="J1202" s="245"/>
      <c r="K1202" s="245"/>
      <c r="L1202" s="76">
        <f t="shared" si="180"/>
        <v>0</v>
      </c>
      <c r="M1202" s="246"/>
      <c r="N1202" s="247"/>
      <c r="O1202" s="248"/>
      <c r="P1202" s="246"/>
      <c r="Q1202" s="249"/>
      <c r="R1202" s="250"/>
      <c r="S1202" s="259"/>
      <c r="T1202" s="260"/>
      <c r="U1202" s="250"/>
      <c r="V1202" s="78">
        <f t="shared" si="181"/>
        <v>0</v>
      </c>
      <c r="W1202" s="261">
        <f t="shared" si="182"/>
        <v>0</v>
      </c>
      <c r="X1202" s="133">
        <f t="shared" si="183"/>
        <v>0</v>
      </c>
      <c r="Y1202" s="251"/>
      <c r="Z1202" s="1736"/>
      <c r="AA1202" s="1737"/>
      <c r="AB1202" s="77">
        <f t="shared" si="184"/>
        <v>0</v>
      </c>
      <c r="AC1202" s="134">
        <f t="shared" si="185"/>
        <v>0</v>
      </c>
      <c r="AD1202" s="251"/>
      <c r="AE1202" s="1736"/>
      <c r="AF1202" s="1737"/>
      <c r="AG1202" s="77">
        <f t="shared" si="186"/>
        <v>0</v>
      </c>
      <c r="AH1202" s="136">
        <f t="shared" si="187"/>
        <v>0</v>
      </c>
      <c r="AI1202" s="251"/>
      <c r="AJ1202" s="1736"/>
      <c r="AK1202" s="1737"/>
      <c r="AL1202" s="79">
        <f t="shared" si="188"/>
        <v>0</v>
      </c>
      <c r="AM1202" s="137">
        <f t="shared" si="189"/>
        <v>0</v>
      </c>
      <c r="AN1202" s="251"/>
      <c r="AO1202" s="1736"/>
      <c r="AP1202" s="1737"/>
    </row>
    <row r="1203" spans="1:42" s="85" customFormat="1" ht="13.5" thickBot="1">
      <c r="A1203" s="240"/>
      <c r="B1203" s="241"/>
      <c r="C1203" s="242"/>
      <c r="D1203" s="242"/>
      <c r="E1203" s="243"/>
      <c r="F1203" s="244"/>
      <c r="G1203" s="244"/>
      <c r="H1203" s="243"/>
      <c r="I1203" s="258"/>
      <c r="J1203" s="245"/>
      <c r="K1203" s="245"/>
      <c r="L1203" s="76">
        <f t="shared" si="180"/>
        <v>0</v>
      </c>
      <c r="M1203" s="246"/>
      <c r="N1203" s="247"/>
      <c r="O1203" s="248"/>
      <c r="P1203" s="246"/>
      <c r="Q1203" s="249"/>
      <c r="R1203" s="250"/>
      <c r="S1203" s="259"/>
      <c r="T1203" s="260"/>
      <c r="U1203" s="250"/>
      <c r="V1203" s="78">
        <f t="shared" si="181"/>
        <v>0</v>
      </c>
      <c r="W1203" s="261">
        <f t="shared" si="182"/>
        <v>0</v>
      </c>
      <c r="X1203" s="133">
        <f t="shared" si="183"/>
        <v>0</v>
      </c>
      <c r="Y1203" s="251"/>
      <c r="Z1203" s="1736"/>
      <c r="AA1203" s="1737"/>
      <c r="AB1203" s="77">
        <f t="shared" si="184"/>
        <v>0</v>
      </c>
      <c r="AC1203" s="134">
        <f t="shared" si="185"/>
        <v>0</v>
      </c>
      <c r="AD1203" s="251"/>
      <c r="AE1203" s="1736"/>
      <c r="AF1203" s="1737"/>
      <c r="AG1203" s="77">
        <f t="shared" si="186"/>
        <v>0</v>
      </c>
      <c r="AH1203" s="136">
        <f t="shared" si="187"/>
        <v>0</v>
      </c>
      <c r="AI1203" s="251"/>
      <c r="AJ1203" s="1736"/>
      <c r="AK1203" s="1737"/>
      <c r="AL1203" s="79">
        <f t="shared" si="188"/>
        <v>0</v>
      </c>
      <c r="AM1203" s="137">
        <f t="shared" si="189"/>
        <v>0</v>
      </c>
      <c r="AN1203" s="251"/>
      <c r="AO1203" s="1736"/>
      <c r="AP1203" s="1737"/>
    </row>
    <row r="1204" spans="1:42" s="85" customFormat="1" ht="13.5" thickBot="1">
      <c r="A1204" s="240"/>
      <c r="B1204" s="241"/>
      <c r="C1204" s="242"/>
      <c r="D1204" s="242"/>
      <c r="E1204" s="243"/>
      <c r="F1204" s="244"/>
      <c r="G1204" s="244"/>
      <c r="H1204" s="243"/>
      <c r="I1204" s="258"/>
      <c r="J1204" s="245"/>
      <c r="K1204" s="245"/>
      <c r="L1204" s="76">
        <f t="shared" si="180"/>
        <v>0</v>
      </c>
      <c r="M1204" s="246"/>
      <c r="N1204" s="247"/>
      <c r="O1204" s="248"/>
      <c r="P1204" s="246"/>
      <c r="Q1204" s="249"/>
      <c r="R1204" s="250"/>
      <c r="S1204" s="259"/>
      <c r="T1204" s="260"/>
      <c r="U1204" s="250"/>
      <c r="V1204" s="78">
        <f t="shared" si="181"/>
        <v>0</v>
      </c>
      <c r="W1204" s="261">
        <f t="shared" si="182"/>
        <v>0</v>
      </c>
      <c r="X1204" s="133">
        <f t="shared" si="183"/>
        <v>0</v>
      </c>
      <c r="Y1204" s="251"/>
      <c r="Z1204" s="1736"/>
      <c r="AA1204" s="1737"/>
      <c r="AB1204" s="77">
        <f t="shared" si="184"/>
        <v>0</v>
      </c>
      <c r="AC1204" s="134">
        <f t="shared" si="185"/>
        <v>0</v>
      </c>
      <c r="AD1204" s="251"/>
      <c r="AE1204" s="1736"/>
      <c r="AF1204" s="1737"/>
      <c r="AG1204" s="77">
        <f t="shared" si="186"/>
        <v>0</v>
      </c>
      <c r="AH1204" s="136">
        <f t="shared" si="187"/>
        <v>0</v>
      </c>
      <c r="AI1204" s="251"/>
      <c r="AJ1204" s="1736"/>
      <c r="AK1204" s="1737"/>
      <c r="AL1204" s="79">
        <f t="shared" si="188"/>
        <v>0</v>
      </c>
      <c r="AM1204" s="137">
        <f t="shared" si="189"/>
        <v>0</v>
      </c>
      <c r="AN1204" s="251"/>
      <c r="AO1204" s="1736"/>
      <c r="AP1204" s="1737"/>
    </row>
    <row r="1205" spans="1:42" s="85" customFormat="1" ht="13.5" thickBot="1">
      <c r="A1205" s="240"/>
      <c r="B1205" s="241"/>
      <c r="C1205" s="242"/>
      <c r="D1205" s="242"/>
      <c r="E1205" s="243"/>
      <c r="F1205" s="244"/>
      <c r="G1205" s="244"/>
      <c r="H1205" s="243"/>
      <c r="I1205" s="258"/>
      <c r="J1205" s="245"/>
      <c r="K1205" s="245"/>
      <c r="L1205" s="76">
        <f t="shared" si="180"/>
        <v>0</v>
      </c>
      <c r="M1205" s="246"/>
      <c r="N1205" s="247"/>
      <c r="O1205" s="248"/>
      <c r="P1205" s="246"/>
      <c r="Q1205" s="249"/>
      <c r="R1205" s="250"/>
      <c r="S1205" s="259"/>
      <c r="T1205" s="260"/>
      <c r="U1205" s="250"/>
      <c r="V1205" s="78">
        <f t="shared" si="181"/>
        <v>0</v>
      </c>
      <c r="W1205" s="261">
        <f t="shared" si="182"/>
        <v>0</v>
      </c>
      <c r="X1205" s="133">
        <f t="shared" si="183"/>
        <v>0</v>
      </c>
      <c r="Y1205" s="251"/>
      <c r="Z1205" s="1736"/>
      <c r="AA1205" s="1737"/>
      <c r="AB1205" s="77">
        <f t="shared" si="184"/>
        <v>0</v>
      </c>
      <c r="AC1205" s="134">
        <f t="shared" si="185"/>
        <v>0</v>
      </c>
      <c r="AD1205" s="251"/>
      <c r="AE1205" s="1736"/>
      <c r="AF1205" s="1737"/>
      <c r="AG1205" s="77">
        <f t="shared" si="186"/>
        <v>0</v>
      </c>
      <c r="AH1205" s="136">
        <f t="shared" si="187"/>
        <v>0</v>
      </c>
      <c r="AI1205" s="251"/>
      <c r="AJ1205" s="1736"/>
      <c r="AK1205" s="1737"/>
      <c r="AL1205" s="79">
        <f t="shared" si="188"/>
        <v>0</v>
      </c>
      <c r="AM1205" s="137">
        <f t="shared" si="189"/>
        <v>0</v>
      </c>
      <c r="AN1205" s="251"/>
      <c r="AO1205" s="1736"/>
      <c r="AP1205" s="1737"/>
    </row>
    <row r="1206" spans="1:42" s="85" customFormat="1" ht="13.5" thickBot="1">
      <c r="A1206" s="240"/>
      <c r="B1206" s="241"/>
      <c r="C1206" s="242"/>
      <c r="D1206" s="242"/>
      <c r="E1206" s="243"/>
      <c r="F1206" s="244"/>
      <c r="G1206" s="244"/>
      <c r="H1206" s="243"/>
      <c r="I1206" s="258"/>
      <c r="J1206" s="245"/>
      <c r="K1206" s="245"/>
      <c r="L1206" s="76">
        <f t="shared" si="180"/>
        <v>0</v>
      </c>
      <c r="M1206" s="246"/>
      <c r="N1206" s="247"/>
      <c r="O1206" s="248"/>
      <c r="P1206" s="246"/>
      <c r="Q1206" s="249"/>
      <c r="R1206" s="250"/>
      <c r="S1206" s="259"/>
      <c r="T1206" s="260"/>
      <c r="U1206" s="250"/>
      <c r="V1206" s="78">
        <f t="shared" si="181"/>
        <v>0</v>
      </c>
      <c r="W1206" s="261">
        <f t="shared" si="182"/>
        <v>0</v>
      </c>
      <c r="X1206" s="133">
        <f t="shared" si="183"/>
        <v>0</v>
      </c>
      <c r="Y1206" s="251"/>
      <c r="Z1206" s="1736"/>
      <c r="AA1206" s="1737"/>
      <c r="AB1206" s="77">
        <f t="shared" si="184"/>
        <v>0</v>
      </c>
      <c r="AC1206" s="134">
        <f t="shared" si="185"/>
        <v>0</v>
      </c>
      <c r="AD1206" s="251"/>
      <c r="AE1206" s="1736"/>
      <c r="AF1206" s="1737"/>
      <c r="AG1206" s="77">
        <f t="shared" si="186"/>
        <v>0</v>
      </c>
      <c r="AH1206" s="136">
        <f t="shared" si="187"/>
        <v>0</v>
      </c>
      <c r="AI1206" s="251"/>
      <c r="AJ1206" s="1736"/>
      <c r="AK1206" s="1737"/>
      <c r="AL1206" s="79">
        <f t="shared" si="188"/>
        <v>0</v>
      </c>
      <c r="AM1206" s="137">
        <f t="shared" si="189"/>
        <v>0</v>
      </c>
      <c r="AN1206" s="251"/>
      <c r="AO1206" s="1736"/>
      <c r="AP1206" s="1737"/>
    </row>
    <row r="1207" spans="1:42" s="85" customFormat="1" ht="13.5" thickBot="1">
      <c r="A1207" s="240"/>
      <c r="B1207" s="241"/>
      <c r="C1207" s="242"/>
      <c r="D1207" s="242"/>
      <c r="E1207" s="243"/>
      <c r="F1207" s="244"/>
      <c r="G1207" s="244"/>
      <c r="H1207" s="243"/>
      <c r="I1207" s="258"/>
      <c r="J1207" s="245"/>
      <c r="K1207" s="245"/>
      <c r="L1207" s="76">
        <f t="shared" si="180"/>
        <v>0</v>
      </c>
      <c r="M1207" s="246"/>
      <c r="N1207" s="247"/>
      <c r="O1207" s="248"/>
      <c r="P1207" s="246"/>
      <c r="Q1207" s="249"/>
      <c r="R1207" s="250"/>
      <c r="S1207" s="259"/>
      <c r="T1207" s="260"/>
      <c r="U1207" s="250"/>
      <c r="V1207" s="78">
        <f t="shared" si="181"/>
        <v>0</v>
      </c>
      <c r="W1207" s="261">
        <f t="shared" si="182"/>
        <v>0</v>
      </c>
      <c r="X1207" s="133">
        <f t="shared" si="183"/>
        <v>0</v>
      </c>
      <c r="Y1207" s="251"/>
      <c r="Z1207" s="1736"/>
      <c r="AA1207" s="1737"/>
      <c r="AB1207" s="77">
        <f t="shared" si="184"/>
        <v>0</v>
      </c>
      <c r="AC1207" s="134">
        <f t="shared" si="185"/>
        <v>0</v>
      </c>
      <c r="AD1207" s="251"/>
      <c r="AE1207" s="1736"/>
      <c r="AF1207" s="1737"/>
      <c r="AG1207" s="77">
        <f t="shared" si="186"/>
        <v>0</v>
      </c>
      <c r="AH1207" s="136">
        <f t="shared" si="187"/>
        <v>0</v>
      </c>
      <c r="AI1207" s="251"/>
      <c r="AJ1207" s="1736"/>
      <c r="AK1207" s="1737"/>
      <c r="AL1207" s="79">
        <f t="shared" si="188"/>
        <v>0</v>
      </c>
      <c r="AM1207" s="137">
        <f t="shared" si="189"/>
        <v>0</v>
      </c>
      <c r="AN1207" s="251"/>
      <c r="AO1207" s="1736"/>
      <c r="AP1207" s="1737"/>
    </row>
    <row r="1208" spans="1:42" s="85" customFormat="1" ht="13.5" thickBot="1">
      <c r="A1208" s="240"/>
      <c r="B1208" s="241"/>
      <c r="C1208" s="242"/>
      <c r="D1208" s="242"/>
      <c r="E1208" s="243"/>
      <c r="F1208" s="244"/>
      <c r="G1208" s="244"/>
      <c r="H1208" s="243"/>
      <c r="I1208" s="258"/>
      <c r="J1208" s="245"/>
      <c r="K1208" s="245"/>
      <c r="L1208" s="76">
        <f t="shared" si="180"/>
        <v>0</v>
      </c>
      <c r="M1208" s="246"/>
      <c r="N1208" s="247"/>
      <c r="O1208" s="248"/>
      <c r="P1208" s="246"/>
      <c r="Q1208" s="249"/>
      <c r="R1208" s="250"/>
      <c r="S1208" s="259"/>
      <c r="T1208" s="260"/>
      <c r="U1208" s="250"/>
      <c r="V1208" s="78">
        <f t="shared" si="181"/>
        <v>0</v>
      </c>
      <c r="W1208" s="261">
        <f t="shared" si="182"/>
        <v>0</v>
      </c>
      <c r="X1208" s="133">
        <f t="shared" si="183"/>
        <v>0</v>
      </c>
      <c r="Y1208" s="251"/>
      <c r="Z1208" s="1736"/>
      <c r="AA1208" s="1737"/>
      <c r="AB1208" s="77">
        <f t="shared" si="184"/>
        <v>0</v>
      </c>
      <c r="AC1208" s="134">
        <f t="shared" si="185"/>
        <v>0</v>
      </c>
      <c r="AD1208" s="251"/>
      <c r="AE1208" s="1736"/>
      <c r="AF1208" s="1737"/>
      <c r="AG1208" s="77">
        <f t="shared" si="186"/>
        <v>0</v>
      </c>
      <c r="AH1208" s="136">
        <f t="shared" si="187"/>
        <v>0</v>
      </c>
      <c r="AI1208" s="251"/>
      <c r="AJ1208" s="1736"/>
      <c r="AK1208" s="1737"/>
      <c r="AL1208" s="79">
        <f t="shared" si="188"/>
        <v>0</v>
      </c>
      <c r="AM1208" s="137">
        <f t="shared" si="189"/>
        <v>0</v>
      </c>
      <c r="AN1208" s="251"/>
      <c r="AO1208" s="1736"/>
      <c r="AP1208" s="1737"/>
    </row>
    <row r="1209" spans="1:42" s="85" customFormat="1" ht="13.5" thickBot="1">
      <c r="A1209" s="240"/>
      <c r="B1209" s="241"/>
      <c r="C1209" s="242"/>
      <c r="D1209" s="242"/>
      <c r="E1209" s="243"/>
      <c r="F1209" s="244"/>
      <c r="G1209" s="244"/>
      <c r="H1209" s="243"/>
      <c r="I1209" s="258"/>
      <c r="J1209" s="245"/>
      <c r="K1209" s="245"/>
      <c r="L1209" s="76">
        <f t="shared" si="180"/>
        <v>0</v>
      </c>
      <c r="M1209" s="246"/>
      <c r="N1209" s="247"/>
      <c r="O1209" s="248"/>
      <c r="P1209" s="246"/>
      <c r="Q1209" s="249"/>
      <c r="R1209" s="250"/>
      <c r="S1209" s="259"/>
      <c r="T1209" s="260"/>
      <c r="U1209" s="250"/>
      <c r="V1209" s="78">
        <f t="shared" si="181"/>
        <v>0</v>
      </c>
      <c r="W1209" s="261">
        <f t="shared" si="182"/>
        <v>0</v>
      </c>
      <c r="X1209" s="133">
        <f t="shared" si="183"/>
        <v>0</v>
      </c>
      <c r="Y1209" s="251"/>
      <c r="Z1209" s="1736"/>
      <c r="AA1209" s="1737"/>
      <c r="AB1209" s="77">
        <f t="shared" si="184"/>
        <v>0</v>
      </c>
      <c r="AC1209" s="134">
        <f t="shared" si="185"/>
        <v>0</v>
      </c>
      <c r="AD1209" s="251"/>
      <c r="AE1209" s="1736"/>
      <c r="AF1209" s="1737"/>
      <c r="AG1209" s="77">
        <f t="shared" si="186"/>
        <v>0</v>
      </c>
      <c r="AH1209" s="136">
        <f t="shared" si="187"/>
        <v>0</v>
      </c>
      <c r="AI1209" s="251"/>
      <c r="AJ1209" s="1736"/>
      <c r="AK1209" s="1737"/>
      <c r="AL1209" s="79">
        <f t="shared" si="188"/>
        <v>0</v>
      </c>
      <c r="AM1209" s="137">
        <f t="shared" si="189"/>
        <v>0</v>
      </c>
      <c r="AN1209" s="251"/>
      <c r="AO1209" s="1736"/>
      <c r="AP1209" s="1737"/>
    </row>
    <row r="1210" spans="1:42" s="85" customFormat="1" ht="13.5" thickBot="1">
      <c r="A1210" s="240"/>
      <c r="B1210" s="241"/>
      <c r="C1210" s="242"/>
      <c r="D1210" s="242"/>
      <c r="E1210" s="243"/>
      <c r="F1210" s="244"/>
      <c r="G1210" s="244"/>
      <c r="H1210" s="243"/>
      <c r="I1210" s="258"/>
      <c r="J1210" s="245"/>
      <c r="K1210" s="245"/>
      <c r="L1210" s="76">
        <f t="shared" si="180"/>
        <v>0</v>
      </c>
      <c r="M1210" s="246"/>
      <c r="N1210" s="247"/>
      <c r="O1210" s="248"/>
      <c r="P1210" s="246"/>
      <c r="Q1210" s="249"/>
      <c r="R1210" s="250"/>
      <c r="S1210" s="259"/>
      <c r="T1210" s="260"/>
      <c r="U1210" s="250"/>
      <c r="V1210" s="78">
        <f t="shared" si="181"/>
        <v>0</v>
      </c>
      <c r="W1210" s="261">
        <f t="shared" si="182"/>
        <v>0</v>
      </c>
      <c r="X1210" s="133">
        <f t="shared" si="183"/>
        <v>0</v>
      </c>
      <c r="Y1210" s="251"/>
      <c r="Z1210" s="1736"/>
      <c r="AA1210" s="1737"/>
      <c r="AB1210" s="77">
        <f t="shared" si="184"/>
        <v>0</v>
      </c>
      <c r="AC1210" s="134">
        <f t="shared" si="185"/>
        <v>0</v>
      </c>
      <c r="AD1210" s="251"/>
      <c r="AE1210" s="1736"/>
      <c r="AF1210" s="1737"/>
      <c r="AG1210" s="77">
        <f t="shared" si="186"/>
        <v>0</v>
      </c>
      <c r="AH1210" s="136">
        <f t="shared" si="187"/>
        <v>0</v>
      </c>
      <c r="AI1210" s="251"/>
      <c r="AJ1210" s="1736"/>
      <c r="AK1210" s="1737"/>
      <c r="AL1210" s="79">
        <f t="shared" si="188"/>
        <v>0</v>
      </c>
      <c r="AM1210" s="137">
        <f t="shared" si="189"/>
        <v>0</v>
      </c>
      <c r="AN1210" s="251"/>
      <c r="AO1210" s="1736"/>
      <c r="AP1210" s="1737"/>
    </row>
    <row r="1211" spans="1:42" s="85" customFormat="1" ht="13.5" thickBot="1">
      <c r="A1211" s="240"/>
      <c r="B1211" s="241"/>
      <c r="C1211" s="242"/>
      <c r="D1211" s="242"/>
      <c r="E1211" s="243"/>
      <c r="F1211" s="244"/>
      <c r="G1211" s="244"/>
      <c r="H1211" s="243"/>
      <c r="I1211" s="258"/>
      <c r="J1211" s="245"/>
      <c r="K1211" s="245"/>
      <c r="L1211" s="76">
        <f t="shared" si="180"/>
        <v>0</v>
      </c>
      <c r="M1211" s="246"/>
      <c r="N1211" s="247"/>
      <c r="O1211" s="248"/>
      <c r="P1211" s="246"/>
      <c r="Q1211" s="249"/>
      <c r="R1211" s="250"/>
      <c r="S1211" s="259"/>
      <c r="T1211" s="260"/>
      <c r="U1211" s="250"/>
      <c r="V1211" s="78">
        <f t="shared" si="181"/>
        <v>0</v>
      </c>
      <c r="W1211" s="261">
        <f t="shared" si="182"/>
        <v>0</v>
      </c>
      <c r="X1211" s="133">
        <f t="shared" si="183"/>
        <v>0</v>
      </c>
      <c r="Y1211" s="251"/>
      <c r="Z1211" s="1736"/>
      <c r="AA1211" s="1737"/>
      <c r="AB1211" s="77">
        <f t="shared" si="184"/>
        <v>0</v>
      </c>
      <c r="AC1211" s="134">
        <f t="shared" si="185"/>
        <v>0</v>
      </c>
      <c r="AD1211" s="251"/>
      <c r="AE1211" s="1736"/>
      <c r="AF1211" s="1737"/>
      <c r="AG1211" s="77">
        <f t="shared" si="186"/>
        <v>0</v>
      </c>
      <c r="AH1211" s="136">
        <f t="shared" si="187"/>
        <v>0</v>
      </c>
      <c r="AI1211" s="251"/>
      <c r="AJ1211" s="1736"/>
      <c r="AK1211" s="1737"/>
      <c r="AL1211" s="79">
        <f t="shared" si="188"/>
        <v>0</v>
      </c>
      <c r="AM1211" s="137">
        <f t="shared" si="189"/>
        <v>0</v>
      </c>
      <c r="AN1211" s="251"/>
      <c r="AO1211" s="1736"/>
      <c r="AP1211" s="1737"/>
    </row>
    <row r="1212" spans="1:42" s="85" customFormat="1" ht="13.5" thickBot="1">
      <c r="A1212" s="240"/>
      <c r="B1212" s="241"/>
      <c r="C1212" s="242"/>
      <c r="D1212" s="242"/>
      <c r="E1212" s="243"/>
      <c r="F1212" s="244"/>
      <c r="G1212" s="244"/>
      <c r="H1212" s="243"/>
      <c r="I1212" s="258"/>
      <c r="J1212" s="245"/>
      <c r="K1212" s="245"/>
      <c r="L1212" s="76">
        <f t="shared" si="180"/>
        <v>0</v>
      </c>
      <c r="M1212" s="246"/>
      <c r="N1212" s="247"/>
      <c r="O1212" s="248"/>
      <c r="P1212" s="246"/>
      <c r="Q1212" s="249"/>
      <c r="R1212" s="250"/>
      <c r="S1212" s="259"/>
      <c r="T1212" s="260"/>
      <c r="U1212" s="250"/>
      <c r="V1212" s="78">
        <f t="shared" si="181"/>
        <v>0</v>
      </c>
      <c r="W1212" s="261">
        <f t="shared" si="182"/>
        <v>0</v>
      </c>
      <c r="X1212" s="133">
        <f t="shared" si="183"/>
        <v>0</v>
      </c>
      <c r="Y1212" s="251"/>
      <c r="Z1212" s="1736"/>
      <c r="AA1212" s="1737"/>
      <c r="AB1212" s="77">
        <f t="shared" si="184"/>
        <v>0</v>
      </c>
      <c r="AC1212" s="134">
        <f t="shared" si="185"/>
        <v>0</v>
      </c>
      <c r="AD1212" s="251"/>
      <c r="AE1212" s="1736"/>
      <c r="AF1212" s="1737"/>
      <c r="AG1212" s="77">
        <f t="shared" si="186"/>
        <v>0</v>
      </c>
      <c r="AH1212" s="136">
        <f t="shared" si="187"/>
        <v>0</v>
      </c>
      <c r="AI1212" s="251"/>
      <c r="AJ1212" s="1736"/>
      <c r="AK1212" s="1737"/>
      <c r="AL1212" s="79">
        <f t="shared" si="188"/>
        <v>0</v>
      </c>
      <c r="AM1212" s="137">
        <f t="shared" si="189"/>
        <v>0</v>
      </c>
      <c r="AN1212" s="251"/>
      <c r="AO1212" s="1736"/>
      <c r="AP1212" s="1737"/>
    </row>
    <row r="1213" spans="1:42" s="85" customFormat="1" ht="13.5" thickBot="1">
      <c r="A1213" s="240"/>
      <c r="B1213" s="241"/>
      <c r="C1213" s="242"/>
      <c r="D1213" s="242"/>
      <c r="E1213" s="243"/>
      <c r="F1213" s="244"/>
      <c r="G1213" s="244"/>
      <c r="H1213" s="243"/>
      <c r="I1213" s="258"/>
      <c r="J1213" s="245"/>
      <c r="K1213" s="245"/>
      <c r="L1213" s="76">
        <f t="shared" si="180"/>
        <v>0</v>
      </c>
      <c r="M1213" s="246"/>
      <c r="N1213" s="247"/>
      <c r="O1213" s="248"/>
      <c r="P1213" s="246"/>
      <c r="Q1213" s="249"/>
      <c r="R1213" s="250"/>
      <c r="S1213" s="259"/>
      <c r="T1213" s="260"/>
      <c r="U1213" s="250"/>
      <c r="V1213" s="78">
        <f t="shared" si="181"/>
        <v>0</v>
      </c>
      <c r="W1213" s="261">
        <f t="shared" si="182"/>
        <v>0</v>
      </c>
      <c r="X1213" s="133">
        <f t="shared" si="183"/>
        <v>0</v>
      </c>
      <c r="Y1213" s="251"/>
      <c r="Z1213" s="1736"/>
      <c r="AA1213" s="1737"/>
      <c r="AB1213" s="77">
        <f t="shared" si="184"/>
        <v>0</v>
      </c>
      <c r="AC1213" s="134">
        <f t="shared" si="185"/>
        <v>0</v>
      </c>
      <c r="AD1213" s="251"/>
      <c r="AE1213" s="1736"/>
      <c r="AF1213" s="1737"/>
      <c r="AG1213" s="77">
        <f t="shared" si="186"/>
        <v>0</v>
      </c>
      <c r="AH1213" s="136">
        <f t="shared" si="187"/>
        <v>0</v>
      </c>
      <c r="AI1213" s="251"/>
      <c r="AJ1213" s="1736"/>
      <c r="AK1213" s="1737"/>
      <c r="AL1213" s="79">
        <f t="shared" si="188"/>
        <v>0</v>
      </c>
      <c r="AM1213" s="137">
        <f t="shared" si="189"/>
        <v>0</v>
      </c>
      <c r="AN1213" s="251"/>
      <c r="AO1213" s="1736"/>
      <c r="AP1213" s="1737"/>
    </row>
    <row r="1214" spans="1:42" s="85" customFormat="1" ht="13.5" thickBot="1">
      <c r="A1214" s="240"/>
      <c r="B1214" s="241"/>
      <c r="C1214" s="242"/>
      <c r="D1214" s="242"/>
      <c r="E1214" s="243"/>
      <c r="F1214" s="244"/>
      <c r="G1214" s="244"/>
      <c r="H1214" s="243"/>
      <c r="I1214" s="258"/>
      <c r="J1214" s="245"/>
      <c r="K1214" s="245"/>
      <c r="L1214" s="76">
        <f t="shared" si="180"/>
        <v>0</v>
      </c>
      <c r="M1214" s="246"/>
      <c r="N1214" s="247"/>
      <c r="O1214" s="248"/>
      <c r="P1214" s="246"/>
      <c r="Q1214" s="249"/>
      <c r="R1214" s="250"/>
      <c r="S1214" s="259"/>
      <c r="T1214" s="260"/>
      <c r="U1214" s="250"/>
      <c r="V1214" s="78">
        <f t="shared" si="181"/>
        <v>0</v>
      </c>
      <c r="W1214" s="261">
        <f t="shared" si="182"/>
        <v>0</v>
      </c>
      <c r="X1214" s="133">
        <f t="shared" si="183"/>
        <v>0</v>
      </c>
      <c r="Y1214" s="251"/>
      <c r="Z1214" s="1736"/>
      <c r="AA1214" s="1737"/>
      <c r="AB1214" s="77">
        <f t="shared" si="184"/>
        <v>0</v>
      </c>
      <c r="AC1214" s="134">
        <f t="shared" si="185"/>
        <v>0</v>
      </c>
      <c r="AD1214" s="251"/>
      <c r="AE1214" s="1736"/>
      <c r="AF1214" s="1737"/>
      <c r="AG1214" s="77">
        <f t="shared" si="186"/>
        <v>0</v>
      </c>
      <c r="AH1214" s="136">
        <f t="shared" si="187"/>
        <v>0</v>
      </c>
      <c r="AI1214" s="251"/>
      <c r="AJ1214" s="1736"/>
      <c r="AK1214" s="1737"/>
      <c r="AL1214" s="79">
        <f t="shared" si="188"/>
        <v>0</v>
      </c>
      <c r="AM1214" s="137">
        <f t="shared" si="189"/>
        <v>0</v>
      </c>
      <c r="AN1214" s="251"/>
      <c r="AO1214" s="1736"/>
      <c r="AP1214" s="1737"/>
    </row>
    <row r="1215" spans="1:42" s="85" customFormat="1" ht="13.5" thickBot="1">
      <c r="A1215" s="240"/>
      <c r="B1215" s="241"/>
      <c r="C1215" s="242"/>
      <c r="D1215" s="242"/>
      <c r="E1215" s="243"/>
      <c r="F1215" s="244"/>
      <c r="G1215" s="244"/>
      <c r="H1215" s="243"/>
      <c r="I1215" s="258"/>
      <c r="J1215" s="245"/>
      <c r="K1215" s="245"/>
      <c r="L1215" s="76">
        <f t="shared" si="180"/>
        <v>0</v>
      </c>
      <c r="M1215" s="246"/>
      <c r="N1215" s="247"/>
      <c r="O1215" s="248"/>
      <c r="P1215" s="246"/>
      <c r="Q1215" s="249"/>
      <c r="R1215" s="250"/>
      <c r="S1215" s="259"/>
      <c r="T1215" s="260"/>
      <c r="U1215" s="250"/>
      <c r="V1215" s="78">
        <f t="shared" si="181"/>
        <v>0</v>
      </c>
      <c r="W1215" s="261">
        <f t="shared" si="182"/>
        <v>0</v>
      </c>
      <c r="X1215" s="133">
        <f t="shared" si="183"/>
        <v>0</v>
      </c>
      <c r="Y1215" s="251"/>
      <c r="Z1215" s="1736"/>
      <c r="AA1215" s="1737"/>
      <c r="AB1215" s="77">
        <f t="shared" si="184"/>
        <v>0</v>
      </c>
      <c r="AC1215" s="134">
        <f t="shared" si="185"/>
        <v>0</v>
      </c>
      <c r="AD1215" s="251"/>
      <c r="AE1215" s="1736"/>
      <c r="AF1215" s="1737"/>
      <c r="AG1215" s="77">
        <f t="shared" si="186"/>
        <v>0</v>
      </c>
      <c r="AH1215" s="136">
        <f t="shared" si="187"/>
        <v>0</v>
      </c>
      <c r="AI1215" s="251"/>
      <c r="AJ1215" s="1736"/>
      <c r="AK1215" s="1737"/>
      <c r="AL1215" s="79">
        <f t="shared" si="188"/>
        <v>0</v>
      </c>
      <c r="AM1215" s="137">
        <f t="shared" si="189"/>
        <v>0</v>
      </c>
      <c r="AN1215" s="251"/>
      <c r="AO1215" s="1736"/>
      <c r="AP1215" s="1737"/>
    </row>
    <row r="1216" spans="1:42" s="85" customFormat="1" ht="13.5" thickBot="1">
      <c r="A1216" s="240"/>
      <c r="B1216" s="241"/>
      <c r="C1216" s="242"/>
      <c r="D1216" s="242"/>
      <c r="E1216" s="243"/>
      <c r="F1216" s="244"/>
      <c r="G1216" s="244"/>
      <c r="H1216" s="243"/>
      <c r="I1216" s="258"/>
      <c r="J1216" s="245"/>
      <c r="K1216" s="245"/>
      <c r="L1216" s="76">
        <f t="shared" si="180"/>
        <v>0</v>
      </c>
      <c r="M1216" s="246"/>
      <c r="N1216" s="247"/>
      <c r="O1216" s="248"/>
      <c r="P1216" s="246"/>
      <c r="Q1216" s="249"/>
      <c r="R1216" s="250"/>
      <c r="S1216" s="259"/>
      <c r="T1216" s="260"/>
      <c r="U1216" s="250"/>
      <c r="V1216" s="78">
        <f t="shared" si="181"/>
        <v>0</v>
      </c>
      <c r="W1216" s="261">
        <f t="shared" si="182"/>
        <v>0</v>
      </c>
      <c r="X1216" s="133">
        <f t="shared" si="183"/>
        <v>0</v>
      </c>
      <c r="Y1216" s="251"/>
      <c r="Z1216" s="1736"/>
      <c r="AA1216" s="1737"/>
      <c r="AB1216" s="77">
        <f t="shared" si="184"/>
        <v>0</v>
      </c>
      <c r="AC1216" s="134">
        <f t="shared" si="185"/>
        <v>0</v>
      </c>
      <c r="AD1216" s="251"/>
      <c r="AE1216" s="1736"/>
      <c r="AF1216" s="1737"/>
      <c r="AG1216" s="77">
        <f t="shared" si="186"/>
        <v>0</v>
      </c>
      <c r="AH1216" s="136">
        <f t="shared" si="187"/>
        <v>0</v>
      </c>
      <c r="AI1216" s="251"/>
      <c r="AJ1216" s="1736"/>
      <c r="AK1216" s="1737"/>
      <c r="AL1216" s="79">
        <f t="shared" si="188"/>
        <v>0</v>
      </c>
      <c r="AM1216" s="137">
        <f t="shared" si="189"/>
        <v>0</v>
      </c>
      <c r="AN1216" s="251"/>
      <c r="AO1216" s="1736"/>
      <c r="AP1216" s="1737"/>
    </row>
    <row r="1217" spans="1:42" s="85" customFormat="1" ht="13.5" thickBot="1">
      <c r="A1217" s="240"/>
      <c r="B1217" s="241"/>
      <c r="C1217" s="242"/>
      <c r="D1217" s="242"/>
      <c r="E1217" s="243"/>
      <c r="F1217" s="244"/>
      <c r="G1217" s="244"/>
      <c r="H1217" s="243"/>
      <c r="I1217" s="258"/>
      <c r="J1217" s="245"/>
      <c r="K1217" s="245"/>
      <c r="L1217" s="76">
        <f t="shared" si="180"/>
        <v>0</v>
      </c>
      <c r="M1217" s="246"/>
      <c r="N1217" s="247"/>
      <c r="O1217" s="248"/>
      <c r="P1217" s="246"/>
      <c r="Q1217" s="249"/>
      <c r="R1217" s="250"/>
      <c r="S1217" s="259"/>
      <c r="T1217" s="260"/>
      <c r="U1217" s="250"/>
      <c r="V1217" s="78">
        <f t="shared" si="181"/>
        <v>0</v>
      </c>
      <c r="W1217" s="261">
        <f t="shared" si="182"/>
        <v>0</v>
      </c>
      <c r="X1217" s="133">
        <f t="shared" si="183"/>
        <v>0</v>
      </c>
      <c r="Y1217" s="251"/>
      <c r="Z1217" s="1736"/>
      <c r="AA1217" s="1737"/>
      <c r="AB1217" s="77">
        <f t="shared" si="184"/>
        <v>0</v>
      </c>
      <c r="AC1217" s="134">
        <f t="shared" si="185"/>
        <v>0</v>
      </c>
      <c r="AD1217" s="251"/>
      <c r="AE1217" s="1736"/>
      <c r="AF1217" s="1737"/>
      <c r="AG1217" s="77">
        <f t="shared" si="186"/>
        <v>0</v>
      </c>
      <c r="AH1217" s="136">
        <f t="shared" si="187"/>
        <v>0</v>
      </c>
      <c r="AI1217" s="251"/>
      <c r="AJ1217" s="1736"/>
      <c r="AK1217" s="1737"/>
      <c r="AL1217" s="79">
        <f t="shared" si="188"/>
        <v>0</v>
      </c>
      <c r="AM1217" s="137">
        <f t="shared" si="189"/>
        <v>0</v>
      </c>
      <c r="AN1217" s="251"/>
      <c r="AO1217" s="1736"/>
      <c r="AP1217" s="1737"/>
    </row>
    <row r="1218" spans="1:42" s="85" customFormat="1" ht="13.5" thickBot="1">
      <c r="A1218" s="240"/>
      <c r="B1218" s="241"/>
      <c r="C1218" s="242"/>
      <c r="D1218" s="242"/>
      <c r="E1218" s="243"/>
      <c r="F1218" s="244"/>
      <c r="G1218" s="244"/>
      <c r="H1218" s="243"/>
      <c r="I1218" s="258"/>
      <c r="J1218" s="245"/>
      <c r="K1218" s="245"/>
      <c r="L1218" s="76">
        <f t="shared" si="180"/>
        <v>0</v>
      </c>
      <c r="M1218" s="246"/>
      <c r="N1218" s="247"/>
      <c r="O1218" s="248"/>
      <c r="P1218" s="246"/>
      <c r="Q1218" s="249"/>
      <c r="R1218" s="250"/>
      <c r="S1218" s="259"/>
      <c r="T1218" s="260"/>
      <c r="U1218" s="250"/>
      <c r="V1218" s="78">
        <f t="shared" si="181"/>
        <v>0</v>
      </c>
      <c r="W1218" s="261">
        <f t="shared" si="182"/>
        <v>0</v>
      </c>
      <c r="X1218" s="133">
        <f t="shared" si="183"/>
        <v>0</v>
      </c>
      <c r="Y1218" s="251"/>
      <c r="Z1218" s="1736"/>
      <c r="AA1218" s="1737"/>
      <c r="AB1218" s="77">
        <f t="shared" si="184"/>
        <v>0</v>
      </c>
      <c r="AC1218" s="134">
        <f t="shared" si="185"/>
        <v>0</v>
      </c>
      <c r="AD1218" s="251"/>
      <c r="AE1218" s="1736"/>
      <c r="AF1218" s="1737"/>
      <c r="AG1218" s="77">
        <f t="shared" si="186"/>
        <v>0</v>
      </c>
      <c r="AH1218" s="136">
        <f t="shared" si="187"/>
        <v>0</v>
      </c>
      <c r="AI1218" s="251"/>
      <c r="AJ1218" s="1736"/>
      <c r="AK1218" s="1737"/>
      <c r="AL1218" s="79">
        <f t="shared" si="188"/>
        <v>0</v>
      </c>
      <c r="AM1218" s="137">
        <f t="shared" si="189"/>
        <v>0</v>
      </c>
      <c r="AN1218" s="251"/>
      <c r="AO1218" s="1736"/>
      <c r="AP1218" s="1737"/>
    </row>
    <row r="1219" spans="1:42" s="85" customFormat="1" ht="13.5" thickBot="1">
      <c r="A1219" s="240"/>
      <c r="B1219" s="241"/>
      <c r="C1219" s="242"/>
      <c r="D1219" s="242"/>
      <c r="E1219" s="243"/>
      <c r="F1219" s="244"/>
      <c r="G1219" s="244"/>
      <c r="H1219" s="243"/>
      <c r="I1219" s="258"/>
      <c r="J1219" s="245"/>
      <c r="K1219" s="245"/>
      <c r="L1219" s="76">
        <f t="shared" si="180"/>
        <v>0</v>
      </c>
      <c r="M1219" s="246"/>
      <c r="N1219" s="247"/>
      <c r="O1219" s="248"/>
      <c r="P1219" s="246"/>
      <c r="Q1219" s="249"/>
      <c r="R1219" s="250"/>
      <c r="S1219" s="259"/>
      <c r="T1219" s="260"/>
      <c r="U1219" s="250"/>
      <c r="V1219" s="78">
        <f t="shared" si="181"/>
        <v>0</v>
      </c>
      <c r="W1219" s="261">
        <f t="shared" si="182"/>
        <v>0</v>
      </c>
      <c r="X1219" s="133">
        <f t="shared" si="183"/>
        <v>0</v>
      </c>
      <c r="Y1219" s="251"/>
      <c r="Z1219" s="1736"/>
      <c r="AA1219" s="1737"/>
      <c r="AB1219" s="77">
        <f t="shared" si="184"/>
        <v>0</v>
      </c>
      <c r="AC1219" s="134">
        <f t="shared" si="185"/>
        <v>0</v>
      </c>
      <c r="AD1219" s="251"/>
      <c r="AE1219" s="1736"/>
      <c r="AF1219" s="1737"/>
      <c r="AG1219" s="77">
        <f t="shared" si="186"/>
        <v>0</v>
      </c>
      <c r="AH1219" s="136">
        <f t="shared" si="187"/>
        <v>0</v>
      </c>
      <c r="AI1219" s="251"/>
      <c r="AJ1219" s="1736"/>
      <c r="AK1219" s="1737"/>
      <c r="AL1219" s="79">
        <f t="shared" si="188"/>
        <v>0</v>
      </c>
      <c r="AM1219" s="137">
        <f t="shared" si="189"/>
        <v>0</v>
      </c>
      <c r="AN1219" s="251"/>
      <c r="AO1219" s="1736"/>
      <c r="AP1219" s="1737"/>
    </row>
    <row r="1220" spans="1:42" s="85" customFormat="1" ht="13.5" thickBot="1">
      <c r="A1220" s="240"/>
      <c r="B1220" s="241"/>
      <c r="C1220" s="242"/>
      <c r="D1220" s="242"/>
      <c r="E1220" s="243"/>
      <c r="F1220" s="244"/>
      <c r="G1220" s="244"/>
      <c r="H1220" s="243"/>
      <c r="I1220" s="258"/>
      <c r="J1220" s="245"/>
      <c r="K1220" s="245"/>
      <c r="L1220" s="76">
        <f t="shared" si="180"/>
        <v>0</v>
      </c>
      <c r="M1220" s="246"/>
      <c r="N1220" s="247"/>
      <c r="O1220" s="248"/>
      <c r="P1220" s="246"/>
      <c r="Q1220" s="249"/>
      <c r="R1220" s="250"/>
      <c r="S1220" s="259"/>
      <c r="T1220" s="260"/>
      <c r="U1220" s="250"/>
      <c r="V1220" s="78">
        <f t="shared" si="181"/>
        <v>0</v>
      </c>
      <c r="W1220" s="261">
        <f t="shared" si="182"/>
        <v>0</v>
      </c>
      <c r="X1220" s="133">
        <f t="shared" si="183"/>
        <v>0</v>
      </c>
      <c r="Y1220" s="251"/>
      <c r="Z1220" s="1736"/>
      <c r="AA1220" s="1737"/>
      <c r="AB1220" s="77">
        <f t="shared" si="184"/>
        <v>0</v>
      </c>
      <c r="AC1220" s="134">
        <f t="shared" si="185"/>
        <v>0</v>
      </c>
      <c r="AD1220" s="251"/>
      <c r="AE1220" s="1736"/>
      <c r="AF1220" s="1737"/>
      <c r="AG1220" s="77">
        <f t="shared" si="186"/>
        <v>0</v>
      </c>
      <c r="AH1220" s="136">
        <f t="shared" si="187"/>
        <v>0</v>
      </c>
      <c r="AI1220" s="251"/>
      <c r="AJ1220" s="1736"/>
      <c r="AK1220" s="1737"/>
      <c r="AL1220" s="79">
        <f t="shared" si="188"/>
        <v>0</v>
      </c>
      <c r="AM1220" s="137">
        <f t="shared" si="189"/>
        <v>0</v>
      </c>
      <c r="AN1220" s="251"/>
      <c r="AO1220" s="1736"/>
      <c r="AP1220" s="1737"/>
    </row>
    <row r="1221" spans="1:42" s="85" customFormat="1" ht="13.5" thickBot="1">
      <c r="A1221" s="240"/>
      <c r="B1221" s="241"/>
      <c r="C1221" s="242"/>
      <c r="D1221" s="242"/>
      <c r="E1221" s="243"/>
      <c r="F1221" s="244"/>
      <c r="G1221" s="244"/>
      <c r="H1221" s="243"/>
      <c r="I1221" s="258"/>
      <c r="J1221" s="245"/>
      <c r="K1221" s="245"/>
      <c r="L1221" s="76">
        <f t="shared" si="180"/>
        <v>0</v>
      </c>
      <c r="M1221" s="246"/>
      <c r="N1221" s="247"/>
      <c r="O1221" s="248"/>
      <c r="P1221" s="246"/>
      <c r="Q1221" s="249"/>
      <c r="R1221" s="250"/>
      <c r="S1221" s="259"/>
      <c r="T1221" s="260"/>
      <c r="U1221" s="250"/>
      <c r="V1221" s="78">
        <f t="shared" si="181"/>
        <v>0</v>
      </c>
      <c r="W1221" s="261">
        <f t="shared" si="182"/>
        <v>0</v>
      </c>
      <c r="X1221" s="133">
        <f t="shared" si="183"/>
        <v>0</v>
      </c>
      <c r="Y1221" s="251"/>
      <c r="Z1221" s="1736"/>
      <c r="AA1221" s="1737"/>
      <c r="AB1221" s="77">
        <f t="shared" si="184"/>
        <v>0</v>
      </c>
      <c r="AC1221" s="134">
        <f t="shared" si="185"/>
        <v>0</v>
      </c>
      <c r="AD1221" s="251"/>
      <c r="AE1221" s="1736"/>
      <c r="AF1221" s="1737"/>
      <c r="AG1221" s="77">
        <f t="shared" si="186"/>
        <v>0</v>
      </c>
      <c r="AH1221" s="136">
        <f t="shared" si="187"/>
        <v>0</v>
      </c>
      <c r="AI1221" s="251"/>
      <c r="AJ1221" s="1736"/>
      <c r="AK1221" s="1737"/>
      <c r="AL1221" s="79">
        <f t="shared" si="188"/>
        <v>0</v>
      </c>
      <c r="AM1221" s="137">
        <f t="shared" si="189"/>
        <v>0</v>
      </c>
      <c r="AN1221" s="251"/>
      <c r="AO1221" s="1736"/>
      <c r="AP1221" s="1737"/>
    </row>
    <row r="1222" spans="1:42" s="85" customFormat="1" ht="13.5" thickBot="1">
      <c r="A1222" s="240"/>
      <c r="B1222" s="241"/>
      <c r="C1222" s="242"/>
      <c r="D1222" s="242"/>
      <c r="E1222" s="243"/>
      <c r="F1222" s="244"/>
      <c r="G1222" s="244"/>
      <c r="H1222" s="243"/>
      <c r="I1222" s="258"/>
      <c r="J1222" s="245"/>
      <c r="K1222" s="245"/>
      <c r="L1222" s="76">
        <f t="shared" si="180"/>
        <v>0</v>
      </c>
      <c r="M1222" s="246"/>
      <c r="N1222" s="247"/>
      <c r="O1222" s="248"/>
      <c r="P1222" s="246"/>
      <c r="Q1222" s="249"/>
      <c r="R1222" s="250"/>
      <c r="S1222" s="259"/>
      <c r="T1222" s="260"/>
      <c r="U1222" s="250"/>
      <c r="V1222" s="78">
        <f t="shared" si="181"/>
        <v>0</v>
      </c>
      <c r="W1222" s="261">
        <f t="shared" si="182"/>
        <v>0</v>
      </c>
      <c r="X1222" s="133">
        <f t="shared" si="183"/>
        <v>0</v>
      </c>
      <c r="Y1222" s="251"/>
      <c r="Z1222" s="1736"/>
      <c r="AA1222" s="1737"/>
      <c r="AB1222" s="77">
        <f t="shared" si="184"/>
        <v>0</v>
      </c>
      <c r="AC1222" s="134">
        <f t="shared" si="185"/>
        <v>0</v>
      </c>
      <c r="AD1222" s="251"/>
      <c r="AE1222" s="1736"/>
      <c r="AF1222" s="1737"/>
      <c r="AG1222" s="77">
        <f t="shared" si="186"/>
        <v>0</v>
      </c>
      <c r="AH1222" s="136">
        <f t="shared" si="187"/>
        <v>0</v>
      </c>
      <c r="AI1222" s="251"/>
      <c r="AJ1222" s="1736"/>
      <c r="AK1222" s="1737"/>
      <c r="AL1222" s="79">
        <f t="shared" si="188"/>
        <v>0</v>
      </c>
      <c r="AM1222" s="137">
        <f t="shared" si="189"/>
        <v>0</v>
      </c>
      <c r="AN1222" s="251"/>
      <c r="AO1222" s="1736"/>
      <c r="AP1222" s="1737"/>
    </row>
    <row r="1223" spans="1:42" s="85" customFormat="1" ht="13.5" thickBot="1">
      <c r="A1223" s="240"/>
      <c r="B1223" s="241"/>
      <c r="C1223" s="242"/>
      <c r="D1223" s="242"/>
      <c r="E1223" s="243"/>
      <c r="F1223" s="244"/>
      <c r="G1223" s="244"/>
      <c r="H1223" s="243"/>
      <c r="I1223" s="258"/>
      <c r="J1223" s="245"/>
      <c r="K1223" s="245"/>
      <c r="L1223" s="76">
        <f t="shared" si="180"/>
        <v>0</v>
      </c>
      <c r="M1223" s="246"/>
      <c r="N1223" s="247"/>
      <c r="O1223" s="248"/>
      <c r="P1223" s="246"/>
      <c r="Q1223" s="249"/>
      <c r="R1223" s="250"/>
      <c r="S1223" s="259"/>
      <c r="T1223" s="260"/>
      <c r="U1223" s="250"/>
      <c r="V1223" s="78">
        <f t="shared" si="181"/>
        <v>0</v>
      </c>
      <c r="W1223" s="261">
        <f t="shared" si="182"/>
        <v>0</v>
      </c>
      <c r="X1223" s="133">
        <f t="shared" si="183"/>
        <v>0</v>
      </c>
      <c r="Y1223" s="251"/>
      <c r="Z1223" s="1736"/>
      <c r="AA1223" s="1737"/>
      <c r="AB1223" s="77">
        <f t="shared" si="184"/>
        <v>0</v>
      </c>
      <c r="AC1223" s="134">
        <f t="shared" si="185"/>
        <v>0</v>
      </c>
      <c r="AD1223" s="251"/>
      <c r="AE1223" s="1736"/>
      <c r="AF1223" s="1737"/>
      <c r="AG1223" s="77">
        <f t="shared" si="186"/>
        <v>0</v>
      </c>
      <c r="AH1223" s="136">
        <f t="shared" si="187"/>
        <v>0</v>
      </c>
      <c r="AI1223" s="251"/>
      <c r="AJ1223" s="1736"/>
      <c r="AK1223" s="1737"/>
      <c r="AL1223" s="79">
        <f t="shared" si="188"/>
        <v>0</v>
      </c>
      <c r="AM1223" s="137">
        <f t="shared" si="189"/>
        <v>0</v>
      </c>
      <c r="AN1223" s="251"/>
      <c r="AO1223" s="1736"/>
      <c r="AP1223" s="1737"/>
    </row>
    <row r="1224" spans="1:42" s="85" customFormat="1" ht="13.5" thickBot="1">
      <c r="A1224" s="240"/>
      <c r="B1224" s="241"/>
      <c r="C1224" s="242"/>
      <c r="D1224" s="242"/>
      <c r="E1224" s="243"/>
      <c r="F1224" s="244"/>
      <c r="G1224" s="244"/>
      <c r="H1224" s="243"/>
      <c r="I1224" s="258"/>
      <c r="J1224" s="245"/>
      <c r="K1224" s="245"/>
      <c r="L1224" s="76">
        <f t="shared" si="180"/>
        <v>0</v>
      </c>
      <c r="M1224" s="246"/>
      <c r="N1224" s="247"/>
      <c r="O1224" s="248"/>
      <c r="P1224" s="246"/>
      <c r="Q1224" s="249"/>
      <c r="R1224" s="250"/>
      <c r="S1224" s="259"/>
      <c r="T1224" s="260"/>
      <c r="U1224" s="250"/>
      <c r="V1224" s="78">
        <f t="shared" si="181"/>
        <v>0</v>
      </c>
      <c r="W1224" s="261">
        <f t="shared" si="182"/>
        <v>0</v>
      </c>
      <c r="X1224" s="133">
        <f t="shared" si="183"/>
        <v>0</v>
      </c>
      <c r="Y1224" s="251"/>
      <c r="Z1224" s="1736"/>
      <c r="AA1224" s="1737"/>
      <c r="AB1224" s="77">
        <f t="shared" si="184"/>
        <v>0</v>
      </c>
      <c r="AC1224" s="134">
        <f t="shared" si="185"/>
        <v>0</v>
      </c>
      <c r="AD1224" s="251"/>
      <c r="AE1224" s="1736"/>
      <c r="AF1224" s="1737"/>
      <c r="AG1224" s="77">
        <f t="shared" si="186"/>
        <v>0</v>
      </c>
      <c r="AH1224" s="136">
        <f t="shared" si="187"/>
        <v>0</v>
      </c>
      <c r="AI1224" s="251"/>
      <c r="AJ1224" s="1736"/>
      <c r="AK1224" s="1737"/>
      <c r="AL1224" s="79">
        <f t="shared" si="188"/>
        <v>0</v>
      </c>
      <c r="AM1224" s="137">
        <f t="shared" si="189"/>
        <v>0</v>
      </c>
      <c r="AN1224" s="251"/>
      <c r="AO1224" s="1736"/>
      <c r="AP1224" s="1737"/>
    </row>
    <row r="1225" spans="1:42" s="85" customFormat="1" ht="13.5" thickBot="1">
      <c r="A1225" s="240"/>
      <c r="B1225" s="241"/>
      <c r="C1225" s="242"/>
      <c r="D1225" s="242"/>
      <c r="E1225" s="243"/>
      <c r="F1225" s="244"/>
      <c r="G1225" s="244"/>
      <c r="H1225" s="243"/>
      <c r="I1225" s="258"/>
      <c r="J1225" s="245"/>
      <c r="K1225" s="245"/>
      <c r="L1225" s="76">
        <f t="shared" si="180"/>
        <v>0</v>
      </c>
      <c r="M1225" s="246"/>
      <c r="N1225" s="247"/>
      <c r="O1225" s="248"/>
      <c r="P1225" s="246"/>
      <c r="Q1225" s="249"/>
      <c r="R1225" s="250"/>
      <c r="S1225" s="259"/>
      <c r="T1225" s="260"/>
      <c r="U1225" s="250"/>
      <c r="V1225" s="78">
        <f t="shared" si="181"/>
        <v>0</v>
      </c>
      <c r="W1225" s="261">
        <f t="shared" si="182"/>
        <v>0</v>
      </c>
      <c r="X1225" s="133">
        <f t="shared" si="183"/>
        <v>0</v>
      </c>
      <c r="Y1225" s="251"/>
      <c r="Z1225" s="1736"/>
      <c r="AA1225" s="1737"/>
      <c r="AB1225" s="77">
        <f t="shared" si="184"/>
        <v>0</v>
      </c>
      <c r="AC1225" s="134">
        <f t="shared" si="185"/>
        <v>0</v>
      </c>
      <c r="AD1225" s="251"/>
      <c r="AE1225" s="1736"/>
      <c r="AF1225" s="1737"/>
      <c r="AG1225" s="77">
        <f t="shared" si="186"/>
        <v>0</v>
      </c>
      <c r="AH1225" s="136">
        <f t="shared" si="187"/>
        <v>0</v>
      </c>
      <c r="AI1225" s="251"/>
      <c r="AJ1225" s="1736"/>
      <c r="AK1225" s="1737"/>
      <c r="AL1225" s="79">
        <f t="shared" si="188"/>
        <v>0</v>
      </c>
      <c r="AM1225" s="137">
        <f t="shared" si="189"/>
        <v>0</v>
      </c>
      <c r="AN1225" s="251"/>
      <c r="AO1225" s="1736"/>
      <c r="AP1225" s="1737"/>
    </row>
    <row r="1226" spans="1:42" s="85" customFormat="1" ht="13.5" thickBot="1">
      <c r="A1226" s="240"/>
      <c r="B1226" s="241"/>
      <c r="C1226" s="242"/>
      <c r="D1226" s="242"/>
      <c r="E1226" s="243"/>
      <c r="F1226" s="244"/>
      <c r="G1226" s="244"/>
      <c r="H1226" s="243"/>
      <c r="I1226" s="258"/>
      <c r="J1226" s="245"/>
      <c r="K1226" s="245"/>
      <c r="L1226" s="76">
        <f t="shared" si="180"/>
        <v>0</v>
      </c>
      <c r="M1226" s="246"/>
      <c r="N1226" s="247"/>
      <c r="O1226" s="248"/>
      <c r="P1226" s="246"/>
      <c r="Q1226" s="249"/>
      <c r="R1226" s="250"/>
      <c r="S1226" s="259"/>
      <c r="T1226" s="260"/>
      <c r="U1226" s="250"/>
      <c r="V1226" s="78">
        <f t="shared" si="181"/>
        <v>0</v>
      </c>
      <c r="W1226" s="261">
        <f t="shared" si="182"/>
        <v>0</v>
      </c>
      <c r="X1226" s="133">
        <f t="shared" si="183"/>
        <v>0</v>
      </c>
      <c r="Y1226" s="251"/>
      <c r="Z1226" s="1736"/>
      <c r="AA1226" s="1737"/>
      <c r="AB1226" s="77">
        <f t="shared" si="184"/>
        <v>0</v>
      </c>
      <c r="AC1226" s="134">
        <f t="shared" si="185"/>
        <v>0</v>
      </c>
      <c r="AD1226" s="251"/>
      <c r="AE1226" s="1736"/>
      <c r="AF1226" s="1737"/>
      <c r="AG1226" s="77">
        <f t="shared" si="186"/>
        <v>0</v>
      </c>
      <c r="AH1226" s="136">
        <f t="shared" si="187"/>
        <v>0</v>
      </c>
      <c r="AI1226" s="251"/>
      <c r="AJ1226" s="1736"/>
      <c r="AK1226" s="1737"/>
      <c r="AL1226" s="79">
        <f t="shared" si="188"/>
        <v>0</v>
      </c>
      <c r="AM1226" s="137">
        <f t="shared" si="189"/>
        <v>0</v>
      </c>
      <c r="AN1226" s="251"/>
      <c r="AO1226" s="1736"/>
      <c r="AP1226" s="1737"/>
    </row>
    <row r="1227" spans="1:42" s="85" customFormat="1" ht="13.5" thickBot="1">
      <c r="A1227" s="240"/>
      <c r="B1227" s="241"/>
      <c r="C1227" s="242"/>
      <c r="D1227" s="242"/>
      <c r="E1227" s="243"/>
      <c r="F1227" s="244"/>
      <c r="G1227" s="244"/>
      <c r="H1227" s="243"/>
      <c r="I1227" s="258"/>
      <c r="J1227" s="245"/>
      <c r="K1227" s="245"/>
      <c r="L1227" s="76">
        <f t="shared" ref="L1227:L1290" si="190">IF(I1227=0,0,(K1227+J1227)/I1227)</f>
        <v>0</v>
      </c>
      <c r="M1227" s="246"/>
      <c r="N1227" s="247"/>
      <c r="O1227" s="248"/>
      <c r="P1227" s="246"/>
      <c r="Q1227" s="249"/>
      <c r="R1227" s="250"/>
      <c r="S1227" s="259"/>
      <c r="T1227" s="260"/>
      <c r="U1227" s="250"/>
      <c r="V1227" s="78">
        <f t="shared" ref="V1227:V1290" si="191">IF(U1227=0,0,((U1227*S1227)-AB1227-AL1227))</f>
        <v>0</v>
      </c>
      <c r="W1227" s="261">
        <f t="shared" ref="W1227:W1290" si="192">+S1227-I1227</f>
        <v>0</v>
      </c>
      <c r="X1227" s="133">
        <f t="shared" ref="X1227:X1290" si="193">(V1227-J1227)</f>
        <v>0</v>
      </c>
      <c r="Y1227" s="251"/>
      <c r="Z1227" s="1736"/>
      <c r="AA1227" s="1737"/>
      <c r="AB1227" s="77">
        <f t="shared" ref="AB1227:AB1290" si="194">(IF(I1227=0,0,M1227/H1227))*S1227</f>
        <v>0</v>
      </c>
      <c r="AC1227" s="134">
        <f t="shared" ref="AC1227:AC1290" si="195">+AB1227-P1227</f>
        <v>0</v>
      </c>
      <c r="AD1227" s="251"/>
      <c r="AE1227" s="1736"/>
      <c r="AF1227" s="1737"/>
      <c r="AG1227" s="77">
        <f t="shared" ref="AG1227:AG1290" si="196">(IF(H1227=0,0,N1227/H1227))*T1227</f>
        <v>0</v>
      </c>
      <c r="AH1227" s="136">
        <f t="shared" ref="AH1227:AH1290" si="197">+AG1227-Q1227</f>
        <v>0</v>
      </c>
      <c r="AI1227" s="251"/>
      <c r="AJ1227" s="1736"/>
      <c r="AK1227" s="1737"/>
      <c r="AL1227" s="79">
        <f t="shared" ref="AL1227:AL1290" si="198">+O1227*S1227</f>
        <v>0</v>
      </c>
      <c r="AM1227" s="137">
        <f t="shared" ref="AM1227:AM1290" si="199">+AL1227-R1227</f>
        <v>0</v>
      </c>
      <c r="AN1227" s="251"/>
      <c r="AO1227" s="1736"/>
      <c r="AP1227" s="1737"/>
    </row>
    <row r="1228" spans="1:42" s="85" customFormat="1" ht="13.5" thickBot="1">
      <c r="A1228" s="240"/>
      <c r="B1228" s="241"/>
      <c r="C1228" s="242"/>
      <c r="D1228" s="242"/>
      <c r="E1228" s="243"/>
      <c r="F1228" s="244"/>
      <c r="G1228" s="244"/>
      <c r="H1228" s="243"/>
      <c r="I1228" s="258"/>
      <c r="J1228" s="245"/>
      <c r="K1228" s="245"/>
      <c r="L1228" s="76">
        <f t="shared" si="190"/>
        <v>0</v>
      </c>
      <c r="M1228" s="246"/>
      <c r="N1228" s="247"/>
      <c r="O1228" s="248"/>
      <c r="P1228" s="246"/>
      <c r="Q1228" s="249"/>
      <c r="R1228" s="250"/>
      <c r="S1228" s="259"/>
      <c r="T1228" s="260"/>
      <c r="U1228" s="250"/>
      <c r="V1228" s="78">
        <f t="shared" si="191"/>
        <v>0</v>
      </c>
      <c r="W1228" s="261">
        <f t="shared" si="192"/>
        <v>0</v>
      </c>
      <c r="X1228" s="133">
        <f t="shared" si="193"/>
        <v>0</v>
      </c>
      <c r="Y1228" s="251"/>
      <c r="Z1228" s="1736"/>
      <c r="AA1228" s="1737"/>
      <c r="AB1228" s="77">
        <f t="shared" si="194"/>
        <v>0</v>
      </c>
      <c r="AC1228" s="134">
        <f t="shared" si="195"/>
        <v>0</v>
      </c>
      <c r="AD1228" s="251"/>
      <c r="AE1228" s="1736"/>
      <c r="AF1228" s="1737"/>
      <c r="AG1228" s="77">
        <f t="shared" si="196"/>
        <v>0</v>
      </c>
      <c r="AH1228" s="136">
        <f t="shared" si="197"/>
        <v>0</v>
      </c>
      <c r="AI1228" s="251"/>
      <c r="AJ1228" s="1736"/>
      <c r="AK1228" s="1737"/>
      <c r="AL1228" s="79">
        <f t="shared" si="198"/>
        <v>0</v>
      </c>
      <c r="AM1228" s="137">
        <f t="shared" si="199"/>
        <v>0</v>
      </c>
      <c r="AN1228" s="251"/>
      <c r="AO1228" s="1736"/>
      <c r="AP1228" s="1737"/>
    </row>
    <row r="1229" spans="1:42" s="85" customFormat="1" ht="13.5" thickBot="1">
      <c r="A1229" s="240"/>
      <c r="B1229" s="241"/>
      <c r="C1229" s="242"/>
      <c r="D1229" s="242"/>
      <c r="E1229" s="243"/>
      <c r="F1229" s="244"/>
      <c r="G1229" s="244"/>
      <c r="H1229" s="243"/>
      <c r="I1229" s="258"/>
      <c r="J1229" s="245"/>
      <c r="K1229" s="245"/>
      <c r="L1229" s="76">
        <f t="shared" si="190"/>
        <v>0</v>
      </c>
      <c r="M1229" s="246"/>
      <c r="N1229" s="247"/>
      <c r="O1229" s="248"/>
      <c r="P1229" s="246"/>
      <c r="Q1229" s="249"/>
      <c r="R1229" s="250"/>
      <c r="S1229" s="259"/>
      <c r="T1229" s="260"/>
      <c r="U1229" s="250"/>
      <c r="V1229" s="78">
        <f t="shared" si="191"/>
        <v>0</v>
      </c>
      <c r="W1229" s="261">
        <f t="shared" si="192"/>
        <v>0</v>
      </c>
      <c r="X1229" s="133">
        <f t="shared" si="193"/>
        <v>0</v>
      </c>
      <c r="Y1229" s="251"/>
      <c r="Z1229" s="1736"/>
      <c r="AA1229" s="1737"/>
      <c r="AB1229" s="77">
        <f t="shared" si="194"/>
        <v>0</v>
      </c>
      <c r="AC1229" s="134">
        <f t="shared" si="195"/>
        <v>0</v>
      </c>
      <c r="AD1229" s="251"/>
      <c r="AE1229" s="1736"/>
      <c r="AF1229" s="1737"/>
      <c r="AG1229" s="77">
        <f t="shared" si="196"/>
        <v>0</v>
      </c>
      <c r="AH1229" s="136">
        <f t="shared" si="197"/>
        <v>0</v>
      </c>
      <c r="AI1229" s="251"/>
      <c r="AJ1229" s="1736"/>
      <c r="AK1229" s="1737"/>
      <c r="AL1229" s="79">
        <f t="shared" si="198"/>
        <v>0</v>
      </c>
      <c r="AM1229" s="137">
        <f t="shared" si="199"/>
        <v>0</v>
      </c>
      <c r="AN1229" s="251"/>
      <c r="AO1229" s="1736"/>
      <c r="AP1229" s="1737"/>
    </row>
    <row r="1230" spans="1:42" s="85" customFormat="1" ht="13.5" thickBot="1">
      <c r="A1230" s="240"/>
      <c r="B1230" s="241"/>
      <c r="C1230" s="242"/>
      <c r="D1230" s="242"/>
      <c r="E1230" s="243"/>
      <c r="F1230" s="244"/>
      <c r="G1230" s="244"/>
      <c r="H1230" s="243"/>
      <c r="I1230" s="258"/>
      <c r="J1230" s="245"/>
      <c r="K1230" s="245"/>
      <c r="L1230" s="76">
        <f t="shared" si="190"/>
        <v>0</v>
      </c>
      <c r="M1230" s="246"/>
      <c r="N1230" s="247"/>
      <c r="O1230" s="248"/>
      <c r="P1230" s="246"/>
      <c r="Q1230" s="249"/>
      <c r="R1230" s="250"/>
      <c r="S1230" s="259"/>
      <c r="T1230" s="260"/>
      <c r="U1230" s="250"/>
      <c r="V1230" s="78">
        <f t="shared" si="191"/>
        <v>0</v>
      </c>
      <c r="W1230" s="261">
        <f t="shared" si="192"/>
        <v>0</v>
      </c>
      <c r="X1230" s="133">
        <f t="shared" si="193"/>
        <v>0</v>
      </c>
      <c r="Y1230" s="251"/>
      <c r="Z1230" s="1736"/>
      <c r="AA1230" s="1737"/>
      <c r="AB1230" s="77">
        <f t="shared" si="194"/>
        <v>0</v>
      </c>
      <c r="AC1230" s="134">
        <f t="shared" si="195"/>
        <v>0</v>
      </c>
      <c r="AD1230" s="251"/>
      <c r="AE1230" s="1736"/>
      <c r="AF1230" s="1737"/>
      <c r="AG1230" s="77">
        <f t="shared" si="196"/>
        <v>0</v>
      </c>
      <c r="AH1230" s="136">
        <f t="shared" si="197"/>
        <v>0</v>
      </c>
      <c r="AI1230" s="251"/>
      <c r="AJ1230" s="1736"/>
      <c r="AK1230" s="1737"/>
      <c r="AL1230" s="79">
        <f t="shared" si="198"/>
        <v>0</v>
      </c>
      <c r="AM1230" s="137">
        <f t="shared" si="199"/>
        <v>0</v>
      </c>
      <c r="AN1230" s="251"/>
      <c r="AO1230" s="1736"/>
      <c r="AP1230" s="1737"/>
    </row>
    <row r="1231" spans="1:42" s="85" customFormat="1" ht="13.5" thickBot="1">
      <c r="A1231" s="240"/>
      <c r="B1231" s="241"/>
      <c r="C1231" s="242"/>
      <c r="D1231" s="242"/>
      <c r="E1231" s="243"/>
      <c r="F1231" s="244"/>
      <c r="G1231" s="244"/>
      <c r="H1231" s="243"/>
      <c r="I1231" s="258"/>
      <c r="J1231" s="245"/>
      <c r="K1231" s="245"/>
      <c r="L1231" s="76">
        <f t="shared" si="190"/>
        <v>0</v>
      </c>
      <c r="M1231" s="246"/>
      <c r="N1231" s="247"/>
      <c r="O1231" s="248"/>
      <c r="P1231" s="246"/>
      <c r="Q1231" s="249"/>
      <c r="R1231" s="250"/>
      <c r="S1231" s="259"/>
      <c r="T1231" s="260"/>
      <c r="U1231" s="250"/>
      <c r="V1231" s="78">
        <f t="shared" si="191"/>
        <v>0</v>
      </c>
      <c r="W1231" s="261">
        <f t="shared" si="192"/>
        <v>0</v>
      </c>
      <c r="X1231" s="133">
        <f t="shared" si="193"/>
        <v>0</v>
      </c>
      <c r="Y1231" s="251"/>
      <c r="Z1231" s="1736"/>
      <c r="AA1231" s="1737"/>
      <c r="AB1231" s="77">
        <f t="shared" si="194"/>
        <v>0</v>
      </c>
      <c r="AC1231" s="134">
        <f t="shared" si="195"/>
        <v>0</v>
      </c>
      <c r="AD1231" s="251"/>
      <c r="AE1231" s="1736"/>
      <c r="AF1231" s="1737"/>
      <c r="AG1231" s="77">
        <f t="shared" si="196"/>
        <v>0</v>
      </c>
      <c r="AH1231" s="136">
        <f t="shared" si="197"/>
        <v>0</v>
      </c>
      <c r="AI1231" s="251"/>
      <c r="AJ1231" s="1736"/>
      <c r="AK1231" s="1737"/>
      <c r="AL1231" s="79">
        <f t="shared" si="198"/>
        <v>0</v>
      </c>
      <c r="AM1231" s="137">
        <f t="shared" si="199"/>
        <v>0</v>
      </c>
      <c r="AN1231" s="251"/>
      <c r="AO1231" s="1736"/>
      <c r="AP1231" s="1737"/>
    </row>
    <row r="1232" spans="1:42" s="85" customFormat="1" ht="13.5" thickBot="1">
      <c r="A1232" s="240"/>
      <c r="B1232" s="241"/>
      <c r="C1232" s="242"/>
      <c r="D1232" s="242"/>
      <c r="E1232" s="243"/>
      <c r="F1232" s="244"/>
      <c r="G1232" s="244"/>
      <c r="H1232" s="243"/>
      <c r="I1232" s="258"/>
      <c r="J1232" s="245"/>
      <c r="K1232" s="245"/>
      <c r="L1232" s="76">
        <f t="shared" si="190"/>
        <v>0</v>
      </c>
      <c r="M1232" s="246"/>
      <c r="N1232" s="247"/>
      <c r="O1232" s="248"/>
      <c r="P1232" s="246"/>
      <c r="Q1232" s="249"/>
      <c r="R1232" s="250"/>
      <c r="S1232" s="259"/>
      <c r="T1232" s="260"/>
      <c r="U1232" s="250"/>
      <c r="V1232" s="78">
        <f t="shared" si="191"/>
        <v>0</v>
      </c>
      <c r="W1232" s="261">
        <f t="shared" si="192"/>
        <v>0</v>
      </c>
      <c r="X1232" s="133">
        <f t="shared" si="193"/>
        <v>0</v>
      </c>
      <c r="Y1232" s="251"/>
      <c r="Z1232" s="1736"/>
      <c r="AA1232" s="1737"/>
      <c r="AB1232" s="77">
        <f t="shared" si="194"/>
        <v>0</v>
      </c>
      <c r="AC1232" s="134">
        <f t="shared" si="195"/>
        <v>0</v>
      </c>
      <c r="AD1232" s="251"/>
      <c r="AE1232" s="1736"/>
      <c r="AF1232" s="1737"/>
      <c r="AG1232" s="77">
        <f t="shared" si="196"/>
        <v>0</v>
      </c>
      <c r="AH1232" s="136">
        <f t="shared" si="197"/>
        <v>0</v>
      </c>
      <c r="AI1232" s="251"/>
      <c r="AJ1232" s="1736"/>
      <c r="AK1232" s="1737"/>
      <c r="AL1232" s="79">
        <f t="shared" si="198"/>
        <v>0</v>
      </c>
      <c r="AM1232" s="137">
        <f t="shared" si="199"/>
        <v>0</v>
      </c>
      <c r="AN1232" s="251"/>
      <c r="AO1232" s="1736"/>
      <c r="AP1232" s="1737"/>
    </row>
    <row r="1233" spans="1:42" s="85" customFormat="1" ht="13.5" thickBot="1">
      <c r="A1233" s="240"/>
      <c r="B1233" s="241"/>
      <c r="C1233" s="242"/>
      <c r="D1233" s="242"/>
      <c r="E1233" s="243"/>
      <c r="F1233" s="244"/>
      <c r="G1233" s="244"/>
      <c r="H1233" s="243"/>
      <c r="I1233" s="258"/>
      <c r="J1233" s="245"/>
      <c r="K1233" s="245"/>
      <c r="L1233" s="76">
        <f t="shared" si="190"/>
        <v>0</v>
      </c>
      <c r="M1233" s="246"/>
      <c r="N1233" s="247"/>
      <c r="O1233" s="248"/>
      <c r="P1233" s="246"/>
      <c r="Q1233" s="249"/>
      <c r="R1233" s="250"/>
      <c r="S1233" s="259"/>
      <c r="T1233" s="260"/>
      <c r="U1233" s="250"/>
      <c r="V1233" s="78">
        <f t="shared" si="191"/>
        <v>0</v>
      </c>
      <c r="W1233" s="261">
        <f t="shared" si="192"/>
        <v>0</v>
      </c>
      <c r="X1233" s="133">
        <f t="shared" si="193"/>
        <v>0</v>
      </c>
      <c r="Y1233" s="251"/>
      <c r="Z1233" s="1736"/>
      <c r="AA1233" s="1737"/>
      <c r="AB1233" s="77">
        <f t="shared" si="194"/>
        <v>0</v>
      </c>
      <c r="AC1233" s="134">
        <f t="shared" si="195"/>
        <v>0</v>
      </c>
      <c r="AD1233" s="251"/>
      <c r="AE1233" s="1736"/>
      <c r="AF1233" s="1737"/>
      <c r="AG1233" s="77">
        <f t="shared" si="196"/>
        <v>0</v>
      </c>
      <c r="AH1233" s="136">
        <f t="shared" si="197"/>
        <v>0</v>
      </c>
      <c r="AI1233" s="251"/>
      <c r="AJ1233" s="1736"/>
      <c r="AK1233" s="1737"/>
      <c r="AL1233" s="79">
        <f t="shared" si="198"/>
        <v>0</v>
      </c>
      <c r="AM1233" s="137">
        <f t="shared" si="199"/>
        <v>0</v>
      </c>
      <c r="AN1233" s="251"/>
      <c r="AO1233" s="1736"/>
      <c r="AP1233" s="1737"/>
    </row>
    <row r="1234" spans="1:42" s="85" customFormat="1" ht="13.5" thickBot="1">
      <c r="A1234" s="240"/>
      <c r="B1234" s="241"/>
      <c r="C1234" s="242"/>
      <c r="D1234" s="242"/>
      <c r="E1234" s="243"/>
      <c r="F1234" s="244"/>
      <c r="G1234" s="244"/>
      <c r="H1234" s="243"/>
      <c r="I1234" s="258"/>
      <c r="J1234" s="245"/>
      <c r="K1234" s="245"/>
      <c r="L1234" s="76">
        <f t="shared" si="190"/>
        <v>0</v>
      </c>
      <c r="M1234" s="246"/>
      <c r="N1234" s="247"/>
      <c r="O1234" s="248"/>
      <c r="P1234" s="246"/>
      <c r="Q1234" s="249"/>
      <c r="R1234" s="250"/>
      <c r="S1234" s="259"/>
      <c r="T1234" s="260"/>
      <c r="U1234" s="250"/>
      <c r="V1234" s="78">
        <f t="shared" si="191"/>
        <v>0</v>
      </c>
      <c r="W1234" s="261">
        <f t="shared" si="192"/>
        <v>0</v>
      </c>
      <c r="X1234" s="133">
        <f t="shared" si="193"/>
        <v>0</v>
      </c>
      <c r="Y1234" s="251"/>
      <c r="Z1234" s="1736"/>
      <c r="AA1234" s="1737"/>
      <c r="AB1234" s="77">
        <f t="shared" si="194"/>
        <v>0</v>
      </c>
      <c r="AC1234" s="134">
        <f t="shared" si="195"/>
        <v>0</v>
      </c>
      <c r="AD1234" s="251"/>
      <c r="AE1234" s="1736"/>
      <c r="AF1234" s="1737"/>
      <c r="AG1234" s="77">
        <f t="shared" si="196"/>
        <v>0</v>
      </c>
      <c r="AH1234" s="136">
        <f t="shared" si="197"/>
        <v>0</v>
      </c>
      <c r="AI1234" s="251"/>
      <c r="AJ1234" s="1736"/>
      <c r="AK1234" s="1737"/>
      <c r="AL1234" s="79">
        <f t="shared" si="198"/>
        <v>0</v>
      </c>
      <c r="AM1234" s="137">
        <f t="shared" si="199"/>
        <v>0</v>
      </c>
      <c r="AN1234" s="251"/>
      <c r="AO1234" s="1736"/>
      <c r="AP1234" s="1737"/>
    </row>
    <row r="1235" spans="1:42" s="85" customFormat="1" ht="13.5" thickBot="1">
      <c r="A1235" s="240"/>
      <c r="B1235" s="241"/>
      <c r="C1235" s="242"/>
      <c r="D1235" s="242"/>
      <c r="E1235" s="243"/>
      <c r="F1235" s="244"/>
      <c r="G1235" s="244"/>
      <c r="H1235" s="243"/>
      <c r="I1235" s="258"/>
      <c r="J1235" s="245"/>
      <c r="K1235" s="245"/>
      <c r="L1235" s="76">
        <f t="shared" si="190"/>
        <v>0</v>
      </c>
      <c r="M1235" s="246"/>
      <c r="N1235" s="247"/>
      <c r="O1235" s="248"/>
      <c r="P1235" s="246"/>
      <c r="Q1235" s="249"/>
      <c r="R1235" s="250"/>
      <c r="S1235" s="259"/>
      <c r="T1235" s="260"/>
      <c r="U1235" s="250"/>
      <c r="V1235" s="78">
        <f t="shared" si="191"/>
        <v>0</v>
      </c>
      <c r="W1235" s="261">
        <f t="shared" si="192"/>
        <v>0</v>
      </c>
      <c r="X1235" s="133">
        <f t="shared" si="193"/>
        <v>0</v>
      </c>
      <c r="Y1235" s="251"/>
      <c r="Z1235" s="1736"/>
      <c r="AA1235" s="1737"/>
      <c r="AB1235" s="77">
        <f t="shared" si="194"/>
        <v>0</v>
      </c>
      <c r="AC1235" s="134">
        <f t="shared" si="195"/>
        <v>0</v>
      </c>
      <c r="AD1235" s="251"/>
      <c r="AE1235" s="1736"/>
      <c r="AF1235" s="1737"/>
      <c r="AG1235" s="77">
        <f t="shared" si="196"/>
        <v>0</v>
      </c>
      <c r="AH1235" s="136">
        <f t="shared" si="197"/>
        <v>0</v>
      </c>
      <c r="AI1235" s="251"/>
      <c r="AJ1235" s="1736"/>
      <c r="AK1235" s="1737"/>
      <c r="AL1235" s="79">
        <f t="shared" si="198"/>
        <v>0</v>
      </c>
      <c r="AM1235" s="137">
        <f t="shared" si="199"/>
        <v>0</v>
      </c>
      <c r="AN1235" s="251"/>
      <c r="AO1235" s="1736"/>
      <c r="AP1235" s="1737"/>
    </row>
    <row r="1236" spans="1:42" s="85" customFormat="1" ht="13.5" thickBot="1">
      <c r="A1236" s="240"/>
      <c r="B1236" s="241"/>
      <c r="C1236" s="242"/>
      <c r="D1236" s="242"/>
      <c r="E1236" s="243"/>
      <c r="F1236" s="244"/>
      <c r="G1236" s="244"/>
      <c r="H1236" s="243"/>
      <c r="I1236" s="258"/>
      <c r="J1236" s="245"/>
      <c r="K1236" s="245"/>
      <c r="L1236" s="76">
        <f t="shared" si="190"/>
        <v>0</v>
      </c>
      <c r="M1236" s="246"/>
      <c r="N1236" s="247"/>
      <c r="O1236" s="248"/>
      <c r="P1236" s="246"/>
      <c r="Q1236" s="249"/>
      <c r="R1236" s="250"/>
      <c r="S1236" s="259"/>
      <c r="T1236" s="260"/>
      <c r="U1236" s="250"/>
      <c r="V1236" s="78">
        <f t="shared" si="191"/>
        <v>0</v>
      </c>
      <c r="W1236" s="261">
        <f t="shared" si="192"/>
        <v>0</v>
      </c>
      <c r="X1236" s="133">
        <f t="shared" si="193"/>
        <v>0</v>
      </c>
      <c r="Y1236" s="251"/>
      <c r="Z1236" s="1736"/>
      <c r="AA1236" s="1737"/>
      <c r="AB1236" s="77">
        <f t="shared" si="194"/>
        <v>0</v>
      </c>
      <c r="AC1236" s="134">
        <f t="shared" si="195"/>
        <v>0</v>
      </c>
      <c r="AD1236" s="251"/>
      <c r="AE1236" s="1736"/>
      <c r="AF1236" s="1737"/>
      <c r="AG1236" s="77">
        <f t="shared" si="196"/>
        <v>0</v>
      </c>
      <c r="AH1236" s="136">
        <f t="shared" si="197"/>
        <v>0</v>
      </c>
      <c r="AI1236" s="251"/>
      <c r="AJ1236" s="1736"/>
      <c r="AK1236" s="1737"/>
      <c r="AL1236" s="79">
        <f t="shared" si="198"/>
        <v>0</v>
      </c>
      <c r="AM1236" s="137">
        <f t="shared" si="199"/>
        <v>0</v>
      </c>
      <c r="AN1236" s="251"/>
      <c r="AO1236" s="1736"/>
      <c r="AP1236" s="1737"/>
    </row>
    <row r="1237" spans="1:42" s="85" customFormat="1" ht="13.5" thickBot="1">
      <c r="A1237" s="240"/>
      <c r="B1237" s="241"/>
      <c r="C1237" s="242"/>
      <c r="D1237" s="242"/>
      <c r="E1237" s="243"/>
      <c r="F1237" s="244"/>
      <c r="G1237" s="244"/>
      <c r="H1237" s="243"/>
      <c r="I1237" s="258"/>
      <c r="J1237" s="245"/>
      <c r="K1237" s="245"/>
      <c r="L1237" s="76">
        <f t="shared" si="190"/>
        <v>0</v>
      </c>
      <c r="M1237" s="246"/>
      <c r="N1237" s="247"/>
      <c r="O1237" s="248"/>
      <c r="P1237" s="246"/>
      <c r="Q1237" s="249"/>
      <c r="R1237" s="250"/>
      <c r="S1237" s="259"/>
      <c r="T1237" s="260"/>
      <c r="U1237" s="250"/>
      <c r="V1237" s="78">
        <f t="shared" si="191"/>
        <v>0</v>
      </c>
      <c r="W1237" s="261">
        <f t="shared" si="192"/>
        <v>0</v>
      </c>
      <c r="X1237" s="133">
        <f t="shared" si="193"/>
        <v>0</v>
      </c>
      <c r="Y1237" s="251"/>
      <c r="Z1237" s="1736"/>
      <c r="AA1237" s="1737"/>
      <c r="AB1237" s="77">
        <f t="shared" si="194"/>
        <v>0</v>
      </c>
      <c r="AC1237" s="134">
        <f t="shared" si="195"/>
        <v>0</v>
      </c>
      <c r="AD1237" s="251"/>
      <c r="AE1237" s="1736"/>
      <c r="AF1237" s="1737"/>
      <c r="AG1237" s="77">
        <f t="shared" si="196"/>
        <v>0</v>
      </c>
      <c r="AH1237" s="136">
        <f t="shared" si="197"/>
        <v>0</v>
      </c>
      <c r="AI1237" s="251"/>
      <c r="AJ1237" s="1736"/>
      <c r="AK1237" s="1737"/>
      <c r="AL1237" s="79">
        <f t="shared" si="198"/>
        <v>0</v>
      </c>
      <c r="AM1237" s="137">
        <f t="shared" si="199"/>
        <v>0</v>
      </c>
      <c r="AN1237" s="251"/>
      <c r="AO1237" s="1736"/>
      <c r="AP1237" s="1737"/>
    </row>
    <row r="1238" spans="1:42" s="85" customFormat="1" ht="13.5" thickBot="1">
      <c r="A1238" s="240"/>
      <c r="B1238" s="241"/>
      <c r="C1238" s="242"/>
      <c r="D1238" s="242"/>
      <c r="E1238" s="243"/>
      <c r="F1238" s="244"/>
      <c r="G1238" s="244"/>
      <c r="H1238" s="243"/>
      <c r="I1238" s="258"/>
      <c r="J1238" s="245"/>
      <c r="K1238" s="245"/>
      <c r="L1238" s="76">
        <f t="shared" si="190"/>
        <v>0</v>
      </c>
      <c r="M1238" s="246"/>
      <c r="N1238" s="247"/>
      <c r="O1238" s="248"/>
      <c r="P1238" s="246"/>
      <c r="Q1238" s="249"/>
      <c r="R1238" s="250"/>
      <c r="S1238" s="259"/>
      <c r="T1238" s="260"/>
      <c r="U1238" s="250"/>
      <c r="V1238" s="78">
        <f t="shared" si="191"/>
        <v>0</v>
      </c>
      <c r="W1238" s="261">
        <f t="shared" si="192"/>
        <v>0</v>
      </c>
      <c r="X1238" s="133">
        <f t="shared" si="193"/>
        <v>0</v>
      </c>
      <c r="Y1238" s="251"/>
      <c r="Z1238" s="1736"/>
      <c r="AA1238" s="1737"/>
      <c r="AB1238" s="77">
        <f t="shared" si="194"/>
        <v>0</v>
      </c>
      <c r="AC1238" s="134">
        <f t="shared" si="195"/>
        <v>0</v>
      </c>
      <c r="AD1238" s="251"/>
      <c r="AE1238" s="1736"/>
      <c r="AF1238" s="1737"/>
      <c r="AG1238" s="77">
        <f t="shared" si="196"/>
        <v>0</v>
      </c>
      <c r="AH1238" s="136">
        <f t="shared" si="197"/>
        <v>0</v>
      </c>
      <c r="AI1238" s="251"/>
      <c r="AJ1238" s="1736"/>
      <c r="AK1238" s="1737"/>
      <c r="AL1238" s="79">
        <f t="shared" si="198"/>
        <v>0</v>
      </c>
      <c r="AM1238" s="137">
        <f t="shared" si="199"/>
        <v>0</v>
      </c>
      <c r="AN1238" s="251"/>
      <c r="AO1238" s="1736"/>
      <c r="AP1238" s="1737"/>
    </row>
    <row r="1239" spans="1:42" s="85" customFormat="1" ht="13.5" thickBot="1">
      <c r="A1239" s="240"/>
      <c r="B1239" s="241"/>
      <c r="C1239" s="242"/>
      <c r="D1239" s="242"/>
      <c r="E1239" s="243"/>
      <c r="F1239" s="244"/>
      <c r="G1239" s="244"/>
      <c r="H1239" s="243"/>
      <c r="I1239" s="258"/>
      <c r="J1239" s="245"/>
      <c r="K1239" s="245"/>
      <c r="L1239" s="76">
        <f t="shared" si="190"/>
        <v>0</v>
      </c>
      <c r="M1239" s="246"/>
      <c r="N1239" s="247"/>
      <c r="O1239" s="248"/>
      <c r="P1239" s="246"/>
      <c r="Q1239" s="249"/>
      <c r="R1239" s="250"/>
      <c r="S1239" s="259"/>
      <c r="T1239" s="260"/>
      <c r="U1239" s="250"/>
      <c r="V1239" s="78">
        <f t="shared" si="191"/>
        <v>0</v>
      </c>
      <c r="W1239" s="261">
        <f t="shared" si="192"/>
        <v>0</v>
      </c>
      <c r="X1239" s="133">
        <f t="shared" si="193"/>
        <v>0</v>
      </c>
      <c r="Y1239" s="251"/>
      <c r="Z1239" s="1736"/>
      <c r="AA1239" s="1737"/>
      <c r="AB1239" s="77">
        <f t="shared" si="194"/>
        <v>0</v>
      </c>
      <c r="AC1239" s="134">
        <f t="shared" si="195"/>
        <v>0</v>
      </c>
      <c r="AD1239" s="251"/>
      <c r="AE1239" s="1736"/>
      <c r="AF1239" s="1737"/>
      <c r="AG1239" s="77">
        <f t="shared" si="196"/>
        <v>0</v>
      </c>
      <c r="AH1239" s="136">
        <f t="shared" si="197"/>
        <v>0</v>
      </c>
      <c r="AI1239" s="251"/>
      <c r="AJ1239" s="1736"/>
      <c r="AK1239" s="1737"/>
      <c r="AL1239" s="79">
        <f t="shared" si="198"/>
        <v>0</v>
      </c>
      <c r="AM1239" s="137">
        <f t="shared" si="199"/>
        <v>0</v>
      </c>
      <c r="AN1239" s="251"/>
      <c r="AO1239" s="1736"/>
      <c r="AP1239" s="1737"/>
    </row>
    <row r="1240" spans="1:42" s="85" customFormat="1" ht="13.5" thickBot="1">
      <c r="A1240" s="240"/>
      <c r="B1240" s="241"/>
      <c r="C1240" s="242"/>
      <c r="D1240" s="242"/>
      <c r="E1240" s="243"/>
      <c r="F1240" s="244"/>
      <c r="G1240" s="244"/>
      <c r="H1240" s="243"/>
      <c r="I1240" s="258"/>
      <c r="J1240" s="245"/>
      <c r="K1240" s="245"/>
      <c r="L1240" s="76">
        <f t="shared" si="190"/>
        <v>0</v>
      </c>
      <c r="M1240" s="246"/>
      <c r="N1240" s="247"/>
      <c r="O1240" s="248"/>
      <c r="P1240" s="246"/>
      <c r="Q1240" s="249"/>
      <c r="R1240" s="250"/>
      <c r="S1240" s="259"/>
      <c r="T1240" s="260"/>
      <c r="U1240" s="250"/>
      <c r="V1240" s="78">
        <f t="shared" si="191"/>
        <v>0</v>
      </c>
      <c r="W1240" s="261">
        <f t="shared" si="192"/>
        <v>0</v>
      </c>
      <c r="X1240" s="133">
        <f t="shared" si="193"/>
        <v>0</v>
      </c>
      <c r="Y1240" s="251"/>
      <c r="Z1240" s="1736"/>
      <c r="AA1240" s="1737"/>
      <c r="AB1240" s="77">
        <f t="shared" si="194"/>
        <v>0</v>
      </c>
      <c r="AC1240" s="134">
        <f t="shared" si="195"/>
        <v>0</v>
      </c>
      <c r="AD1240" s="251"/>
      <c r="AE1240" s="1736"/>
      <c r="AF1240" s="1737"/>
      <c r="AG1240" s="77">
        <f t="shared" si="196"/>
        <v>0</v>
      </c>
      <c r="AH1240" s="136">
        <f t="shared" si="197"/>
        <v>0</v>
      </c>
      <c r="AI1240" s="251"/>
      <c r="AJ1240" s="1736"/>
      <c r="AK1240" s="1737"/>
      <c r="AL1240" s="79">
        <f t="shared" si="198"/>
        <v>0</v>
      </c>
      <c r="AM1240" s="137">
        <f t="shared" si="199"/>
        <v>0</v>
      </c>
      <c r="AN1240" s="251"/>
      <c r="AO1240" s="1736"/>
      <c r="AP1240" s="1737"/>
    </row>
    <row r="1241" spans="1:42" s="85" customFormat="1" ht="13.5" thickBot="1">
      <c r="A1241" s="240"/>
      <c r="B1241" s="241"/>
      <c r="C1241" s="242"/>
      <c r="D1241" s="242"/>
      <c r="E1241" s="243"/>
      <c r="F1241" s="244"/>
      <c r="G1241" s="244"/>
      <c r="H1241" s="243"/>
      <c r="I1241" s="258"/>
      <c r="J1241" s="245"/>
      <c r="K1241" s="245"/>
      <c r="L1241" s="76">
        <f t="shared" si="190"/>
        <v>0</v>
      </c>
      <c r="M1241" s="246"/>
      <c r="N1241" s="247"/>
      <c r="O1241" s="248"/>
      <c r="P1241" s="246"/>
      <c r="Q1241" s="249"/>
      <c r="R1241" s="250"/>
      <c r="S1241" s="259"/>
      <c r="T1241" s="260"/>
      <c r="U1241" s="250"/>
      <c r="V1241" s="78">
        <f t="shared" si="191"/>
        <v>0</v>
      </c>
      <c r="W1241" s="261">
        <f t="shared" si="192"/>
        <v>0</v>
      </c>
      <c r="X1241" s="133">
        <f t="shared" si="193"/>
        <v>0</v>
      </c>
      <c r="Y1241" s="251"/>
      <c r="Z1241" s="1736"/>
      <c r="AA1241" s="1737"/>
      <c r="AB1241" s="77">
        <f t="shared" si="194"/>
        <v>0</v>
      </c>
      <c r="AC1241" s="134">
        <f t="shared" si="195"/>
        <v>0</v>
      </c>
      <c r="AD1241" s="251"/>
      <c r="AE1241" s="1736"/>
      <c r="AF1241" s="1737"/>
      <c r="AG1241" s="77">
        <f t="shared" si="196"/>
        <v>0</v>
      </c>
      <c r="AH1241" s="136">
        <f t="shared" si="197"/>
        <v>0</v>
      </c>
      <c r="AI1241" s="251"/>
      <c r="AJ1241" s="1736"/>
      <c r="AK1241" s="1737"/>
      <c r="AL1241" s="79">
        <f t="shared" si="198"/>
        <v>0</v>
      </c>
      <c r="AM1241" s="137">
        <f t="shared" si="199"/>
        <v>0</v>
      </c>
      <c r="AN1241" s="251"/>
      <c r="AO1241" s="1736"/>
      <c r="AP1241" s="1737"/>
    </row>
    <row r="1242" spans="1:42" s="85" customFormat="1" ht="13.5" thickBot="1">
      <c r="A1242" s="240"/>
      <c r="B1242" s="241"/>
      <c r="C1242" s="242"/>
      <c r="D1242" s="242"/>
      <c r="E1242" s="243"/>
      <c r="F1242" s="244"/>
      <c r="G1242" s="244"/>
      <c r="H1242" s="243"/>
      <c r="I1242" s="258"/>
      <c r="J1242" s="245"/>
      <c r="K1242" s="245"/>
      <c r="L1242" s="76">
        <f t="shared" si="190"/>
        <v>0</v>
      </c>
      <c r="M1242" s="246"/>
      <c r="N1242" s="247"/>
      <c r="O1242" s="248"/>
      <c r="P1242" s="246"/>
      <c r="Q1242" s="249"/>
      <c r="R1242" s="250"/>
      <c r="S1242" s="259"/>
      <c r="T1242" s="260"/>
      <c r="U1242" s="250"/>
      <c r="V1242" s="78">
        <f t="shared" si="191"/>
        <v>0</v>
      </c>
      <c r="W1242" s="261">
        <f t="shared" si="192"/>
        <v>0</v>
      </c>
      <c r="X1242" s="133">
        <f t="shared" si="193"/>
        <v>0</v>
      </c>
      <c r="Y1242" s="251"/>
      <c r="Z1242" s="1736"/>
      <c r="AA1242" s="1737"/>
      <c r="AB1242" s="77">
        <f t="shared" si="194"/>
        <v>0</v>
      </c>
      <c r="AC1242" s="134">
        <f t="shared" si="195"/>
        <v>0</v>
      </c>
      <c r="AD1242" s="251"/>
      <c r="AE1242" s="1736"/>
      <c r="AF1242" s="1737"/>
      <c r="AG1242" s="77">
        <f t="shared" si="196"/>
        <v>0</v>
      </c>
      <c r="AH1242" s="136">
        <f t="shared" si="197"/>
        <v>0</v>
      </c>
      <c r="AI1242" s="251"/>
      <c r="AJ1242" s="1736"/>
      <c r="AK1242" s="1737"/>
      <c r="AL1242" s="79">
        <f t="shared" si="198"/>
        <v>0</v>
      </c>
      <c r="AM1242" s="137">
        <f t="shared" si="199"/>
        <v>0</v>
      </c>
      <c r="AN1242" s="251"/>
      <c r="AO1242" s="1736"/>
      <c r="AP1242" s="1737"/>
    </row>
    <row r="1243" spans="1:42" s="85" customFormat="1" ht="13.5" thickBot="1">
      <c r="A1243" s="240"/>
      <c r="B1243" s="241"/>
      <c r="C1243" s="242"/>
      <c r="D1243" s="242"/>
      <c r="E1243" s="243"/>
      <c r="F1243" s="244"/>
      <c r="G1243" s="244"/>
      <c r="H1243" s="243"/>
      <c r="I1243" s="258"/>
      <c r="J1243" s="245"/>
      <c r="K1243" s="245"/>
      <c r="L1243" s="76">
        <f t="shared" si="190"/>
        <v>0</v>
      </c>
      <c r="M1243" s="246"/>
      <c r="N1243" s="247"/>
      <c r="O1243" s="248"/>
      <c r="P1243" s="246"/>
      <c r="Q1243" s="249"/>
      <c r="R1243" s="250"/>
      <c r="S1243" s="259"/>
      <c r="T1243" s="260"/>
      <c r="U1243" s="250"/>
      <c r="V1243" s="78">
        <f t="shared" si="191"/>
        <v>0</v>
      </c>
      <c r="W1243" s="261">
        <f t="shared" si="192"/>
        <v>0</v>
      </c>
      <c r="X1243" s="133">
        <f t="shared" si="193"/>
        <v>0</v>
      </c>
      <c r="Y1243" s="251"/>
      <c r="Z1243" s="1736"/>
      <c r="AA1243" s="1737"/>
      <c r="AB1243" s="77">
        <f t="shared" si="194"/>
        <v>0</v>
      </c>
      <c r="AC1243" s="134">
        <f t="shared" si="195"/>
        <v>0</v>
      </c>
      <c r="AD1243" s="251"/>
      <c r="AE1243" s="1736"/>
      <c r="AF1243" s="1737"/>
      <c r="AG1243" s="77">
        <f t="shared" si="196"/>
        <v>0</v>
      </c>
      <c r="AH1243" s="136">
        <f t="shared" si="197"/>
        <v>0</v>
      </c>
      <c r="AI1243" s="251"/>
      <c r="AJ1243" s="1736"/>
      <c r="AK1243" s="1737"/>
      <c r="AL1243" s="79">
        <f t="shared" si="198"/>
        <v>0</v>
      </c>
      <c r="AM1243" s="137">
        <f t="shared" si="199"/>
        <v>0</v>
      </c>
      <c r="AN1243" s="251"/>
      <c r="AO1243" s="1736"/>
      <c r="AP1243" s="1737"/>
    </row>
    <row r="1244" spans="1:42" s="85" customFormat="1" ht="13.5" thickBot="1">
      <c r="A1244" s="240"/>
      <c r="B1244" s="241"/>
      <c r="C1244" s="242"/>
      <c r="D1244" s="242"/>
      <c r="E1244" s="243"/>
      <c r="F1244" s="244"/>
      <c r="G1244" s="244"/>
      <c r="H1244" s="243"/>
      <c r="I1244" s="258"/>
      <c r="J1244" s="245"/>
      <c r="K1244" s="245"/>
      <c r="L1244" s="76">
        <f t="shared" si="190"/>
        <v>0</v>
      </c>
      <c r="M1244" s="246"/>
      <c r="N1244" s="247"/>
      <c r="O1244" s="248"/>
      <c r="P1244" s="246"/>
      <c r="Q1244" s="249"/>
      <c r="R1244" s="250"/>
      <c r="S1244" s="259"/>
      <c r="T1244" s="260"/>
      <c r="U1244" s="250"/>
      <c r="V1244" s="78">
        <f t="shared" si="191"/>
        <v>0</v>
      </c>
      <c r="W1244" s="261">
        <f t="shared" si="192"/>
        <v>0</v>
      </c>
      <c r="X1244" s="133">
        <f t="shared" si="193"/>
        <v>0</v>
      </c>
      <c r="Y1244" s="251"/>
      <c r="Z1244" s="1736"/>
      <c r="AA1244" s="1737"/>
      <c r="AB1244" s="77">
        <f t="shared" si="194"/>
        <v>0</v>
      </c>
      <c r="AC1244" s="134">
        <f t="shared" si="195"/>
        <v>0</v>
      </c>
      <c r="AD1244" s="251"/>
      <c r="AE1244" s="1736"/>
      <c r="AF1244" s="1737"/>
      <c r="AG1244" s="77">
        <f t="shared" si="196"/>
        <v>0</v>
      </c>
      <c r="AH1244" s="136">
        <f t="shared" si="197"/>
        <v>0</v>
      </c>
      <c r="AI1244" s="251"/>
      <c r="AJ1244" s="1736"/>
      <c r="AK1244" s="1737"/>
      <c r="AL1244" s="79">
        <f t="shared" si="198"/>
        <v>0</v>
      </c>
      <c r="AM1244" s="137">
        <f t="shared" si="199"/>
        <v>0</v>
      </c>
      <c r="AN1244" s="251"/>
      <c r="AO1244" s="1736"/>
      <c r="AP1244" s="1737"/>
    </row>
    <row r="1245" spans="1:42" s="85" customFormat="1" ht="13.5" thickBot="1">
      <c r="A1245" s="240"/>
      <c r="B1245" s="241"/>
      <c r="C1245" s="242"/>
      <c r="D1245" s="242"/>
      <c r="E1245" s="243"/>
      <c r="F1245" s="244"/>
      <c r="G1245" s="244"/>
      <c r="H1245" s="243"/>
      <c r="I1245" s="258"/>
      <c r="J1245" s="245"/>
      <c r="K1245" s="245"/>
      <c r="L1245" s="76">
        <f t="shared" si="190"/>
        <v>0</v>
      </c>
      <c r="M1245" s="246"/>
      <c r="N1245" s="247"/>
      <c r="O1245" s="248"/>
      <c r="P1245" s="246"/>
      <c r="Q1245" s="249"/>
      <c r="R1245" s="250"/>
      <c r="S1245" s="259"/>
      <c r="T1245" s="260"/>
      <c r="U1245" s="250"/>
      <c r="V1245" s="78">
        <f t="shared" si="191"/>
        <v>0</v>
      </c>
      <c r="W1245" s="261">
        <f t="shared" si="192"/>
        <v>0</v>
      </c>
      <c r="X1245" s="133">
        <f t="shared" si="193"/>
        <v>0</v>
      </c>
      <c r="Y1245" s="251"/>
      <c r="Z1245" s="1736"/>
      <c r="AA1245" s="1737"/>
      <c r="AB1245" s="77">
        <f t="shared" si="194"/>
        <v>0</v>
      </c>
      <c r="AC1245" s="134">
        <f t="shared" si="195"/>
        <v>0</v>
      </c>
      <c r="AD1245" s="251"/>
      <c r="AE1245" s="1736"/>
      <c r="AF1245" s="1737"/>
      <c r="AG1245" s="77">
        <f t="shared" si="196"/>
        <v>0</v>
      </c>
      <c r="AH1245" s="136">
        <f t="shared" si="197"/>
        <v>0</v>
      </c>
      <c r="AI1245" s="251"/>
      <c r="AJ1245" s="1736"/>
      <c r="AK1245" s="1737"/>
      <c r="AL1245" s="79">
        <f t="shared" si="198"/>
        <v>0</v>
      </c>
      <c r="AM1245" s="137">
        <f t="shared" si="199"/>
        <v>0</v>
      </c>
      <c r="AN1245" s="251"/>
      <c r="AO1245" s="1736"/>
      <c r="AP1245" s="1737"/>
    </row>
    <row r="1246" spans="1:42" s="85" customFormat="1" ht="13.5" thickBot="1">
      <c r="A1246" s="240"/>
      <c r="B1246" s="241"/>
      <c r="C1246" s="242"/>
      <c r="D1246" s="242"/>
      <c r="E1246" s="243"/>
      <c r="F1246" s="244"/>
      <c r="G1246" s="244"/>
      <c r="H1246" s="243"/>
      <c r="I1246" s="258"/>
      <c r="J1246" s="245"/>
      <c r="K1246" s="245"/>
      <c r="L1246" s="76">
        <f t="shared" si="190"/>
        <v>0</v>
      </c>
      <c r="M1246" s="246"/>
      <c r="N1246" s="247"/>
      <c r="O1246" s="248"/>
      <c r="P1246" s="246"/>
      <c r="Q1246" s="249"/>
      <c r="R1246" s="250"/>
      <c r="S1246" s="259"/>
      <c r="T1246" s="260"/>
      <c r="U1246" s="250"/>
      <c r="V1246" s="78">
        <f t="shared" si="191"/>
        <v>0</v>
      </c>
      <c r="W1246" s="261">
        <f t="shared" si="192"/>
        <v>0</v>
      </c>
      <c r="X1246" s="133">
        <f t="shared" si="193"/>
        <v>0</v>
      </c>
      <c r="Y1246" s="251"/>
      <c r="Z1246" s="1736"/>
      <c r="AA1246" s="1737"/>
      <c r="AB1246" s="77">
        <f t="shared" si="194"/>
        <v>0</v>
      </c>
      <c r="AC1246" s="134">
        <f t="shared" si="195"/>
        <v>0</v>
      </c>
      <c r="AD1246" s="251"/>
      <c r="AE1246" s="1736"/>
      <c r="AF1246" s="1737"/>
      <c r="AG1246" s="77">
        <f t="shared" si="196"/>
        <v>0</v>
      </c>
      <c r="AH1246" s="136">
        <f t="shared" si="197"/>
        <v>0</v>
      </c>
      <c r="AI1246" s="251"/>
      <c r="AJ1246" s="1736"/>
      <c r="AK1246" s="1737"/>
      <c r="AL1246" s="79">
        <f t="shared" si="198"/>
        <v>0</v>
      </c>
      <c r="AM1246" s="137">
        <f t="shared" si="199"/>
        <v>0</v>
      </c>
      <c r="AN1246" s="251"/>
      <c r="AO1246" s="1736"/>
      <c r="AP1246" s="1737"/>
    </row>
    <row r="1247" spans="1:42" s="85" customFormat="1" ht="13.5" thickBot="1">
      <c r="A1247" s="240"/>
      <c r="B1247" s="241"/>
      <c r="C1247" s="242"/>
      <c r="D1247" s="242"/>
      <c r="E1247" s="243"/>
      <c r="F1247" s="244"/>
      <c r="G1247" s="244"/>
      <c r="H1247" s="243"/>
      <c r="I1247" s="258"/>
      <c r="J1247" s="245"/>
      <c r="K1247" s="245"/>
      <c r="L1247" s="76">
        <f t="shared" si="190"/>
        <v>0</v>
      </c>
      <c r="M1247" s="246"/>
      <c r="N1247" s="247"/>
      <c r="O1247" s="248"/>
      <c r="P1247" s="246"/>
      <c r="Q1247" s="249"/>
      <c r="R1247" s="250"/>
      <c r="S1247" s="259"/>
      <c r="T1247" s="260"/>
      <c r="U1247" s="250"/>
      <c r="V1247" s="78">
        <f t="shared" si="191"/>
        <v>0</v>
      </c>
      <c r="W1247" s="261">
        <f t="shared" si="192"/>
        <v>0</v>
      </c>
      <c r="X1247" s="133">
        <f t="shared" si="193"/>
        <v>0</v>
      </c>
      <c r="Y1247" s="251"/>
      <c r="Z1247" s="1736"/>
      <c r="AA1247" s="1737"/>
      <c r="AB1247" s="77">
        <f t="shared" si="194"/>
        <v>0</v>
      </c>
      <c r="AC1247" s="134">
        <f t="shared" si="195"/>
        <v>0</v>
      </c>
      <c r="AD1247" s="251"/>
      <c r="AE1247" s="1736"/>
      <c r="AF1247" s="1737"/>
      <c r="AG1247" s="77">
        <f t="shared" si="196"/>
        <v>0</v>
      </c>
      <c r="AH1247" s="136">
        <f t="shared" si="197"/>
        <v>0</v>
      </c>
      <c r="AI1247" s="251"/>
      <c r="AJ1247" s="1736"/>
      <c r="AK1247" s="1737"/>
      <c r="AL1247" s="79">
        <f t="shared" si="198"/>
        <v>0</v>
      </c>
      <c r="AM1247" s="137">
        <f t="shared" si="199"/>
        <v>0</v>
      </c>
      <c r="AN1247" s="251"/>
      <c r="AO1247" s="1736"/>
      <c r="AP1247" s="1737"/>
    </row>
    <row r="1248" spans="1:42" s="85" customFormat="1" ht="13.5" thickBot="1">
      <c r="A1248" s="240"/>
      <c r="B1248" s="241"/>
      <c r="C1248" s="242"/>
      <c r="D1248" s="242"/>
      <c r="E1248" s="243"/>
      <c r="F1248" s="244"/>
      <c r="G1248" s="244"/>
      <c r="H1248" s="243"/>
      <c r="I1248" s="258"/>
      <c r="J1248" s="245"/>
      <c r="K1248" s="245"/>
      <c r="L1248" s="76">
        <f t="shared" si="190"/>
        <v>0</v>
      </c>
      <c r="M1248" s="246"/>
      <c r="N1248" s="247"/>
      <c r="O1248" s="248"/>
      <c r="P1248" s="246"/>
      <c r="Q1248" s="249"/>
      <c r="R1248" s="250"/>
      <c r="S1248" s="259"/>
      <c r="T1248" s="260"/>
      <c r="U1248" s="250"/>
      <c r="V1248" s="78">
        <f t="shared" si="191"/>
        <v>0</v>
      </c>
      <c r="W1248" s="261">
        <f t="shared" si="192"/>
        <v>0</v>
      </c>
      <c r="X1248" s="133">
        <f t="shared" si="193"/>
        <v>0</v>
      </c>
      <c r="Y1248" s="251"/>
      <c r="Z1248" s="1736"/>
      <c r="AA1248" s="1737"/>
      <c r="AB1248" s="77">
        <f t="shared" si="194"/>
        <v>0</v>
      </c>
      <c r="AC1248" s="134">
        <f t="shared" si="195"/>
        <v>0</v>
      </c>
      <c r="AD1248" s="251"/>
      <c r="AE1248" s="1736"/>
      <c r="AF1248" s="1737"/>
      <c r="AG1248" s="77">
        <f t="shared" si="196"/>
        <v>0</v>
      </c>
      <c r="AH1248" s="136">
        <f t="shared" si="197"/>
        <v>0</v>
      </c>
      <c r="AI1248" s="251"/>
      <c r="AJ1248" s="1736"/>
      <c r="AK1248" s="1737"/>
      <c r="AL1248" s="79">
        <f t="shared" si="198"/>
        <v>0</v>
      </c>
      <c r="AM1248" s="137">
        <f t="shared" si="199"/>
        <v>0</v>
      </c>
      <c r="AN1248" s="251"/>
      <c r="AO1248" s="1736"/>
      <c r="AP1248" s="1737"/>
    </row>
    <row r="1249" spans="1:42" s="85" customFormat="1" ht="13.5" thickBot="1">
      <c r="A1249" s="240"/>
      <c r="B1249" s="241"/>
      <c r="C1249" s="242"/>
      <c r="D1249" s="242"/>
      <c r="E1249" s="243"/>
      <c r="F1249" s="244"/>
      <c r="G1249" s="244"/>
      <c r="H1249" s="243"/>
      <c r="I1249" s="258"/>
      <c r="J1249" s="245"/>
      <c r="K1249" s="245"/>
      <c r="L1249" s="76">
        <f t="shared" si="190"/>
        <v>0</v>
      </c>
      <c r="M1249" s="246"/>
      <c r="N1249" s="247"/>
      <c r="O1249" s="248"/>
      <c r="P1249" s="246"/>
      <c r="Q1249" s="249"/>
      <c r="R1249" s="250"/>
      <c r="S1249" s="259"/>
      <c r="T1249" s="260"/>
      <c r="U1249" s="250"/>
      <c r="V1249" s="78">
        <f t="shared" si="191"/>
        <v>0</v>
      </c>
      <c r="W1249" s="261">
        <f t="shared" si="192"/>
        <v>0</v>
      </c>
      <c r="X1249" s="133">
        <f t="shared" si="193"/>
        <v>0</v>
      </c>
      <c r="Y1249" s="251"/>
      <c r="Z1249" s="1736"/>
      <c r="AA1249" s="1737"/>
      <c r="AB1249" s="77">
        <f t="shared" si="194"/>
        <v>0</v>
      </c>
      <c r="AC1249" s="134">
        <f t="shared" si="195"/>
        <v>0</v>
      </c>
      <c r="AD1249" s="251"/>
      <c r="AE1249" s="1736"/>
      <c r="AF1249" s="1737"/>
      <c r="AG1249" s="77">
        <f t="shared" si="196"/>
        <v>0</v>
      </c>
      <c r="AH1249" s="136">
        <f t="shared" si="197"/>
        <v>0</v>
      </c>
      <c r="AI1249" s="251"/>
      <c r="AJ1249" s="1736"/>
      <c r="AK1249" s="1737"/>
      <c r="AL1249" s="79">
        <f t="shared" si="198"/>
        <v>0</v>
      </c>
      <c r="AM1249" s="137">
        <f t="shared" si="199"/>
        <v>0</v>
      </c>
      <c r="AN1249" s="251"/>
      <c r="AO1249" s="1736"/>
      <c r="AP1249" s="1737"/>
    </row>
    <row r="1250" spans="1:42" s="85" customFormat="1" ht="13.5" thickBot="1">
      <c r="A1250" s="240"/>
      <c r="B1250" s="241"/>
      <c r="C1250" s="242"/>
      <c r="D1250" s="242"/>
      <c r="E1250" s="243"/>
      <c r="F1250" s="244"/>
      <c r="G1250" s="244"/>
      <c r="H1250" s="243"/>
      <c r="I1250" s="258"/>
      <c r="J1250" s="245"/>
      <c r="K1250" s="245"/>
      <c r="L1250" s="76">
        <f t="shared" si="190"/>
        <v>0</v>
      </c>
      <c r="M1250" s="246"/>
      <c r="N1250" s="247"/>
      <c r="O1250" s="248"/>
      <c r="P1250" s="246"/>
      <c r="Q1250" s="249"/>
      <c r="R1250" s="250"/>
      <c r="S1250" s="259"/>
      <c r="T1250" s="260"/>
      <c r="U1250" s="250"/>
      <c r="V1250" s="78">
        <f t="shared" si="191"/>
        <v>0</v>
      </c>
      <c r="W1250" s="261">
        <f t="shared" si="192"/>
        <v>0</v>
      </c>
      <c r="X1250" s="133">
        <f t="shared" si="193"/>
        <v>0</v>
      </c>
      <c r="Y1250" s="251"/>
      <c r="Z1250" s="1736"/>
      <c r="AA1250" s="1737"/>
      <c r="AB1250" s="77">
        <f t="shared" si="194"/>
        <v>0</v>
      </c>
      <c r="AC1250" s="134">
        <f t="shared" si="195"/>
        <v>0</v>
      </c>
      <c r="AD1250" s="251"/>
      <c r="AE1250" s="1736"/>
      <c r="AF1250" s="1737"/>
      <c r="AG1250" s="77">
        <f t="shared" si="196"/>
        <v>0</v>
      </c>
      <c r="AH1250" s="136">
        <f t="shared" si="197"/>
        <v>0</v>
      </c>
      <c r="AI1250" s="251"/>
      <c r="AJ1250" s="1736"/>
      <c r="AK1250" s="1737"/>
      <c r="AL1250" s="79">
        <f t="shared" si="198"/>
        <v>0</v>
      </c>
      <c r="AM1250" s="137">
        <f t="shared" si="199"/>
        <v>0</v>
      </c>
      <c r="AN1250" s="251"/>
      <c r="AO1250" s="1736"/>
      <c r="AP1250" s="1737"/>
    </row>
    <row r="1251" spans="1:42" s="85" customFormat="1" ht="13.5" thickBot="1">
      <c r="A1251" s="240"/>
      <c r="B1251" s="241"/>
      <c r="C1251" s="242"/>
      <c r="D1251" s="242"/>
      <c r="E1251" s="243"/>
      <c r="F1251" s="244"/>
      <c r="G1251" s="244"/>
      <c r="H1251" s="243"/>
      <c r="I1251" s="258"/>
      <c r="J1251" s="245"/>
      <c r="K1251" s="245"/>
      <c r="L1251" s="76">
        <f t="shared" si="190"/>
        <v>0</v>
      </c>
      <c r="M1251" s="246"/>
      <c r="N1251" s="247"/>
      <c r="O1251" s="248"/>
      <c r="P1251" s="246"/>
      <c r="Q1251" s="249"/>
      <c r="R1251" s="250"/>
      <c r="S1251" s="259"/>
      <c r="T1251" s="260"/>
      <c r="U1251" s="250"/>
      <c r="V1251" s="78">
        <f t="shared" si="191"/>
        <v>0</v>
      </c>
      <c r="W1251" s="261">
        <f t="shared" si="192"/>
        <v>0</v>
      </c>
      <c r="X1251" s="133">
        <f t="shared" si="193"/>
        <v>0</v>
      </c>
      <c r="Y1251" s="251"/>
      <c r="Z1251" s="1736"/>
      <c r="AA1251" s="1737"/>
      <c r="AB1251" s="77">
        <f t="shared" si="194"/>
        <v>0</v>
      </c>
      <c r="AC1251" s="134">
        <f t="shared" si="195"/>
        <v>0</v>
      </c>
      <c r="AD1251" s="251"/>
      <c r="AE1251" s="1736"/>
      <c r="AF1251" s="1737"/>
      <c r="AG1251" s="77">
        <f t="shared" si="196"/>
        <v>0</v>
      </c>
      <c r="AH1251" s="136">
        <f t="shared" si="197"/>
        <v>0</v>
      </c>
      <c r="AI1251" s="251"/>
      <c r="AJ1251" s="1736"/>
      <c r="AK1251" s="1737"/>
      <c r="AL1251" s="79">
        <f t="shared" si="198"/>
        <v>0</v>
      </c>
      <c r="AM1251" s="137">
        <f t="shared" si="199"/>
        <v>0</v>
      </c>
      <c r="AN1251" s="251"/>
      <c r="AO1251" s="1736"/>
      <c r="AP1251" s="1737"/>
    </row>
    <row r="1252" spans="1:42" s="85" customFormat="1" ht="13.5" thickBot="1">
      <c r="A1252" s="240"/>
      <c r="B1252" s="241"/>
      <c r="C1252" s="242"/>
      <c r="D1252" s="242"/>
      <c r="E1252" s="243"/>
      <c r="F1252" s="244"/>
      <c r="G1252" s="244"/>
      <c r="H1252" s="243"/>
      <c r="I1252" s="258"/>
      <c r="J1252" s="245"/>
      <c r="K1252" s="245"/>
      <c r="L1252" s="76">
        <f t="shared" si="190"/>
        <v>0</v>
      </c>
      <c r="M1252" s="246"/>
      <c r="N1252" s="247"/>
      <c r="O1252" s="248"/>
      <c r="P1252" s="246"/>
      <c r="Q1252" s="249"/>
      <c r="R1252" s="250"/>
      <c r="S1252" s="259"/>
      <c r="T1252" s="260"/>
      <c r="U1252" s="250"/>
      <c r="V1252" s="78">
        <f t="shared" si="191"/>
        <v>0</v>
      </c>
      <c r="W1252" s="261">
        <f t="shared" si="192"/>
        <v>0</v>
      </c>
      <c r="X1252" s="133">
        <f t="shared" si="193"/>
        <v>0</v>
      </c>
      <c r="Y1252" s="251"/>
      <c r="Z1252" s="1736"/>
      <c r="AA1252" s="1737"/>
      <c r="AB1252" s="77">
        <f t="shared" si="194"/>
        <v>0</v>
      </c>
      <c r="AC1252" s="134">
        <f t="shared" si="195"/>
        <v>0</v>
      </c>
      <c r="AD1252" s="251"/>
      <c r="AE1252" s="1736"/>
      <c r="AF1252" s="1737"/>
      <c r="AG1252" s="77">
        <f t="shared" si="196"/>
        <v>0</v>
      </c>
      <c r="AH1252" s="136">
        <f t="shared" si="197"/>
        <v>0</v>
      </c>
      <c r="AI1252" s="251"/>
      <c r="AJ1252" s="1736"/>
      <c r="AK1252" s="1737"/>
      <c r="AL1252" s="79">
        <f t="shared" si="198"/>
        <v>0</v>
      </c>
      <c r="AM1252" s="137">
        <f t="shared" si="199"/>
        <v>0</v>
      </c>
      <c r="AN1252" s="251"/>
      <c r="AO1252" s="1736"/>
      <c r="AP1252" s="1737"/>
    </row>
    <row r="1253" spans="1:42" s="85" customFormat="1" ht="13.5" thickBot="1">
      <c r="A1253" s="240"/>
      <c r="B1253" s="241"/>
      <c r="C1253" s="242"/>
      <c r="D1253" s="242"/>
      <c r="E1253" s="243"/>
      <c r="F1253" s="244"/>
      <c r="G1253" s="244"/>
      <c r="H1253" s="243"/>
      <c r="I1253" s="258"/>
      <c r="J1253" s="245"/>
      <c r="K1253" s="245"/>
      <c r="L1253" s="76">
        <f t="shared" si="190"/>
        <v>0</v>
      </c>
      <c r="M1253" s="246"/>
      <c r="N1253" s="247"/>
      <c r="O1253" s="248"/>
      <c r="P1253" s="246"/>
      <c r="Q1253" s="249"/>
      <c r="R1253" s="250"/>
      <c r="S1253" s="259"/>
      <c r="T1253" s="260"/>
      <c r="U1253" s="250"/>
      <c r="V1253" s="78">
        <f t="shared" si="191"/>
        <v>0</v>
      </c>
      <c r="W1253" s="261">
        <f t="shared" si="192"/>
        <v>0</v>
      </c>
      <c r="X1253" s="133">
        <f t="shared" si="193"/>
        <v>0</v>
      </c>
      <c r="Y1253" s="251"/>
      <c r="Z1253" s="1736"/>
      <c r="AA1253" s="1737"/>
      <c r="AB1253" s="77">
        <f t="shared" si="194"/>
        <v>0</v>
      </c>
      <c r="AC1253" s="134">
        <f t="shared" si="195"/>
        <v>0</v>
      </c>
      <c r="AD1253" s="251"/>
      <c r="AE1253" s="1736"/>
      <c r="AF1253" s="1737"/>
      <c r="AG1253" s="77">
        <f t="shared" si="196"/>
        <v>0</v>
      </c>
      <c r="AH1253" s="136">
        <f t="shared" si="197"/>
        <v>0</v>
      </c>
      <c r="AI1253" s="251"/>
      <c r="AJ1253" s="1736"/>
      <c r="AK1253" s="1737"/>
      <c r="AL1253" s="79">
        <f t="shared" si="198"/>
        <v>0</v>
      </c>
      <c r="AM1253" s="137">
        <f t="shared" si="199"/>
        <v>0</v>
      </c>
      <c r="AN1253" s="251"/>
      <c r="AO1253" s="1736"/>
      <c r="AP1253" s="1737"/>
    </row>
    <row r="1254" spans="1:42" s="85" customFormat="1" ht="13.5" thickBot="1">
      <c r="A1254" s="240"/>
      <c r="B1254" s="241"/>
      <c r="C1254" s="242"/>
      <c r="D1254" s="242"/>
      <c r="E1254" s="243"/>
      <c r="F1254" s="244"/>
      <c r="G1254" s="244"/>
      <c r="H1254" s="243"/>
      <c r="I1254" s="258"/>
      <c r="J1254" s="245"/>
      <c r="K1254" s="245"/>
      <c r="L1254" s="76">
        <f t="shared" si="190"/>
        <v>0</v>
      </c>
      <c r="M1254" s="246"/>
      <c r="N1254" s="247"/>
      <c r="O1254" s="248"/>
      <c r="P1254" s="246"/>
      <c r="Q1254" s="249"/>
      <c r="R1254" s="250"/>
      <c r="S1254" s="259"/>
      <c r="T1254" s="260"/>
      <c r="U1254" s="250"/>
      <c r="V1254" s="78">
        <f t="shared" si="191"/>
        <v>0</v>
      </c>
      <c r="W1254" s="261">
        <f t="shared" si="192"/>
        <v>0</v>
      </c>
      <c r="X1254" s="133">
        <f t="shared" si="193"/>
        <v>0</v>
      </c>
      <c r="Y1254" s="251"/>
      <c r="Z1254" s="1736"/>
      <c r="AA1254" s="1737"/>
      <c r="AB1254" s="77">
        <f t="shared" si="194"/>
        <v>0</v>
      </c>
      <c r="AC1254" s="134">
        <f t="shared" si="195"/>
        <v>0</v>
      </c>
      <c r="AD1254" s="251"/>
      <c r="AE1254" s="1736"/>
      <c r="AF1254" s="1737"/>
      <c r="AG1254" s="77">
        <f t="shared" si="196"/>
        <v>0</v>
      </c>
      <c r="AH1254" s="136">
        <f t="shared" si="197"/>
        <v>0</v>
      </c>
      <c r="AI1254" s="251"/>
      <c r="AJ1254" s="1736"/>
      <c r="AK1254" s="1737"/>
      <c r="AL1254" s="79">
        <f t="shared" si="198"/>
        <v>0</v>
      </c>
      <c r="AM1254" s="137">
        <f t="shared" si="199"/>
        <v>0</v>
      </c>
      <c r="AN1254" s="251"/>
      <c r="AO1254" s="1736"/>
      <c r="AP1254" s="1737"/>
    </row>
    <row r="1255" spans="1:42" s="85" customFormat="1" ht="13.5" thickBot="1">
      <c r="A1255" s="240"/>
      <c r="B1255" s="241"/>
      <c r="C1255" s="242"/>
      <c r="D1255" s="242"/>
      <c r="E1255" s="243"/>
      <c r="F1255" s="244"/>
      <c r="G1255" s="244"/>
      <c r="H1255" s="243"/>
      <c r="I1255" s="258"/>
      <c r="J1255" s="245"/>
      <c r="K1255" s="245"/>
      <c r="L1255" s="76">
        <f t="shared" si="190"/>
        <v>0</v>
      </c>
      <c r="M1255" s="246"/>
      <c r="N1255" s="247"/>
      <c r="O1255" s="248"/>
      <c r="P1255" s="246"/>
      <c r="Q1255" s="249"/>
      <c r="R1255" s="250"/>
      <c r="S1255" s="259"/>
      <c r="T1255" s="260"/>
      <c r="U1255" s="250"/>
      <c r="V1255" s="78">
        <f t="shared" si="191"/>
        <v>0</v>
      </c>
      <c r="W1255" s="261">
        <f t="shared" si="192"/>
        <v>0</v>
      </c>
      <c r="X1255" s="133">
        <f t="shared" si="193"/>
        <v>0</v>
      </c>
      <c r="Y1255" s="251"/>
      <c r="Z1255" s="1736"/>
      <c r="AA1255" s="1737"/>
      <c r="AB1255" s="77">
        <f t="shared" si="194"/>
        <v>0</v>
      </c>
      <c r="AC1255" s="134">
        <f t="shared" si="195"/>
        <v>0</v>
      </c>
      <c r="AD1255" s="251"/>
      <c r="AE1255" s="1736"/>
      <c r="AF1255" s="1737"/>
      <c r="AG1255" s="77">
        <f t="shared" si="196"/>
        <v>0</v>
      </c>
      <c r="AH1255" s="136">
        <f t="shared" si="197"/>
        <v>0</v>
      </c>
      <c r="AI1255" s="251"/>
      <c r="AJ1255" s="1736"/>
      <c r="AK1255" s="1737"/>
      <c r="AL1255" s="79">
        <f t="shared" si="198"/>
        <v>0</v>
      </c>
      <c r="AM1255" s="137">
        <f t="shared" si="199"/>
        <v>0</v>
      </c>
      <c r="AN1255" s="251"/>
      <c r="AO1255" s="1736"/>
      <c r="AP1255" s="1737"/>
    </row>
    <row r="1256" spans="1:42" s="85" customFormat="1" ht="13.5" thickBot="1">
      <c r="A1256" s="240"/>
      <c r="B1256" s="241"/>
      <c r="C1256" s="242"/>
      <c r="D1256" s="242"/>
      <c r="E1256" s="243"/>
      <c r="F1256" s="244"/>
      <c r="G1256" s="244"/>
      <c r="H1256" s="243"/>
      <c r="I1256" s="258"/>
      <c r="J1256" s="245"/>
      <c r="K1256" s="245"/>
      <c r="L1256" s="76">
        <f t="shared" si="190"/>
        <v>0</v>
      </c>
      <c r="M1256" s="246"/>
      <c r="N1256" s="247"/>
      <c r="O1256" s="248"/>
      <c r="P1256" s="246"/>
      <c r="Q1256" s="249"/>
      <c r="R1256" s="250"/>
      <c r="S1256" s="259"/>
      <c r="T1256" s="260"/>
      <c r="U1256" s="250"/>
      <c r="V1256" s="78">
        <f t="shared" si="191"/>
        <v>0</v>
      </c>
      <c r="W1256" s="261">
        <f t="shared" si="192"/>
        <v>0</v>
      </c>
      <c r="X1256" s="133">
        <f t="shared" si="193"/>
        <v>0</v>
      </c>
      <c r="Y1256" s="251"/>
      <c r="Z1256" s="1736"/>
      <c r="AA1256" s="1737"/>
      <c r="AB1256" s="77">
        <f t="shared" si="194"/>
        <v>0</v>
      </c>
      <c r="AC1256" s="134">
        <f t="shared" si="195"/>
        <v>0</v>
      </c>
      <c r="AD1256" s="251"/>
      <c r="AE1256" s="1736"/>
      <c r="AF1256" s="1737"/>
      <c r="AG1256" s="77">
        <f t="shared" si="196"/>
        <v>0</v>
      </c>
      <c r="AH1256" s="136">
        <f t="shared" si="197"/>
        <v>0</v>
      </c>
      <c r="AI1256" s="251"/>
      <c r="AJ1256" s="1736"/>
      <c r="AK1256" s="1737"/>
      <c r="AL1256" s="79">
        <f t="shared" si="198"/>
        <v>0</v>
      </c>
      <c r="AM1256" s="137">
        <f t="shared" si="199"/>
        <v>0</v>
      </c>
      <c r="AN1256" s="251"/>
      <c r="AO1256" s="1736"/>
      <c r="AP1256" s="1737"/>
    </row>
    <row r="1257" spans="1:42" s="85" customFormat="1" ht="13.5" thickBot="1">
      <c r="A1257" s="240"/>
      <c r="B1257" s="241"/>
      <c r="C1257" s="242"/>
      <c r="D1257" s="242"/>
      <c r="E1257" s="243"/>
      <c r="F1257" s="244"/>
      <c r="G1257" s="244"/>
      <c r="H1257" s="243"/>
      <c r="I1257" s="258"/>
      <c r="J1257" s="245"/>
      <c r="K1257" s="245"/>
      <c r="L1257" s="76">
        <f t="shared" si="190"/>
        <v>0</v>
      </c>
      <c r="M1257" s="246"/>
      <c r="N1257" s="247"/>
      <c r="O1257" s="248"/>
      <c r="P1257" s="246"/>
      <c r="Q1257" s="249"/>
      <c r="R1257" s="250"/>
      <c r="S1257" s="259"/>
      <c r="T1257" s="260"/>
      <c r="U1257" s="250"/>
      <c r="V1257" s="78">
        <f t="shared" si="191"/>
        <v>0</v>
      </c>
      <c r="W1257" s="261">
        <f t="shared" si="192"/>
        <v>0</v>
      </c>
      <c r="X1257" s="133">
        <f t="shared" si="193"/>
        <v>0</v>
      </c>
      <c r="Y1257" s="251"/>
      <c r="Z1257" s="1736"/>
      <c r="AA1257" s="1737"/>
      <c r="AB1257" s="77">
        <f t="shared" si="194"/>
        <v>0</v>
      </c>
      <c r="AC1257" s="134">
        <f t="shared" si="195"/>
        <v>0</v>
      </c>
      <c r="AD1257" s="251"/>
      <c r="AE1257" s="1736"/>
      <c r="AF1257" s="1737"/>
      <c r="AG1257" s="77">
        <f t="shared" si="196"/>
        <v>0</v>
      </c>
      <c r="AH1257" s="136">
        <f t="shared" si="197"/>
        <v>0</v>
      </c>
      <c r="AI1257" s="251"/>
      <c r="AJ1257" s="1736"/>
      <c r="AK1257" s="1737"/>
      <c r="AL1257" s="79">
        <f t="shared" si="198"/>
        <v>0</v>
      </c>
      <c r="AM1257" s="137">
        <f t="shared" si="199"/>
        <v>0</v>
      </c>
      <c r="AN1257" s="251"/>
      <c r="AO1257" s="1736"/>
      <c r="AP1257" s="1737"/>
    </row>
    <row r="1258" spans="1:42" s="85" customFormat="1" ht="13.5" thickBot="1">
      <c r="A1258" s="240"/>
      <c r="B1258" s="241"/>
      <c r="C1258" s="242"/>
      <c r="D1258" s="242"/>
      <c r="E1258" s="243"/>
      <c r="F1258" s="244"/>
      <c r="G1258" s="244"/>
      <c r="H1258" s="243"/>
      <c r="I1258" s="258"/>
      <c r="J1258" s="245"/>
      <c r="K1258" s="245"/>
      <c r="L1258" s="76">
        <f t="shared" si="190"/>
        <v>0</v>
      </c>
      <c r="M1258" s="246"/>
      <c r="N1258" s="247"/>
      <c r="O1258" s="248"/>
      <c r="P1258" s="246"/>
      <c r="Q1258" s="249"/>
      <c r="R1258" s="250"/>
      <c r="S1258" s="259"/>
      <c r="T1258" s="260"/>
      <c r="U1258" s="250"/>
      <c r="V1258" s="78">
        <f t="shared" si="191"/>
        <v>0</v>
      </c>
      <c r="W1258" s="261">
        <f t="shared" si="192"/>
        <v>0</v>
      </c>
      <c r="X1258" s="133">
        <f t="shared" si="193"/>
        <v>0</v>
      </c>
      <c r="Y1258" s="251"/>
      <c r="Z1258" s="1736"/>
      <c r="AA1258" s="1737"/>
      <c r="AB1258" s="77">
        <f t="shared" si="194"/>
        <v>0</v>
      </c>
      <c r="AC1258" s="134">
        <f t="shared" si="195"/>
        <v>0</v>
      </c>
      <c r="AD1258" s="251"/>
      <c r="AE1258" s="1736"/>
      <c r="AF1258" s="1737"/>
      <c r="AG1258" s="77">
        <f t="shared" si="196"/>
        <v>0</v>
      </c>
      <c r="AH1258" s="136">
        <f t="shared" si="197"/>
        <v>0</v>
      </c>
      <c r="AI1258" s="251"/>
      <c r="AJ1258" s="1736"/>
      <c r="AK1258" s="1737"/>
      <c r="AL1258" s="79">
        <f t="shared" si="198"/>
        <v>0</v>
      </c>
      <c r="AM1258" s="137">
        <f t="shared" si="199"/>
        <v>0</v>
      </c>
      <c r="AN1258" s="251"/>
      <c r="AO1258" s="1736"/>
      <c r="AP1258" s="1737"/>
    </row>
    <row r="1259" spans="1:42" s="85" customFormat="1" ht="13.5" thickBot="1">
      <c r="A1259" s="240"/>
      <c r="B1259" s="241"/>
      <c r="C1259" s="242"/>
      <c r="D1259" s="242"/>
      <c r="E1259" s="243"/>
      <c r="F1259" s="244"/>
      <c r="G1259" s="244"/>
      <c r="H1259" s="243"/>
      <c r="I1259" s="258"/>
      <c r="J1259" s="245"/>
      <c r="K1259" s="245"/>
      <c r="L1259" s="76">
        <f t="shared" si="190"/>
        <v>0</v>
      </c>
      <c r="M1259" s="246"/>
      <c r="N1259" s="247"/>
      <c r="O1259" s="248"/>
      <c r="P1259" s="246"/>
      <c r="Q1259" s="249"/>
      <c r="R1259" s="250"/>
      <c r="S1259" s="259"/>
      <c r="T1259" s="260"/>
      <c r="U1259" s="250"/>
      <c r="V1259" s="78">
        <f t="shared" si="191"/>
        <v>0</v>
      </c>
      <c r="W1259" s="261">
        <f t="shared" si="192"/>
        <v>0</v>
      </c>
      <c r="X1259" s="133">
        <f t="shared" si="193"/>
        <v>0</v>
      </c>
      <c r="Y1259" s="251"/>
      <c r="Z1259" s="1736"/>
      <c r="AA1259" s="1737"/>
      <c r="AB1259" s="77">
        <f t="shared" si="194"/>
        <v>0</v>
      </c>
      <c r="AC1259" s="134">
        <f t="shared" si="195"/>
        <v>0</v>
      </c>
      <c r="AD1259" s="251"/>
      <c r="AE1259" s="1736"/>
      <c r="AF1259" s="1737"/>
      <c r="AG1259" s="77">
        <f t="shared" si="196"/>
        <v>0</v>
      </c>
      <c r="AH1259" s="136">
        <f t="shared" si="197"/>
        <v>0</v>
      </c>
      <c r="AI1259" s="251"/>
      <c r="AJ1259" s="1736"/>
      <c r="AK1259" s="1737"/>
      <c r="AL1259" s="79">
        <f t="shared" si="198"/>
        <v>0</v>
      </c>
      <c r="AM1259" s="137">
        <f t="shared" si="199"/>
        <v>0</v>
      </c>
      <c r="AN1259" s="251"/>
      <c r="AO1259" s="1736"/>
      <c r="AP1259" s="1737"/>
    </row>
    <row r="1260" spans="1:42" s="85" customFormat="1" ht="13.5" thickBot="1">
      <c r="A1260" s="240"/>
      <c r="B1260" s="241"/>
      <c r="C1260" s="242"/>
      <c r="D1260" s="242"/>
      <c r="E1260" s="243"/>
      <c r="F1260" s="244"/>
      <c r="G1260" s="244"/>
      <c r="H1260" s="243"/>
      <c r="I1260" s="258"/>
      <c r="J1260" s="245"/>
      <c r="K1260" s="245"/>
      <c r="L1260" s="76">
        <f t="shared" si="190"/>
        <v>0</v>
      </c>
      <c r="M1260" s="246"/>
      <c r="N1260" s="247"/>
      <c r="O1260" s="248"/>
      <c r="P1260" s="246"/>
      <c r="Q1260" s="249"/>
      <c r="R1260" s="250"/>
      <c r="S1260" s="259"/>
      <c r="T1260" s="260"/>
      <c r="U1260" s="250"/>
      <c r="V1260" s="78">
        <f t="shared" si="191"/>
        <v>0</v>
      </c>
      <c r="W1260" s="261">
        <f t="shared" si="192"/>
        <v>0</v>
      </c>
      <c r="X1260" s="133">
        <f t="shared" si="193"/>
        <v>0</v>
      </c>
      <c r="Y1260" s="251"/>
      <c r="Z1260" s="1736"/>
      <c r="AA1260" s="1737"/>
      <c r="AB1260" s="77">
        <f t="shared" si="194"/>
        <v>0</v>
      </c>
      <c r="AC1260" s="134">
        <f t="shared" si="195"/>
        <v>0</v>
      </c>
      <c r="AD1260" s="251"/>
      <c r="AE1260" s="1736"/>
      <c r="AF1260" s="1737"/>
      <c r="AG1260" s="77">
        <f t="shared" si="196"/>
        <v>0</v>
      </c>
      <c r="AH1260" s="136">
        <f t="shared" si="197"/>
        <v>0</v>
      </c>
      <c r="AI1260" s="251"/>
      <c r="AJ1260" s="1736"/>
      <c r="AK1260" s="1737"/>
      <c r="AL1260" s="79">
        <f t="shared" si="198"/>
        <v>0</v>
      </c>
      <c r="AM1260" s="137">
        <f t="shared" si="199"/>
        <v>0</v>
      </c>
      <c r="AN1260" s="251"/>
      <c r="AO1260" s="1736"/>
      <c r="AP1260" s="1737"/>
    </row>
    <row r="1261" spans="1:42" s="85" customFormat="1" ht="13.5" thickBot="1">
      <c r="A1261" s="240"/>
      <c r="B1261" s="241"/>
      <c r="C1261" s="242"/>
      <c r="D1261" s="242"/>
      <c r="E1261" s="243"/>
      <c r="F1261" s="244"/>
      <c r="G1261" s="244"/>
      <c r="H1261" s="243"/>
      <c r="I1261" s="258"/>
      <c r="J1261" s="245"/>
      <c r="K1261" s="245"/>
      <c r="L1261" s="76">
        <f t="shared" si="190"/>
        <v>0</v>
      </c>
      <c r="M1261" s="246"/>
      <c r="N1261" s="247"/>
      <c r="O1261" s="248"/>
      <c r="P1261" s="246"/>
      <c r="Q1261" s="249"/>
      <c r="R1261" s="250"/>
      <c r="S1261" s="259"/>
      <c r="T1261" s="260"/>
      <c r="U1261" s="250"/>
      <c r="V1261" s="78">
        <f t="shared" si="191"/>
        <v>0</v>
      </c>
      <c r="W1261" s="261">
        <f t="shared" si="192"/>
        <v>0</v>
      </c>
      <c r="X1261" s="133">
        <f t="shared" si="193"/>
        <v>0</v>
      </c>
      <c r="Y1261" s="251"/>
      <c r="Z1261" s="1736"/>
      <c r="AA1261" s="1737"/>
      <c r="AB1261" s="77">
        <f t="shared" si="194"/>
        <v>0</v>
      </c>
      <c r="AC1261" s="134">
        <f t="shared" si="195"/>
        <v>0</v>
      </c>
      <c r="AD1261" s="251"/>
      <c r="AE1261" s="1736"/>
      <c r="AF1261" s="1737"/>
      <c r="AG1261" s="77">
        <f t="shared" si="196"/>
        <v>0</v>
      </c>
      <c r="AH1261" s="136">
        <f t="shared" si="197"/>
        <v>0</v>
      </c>
      <c r="AI1261" s="251"/>
      <c r="AJ1261" s="1736"/>
      <c r="AK1261" s="1737"/>
      <c r="AL1261" s="79">
        <f t="shared" si="198"/>
        <v>0</v>
      </c>
      <c r="AM1261" s="137">
        <f t="shared" si="199"/>
        <v>0</v>
      </c>
      <c r="AN1261" s="251"/>
      <c r="AO1261" s="1736"/>
      <c r="AP1261" s="1737"/>
    </row>
    <row r="1262" spans="1:42" s="85" customFormat="1" ht="13.5" thickBot="1">
      <c r="A1262" s="240"/>
      <c r="B1262" s="241"/>
      <c r="C1262" s="242"/>
      <c r="D1262" s="242"/>
      <c r="E1262" s="243"/>
      <c r="F1262" s="244"/>
      <c r="G1262" s="244"/>
      <c r="H1262" s="243"/>
      <c r="I1262" s="258"/>
      <c r="J1262" s="245"/>
      <c r="K1262" s="245"/>
      <c r="L1262" s="76">
        <f t="shared" si="190"/>
        <v>0</v>
      </c>
      <c r="M1262" s="246"/>
      <c r="N1262" s="247"/>
      <c r="O1262" s="248"/>
      <c r="P1262" s="246"/>
      <c r="Q1262" s="249"/>
      <c r="R1262" s="250"/>
      <c r="S1262" s="259"/>
      <c r="T1262" s="260"/>
      <c r="U1262" s="250"/>
      <c r="V1262" s="78">
        <f t="shared" si="191"/>
        <v>0</v>
      </c>
      <c r="W1262" s="261">
        <f t="shared" si="192"/>
        <v>0</v>
      </c>
      <c r="X1262" s="133">
        <f t="shared" si="193"/>
        <v>0</v>
      </c>
      <c r="Y1262" s="251"/>
      <c r="Z1262" s="1736"/>
      <c r="AA1262" s="1737"/>
      <c r="AB1262" s="77">
        <f t="shared" si="194"/>
        <v>0</v>
      </c>
      <c r="AC1262" s="134">
        <f t="shared" si="195"/>
        <v>0</v>
      </c>
      <c r="AD1262" s="251"/>
      <c r="AE1262" s="1736"/>
      <c r="AF1262" s="1737"/>
      <c r="AG1262" s="77">
        <f t="shared" si="196"/>
        <v>0</v>
      </c>
      <c r="AH1262" s="136">
        <f t="shared" si="197"/>
        <v>0</v>
      </c>
      <c r="AI1262" s="251"/>
      <c r="AJ1262" s="1736"/>
      <c r="AK1262" s="1737"/>
      <c r="AL1262" s="79">
        <f t="shared" si="198"/>
        <v>0</v>
      </c>
      <c r="AM1262" s="137">
        <f t="shared" si="199"/>
        <v>0</v>
      </c>
      <c r="AN1262" s="251"/>
      <c r="AO1262" s="1736"/>
      <c r="AP1262" s="1737"/>
    </row>
    <row r="1263" spans="1:42" s="85" customFormat="1" ht="13.5" thickBot="1">
      <c r="A1263" s="240"/>
      <c r="B1263" s="241"/>
      <c r="C1263" s="242"/>
      <c r="D1263" s="242"/>
      <c r="E1263" s="243"/>
      <c r="F1263" s="244"/>
      <c r="G1263" s="244"/>
      <c r="H1263" s="243"/>
      <c r="I1263" s="258"/>
      <c r="J1263" s="245"/>
      <c r="K1263" s="245"/>
      <c r="L1263" s="76">
        <f t="shared" si="190"/>
        <v>0</v>
      </c>
      <c r="M1263" s="246"/>
      <c r="N1263" s="247"/>
      <c r="O1263" s="248"/>
      <c r="P1263" s="246"/>
      <c r="Q1263" s="249"/>
      <c r="R1263" s="250"/>
      <c r="S1263" s="259"/>
      <c r="T1263" s="260"/>
      <c r="U1263" s="250"/>
      <c r="V1263" s="78">
        <f t="shared" si="191"/>
        <v>0</v>
      </c>
      <c r="W1263" s="261">
        <f t="shared" si="192"/>
        <v>0</v>
      </c>
      <c r="X1263" s="133">
        <f t="shared" si="193"/>
        <v>0</v>
      </c>
      <c r="Y1263" s="251"/>
      <c r="Z1263" s="1736"/>
      <c r="AA1263" s="1737"/>
      <c r="AB1263" s="77">
        <f t="shared" si="194"/>
        <v>0</v>
      </c>
      <c r="AC1263" s="134">
        <f t="shared" si="195"/>
        <v>0</v>
      </c>
      <c r="AD1263" s="251"/>
      <c r="AE1263" s="1736"/>
      <c r="AF1263" s="1737"/>
      <c r="AG1263" s="77">
        <f t="shared" si="196"/>
        <v>0</v>
      </c>
      <c r="AH1263" s="136">
        <f t="shared" si="197"/>
        <v>0</v>
      </c>
      <c r="AI1263" s="251"/>
      <c r="AJ1263" s="1736"/>
      <c r="AK1263" s="1737"/>
      <c r="AL1263" s="79">
        <f t="shared" si="198"/>
        <v>0</v>
      </c>
      <c r="AM1263" s="137">
        <f t="shared" si="199"/>
        <v>0</v>
      </c>
      <c r="AN1263" s="251"/>
      <c r="AO1263" s="1736"/>
      <c r="AP1263" s="1737"/>
    </row>
    <row r="1264" spans="1:42" s="85" customFormat="1" ht="13.5" thickBot="1">
      <c r="A1264" s="240"/>
      <c r="B1264" s="241"/>
      <c r="C1264" s="242"/>
      <c r="D1264" s="242"/>
      <c r="E1264" s="243"/>
      <c r="F1264" s="244"/>
      <c r="G1264" s="244"/>
      <c r="H1264" s="243"/>
      <c r="I1264" s="258"/>
      <c r="J1264" s="245"/>
      <c r="K1264" s="245"/>
      <c r="L1264" s="76">
        <f t="shared" si="190"/>
        <v>0</v>
      </c>
      <c r="M1264" s="246"/>
      <c r="N1264" s="247"/>
      <c r="O1264" s="248"/>
      <c r="P1264" s="246"/>
      <c r="Q1264" s="249"/>
      <c r="R1264" s="250"/>
      <c r="S1264" s="259"/>
      <c r="T1264" s="260"/>
      <c r="U1264" s="250"/>
      <c r="V1264" s="78">
        <f t="shared" si="191"/>
        <v>0</v>
      </c>
      <c r="W1264" s="261">
        <f t="shared" si="192"/>
        <v>0</v>
      </c>
      <c r="X1264" s="133">
        <f t="shared" si="193"/>
        <v>0</v>
      </c>
      <c r="Y1264" s="251"/>
      <c r="Z1264" s="1736"/>
      <c r="AA1264" s="1737"/>
      <c r="AB1264" s="77">
        <f t="shared" si="194"/>
        <v>0</v>
      </c>
      <c r="AC1264" s="134">
        <f t="shared" si="195"/>
        <v>0</v>
      </c>
      <c r="AD1264" s="251"/>
      <c r="AE1264" s="1736"/>
      <c r="AF1264" s="1737"/>
      <c r="AG1264" s="77">
        <f t="shared" si="196"/>
        <v>0</v>
      </c>
      <c r="AH1264" s="136">
        <f t="shared" si="197"/>
        <v>0</v>
      </c>
      <c r="AI1264" s="251"/>
      <c r="AJ1264" s="1736"/>
      <c r="AK1264" s="1737"/>
      <c r="AL1264" s="79">
        <f t="shared" si="198"/>
        <v>0</v>
      </c>
      <c r="AM1264" s="137">
        <f t="shared" si="199"/>
        <v>0</v>
      </c>
      <c r="AN1264" s="251"/>
      <c r="AO1264" s="1736"/>
      <c r="AP1264" s="1737"/>
    </row>
    <row r="1265" spans="1:42" s="85" customFormat="1" ht="13.5" thickBot="1">
      <c r="A1265" s="240"/>
      <c r="B1265" s="241"/>
      <c r="C1265" s="242"/>
      <c r="D1265" s="242"/>
      <c r="E1265" s="243"/>
      <c r="F1265" s="244"/>
      <c r="G1265" s="244"/>
      <c r="H1265" s="243"/>
      <c r="I1265" s="258"/>
      <c r="J1265" s="245"/>
      <c r="K1265" s="245"/>
      <c r="L1265" s="76">
        <f t="shared" si="190"/>
        <v>0</v>
      </c>
      <c r="M1265" s="246"/>
      <c r="N1265" s="247"/>
      <c r="O1265" s="248"/>
      <c r="P1265" s="246"/>
      <c r="Q1265" s="249"/>
      <c r="R1265" s="250"/>
      <c r="S1265" s="259"/>
      <c r="T1265" s="260"/>
      <c r="U1265" s="250"/>
      <c r="V1265" s="78">
        <f t="shared" si="191"/>
        <v>0</v>
      </c>
      <c r="W1265" s="261">
        <f t="shared" si="192"/>
        <v>0</v>
      </c>
      <c r="X1265" s="133">
        <f t="shared" si="193"/>
        <v>0</v>
      </c>
      <c r="Y1265" s="251"/>
      <c r="Z1265" s="1736"/>
      <c r="AA1265" s="1737"/>
      <c r="AB1265" s="77">
        <f t="shared" si="194"/>
        <v>0</v>
      </c>
      <c r="AC1265" s="134">
        <f t="shared" si="195"/>
        <v>0</v>
      </c>
      <c r="AD1265" s="251"/>
      <c r="AE1265" s="1736"/>
      <c r="AF1265" s="1737"/>
      <c r="AG1265" s="77">
        <f t="shared" si="196"/>
        <v>0</v>
      </c>
      <c r="AH1265" s="136">
        <f t="shared" si="197"/>
        <v>0</v>
      </c>
      <c r="AI1265" s="251"/>
      <c r="AJ1265" s="1736"/>
      <c r="AK1265" s="1737"/>
      <c r="AL1265" s="79">
        <f t="shared" si="198"/>
        <v>0</v>
      </c>
      <c r="AM1265" s="137">
        <f t="shared" si="199"/>
        <v>0</v>
      </c>
      <c r="AN1265" s="251"/>
      <c r="AO1265" s="1736"/>
      <c r="AP1265" s="1737"/>
    </row>
    <row r="1266" spans="1:42" s="85" customFormat="1" ht="13.5" thickBot="1">
      <c r="A1266" s="240"/>
      <c r="B1266" s="241"/>
      <c r="C1266" s="242"/>
      <c r="D1266" s="242"/>
      <c r="E1266" s="243"/>
      <c r="F1266" s="244"/>
      <c r="G1266" s="244"/>
      <c r="H1266" s="243"/>
      <c r="I1266" s="258"/>
      <c r="J1266" s="245"/>
      <c r="K1266" s="245"/>
      <c r="L1266" s="76">
        <f t="shared" si="190"/>
        <v>0</v>
      </c>
      <c r="M1266" s="246"/>
      <c r="N1266" s="247"/>
      <c r="O1266" s="248"/>
      <c r="P1266" s="246"/>
      <c r="Q1266" s="249"/>
      <c r="R1266" s="250"/>
      <c r="S1266" s="259"/>
      <c r="T1266" s="260"/>
      <c r="U1266" s="250"/>
      <c r="V1266" s="78">
        <f t="shared" si="191"/>
        <v>0</v>
      </c>
      <c r="W1266" s="261">
        <f t="shared" si="192"/>
        <v>0</v>
      </c>
      <c r="X1266" s="133">
        <f t="shared" si="193"/>
        <v>0</v>
      </c>
      <c r="Y1266" s="251"/>
      <c r="Z1266" s="1736"/>
      <c r="AA1266" s="1737"/>
      <c r="AB1266" s="77">
        <f t="shared" si="194"/>
        <v>0</v>
      </c>
      <c r="AC1266" s="134">
        <f t="shared" si="195"/>
        <v>0</v>
      </c>
      <c r="AD1266" s="251"/>
      <c r="AE1266" s="1736"/>
      <c r="AF1266" s="1737"/>
      <c r="AG1266" s="77">
        <f t="shared" si="196"/>
        <v>0</v>
      </c>
      <c r="AH1266" s="136">
        <f t="shared" si="197"/>
        <v>0</v>
      </c>
      <c r="AI1266" s="251"/>
      <c r="AJ1266" s="1736"/>
      <c r="AK1266" s="1737"/>
      <c r="AL1266" s="79">
        <f t="shared" si="198"/>
        <v>0</v>
      </c>
      <c r="AM1266" s="137">
        <f t="shared" si="199"/>
        <v>0</v>
      </c>
      <c r="AN1266" s="251"/>
      <c r="AO1266" s="1736"/>
      <c r="AP1266" s="1737"/>
    </row>
    <row r="1267" spans="1:42" s="85" customFormat="1" ht="13.5" thickBot="1">
      <c r="A1267" s="240"/>
      <c r="B1267" s="241"/>
      <c r="C1267" s="242"/>
      <c r="D1267" s="242"/>
      <c r="E1267" s="243"/>
      <c r="F1267" s="244"/>
      <c r="G1267" s="244"/>
      <c r="H1267" s="243"/>
      <c r="I1267" s="258"/>
      <c r="J1267" s="245"/>
      <c r="K1267" s="245"/>
      <c r="L1267" s="76">
        <f t="shared" si="190"/>
        <v>0</v>
      </c>
      <c r="M1267" s="246"/>
      <c r="N1267" s="247"/>
      <c r="O1267" s="248"/>
      <c r="P1267" s="246"/>
      <c r="Q1267" s="249"/>
      <c r="R1267" s="250"/>
      <c r="S1267" s="259"/>
      <c r="T1267" s="260"/>
      <c r="U1267" s="250"/>
      <c r="V1267" s="78">
        <f t="shared" si="191"/>
        <v>0</v>
      </c>
      <c r="W1267" s="261">
        <f t="shared" si="192"/>
        <v>0</v>
      </c>
      <c r="X1267" s="133">
        <f t="shared" si="193"/>
        <v>0</v>
      </c>
      <c r="Y1267" s="251"/>
      <c r="Z1267" s="1736"/>
      <c r="AA1267" s="1737"/>
      <c r="AB1267" s="77">
        <f t="shared" si="194"/>
        <v>0</v>
      </c>
      <c r="AC1267" s="134">
        <f t="shared" si="195"/>
        <v>0</v>
      </c>
      <c r="AD1267" s="251"/>
      <c r="AE1267" s="1736"/>
      <c r="AF1267" s="1737"/>
      <c r="AG1267" s="77">
        <f t="shared" si="196"/>
        <v>0</v>
      </c>
      <c r="AH1267" s="136">
        <f t="shared" si="197"/>
        <v>0</v>
      </c>
      <c r="AI1267" s="251"/>
      <c r="AJ1267" s="1736"/>
      <c r="AK1267" s="1737"/>
      <c r="AL1267" s="79">
        <f t="shared" si="198"/>
        <v>0</v>
      </c>
      <c r="AM1267" s="137">
        <f t="shared" si="199"/>
        <v>0</v>
      </c>
      <c r="AN1267" s="251"/>
      <c r="AO1267" s="1736"/>
      <c r="AP1267" s="1737"/>
    </row>
    <row r="1268" spans="1:42" s="85" customFormat="1" ht="13.5" thickBot="1">
      <c r="A1268" s="240"/>
      <c r="B1268" s="241"/>
      <c r="C1268" s="242"/>
      <c r="D1268" s="242"/>
      <c r="E1268" s="243"/>
      <c r="F1268" s="244"/>
      <c r="G1268" s="244"/>
      <c r="H1268" s="243"/>
      <c r="I1268" s="258"/>
      <c r="J1268" s="245"/>
      <c r="K1268" s="245"/>
      <c r="L1268" s="76">
        <f t="shared" si="190"/>
        <v>0</v>
      </c>
      <c r="M1268" s="246"/>
      <c r="N1268" s="247"/>
      <c r="O1268" s="248"/>
      <c r="P1268" s="246"/>
      <c r="Q1268" s="249"/>
      <c r="R1268" s="250"/>
      <c r="S1268" s="259"/>
      <c r="T1268" s="260"/>
      <c r="U1268" s="250"/>
      <c r="V1268" s="78">
        <f t="shared" si="191"/>
        <v>0</v>
      </c>
      <c r="W1268" s="261">
        <f t="shared" si="192"/>
        <v>0</v>
      </c>
      <c r="X1268" s="133">
        <f t="shared" si="193"/>
        <v>0</v>
      </c>
      <c r="Y1268" s="251"/>
      <c r="Z1268" s="1736"/>
      <c r="AA1268" s="1737"/>
      <c r="AB1268" s="77">
        <f t="shared" si="194"/>
        <v>0</v>
      </c>
      <c r="AC1268" s="134">
        <f t="shared" si="195"/>
        <v>0</v>
      </c>
      <c r="AD1268" s="251"/>
      <c r="AE1268" s="1736"/>
      <c r="AF1268" s="1737"/>
      <c r="AG1268" s="77">
        <f t="shared" si="196"/>
        <v>0</v>
      </c>
      <c r="AH1268" s="136">
        <f t="shared" si="197"/>
        <v>0</v>
      </c>
      <c r="AI1268" s="251"/>
      <c r="AJ1268" s="1736"/>
      <c r="AK1268" s="1737"/>
      <c r="AL1268" s="79">
        <f t="shared" si="198"/>
        <v>0</v>
      </c>
      <c r="AM1268" s="137">
        <f t="shared" si="199"/>
        <v>0</v>
      </c>
      <c r="AN1268" s="251"/>
      <c r="AO1268" s="1736"/>
      <c r="AP1268" s="1737"/>
    </row>
    <row r="1269" spans="1:42" s="85" customFormat="1" ht="13.5" thickBot="1">
      <c r="A1269" s="240"/>
      <c r="B1269" s="241"/>
      <c r="C1269" s="242"/>
      <c r="D1269" s="242"/>
      <c r="E1269" s="243"/>
      <c r="F1269" s="244"/>
      <c r="G1269" s="244"/>
      <c r="H1269" s="243"/>
      <c r="I1269" s="258"/>
      <c r="J1269" s="245"/>
      <c r="K1269" s="245"/>
      <c r="L1269" s="76">
        <f t="shared" si="190"/>
        <v>0</v>
      </c>
      <c r="M1269" s="246"/>
      <c r="N1269" s="247"/>
      <c r="O1269" s="248"/>
      <c r="P1269" s="246"/>
      <c r="Q1269" s="249"/>
      <c r="R1269" s="250"/>
      <c r="S1269" s="259"/>
      <c r="T1269" s="260"/>
      <c r="U1269" s="250"/>
      <c r="V1269" s="78">
        <f t="shared" si="191"/>
        <v>0</v>
      </c>
      <c r="W1269" s="261">
        <f t="shared" si="192"/>
        <v>0</v>
      </c>
      <c r="X1269" s="133">
        <f t="shared" si="193"/>
        <v>0</v>
      </c>
      <c r="Y1269" s="251"/>
      <c r="Z1269" s="1736"/>
      <c r="AA1269" s="1737"/>
      <c r="AB1269" s="77">
        <f t="shared" si="194"/>
        <v>0</v>
      </c>
      <c r="AC1269" s="134">
        <f t="shared" si="195"/>
        <v>0</v>
      </c>
      <c r="AD1269" s="251"/>
      <c r="AE1269" s="1736"/>
      <c r="AF1269" s="1737"/>
      <c r="AG1269" s="77">
        <f t="shared" si="196"/>
        <v>0</v>
      </c>
      <c r="AH1269" s="136">
        <f t="shared" si="197"/>
        <v>0</v>
      </c>
      <c r="AI1269" s="251"/>
      <c r="AJ1269" s="1736"/>
      <c r="AK1269" s="1737"/>
      <c r="AL1269" s="79">
        <f t="shared" si="198"/>
        <v>0</v>
      </c>
      <c r="AM1269" s="137">
        <f t="shared" si="199"/>
        <v>0</v>
      </c>
      <c r="AN1269" s="251"/>
      <c r="AO1269" s="1736"/>
      <c r="AP1269" s="1737"/>
    </row>
    <row r="1270" spans="1:42" s="85" customFormat="1" ht="13.5" thickBot="1">
      <c r="A1270" s="240"/>
      <c r="B1270" s="241"/>
      <c r="C1270" s="242"/>
      <c r="D1270" s="242"/>
      <c r="E1270" s="243"/>
      <c r="F1270" s="244"/>
      <c r="G1270" s="244"/>
      <c r="H1270" s="243"/>
      <c r="I1270" s="258"/>
      <c r="J1270" s="245"/>
      <c r="K1270" s="245"/>
      <c r="L1270" s="76">
        <f t="shared" si="190"/>
        <v>0</v>
      </c>
      <c r="M1270" s="246"/>
      <c r="N1270" s="247"/>
      <c r="O1270" s="248"/>
      <c r="P1270" s="246"/>
      <c r="Q1270" s="249"/>
      <c r="R1270" s="250"/>
      <c r="S1270" s="259"/>
      <c r="T1270" s="260"/>
      <c r="U1270" s="250"/>
      <c r="V1270" s="78">
        <f t="shared" si="191"/>
        <v>0</v>
      </c>
      <c r="W1270" s="261">
        <f t="shared" si="192"/>
        <v>0</v>
      </c>
      <c r="X1270" s="133">
        <f t="shared" si="193"/>
        <v>0</v>
      </c>
      <c r="Y1270" s="251"/>
      <c r="Z1270" s="1736"/>
      <c r="AA1270" s="1737"/>
      <c r="AB1270" s="77">
        <f t="shared" si="194"/>
        <v>0</v>
      </c>
      <c r="AC1270" s="134">
        <f t="shared" si="195"/>
        <v>0</v>
      </c>
      <c r="AD1270" s="251"/>
      <c r="AE1270" s="1736"/>
      <c r="AF1270" s="1737"/>
      <c r="AG1270" s="77">
        <f t="shared" si="196"/>
        <v>0</v>
      </c>
      <c r="AH1270" s="136">
        <f t="shared" si="197"/>
        <v>0</v>
      </c>
      <c r="AI1270" s="251"/>
      <c r="AJ1270" s="1736"/>
      <c r="AK1270" s="1737"/>
      <c r="AL1270" s="79">
        <f t="shared" si="198"/>
        <v>0</v>
      </c>
      <c r="AM1270" s="137">
        <f t="shared" si="199"/>
        <v>0</v>
      </c>
      <c r="AN1270" s="251"/>
      <c r="AO1270" s="1736"/>
      <c r="AP1270" s="1737"/>
    </row>
    <row r="1271" spans="1:42" s="85" customFormat="1" ht="13.5" thickBot="1">
      <c r="A1271" s="240"/>
      <c r="B1271" s="241"/>
      <c r="C1271" s="242"/>
      <c r="D1271" s="242"/>
      <c r="E1271" s="243"/>
      <c r="F1271" s="244"/>
      <c r="G1271" s="244"/>
      <c r="H1271" s="243"/>
      <c r="I1271" s="258"/>
      <c r="J1271" s="245"/>
      <c r="K1271" s="245"/>
      <c r="L1271" s="76">
        <f t="shared" si="190"/>
        <v>0</v>
      </c>
      <c r="M1271" s="246"/>
      <c r="N1271" s="247"/>
      <c r="O1271" s="248"/>
      <c r="P1271" s="246"/>
      <c r="Q1271" s="249"/>
      <c r="R1271" s="250"/>
      <c r="S1271" s="259"/>
      <c r="T1271" s="260"/>
      <c r="U1271" s="250"/>
      <c r="V1271" s="78">
        <f t="shared" si="191"/>
        <v>0</v>
      </c>
      <c r="W1271" s="261">
        <f t="shared" si="192"/>
        <v>0</v>
      </c>
      <c r="X1271" s="133">
        <f t="shared" si="193"/>
        <v>0</v>
      </c>
      <c r="Y1271" s="251"/>
      <c r="Z1271" s="1736"/>
      <c r="AA1271" s="1737"/>
      <c r="AB1271" s="77">
        <f t="shared" si="194"/>
        <v>0</v>
      </c>
      <c r="AC1271" s="134">
        <f t="shared" si="195"/>
        <v>0</v>
      </c>
      <c r="AD1271" s="251"/>
      <c r="AE1271" s="1736"/>
      <c r="AF1271" s="1737"/>
      <c r="AG1271" s="77">
        <f t="shared" si="196"/>
        <v>0</v>
      </c>
      <c r="AH1271" s="136">
        <f t="shared" si="197"/>
        <v>0</v>
      </c>
      <c r="AI1271" s="251"/>
      <c r="AJ1271" s="1736"/>
      <c r="AK1271" s="1737"/>
      <c r="AL1271" s="79">
        <f t="shared" si="198"/>
        <v>0</v>
      </c>
      <c r="AM1271" s="137">
        <f t="shared" si="199"/>
        <v>0</v>
      </c>
      <c r="AN1271" s="251"/>
      <c r="AO1271" s="1736"/>
      <c r="AP1271" s="1737"/>
    </row>
    <row r="1272" spans="1:42" s="85" customFormat="1" ht="13.5" thickBot="1">
      <c r="A1272" s="240"/>
      <c r="B1272" s="241"/>
      <c r="C1272" s="242"/>
      <c r="D1272" s="242"/>
      <c r="E1272" s="243"/>
      <c r="F1272" s="244"/>
      <c r="G1272" s="244"/>
      <c r="H1272" s="243"/>
      <c r="I1272" s="258"/>
      <c r="J1272" s="245"/>
      <c r="K1272" s="245"/>
      <c r="L1272" s="76">
        <f t="shared" si="190"/>
        <v>0</v>
      </c>
      <c r="M1272" s="246"/>
      <c r="N1272" s="247"/>
      <c r="O1272" s="248"/>
      <c r="P1272" s="246"/>
      <c r="Q1272" s="249"/>
      <c r="R1272" s="250"/>
      <c r="S1272" s="259"/>
      <c r="T1272" s="260"/>
      <c r="U1272" s="250"/>
      <c r="V1272" s="78">
        <f t="shared" si="191"/>
        <v>0</v>
      </c>
      <c r="W1272" s="261">
        <f t="shared" si="192"/>
        <v>0</v>
      </c>
      <c r="X1272" s="133">
        <f t="shared" si="193"/>
        <v>0</v>
      </c>
      <c r="Y1272" s="251"/>
      <c r="Z1272" s="1736"/>
      <c r="AA1272" s="1737"/>
      <c r="AB1272" s="77">
        <f t="shared" si="194"/>
        <v>0</v>
      </c>
      <c r="AC1272" s="134">
        <f t="shared" si="195"/>
        <v>0</v>
      </c>
      <c r="AD1272" s="251"/>
      <c r="AE1272" s="1736"/>
      <c r="AF1272" s="1737"/>
      <c r="AG1272" s="77">
        <f t="shared" si="196"/>
        <v>0</v>
      </c>
      <c r="AH1272" s="136">
        <f t="shared" si="197"/>
        <v>0</v>
      </c>
      <c r="AI1272" s="251"/>
      <c r="AJ1272" s="1736"/>
      <c r="AK1272" s="1737"/>
      <c r="AL1272" s="79">
        <f t="shared" si="198"/>
        <v>0</v>
      </c>
      <c r="AM1272" s="137">
        <f t="shared" si="199"/>
        <v>0</v>
      </c>
      <c r="AN1272" s="251"/>
      <c r="AO1272" s="1736"/>
      <c r="AP1272" s="1737"/>
    </row>
    <row r="1273" spans="1:42" s="85" customFormat="1" ht="13.5" thickBot="1">
      <c r="A1273" s="240"/>
      <c r="B1273" s="241"/>
      <c r="C1273" s="242"/>
      <c r="D1273" s="242"/>
      <c r="E1273" s="243"/>
      <c r="F1273" s="244"/>
      <c r="G1273" s="244"/>
      <c r="H1273" s="243"/>
      <c r="I1273" s="258"/>
      <c r="J1273" s="245"/>
      <c r="K1273" s="245"/>
      <c r="L1273" s="76">
        <f t="shared" si="190"/>
        <v>0</v>
      </c>
      <c r="M1273" s="246"/>
      <c r="N1273" s="247"/>
      <c r="O1273" s="248"/>
      <c r="P1273" s="246"/>
      <c r="Q1273" s="249"/>
      <c r="R1273" s="250"/>
      <c r="S1273" s="259"/>
      <c r="T1273" s="260"/>
      <c r="U1273" s="250"/>
      <c r="V1273" s="78">
        <f t="shared" si="191"/>
        <v>0</v>
      </c>
      <c r="W1273" s="261">
        <f t="shared" si="192"/>
        <v>0</v>
      </c>
      <c r="X1273" s="133">
        <f t="shared" si="193"/>
        <v>0</v>
      </c>
      <c r="Y1273" s="251"/>
      <c r="Z1273" s="1736"/>
      <c r="AA1273" s="1737"/>
      <c r="AB1273" s="77">
        <f t="shared" si="194"/>
        <v>0</v>
      </c>
      <c r="AC1273" s="134">
        <f t="shared" si="195"/>
        <v>0</v>
      </c>
      <c r="AD1273" s="251"/>
      <c r="AE1273" s="1736"/>
      <c r="AF1273" s="1737"/>
      <c r="AG1273" s="77">
        <f t="shared" si="196"/>
        <v>0</v>
      </c>
      <c r="AH1273" s="136">
        <f t="shared" si="197"/>
        <v>0</v>
      </c>
      <c r="AI1273" s="251"/>
      <c r="AJ1273" s="1736"/>
      <c r="AK1273" s="1737"/>
      <c r="AL1273" s="79">
        <f t="shared" si="198"/>
        <v>0</v>
      </c>
      <c r="AM1273" s="137">
        <f t="shared" si="199"/>
        <v>0</v>
      </c>
      <c r="AN1273" s="251"/>
      <c r="AO1273" s="1736"/>
      <c r="AP1273" s="1737"/>
    </row>
    <row r="1274" spans="1:42" s="85" customFormat="1" ht="13.5" thickBot="1">
      <c r="A1274" s="240"/>
      <c r="B1274" s="241"/>
      <c r="C1274" s="242"/>
      <c r="D1274" s="242"/>
      <c r="E1274" s="243"/>
      <c r="F1274" s="244"/>
      <c r="G1274" s="244"/>
      <c r="H1274" s="243"/>
      <c r="I1274" s="258"/>
      <c r="J1274" s="245"/>
      <c r="K1274" s="245"/>
      <c r="L1274" s="76">
        <f t="shared" si="190"/>
        <v>0</v>
      </c>
      <c r="M1274" s="246"/>
      <c r="N1274" s="247"/>
      <c r="O1274" s="248"/>
      <c r="P1274" s="246"/>
      <c r="Q1274" s="249"/>
      <c r="R1274" s="250"/>
      <c r="S1274" s="259"/>
      <c r="T1274" s="260"/>
      <c r="U1274" s="250"/>
      <c r="V1274" s="78">
        <f t="shared" si="191"/>
        <v>0</v>
      </c>
      <c r="W1274" s="261">
        <f t="shared" si="192"/>
        <v>0</v>
      </c>
      <c r="X1274" s="133">
        <f t="shared" si="193"/>
        <v>0</v>
      </c>
      <c r="Y1274" s="251"/>
      <c r="Z1274" s="1736"/>
      <c r="AA1274" s="1737"/>
      <c r="AB1274" s="77">
        <f t="shared" si="194"/>
        <v>0</v>
      </c>
      <c r="AC1274" s="134">
        <f t="shared" si="195"/>
        <v>0</v>
      </c>
      <c r="AD1274" s="251"/>
      <c r="AE1274" s="1736"/>
      <c r="AF1274" s="1737"/>
      <c r="AG1274" s="77">
        <f t="shared" si="196"/>
        <v>0</v>
      </c>
      <c r="AH1274" s="136">
        <f t="shared" si="197"/>
        <v>0</v>
      </c>
      <c r="AI1274" s="251"/>
      <c r="AJ1274" s="1736"/>
      <c r="AK1274" s="1737"/>
      <c r="AL1274" s="79">
        <f t="shared" si="198"/>
        <v>0</v>
      </c>
      <c r="AM1274" s="137">
        <f t="shared" si="199"/>
        <v>0</v>
      </c>
      <c r="AN1274" s="251"/>
      <c r="AO1274" s="1736"/>
      <c r="AP1274" s="1737"/>
    </row>
    <row r="1275" spans="1:42" s="85" customFormat="1" ht="13.5" thickBot="1">
      <c r="A1275" s="240"/>
      <c r="B1275" s="241"/>
      <c r="C1275" s="242"/>
      <c r="D1275" s="242"/>
      <c r="E1275" s="243"/>
      <c r="F1275" s="244"/>
      <c r="G1275" s="244"/>
      <c r="H1275" s="243"/>
      <c r="I1275" s="258"/>
      <c r="J1275" s="245"/>
      <c r="K1275" s="245"/>
      <c r="L1275" s="76">
        <f t="shared" si="190"/>
        <v>0</v>
      </c>
      <c r="M1275" s="246"/>
      <c r="N1275" s="247"/>
      <c r="O1275" s="248"/>
      <c r="P1275" s="246"/>
      <c r="Q1275" s="249"/>
      <c r="R1275" s="250"/>
      <c r="S1275" s="259"/>
      <c r="T1275" s="260"/>
      <c r="U1275" s="250"/>
      <c r="V1275" s="78">
        <f t="shared" si="191"/>
        <v>0</v>
      </c>
      <c r="W1275" s="261">
        <f t="shared" si="192"/>
        <v>0</v>
      </c>
      <c r="X1275" s="133">
        <f t="shared" si="193"/>
        <v>0</v>
      </c>
      <c r="Y1275" s="251"/>
      <c r="Z1275" s="1736"/>
      <c r="AA1275" s="1737"/>
      <c r="AB1275" s="77">
        <f t="shared" si="194"/>
        <v>0</v>
      </c>
      <c r="AC1275" s="134">
        <f t="shared" si="195"/>
        <v>0</v>
      </c>
      <c r="AD1275" s="251"/>
      <c r="AE1275" s="1736"/>
      <c r="AF1275" s="1737"/>
      <c r="AG1275" s="77">
        <f t="shared" si="196"/>
        <v>0</v>
      </c>
      <c r="AH1275" s="136">
        <f t="shared" si="197"/>
        <v>0</v>
      </c>
      <c r="AI1275" s="251"/>
      <c r="AJ1275" s="1736"/>
      <c r="AK1275" s="1737"/>
      <c r="AL1275" s="79">
        <f t="shared" si="198"/>
        <v>0</v>
      </c>
      <c r="AM1275" s="137">
        <f t="shared" si="199"/>
        <v>0</v>
      </c>
      <c r="AN1275" s="251"/>
      <c r="AO1275" s="1736"/>
      <c r="AP1275" s="1737"/>
    </row>
    <row r="1276" spans="1:42" s="85" customFormat="1" ht="13.5" thickBot="1">
      <c r="A1276" s="240"/>
      <c r="B1276" s="241"/>
      <c r="C1276" s="242"/>
      <c r="D1276" s="242"/>
      <c r="E1276" s="243"/>
      <c r="F1276" s="244"/>
      <c r="G1276" s="244"/>
      <c r="H1276" s="243"/>
      <c r="I1276" s="258"/>
      <c r="J1276" s="245"/>
      <c r="K1276" s="245"/>
      <c r="L1276" s="76">
        <f t="shared" si="190"/>
        <v>0</v>
      </c>
      <c r="M1276" s="246"/>
      <c r="N1276" s="247"/>
      <c r="O1276" s="248"/>
      <c r="P1276" s="246"/>
      <c r="Q1276" s="249"/>
      <c r="R1276" s="250"/>
      <c r="S1276" s="259"/>
      <c r="T1276" s="260"/>
      <c r="U1276" s="250"/>
      <c r="V1276" s="78">
        <f t="shared" si="191"/>
        <v>0</v>
      </c>
      <c r="W1276" s="261">
        <f t="shared" si="192"/>
        <v>0</v>
      </c>
      <c r="X1276" s="133">
        <f t="shared" si="193"/>
        <v>0</v>
      </c>
      <c r="Y1276" s="251"/>
      <c r="Z1276" s="1736"/>
      <c r="AA1276" s="1737"/>
      <c r="AB1276" s="77">
        <f t="shared" si="194"/>
        <v>0</v>
      </c>
      <c r="AC1276" s="134">
        <f t="shared" si="195"/>
        <v>0</v>
      </c>
      <c r="AD1276" s="251"/>
      <c r="AE1276" s="1736"/>
      <c r="AF1276" s="1737"/>
      <c r="AG1276" s="77">
        <f t="shared" si="196"/>
        <v>0</v>
      </c>
      <c r="AH1276" s="136">
        <f t="shared" si="197"/>
        <v>0</v>
      </c>
      <c r="AI1276" s="251"/>
      <c r="AJ1276" s="1736"/>
      <c r="AK1276" s="1737"/>
      <c r="AL1276" s="79">
        <f t="shared" si="198"/>
        <v>0</v>
      </c>
      <c r="AM1276" s="137">
        <f t="shared" si="199"/>
        <v>0</v>
      </c>
      <c r="AN1276" s="251"/>
      <c r="AO1276" s="1736"/>
      <c r="AP1276" s="1737"/>
    </row>
    <row r="1277" spans="1:42" s="85" customFormat="1" ht="13.5" thickBot="1">
      <c r="A1277" s="240"/>
      <c r="B1277" s="241"/>
      <c r="C1277" s="242"/>
      <c r="D1277" s="242"/>
      <c r="E1277" s="243"/>
      <c r="F1277" s="244"/>
      <c r="G1277" s="244"/>
      <c r="H1277" s="243"/>
      <c r="I1277" s="258"/>
      <c r="J1277" s="245"/>
      <c r="K1277" s="245"/>
      <c r="L1277" s="76">
        <f t="shared" si="190"/>
        <v>0</v>
      </c>
      <c r="M1277" s="246"/>
      <c r="N1277" s="247"/>
      <c r="O1277" s="248"/>
      <c r="P1277" s="246"/>
      <c r="Q1277" s="249"/>
      <c r="R1277" s="250"/>
      <c r="S1277" s="259"/>
      <c r="T1277" s="260"/>
      <c r="U1277" s="250"/>
      <c r="V1277" s="78">
        <f t="shared" si="191"/>
        <v>0</v>
      </c>
      <c r="W1277" s="261">
        <f t="shared" si="192"/>
        <v>0</v>
      </c>
      <c r="X1277" s="133">
        <f t="shared" si="193"/>
        <v>0</v>
      </c>
      <c r="Y1277" s="251"/>
      <c r="Z1277" s="1736"/>
      <c r="AA1277" s="1737"/>
      <c r="AB1277" s="77">
        <f t="shared" si="194"/>
        <v>0</v>
      </c>
      <c r="AC1277" s="134">
        <f t="shared" si="195"/>
        <v>0</v>
      </c>
      <c r="AD1277" s="251"/>
      <c r="AE1277" s="1736"/>
      <c r="AF1277" s="1737"/>
      <c r="AG1277" s="77">
        <f t="shared" si="196"/>
        <v>0</v>
      </c>
      <c r="AH1277" s="136">
        <f t="shared" si="197"/>
        <v>0</v>
      </c>
      <c r="AI1277" s="251"/>
      <c r="AJ1277" s="1736"/>
      <c r="AK1277" s="1737"/>
      <c r="AL1277" s="79">
        <f t="shared" si="198"/>
        <v>0</v>
      </c>
      <c r="AM1277" s="137">
        <f t="shared" si="199"/>
        <v>0</v>
      </c>
      <c r="AN1277" s="251"/>
      <c r="AO1277" s="1736"/>
      <c r="AP1277" s="1737"/>
    </row>
    <row r="1278" spans="1:42" s="85" customFormat="1" ht="13.5" thickBot="1">
      <c r="A1278" s="240"/>
      <c r="B1278" s="241"/>
      <c r="C1278" s="242"/>
      <c r="D1278" s="242"/>
      <c r="E1278" s="243"/>
      <c r="F1278" s="244"/>
      <c r="G1278" s="244"/>
      <c r="H1278" s="243"/>
      <c r="I1278" s="258"/>
      <c r="J1278" s="245"/>
      <c r="K1278" s="245"/>
      <c r="L1278" s="76">
        <f t="shared" si="190"/>
        <v>0</v>
      </c>
      <c r="M1278" s="246"/>
      <c r="N1278" s="247"/>
      <c r="O1278" s="248"/>
      <c r="P1278" s="246"/>
      <c r="Q1278" s="249"/>
      <c r="R1278" s="250"/>
      <c r="S1278" s="259"/>
      <c r="T1278" s="260"/>
      <c r="U1278" s="250"/>
      <c r="V1278" s="78">
        <f t="shared" si="191"/>
        <v>0</v>
      </c>
      <c r="W1278" s="261">
        <f t="shared" si="192"/>
        <v>0</v>
      </c>
      <c r="X1278" s="133">
        <f t="shared" si="193"/>
        <v>0</v>
      </c>
      <c r="Y1278" s="251"/>
      <c r="Z1278" s="1736"/>
      <c r="AA1278" s="1737"/>
      <c r="AB1278" s="77">
        <f t="shared" si="194"/>
        <v>0</v>
      </c>
      <c r="AC1278" s="134">
        <f t="shared" si="195"/>
        <v>0</v>
      </c>
      <c r="AD1278" s="251"/>
      <c r="AE1278" s="1736"/>
      <c r="AF1278" s="1737"/>
      <c r="AG1278" s="77">
        <f t="shared" si="196"/>
        <v>0</v>
      </c>
      <c r="AH1278" s="136">
        <f t="shared" si="197"/>
        <v>0</v>
      </c>
      <c r="AI1278" s="251"/>
      <c r="AJ1278" s="1736"/>
      <c r="AK1278" s="1737"/>
      <c r="AL1278" s="79">
        <f t="shared" si="198"/>
        <v>0</v>
      </c>
      <c r="AM1278" s="137">
        <f t="shared" si="199"/>
        <v>0</v>
      </c>
      <c r="AN1278" s="251"/>
      <c r="AO1278" s="1736"/>
      <c r="AP1278" s="1737"/>
    </row>
    <row r="1279" spans="1:42" s="85" customFormat="1" ht="13.5" thickBot="1">
      <c r="A1279" s="240"/>
      <c r="B1279" s="241"/>
      <c r="C1279" s="242"/>
      <c r="D1279" s="242"/>
      <c r="E1279" s="243"/>
      <c r="F1279" s="244"/>
      <c r="G1279" s="244"/>
      <c r="H1279" s="243"/>
      <c r="I1279" s="258"/>
      <c r="J1279" s="245"/>
      <c r="K1279" s="245"/>
      <c r="L1279" s="76">
        <f t="shared" si="190"/>
        <v>0</v>
      </c>
      <c r="M1279" s="246"/>
      <c r="N1279" s="247"/>
      <c r="O1279" s="248"/>
      <c r="P1279" s="246"/>
      <c r="Q1279" s="249"/>
      <c r="R1279" s="250"/>
      <c r="S1279" s="259"/>
      <c r="T1279" s="260"/>
      <c r="U1279" s="250"/>
      <c r="V1279" s="78">
        <f t="shared" si="191"/>
        <v>0</v>
      </c>
      <c r="W1279" s="261">
        <f t="shared" si="192"/>
        <v>0</v>
      </c>
      <c r="X1279" s="133">
        <f t="shared" si="193"/>
        <v>0</v>
      </c>
      <c r="Y1279" s="251"/>
      <c r="Z1279" s="1736"/>
      <c r="AA1279" s="1737"/>
      <c r="AB1279" s="77">
        <f t="shared" si="194"/>
        <v>0</v>
      </c>
      <c r="AC1279" s="134">
        <f t="shared" si="195"/>
        <v>0</v>
      </c>
      <c r="AD1279" s="251"/>
      <c r="AE1279" s="1736"/>
      <c r="AF1279" s="1737"/>
      <c r="AG1279" s="77">
        <f t="shared" si="196"/>
        <v>0</v>
      </c>
      <c r="AH1279" s="136">
        <f t="shared" si="197"/>
        <v>0</v>
      </c>
      <c r="AI1279" s="251"/>
      <c r="AJ1279" s="1736"/>
      <c r="AK1279" s="1737"/>
      <c r="AL1279" s="79">
        <f t="shared" si="198"/>
        <v>0</v>
      </c>
      <c r="AM1279" s="137">
        <f t="shared" si="199"/>
        <v>0</v>
      </c>
      <c r="AN1279" s="251"/>
      <c r="AO1279" s="1736"/>
      <c r="AP1279" s="1737"/>
    </row>
    <row r="1280" spans="1:42" s="85" customFormat="1" ht="13.5" thickBot="1">
      <c r="A1280" s="240"/>
      <c r="B1280" s="241"/>
      <c r="C1280" s="242"/>
      <c r="D1280" s="242"/>
      <c r="E1280" s="243"/>
      <c r="F1280" s="244"/>
      <c r="G1280" s="244"/>
      <c r="H1280" s="243"/>
      <c r="I1280" s="258"/>
      <c r="J1280" s="245"/>
      <c r="K1280" s="245"/>
      <c r="L1280" s="76">
        <f t="shared" si="190"/>
        <v>0</v>
      </c>
      <c r="M1280" s="246"/>
      <c r="N1280" s="247"/>
      <c r="O1280" s="248"/>
      <c r="P1280" s="246"/>
      <c r="Q1280" s="249"/>
      <c r="R1280" s="250"/>
      <c r="S1280" s="259"/>
      <c r="T1280" s="260"/>
      <c r="U1280" s="250"/>
      <c r="V1280" s="78">
        <f t="shared" si="191"/>
        <v>0</v>
      </c>
      <c r="W1280" s="261">
        <f t="shared" si="192"/>
        <v>0</v>
      </c>
      <c r="X1280" s="133">
        <f t="shared" si="193"/>
        <v>0</v>
      </c>
      <c r="Y1280" s="251"/>
      <c r="Z1280" s="1736"/>
      <c r="AA1280" s="1737"/>
      <c r="AB1280" s="77">
        <f t="shared" si="194"/>
        <v>0</v>
      </c>
      <c r="AC1280" s="134">
        <f t="shared" si="195"/>
        <v>0</v>
      </c>
      <c r="AD1280" s="251"/>
      <c r="AE1280" s="1736"/>
      <c r="AF1280" s="1737"/>
      <c r="AG1280" s="77">
        <f t="shared" si="196"/>
        <v>0</v>
      </c>
      <c r="AH1280" s="136">
        <f t="shared" si="197"/>
        <v>0</v>
      </c>
      <c r="AI1280" s="251"/>
      <c r="AJ1280" s="1736"/>
      <c r="AK1280" s="1737"/>
      <c r="AL1280" s="79">
        <f t="shared" si="198"/>
        <v>0</v>
      </c>
      <c r="AM1280" s="137">
        <f t="shared" si="199"/>
        <v>0</v>
      </c>
      <c r="AN1280" s="251"/>
      <c r="AO1280" s="1736"/>
      <c r="AP1280" s="1737"/>
    </row>
    <row r="1281" spans="1:42" s="85" customFormat="1" ht="13.5" thickBot="1">
      <c r="A1281" s="240"/>
      <c r="B1281" s="241"/>
      <c r="C1281" s="242"/>
      <c r="D1281" s="242"/>
      <c r="E1281" s="243"/>
      <c r="F1281" s="244"/>
      <c r="G1281" s="244"/>
      <c r="H1281" s="243"/>
      <c r="I1281" s="258"/>
      <c r="J1281" s="245"/>
      <c r="K1281" s="245"/>
      <c r="L1281" s="76">
        <f t="shared" si="190"/>
        <v>0</v>
      </c>
      <c r="M1281" s="246"/>
      <c r="N1281" s="247"/>
      <c r="O1281" s="248"/>
      <c r="P1281" s="246"/>
      <c r="Q1281" s="249"/>
      <c r="R1281" s="250"/>
      <c r="S1281" s="259"/>
      <c r="T1281" s="260"/>
      <c r="U1281" s="250"/>
      <c r="V1281" s="78">
        <f t="shared" si="191"/>
        <v>0</v>
      </c>
      <c r="W1281" s="261">
        <f t="shared" si="192"/>
        <v>0</v>
      </c>
      <c r="X1281" s="133">
        <f t="shared" si="193"/>
        <v>0</v>
      </c>
      <c r="Y1281" s="251"/>
      <c r="Z1281" s="1736"/>
      <c r="AA1281" s="1737"/>
      <c r="AB1281" s="77">
        <f t="shared" si="194"/>
        <v>0</v>
      </c>
      <c r="AC1281" s="134">
        <f t="shared" si="195"/>
        <v>0</v>
      </c>
      <c r="AD1281" s="251"/>
      <c r="AE1281" s="1736"/>
      <c r="AF1281" s="1737"/>
      <c r="AG1281" s="77">
        <f t="shared" si="196"/>
        <v>0</v>
      </c>
      <c r="AH1281" s="136">
        <f t="shared" si="197"/>
        <v>0</v>
      </c>
      <c r="AI1281" s="251"/>
      <c r="AJ1281" s="1736"/>
      <c r="AK1281" s="1737"/>
      <c r="AL1281" s="79">
        <f t="shared" si="198"/>
        <v>0</v>
      </c>
      <c r="AM1281" s="137">
        <f t="shared" si="199"/>
        <v>0</v>
      </c>
      <c r="AN1281" s="251"/>
      <c r="AO1281" s="1736"/>
      <c r="AP1281" s="1737"/>
    </row>
    <row r="1282" spans="1:42" s="85" customFormat="1" ht="13.5" thickBot="1">
      <c r="A1282" s="240"/>
      <c r="B1282" s="241"/>
      <c r="C1282" s="242"/>
      <c r="D1282" s="242"/>
      <c r="E1282" s="243"/>
      <c r="F1282" s="244"/>
      <c r="G1282" s="244"/>
      <c r="H1282" s="243"/>
      <c r="I1282" s="258"/>
      <c r="J1282" s="245"/>
      <c r="K1282" s="245"/>
      <c r="L1282" s="76">
        <f t="shared" si="190"/>
        <v>0</v>
      </c>
      <c r="M1282" s="246"/>
      <c r="N1282" s="247"/>
      <c r="O1282" s="248"/>
      <c r="P1282" s="246"/>
      <c r="Q1282" s="249"/>
      <c r="R1282" s="250"/>
      <c r="S1282" s="259"/>
      <c r="T1282" s="260"/>
      <c r="U1282" s="250"/>
      <c r="V1282" s="78">
        <f t="shared" si="191"/>
        <v>0</v>
      </c>
      <c r="W1282" s="261">
        <f t="shared" si="192"/>
        <v>0</v>
      </c>
      <c r="X1282" s="133">
        <f t="shared" si="193"/>
        <v>0</v>
      </c>
      <c r="Y1282" s="251"/>
      <c r="Z1282" s="1736"/>
      <c r="AA1282" s="1737"/>
      <c r="AB1282" s="77">
        <f t="shared" si="194"/>
        <v>0</v>
      </c>
      <c r="AC1282" s="134">
        <f t="shared" si="195"/>
        <v>0</v>
      </c>
      <c r="AD1282" s="251"/>
      <c r="AE1282" s="1736"/>
      <c r="AF1282" s="1737"/>
      <c r="AG1282" s="77">
        <f t="shared" si="196"/>
        <v>0</v>
      </c>
      <c r="AH1282" s="136">
        <f t="shared" si="197"/>
        <v>0</v>
      </c>
      <c r="AI1282" s="251"/>
      <c r="AJ1282" s="1736"/>
      <c r="AK1282" s="1737"/>
      <c r="AL1282" s="79">
        <f t="shared" si="198"/>
        <v>0</v>
      </c>
      <c r="AM1282" s="137">
        <f t="shared" si="199"/>
        <v>0</v>
      </c>
      <c r="AN1282" s="251"/>
      <c r="AO1282" s="1736"/>
      <c r="AP1282" s="1737"/>
    </row>
    <row r="1283" spans="1:42" s="85" customFormat="1" ht="13.5" thickBot="1">
      <c r="A1283" s="240"/>
      <c r="B1283" s="241"/>
      <c r="C1283" s="242"/>
      <c r="D1283" s="242"/>
      <c r="E1283" s="243"/>
      <c r="F1283" s="244"/>
      <c r="G1283" s="244"/>
      <c r="H1283" s="243"/>
      <c r="I1283" s="258"/>
      <c r="J1283" s="245"/>
      <c r="K1283" s="245"/>
      <c r="L1283" s="76">
        <f t="shared" si="190"/>
        <v>0</v>
      </c>
      <c r="M1283" s="246"/>
      <c r="N1283" s="247"/>
      <c r="O1283" s="248"/>
      <c r="P1283" s="246"/>
      <c r="Q1283" s="249"/>
      <c r="R1283" s="250"/>
      <c r="S1283" s="259"/>
      <c r="T1283" s="260"/>
      <c r="U1283" s="250"/>
      <c r="V1283" s="78">
        <f t="shared" si="191"/>
        <v>0</v>
      </c>
      <c r="W1283" s="261">
        <f t="shared" si="192"/>
        <v>0</v>
      </c>
      <c r="X1283" s="133">
        <f t="shared" si="193"/>
        <v>0</v>
      </c>
      <c r="Y1283" s="251"/>
      <c r="Z1283" s="1736"/>
      <c r="AA1283" s="1737"/>
      <c r="AB1283" s="77">
        <f t="shared" si="194"/>
        <v>0</v>
      </c>
      <c r="AC1283" s="134">
        <f t="shared" si="195"/>
        <v>0</v>
      </c>
      <c r="AD1283" s="251"/>
      <c r="AE1283" s="1736"/>
      <c r="AF1283" s="1737"/>
      <c r="AG1283" s="77">
        <f t="shared" si="196"/>
        <v>0</v>
      </c>
      <c r="AH1283" s="136">
        <f t="shared" si="197"/>
        <v>0</v>
      </c>
      <c r="AI1283" s="251"/>
      <c r="AJ1283" s="1736"/>
      <c r="AK1283" s="1737"/>
      <c r="AL1283" s="79">
        <f t="shared" si="198"/>
        <v>0</v>
      </c>
      <c r="AM1283" s="137">
        <f t="shared" si="199"/>
        <v>0</v>
      </c>
      <c r="AN1283" s="251"/>
      <c r="AO1283" s="1736"/>
      <c r="AP1283" s="1737"/>
    </row>
    <row r="1284" spans="1:42" s="85" customFormat="1" ht="13.5" thickBot="1">
      <c r="A1284" s="240"/>
      <c r="B1284" s="241"/>
      <c r="C1284" s="242"/>
      <c r="D1284" s="242"/>
      <c r="E1284" s="243"/>
      <c r="F1284" s="244"/>
      <c r="G1284" s="244"/>
      <c r="H1284" s="243"/>
      <c r="I1284" s="258"/>
      <c r="J1284" s="245"/>
      <c r="K1284" s="245"/>
      <c r="L1284" s="76">
        <f t="shared" si="190"/>
        <v>0</v>
      </c>
      <c r="M1284" s="246"/>
      <c r="N1284" s="247"/>
      <c r="O1284" s="248"/>
      <c r="P1284" s="246"/>
      <c r="Q1284" s="249"/>
      <c r="R1284" s="250"/>
      <c r="S1284" s="259"/>
      <c r="T1284" s="260"/>
      <c r="U1284" s="250"/>
      <c r="V1284" s="78">
        <f t="shared" si="191"/>
        <v>0</v>
      </c>
      <c r="W1284" s="261">
        <f t="shared" si="192"/>
        <v>0</v>
      </c>
      <c r="X1284" s="133">
        <f t="shared" si="193"/>
        <v>0</v>
      </c>
      <c r="Y1284" s="251"/>
      <c r="Z1284" s="1736"/>
      <c r="AA1284" s="1737"/>
      <c r="AB1284" s="77">
        <f t="shared" si="194"/>
        <v>0</v>
      </c>
      <c r="AC1284" s="134">
        <f t="shared" si="195"/>
        <v>0</v>
      </c>
      <c r="AD1284" s="251"/>
      <c r="AE1284" s="1736"/>
      <c r="AF1284" s="1737"/>
      <c r="AG1284" s="77">
        <f t="shared" si="196"/>
        <v>0</v>
      </c>
      <c r="AH1284" s="136">
        <f t="shared" si="197"/>
        <v>0</v>
      </c>
      <c r="AI1284" s="251"/>
      <c r="AJ1284" s="1736"/>
      <c r="AK1284" s="1737"/>
      <c r="AL1284" s="79">
        <f t="shared" si="198"/>
        <v>0</v>
      </c>
      <c r="AM1284" s="137">
        <f t="shared" si="199"/>
        <v>0</v>
      </c>
      <c r="AN1284" s="251"/>
      <c r="AO1284" s="1736"/>
      <c r="AP1284" s="1737"/>
    </row>
    <row r="1285" spans="1:42" s="85" customFormat="1" ht="13.5" thickBot="1">
      <c r="A1285" s="240"/>
      <c r="B1285" s="241"/>
      <c r="C1285" s="242"/>
      <c r="D1285" s="242"/>
      <c r="E1285" s="243"/>
      <c r="F1285" s="244"/>
      <c r="G1285" s="244"/>
      <c r="H1285" s="243"/>
      <c r="I1285" s="258"/>
      <c r="J1285" s="245"/>
      <c r="K1285" s="245"/>
      <c r="L1285" s="76">
        <f t="shared" si="190"/>
        <v>0</v>
      </c>
      <c r="M1285" s="246"/>
      <c r="N1285" s="247"/>
      <c r="O1285" s="248"/>
      <c r="P1285" s="246"/>
      <c r="Q1285" s="249"/>
      <c r="R1285" s="250"/>
      <c r="S1285" s="259"/>
      <c r="T1285" s="260"/>
      <c r="U1285" s="250"/>
      <c r="V1285" s="78">
        <f t="shared" si="191"/>
        <v>0</v>
      </c>
      <c r="W1285" s="261">
        <f t="shared" si="192"/>
        <v>0</v>
      </c>
      <c r="X1285" s="133">
        <f t="shared" si="193"/>
        <v>0</v>
      </c>
      <c r="Y1285" s="251"/>
      <c r="Z1285" s="1736"/>
      <c r="AA1285" s="1737"/>
      <c r="AB1285" s="77">
        <f t="shared" si="194"/>
        <v>0</v>
      </c>
      <c r="AC1285" s="134">
        <f t="shared" si="195"/>
        <v>0</v>
      </c>
      <c r="AD1285" s="251"/>
      <c r="AE1285" s="1736"/>
      <c r="AF1285" s="1737"/>
      <c r="AG1285" s="77">
        <f t="shared" si="196"/>
        <v>0</v>
      </c>
      <c r="AH1285" s="136">
        <f t="shared" si="197"/>
        <v>0</v>
      </c>
      <c r="AI1285" s="251"/>
      <c r="AJ1285" s="1736"/>
      <c r="AK1285" s="1737"/>
      <c r="AL1285" s="79">
        <f t="shared" si="198"/>
        <v>0</v>
      </c>
      <c r="AM1285" s="137">
        <f t="shared" si="199"/>
        <v>0</v>
      </c>
      <c r="AN1285" s="251"/>
      <c r="AO1285" s="1736"/>
      <c r="AP1285" s="1737"/>
    </row>
    <row r="1286" spans="1:42" s="85" customFormat="1" ht="13.5" thickBot="1">
      <c r="A1286" s="240"/>
      <c r="B1286" s="241"/>
      <c r="C1286" s="242"/>
      <c r="D1286" s="242"/>
      <c r="E1286" s="243"/>
      <c r="F1286" s="244"/>
      <c r="G1286" s="244"/>
      <c r="H1286" s="243"/>
      <c r="I1286" s="258"/>
      <c r="J1286" s="245"/>
      <c r="K1286" s="245"/>
      <c r="L1286" s="76">
        <f t="shared" si="190"/>
        <v>0</v>
      </c>
      <c r="M1286" s="246"/>
      <c r="N1286" s="247"/>
      <c r="O1286" s="248"/>
      <c r="P1286" s="246"/>
      <c r="Q1286" s="249"/>
      <c r="R1286" s="250"/>
      <c r="S1286" s="259"/>
      <c r="T1286" s="260"/>
      <c r="U1286" s="250"/>
      <c r="V1286" s="78">
        <f t="shared" si="191"/>
        <v>0</v>
      </c>
      <c r="W1286" s="261">
        <f t="shared" si="192"/>
        <v>0</v>
      </c>
      <c r="X1286" s="133">
        <f t="shared" si="193"/>
        <v>0</v>
      </c>
      <c r="Y1286" s="251"/>
      <c r="Z1286" s="1736"/>
      <c r="AA1286" s="1737"/>
      <c r="AB1286" s="77">
        <f t="shared" si="194"/>
        <v>0</v>
      </c>
      <c r="AC1286" s="134">
        <f t="shared" si="195"/>
        <v>0</v>
      </c>
      <c r="AD1286" s="251"/>
      <c r="AE1286" s="1736"/>
      <c r="AF1286" s="1737"/>
      <c r="AG1286" s="77">
        <f t="shared" si="196"/>
        <v>0</v>
      </c>
      <c r="AH1286" s="136">
        <f t="shared" si="197"/>
        <v>0</v>
      </c>
      <c r="AI1286" s="251"/>
      <c r="AJ1286" s="1736"/>
      <c r="AK1286" s="1737"/>
      <c r="AL1286" s="79">
        <f t="shared" si="198"/>
        <v>0</v>
      </c>
      <c r="AM1286" s="137">
        <f t="shared" si="199"/>
        <v>0</v>
      </c>
      <c r="AN1286" s="251"/>
      <c r="AO1286" s="1736"/>
      <c r="AP1286" s="1737"/>
    </row>
    <row r="1287" spans="1:42" s="85" customFormat="1" ht="13.5" thickBot="1">
      <c r="A1287" s="240"/>
      <c r="B1287" s="241"/>
      <c r="C1287" s="242"/>
      <c r="D1287" s="242"/>
      <c r="E1287" s="243"/>
      <c r="F1287" s="244"/>
      <c r="G1287" s="244"/>
      <c r="H1287" s="243"/>
      <c r="I1287" s="258"/>
      <c r="J1287" s="245"/>
      <c r="K1287" s="245"/>
      <c r="L1287" s="76">
        <f t="shared" si="190"/>
        <v>0</v>
      </c>
      <c r="M1287" s="246"/>
      <c r="N1287" s="247"/>
      <c r="O1287" s="248"/>
      <c r="P1287" s="246"/>
      <c r="Q1287" s="249"/>
      <c r="R1287" s="250"/>
      <c r="S1287" s="259"/>
      <c r="T1287" s="260"/>
      <c r="U1287" s="250"/>
      <c r="V1287" s="78">
        <f t="shared" si="191"/>
        <v>0</v>
      </c>
      <c r="W1287" s="261">
        <f t="shared" si="192"/>
        <v>0</v>
      </c>
      <c r="X1287" s="133">
        <f t="shared" si="193"/>
        <v>0</v>
      </c>
      <c r="Y1287" s="251"/>
      <c r="Z1287" s="1736"/>
      <c r="AA1287" s="1737"/>
      <c r="AB1287" s="77">
        <f t="shared" si="194"/>
        <v>0</v>
      </c>
      <c r="AC1287" s="134">
        <f t="shared" si="195"/>
        <v>0</v>
      </c>
      <c r="AD1287" s="251"/>
      <c r="AE1287" s="1736"/>
      <c r="AF1287" s="1737"/>
      <c r="AG1287" s="77">
        <f t="shared" si="196"/>
        <v>0</v>
      </c>
      <c r="AH1287" s="136">
        <f t="shared" si="197"/>
        <v>0</v>
      </c>
      <c r="AI1287" s="251"/>
      <c r="AJ1287" s="1736"/>
      <c r="AK1287" s="1737"/>
      <c r="AL1287" s="79">
        <f t="shared" si="198"/>
        <v>0</v>
      </c>
      <c r="AM1287" s="137">
        <f t="shared" si="199"/>
        <v>0</v>
      </c>
      <c r="AN1287" s="251"/>
      <c r="AO1287" s="1736"/>
      <c r="AP1287" s="1737"/>
    </row>
    <row r="1288" spans="1:42" s="85" customFormat="1" ht="13.5" thickBot="1">
      <c r="A1288" s="240"/>
      <c r="B1288" s="241"/>
      <c r="C1288" s="242"/>
      <c r="D1288" s="242"/>
      <c r="E1288" s="243"/>
      <c r="F1288" s="244"/>
      <c r="G1288" s="244"/>
      <c r="H1288" s="243"/>
      <c r="I1288" s="258"/>
      <c r="J1288" s="245"/>
      <c r="K1288" s="245"/>
      <c r="L1288" s="76">
        <f t="shared" si="190"/>
        <v>0</v>
      </c>
      <c r="M1288" s="246"/>
      <c r="N1288" s="247"/>
      <c r="O1288" s="248"/>
      <c r="P1288" s="246"/>
      <c r="Q1288" s="249"/>
      <c r="R1288" s="250"/>
      <c r="S1288" s="259"/>
      <c r="T1288" s="260"/>
      <c r="U1288" s="250"/>
      <c r="V1288" s="78">
        <f t="shared" si="191"/>
        <v>0</v>
      </c>
      <c r="W1288" s="261">
        <f t="shared" si="192"/>
        <v>0</v>
      </c>
      <c r="X1288" s="133">
        <f t="shared" si="193"/>
        <v>0</v>
      </c>
      <c r="Y1288" s="251"/>
      <c r="Z1288" s="1736"/>
      <c r="AA1288" s="1737"/>
      <c r="AB1288" s="77">
        <f t="shared" si="194"/>
        <v>0</v>
      </c>
      <c r="AC1288" s="134">
        <f t="shared" si="195"/>
        <v>0</v>
      </c>
      <c r="AD1288" s="251"/>
      <c r="AE1288" s="1736"/>
      <c r="AF1288" s="1737"/>
      <c r="AG1288" s="77">
        <f t="shared" si="196"/>
        <v>0</v>
      </c>
      <c r="AH1288" s="136">
        <f t="shared" si="197"/>
        <v>0</v>
      </c>
      <c r="AI1288" s="251"/>
      <c r="AJ1288" s="1736"/>
      <c r="AK1288" s="1737"/>
      <c r="AL1288" s="79">
        <f t="shared" si="198"/>
        <v>0</v>
      </c>
      <c r="AM1288" s="137">
        <f t="shared" si="199"/>
        <v>0</v>
      </c>
      <c r="AN1288" s="251"/>
      <c r="AO1288" s="1736"/>
      <c r="AP1288" s="1737"/>
    </row>
    <row r="1289" spans="1:42" s="85" customFormat="1" ht="13.5" thickBot="1">
      <c r="A1289" s="240"/>
      <c r="B1289" s="241"/>
      <c r="C1289" s="242"/>
      <c r="D1289" s="242"/>
      <c r="E1289" s="243"/>
      <c r="F1289" s="244"/>
      <c r="G1289" s="244"/>
      <c r="H1289" s="243"/>
      <c r="I1289" s="258"/>
      <c r="J1289" s="245"/>
      <c r="K1289" s="245"/>
      <c r="L1289" s="76">
        <f t="shared" si="190"/>
        <v>0</v>
      </c>
      <c r="M1289" s="246"/>
      <c r="N1289" s="247"/>
      <c r="O1289" s="248"/>
      <c r="P1289" s="246"/>
      <c r="Q1289" s="249"/>
      <c r="R1289" s="250"/>
      <c r="S1289" s="259"/>
      <c r="T1289" s="260"/>
      <c r="U1289" s="250"/>
      <c r="V1289" s="78">
        <f t="shared" si="191"/>
        <v>0</v>
      </c>
      <c r="W1289" s="261">
        <f t="shared" si="192"/>
        <v>0</v>
      </c>
      <c r="X1289" s="133">
        <f t="shared" si="193"/>
        <v>0</v>
      </c>
      <c r="Y1289" s="251"/>
      <c r="Z1289" s="1736"/>
      <c r="AA1289" s="1737"/>
      <c r="AB1289" s="77">
        <f t="shared" si="194"/>
        <v>0</v>
      </c>
      <c r="AC1289" s="134">
        <f t="shared" si="195"/>
        <v>0</v>
      </c>
      <c r="AD1289" s="251"/>
      <c r="AE1289" s="1736"/>
      <c r="AF1289" s="1737"/>
      <c r="AG1289" s="77">
        <f t="shared" si="196"/>
        <v>0</v>
      </c>
      <c r="AH1289" s="136">
        <f t="shared" si="197"/>
        <v>0</v>
      </c>
      <c r="AI1289" s="251"/>
      <c r="AJ1289" s="1736"/>
      <c r="AK1289" s="1737"/>
      <c r="AL1289" s="79">
        <f t="shared" si="198"/>
        <v>0</v>
      </c>
      <c r="AM1289" s="137">
        <f t="shared" si="199"/>
        <v>0</v>
      </c>
      <c r="AN1289" s="251"/>
      <c r="AO1289" s="1736"/>
      <c r="AP1289" s="1737"/>
    </row>
    <row r="1290" spans="1:42" s="85" customFormat="1" ht="13.5" thickBot="1">
      <c r="A1290" s="240"/>
      <c r="B1290" s="241"/>
      <c r="C1290" s="242"/>
      <c r="D1290" s="242"/>
      <c r="E1290" s="243"/>
      <c r="F1290" s="244"/>
      <c r="G1290" s="244"/>
      <c r="H1290" s="243"/>
      <c r="I1290" s="258"/>
      <c r="J1290" s="245"/>
      <c r="K1290" s="245"/>
      <c r="L1290" s="76">
        <f t="shared" si="190"/>
        <v>0</v>
      </c>
      <c r="M1290" s="246"/>
      <c r="N1290" s="247"/>
      <c r="O1290" s="248"/>
      <c r="P1290" s="246"/>
      <c r="Q1290" s="249"/>
      <c r="R1290" s="250"/>
      <c r="S1290" s="259"/>
      <c r="T1290" s="260"/>
      <c r="U1290" s="250"/>
      <c r="V1290" s="78">
        <f t="shared" si="191"/>
        <v>0</v>
      </c>
      <c r="W1290" s="261">
        <f t="shared" si="192"/>
        <v>0</v>
      </c>
      <c r="X1290" s="133">
        <f t="shared" si="193"/>
        <v>0</v>
      </c>
      <c r="Y1290" s="251"/>
      <c r="Z1290" s="1736"/>
      <c r="AA1290" s="1737"/>
      <c r="AB1290" s="77">
        <f t="shared" si="194"/>
        <v>0</v>
      </c>
      <c r="AC1290" s="134">
        <f t="shared" si="195"/>
        <v>0</v>
      </c>
      <c r="AD1290" s="251"/>
      <c r="AE1290" s="1736"/>
      <c r="AF1290" s="1737"/>
      <c r="AG1290" s="77">
        <f t="shared" si="196"/>
        <v>0</v>
      </c>
      <c r="AH1290" s="136">
        <f t="shared" si="197"/>
        <v>0</v>
      </c>
      <c r="AI1290" s="251"/>
      <c r="AJ1290" s="1736"/>
      <c r="AK1290" s="1737"/>
      <c r="AL1290" s="79">
        <f t="shared" si="198"/>
        <v>0</v>
      </c>
      <c r="AM1290" s="137">
        <f t="shared" si="199"/>
        <v>0</v>
      </c>
      <c r="AN1290" s="251"/>
      <c r="AO1290" s="1736"/>
      <c r="AP1290" s="1737"/>
    </row>
    <row r="1291" spans="1:42" s="85" customFormat="1" ht="13.5" thickBot="1">
      <c r="A1291" s="240"/>
      <c r="B1291" s="241"/>
      <c r="C1291" s="242"/>
      <c r="D1291" s="242"/>
      <c r="E1291" s="243"/>
      <c r="F1291" s="244"/>
      <c r="G1291" s="244"/>
      <c r="H1291" s="243"/>
      <c r="I1291" s="258"/>
      <c r="J1291" s="245"/>
      <c r="K1291" s="245"/>
      <c r="L1291" s="76">
        <f t="shared" ref="L1291:L1354" si="200">IF(I1291=0,0,(K1291+J1291)/I1291)</f>
        <v>0</v>
      </c>
      <c r="M1291" s="246"/>
      <c r="N1291" s="247"/>
      <c r="O1291" s="248"/>
      <c r="P1291" s="246"/>
      <c r="Q1291" s="249"/>
      <c r="R1291" s="250"/>
      <c r="S1291" s="259"/>
      <c r="T1291" s="260"/>
      <c r="U1291" s="250"/>
      <c r="V1291" s="78">
        <f t="shared" ref="V1291:V1354" si="201">IF(U1291=0,0,((U1291*S1291)-AB1291-AL1291))</f>
        <v>0</v>
      </c>
      <c r="W1291" s="261">
        <f t="shared" ref="W1291:W1354" si="202">+S1291-I1291</f>
        <v>0</v>
      </c>
      <c r="X1291" s="133">
        <f t="shared" ref="X1291:X1354" si="203">(V1291-J1291)</f>
        <v>0</v>
      </c>
      <c r="Y1291" s="251"/>
      <c r="Z1291" s="1736"/>
      <c r="AA1291" s="1737"/>
      <c r="AB1291" s="77">
        <f t="shared" ref="AB1291:AB1354" si="204">(IF(I1291=0,0,M1291/H1291))*S1291</f>
        <v>0</v>
      </c>
      <c r="AC1291" s="134">
        <f t="shared" ref="AC1291:AC1354" si="205">+AB1291-P1291</f>
        <v>0</v>
      </c>
      <c r="AD1291" s="251"/>
      <c r="AE1291" s="1736"/>
      <c r="AF1291" s="1737"/>
      <c r="AG1291" s="77">
        <f t="shared" ref="AG1291:AG1354" si="206">(IF(H1291=0,0,N1291/H1291))*T1291</f>
        <v>0</v>
      </c>
      <c r="AH1291" s="136">
        <f t="shared" ref="AH1291:AH1354" si="207">+AG1291-Q1291</f>
        <v>0</v>
      </c>
      <c r="AI1291" s="251"/>
      <c r="AJ1291" s="1736"/>
      <c r="AK1291" s="1737"/>
      <c r="AL1291" s="79">
        <f t="shared" ref="AL1291:AL1354" si="208">+O1291*S1291</f>
        <v>0</v>
      </c>
      <c r="AM1291" s="137">
        <f t="shared" ref="AM1291:AM1354" si="209">+AL1291-R1291</f>
        <v>0</v>
      </c>
      <c r="AN1291" s="251"/>
      <c r="AO1291" s="1736"/>
      <c r="AP1291" s="1737"/>
    </row>
    <row r="1292" spans="1:42" s="85" customFormat="1" ht="13.5" thickBot="1">
      <c r="A1292" s="240"/>
      <c r="B1292" s="241"/>
      <c r="C1292" s="242"/>
      <c r="D1292" s="242"/>
      <c r="E1292" s="243"/>
      <c r="F1292" s="244"/>
      <c r="G1292" s="244"/>
      <c r="H1292" s="243"/>
      <c r="I1292" s="258"/>
      <c r="J1292" s="245"/>
      <c r="K1292" s="245"/>
      <c r="L1292" s="76">
        <f t="shared" si="200"/>
        <v>0</v>
      </c>
      <c r="M1292" s="246"/>
      <c r="N1292" s="247"/>
      <c r="O1292" s="248"/>
      <c r="P1292" s="246"/>
      <c r="Q1292" s="249"/>
      <c r="R1292" s="250"/>
      <c r="S1292" s="259"/>
      <c r="T1292" s="260"/>
      <c r="U1292" s="250"/>
      <c r="V1292" s="78">
        <f t="shared" si="201"/>
        <v>0</v>
      </c>
      <c r="W1292" s="261">
        <f t="shared" si="202"/>
        <v>0</v>
      </c>
      <c r="X1292" s="133">
        <f t="shared" si="203"/>
        <v>0</v>
      </c>
      <c r="Y1292" s="251"/>
      <c r="Z1292" s="1736"/>
      <c r="AA1292" s="1737"/>
      <c r="AB1292" s="77">
        <f t="shared" si="204"/>
        <v>0</v>
      </c>
      <c r="AC1292" s="134">
        <f t="shared" si="205"/>
        <v>0</v>
      </c>
      <c r="AD1292" s="251"/>
      <c r="AE1292" s="1736"/>
      <c r="AF1292" s="1737"/>
      <c r="AG1292" s="77">
        <f t="shared" si="206"/>
        <v>0</v>
      </c>
      <c r="AH1292" s="136">
        <f t="shared" si="207"/>
        <v>0</v>
      </c>
      <c r="AI1292" s="251"/>
      <c r="AJ1292" s="1736"/>
      <c r="AK1292" s="1737"/>
      <c r="AL1292" s="79">
        <f t="shared" si="208"/>
        <v>0</v>
      </c>
      <c r="AM1292" s="137">
        <f t="shared" si="209"/>
        <v>0</v>
      </c>
      <c r="AN1292" s="251"/>
      <c r="AO1292" s="1736"/>
      <c r="AP1292" s="1737"/>
    </row>
    <row r="1293" spans="1:42" s="85" customFormat="1" ht="13.5" thickBot="1">
      <c r="A1293" s="240"/>
      <c r="B1293" s="241"/>
      <c r="C1293" s="242"/>
      <c r="D1293" s="242"/>
      <c r="E1293" s="243"/>
      <c r="F1293" s="244"/>
      <c r="G1293" s="244"/>
      <c r="H1293" s="243"/>
      <c r="I1293" s="258"/>
      <c r="J1293" s="245"/>
      <c r="K1293" s="245"/>
      <c r="L1293" s="76">
        <f t="shared" si="200"/>
        <v>0</v>
      </c>
      <c r="M1293" s="246"/>
      <c r="N1293" s="247"/>
      <c r="O1293" s="248"/>
      <c r="P1293" s="246"/>
      <c r="Q1293" s="249"/>
      <c r="R1293" s="250"/>
      <c r="S1293" s="259"/>
      <c r="T1293" s="260"/>
      <c r="U1293" s="250"/>
      <c r="V1293" s="78">
        <f t="shared" si="201"/>
        <v>0</v>
      </c>
      <c r="W1293" s="261">
        <f t="shared" si="202"/>
        <v>0</v>
      </c>
      <c r="X1293" s="133">
        <f t="shared" si="203"/>
        <v>0</v>
      </c>
      <c r="Y1293" s="251"/>
      <c r="Z1293" s="1736"/>
      <c r="AA1293" s="1737"/>
      <c r="AB1293" s="77">
        <f t="shared" si="204"/>
        <v>0</v>
      </c>
      <c r="AC1293" s="134">
        <f t="shared" si="205"/>
        <v>0</v>
      </c>
      <c r="AD1293" s="251"/>
      <c r="AE1293" s="1736"/>
      <c r="AF1293" s="1737"/>
      <c r="AG1293" s="77">
        <f t="shared" si="206"/>
        <v>0</v>
      </c>
      <c r="AH1293" s="136">
        <f t="shared" si="207"/>
        <v>0</v>
      </c>
      <c r="AI1293" s="251"/>
      <c r="AJ1293" s="1736"/>
      <c r="AK1293" s="1737"/>
      <c r="AL1293" s="79">
        <f t="shared" si="208"/>
        <v>0</v>
      </c>
      <c r="AM1293" s="137">
        <f t="shared" si="209"/>
        <v>0</v>
      </c>
      <c r="AN1293" s="251"/>
      <c r="AO1293" s="1736"/>
      <c r="AP1293" s="1737"/>
    </row>
    <row r="1294" spans="1:42" s="85" customFormat="1" ht="13.5" thickBot="1">
      <c r="A1294" s="240"/>
      <c r="B1294" s="241"/>
      <c r="C1294" s="242"/>
      <c r="D1294" s="242"/>
      <c r="E1294" s="243"/>
      <c r="F1294" s="244"/>
      <c r="G1294" s="244"/>
      <c r="H1294" s="243"/>
      <c r="I1294" s="258"/>
      <c r="J1294" s="245"/>
      <c r="K1294" s="245"/>
      <c r="L1294" s="76">
        <f t="shared" si="200"/>
        <v>0</v>
      </c>
      <c r="M1294" s="246"/>
      <c r="N1294" s="247"/>
      <c r="O1294" s="248"/>
      <c r="P1294" s="246"/>
      <c r="Q1294" s="249"/>
      <c r="R1294" s="250"/>
      <c r="S1294" s="259"/>
      <c r="T1294" s="260"/>
      <c r="U1294" s="250"/>
      <c r="V1294" s="78">
        <f t="shared" si="201"/>
        <v>0</v>
      </c>
      <c r="W1294" s="261">
        <f t="shared" si="202"/>
        <v>0</v>
      </c>
      <c r="X1294" s="133">
        <f t="shared" si="203"/>
        <v>0</v>
      </c>
      <c r="Y1294" s="251"/>
      <c r="Z1294" s="1736"/>
      <c r="AA1294" s="1737"/>
      <c r="AB1294" s="77">
        <f t="shared" si="204"/>
        <v>0</v>
      </c>
      <c r="AC1294" s="134">
        <f t="shared" si="205"/>
        <v>0</v>
      </c>
      <c r="AD1294" s="251"/>
      <c r="AE1294" s="1736"/>
      <c r="AF1294" s="1737"/>
      <c r="AG1294" s="77">
        <f t="shared" si="206"/>
        <v>0</v>
      </c>
      <c r="AH1294" s="136">
        <f t="shared" si="207"/>
        <v>0</v>
      </c>
      <c r="AI1294" s="251"/>
      <c r="AJ1294" s="1736"/>
      <c r="AK1294" s="1737"/>
      <c r="AL1294" s="79">
        <f t="shared" si="208"/>
        <v>0</v>
      </c>
      <c r="AM1294" s="137">
        <f t="shared" si="209"/>
        <v>0</v>
      </c>
      <c r="AN1294" s="251"/>
      <c r="AO1294" s="1736"/>
      <c r="AP1294" s="1737"/>
    </row>
    <row r="1295" spans="1:42" s="85" customFormat="1" ht="13.5" thickBot="1">
      <c r="A1295" s="240"/>
      <c r="B1295" s="241"/>
      <c r="C1295" s="242"/>
      <c r="D1295" s="242"/>
      <c r="E1295" s="243"/>
      <c r="F1295" s="244"/>
      <c r="G1295" s="244"/>
      <c r="H1295" s="243"/>
      <c r="I1295" s="258"/>
      <c r="J1295" s="245"/>
      <c r="K1295" s="245"/>
      <c r="L1295" s="76">
        <f t="shared" si="200"/>
        <v>0</v>
      </c>
      <c r="M1295" s="246"/>
      <c r="N1295" s="247"/>
      <c r="O1295" s="248"/>
      <c r="P1295" s="246"/>
      <c r="Q1295" s="249"/>
      <c r="R1295" s="250"/>
      <c r="S1295" s="259"/>
      <c r="T1295" s="260"/>
      <c r="U1295" s="250"/>
      <c r="V1295" s="78">
        <f t="shared" si="201"/>
        <v>0</v>
      </c>
      <c r="W1295" s="261">
        <f t="shared" si="202"/>
        <v>0</v>
      </c>
      <c r="X1295" s="133">
        <f t="shared" si="203"/>
        <v>0</v>
      </c>
      <c r="Y1295" s="251"/>
      <c r="Z1295" s="1736"/>
      <c r="AA1295" s="1737"/>
      <c r="AB1295" s="77">
        <f t="shared" si="204"/>
        <v>0</v>
      </c>
      <c r="AC1295" s="134">
        <f t="shared" si="205"/>
        <v>0</v>
      </c>
      <c r="AD1295" s="251"/>
      <c r="AE1295" s="1736"/>
      <c r="AF1295" s="1737"/>
      <c r="AG1295" s="77">
        <f t="shared" si="206"/>
        <v>0</v>
      </c>
      <c r="AH1295" s="136">
        <f t="shared" si="207"/>
        <v>0</v>
      </c>
      <c r="AI1295" s="251"/>
      <c r="AJ1295" s="1736"/>
      <c r="AK1295" s="1737"/>
      <c r="AL1295" s="79">
        <f t="shared" si="208"/>
        <v>0</v>
      </c>
      <c r="AM1295" s="137">
        <f t="shared" si="209"/>
        <v>0</v>
      </c>
      <c r="AN1295" s="251"/>
      <c r="AO1295" s="1736"/>
      <c r="AP1295" s="1737"/>
    </row>
    <row r="1296" spans="1:42" s="85" customFormat="1" ht="13.5" thickBot="1">
      <c r="A1296" s="240"/>
      <c r="B1296" s="241"/>
      <c r="C1296" s="242"/>
      <c r="D1296" s="242"/>
      <c r="E1296" s="243"/>
      <c r="F1296" s="244"/>
      <c r="G1296" s="244"/>
      <c r="H1296" s="243"/>
      <c r="I1296" s="258"/>
      <c r="J1296" s="245"/>
      <c r="K1296" s="245"/>
      <c r="L1296" s="76">
        <f t="shared" si="200"/>
        <v>0</v>
      </c>
      <c r="M1296" s="246"/>
      <c r="N1296" s="247"/>
      <c r="O1296" s="248"/>
      <c r="P1296" s="246"/>
      <c r="Q1296" s="249"/>
      <c r="R1296" s="250"/>
      <c r="S1296" s="259"/>
      <c r="T1296" s="260"/>
      <c r="U1296" s="250"/>
      <c r="V1296" s="78">
        <f t="shared" si="201"/>
        <v>0</v>
      </c>
      <c r="W1296" s="261">
        <f t="shared" si="202"/>
        <v>0</v>
      </c>
      <c r="X1296" s="133">
        <f t="shared" si="203"/>
        <v>0</v>
      </c>
      <c r="Y1296" s="251"/>
      <c r="Z1296" s="1736"/>
      <c r="AA1296" s="1737"/>
      <c r="AB1296" s="77">
        <f t="shared" si="204"/>
        <v>0</v>
      </c>
      <c r="AC1296" s="134">
        <f t="shared" si="205"/>
        <v>0</v>
      </c>
      <c r="AD1296" s="251"/>
      <c r="AE1296" s="1736"/>
      <c r="AF1296" s="1737"/>
      <c r="AG1296" s="77">
        <f t="shared" si="206"/>
        <v>0</v>
      </c>
      <c r="AH1296" s="136">
        <f t="shared" si="207"/>
        <v>0</v>
      </c>
      <c r="AI1296" s="251"/>
      <c r="AJ1296" s="1736"/>
      <c r="AK1296" s="1737"/>
      <c r="AL1296" s="79">
        <f t="shared" si="208"/>
        <v>0</v>
      </c>
      <c r="AM1296" s="137">
        <f t="shared" si="209"/>
        <v>0</v>
      </c>
      <c r="AN1296" s="251"/>
      <c r="AO1296" s="1736"/>
      <c r="AP1296" s="1737"/>
    </row>
    <row r="1297" spans="1:42" s="85" customFormat="1" ht="13.5" thickBot="1">
      <c r="A1297" s="240"/>
      <c r="B1297" s="241"/>
      <c r="C1297" s="242"/>
      <c r="D1297" s="242"/>
      <c r="E1297" s="243"/>
      <c r="F1297" s="244"/>
      <c r="G1297" s="244"/>
      <c r="H1297" s="243"/>
      <c r="I1297" s="258"/>
      <c r="J1297" s="245"/>
      <c r="K1297" s="245"/>
      <c r="L1297" s="76">
        <f t="shared" si="200"/>
        <v>0</v>
      </c>
      <c r="M1297" s="246"/>
      <c r="N1297" s="247"/>
      <c r="O1297" s="248"/>
      <c r="P1297" s="246"/>
      <c r="Q1297" s="249"/>
      <c r="R1297" s="250"/>
      <c r="S1297" s="259"/>
      <c r="T1297" s="260"/>
      <c r="U1297" s="250"/>
      <c r="V1297" s="78">
        <f t="shared" si="201"/>
        <v>0</v>
      </c>
      <c r="W1297" s="261">
        <f t="shared" si="202"/>
        <v>0</v>
      </c>
      <c r="X1297" s="133">
        <f t="shared" si="203"/>
        <v>0</v>
      </c>
      <c r="Y1297" s="251"/>
      <c r="Z1297" s="1736"/>
      <c r="AA1297" s="1737"/>
      <c r="AB1297" s="77">
        <f t="shared" si="204"/>
        <v>0</v>
      </c>
      <c r="AC1297" s="134">
        <f t="shared" si="205"/>
        <v>0</v>
      </c>
      <c r="AD1297" s="251"/>
      <c r="AE1297" s="1736"/>
      <c r="AF1297" s="1737"/>
      <c r="AG1297" s="77">
        <f t="shared" si="206"/>
        <v>0</v>
      </c>
      <c r="AH1297" s="136">
        <f t="shared" si="207"/>
        <v>0</v>
      </c>
      <c r="AI1297" s="251"/>
      <c r="AJ1297" s="1736"/>
      <c r="AK1297" s="1737"/>
      <c r="AL1297" s="79">
        <f t="shared" si="208"/>
        <v>0</v>
      </c>
      <c r="AM1297" s="137">
        <f t="shared" si="209"/>
        <v>0</v>
      </c>
      <c r="AN1297" s="251"/>
      <c r="AO1297" s="1736"/>
      <c r="AP1297" s="1737"/>
    </row>
    <row r="1298" spans="1:42" s="85" customFormat="1" ht="13.5" thickBot="1">
      <c r="A1298" s="240"/>
      <c r="B1298" s="241"/>
      <c r="C1298" s="242"/>
      <c r="D1298" s="242"/>
      <c r="E1298" s="243"/>
      <c r="F1298" s="244"/>
      <c r="G1298" s="244"/>
      <c r="H1298" s="243"/>
      <c r="I1298" s="258"/>
      <c r="J1298" s="245"/>
      <c r="K1298" s="245"/>
      <c r="L1298" s="76">
        <f t="shared" si="200"/>
        <v>0</v>
      </c>
      <c r="M1298" s="246"/>
      <c r="N1298" s="247"/>
      <c r="O1298" s="248"/>
      <c r="P1298" s="246"/>
      <c r="Q1298" s="249"/>
      <c r="R1298" s="250"/>
      <c r="S1298" s="259"/>
      <c r="T1298" s="260"/>
      <c r="U1298" s="250"/>
      <c r="V1298" s="78">
        <f t="shared" si="201"/>
        <v>0</v>
      </c>
      <c r="W1298" s="261">
        <f t="shared" si="202"/>
        <v>0</v>
      </c>
      <c r="X1298" s="133">
        <f t="shared" si="203"/>
        <v>0</v>
      </c>
      <c r="Y1298" s="251"/>
      <c r="Z1298" s="1736"/>
      <c r="AA1298" s="1737"/>
      <c r="AB1298" s="77">
        <f t="shared" si="204"/>
        <v>0</v>
      </c>
      <c r="AC1298" s="134">
        <f t="shared" si="205"/>
        <v>0</v>
      </c>
      <c r="AD1298" s="251"/>
      <c r="AE1298" s="1736"/>
      <c r="AF1298" s="1737"/>
      <c r="AG1298" s="77">
        <f t="shared" si="206"/>
        <v>0</v>
      </c>
      <c r="AH1298" s="136">
        <f t="shared" si="207"/>
        <v>0</v>
      </c>
      <c r="AI1298" s="251"/>
      <c r="AJ1298" s="1736"/>
      <c r="AK1298" s="1737"/>
      <c r="AL1298" s="79">
        <f t="shared" si="208"/>
        <v>0</v>
      </c>
      <c r="AM1298" s="137">
        <f t="shared" si="209"/>
        <v>0</v>
      </c>
      <c r="AN1298" s="251"/>
      <c r="AO1298" s="1736"/>
      <c r="AP1298" s="1737"/>
    </row>
    <row r="1299" spans="1:42" s="85" customFormat="1" ht="13.5" thickBot="1">
      <c r="A1299" s="240"/>
      <c r="B1299" s="241"/>
      <c r="C1299" s="242"/>
      <c r="D1299" s="242"/>
      <c r="E1299" s="243"/>
      <c r="F1299" s="244"/>
      <c r="G1299" s="244"/>
      <c r="H1299" s="243"/>
      <c r="I1299" s="258"/>
      <c r="J1299" s="245"/>
      <c r="K1299" s="245"/>
      <c r="L1299" s="76">
        <f t="shared" si="200"/>
        <v>0</v>
      </c>
      <c r="M1299" s="246"/>
      <c r="N1299" s="247"/>
      <c r="O1299" s="248"/>
      <c r="P1299" s="246"/>
      <c r="Q1299" s="249"/>
      <c r="R1299" s="250"/>
      <c r="S1299" s="259"/>
      <c r="T1299" s="260"/>
      <c r="U1299" s="250"/>
      <c r="V1299" s="78">
        <f t="shared" si="201"/>
        <v>0</v>
      </c>
      <c r="W1299" s="261">
        <f t="shared" si="202"/>
        <v>0</v>
      </c>
      <c r="X1299" s="133">
        <f t="shared" si="203"/>
        <v>0</v>
      </c>
      <c r="Y1299" s="251"/>
      <c r="Z1299" s="1736"/>
      <c r="AA1299" s="1737"/>
      <c r="AB1299" s="77">
        <f t="shared" si="204"/>
        <v>0</v>
      </c>
      <c r="AC1299" s="134">
        <f t="shared" si="205"/>
        <v>0</v>
      </c>
      <c r="AD1299" s="251"/>
      <c r="AE1299" s="1736"/>
      <c r="AF1299" s="1737"/>
      <c r="AG1299" s="77">
        <f t="shared" si="206"/>
        <v>0</v>
      </c>
      <c r="AH1299" s="136">
        <f t="shared" si="207"/>
        <v>0</v>
      </c>
      <c r="AI1299" s="251"/>
      <c r="AJ1299" s="1736"/>
      <c r="AK1299" s="1737"/>
      <c r="AL1299" s="79">
        <f t="shared" si="208"/>
        <v>0</v>
      </c>
      <c r="AM1299" s="137">
        <f t="shared" si="209"/>
        <v>0</v>
      </c>
      <c r="AN1299" s="251"/>
      <c r="AO1299" s="1736"/>
      <c r="AP1299" s="1737"/>
    </row>
    <row r="1300" spans="1:42" s="85" customFormat="1" ht="13.5" thickBot="1">
      <c r="A1300" s="240"/>
      <c r="B1300" s="241"/>
      <c r="C1300" s="242"/>
      <c r="D1300" s="242"/>
      <c r="E1300" s="243"/>
      <c r="F1300" s="244"/>
      <c r="G1300" s="244"/>
      <c r="H1300" s="243"/>
      <c r="I1300" s="258"/>
      <c r="J1300" s="245"/>
      <c r="K1300" s="245"/>
      <c r="L1300" s="76">
        <f t="shared" si="200"/>
        <v>0</v>
      </c>
      <c r="M1300" s="246"/>
      <c r="N1300" s="247"/>
      <c r="O1300" s="248"/>
      <c r="P1300" s="246"/>
      <c r="Q1300" s="249"/>
      <c r="R1300" s="250"/>
      <c r="S1300" s="259"/>
      <c r="T1300" s="260"/>
      <c r="U1300" s="250"/>
      <c r="V1300" s="78">
        <f t="shared" si="201"/>
        <v>0</v>
      </c>
      <c r="W1300" s="261">
        <f t="shared" si="202"/>
        <v>0</v>
      </c>
      <c r="X1300" s="133">
        <f t="shared" si="203"/>
        <v>0</v>
      </c>
      <c r="Y1300" s="251"/>
      <c r="Z1300" s="1736"/>
      <c r="AA1300" s="1737"/>
      <c r="AB1300" s="77">
        <f t="shared" si="204"/>
        <v>0</v>
      </c>
      <c r="AC1300" s="134">
        <f t="shared" si="205"/>
        <v>0</v>
      </c>
      <c r="AD1300" s="251"/>
      <c r="AE1300" s="1736"/>
      <c r="AF1300" s="1737"/>
      <c r="AG1300" s="77">
        <f t="shared" si="206"/>
        <v>0</v>
      </c>
      <c r="AH1300" s="136">
        <f t="shared" si="207"/>
        <v>0</v>
      </c>
      <c r="AI1300" s="251"/>
      <c r="AJ1300" s="1736"/>
      <c r="AK1300" s="1737"/>
      <c r="AL1300" s="79">
        <f t="shared" si="208"/>
        <v>0</v>
      </c>
      <c r="AM1300" s="137">
        <f t="shared" si="209"/>
        <v>0</v>
      </c>
      <c r="AN1300" s="251"/>
      <c r="AO1300" s="1736"/>
      <c r="AP1300" s="1737"/>
    </row>
    <row r="1301" spans="1:42" s="85" customFormat="1" ht="13.5" thickBot="1">
      <c r="A1301" s="240"/>
      <c r="B1301" s="241"/>
      <c r="C1301" s="242"/>
      <c r="D1301" s="242"/>
      <c r="E1301" s="243"/>
      <c r="F1301" s="244"/>
      <c r="G1301" s="244"/>
      <c r="H1301" s="243"/>
      <c r="I1301" s="258"/>
      <c r="J1301" s="245"/>
      <c r="K1301" s="245"/>
      <c r="L1301" s="76">
        <f t="shared" si="200"/>
        <v>0</v>
      </c>
      <c r="M1301" s="246"/>
      <c r="N1301" s="247"/>
      <c r="O1301" s="248"/>
      <c r="P1301" s="246"/>
      <c r="Q1301" s="249"/>
      <c r="R1301" s="250"/>
      <c r="S1301" s="259"/>
      <c r="T1301" s="260"/>
      <c r="U1301" s="250"/>
      <c r="V1301" s="78">
        <f t="shared" si="201"/>
        <v>0</v>
      </c>
      <c r="W1301" s="261">
        <f t="shared" si="202"/>
        <v>0</v>
      </c>
      <c r="X1301" s="133">
        <f t="shared" si="203"/>
        <v>0</v>
      </c>
      <c r="Y1301" s="251"/>
      <c r="Z1301" s="1736"/>
      <c r="AA1301" s="1737"/>
      <c r="AB1301" s="77">
        <f t="shared" si="204"/>
        <v>0</v>
      </c>
      <c r="AC1301" s="134">
        <f t="shared" si="205"/>
        <v>0</v>
      </c>
      <c r="AD1301" s="251"/>
      <c r="AE1301" s="1736"/>
      <c r="AF1301" s="1737"/>
      <c r="AG1301" s="77">
        <f t="shared" si="206"/>
        <v>0</v>
      </c>
      <c r="AH1301" s="136">
        <f t="shared" si="207"/>
        <v>0</v>
      </c>
      <c r="AI1301" s="251"/>
      <c r="AJ1301" s="1736"/>
      <c r="AK1301" s="1737"/>
      <c r="AL1301" s="79">
        <f t="shared" si="208"/>
        <v>0</v>
      </c>
      <c r="AM1301" s="137">
        <f t="shared" si="209"/>
        <v>0</v>
      </c>
      <c r="AN1301" s="251"/>
      <c r="AO1301" s="1736"/>
      <c r="AP1301" s="1737"/>
    </row>
    <row r="1302" spans="1:42" s="85" customFormat="1" ht="13.5" thickBot="1">
      <c r="A1302" s="240"/>
      <c r="B1302" s="241"/>
      <c r="C1302" s="242"/>
      <c r="D1302" s="242"/>
      <c r="E1302" s="243"/>
      <c r="F1302" s="244"/>
      <c r="G1302" s="244"/>
      <c r="H1302" s="243"/>
      <c r="I1302" s="258"/>
      <c r="J1302" s="245"/>
      <c r="K1302" s="245"/>
      <c r="L1302" s="76">
        <f t="shared" si="200"/>
        <v>0</v>
      </c>
      <c r="M1302" s="246"/>
      <c r="N1302" s="247"/>
      <c r="O1302" s="248"/>
      <c r="P1302" s="246"/>
      <c r="Q1302" s="249"/>
      <c r="R1302" s="250"/>
      <c r="S1302" s="259"/>
      <c r="T1302" s="260"/>
      <c r="U1302" s="250"/>
      <c r="V1302" s="78">
        <f t="shared" si="201"/>
        <v>0</v>
      </c>
      <c r="W1302" s="261">
        <f t="shared" si="202"/>
        <v>0</v>
      </c>
      <c r="X1302" s="133">
        <f t="shared" si="203"/>
        <v>0</v>
      </c>
      <c r="Y1302" s="251"/>
      <c r="Z1302" s="1736"/>
      <c r="AA1302" s="1737"/>
      <c r="AB1302" s="77">
        <f t="shared" si="204"/>
        <v>0</v>
      </c>
      <c r="AC1302" s="134">
        <f t="shared" si="205"/>
        <v>0</v>
      </c>
      <c r="AD1302" s="251"/>
      <c r="AE1302" s="1736"/>
      <c r="AF1302" s="1737"/>
      <c r="AG1302" s="77">
        <f t="shared" si="206"/>
        <v>0</v>
      </c>
      <c r="AH1302" s="136">
        <f t="shared" si="207"/>
        <v>0</v>
      </c>
      <c r="AI1302" s="251"/>
      <c r="AJ1302" s="1736"/>
      <c r="AK1302" s="1737"/>
      <c r="AL1302" s="79">
        <f t="shared" si="208"/>
        <v>0</v>
      </c>
      <c r="AM1302" s="137">
        <f t="shared" si="209"/>
        <v>0</v>
      </c>
      <c r="AN1302" s="251"/>
      <c r="AO1302" s="1736"/>
      <c r="AP1302" s="1737"/>
    </row>
    <row r="1303" spans="1:42" s="85" customFormat="1" ht="13.5" thickBot="1">
      <c r="A1303" s="240"/>
      <c r="B1303" s="241"/>
      <c r="C1303" s="242"/>
      <c r="D1303" s="242"/>
      <c r="E1303" s="243"/>
      <c r="F1303" s="244"/>
      <c r="G1303" s="244"/>
      <c r="H1303" s="243"/>
      <c r="I1303" s="258"/>
      <c r="J1303" s="245"/>
      <c r="K1303" s="245"/>
      <c r="L1303" s="76">
        <f t="shared" si="200"/>
        <v>0</v>
      </c>
      <c r="M1303" s="246"/>
      <c r="N1303" s="247"/>
      <c r="O1303" s="248"/>
      <c r="P1303" s="246"/>
      <c r="Q1303" s="249"/>
      <c r="R1303" s="250"/>
      <c r="S1303" s="259"/>
      <c r="T1303" s="260"/>
      <c r="U1303" s="250"/>
      <c r="V1303" s="78">
        <f t="shared" si="201"/>
        <v>0</v>
      </c>
      <c r="W1303" s="261">
        <f t="shared" si="202"/>
        <v>0</v>
      </c>
      <c r="X1303" s="133">
        <f t="shared" si="203"/>
        <v>0</v>
      </c>
      <c r="Y1303" s="251"/>
      <c r="Z1303" s="1736"/>
      <c r="AA1303" s="1737"/>
      <c r="AB1303" s="77">
        <f t="shared" si="204"/>
        <v>0</v>
      </c>
      <c r="AC1303" s="134">
        <f t="shared" si="205"/>
        <v>0</v>
      </c>
      <c r="AD1303" s="251"/>
      <c r="AE1303" s="1736"/>
      <c r="AF1303" s="1737"/>
      <c r="AG1303" s="77">
        <f t="shared" si="206"/>
        <v>0</v>
      </c>
      <c r="AH1303" s="136">
        <f t="shared" si="207"/>
        <v>0</v>
      </c>
      <c r="AI1303" s="251"/>
      <c r="AJ1303" s="1736"/>
      <c r="AK1303" s="1737"/>
      <c r="AL1303" s="79">
        <f t="shared" si="208"/>
        <v>0</v>
      </c>
      <c r="AM1303" s="137">
        <f t="shared" si="209"/>
        <v>0</v>
      </c>
      <c r="AN1303" s="251"/>
      <c r="AO1303" s="1736"/>
      <c r="AP1303" s="1737"/>
    </row>
    <row r="1304" spans="1:42" s="85" customFormat="1" ht="13.5" thickBot="1">
      <c r="A1304" s="240"/>
      <c r="B1304" s="241"/>
      <c r="C1304" s="242"/>
      <c r="D1304" s="242"/>
      <c r="E1304" s="243"/>
      <c r="F1304" s="244"/>
      <c r="G1304" s="244"/>
      <c r="H1304" s="243"/>
      <c r="I1304" s="258"/>
      <c r="J1304" s="245"/>
      <c r="K1304" s="245"/>
      <c r="L1304" s="76">
        <f t="shared" si="200"/>
        <v>0</v>
      </c>
      <c r="M1304" s="246"/>
      <c r="N1304" s="247"/>
      <c r="O1304" s="248"/>
      <c r="P1304" s="246"/>
      <c r="Q1304" s="249"/>
      <c r="R1304" s="250"/>
      <c r="S1304" s="259"/>
      <c r="T1304" s="260"/>
      <c r="U1304" s="250"/>
      <c r="V1304" s="78">
        <f t="shared" si="201"/>
        <v>0</v>
      </c>
      <c r="W1304" s="261">
        <f t="shared" si="202"/>
        <v>0</v>
      </c>
      <c r="X1304" s="133">
        <f t="shared" si="203"/>
        <v>0</v>
      </c>
      <c r="Y1304" s="251"/>
      <c r="Z1304" s="1736"/>
      <c r="AA1304" s="1737"/>
      <c r="AB1304" s="77">
        <f t="shared" si="204"/>
        <v>0</v>
      </c>
      <c r="AC1304" s="134">
        <f t="shared" si="205"/>
        <v>0</v>
      </c>
      <c r="AD1304" s="251"/>
      <c r="AE1304" s="1736"/>
      <c r="AF1304" s="1737"/>
      <c r="AG1304" s="77">
        <f t="shared" si="206"/>
        <v>0</v>
      </c>
      <c r="AH1304" s="136">
        <f t="shared" si="207"/>
        <v>0</v>
      </c>
      <c r="AI1304" s="251"/>
      <c r="AJ1304" s="1736"/>
      <c r="AK1304" s="1737"/>
      <c r="AL1304" s="79">
        <f t="shared" si="208"/>
        <v>0</v>
      </c>
      <c r="AM1304" s="137">
        <f t="shared" si="209"/>
        <v>0</v>
      </c>
      <c r="AN1304" s="251"/>
      <c r="AO1304" s="1736"/>
      <c r="AP1304" s="1737"/>
    </row>
    <row r="1305" spans="1:42" s="85" customFormat="1" ht="13.5" thickBot="1">
      <c r="A1305" s="240"/>
      <c r="B1305" s="241"/>
      <c r="C1305" s="242"/>
      <c r="D1305" s="242"/>
      <c r="E1305" s="243"/>
      <c r="F1305" s="244"/>
      <c r="G1305" s="244"/>
      <c r="H1305" s="243"/>
      <c r="I1305" s="258"/>
      <c r="J1305" s="245"/>
      <c r="K1305" s="245"/>
      <c r="L1305" s="76">
        <f t="shared" si="200"/>
        <v>0</v>
      </c>
      <c r="M1305" s="246"/>
      <c r="N1305" s="247"/>
      <c r="O1305" s="248"/>
      <c r="P1305" s="246"/>
      <c r="Q1305" s="249"/>
      <c r="R1305" s="250"/>
      <c r="S1305" s="259"/>
      <c r="T1305" s="260"/>
      <c r="U1305" s="250"/>
      <c r="V1305" s="78">
        <f t="shared" si="201"/>
        <v>0</v>
      </c>
      <c r="W1305" s="261">
        <f t="shared" si="202"/>
        <v>0</v>
      </c>
      <c r="X1305" s="133">
        <f t="shared" si="203"/>
        <v>0</v>
      </c>
      <c r="Y1305" s="251"/>
      <c r="Z1305" s="1736"/>
      <c r="AA1305" s="1737"/>
      <c r="AB1305" s="77">
        <f t="shared" si="204"/>
        <v>0</v>
      </c>
      <c r="AC1305" s="134">
        <f t="shared" si="205"/>
        <v>0</v>
      </c>
      <c r="AD1305" s="251"/>
      <c r="AE1305" s="1736"/>
      <c r="AF1305" s="1737"/>
      <c r="AG1305" s="77">
        <f t="shared" si="206"/>
        <v>0</v>
      </c>
      <c r="AH1305" s="136">
        <f t="shared" si="207"/>
        <v>0</v>
      </c>
      <c r="AI1305" s="251"/>
      <c r="AJ1305" s="1736"/>
      <c r="AK1305" s="1737"/>
      <c r="AL1305" s="79">
        <f t="shared" si="208"/>
        <v>0</v>
      </c>
      <c r="AM1305" s="137">
        <f t="shared" si="209"/>
        <v>0</v>
      </c>
      <c r="AN1305" s="251"/>
      <c r="AO1305" s="1736"/>
      <c r="AP1305" s="1737"/>
    </row>
    <row r="1306" spans="1:42" s="85" customFormat="1" ht="13.5" thickBot="1">
      <c r="A1306" s="240"/>
      <c r="B1306" s="241"/>
      <c r="C1306" s="242"/>
      <c r="D1306" s="242"/>
      <c r="E1306" s="243"/>
      <c r="F1306" s="244"/>
      <c r="G1306" s="244"/>
      <c r="H1306" s="243"/>
      <c r="I1306" s="258"/>
      <c r="J1306" s="245"/>
      <c r="K1306" s="245"/>
      <c r="L1306" s="76">
        <f t="shared" si="200"/>
        <v>0</v>
      </c>
      <c r="M1306" s="246"/>
      <c r="N1306" s="247"/>
      <c r="O1306" s="248"/>
      <c r="P1306" s="246"/>
      <c r="Q1306" s="249"/>
      <c r="R1306" s="250"/>
      <c r="S1306" s="259"/>
      <c r="T1306" s="260"/>
      <c r="U1306" s="250"/>
      <c r="V1306" s="78">
        <f t="shared" si="201"/>
        <v>0</v>
      </c>
      <c r="W1306" s="261">
        <f t="shared" si="202"/>
        <v>0</v>
      </c>
      <c r="X1306" s="133">
        <f t="shared" si="203"/>
        <v>0</v>
      </c>
      <c r="Y1306" s="251"/>
      <c r="Z1306" s="1736"/>
      <c r="AA1306" s="1737"/>
      <c r="AB1306" s="77">
        <f t="shared" si="204"/>
        <v>0</v>
      </c>
      <c r="AC1306" s="134">
        <f t="shared" si="205"/>
        <v>0</v>
      </c>
      <c r="AD1306" s="251"/>
      <c r="AE1306" s="1736"/>
      <c r="AF1306" s="1737"/>
      <c r="AG1306" s="77">
        <f t="shared" si="206"/>
        <v>0</v>
      </c>
      <c r="AH1306" s="136">
        <f t="shared" si="207"/>
        <v>0</v>
      </c>
      <c r="AI1306" s="251"/>
      <c r="AJ1306" s="1736"/>
      <c r="AK1306" s="1737"/>
      <c r="AL1306" s="79">
        <f t="shared" si="208"/>
        <v>0</v>
      </c>
      <c r="AM1306" s="137">
        <f t="shared" si="209"/>
        <v>0</v>
      </c>
      <c r="AN1306" s="251"/>
      <c r="AO1306" s="1736"/>
      <c r="AP1306" s="1737"/>
    </row>
    <row r="1307" spans="1:42" s="85" customFormat="1" ht="13.5" thickBot="1">
      <c r="A1307" s="240"/>
      <c r="B1307" s="241"/>
      <c r="C1307" s="242"/>
      <c r="D1307" s="242"/>
      <c r="E1307" s="243"/>
      <c r="F1307" s="244"/>
      <c r="G1307" s="244"/>
      <c r="H1307" s="243"/>
      <c r="I1307" s="258"/>
      <c r="J1307" s="245"/>
      <c r="K1307" s="245"/>
      <c r="L1307" s="76">
        <f t="shared" si="200"/>
        <v>0</v>
      </c>
      <c r="M1307" s="246"/>
      <c r="N1307" s="247"/>
      <c r="O1307" s="248"/>
      <c r="P1307" s="246"/>
      <c r="Q1307" s="249"/>
      <c r="R1307" s="250"/>
      <c r="S1307" s="259"/>
      <c r="T1307" s="260"/>
      <c r="U1307" s="250"/>
      <c r="V1307" s="78">
        <f t="shared" si="201"/>
        <v>0</v>
      </c>
      <c r="W1307" s="261">
        <f t="shared" si="202"/>
        <v>0</v>
      </c>
      <c r="X1307" s="133">
        <f t="shared" si="203"/>
        <v>0</v>
      </c>
      <c r="Y1307" s="251"/>
      <c r="Z1307" s="1736"/>
      <c r="AA1307" s="1737"/>
      <c r="AB1307" s="77">
        <f t="shared" si="204"/>
        <v>0</v>
      </c>
      <c r="AC1307" s="134">
        <f t="shared" si="205"/>
        <v>0</v>
      </c>
      <c r="AD1307" s="251"/>
      <c r="AE1307" s="1736"/>
      <c r="AF1307" s="1737"/>
      <c r="AG1307" s="77">
        <f t="shared" si="206"/>
        <v>0</v>
      </c>
      <c r="AH1307" s="136">
        <f t="shared" si="207"/>
        <v>0</v>
      </c>
      <c r="AI1307" s="251"/>
      <c r="AJ1307" s="1736"/>
      <c r="AK1307" s="1737"/>
      <c r="AL1307" s="79">
        <f t="shared" si="208"/>
        <v>0</v>
      </c>
      <c r="AM1307" s="137">
        <f t="shared" si="209"/>
        <v>0</v>
      </c>
      <c r="AN1307" s="251"/>
      <c r="AO1307" s="1736"/>
      <c r="AP1307" s="1737"/>
    </row>
    <row r="1308" spans="1:42" s="85" customFormat="1" ht="13.5" thickBot="1">
      <c r="A1308" s="240"/>
      <c r="B1308" s="241"/>
      <c r="C1308" s="242"/>
      <c r="D1308" s="242"/>
      <c r="E1308" s="243"/>
      <c r="F1308" s="244"/>
      <c r="G1308" s="244"/>
      <c r="H1308" s="243"/>
      <c r="I1308" s="258"/>
      <c r="J1308" s="245"/>
      <c r="K1308" s="245"/>
      <c r="L1308" s="76">
        <f t="shared" si="200"/>
        <v>0</v>
      </c>
      <c r="M1308" s="246"/>
      <c r="N1308" s="247"/>
      <c r="O1308" s="248"/>
      <c r="P1308" s="246"/>
      <c r="Q1308" s="249"/>
      <c r="R1308" s="250"/>
      <c r="S1308" s="259"/>
      <c r="T1308" s="260"/>
      <c r="U1308" s="250"/>
      <c r="V1308" s="78">
        <f t="shared" si="201"/>
        <v>0</v>
      </c>
      <c r="W1308" s="261">
        <f t="shared" si="202"/>
        <v>0</v>
      </c>
      <c r="X1308" s="133">
        <f t="shared" si="203"/>
        <v>0</v>
      </c>
      <c r="Y1308" s="251"/>
      <c r="Z1308" s="1736"/>
      <c r="AA1308" s="1737"/>
      <c r="AB1308" s="77">
        <f t="shared" si="204"/>
        <v>0</v>
      </c>
      <c r="AC1308" s="134">
        <f t="shared" si="205"/>
        <v>0</v>
      </c>
      <c r="AD1308" s="251"/>
      <c r="AE1308" s="1736"/>
      <c r="AF1308" s="1737"/>
      <c r="AG1308" s="77">
        <f t="shared" si="206"/>
        <v>0</v>
      </c>
      <c r="AH1308" s="136">
        <f t="shared" si="207"/>
        <v>0</v>
      </c>
      <c r="AI1308" s="251"/>
      <c r="AJ1308" s="1736"/>
      <c r="AK1308" s="1737"/>
      <c r="AL1308" s="79">
        <f t="shared" si="208"/>
        <v>0</v>
      </c>
      <c r="AM1308" s="137">
        <f t="shared" si="209"/>
        <v>0</v>
      </c>
      <c r="AN1308" s="251"/>
      <c r="AO1308" s="1736"/>
      <c r="AP1308" s="1737"/>
    </row>
    <row r="1309" spans="1:42" s="85" customFormat="1" ht="13.5" thickBot="1">
      <c r="A1309" s="240"/>
      <c r="B1309" s="241"/>
      <c r="C1309" s="242"/>
      <c r="D1309" s="242"/>
      <c r="E1309" s="243"/>
      <c r="F1309" s="244"/>
      <c r="G1309" s="244"/>
      <c r="H1309" s="243"/>
      <c r="I1309" s="258"/>
      <c r="J1309" s="245"/>
      <c r="K1309" s="245"/>
      <c r="L1309" s="76">
        <f t="shared" si="200"/>
        <v>0</v>
      </c>
      <c r="M1309" s="246"/>
      <c r="N1309" s="247"/>
      <c r="O1309" s="248"/>
      <c r="P1309" s="246"/>
      <c r="Q1309" s="249"/>
      <c r="R1309" s="250"/>
      <c r="S1309" s="259"/>
      <c r="T1309" s="260"/>
      <c r="U1309" s="250"/>
      <c r="V1309" s="78">
        <f t="shared" si="201"/>
        <v>0</v>
      </c>
      <c r="W1309" s="261">
        <f t="shared" si="202"/>
        <v>0</v>
      </c>
      <c r="X1309" s="133">
        <f t="shared" si="203"/>
        <v>0</v>
      </c>
      <c r="Y1309" s="251"/>
      <c r="Z1309" s="1736"/>
      <c r="AA1309" s="1737"/>
      <c r="AB1309" s="77">
        <f t="shared" si="204"/>
        <v>0</v>
      </c>
      <c r="AC1309" s="134">
        <f t="shared" si="205"/>
        <v>0</v>
      </c>
      <c r="AD1309" s="251"/>
      <c r="AE1309" s="1736"/>
      <c r="AF1309" s="1737"/>
      <c r="AG1309" s="77">
        <f t="shared" si="206"/>
        <v>0</v>
      </c>
      <c r="AH1309" s="136">
        <f t="shared" si="207"/>
        <v>0</v>
      </c>
      <c r="AI1309" s="251"/>
      <c r="AJ1309" s="1736"/>
      <c r="AK1309" s="1737"/>
      <c r="AL1309" s="79">
        <f t="shared" si="208"/>
        <v>0</v>
      </c>
      <c r="AM1309" s="137">
        <f t="shared" si="209"/>
        <v>0</v>
      </c>
      <c r="AN1309" s="251"/>
      <c r="AO1309" s="1736"/>
      <c r="AP1309" s="1737"/>
    </row>
    <row r="1310" spans="1:42" s="85" customFormat="1" ht="13.5" thickBot="1">
      <c r="A1310" s="240"/>
      <c r="B1310" s="241"/>
      <c r="C1310" s="242"/>
      <c r="D1310" s="242"/>
      <c r="E1310" s="243"/>
      <c r="F1310" s="244"/>
      <c r="G1310" s="244"/>
      <c r="H1310" s="243"/>
      <c r="I1310" s="258"/>
      <c r="J1310" s="245"/>
      <c r="K1310" s="245"/>
      <c r="L1310" s="76">
        <f t="shared" si="200"/>
        <v>0</v>
      </c>
      <c r="M1310" s="246"/>
      <c r="N1310" s="247"/>
      <c r="O1310" s="248"/>
      <c r="P1310" s="246"/>
      <c r="Q1310" s="249"/>
      <c r="R1310" s="250"/>
      <c r="S1310" s="259"/>
      <c r="T1310" s="260"/>
      <c r="U1310" s="250"/>
      <c r="V1310" s="78">
        <f t="shared" si="201"/>
        <v>0</v>
      </c>
      <c r="W1310" s="261">
        <f t="shared" si="202"/>
        <v>0</v>
      </c>
      <c r="X1310" s="133">
        <f t="shared" si="203"/>
        <v>0</v>
      </c>
      <c r="Y1310" s="251"/>
      <c r="Z1310" s="1736"/>
      <c r="AA1310" s="1737"/>
      <c r="AB1310" s="77">
        <f t="shared" si="204"/>
        <v>0</v>
      </c>
      <c r="AC1310" s="134">
        <f t="shared" si="205"/>
        <v>0</v>
      </c>
      <c r="AD1310" s="251"/>
      <c r="AE1310" s="1736"/>
      <c r="AF1310" s="1737"/>
      <c r="AG1310" s="77">
        <f t="shared" si="206"/>
        <v>0</v>
      </c>
      <c r="AH1310" s="136">
        <f t="shared" si="207"/>
        <v>0</v>
      </c>
      <c r="AI1310" s="251"/>
      <c r="AJ1310" s="1736"/>
      <c r="AK1310" s="1737"/>
      <c r="AL1310" s="79">
        <f t="shared" si="208"/>
        <v>0</v>
      </c>
      <c r="AM1310" s="137">
        <f t="shared" si="209"/>
        <v>0</v>
      </c>
      <c r="AN1310" s="251"/>
      <c r="AO1310" s="1736"/>
      <c r="AP1310" s="1737"/>
    </row>
    <row r="1311" spans="1:42" s="85" customFormat="1" ht="13.5" thickBot="1">
      <c r="A1311" s="240"/>
      <c r="B1311" s="241"/>
      <c r="C1311" s="242"/>
      <c r="D1311" s="242"/>
      <c r="E1311" s="243"/>
      <c r="F1311" s="244"/>
      <c r="G1311" s="244"/>
      <c r="H1311" s="243"/>
      <c r="I1311" s="258"/>
      <c r="J1311" s="245"/>
      <c r="K1311" s="245"/>
      <c r="L1311" s="76">
        <f t="shared" si="200"/>
        <v>0</v>
      </c>
      <c r="M1311" s="246"/>
      <c r="N1311" s="247"/>
      <c r="O1311" s="248"/>
      <c r="P1311" s="246"/>
      <c r="Q1311" s="249"/>
      <c r="R1311" s="250"/>
      <c r="S1311" s="259"/>
      <c r="T1311" s="260"/>
      <c r="U1311" s="250"/>
      <c r="V1311" s="78">
        <f t="shared" si="201"/>
        <v>0</v>
      </c>
      <c r="W1311" s="261">
        <f t="shared" si="202"/>
        <v>0</v>
      </c>
      <c r="X1311" s="133">
        <f t="shared" si="203"/>
        <v>0</v>
      </c>
      <c r="Y1311" s="251"/>
      <c r="Z1311" s="1736"/>
      <c r="AA1311" s="1737"/>
      <c r="AB1311" s="77">
        <f t="shared" si="204"/>
        <v>0</v>
      </c>
      <c r="AC1311" s="134">
        <f t="shared" si="205"/>
        <v>0</v>
      </c>
      <c r="AD1311" s="251"/>
      <c r="AE1311" s="1736"/>
      <c r="AF1311" s="1737"/>
      <c r="AG1311" s="77">
        <f t="shared" si="206"/>
        <v>0</v>
      </c>
      <c r="AH1311" s="136">
        <f t="shared" si="207"/>
        <v>0</v>
      </c>
      <c r="AI1311" s="251"/>
      <c r="AJ1311" s="1736"/>
      <c r="AK1311" s="1737"/>
      <c r="AL1311" s="79">
        <f t="shared" si="208"/>
        <v>0</v>
      </c>
      <c r="AM1311" s="137">
        <f t="shared" si="209"/>
        <v>0</v>
      </c>
      <c r="AN1311" s="251"/>
      <c r="AO1311" s="1736"/>
      <c r="AP1311" s="1737"/>
    </row>
    <row r="1312" spans="1:42" s="85" customFormat="1" ht="13.5" thickBot="1">
      <c r="A1312" s="240"/>
      <c r="B1312" s="241"/>
      <c r="C1312" s="242"/>
      <c r="D1312" s="242"/>
      <c r="E1312" s="243"/>
      <c r="F1312" s="244"/>
      <c r="G1312" s="244"/>
      <c r="H1312" s="243"/>
      <c r="I1312" s="258"/>
      <c r="J1312" s="245"/>
      <c r="K1312" s="245"/>
      <c r="L1312" s="76">
        <f t="shared" si="200"/>
        <v>0</v>
      </c>
      <c r="M1312" s="246"/>
      <c r="N1312" s="247"/>
      <c r="O1312" s="248"/>
      <c r="P1312" s="246"/>
      <c r="Q1312" s="249"/>
      <c r="R1312" s="250"/>
      <c r="S1312" s="259"/>
      <c r="T1312" s="260"/>
      <c r="U1312" s="250"/>
      <c r="V1312" s="78">
        <f t="shared" si="201"/>
        <v>0</v>
      </c>
      <c r="W1312" s="261">
        <f t="shared" si="202"/>
        <v>0</v>
      </c>
      <c r="X1312" s="133">
        <f t="shared" si="203"/>
        <v>0</v>
      </c>
      <c r="Y1312" s="251"/>
      <c r="Z1312" s="1736"/>
      <c r="AA1312" s="1737"/>
      <c r="AB1312" s="77">
        <f t="shared" si="204"/>
        <v>0</v>
      </c>
      <c r="AC1312" s="134">
        <f t="shared" si="205"/>
        <v>0</v>
      </c>
      <c r="AD1312" s="251"/>
      <c r="AE1312" s="1736"/>
      <c r="AF1312" s="1737"/>
      <c r="AG1312" s="77">
        <f t="shared" si="206"/>
        <v>0</v>
      </c>
      <c r="AH1312" s="136">
        <f t="shared" si="207"/>
        <v>0</v>
      </c>
      <c r="AI1312" s="251"/>
      <c r="AJ1312" s="1736"/>
      <c r="AK1312" s="1737"/>
      <c r="AL1312" s="79">
        <f t="shared" si="208"/>
        <v>0</v>
      </c>
      <c r="AM1312" s="137">
        <f t="shared" si="209"/>
        <v>0</v>
      </c>
      <c r="AN1312" s="251"/>
      <c r="AO1312" s="1736"/>
      <c r="AP1312" s="1737"/>
    </row>
    <row r="1313" spans="1:42" s="85" customFormat="1" ht="13.5" thickBot="1">
      <c r="A1313" s="240"/>
      <c r="B1313" s="241"/>
      <c r="C1313" s="242"/>
      <c r="D1313" s="242"/>
      <c r="E1313" s="243"/>
      <c r="F1313" s="244"/>
      <c r="G1313" s="244"/>
      <c r="H1313" s="243"/>
      <c r="I1313" s="258"/>
      <c r="J1313" s="245"/>
      <c r="K1313" s="245"/>
      <c r="L1313" s="76">
        <f t="shared" si="200"/>
        <v>0</v>
      </c>
      <c r="M1313" s="246"/>
      <c r="N1313" s="247"/>
      <c r="O1313" s="248"/>
      <c r="P1313" s="246"/>
      <c r="Q1313" s="249"/>
      <c r="R1313" s="250"/>
      <c r="S1313" s="259"/>
      <c r="T1313" s="260"/>
      <c r="U1313" s="250"/>
      <c r="V1313" s="78">
        <f t="shared" si="201"/>
        <v>0</v>
      </c>
      <c r="W1313" s="261">
        <f t="shared" si="202"/>
        <v>0</v>
      </c>
      <c r="X1313" s="133">
        <f t="shared" si="203"/>
        <v>0</v>
      </c>
      <c r="Y1313" s="251"/>
      <c r="Z1313" s="1736"/>
      <c r="AA1313" s="1737"/>
      <c r="AB1313" s="77">
        <f t="shared" si="204"/>
        <v>0</v>
      </c>
      <c r="AC1313" s="134">
        <f t="shared" si="205"/>
        <v>0</v>
      </c>
      <c r="AD1313" s="251"/>
      <c r="AE1313" s="1736"/>
      <c r="AF1313" s="1737"/>
      <c r="AG1313" s="77">
        <f t="shared" si="206"/>
        <v>0</v>
      </c>
      <c r="AH1313" s="136">
        <f t="shared" si="207"/>
        <v>0</v>
      </c>
      <c r="AI1313" s="251"/>
      <c r="AJ1313" s="1736"/>
      <c r="AK1313" s="1737"/>
      <c r="AL1313" s="79">
        <f t="shared" si="208"/>
        <v>0</v>
      </c>
      <c r="AM1313" s="137">
        <f t="shared" si="209"/>
        <v>0</v>
      </c>
      <c r="AN1313" s="251"/>
      <c r="AO1313" s="1736"/>
      <c r="AP1313" s="1737"/>
    </row>
    <row r="1314" spans="1:42" s="85" customFormat="1" ht="13.5" thickBot="1">
      <c r="A1314" s="240"/>
      <c r="B1314" s="241"/>
      <c r="C1314" s="242"/>
      <c r="D1314" s="242"/>
      <c r="E1314" s="243"/>
      <c r="F1314" s="244"/>
      <c r="G1314" s="244"/>
      <c r="H1314" s="243"/>
      <c r="I1314" s="258"/>
      <c r="J1314" s="245"/>
      <c r="K1314" s="245"/>
      <c r="L1314" s="76">
        <f t="shared" si="200"/>
        <v>0</v>
      </c>
      <c r="M1314" s="246"/>
      <c r="N1314" s="247"/>
      <c r="O1314" s="248"/>
      <c r="P1314" s="246"/>
      <c r="Q1314" s="249"/>
      <c r="R1314" s="250"/>
      <c r="S1314" s="259"/>
      <c r="T1314" s="260"/>
      <c r="U1314" s="250"/>
      <c r="V1314" s="78">
        <f t="shared" si="201"/>
        <v>0</v>
      </c>
      <c r="W1314" s="261">
        <f t="shared" si="202"/>
        <v>0</v>
      </c>
      <c r="X1314" s="133">
        <f t="shared" si="203"/>
        <v>0</v>
      </c>
      <c r="Y1314" s="251"/>
      <c r="Z1314" s="1736"/>
      <c r="AA1314" s="1737"/>
      <c r="AB1314" s="77">
        <f t="shared" si="204"/>
        <v>0</v>
      </c>
      <c r="AC1314" s="134">
        <f t="shared" si="205"/>
        <v>0</v>
      </c>
      <c r="AD1314" s="251"/>
      <c r="AE1314" s="1736"/>
      <c r="AF1314" s="1737"/>
      <c r="AG1314" s="77">
        <f t="shared" si="206"/>
        <v>0</v>
      </c>
      <c r="AH1314" s="136">
        <f t="shared" si="207"/>
        <v>0</v>
      </c>
      <c r="AI1314" s="251"/>
      <c r="AJ1314" s="1736"/>
      <c r="AK1314" s="1737"/>
      <c r="AL1314" s="79">
        <f t="shared" si="208"/>
        <v>0</v>
      </c>
      <c r="AM1314" s="137">
        <f t="shared" si="209"/>
        <v>0</v>
      </c>
      <c r="AN1314" s="251"/>
      <c r="AO1314" s="1736"/>
      <c r="AP1314" s="1737"/>
    </row>
    <row r="1315" spans="1:42" s="85" customFormat="1" ht="13.5" thickBot="1">
      <c r="A1315" s="240"/>
      <c r="B1315" s="241"/>
      <c r="C1315" s="242"/>
      <c r="D1315" s="242"/>
      <c r="E1315" s="243"/>
      <c r="F1315" s="244"/>
      <c r="G1315" s="244"/>
      <c r="H1315" s="243"/>
      <c r="I1315" s="258"/>
      <c r="J1315" s="245"/>
      <c r="K1315" s="245"/>
      <c r="L1315" s="76">
        <f t="shared" si="200"/>
        <v>0</v>
      </c>
      <c r="M1315" s="246"/>
      <c r="N1315" s="247"/>
      <c r="O1315" s="248"/>
      <c r="P1315" s="246"/>
      <c r="Q1315" s="249"/>
      <c r="R1315" s="250"/>
      <c r="S1315" s="259"/>
      <c r="T1315" s="260"/>
      <c r="U1315" s="250"/>
      <c r="V1315" s="78">
        <f t="shared" si="201"/>
        <v>0</v>
      </c>
      <c r="W1315" s="261">
        <f t="shared" si="202"/>
        <v>0</v>
      </c>
      <c r="X1315" s="133">
        <f t="shared" si="203"/>
        <v>0</v>
      </c>
      <c r="Y1315" s="251"/>
      <c r="Z1315" s="1736"/>
      <c r="AA1315" s="1737"/>
      <c r="AB1315" s="77">
        <f t="shared" si="204"/>
        <v>0</v>
      </c>
      <c r="AC1315" s="134">
        <f t="shared" si="205"/>
        <v>0</v>
      </c>
      <c r="AD1315" s="251"/>
      <c r="AE1315" s="1736"/>
      <c r="AF1315" s="1737"/>
      <c r="AG1315" s="77">
        <f t="shared" si="206"/>
        <v>0</v>
      </c>
      <c r="AH1315" s="136">
        <f t="shared" si="207"/>
        <v>0</v>
      </c>
      <c r="AI1315" s="251"/>
      <c r="AJ1315" s="1736"/>
      <c r="AK1315" s="1737"/>
      <c r="AL1315" s="79">
        <f t="shared" si="208"/>
        <v>0</v>
      </c>
      <c r="AM1315" s="137">
        <f t="shared" si="209"/>
        <v>0</v>
      </c>
      <c r="AN1315" s="251"/>
      <c r="AO1315" s="1736"/>
      <c r="AP1315" s="1737"/>
    </row>
    <row r="1316" spans="1:42" s="85" customFormat="1" ht="13.5" thickBot="1">
      <c r="A1316" s="240"/>
      <c r="B1316" s="241"/>
      <c r="C1316" s="242"/>
      <c r="D1316" s="242"/>
      <c r="E1316" s="243"/>
      <c r="F1316" s="244"/>
      <c r="G1316" s="244"/>
      <c r="H1316" s="243"/>
      <c r="I1316" s="258"/>
      <c r="J1316" s="245"/>
      <c r="K1316" s="245"/>
      <c r="L1316" s="76">
        <f t="shared" si="200"/>
        <v>0</v>
      </c>
      <c r="M1316" s="246"/>
      <c r="N1316" s="247"/>
      <c r="O1316" s="248"/>
      <c r="P1316" s="246"/>
      <c r="Q1316" s="249"/>
      <c r="R1316" s="250"/>
      <c r="S1316" s="259"/>
      <c r="T1316" s="260"/>
      <c r="U1316" s="250"/>
      <c r="V1316" s="78">
        <f t="shared" si="201"/>
        <v>0</v>
      </c>
      <c r="W1316" s="261">
        <f t="shared" si="202"/>
        <v>0</v>
      </c>
      <c r="X1316" s="133">
        <f t="shared" si="203"/>
        <v>0</v>
      </c>
      <c r="Y1316" s="251"/>
      <c r="Z1316" s="1736"/>
      <c r="AA1316" s="1737"/>
      <c r="AB1316" s="77">
        <f t="shared" si="204"/>
        <v>0</v>
      </c>
      <c r="AC1316" s="134">
        <f t="shared" si="205"/>
        <v>0</v>
      </c>
      <c r="AD1316" s="251"/>
      <c r="AE1316" s="1736"/>
      <c r="AF1316" s="1737"/>
      <c r="AG1316" s="77">
        <f t="shared" si="206"/>
        <v>0</v>
      </c>
      <c r="AH1316" s="136">
        <f t="shared" si="207"/>
        <v>0</v>
      </c>
      <c r="AI1316" s="251"/>
      <c r="AJ1316" s="1736"/>
      <c r="AK1316" s="1737"/>
      <c r="AL1316" s="79">
        <f t="shared" si="208"/>
        <v>0</v>
      </c>
      <c r="AM1316" s="137">
        <f t="shared" si="209"/>
        <v>0</v>
      </c>
      <c r="AN1316" s="251"/>
      <c r="AO1316" s="1736"/>
      <c r="AP1316" s="1737"/>
    </row>
    <row r="1317" spans="1:42" s="85" customFormat="1" ht="13.5" thickBot="1">
      <c r="A1317" s="240"/>
      <c r="B1317" s="241"/>
      <c r="C1317" s="242"/>
      <c r="D1317" s="242"/>
      <c r="E1317" s="243"/>
      <c r="F1317" s="244"/>
      <c r="G1317" s="244"/>
      <c r="H1317" s="243"/>
      <c r="I1317" s="258"/>
      <c r="J1317" s="245"/>
      <c r="K1317" s="245"/>
      <c r="L1317" s="76">
        <f t="shared" si="200"/>
        <v>0</v>
      </c>
      <c r="M1317" s="246"/>
      <c r="N1317" s="247"/>
      <c r="O1317" s="248"/>
      <c r="P1317" s="246"/>
      <c r="Q1317" s="249"/>
      <c r="R1317" s="250"/>
      <c r="S1317" s="259"/>
      <c r="T1317" s="260"/>
      <c r="U1317" s="250"/>
      <c r="V1317" s="78">
        <f t="shared" si="201"/>
        <v>0</v>
      </c>
      <c r="W1317" s="261">
        <f t="shared" si="202"/>
        <v>0</v>
      </c>
      <c r="X1317" s="133">
        <f t="shared" si="203"/>
        <v>0</v>
      </c>
      <c r="Y1317" s="251"/>
      <c r="Z1317" s="1736"/>
      <c r="AA1317" s="1737"/>
      <c r="AB1317" s="77">
        <f t="shared" si="204"/>
        <v>0</v>
      </c>
      <c r="AC1317" s="134">
        <f t="shared" si="205"/>
        <v>0</v>
      </c>
      <c r="AD1317" s="251"/>
      <c r="AE1317" s="1736"/>
      <c r="AF1317" s="1737"/>
      <c r="AG1317" s="77">
        <f t="shared" si="206"/>
        <v>0</v>
      </c>
      <c r="AH1317" s="136">
        <f t="shared" si="207"/>
        <v>0</v>
      </c>
      <c r="AI1317" s="251"/>
      <c r="AJ1317" s="1736"/>
      <c r="AK1317" s="1737"/>
      <c r="AL1317" s="79">
        <f t="shared" si="208"/>
        <v>0</v>
      </c>
      <c r="AM1317" s="137">
        <f t="shared" si="209"/>
        <v>0</v>
      </c>
      <c r="AN1317" s="251"/>
      <c r="AO1317" s="1736"/>
      <c r="AP1317" s="1737"/>
    </row>
    <row r="1318" spans="1:42" s="85" customFormat="1" ht="13.5" thickBot="1">
      <c r="A1318" s="240"/>
      <c r="B1318" s="241"/>
      <c r="C1318" s="242"/>
      <c r="D1318" s="242"/>
      <c r="E1318" s="243"/>
      <c r="F1318" s="244"/>
      <c r="G1318" s="244"/>
      <c r="H1318" s="243"/>
      <c r="I1318" s="258"/>
      <c r="J1318" s="245"/>
      <c r="K1318" s="245"/>
      <c r="L1318" s="76">
        <f t="shared" si="200"/>
        <v>0</v>
      </c>
      <c r="M1318" s="246"/>
      <c r="N1318" s="247"/>
      <c r="O1318" s="248"/>
      <c r="P1318" s="246"/>
      <c r="Q1318" s="249"/>
      <c r="R1318" s="250"/>
      <c r="S1318" s="259"/>
      <c r="T1318" s="260"/>
      <c r="U1318" s="250"/>
      <c r="V1318" s="78">
        <f t="shared" si="201"/>
        <v>0</v>
      </c>
      <c r="W1318" s="261">
        <f t="shared" si="202"/>
        <v>0</v>
      </c>
      <c r="X1318" s="133">
        <f t="shared" si="203"/>
        <v>0</v>
      </c>
      <c r="Y1318" s="251"/>
      <c r="Z1318" s="1736"/>
      <c r="AA1318" s="1737"/>
      <c r="AB1318" s="77">
        <f t="shared" si="204"/>
        <v>0</v>
      </c>
      <c r="AC1318" s="134">
        <f t="shared" si="205"/>
        <v>0</v>
      </c>
      <c r="AD1318" s="251"/>
      <c r="AE1318" s="1736"/>
      <c r="AF1318" s="1737"/>
      <c r="AG1318" s="77">
        <f t="shared" si="206"/>
        <v>0</v>
      </c>
      <c r="AH1318" s="136">
        <f t="shared" si="207"/>
        <v>0</v>
      </c>
      <c r="AI1318" s="251"/>
      <c r="AJ1318" s="1736"/>
      <c r="AK1318" s="1737"/>
      <c r="AL1318" s="79">
        <f t="shared" si="208"/>
        <v>0</v>
      </c>
      <c r="AM1318" s="137">
        <f t="shared" si="209"/>
        <v>0</v>
      </c>
      <c r="AN1318" s="251"/>
      <c r="AO1318" s="1736"/>
      <c r="AP1318" s="1737"/>
    </row>
    <row r="1319" spans="1:42" s="85" customFormat="1" ht="13.5" thickBot="1">
      <c r="A1319" s="240"/>
      <c r="B1319" s="241"/>
      <c r="C1319" s="242"/>
      <c r="D1319" s="242"/>
      <c r="E1319" s="243"/>
      <c r="F1319" s="244"/>
      <c r="G1319" s="244"/>
      <c r="H1319" s="243"/>
      <c r="I1319" s="258"/>
      <c r="J1319" s="245"/>
      <c r="K1319" s="245"/>
      <c r="L1319" s="76">
        <f t="shared" si="200"/>
        <v>0</v>
      </c>
      <c r="M1319" s="246"/>
      <c r="N1319" s="247"/>
      <c r="O1319" s="248"/>
      <c r="P1319" s="246"/>
      <c r="Q1319" s="249"/>
      <c r="R1319" s="250"/>
      <c r="S1319" s="259"/>
      <c r="T1319" s="260"/>
      <c r="U1319" s="250"/>
      <c r="V1319" s="78">
        <f t="shared" si="201"/>
        <v>0</v>
      </c>
      <c r="W1319" s="261">
        <f t="shared" si="202"/>
        <v>0</v>
      </c>
      <c r="X1319" s="133">
        <f t="shared" si="203"/>
        <v>0</v>
      </c>
      <c r="Y1319" s="251"/>
      <c r="Z1319" s="1736"/>
      <c r="AA1319" s="1737"/>
      <c r="AB1319" s="77">
        <f t="shared" si="204"/>
        <v>0</v>
      </c>
      <c r="AC1319" s="134">
        <f t="shared" si="205"/>
        <v>0</v>
      </c>
      <c r="AD1319" s="251"/>
      <c r="AE1319" s="1736"/>
      <c r="AF1319" s="1737"/>
      <c r="AG1319" s="77">
        <f t="shared" si="206"/>
        <v>0</v>
      </c>
      <c r="AH1319" s="136">
        <f t="shared" si="207"/>
        <v>0</v>
      </c>
      <c r="AI1319" s="251"/>
      <c r="AJ1319" s="1736"/>
      <c r="AK1319" s="1737"/>
      <c r="AL1319" s="79">
        <f t="shared" si="208"/>
        <v>0</v>
      </c>
      <c r="AM1319" s="137">
        <f t="shared" si="209"/>
        <v>0</v>
      </c>
      <c r="AN1319" s="251"/>
      <c r="AO1319" s="1736"/>
      <c r="AP1319" s="1737"/>
    </row>
    <row r="1320" spans="1:42" s="85" customFormat="1" ht="13.5" thickBot="1">
      <c r="A1320" s="240"/>
      <c r="B1320" s="241"/>
      <c r="C1320" s="242"/>
      <c r="D1320" s="242"/>
      <c r="E1320" s="243"/>
      <c r="F1320" s="244"/>
      <c r="G1320" s="244"/>
      <c r="H1320" s="243"/>
      <c r="I1320" s="258"/>
      <c r="J1320" s="245"/>
      <c r="K1320" s="245"/>
      <c r="L1320" s="76">
        <f t="shared" si="200"/>
        <v>0</v>
      </c>
      <c r="M1320" s="246"/>
      <c r="N1320" s="247"/>
      <c r="O1320" s="248"/>
      <c r="P1320" s="246"/>
      <c r="Q1320" s="249"/>
      <c r="R1320" s="250"/>
      <c r="S1320" s="259"/>
      <c r="T1320" s="260"/>
      <c r="U1320" s="250"/>
      <c r="V1320" s="78">
        <f t="shared" si="201"/>
        <v>0</v>
      </c>
      <c r="W1320" s="261">
        <f t="shared" si="202"/>
        <v>0</v>
      </c>
      <c r="X1320" s="133">
        <f t="shared" si="203"/>
        <v>0</v>
      </c>
      <c r="Y1320" s="251"/>
      <c r="Z1320" s="1736"/>
      <c r="AA1320" s="1737"/>
      <c r="AB1320" s="77">
        <f t="shared" si="204"/>
        <v>0</v>
      </c>
      <c r="AC1320" s="134">
        <f t="shared" si="205"/>
        <v>0</v>
      </c>
      <c r="AD1320" s="251"/>
      <c r="AE1320" s="1736"/>
      <c r="AF1320" s="1737"/>
      <c r="AG1320" s="77">
        <f t="shared" si="206"/>
        <v>0</v>
      </c>
      <c r="AH1320" s="136">
        <f t="shared" si="207"/>
        <v>0</v>
      </c>
      <c r="AI1320" s="251"/>
      <c r="AJ1320" s="1736"/>
      <c r="AK1320" s="1737"/>
      <c r="AL1320" s="79">
        <f t="shared" si="208"/>
        <v>0</v>
      </c>
      <c r="AM1320" s="137">
        <f t="shared" si="209"/>
        <v>0</v>
      </c>
      <c r="AN1320" s="251"/>
      <c r="AO1320" s="1736"/>
      <c r="AP1320" s="1737"/>
    </row>
    <row r="1321" spans="1:42" s="85" customFormat="1" ht="13.5" thickBot="1">
      <c r="A1321" s="240"/>
      <c r="B1321" s="241"/>
      <c r="C1321" s="242"/>
      <c r="D1321" s="242"/>
      <c r="E1321" s="243"/>
      <c r="F1321" s="244"/>
      <c r="G1321" s="244"/>
      <c r="H1321" s="243"/>
      <c r="I1321" s="258"/>
      <c r="J1321" s="245"/>
      <c r="K1321" s="245"/>
      <c r="L1321" s="76">
        <f t="shared" si="200"/>
        <v>0</v>
      </c>
      <c r="M1321" s="246"/>
      <c r="N1321" s="247"/>
      <c r="O1321" s="248"/>
      <c r="P1321" s="246"/>
      <c r="Q1321" s="249"/>
      <c r="R1321" s="250"/>
      <c r="S1321" s="259"/>
      <c r="T1321" s="260"/>
      <c r="U1321" s="250"/>
      <c r="V1321" s="78">
        <f t="shared" si="201"/>
        <v>0</v>
      </c>
      <c r="W1321" s="261">
        <f t="shared" si="202"/>
        <v>0</v>
      </c>
      <c r="X1321" s="133">
        <f t="shared" si="203"/>
        <v>0</v>
      </c>
      <c r="Y1321" s="251"/>
      <c r="Z1321" s="1736"/>
      <c r="AA1321" s="1737"/>
      <c r="AB1321" s="77">
        <f t="shared" si="204"/>
        <v>0</v>
      </c>
      <c r="AC1321" s="134">
        <f t="shared" si="205"/>
        <v>0</v>
      </c>
      <c r="AD1321" s="251"/>
      <c r="AE1321" s="1736"/>
      <c r="AF1321" s="1737"/>
      <c r="AG1321" s="77">
        <f t="shared" si="206"/>
        <v>0</v>
      </c>
      <c r="AH1321" s="136">
        <f t="shared" si="207"/>
        <v>0</v>
      </c>
      <c r="AI1321" s="251"/>
      <c r="AJ1321" s="1736"/>
      <c r="AK1321" s="1737"/>
      <c r="AL1321" s="79">
        <f t="shared" si="208"/>
        <v>0</v>
      </c>
      <c r="AM1321" s="137">
        <f t="shared" si="209"/>
        <v>0</v>
      </c>
      <c r="AN1321" s="251"/>
      <c r="AO1321" s="1736"/>
      <c r="AP1321" s="1737"/>
    </row>
    <row r="1322" spans="1:42" s="85" customFormat="1" ht="13.5" thickBot="1">
      <c r="A1322" s="240"/>
      <c r="B1322" s="241"/>
      <c r="C1322" s="242"/>
      <c r="D1322" s="242"/>
      <c r="E1322" s="243"/>
      <c r="F1322" s="244"/>
      <c r="G1322" s="244"/>
      <c r="H1322" s="243"/>
      <c r="I1322" s="258"/>
      <c r="J1322" s="245"/>
      <c r="K1322" s="245"/>
      <c r="L1322" s="76">
        <f t="shared" si="200"/>
        <v>0</v>
      </c>
      <c r="M1322" s="246"/>
      <c r="N1322" s="247"/>
      <c r="O1322" s="248"/>
      <c r="P1322" s="246"/>
      <c r="Q1322" s="249"/>
      <c r="R1322" s="250"/>
      <c r="S1322" s="259"/>
      <c r="T1322" s="260"/>
      <c r="U1322" s="250"/>
      <c r="V1322" s="78">
        <f t="shared" si="201"/>
        <v>0</v>
      </c>
      <c r="W1322" s="261">
        <f t="shared" si="202"/>
        <v>0</v>
      </c>
      <c r="X1322" s="133">
        <f t="shared" si="203"/>
        <v>0</v>
      </c>
      <c r="Y1322" s="251"/>
      <c r="Z1322" s="1736"/>
      <c r="AA1322" s="1737"/>
      <c r="AB1322" s="77">
        <f t="shared" si="204"/>
        <v>0</v>
      </c>
      <c r="AC1322" s="134">
        <f t="shared" si="205"/>
        <v>0</v>
      </c>
      <c r="AD1322" s="251"/>
      <c r="AE1322" s="1736"/>
      <c r="AF1322" s="1737"/>
      <c r="AG1322" s="77">
        <f t="shared" si="206"/>
        <v>0</v>
      </c>
      <c r="AH1322" s="136">
        <f t="shared" si="207"/>
        <v>0</v>
      </c>
      <c r="AI1322" s="251"/>
      <c r="AJ1322" s="1736"/>
      <c r="AK1322" s="1737"/>
      <c r="AL1322" s="79">
        <f t="shared" si="208"/>
        <v>0</v>
      </c>
      <c r="AM1322" s="137">
        <f t="shared" si="209"/>
        <v>0</v>
      </c>
      <c r="AN1322" s="251"/>
      <c r="AO1322" s="1736"/>
      <c r="AP1322" s="1737"/>
    </row>
    <row r="1323" spans="1:42" s="85" customFormat="1" ht="13.5" thickBot="1">
      <c r="A1323" s="240"/>
      <c r="B1323" s="241"/>
      <c r="C1323" s="242"/>
      <c r="D1323" s="242"/>
      <c r="E1323" s="243"/>
      <c r="F1323" s="244"/>
      <c r="G1323" s="244"/>
      <c r="H1323" s="243"/>
      <c r="I1323" s="258"/>
      <c r="J1323" s="245"/>
      <c r="K1323" s="245"/>
      <c r="L1323" s="76">
        <f t="shared" si="200"/>
        <v>0</v>
      </c>
      <c r="M1323" s="246"/>
      <c r="N1323" s="247"/>
      <c r="O1323" s="248"/>
      <c r="P1323" s="246"/>
      <c r="Q1323" s="249"/>
      <c r="R1323" s="250"/>
      <c r="S1323" s="259"/>
      <c r="T1323" s="260"/>
      <c r="U1323" s="250"/>
      <c r="V1323" s="78">
        <f t="shared" si="201"/>
        <v>0</v>
      </c>
      <c r="W1323" s="261">
        <f t="shared" si="202"/>
        <v>0</v>
      </c>
      <c r="X1323" s="133">
        <f t="shared" si="203"/>
        <v>0</v>
      </c>
      <c r="Y1323" s="251"/>
      <c r="Z1323" s="1736"/>
      <c r="AA1323" s="1737"/>
      <c r="AB1323" s="77">
        <f t="shared" si="204"/>
        <v>0</v>
      </c>
      <c r="AC1323" s="134">
        <f t="shared" si="205"/>
        <v>0</v>
      </c>
      <c r="AD1323" s="251"/>
      <c r="AE1323" s="1736"/>
      <c r="AF1323" s="1737"/>
      <c r="AG1323" s="77">
        <f t="shared" si="206"/>
        <v>0</v>
      </c>
      <c r="AH1323" s="136">
        <f t="shared" si="207"/>
        <v>0</v>
      </c>
      <c r="AI1323" s="251"/>
      <c r="AJ1323" s="1736"/>
      <c r="AK1323" s="1737"/>
      <c r="AL1323" s="79">
        <f t="shared" si="208"/>
        <v>0</v>
      </c>
      <c r="AM1323" s="137">
        <f t="shared" si="209"/>
        <v>0</v>
      </c>
      <c r="AN1323" s="251"/>
      <c r="AO1323" s="1736"/>
      <c r="AP1323" s="1737"/>
    </row>
    <row r="1324" spans="1:42" s="85" customFormat="1" ht="13.5" thickBot="1">
      <c r="A1324" s="240"/>
      <c r="B1324" s="241"/>
      <c r="C1324" s="242"/>
      <c r="D1324" s="242"/>
      <c r="E1324" s="243"/>
      <c r="F1324" s="244"/>
      <c r="G1324" s="244"/>
      <c r="H1324" s="243"/>
      <c r="I1324" s="258"/>
      <c r="J1324" s="245"/>
      <c r="K1324" s="245"/>
      <c r="L1324" s="76">
        <f t="shared" si="200"/>
        <v>0</v>
      </c>
      <c r="M1324" s="246"/>
      <c r="N1324" s="247"/>
      <c r="O1324" s="248"/>
      <c r="P1324" s="246"/>
      <c r="Q1324" s="249"/>
      <c r="R1324" s="250"/>
      <c r="S1324" s="259"/>
      <c r="T1324" s="260"/>
      <c r="U1324" s="250"/>
      <c r="V1324" s="78">
        <f t="shared" si="201"/>
        <v>0</v>
      </c>
      <c r="W1324" s="261">
        <f t="shared" si="202"/>
        <v>0</v>
      </c>
      <c r="X1324" s="133">
        <f t="shared" si="203"/>
        <v>0</v>
      </c>
      <c r="Y1324" s="251"/>
      <c r="Z1324" s="1736"/>
      <c r="AA1324" s="1737"/>
      <c r="AB1324" s="77">
        <f t="shared" si="204"/>
        <v>0</v>
      </c>
      <c r="AC1324" s="134">
        <f t="shared" si="205"/>
        <v>0</v>
      </c>
      <c r="AD1324" s="251"/>
      <c r="AE1324" s="1736"/>
      <c r="AF1324" s="1737"/>
      <c r="AG1324" s="77">
        <f t="shared" si="206"/>
        <v>0</v>
      </c>
      <c r="AH1324" s="136">
        <f t="shared" si="207"/>
        <v>0</v>
      </c>
      <c r="AI1324" s="251"/>
      <c r="AJ1324" s="1736"/>
      <c r="AK1324" s="1737"/>
      <c r="AL1324" s="79">
        <f t="shared" si="208"/>
        <v>0</v>
      </c>
      <c r="AM1324" s="137">
        <f t="shared" si="209"/>
        <v>0</v>
      </c>
      <c r="AN1324" s="251"/>
      <c r="AO1324" s="1736"/>
      <c r="AP1324" s="1737"/>
    </row>
    <row r="1325" spans="1:42" s="85" customFormat="1" ht="13.5" thickBot="1">
      <c r="A1325" s="240"/>
      <c r="B1325" s="241"/>
      <c r="C1325" s="242"/>
      <c r="D1325" s="242"/>
      <c r="E1325" s="243"/>
      <c r="F1325" s="244"/>
      <c r="G1325" s="244"/>
      <c r="H1325" s="243"/>
      <c r="I1325" s="258"/>
      <c r="J1325" s="245"/>
      <c r="K1325" s="245"/>
      <c r="L1325" s="76">
        <f t="shared" si="200"/>
        <v>0</v>
      </c>
      <c r="M1325" s="246"/>
      <c r="N1325" s="247"/>
      <c r="O1325" s="248"/>
      <c r="P1325" s="246"/>
      <c r="Q1325" s="249"/>
      <c r="R1325" s="250"/>
      <c r="S1325" s="259"/>
      <c r="T1325" s="260"/>
      <c r="U1325" s="250"/>
      <c r="V1325" s="78">
        <f t="shared" si="201"/>
        <v>0</v>
      </c>
      <c r="W1325" s="261">
        <f t="shared" si="202"/>
        <v>0</v>
      </c>
      <c r="X1325" s="133">
        <f t="shared" si="203"/>
        <v>0</v>
      </c>
      <c r="Y1325" s="251"/>
      <c r="Z1325" s="1736"/>
      <c r="AA1325" s="1737"/>
      <c r="AB1325" s="77">
        <f t="shared" si="204"/>
        <v>0</v>
      </c>
      <c r="AC1325" s="134">
        <f t="shared" si="205"/>
        <v>0</v>
      </c>
      <c r="AD1325" s="251"/>
      <c r="AE1325" s="1736"/>
      <c r="AF1325" s="1737"/>
      <c r="AG1325" s="77">
        <f t="shared" si="206"/>
        <v>0</v>
      </c>
      <c r="AH1325" s="136">
        <f t="shared" si="207"/>
        <v>0</v>
      </c>
      <c r="AI1325" s="251"/>
      <c r="AJ1325" s="1736"/>
      <c r="AK1325" s="1737"/>
      <c r="AL1325" s="79">
        <f t="shared" si="208"/>
        <v>0</v>
      </c>
      <c r="AM1325" s="137">
        <f t="shared" si="209"/>
        <v>0</v>
      </c>
      <c r="AN1325" s="251"/>
      <c r="AO1325" s="1736"/>
      <c r="AP1325" s="1737"/>
    </row>
    <row r="1326" spans="1:42" s="85" customFormat="1" ht="13.5" thickBot="1">
      <c r="A1326" s="240"/>
      <c r="B1326" s="241"/>
      <c r="C1326" s="242"/>
      <c r="D1326" s="242"/>
      <c r="E1326" s="243"/>
      <c r="F1326" s="244"/>
      <c r="G1326" s="244"/>
      <c r="H1326" s="243"/>
      <c r="I1326" s="258"/>
      <c r="J1326" s="245"/>
      <c r="K1326" s="245"/>
      <c r="L1326" s="76">
        <f t="shared" si="200"/>
        <v>0</v>
      </c>
      <c r="M1326" s="246"/>
      <c r="N1326" s="247"/>
      <c r="O1326" s="248"/>
      <c r="P1326" s="246"/>
      <c r="Q1326" s="249"/>
      <c r="R1326" s="250"/>
      <c r="S1326" s="259"/>
      <c r="T1326" s="260"/>
      <c r="U1326" s="250"/>
      <c r="V1326" s="78">
        <f t="shared" si="201"/>
        <v>0</v>
      </c>
      <c r="W1326" s="261">
        <f t="shared" si="202"/>
        <v>0</v>
      </c>
      <c r="X1326" s="133">
        <f t="shared" si="203"/>
        <v>0</v>
      </c>
      <c r="Y1326" s="251"/>
      <c r="Z1326" s="1736"/>
      <c r="AA1326" s="1737"/>
      <c r="AB1326" s="77">
        <f t="shared" si="204"/>
        <v>0</v>
      </c>
      <c r="AC1326" s="134">
        <f t="shared" si="205"/>
        <v>0</v>
      </c>
      <c r="AD1326" s="251"/>
      <c r="AE1326" s="1736"/>
      <c r="AF1326" s="1737"/>
      <c r="AG1326" s="77">
        <f t="shared" si="206"/>
        <v>0</v>
      </c>
      <c r="AH1326" s="136">
        <f t="shared" si="207"/>
        <v>0</v>
      </c>
      <c r="AI1326" s="251"/>
      <c r="AJ1326" s="1736"/>
      <c r="AK1326" s="1737"/>
      <c r="AL1326" s="79">
        <f t="shared" si="208"/>
        <v>0</v>
      </c>
      <c r="AM1326" s="137">
        <f t="shared" si="209"/>
        <v>0</v>
      </c>
      <c r="AN1326" s="251"/>
      <c r="AO1326" s="1736"/>
      <c r="AP1326" s="1737"/>
    </row>
    <row r="1327" spans="1:42" s="85" customFormat="1" ht="13.5" thickBot="1">
      <c r="A1327" s="240"/>
      <c r="B1327" s="241"/>
      <c r="C1327" s="242"/>
      <c r="D1327" s="242"/>
      <c r="E1327" s="243"/>
      <c r="F1327" s="244"/>
      <c r="G1327" s="244"/>
      <c r="H1327" s="243"/>
      <c r="I1327" s="258"/>
      <c r="J1327" s="245"/>
      <c r="K1327" s="245"/>
      <c r="L1327" s="76">
        <f t="shared" si="200"/>
        <v>0</v>
      </c>
      <c r="M1327" s="246"/>
      <c r="N1327" s="247"/>
      <c r="O1327" s="248"/>
      <c r="P1327" s="246"/>
      <c r="Q1327" s="249"/>
      <c r="R1327" s="250"/>
      <c r="S1327" s="259"/>
      <c r="T1327" s="260"/>
      <c r="U1327" s="250"/>
      <c r="V1327" s="78">
        <f t="shared" si="201"/>
        <v>0</v>
      </c>
      <c r="W1327" s="261">
        <f t="shared" si="202"/>
        <v>0</v>
      </c>
      <c r="X1327" s="133">
        <f t="shared" si="203"/>
        <v>0</v>
      </c>
      <c r="Y1327" s="251"/>
      <c r="Z1327" s="1736"/>
      <c r="AA1327" s="1737"/>
      <c r="AB1327" s="77">
        <f t="shared" si="204"/>
        <v>0</v>
      </c>
      <c r="AC1327" s="134">
        <f t="shared" si="205"/>
        <v>0</v>
      </c>
      <c r="AD1327" s="251"/>
      <c r="AE1327" s="1736"/>
      <c r="AF1327" s="1737"/>
      <c r="AG1327" s="77">
        <f t="shared" si="206"/>
        <v>0</v>
      </c>
      <c r="AH1327" s="136">
        <f t="shared" si="207"/>
        <v>0</v>
      </c>
      <c r="AI1327" s="251"/>
      <c r="AJ1327" s="1736"/>
      <c r="AK1327" s="1737"/>
      <c r="AL1327" s="79">
        <f t="shared" si="208"/>
        <v>0</v>
      </c>
      <c r="AM1327" s="137">
        <f t="shared" si="209"/>
        <v>0</v>
      </c>
      <c r="AN1327" s="251"/>
      <c r="AO1327" s="1736"/>
      <c r="AP1327" s="1737"/>
    </row>
    <row r="1328" spans="1:42" s="85" customFormat="1" ht="13.5" thickBot="1">
      <c r="A1328" s="240"/>
      <c r="B1328" s="241"/>
      <c r="C1328" s="242"/>
      <c r="D1328" s="242"/>
      <c r="E1328" s="243"/>
      <c r="F1328" s="244"/>
      <c r="G1328" s="244"/>
      <c r="H1328" s="243"/>
      <c r="I1328" s="258"/>
      <c r="J1328" s="245"/>
      <c r="K1328" s="245"/>
      <c r="L1328" s="76">
        <f t="shared" si="200"/>
        <v>0</v>
      </c>
      <c r="M1328" s="246"/>
      <c r="N1328" s="247"/>
      <c r="O1328" s="248"/>
      <c r="P1328" s="246"/>
      <c r="Q1328" s="249"/>
      <c r="R1328" s="250"/>
      <c r="S1328" s="259"/>
      <c r="T1328" s="260"/>
      <c r="U1328" s="250"/>
      <c r="V1328" s="78">
        <f t="shared" si="201"/>
        <v>0</v>
      </c>
      <c r="W1328" s="261">
        <f t="shared" si="202"/>
        <v>0</v>
      </c>
      <c r="X1328" s="133">
        <f t="shared" si="203"/>
        <v>0</v>
      </c>
      <c r="Y1328" s="251"/>
      <c r="Z1328" s="1736"/>
      <c r="AA1328" s="1737"/>
      <c r="AB1328" s="77">
        <f t="shared" si="204"/>
        <v>0</v>
      </c>
      <c r="AC1328" s="134">
        <f t="shared" si="205"/>
        <v>0</v>
      </c>
      <c r="AD1328" s="251"/>
      <c r="AE1328" s="1736"/>
      <c r="AF1328" s="1737"/>
      <c r="AG1328" s="77">
        <f t="shared" si="206"/>
        <v>0</v>
      </c>
      <c r="AH1328" s="136">
        <f t="shared" si="207"/>
        <v>0</v>
      </c>
      <c r="AI1328" s="251"/>
      <c r="AJ1328" s="1736"/>
      <c r="AK1328" s="1737"/>
      <c r="AL1328" s="79">
        <f t="shared" si="208"/>
        <v>0</v>
      </c>
      <c r="AM1328" s="137">
        <f t="shared" si="209"/>
        <v>0</v>
      </c>
      <c r="AN1328" s="251"/>
      <c r="AO1328" s="1736"/>
      <c r="AP1328" s="1737"/>
    </row>
    <row r="1329" spans="1:42" s="85" customFormat="1" ht="13.5" thickBot="1">
      <c r="A1329" s="240"/>
      <c r="B1329" s="241"/>
      <c r="C1329" s="242"/>
      <c r="D1329" s="242"/>
      <c r="E1329" s="243"/>
      <c r="F1329" s="244"/>
      <c r="G1329" s="244"/>
      <c r="H1329" s="243"/>
      <c r="I1329" s="258"/>
      <c r="J1329" s="245"/>
      <c r="K1329" s="245"/>
      <c r="L1329" s="76">
        <f t="shared" si="200"/>
        <v>0</v>
      </c>
      <c r="M1329" s="246"/>
      <c r="N1329" s="247"/>
      <c r="O1329" s="248"/>
      <c r="P1329" s="246"/>
      <c r="Q1329" s="249"/>
      <c r="R1329" s="250"/>
      <c r="S1329" s="259"/>
      <c r="T1329" s="260"/>
      <c r="U1329" s="250"/>
      <c r="V1329" s="78">
        <f t="shared" si="201"/>
        <v>0</v>
      </c>
      <c r="W1329" s="261">
        <f t="shared" si="202"/>
        <v>0</v>
      </c>
      <c r="X1329" s="133">
        <f t="shared" si="203"/>
        <v>0</v>
      </c>
      <c r="Y1329" s="251"/>
      <c r="Z1329" s="1736"/>
      <c r="AA1329" s="1737"/>
      <c r="AB1329" s="77">
        <f t="shared" si="204"/>
        <v>0</v>
      </c>
      <c r="AC1329" s="134">
        <f t="shared" si="205"/>
        <v>0</v>
      </c>
      <c r="AD1329" s="251"/>
      <c r="AE1329" s="1736"/>
      <c r="AF1329" s="1737"/>
      <c r="AG1329" s="77">
        <f t="shared" si="206"/>
        <v>0</v>
      </c>
      <c r="AH1329" s="136">
        <f t="shared" si="207"/>
        <v>0</v>
      </c>
      <c r="AI1329" s="251"/>
      <c r="AJ1329" s="1736"/>
      <c r="AK1329" s="1737"/>
      <c r="AL1329" s="79">
        <f t="shared" si="208"/>
        <v>0</v>
      </c>
      <c r="AM1329" s="137">
        <f t="shared" si="209"/>
        <v>0</v>
      </c>
      <c r="AN1329" s="251"/>
      <c r="AO1329" s="1736"/>
      <c r="AP1329" s="1737"/>
    </row>
    <row r="1330" spans="1:42" s="85" customFormat="1" ht="13.5" thickBot="1">
      <c r="A1330" s="240"/>
      <c r="B1330" s="241"/>
      <c r="C1330" s="242"/>
      <c r="D1330" s="242"/>
      <c r="E1330" s="243"/>
      <c r="F1330" s="244"/>
      <c r="G1330" s="244"/>
      <c r="H1330" s="243"/>
      <c r="I1330" s="258"/>
      <c r="J1330" s="245"/>
      <c r="K1330" s="245"/>
      <c r="L1330" s="76">
        <f t="shared" si="200"/>
        <v>0</v>
      </c>
      <c r="M1330" s="246"/>
      <c r="N1330" s="247"/>
      <c r="O1330" s="248"/>
      <c r="P1330" s="246"/>
      <c r="Q1330" s="249"/>
      <c r="R1330" s="250"/>
      <c r="S1330" s="259"/>
      <c r="T1330" s="260"/>
      <c r="U1330" s="250"/>
      <c r="V1330" s="78">
        <f t="shared" si="201"/>
        <v>0</v>
      </c>
      <c r="W1330" s="261">
        <f t="shared" si="202"/>
        <v>0</v>
      </c>
      <c r="X1330" s="133">
        <f t="shared" si="203"/>
        <v>0</v>
      </c>
      <c r="Y1330" s="251"/>
      <c r="Z1330" s="1736"/>
      <c r="AA1330" s="1737"/>
      <c r="AB1330" s="77">
        <f t="shared" si="204"/>
        <v>0</v>
      </c>
      <c r="AC1330" s="134">
        <f t="shared" si="205"/>
        <v>0</v>
      </c>
      <c r="AD1330" s="251"/>
      <c r="AE1330" s="1736"/>
      <c r="AF1330" s="1737"/>
      <c r="AG1330" s="77">
        <f t="shared" si="206"/>
        <v>0</v>
      </c>
      <c r="AH1330" s="136">
        <f t="shared" si="207"/>
        <v>0</v>
      </c>
      <c r="AI1330" s="251"/>
      <c r="AJ1330" s="1736"/>
      <c r="AK1330" s="1737"/>
      <c r="AL1330" s="79">
        <f t="shared" si="208"/>
        <v>0</v>
      </c>
      <c r="AM1330" s="137">
        <f t="shared" si="209"/>
        <v>0</v>
      </c>
      <c r="AN1330" s="251"/>
      <c r="AO1330" s="1736"/>
      <c r="AP1330" s="1737"/>
    </row>
    <row r="1331" spans="1:42" s="85" customFormat="1" ht="13.5" thickBot="1">
      <c r="A1331" s="240"/>
      <c r="B1331" s="241"/>
      <c r="C1331" s="242"/>
      <c r="D1331" s="242"/>
      <c r="E1331" s="243"/>
      <c r="F1331" s="244"/>
      <c r="G1331" s="244"/>
      <c r="H1331" s="243"/>
      <c r="I1331" s="258"/>
      <c r="J1331" s="245"/>
      <c r="K1331" s="245"/>
      <c r="L1331" s="76">
        <f t="shared" si="200"/>
        <v>0</v>
      </c>
      <c r="M1331" s="246"/>
      <c r="N1331" s="247"/>
      <c r="O1331" s="248"/>
      <c r="P1331" s="246"/>
      <c r="Q1331" s="249"/>
      <c r="R1331" s="250"/>
      <c r="S1331" s="259"/>
      <c r="T1331" s="260"/>
      <c r="U1331" s="250"/>
      <c r="V1331" s="78">
        <f t="shared" si="201"/>
        <v>0</v>
      </c>
      <c r="W1331" s="261">
        <f t="shared" si="202"/>
        <v>0</v>
      </c>
      <c r="X1331" s="133">
        <f t="shared" si="203"/>
        <v>0</v>
      </c>
      <c r="Y1331" s="251"/>
      <c r="Z1331" s="1736"/>
      <c r="AA1331" s="1737"/>
      <c r="AB1331" s="77">
        <f t="shared" si="204"/>
        <v>0</v>
      </c>
      <c r="AC1331" s="134">
        <f t="shared" si="205"/>
        <v>0</v>
      </c>
      <c r="AD1331" s="251"/>
      <c r="AE1331" s="1736"/>
      <c r="AF1331" s="1737"/>
      <c r="AG1331" s="77">
        <f t="shared" si="206"/>
        <v>0</v>
      </c>
      <c r="AH1331" s="136">
        <f t="shared" si="207"/>
        <v>0</v>
      </c>
      <c r="AI1331" s="251"/>
      <c r="AJ1331" s="1736"/>
      <c r="AK1331" s="1737"/>
      <c r="AL1331" s="79">
        <f t="shared" si="208"/>
        <v>0</v>
      </c>
      <c r="AM1331" s="137">
        <f t="shared" si="209"/>
        <v>0</v>
      </c>
      <c r="AN1331" s="251"/>
      <c r="AO1331" s="1736"/>
      <c r="AP1331" s="1737"/>
    </row>
    <row r="1332" spans="1:42" s="85" customFormat="1" ht="13.5" thickBot="1">
      <c r="A1332" s="240"/>
      <c r="B1332" s="241"/>
      <c r="C1332" s="242"/>
      <c r="D1332" s="242"/>
      <c r="E1332" s="243"/>
      <c r="F1332" s="244"/>
      <c r="G1332" s="244"/>
      <c r="H1332" s="243"/>
      <c r="I1332" s="258"/>
      <c r="J1332" s="245"/>
      <c r="K1332" s="245"/>
      <c r="L1332" s="76">
        <f t="shared" si="200"/>
        <v>0</v>
      </c>
      <c r="M1332" s="246"/>
      <c r="N1332" s="247"/>
      <c r="O1332" s="248"/>
      <c r="P1332" s="246"/>
      <c r="Q1332" s="249"/>
      <c r="R1332" s="250"/>
      <c r="S1332" s="259"/>
      <c r="T1332" s="260"/>
      <c r="U1332" s="250"/>
      <c r="V1332" s="78">
        <f t="shared" si="201"/>
        <v>0</v>
      </c>
      <c r="W1332" s="261">
        <f t="shared" si="202"/>
        <v>0</v>
      </c>
      <c r="X1332" s="133">
        <f t="shared" si="203"/>
        <v>0</v>
      </c>
      <c r="Y1332" s="251"/>
      <c r="Z1332" s="1736"/>
      <c r="AA1332" s="1737"/>
      <c r="AB1332" s="77">
        <f t="shared" si="204"/>
        <v>0</v>
      </c>
      <c r="AC1332" s="134">
        <f t="shared" si="205"/>
        <v>0</v>
      </c>
      <c r="AD1332" s="251"/>
      <c r="AE1332" s="1736"/>
      <c r="AF1332" s="1737"/>
      <c r="AG1332" s="77">
        <f t="shared" si="206"/>
        <v>0</v>
      </c>
      <c r="AH1332" s="136">
        <f t="shared" si="207"/>
        <v>0</v>
      </c>
      <c r="AI1332" s="251"/>
      <c r="AJ1332" s="1736"/>
      <c r="AK1332" s="1737"/>
      <c r="AL1332" s="79">
        <f t="shared" si="208"/>
        <v>0</v>
      </c>
      <c r="AM1332" s="137">
        <f t="shared" si="209"/>
        <v>0</v>
      </c>
      <c r="AN1332" s="251"/>
      <c r="AO1332" s="1736"/>
      <c r="AP1332" s="1737"/>
    </row>
    <row r="1333" spans="1:42" s="85" customFormat="1" ht="13.5" thickBot="1">
      <c r="A1333" s="240"/>
      <c r="B1333" s="241"/>
      <c r="C1333" s="242"/>
      <c r="D1333" s="242"/>
      <c r="E1333" s="243"/>
      <c r="F1333" s="244"/>
      <c r="G1333" s="244"/>
      <c r="H1333" s="243"/>
      <c r="I1333" s="258"/>
      <c r="J1333" s="245"/>
      <c r="K1333" s="245"/>
      <c r="L1333" s="76">
        <f t="shared" si="200"/>
        <v>0</v>
      </c>
      <c r="M1333" s="246"/>
      <c r="N1333" s="247"/>
      <c r="O1333" s="248"/>
      <c r="P1333" s="246"/>
      <c r="Q1333" s="249"/>
      <c r="R1333" s="250"/>
      <c r="S1333" s="259"/>
      <c r="T1333" s="260"/>
      <c r="U1333" s="250"/>
      <c r="V1333" s="78">
        <f t="shared" si="201"/>
        <v>0</v>
      </c>
      <c r="W1333" s="261">
        <f t="shared" si="202"/>
        <v>0</v>
      </c>
      <c r="X1333" s="133">
        <f t="shared" si="203"/>
        <v>0</v>
      </c>
      <c r="Y1333" s="251"/>
      <c r="Z1333" s="1736"/>
      <c r="AA1333" s="1737"/>
      <c r="AB1333" s="77">
        <f t="shared" si="204"/>
        <v>0</v>
      </c>
      <c r="AC1333" s="134">
        <f t="shared" si="205"/>
        <v>0</v>
      </c>
      <c r="AD1333" s="251"/>
      <c r="AE1333" s="1736"/>
      <c r="AF1333" s="1737"/>
      <c r="AG1333" s="77">
        <f t="shared" si="206"/>
        <v>0</v>
      </c>
      <c r="AH1333" s="136">
        <f t="shared" si="207"/>
        <v>0</v>
      </c>
      <c r="AI1333" s="251"/>
      <c r="AJ1333" s="1736"/>
      <c r="AK1333" s="1737"/>
      <c r="AL1333" s="79">
        <f t="shared" si="208"/>
        <v>0</v>
      </c>
      <c r="AM1333" s="137">
        <f t="shared" si="209"/>
        <v>0</v>
      </c>
      <c r="AN1333" s="251"/>
      <c r="AO1333" s="1736"/>
      <c r="AP1333" s="1737"/>
    </row>
    <row r="1334" spans="1:42" s="85" customFormat="1" ht="13.5" thickBot="1">
      <c r="A1334" s="240"/>
      <c r="B1334" s="241"/>
      <c r="C1334" s="242"/>
      <c r="D1334" s="242"/>
      <c r="E1334" s="243"/>
      <c r="F1334" s="244"/>
      <c r="G1334" s="244"/>
      <c r="H1334" s="243"/>
      <c r="I1334" s="258"/>
      <c r="J1334" s="245"/>
      <c r="K1334" s="245"/>
      <c r="L1334" s="76">
        <f t="shared" si="200"/>
        <v>0</v>
      </c>
      <c r="M1334" s="246"/>
      <c r="N1334" s="247"/>
      <c r="O1334" s="248"/>
      <c r="P1334" s="246"/>
      <c r="Q1334" s="249"/>
      <c r="R1334" s="250"/>
      <c r="S1334" s="259"/>
      <c r="T1334" s="260"/>
      <c r="U1334" s="250"/>
      <c r="V1334" s="78">
        <f t="shared" si="201"/>
        <v>0</v>
      </c>
      <c r="W1334" s="261">
        <f t="shared" si="202"/>
        <v>0</v>
      </c>
      <c r="X1334" s="133">
        <f t="shared" si="203"/>
        <v>0</v>
      </c>
      <c r="Y1334" s="251"/>
      <c r="Z1334" s="1736"/>
      <c r="AA1334" s="1737"/>
      <c r="AB1334" s="77">
        <f t="shared" si="204"/>
        <v>0</v>
      </c>
      <c r="AC1334" s="134">
        <f t="shared" si="205"/>
        <v>0</v>
      </c>
      <c r="AD1334" s="251"/>
      <c r="AE1334" s="1736"/>
      <c r="AF1334" s="1737"/>
      <c r="AG1334" s="77">
        <f t="shared" si="206"/>
        <v>0</v>
      </c>
      <c r="AH1334" s="136">
        <f t="shared" si="207"/>
        <v>0</v>
      </c>
      <c r="AI1334" s="251"/>
      <c r="AJ1334" s="1736"/>
      <c r="AK1334" s="1737"/>
      <c r="AL1334" s="79">
        <f t="shared" si="208"/>
        <v>0</v>
      </c>
      <c r="AM1334" s="137">
        <f t="shared" si="209"/>
        <v>0</v>
      </c>
      <c r="AN1334" s="251"/>
      <c r="AO1334" s="1736"/>
      <c r="AP1334" s="1737"/>
    </row>
    <row r="1335" spans="1:42" s="85" customFormat="1" ht="13.5" thickBot="1">
      <c r="A1335" s="240"/>
      <c r="B1335" s="241"/>
      <c r="C1335" s="242"/>
      <c r="D1335" s="242"/>
      <c r="E1335" s="243"/>
      <c r="F1335" s="244"/>
      <c r="G1335" s="244"/>
      <c r="H1335" s="243"/>
      <c r="I1335" s="258"/>
      <c r="J1335" s="245"/>
      <c r="K1335" s="245"/>
      <c r="L1335" s="76">
        <f t="shared" si="200"/>
        <v>0</v>
      </c>
      <c r="M1335" s="246"/>
      <c r="N1335" s="247"/>
      <c r="O1335" s="248"/>
      <c r="P1335" s="246"/>
      <c r="Q1335" s="249"/>
      <c r="R1335" s="250"/>
      <c r="S1335" s="259"/>
      <c r="T1335" s="260"/>
      <c r="U1335" s="250"/>
      <c r="V1335" s="78">
        <f t="shared" si="201"/>
        <v>0</v>
      </c>
      <c r="W1335" s="261">
        <f t="shared" si="202"/>
        <v>0</v>
      </c>
      <c r="X1335" s="133">
        <f t="shared" si="203"/>
        <v>0</v>
      </c>
      <c r="Y1335" s="251"/>
      <c r="Z1335" s="1736"/>
      <c r="AA1335" s="1737"/>
      <c r="AB1335" s="77">
        <f t="shared" si="204"/>
        <v>0</v>
      </c>
      <c r="AC1335" s="134">
        <f t="shared" si="205"/>
        <v>0</v>
      </c>
      <c r="AD1335" s="251"/>
      <c r="AE1335" s="1736"/>
      <c r="AF1335" s="1737"/>
      <c r="AG1335" s="77">
        <f t="shared" si="206"/>
        <v>0</v>
      </c>
      <c r="AH1335" s="136">
        <f t="shared" si="207"/>
        <v>0</v>
      </c>
      <c r="AI1335" s="251"/>
      <c r="AJ1335" s="1736"/>
      <c r="AK1335" s="1737"/>
      <c r="AL1335" s="79">
        <f t="shared" si="208"/>
        <v>0</v>
      </c>
      <c r="AM1335" s="137">
        <f t="shared" si="209"/>
        <v>0</v>
      </c>
      <c r="AN1335" s="251"/>
      <c r="AO1335" s="1736"/>
      <c r="AP1335" s="1737"/>
    </row>
    <row r="1336" spans="1:42" s="85" customFormat="1" ht="13.5" thickBot="1">
      <c r="A1336" s="240"/>
      <c r="B1336" s="241"/>
      <c r="C1336" s="242"/>
      <c r="D1336" s="242"/>
      <c r="E1336" s="243"/>
      <c r="F1336" s="244"/>
      <c r="G1336" s="244"/>
      <c r="H1336" s="243"/>
      <c r="I1336" s="258"/>
      <c r="J1336" s="245"/>
      <c r="K1336" s="245"/>
      <c r="L1336" s="76">
        <f t="shared" si="200"/>
        <v>0</v>
      </c>
      <c r="M1336" s="246"/>
      <c r="N1336" s="247"/>
      <c r="O1336" s="248"/>
      <c r="P1336" s="246"/>
      <c r="Q1336" s="249"/>
      <c r="R1336" s="250"/>
      <c r="S1336" s="259"/>
      <c r="T1336" s="260"/>
      <c r="U1336" s="250"/>
      <c r="V1336" s="78">
        <f t="shared" si="201"/>
        <v>0</v>
      </c>
      <c r="W1336" s="261">
        <f t="shared" si="202"/>
        <v>0</v>
      </c>
      <c r="X1336" s="133">
        <f t="shared" si="203"/>
        <v>0</v>
      </c>
      <c r="Y1336" s="251"/>
      <c r="Z1336" s="1736"/>
      <c r="AA1336" s="1737"/>
      <c r="AB1336" s="77">
        <f t="shared" si="204"/>
        <v>0</v>
      </c>
      <c r="AC1336" s="134">
        <f t="shared" si="205"/>
        <v>0</v>
      </c>
      <c r="AD1336" s="251"/>
      <c r="AE1336" s="1736"/>
      <c r="AF1336" s="1737"/>
      <c r="AG1336" s="77">
        <f t="shared" si="206"/>
        <v>0</v>
      </c>
      <c r="AH1336" s="136">
        <f t="shared" si="207"/>
        <v>0</v>
      </c>
      <c r="AI1336" s="251"/>
      <c r="AJ1336" s="1736"/>
      <c r="AK1336" s="1737"/>
      <c r="AL1336" s="79">
        <f t="shared" si="208"/>
        <v>0</v>
      </c>
      <c r="AM1336" s="137">
        <f t="shared" si="209"/>
        <v>0</v>
      </c>
      <c r="AN1336" s="251"/>
      <c r="AO1336" s="1736"/>
      <c r="AP1336" s="1737"/>
    </row>
    <row r="1337" spans="1:42" s="85" customFormat="1" ht="13.5" thickBot="1">
      <c r="A1337" s="240"/>
      <c r="B1337" s="241"/>
      <c r="C1337" s="242"/>
      <c r="D1337" s="242"/>
      <c r="E1337" s="243"/>
      <c r="F1337" s="244"/>
      <c r="G1337" s="244"/>
      <c r="H1337" s="243"/>
      <c r="I1337" s="258"/>
      <c r="J1337" s="245"/>
      <c r="K1337" s="245"/>
      <c r="L1337" s="76">
        <f t="shared" si="200"/>
        <v>0</v>
      </c>
      <c r="M1337" s="246"/>
      <c r="N1337" s="247"/>
      <c r="O1337" s="248"/>
      <c r="P1337" s="246"/>
      <c r="Q1337" s="249"/>
      <c r="R1337" s="250"/>
      <c r="S1337" s="259"/>
      <c r="T1337" s="260"/>
      <c r="U1337" s="250"/>
      <c r="V1337" s="78">
        <f t="shared" si="201"/>
        <v>0</v>
      </c>
      <c r="W1337" s="261">
        <f t="shared" si="202"/>
        <v>0</v>
      </c>
      <c r="X1337" s="133">
        <f t="shared" si="203"/>
        <v>0</v>
      </c>
      <c r="Y1337" s="251"/>
      <c r="Z1337" s="1736"/>
      <c r="AA1337" s="1737"/>
      <c r="AB1337" s="77">
        <f t="shared" si="204"/>
        <v>0</v>
      </c>
      <c r="AC1337" s="134">
        <f t="shared" si="205"/>
        <v>0</v>
      </c>
      <c r="AD1337" s="251"/>
      <c r="AE1337" s="1736"/>
      <c r="AF1337" s="1737"/>
      <c r="AG1337" s="77">
        <f t="shared" si="206"/>
        <v>0</v>
      </c>
      <c r="AH1337" s="136">
        <f t="shared" si="207"/>
        <v>0</v>
      </c>
      <c r="AI1337" s="251"/>
      <c r="AJ1337" s="1736"/>
      <c r="AK1337" s="1737"/>
      <c r="AL1337" s="79">
        <f t="shared" si="208"/>
        <v>0</v>
      </c>
      <c r="AM1337" s="137">
        <f t="shared" si="209"/>
        <v>0</v>
      </c>
      <c r="AN1337" s="251"/>
      <c r="AO1337" s="1736"/>
      <c r="AP1337" s="1737"/>
    </row>
    <row r="1338" spans="1:42" s="85" customFormat="1" ht="13.5" thickBot="1">
      <c r="A1338" s="240"/>
      <c r="B1338" s="241"/>
      <c r="C1338" s="242"/>
      <c r="D1338" s="242"/>
      <c r="E1338" s="243"/>
      <c r="F1338" s="244"/>
      <c r="G1338" s="244"/>
      <c r="H1338" s="243"/>
      <c r="I1338" s="258"/>
      <c r="J1338" s="245"/>
      <c r="K1338" s="245"/>
      <c r="L1338" s="76">
        <f t="shared" si="200"/>
        <v>0</v>
      </c>
      <c r="M1338" s="246"/>
      <c r="N1338" s="247"/>
      <c r="O1338" s="248"/>
      <c r="P1338" s="246"/>
      <c r="Q1338" s="249"/>
      <c r="R1338" s="250"/>
      <c r="S1338" s="259"/>
      <c r="T1338" s="260"/>
      <c r="U1338" s="250"/>
      <c r="V1338" s="78">
        <f t="shared" si="201"/>
        <v>0</v>
      </c>
      <c r="W1338" s="261">
        <f t="shared" si="202"/>
        <v>0</v>
      </c>
      <c r="X1338" s="133">
        <f t="shared" si="203"/>
        <v>0</v>
      </c>
      <c r="Y1338" s="251"/>
      <c r="Z1338" s="1736"/>
      <c r="AA1338" s="1737"/>
      <c r="AB1338" s="77">
        <f t="shared" si="204"/>
        <v>0</v>
      </c>
      <c r="AC1338" s="134">
        <f t="shared" si="205"/>
        <v>0</v>
      </c>
      <c r="AD1338" s="251"/>
      <c r="AE1338" s="1736"/>
      <c r="AF1338" s="1737"/>
      <c r="AG1338" s="77">
        <f t="shared" si="206"/>
        <v>0</v>
      </c>
      <c r="AH1338" s="136">
        <f t="shared" si="207"/>
        <v>0</v>
      </c>
      <c r="AI1338" s="251"/>
      <c r="AJ1338" s="1736"/>
      <c r="AK1338" s="1737"/>
      <c r="AL1338" s="79">
        <f t="shared" si="208"/>
        <v>0</v>
      </c>
      <c r="AM1338" s="137">
        <f t="shared" si="209"/>
        <v>0</v>
      </c>
      <c r="AN1338" s="251"/>
      <c r="AO1338" s="1736"/>
      <c r="AP1338" s="1737"/>
    </row>
    <row r="1339" spans="1:42" s="85" customFormat="1" ht="13.5" thickBot="1">
      <c r="A1339" s="240"/>
      <c r="B1339" s="241"/>
      <c r="C1339" s="242"/>
      <c r="D1339" s="242"/>
      <c r="E1339" s="243"/>
      <c r="F1339" s="244"/>
      <c r="G1339" s="244"/>
      <c r="H1339" s="243"/>
      <c r="I1339" s="258"/>
      <c r="J1339" s="245"/>
      <c r="K1339" s="245"/>
      <c r="L1339" s="76">
        <f t="shared" si="200"/>
        <v>0</v>
      </c>
      <c r="M1339" s="246"/>
      <c r="N1339" s="247"/>
      <c r="O1339" s="248"/>
      <c r="P1339" s="246"/>
      <c r="Q1339" s="249"/>
      <c r="R1339" s="250"/>
      <c r="S1339" s="259"/>
      <c r="T1339" s="260"/>
      <c r="U1339" s="250"/>
      <c r="V1339" s="78">
        <f t="shared" si="201"/>
        <v>0</v>
      </c>
      <c r="W1339" s="261">
        <f t="shared" si="202"/>
        <v>0</v>
      </c>
      <c r="X1339" s="133">
        <f t="shared" si="203"/>
        <v>0</v>
      </c>
      <c r="Y1339" s="251"/>
      <c r="Z1339" s="1736"/>
      <c r="AA1339" s="1737"/>
      <c r="AB1339" s="77">
        <f t="shared" si="204"/>
        <v>0</v>
      </c>
      <c r="AC1339" s="134">
        <f t="shared" si="205"/>
        <v>0</v>
      </c>
      <c r="AD1339" s="251"/>
      <c r="AE1339" s="1736"/>
      <c r="AF1339" s="1737"/>
      <c r="AG1339" s="77">
        <f t="shared" si="206"/>
        <v>0</v>
      </c>
      <c r="AH1339" s="136">
        <f t="shared" si="207"/>
        <v>0</v>
      </c>
      <c r="AI1339" s="251"/>
      <c r="AJ1339" s="1736"/>
      <c r="AK1339" s="1737"/>
      <c r="AL1339" s="79">
        <f t="shared" si="208"/>
        <v>0</v>
      </c>
      <c r="AM1339" s="137">
        <f t="shared" si="209"/>
        <v>0</v>
      </c>
      <c r="AN1339" s="251"/>
      <c r="AO1339" s="1736"/>
      <c r="AP1339" s="1737"/>
    </row>
    <row r="1340" spans="1:42" s="85" customFormat="1" ht="13.5" thickBot="1">
      <c r="A1340" s="240"/>
      <c r="B1340" s="241"/>
      <c r="C1340" s="242"/>
      <c r="D1340" s="242"/>
      <c r="E1340" s="243"/>
      <c r="F1340" s="244"/>
      <c r="G1340" s="244"/>
      <c r="H1340" s="243"/>
      <c r="I1340" s="258"/>
      <c r="J1340" s="245"/>
      <c r="K1340" s="245"/>
      <c r="L1340" s="76">
        <f t="shared" si="200"/>
        <v>0</v>
      </c>
      <c r="M1340" s="246"/>
      <c r="N1340" s="247"/>
      <c r="O1340" s="248"/>
      <c r="P1340" s="246"/>
      <c r="Q1340" s="249"/>
      <c r="R1340" s="250"/>
      <c r="S1340" s="259"/>
      <c r="T1340" s="260"/>
      <c r="U1340" s="250"/>
      <c r="V1340" s="78">
        <f t="shared" si="201"/>
        <v>0</v>
      </c>
      <c r="W1340" s="261">
        <f t="shared" si="202"/>
        <v>0</v>
      </c>
      <c r="X1340" s="133">
        <f t="shared" si="203"/>
        <v>0</v>
      </c>
      <c r="Y1340" s="251"/>
      <c r="Z1340" s="1736"/>
      <c r="AA1340" s="1737"/>
      <c r="AB1340" s="77">
        <f t="shared" si="204"/>
        <v>0</v>
      </c>
      <c r="AC1340" s="134">
        <f t="shared" si="205"/>
        <v>0</v>
      </c>
      <c r="AD1340" s="251"/>
      <c r="AE1340" s="1736"/>
      <c r="AF1340" s="1737"/>
      <c r="AG1340" s="77">
        <f t="shared" si="206"/>
        <v>0</v>
      </c>
      <c r="AH1340" s="136">
        <f t="shared" si="207"/>
        <v>0</v>
      </c>
      <c r="AI1340" s="251"/>
      <c r="AJ1340" s="1736"/>
      <c r="AK1340" s="1737"/>
      <c r="AL1340" s="79">
        <f t="shared" si="208"/>
        <v>0</v>
      </c>
      <c r="AM1340" s="137">
        <f t="shared" si="209"/>
        <v>0</v>
      </c>
      <c r="AN1340" s="251"/>
      <c r="AO1340" s="1736"/>
      <c r="AP1340" s="1737"/>
    </row>
    <row r="1341" spans="1:42" s="85" customFormat="1" ht="13.5" thickBot="1">
      <c r="A1341" s="240"/>
      <c r="B1341" s="241"/>
      <c r="C1341" s="242"/>
      <c r="D1341" s="242"/>
      <c r="E1341" s="243"/>
      <c r="F1341" s="244"/>
      <c r="G1341" s="244"/>
      <c r="H1341" s="243"/>
      <c r="I1341" s="258"/>
      <c r="J1341" s="245"/>
      <c r="K1341" s="245"/>
      <c r="L1341" s="76">
        <f t="shared" si="200"/>
        <v>0</v>
      </c>
      <c r="M1341" s="246"/>
      <c r="N1341" s="247"/>
      <c r="O1341" s="248"/>
      <c r="P1341" s="246"/>
      <c r="Q1341" s="249"/>
      <c r="R1341" s="250"/>
      <c r="S1341" s="259"/>
      <c r="T1341" s="260"/>
      <c r="U1341" s="250"/>
      <c r="V1341" s="78">
        <f t="shared" si="201"/>
        <v>0</v>
      </c>
      <c r="W1341" s="261">
        <f t="shared" si="202"/>
        <v>0</v>
      </c>
      <c r="X1341" s="133">
        <f t="shared" si="203"/>
        <v>0</v>
      </c>
      <c r="Y1341" s="251"/>
      <c r="Z1341" s="1736"/>
      <c r="AA1341" s="1737"/>
      <c r="AB1341" s="77">
        <f t="shared" si="204"/>
        <v>0</v>
      </c>
      <c r="AC1341" s="134">
        <f t="shared" si="205"/>
        <v>0</v>
      </c>
      <c r="AD1341" s="251"/>
      <c r="AE1341" s="1736"/>
      <c r="AF1341" s="1737"/>
      <c r="AG1341" s="77">
        <f t="shared" si="206"/>
        <v>0</v>
      </c>
      <c r="AH1341" s="136">
        <f t="shared" si="207"/>
        <v>0</v>
      </c>
      <c r="AI1341" s="251"/>
      <c r="AJ1341" s="1736"/>
      <c r="AK1341" s="1737"/>
      <c r="AL1341" s="79">
        <f t="shared" si="208"/>
        <v>0</v>
      </c>
      <c r="AM1341" s="137">
        <f t="shared" si="209"/>
        <v>0</v>
      </c>
      <c r="AN1341" s="251"/>
      <c r="AO1341" s="1736"/>
      <c r="AP1341" s="1737"/>
    </row>
    <row r="1342" spans="1:42" s="85" customFormat="1" ht="13.5" thickBot="1">
      <c r="A1342" s="240"/>
      <c r="B1342" s="241"/>
      <c r="C1342" s="242"/>
      <c r="D1342" s="242"/>
      <c r="E1342" s="243"/>
      <c r="F1342" s="244"/>
      <c r="G1342" s="244"/>
      <c r="H1342" s="243"/>
      <c r="I1342" s="258"/>
      <c r="J1342" s="245"/>
      <c r="K1342" s="245"/>
      <c r="L1342" s="76">
        <f t="shared" si="200"/>
        <v>0</v>
      </c>
      <c r="M1342" s="246"/>
      <c r="N1342" s="247"/>
      <c r="O1342" s="248"/>
      <c r="P1342" s="246"/>
      <c r="Q1342" s="249"/>
      <c r="R1342" s="250"/>
      <c r="S1342" s="259"/>
      <c r="T1342" s="260"/>
      <c r="U1342" s="250"/>
      <c r="V1342" s="78">
        <f t="shared" si="201"/>
        <v>0</v>
      </c>
      <c r="W1342" s="261">
        <f t="shared" si="202"/>
        <v>0</v>
      </c>
      <c r="X1342" s="133">
        <f t="shared" si="203"/>
        <v>0</v>
      </c>
      <c r="Y1342" s="251"/>
      <c r="Z1342" s="1736"/>
      <c r="AA1342" s="1737"/>
      <c r="AB1342" s="77">
        <f t="shared" si="204"/>
        <v>0</v>
      </c>
      <c r="AC1342" s="134">
        <f t="shared" si="205"/>
        <v>0</v>
      </c>
      <c r="AD1342" s="251"/>
      <c r="AE1342" s="1736"/>
      <c r="AF1342" s="1737"/>
      <c r="AG1342" s="77">
        <f t="shared" si="206"/>
        <v>0</v>
      </c>
      <c r="AH1342" s="136">
        <f t="shared" si="207"/>
        <v>0</v>
      </c>
      <c r="AI1342" s="251"/>
      <c r="AJ1342" s="1736"/>
      <c r="AK1342" s="1737"/>
      <c r="AL1342" s="79">
        <f t="shared" si="208"/>
        <v>0</v>
      </c>
      <c r="AM1342" s="137">
        <f t="shared" si="209"/>
        <v>0</v>
      </c>
      <c r="AN1342" s="251"/>
      <c r="AO1342" s="1736"/>
      <c r="AP1342" s="1737"/>
    </row>
    <row r="1343" spans="1:42" s="85" customFormat="1" ht="13.5" thickBot="1">
      <c r="A1343" s="240"/>
      <c r="B1343" s="241"/>
      <c r="C1343" s="242"/>
      <c r="D1343" s="242"/>
      <c r="E1343" s="243"/>
      <c r="F1343" s="244"/>
      <c r="G1343" s="244"/>
      <c r="H1343" s="243"/>
      <c r="I1343" s="258"/>
      <c r="J1343" s="245"/>
      <c r="K1343" s="245"/>
      <c r="L1343" s="76">
        <f t="shared" si="200"/>
        <v>0</v>
      </c>
      <c r="M1343" s="246"/>
      <c r="N1343" s="247"/>
      <c r="O1343" s="248"/>
      <c r="P1343" s="246"/>
      <c r="Q1343" s="249"/>
      <c r="R1343" s="250"/>
      <c r="S1343" s="259"/>
      <c r="T1343" s="260"/>
      <c r="U1343" s="250"/>
      <c r="V1343" s="78">
        <f t="shared" si="201"/>
        <v>0</v>
      </c>
      <c r="W1343" s="261">
        <f t="shared" si="202"/>
        <v>0</v>
      </c>
      <c r="X1343" s="133">
        <f t="shared" si="203"/>
        <v>0</v>
      </c>
      <c r="Y1343" s="251"/>
      <c r="Z1343" s="1736"/>
      <c r="AA1343" s="1737"/>
      <c r="AB1343" s="77">
        <f t="shared" si="204"/>
        <v>0</v>
      </c>
      <c r="AC1343" s="134">
        <f t="shared" si="205"/>
        <v>0</v>
      </c>
      <c r="AD1343" s="251"/>
      <c r="AE1343" s="1736"/>
      <c r="AF1343" s="1737"/>
      <c r="AG1343" s="77">
        <f t="shared" si="206"/>
        <v>0</v>
      </c>
      <c r="AH1343" s="136">
        <f t="shared" si="207"/>
        <v>0</v>
      </c>
      <c r="AI1343" s="251"/>
      <c r="AJ1343" s="1736"/>
      <c r="AK1343" s="1737"/>
      <c r="AL1343" s="79">
        <f t="shared" si="208"/>
        <v>0</v>
      </c>
      <c r="AM1343" s="137">
        <f t="shared" si="209"/>
        <v>0</v>
      </c>
      <c r="AN1343" s="251"/>
      <c r="AO1343" s="1736"/>
      <c r="AP1343" s="1737"/>
    </row>
    <row r="1344" spans="1:42" s="85" customFormat="1" ht="13.5" thickBot="1">
      <c r="A1344" s="240"/>
      <c r="B1344" s="241"/>
      <c r="C1344" s="242"/>
      <c r="D1344" s="242"/>
      <c r="E1344" s="243"/>
      <c r="F1344" s="244"/>
      <c r="G1344" s="244"/>
      <c r="H1344" s="243"/>
      <c r="I1344" s="258"/>
      <c r="J1344" s="245"/>
      <c r="K1344" s="245"/>
      <c r="L1344" s="76">
        <f t="shared" si="200"/>
        <v>0</v>
      </c>
      <c r="M1344" s="246"/>
      <c r="N1344" s="247"/>
      <c r="O1344" s="248"/>
      <c r="P1344" s="246"/>
      <c r="Q1344" s="249"/>
      <c r="R1344" s="250"/>
      <c r="S1344" s="259"/>
      <c r="T1344" s="260"/>
      <c r="U1344" s="250"/>
      <c r="V1344" s="78">
        <f t="shared" si="201"/>
        <v>0</v>
      </c>
      <c r="W1344" s="261">
        <f t="shared" si="202"/>
        <v>0</v>
      </c>
      <c r="X1344" s="133">
        <f t="shared" si="203"/>
        <v>0</v>
      </c>
      <c r="Y1344" s="251"/>
      <c r="Z1344" s="1736"/>
      <c r="AA1344" s="1737"/>
      <c r="AB1344" s="77">
        <f t="shared" si="204"/>
        <v>0</v>
      </c>
      <c r="AC1344" s="134">
        <f t="shared" si="205"/>
        <v>0</v>
      </c>
      <c r="AD1344" s="251"/>
      <c r="AE1344" s="1736"/>
      <c r="AF1344" s="1737"/>
      <c r="AG1344" s="77">
        <f t="shared" si="206"/>
        <v>0</v>
      </c>
      <c r="AH1344" s="136">
        <f t="shared" si="207"/>
        <v>0</v>
      </c>
      <c r="AI1344" s="251"/>
      <c r="AJ1344" s="1736"/>
      <c r="AK1344" s="1737"/>
      <c r="AL1344" s="79">
        <f t="shared" si="208"/>
        <v>0</v>
      </c>
      <c r="AM1344" s="137">
        <f t="shared" si="209"/>
        <v>0</v>
      </c>
      <c r="AN1344" s="251"/>
      <c r="AO1344" s="1736"/>
      <c r="AP1344" s="1737"/>
    </row>
    <row r="1345" spans="1:42" s="85" customFormat="1" ht="13.5" thickBot="1">
      <c r="A1345" s="240"/>
      <c r="B1345" s="241"/>
      <c r="C1345" s="242"/>
      <c r="D1345" s="242"/>
      <c r="E1345" s="243"/>
      <c r="F1345" s="244"/>
      <c r="G1345" s="244"/>
      <c r="H1345" s="243"/>
      <c r="I1345" s="258"/>
      <c r="J1345" s="245"/>
      <c r="K1345" s="245"/>
      <c r="L1345" s="76">
        <f t="shared" si="200"/>
        <v>0</v>
      </c>
      <c r="M1345" s="246"/>
      <c r="N1345" s="247"/>
      <c r="O1345" s="248"/>
      <c r="P1345" s="246"/>
      <c r="Q1345" s="249"/>
      <c r="R1345" s="250"/>
      <c r="S1345" s="259"/>
      <c r="T1345" s="260"/>
      <c r="U1345" s="250"/>
      <c r="V1345" s="78">
        <f t="shared" si="201"/>
        <v>0</v>
      </c>
      <c r="W1345" s="261">
        <f t="shared" si="202"/>
        <v>0</v>
      </c>
      <c r="X1345" s="133">
        <f t="shared" si="203"/>
        <v>0</v>
      </c>
      <c r="Y1345" s="251"/>
      <c r="Z1345" s="1736"/>
      <c r="AA1345" s="1737"/>
      <c r="AB1345" s="77">
        <f t="shared" si="204"/>
        <v>0</v>
      </c>
      <c r="AC1345" s="134">
        <f t="shared" si="205"/>
        <v>0</v>
      </c>
      <c r="AD1345" s="251"/>
      <c r="AE1345" s="1736"/>
      <c r="AF1345" s="1737"/>
      <c r="AG1345" s="77">
        <f t="shared" si="206"/>
        <v>0</v>
      </c>
      <c r="AH1345" s="136">
        <f t="shared" si="207"/>
        <v>0</v>
      </c>
      <c r="AI1345" s="251"/>
      <c r="AJ1345" s="1736"/>
      <c r="AK1345" s="1737"/>
      <c r="AL1345" s="79">
        <f t="shared" si="208"/>
        <v>0</v>
      </c>
      <c r="AM1345" s="137">
        <f t="shared" si="209"/>
        <v>0</v>
      </c>
      <c r="AN1345" s="251"/>
      <c r="AO1345" s="1736"/>
      <c r="AP1345" s="1737"/>
    </row>
    <row r="1346" spans="1:42" s="85" customFormat="1" ht="13.5" thickBot="1">
      <c r="A1346" s="240"/>
      <c r="B1346" s="241"/>
      <c r="C1346" s="242"/>
      <c r="D1346" s="242"/>
      <c r="E1346" s="243"/>
      <c r="F1346" s="244"/>
      <c r="G1346" s="244"/>
      <c r="H1346" s="243"/>
      <c r="I1346" s="258"/>
      <c r="J1346" s="245"/>
      <c r="K1346" s="245"/>
      <c r="L1346" s="76">
        <f t="shared" si="200"/>
        <v>0</v>
      </c>
      <c r="M1346" s="246"/>
      <c r="N1346" s="247"/>
      <c r="O1346" s="248"/>
      <c r="P1346" s="246"/>
      <c r="Q1346" s="249"/>
      <c r="R1346" s="250"/>
      <c r="S1346" s="259"/>
      <c r="T1346" s="260"/>
      <c r="U1346" s="250"/>
      <c r="V1346" s="78">
        <f t="shared" si="201"/>
        <v>0</v>
      </c>
      <c r="W1346" s="261">
        <f t="shared" si="202"/>
        <v>0</v>
      </c>
      <c r="X1346" s="133">
        <f t="shared" si="203"/>
        <v>0</v>
      </c>
      <c r="Y1346" s="251"/>
      <c r="Z1346" s="1736"/>
      <c r="AA1346" s="1737"/>
      <c r="AB1346" s="77">
        <f t="shared" si="204"/>
        <v>0</v>
      </c>
      <c r="AC1346" s="134">
        <f t="shared" si="205"/>
        <v>0</v>
      </c>
      <c r="AD1346" s="251"/>
      <c r="AE1346" s="1736"/>
      <c r="AF1346" s="1737"/>
      <c r="AG1346" s="77">
        <f t="shared" si="206"/>
        <v>0</v>
      </c>
      <c r="AH1346" s="136">
        <f t="shared" si="207"/>
        <v>0</v>
      </c>
      <c r="AI1346" s="251"/>
      <c r="AJ1346" s="1736"/>
      <c r="AK1346" s="1737"/>
      <c r="AL1346" s="79">
        <f t="shared" si="208"/>
        <v>0</v>
      </c>
      <c r="AM1346" s="137">
        <f t="shared" si="209"/>
        <v>0</v>
      </c>
      <c r="AN1346" s="251"/>
      <c r="AO1346" s="1736"/>
      <c r="AP1346" s="1737"/>
    </row>
    <row r="1347" spans="1:42" s="85" customFormat="1" ht="13.5" thickBot="1">
      <c r="A1347" s="240"/>
      <c r="B1347" s="241"/>
      <c r="C1347" s="242"/>
      <c r="D1347" s="242"/>
      <c r="E1347" s="243"/>
      <c r="F1347" s="244"/>
      <c r="G1347" s="244"/>
      <c r="H1347" s="243"/>
      <c r="I1347" s="258"/>
      <c r="J1347" s="245"/>
      <c r="K1347" s="245"/>
      <c r="L1347" s="76">
        <f t="shared" si="200"/>
        <v>0</v>
      </c>
      <c r="M1347" s="246"/>
      <c r="N1347" s="247"/>
      <c r="O1347" s="248"/>
      <c r="P1347" s="246"/>
      <c r="Q1347" s="249"/>
      <c r="R1347" s="250"/>
      <c r="S1347" s="259"/>
      <c r="T1347" s="260"/>
      <c r="U1347" s="250"/>
      <c r="V1347" s="78">
        <f t="shared" si="201"/>
        <v>0</v>
      </c>
      <c r="W1347" s="261">
        <f t="shared" si="202"/>
        <v>0</v>
      </c>
      <c r="X1347" s="133">
        <f t="shared" si="203"/>
        <v>0</v>
      </c>
      <c r="Y1347" s="251"/>
      <c r="Z1347" s="1736"/>
      <c r="AA1347" s="1737"/>
      <c r="AB1347" s="77">
        <f t="shared" si="204"/>
        <v>0</v>
      </c>
      <c r="AC1347" s="134">
        <f t="shared" si="205"/>
        <v>0</v>
      </c>
      <c r="AD1347" s="251"/>
      <c r="AE1347" s="1736"/>
      <c r="AF1347" s="1737"/>
      <c r="AG1347" s="77">
        <f t="shared" si="206"/>
        <v>0</v>
      </c>
      <c r="AH1347" s="136">
        <f t="shared" si="207"/>
        <v>0</v>
      </c>
      <c r="AI1347" s="251"/>
      <c r="AJ1347" s="1736"/>
      <c r="AK1347" s="1737"/>
      <c r="AL1347" s="79">
        <f t="shared" si="208"/>
        <v>0</v>
      </c>
      <c r="AM1347" s="137">
        <f t="shared" si="209"/>
        <v>0</v>
      </c>
      <c r="AN1347" s="251"/>
      <c r="AO1347" s="1736"/>
      <c r="AP1347" s="1737"/>
    </row>
    <row r="1348" spans="1:42" s="85" customFormat="1" ht="13.5" thickBot="1">
      <c r="A1348" s="240"/>
      <c r="B1348" s="241"/>
      <c r="C1348" s="242"/>
      <c r="D1348" s="242"/>
      <c r="E1348" s="243"/>
      <c r="F1348" s="244"/>
      <c r="G1348" s="244"/>
      <c r="H1348" s="243"/>
      <c r="I1348" s="258"/>
      <c r="J1348" s="245"/>
      <c r="K1348" s="245"/>
      <c r="L1348" s="76">
        <f t="shared" si="200"/>
        <v>0</v>
      </c>
      <c r="M1348" s="246"/>
      <c r="N1348" s="247"/>
      <c r="O1348" s="248"/>
      <c r="P1348" s="246"/>
      <c r="Q1348" s="249"/>
      <c r="R1348" s="250"/>
      <c r="S1348" s="259"/>
      <c r="T1348" s="260"/>
      <c r="U1348" s="250"/>
      <c r="V1348" s="78">
        <f t="shared" si="201"/>
        <v>0</v>
      </c>
      <c r="W1348" s="261">
        <f t="shared" si="202"/>
        <v>0</v>
      </c>
      <c r="X1348" s="133">
        <f t="shared" si="203"/>
        <v>0</v>
      </c>
      <c r="Y1348" s="251"/>
      <c r="Z1348" s="1736"/>
      <c r="AA1348" s="1737"/>
      <c r="AB1348" s="77">
        <f t="shared" si="204"/>
        <v>0</v>
      </c>
      <c r="AC1348" s="134">
        <f t="shared" si="205"/>
        <v>0</v>
      </c>
      <c r="AD1348" s="251"/>
      <c r="AE1348" s="1736"/>
      <c r="AF1348" s="1737"/>
      <c r="AG1348" s="77">
        <f t="shared" si="206"/>
        <v>0</v>
      </c>
      <c r="AH1348" s="136">
        <f t="shared" si="207"/>
        <v>0</v>
      </c>
      <c r="AI1348" s="251"/>
      <c r="AJ1348" s="1736"/>
      <c r="AK1348" s="1737"/>
      <c r="AL1348" s="79">
        <f t="shared" si="208"/>
        <v>0</v>
      </c>
      <c r="AM1348" s="137">
        <f t="shared" si="209"/>
        <v>0</v>
      </c>
      <c r="AN1348" s="251"/>
      <c r="AO1348" s="1736"/>
      <c r="AP1348" s="1737"/>
    </row>
    <row r="1349" spans="1:42" s="85" customFormat="1" ht="13.5" thickBot="1">
      <c r="A1349" s="240"/>
      <c r="B1349" s="241"/>
      <c r="C1349" s="242"/>
      <c r="D1349" s="242"/>
      <c r="E1349" s="243"/>
      <c r="F1349" s="244"/>
      <c r="G1349" s="244"/>
      <c r="H1349" s="243"/>
      <c r="I1349" s="258"/>
      <c r="J1349" s="245"/>
      <c r="K1349" s="245"/>
      <c r="L1349" s="76">
        <f t="shared" si="200"/>
        <v>0</v>
      </c>
      <c r="M1349" s="246"/>
      <c r="N1349" s="247"/>
      <c r="O1349" s="248"/>
      <c r="P1349" s="246"/>
      <c r="Q1349" s="249"/>
      <c r="R1349" s="250"/>
      <c r="S1349" s="259"/>
      <c r="T1349" s="260"/>
      <c r="U1349" s="250"/>
      <c r="V1349" s="78">
        <f t="shared" si="201"/>
        <v>0</v>
      </c>
      <c r="W1349" s="261">
        <f t="shared" si="202"/>
        <v>0</v>
      </c>
      <c r="X1349" s="133">
        <f t="shared" si="203"/>
        <v>0</v>
      </c>
      <c r="Y1349" s="251"/>
      <c r="Z1349" s="1736"/>
      <c r="AA1349" s="1737"/>
      <c r="AB1349" s="77">
        <f t="shared" si="204"/>
        <v>0</v>
      </c>
      <c r="AC1349" s="134">
        <f t="shared" si="205"/>
        <v>0</v>
      </c>
      <c r="AD1349" s="251"/>
      <c r="AE1349" s="1736"/>
      <c r="AF1349" s="1737"/>
      <c r="AG1349" s="77">
        <f t="shared" si="206"/>
        <v>0</v>
      </c>
      <c r="AH1349" s="136">
        <f t="shared" si="207"/>
        <v>0</v>
      </c>
      <c r="AI1349" s="251"/>
      <c r="AJ1349" s="1736"/>
      <c r="AK1349" s="1737"/>
      <c r="AL1349" s="79">
        <f t="shared" si="208"/>
        <v>0</v>
      </c>
      <c r="AM1349" s="137">
        <f t="shared" si="209"/>
        <v>0</v>
      </c>
      <c r="AN1349" s="251"/>
      <c r="AO1349" s="1736"/>
      <c r="AP1349" s="1737"/>
    </row>
    <row r="1350" spans="1:42" s="85" customFormat="1" ht="13.5" thickBot="1">
      <c r="A1350" s="240"/>
      <c r="B1350" s="241"/>
      <c r="C1350" s="242"/>
      <c r="D1350" s="242"/>
      <c r="E1350" s="243"/>
      <c r="F1350" s="244"/>
      <c r="G1350" s="244"/>
      <c r="H1350" s="243"/>
      <c r="I1350" s="258"/>
      <c r="J1350" s="245"/>
      <c r="K1350" s="245"/>
      <c r="L1350" s="76">
        <f t="shared" si="200"/>
        <v>0</v>
      </c>
      <c r="M1350" s="246"/>
      <c r="N1350" s="247"/>
      <c r="O1350" s="248"/>
      <c r="P1350" s="246"/>
      <c r="Q1350" s="249"/>
      <c r="R1350" s="250"/>
      <c r="S1350" s="259"/>
      <c r="T1350" s="260"/>
      <c r="U1350" s="250"/>
      <c r="V1350" s="78">
        <f t="shared" si="201"/>
        <v>0</v>
      </c>
      <c r="W1350" s="261">
        <f t="shared" si="202"/>
        <v>0</v>
      </c>
      <c r="X1350" s="133">
        <f t="shared" si="203"/>
        <v>0</v>
      </c>
      <c r="Y1350" s="251"/>
      <c r="Z1350" s="1736"/>
      <c r="AA1350" s="1737"/>
      <c r="AB1350" s="77">
        <f t="shared" si="204"/>
        <v>0</v>
      </c>
      <c r="AC1350" s="134">
        <f t="shared" si="205"/>
        <v>0</v>
      </c>
      <c r="AD1350" s="251"/>
      <c r="AE1350" s="1736"/>
      <c r="AF1350" s="1737"/>
      <c r="AG1350" s="77">
        <f t="shared" si="206"/>
        <v>0</v>
      </c>
      <c r="AH1350" s="136">
        <f t="shared" si="207"/>
        <v>0</v>
      </c>
      <c r="AI1350" s="251"/>
      <c r="AJ1350" s="1736"/>
      <c r="AK1350" s="1737"/>
      <c r="AL1350" s="79">
        <f t="shared" si="208"/>
        <v>0</v>
      </c>
      <c r="AM1350" s="137">
        <f t="shared" si="209"/>
        <v>0</v>
      </c>
      <c r="AN1350" s="251"/>
      <c r="AO1350" s="1736"/>
      <c r="AP1350" s="1737"/>
    </row>
    <row r="1351" spans="1:42" s="85" customFormat="1" ht="13.5" thickBot="1">
      <c r="A1351" s="240"/>
      <c r="B1351" s="241"/>
      <c r="C1351" s="242"/>
      <c r="D1351" s="242"/>
      <c r="E1351" s="243"/>
      <c r="F1351" s="244"/>
      <c r="G1351" s="244"/>
      <c r="H1351" s="243"/>
      <c r="I1351" s="258"/>
      <c r="J1351" s="245"/>
      <c r="K1351" s="245"/>
      <c r="L1351" s="76">
        <f t="shared" si="200"/>
        <v>0</v>
      </c>
      <c r="M1351" s="246"/>
      <c r="N1351" s="247"/>
      <c r="O1351" s="248"/>
      <c r="P1351" s="246"/>
      <c r="Q1351" s="249"/>
      <c r="R1351" s="250"/>
      <c r="S1351" s="259"/>
      <c r="T1351" s="260"/>
      <c r="U1351" s="250"/>
      <c r="V1351" s="78">
        <f t="shared" si="201"/>
        <v>0</v>
      </c>
      <c r="W1351" s="261">
        <f t="shared" si="202"/>
        <v>0</v>
      </c>
      <c r="X1351" s="133">
        <f t="shared" si="203"/>
        <v>0</v>
      </c>
      <c r="Y1351" s="251"/>
      <c r="Z1351" s="1736"/>
      <c r="AA1351" s="1737"/>
      <c r="AB1351" s="77">
        <f t="shared" si="204"/>
        <v>0</v>
      </c>
      <c r="AC1351" s="134">
        <f t="shared" si="205"/>
        <v>0</v>
      </c>
      <c r="AD1351" s="251"/>
      <c r="AE1351" s="1736"/>
      <c r="AF1351" s="1737"/>
      <c r="AG1351" s="77">
        <f t="shared" si="206"/>
        <v>0</v>
      </c>
      <c r="AH1351" s="136">
        <f t="shared" si="207"/>
        <v>0</v>
      </c>
      <c r="AI1351" s="251"/>
      <c r="AJ1351" s="1736"/>
      <c r="AK1351" s="1737"/>
      <c r="AL1351" s="79">
        <f t="shared" si="208"/>
        <v>0</v>
      </c>
      <c r="AM1351" s="137">
        <f t="shared" si="209"/>
        <v>0</v>
      </c>
      <c r="AN1351" s="251"/>
      <c r="AO1351" s="1736"/>
      <c r="AP1351" s="1737"/>
    </row>
    <row r="1352" spans="1:42" s="85" customFormat="1" ht="13.5" thickBot="1">
      <c r="A1352" s="240"/>
      <c r="B1352" s="241"/>
      <c r="C1352" s="242"/>
      <c r="D1352" s="242"/>
      <c r="E1352" s="243"/>
      <c r="F1352" s="244"/>
      <c r="G1352" s="244"/>
      <c r="H1352" s="243"/>
      <c r="I1352" s="258"/>
      <c r="J1352" s="245"/>
      <c r="K1352" s="245"/>
      <c r="L1352" s="76">
        <f t="shared" si="200"/>
        <v>0</v>
      </c>
      <c r="M1352" s="246"/>
      <c r="N1352" s="247"/>
      <c r="O1352" s="248"/>
      <c r="P1352" s="246"/>
      <c r="Q1352" s="249"/>
      <c r="R1352" s="250"/>
      <c r="S1352" s="259"/>
      <c r="T1352" s="260"/>
      <c r="U1352" s="250"/>
      <c r="V1352" s="78">
        <f t="shared" si="201"/>
        <v>0</v>
      </c>
      <c r="W1352" s="261">
        <f t="shared" si="202"/>
        <v>0</v>
      </c>
      <c r="X1352" s="133">
        <f t="shared" si="203"/>
        <v>0</v>
      </c>
      <c r="Y1352" s="251"/>
      <c r="Z1352" s="1736"/>
      <c r="AA1352" s="1737"/>
      <c r="AB1352" s="77">
        <f t="shared" si="204"/>
        <v>0</v>
      </c>
      <c r="AC1352" s="134">
        <f t="shared" si="205"/>
        <v>0</v>
      </c>
      <c r="AD1352" s="251"/>
      <c r="AE1352" s="1736"/>
      <c r="AF1352" s="1737"/>
      <c r="AG1352" s="77">
        <f t="shared" si="206"/>
        <v>0</v>
      </c>
      <c r="AH1352" s="136">
        <f t="shared" si="207"/>
        <v>0</v>
      </c>
      <c r="AI1352" s="251"/>
      <c r="AJ1352" s="1736"/>
      <c r="AK1352" s="1737"/>
      <c r="AL1352" s="79">
        <f t="shared" si="208"/>
        <v>0</v>
      </c>
      <c r="AM1352" s="137">
        <f t="shared" si="209"/>
        <v>0</v>
      </c>
      <c r="AN1352" s="251"/>
      <c r="AO1352" s="1736"/>
      <c r="AP1352" s="1737"/>
    </row>
    <row r="1353" spans="1:42" s="85" customFormat="1" ht="13.5" thickBot="1">
      <c r="A1353" s="240"/>
      <c r="B1353" s="241"/>
      <c r="C1353" s="242"/>
      <c r="D1353" s="242"/>
      <c r="E1353" s="243"/>
      <c r="F1353" s="244"/>
      <c r="G1353" s="244"/>
      <c r="H1353" s="243"/>
      <c r="I1353" s="258"/>
      <c r="J1353" s="245"/>
      <c r="K1353" s="245"/>
      <c r="L1353" s="76">
        <f t="shared" si="200"/>
        <v>0</v>
      </c>
      <c r="M1353" s="246"/>
      <c r="N1353" s="247"/>
      <c r="O1353" s="248"/>
      <c r="P1353" s="246"/>
      <c r="Q1353" s="249"/>
      <c r="R1353" s="250"/>
      <c r="S1353" s="259"/>
      <c r="T1353" s="260"/>
      <c r="U1353" s="250"/>
      <c r="V1353" s="78">
        <f t="shared" si="201"/>
        <v>0</v>
      </c>
      <c r="W1353" s="261">
        <f t="shared" si="202"/>
        <v>0</v>
      </c>
      <c r="X1353" s="133">
        <f t="shared" si="203"/>
        <v>0</v>
      </c>
      <c r="Y1353" s="251"/>
      <c r="Z1353" s="1736"/>
      <c r="AA1353" s="1737"/>
      <c r="AB1353" s="77">
        <f t="shared" si="204"/>
        <v>0</v>
      </c>
      <c r="AC1353" s="134">
        <f t="shared" si="205"/>
        <v>0</v>
      </c>
      <c r="AD1353" s="251"/>
      <c r="AE1353" s="1736"/>
      <c r="AF1353" s="1737"/>
      <c r="AG1353" s="77">
        <f t="shared" si="206"/>
        <v>0</v>
      </c>
      <c r="AH1353" s="136">
        <f t="shared" si="207"/>
        <v>0</v>
      </c>
      <c r="AI1353" s="251"/>
      <c r="AJ1353" s="1736"/>
      <c r="AK1353" s="1737"/>
      <c r="AL1353" s="79">
        <f t="shared" si="208"/>
        <v>0</v>
      </c>
      <c r="AM1353" s="137">
        <f t="shared" si="209"/>
        <v>0</v>
      </c>
      <c r="AN1353" s="251"/>
      <c r="AO1353" s="1736"/>
      <c r="AP1353" s="1737"/>
    </row>
    <row r="1354" spans="1:42" s="85" customFormat="1" ht="13.5" thickBot="1">
      <c r="A1354" s="240"/>
      <c r="B1354" s="241"/>
      <c r="C1354" s="242"/>
      <c r="D1354" s="242"/>
      <c r="E1354" s="243"/>
      <c r="F1354" s="244"/>
      <c r="G1354" s="244"/>
      <c r="H1354" s="243"/>
      <c r="I1354" s="258"/>
      <c r="J1354" s="245"/>
      <c r="K1354" s="245"/>
      <c r="L1354" s="76">
        <f t="shared" si="200"/>
        <v>0</v>
      </c>
      <c r="M1354" s="246"/>
      <c r="N1354" s="247"/>
      <c r="O1354" s="248"/>
      <c r="P1354" s="246"/>
      <c r="Q1354" s="249"/>
      <c r="R1354" s="250"/>
      <c r="S1354" s="259"/>
      <c r="T1354" s="260"/>
      <c r="U1354" s="250"/>
      <c r="V1354" s="78">
        <f t="shared" si="201"/>
        <v>0</v>
      </c>
      <c r="W1354" s="261">
        <f t="shared" si="202"/>
        <v>0</v>
      </c>
      <c r="X1354" s="133">
        <f t="shared" si="203"/>
        <v>0</v>
      </c>
      <c r="Y1354" s="251"/>
      <c r="Z1354" s="1736"/>
      <c r="AA1354" s="1737"/>
      <c r="AB1354" s="77">
        <f t="shared" si="204"/>
        <v>0</v>
      </c>
      <c r="AC1354" s="134">
        <f t="shared" si="205"/>
        <v>0</v>
      </c>
      <c r="AD1354" s="251"/>
      <c r="AE1354" s="1736"/>
      <c r="AF1354" s="1737"/>
      <c r="AG1354" s="77">
        <f t="shared" si="206"/>
        <v>0</v>
      </c>
      <c r="AH1354" s="136">
        <f t="shared" si="207"/>
        <v>0</v>
      </c>
      <c r="AI1354" s="251"/>
      <c r="AJ1354" s="1736"/>
      <c r="AK1354" s="1737"/>
      <c r="AL1354" s="79">
        <f t="shared" si="208"/>
        <v>0</v>
      </c>
      <c r="AM1354" s="137">
        <f t="shared" si="209"/>
        <v>0</v>
      </c>
      <c r="AN1354" s="251"/>
      <c r="AO1354" s="1736"/>
      <c r="AP1354" s="1737"/>
    </row>
    <row r="1355" spans="1:42" s="85" customFormat="1" ht="13.5" thickBot="1">
      <c r="A1355" s="240"/>
      <c r="B1355" s="241"/>
      <c r="C1355" s="242"/>
      <c r="D1355" s="242"/>
      <c r="E1355" s="243"/>
      <c r="F1355" s="244"/>
      <c r="G1355" s="244"/>
      <c r="H1355" s="243"/>
      <c r="I1355" s="258"/>
      <c r="J1355" s="245"/>
      <c r="K1355" s="245"/>
      <c r="L1355" s="76">
        <f t="shared" ref="L1355:L1418" si="210">IF(I1355=0,0,(K1355+J1355)/I1355)</f>
        <v>0</v>
      </c>
      <c r="M1355" s="246"/>
      <c r="N1355" s="247"/>
      <c r="O1355" s="248"/>
      <c r="P1355" s="246"/>
      <c r="Q1355" s="249"/>
      <c r="R1355" s="250"/>
      <c r="S1355" s="259"/>
      <c r="T1355" s="260"/>
      <c r="U1355" s="250"/>
      <c r="V1355" s="78">
        <f t="shared" ref="V1355:V1418" si="211">IF(U1355=0,0,((U1355*S1355)-AB1355-AL1355))</f>
        <v>0</v>
      </c>
      <c r="W1355" s="261">
        <f t="shared" ref="W1355:W1418" si="212">+S1355-I1355</f>
        <v>0</v>
      </c>
      <c r="X1355" s="133">
        <f t="shared" ref="X1355:X1418" si="213">(V1355-J1355)</f>
        <v>0</v>
      </c>
      <c r="Y1355" s="251"/>
      <c r="Z1355" s="1736"/>
      <c r="AA1355" s="1737"/>
      <c r="AB1355" s="77">
        <f t="shared" ref="AB1355:AB1418" si="214">(IF(I1355=0,0,M1355/H1355))*S1355</f>
        <v>0</v>
      </c>
      <c r="AC1355" s="134">
        <f t="shared" ref="AC1355:AC1418" si="215">+AB1355-P1355</f>
        <v>0</v>
      </c>
      <c r="AD1355" s="251"/>
      <c r="AE1355" s="1736"/>
      <c r="AF1355" s="1737"/>
      <c r="AG1355" s="77">
        <f t="shared" ref="AG1355:AG1418" si="216">(IF(H1355=0,0,N1355/H1355))*T1355</f>
        <v>0</v>
      </c>
      <c r="AH1355" s="136">
        <f t="shared" ref="AH1355:AH1418" si="217">+AG1355-Q1355</f>
        <v>0</v>
      </c>
      <c r="AI1355" s="251"/>
      <c r="AJ1355" s="1736"/>
      <c r="AK1355" s="1737"/>
      <c r="AL1355" s="79">
        <f t="shared" ref="AL1355:AL1418" si="218">+O1355*S1355</f>
        <v>0</v>
      </c>
      <c r="AM1355" s="137">
        <f t="shared" ref="AM1355:AM1418" si="219">+AL1355-R1355</f>
        <v>0</v>
      </c>
      <c r="AN1355" s="251"/>
      <c r="AO1355" s="1736"/>
      <c r="AP1355" s="1737"/>
    </row>
    <row r="1356" spans="1:42" s="85" customFormat="1" ht="13.5" thickBot="1">
      <c r="A1356" s="240"/>
      <c r="B1356" s="241"/>
      <c r="C1356" s="242"/>
      <c r="D1356" s="242"/>
      <c r="E1356" s="243"/>
      <c r="F1356" s="244"/>
      <c r="G1356" s="244"/>
      <c r="H1356" s="243"/>
      <c r="I1356" s="258"/>
      <c r="J1356" s="245"/>
      <c r="K1356" s="245"/>
      <c r="L1356" s="76">
        <f t="shared" si="210"/>
        <v>0</v>
      </c>
      <c r="M1356" s="246"/>
      <c r="N1356" s="247"/>
      <c r="O1356" s="248"/>
      <c r="P1356" s="246"/>
      <c r="Q1356" s="249"/>
      <c r="R1356" s="250"/>
      <c r="S1356" s="259"/>
      <c r="T1356" s="260"/>
      <c r="U1356" s="250"/>
      <c r="V1356" s="78">
        <f t="shared" si="211"/>
        <v>0</v>
      </c>
      <c r="W1356" s="261">
        <f t="shared" si="212"/>
        <v>0</v>
      </c>
      <c r="X1356" s="133">
        <f t="shared" si="213"/>
        <v>0</v>
      </c>
      <c r="Y1356" s="251"/>
      <c r="Z1356" s="1736"/>
      <c r="AA1356" s="1737"/>
      <c r="AB1356" s="77">
        <f t="shared" si="214"/>
        <v>0</v>
      </c>
      <c r="AC1356" s="134">
        <f t="shared" si="215"/>
        <v>0</v>
      </c>
      <c r="AD1356" s="251"/>
      <c r="AE1356" s="1736"/>
      <c r="AF1356" s="1737"/>
      <c r="AG1356" s="77">
        <f t="shared" si="216"/>
        <v>0</v>
      </c>
      <c r="AH1356" s="136">
        <f t="shared" si="217"/>
        <v>0</v>
      </c>
      <c r="AI1356" s="251"/>
      <c r="AJ1356" s="1736"/>
      <c r="AK1356" s="1737"/>
      <c r="AL1356" s="79">
        <f t="shared" si="218"/>
        <v>0</v>
      </c>
      <c r="AM1356" s="137">
        <f t="shared" si="219"/>
        <v>0</v>
      </c>
      <c r="AN1356" s="251"/>
      <c r="AO1356" s="1736"/>
      <c r="AP1356" s="1737"/>
    </row>
    <row r="1357" spans="1:42" s="85" customFormat="1" ht="13.5" thickBot="1">
      <c r="A1357" s="240"/>
      <c r="B1357" s="241"/>
      <c r="C1357" s="242"/>
      <c r="D1357" s="242"/>
      <c r="E1357" s="243"/>
      <c r="F1357" s="244"/>
      <c r="G1357" s="244"/>
      <c r="H1357" s="243"/>
      <c r="I1357" s="258"/>
      <c r="J1357" s="245"/>
      <c r="K1357" s="245"/>
      <c r="L1357" s="76">
        <f t="shared" si="210"/>
        <v>0</v>
      </c>
      <c r="M1357" s="246"/>
      <c r="N1357" s="247"/>
      <c r="O1357" s="248"/>
      <c r="P1357" s="246"/>
      <c r="Q1357" s="249"/>
      <c r="R1357" s="250"/>
      <c r="S1357" s="259"/>
      <c r="T1357" s="260"/>
      <c r="U1357" s="250"/>
      <c r="V1357" s="78">
        <f t="shared" si="211"/>
        <v>0</v>
      </c>
      <c r="W1357" s="261">
        <f t="shared" si="212"/>
        <v>0</v>
      </c>
      <c r="X1357" s="133">
        <f t="shared" si="213"/>
        <v>0</v>
      </c>
      <c r="Y1357" s="251"/>
      <c r="Z1357" s="1736"/>
      <c r="AA1357" s="1737"/>
      <c r="AB1357" s="77">
        <f t="shared" si="214"/>
        <v>0</v>
      </c>
      <c r="AC1357" s="134">
        <f t="shared" si="215"/>
        <v>0</v>
      </c>
      <c r="AD1357" s="251"/>
      <c r="AE1357" s="1736"/>
      <c r="AF1357" s="1737"/>
      <c r="AG1357" s="77">
        <f t="shared" si="216"/>
        <v>0</v>
      </c>
      <c r="AH1357" s="136">
        <f t="shared" si="217"/>
        <v>0</v>
      </c>
      <c r="AI1357" s="251"/>
      <c r="AJ1357" s="1736"/>
      <c r="AK1357" s="1737"/>
      <c r="AL1357" s="79">
        <f t="shared" si="218"/>
        <v>0</v>
      </c>
      <c r="AM1357" s="137">
        <f t="shared" si="219"/>
        <v>0</v>
      </c>
      <c r="AN1357" s="251"/>
      <c r="AO1357" s="1736"/>
      <c r="AP1357" s="1737"/>
    </row>
    <row r="1358" spans="1:42" s="85" customFormat="1" ht="13.5" thickBot="1">
      <c r="A1358" s="240"/>
      <c r="B1358" s="241"/>
      <c r="C1358" s="242"/>
      <c r="D1358" s="242"/>
      <c r="E1358" s="243"/>
      <c r="F1358" s="244"/>
      <c r="G1358" s="244"/>
      <c r="H1358" s="243"/>
      <c r="I1358" s="258"/>
      <c r="J1358" s="245"/>
      <c r="K1358" s="245"/>
      <c r="L1358" s="76">
        <f t="shared" si="210"/>
        <v>0</v>
      </c>
      <c r="M1358" s="246"/>
      <c r="N1358" s="247"/>
      <c r="O1358" s="248"/>
      <c r="P1358" s="246"/>
      <c r="Q1358" s="249"/>
      <c r="R1358" s="250"/>
      <c r="S1358" s="259"/>
      <c r="T1358" s="260"/>
      <c r="U1358" s="250"/>
      <c r="V1358" s="78">
        <f t="shared" si="211"/>
        <v>0</v>
      </c>
      <c r="W1358" s="261">
        <f t="shared" si="212"/>
        <v>0</v>
      </c>
      <c r="X1358" s="133">
        <f t="shared" si="213"/>
        <v>0</v>
      </c>
      <c r="Y1358" s="251"/>
      <c r="Z1358" s="1736"/>
      <c r="AA1358" s="1737"/>
      <c r="AB1358" s="77">
        <f t="shared" si="214"/>
        <v>0</v>
      </c>
      <c r="AC1358" s="134">
        <f t="shared" si="215"/>
        <v>0</v>
      </c>
      <c r="AD1358" s="251"/>
      <c r="AE1358" s="1736"/>
      <c r="AF1358" s="1737"/>
      <c r="AG1358" s="77">
        <f t="shared" si="216"/>
        <v>0</v>
      </c>
      <c r="AH1358" s="136">
        <f t="shared" si="217"/>
        <v>0</v>
      </c>
      <c r="AI1358" s="251"/>
      <c r="AJ1358" s="1736"/>
      <c r="AK1358" s="1737"/>
      <c r="AL1358" s="79">
        <f t="shared" si="218"/>
        <v>0</v>
      </c>
      <c r="AM1358" s="137">
        <f t="shared" si="219"/>
        <v>0</v>
      </c>
      <c r="AN1358" s="251"/>
      <c r="AO1358" s="1736"/>
      <c r="AP1358" s="1737"/>
    </row>
    <row r="1359" spans="1:42" s="85" customFormat="1" ht="13.5" thickBot="1">
      <c r="A1359" s="240"/>
      <c r="B1359" s="241"/>
      <c r="C1359" s="242"/>
      <c r="D1359" s="242"/>
      <c r="E1359" s="243"/>
      <c r="F1359" s="244"/>
      <c r="G1359" s="244"/>
      <c r="H1359" s="243"/>
      <c r="I1359" s="258"/>
      <c r="J1359" s="245"/>
      <c r="K1359" s="245"/>
      <c r="L1359" s="76">
        <f t="shared" si="210"/>
        <v>0</v>
      </c>
      <c r="M1359" s="246"/>
      <c r="N1359" s="247"/>
      <c r="O1359" s="248"/>
      <c r="P1359" s="246"/>
      <c r="Q1359" s="249"/>
      <c r="R1359" s="250"/>
      <c r="S1359" s="259"/>
      <c r="T1359" s="260"/>
      <c r="U1359" s="250"/>
      <c r="V1359" s="78">
        <f t="shared" si="211"/>
        <v>0</v>
      </c>
      <c r="W1359" s="261">
        <f t="shared" si="212"/>
        <v>0</v>
      </c>
      <c r="X1359" s="133">
        <f t="shared" si="213"/>
        <v>0</v>
      </c>
      <c r="Y1359" s="251"/>
      <c r="Z1359" s="1736"/>
      <c r="AA1359" s="1737"/>
      <c r="AB1359" s="77">
        <f t="shared" si="214"/>
        <v>0</v>
      </c>
      <c r="AC1359" s="134">
        <f t="shared" si="215"/>
        <v>0</v>
      </c>
      <c r="AD1359" s="251"/>
      <c r="AE1359" s="1736"/>
      <c r="AF1359" s="1737"/>
      <c r="AG1359" s="77">
        <f t="shared" si="216"/>
        <v>0</v>
      </c>
      <c r="AH1359" s="136">
        <f t="shared" si="217"/>
        <v>0</v>
      </c>
      <c r="AI1359" s="251"/>
      <c r="AJ1359" s="1736"/>
      <c r="AK1359" s="1737"/>
      <c r="AL1359" s="79">
        <f t="shared" si="218"/>
        <v>0</v>
      </c>
      <c r="AM1359" s="137">
        <f t="shared" si="219"/>
        <v>0</v>
      </c>
      <c r="AN1359" s="251"/>
      <c r="AO1359" s="1736"/>
      <c r="AP1359" s="1737"/>
    </row>
    <row r="1360" spans="1:42" s="85" customFormat="1" ht="13.5" thickBot="1">
      <c r="A1360" s="240"/>
      <c r="B1360" s="241"/>
      <c r="C1360" s="242"/>
      <c r="D1360" s="242"/>
      <c r="E1360" s="243"/>
      <c r="F1360" s="244"/>
      <c r="G1360" s="244"/>
      <c r="H1360" s="243"/>
      <c r="I1360" s="258"/>
      <c r="J1360" s="245"/>
      <c r="K1360" s="245"/>
      <c r="L1360" s="76">
        <f t="shared" si="210"/>
        <v>0</v>
      </c>
      <c r="M1360" s="246"/>
      <c r="N1360" s="247"/>
      <c r="O1360" s="248"/>
      <c r="P1360" s="246"/>
      <c r="Q1360" s="249"/>
      <c r="R1360" s="250"/>
      <c r="S1360" s="259"/>
      <c r="T1360" s="260"/>
      <c r="U1360" s="250"/>
      <c r="V1360" s="78">
        <f t="shared" si="211"/>
        <v>0</v>
      </c>
      <c r="W1360" s="261">
        <f t="shared" si="212"/>
        <v>0</v>
      </c>
      <c r="X1360" s="133">
        <f t="shared" si="213"/>
        <v>0</v>
      </c>
      <c r="Y1360" s="251"/>
      <c r="Z1360" s="1736"/>
      <c r="AA1360" s="1737"/>
      <c r="AB1360" s="77">
        <f t="shared" si="214"/>
        <v>0</v>
      </c>
      <c r="AC1360" s="134">
        <f t="shared" si="215"/>
        <v>0</v>
      </c>
      <c r="AD1360" s="251"/>
      <c r="AE1360" s="1736"/>
      <c r="AF1360" s="1737"/>
      <c r="AG1360" s="77">
        <f t="shared" si="216"/>
        <v>0</v>
      </c>
      <c r="AH1360" s="136">
        <f t="shared" si="217"/>
        <v>0</v>
      </c>
      <c r="AI1360" s="251"/>
      <c r="AJ1360" s="1736"/>
      <c r="AK1360" s="1737"/>
      <c r="AL1360" s="79">
        <f t="shared" si="218"/>
        <v>0</v>
      </c>
      <c r="AM1360" s="137">
        <f t="shared" si="219"/>
        <v>0</v>
      </c>
      <c r="AN1360" s="251"/>
      <c r="AO1360" s="1736"/>
      <c r="AP1360" s="1737"/>
    </row>
    <row r="1361" spans="1:42" s="85" customFormat="1" ht="13.5" thickBot="1">
      <c r="A1361" s="240"/>
      <c r="B1361" s="241"/>
      <c r="C1361" s="242"/>
      <c r="D1361" s="242"/>
      <c r="E1361" s="243"/>
      <c r="F1361" s="244"/>
      <c r="G1361" s="244"/>
      <c r="H1361" s="243"/>
      <c r="I1361" s="258"/>
      <c r="J1361" s="245"/>
      <c r="K1361" s="245"/>
      <c r="L1361" s="76">
        <f t="shared" si="210"/>
        <v>0</v>
      </c>
      <c r="M1361" s="246"/>
      <c r="N1361" s="247"/>
      <c r="O1361" s="248"/>
      <c r="P1361" s="246"/>
      <c r="Q1361" s="249"/>
      <c r="R1361" s="250"/>
      <c r="S1361" s="259"/>
      <c r="T1361" s="260"/>
      <c r="U1361" s="250"/>
      <c r="V1361" s="78">
        <f t="shared" si="211"/>
        <v>0</v>
      </c>
      <c r="W1361" s="261">
        <f t="shared" si="212"/>
        <v>0</v>
      </c>
      <c r="X1361" s="133">
        <f t="shared" si="213"/>
        <v>0</v>
      </c>
      <c r="Y1361" s="251"/>
      <c r="Z1361" s="1736"/>
      <c r="AA1361" s="1737"/>
      <c r="AB1361" s="77">
        <f t="shared" si="214"/>
        <v>0</v>
      </c>
      <c r="AC1361" s="134">
        <f t="shared" si="215"/>
        <v>0</v>
      </c>
      <c r="AD1361" s="251"/>
      <c r="AE1361" s="1736"/>
      <c r="AF1361" s="1737"/>
      <c r="AG1361" s="77">
        <f t="shared" si="216"/>
        <v>0</v>
      </c>
      <c r="AH1361" s="136">
        <f t="shared" si="217"/>
        <v>0</v>
      </c>
      <c r="AI1361" s="251"/>
      <c r="AJ1361" s="1736"/>
      <c r="AK1361" s="1737"/>
      <c r="AL1361" s="79">
        <f t="shared" si="218"/>
        <v>0</v>
      </c>
      <c r="AM1361" s="137">
        <f t="shared" si="219"/>
        <v>0</v>
      </c>
      <c r="AN1361" s="251"/>
      <c r="AO1361" s="1736"/>
      <c r="AP1361" s="1737"/>
    </row>
    <row r="1362" spans="1:42" s="85" customFormat="1" ht="13.5" thickBot="1">
      <c r="A1362" s="240"/>
      <c r="B1362" s="241"/>
      <c r="C1362" s="242"/>
      <c r="D1362" s="242"/>
      <c r="E1362" s="243"/>
      <c r="F1362" s="244"/>
      <c r="G1362" s="244"/>
      <c r="H1362" s="243"/>
      <c r="I1362" s="258"/>
      <c r="J1362" s="245"/>
      <c r="K1362" s="245"/>
      <c r="L1362" s="76">
        <f t="shared" si="210"/>
        <v>0</v>
      </c>
      <c r="M1362" s="246"/>
      <c r="N1362" s="247"/>
      <c r="O1362" s="248"/>
      <c r="P1362" s="246"/>
      <c r="Q1362" s="249"/>
      <c r="R1362" s="250"/>
      <c r="S1362" s="259"/>
      <c r="T1362" s="260"/>
      <c r="U1362" s="250"/>
      <c r="V1362" s="78">
        <f t="shared" si="211"/>
        <v>0</v>
      </c>
      <c r="W1362" s="261">
        <f t="shared" si="212"/>
        <v>0</v>
      </c>
      <c r="X1362" s="133">
        <f t="shared" si="213"/>
        <v>0</v>
      </c>
      <c r="Y1362" s="251"/>
      <c r="Z1362" s="1736"/>
      <c r="AA1362" s="1737"/>
      <c r="AB1362" s="77">
        <f t="shared" si="214"/>
        <v>0</v>
      </c>
      <c r="AC1362" s="134">
        <f t="shared" si="215"/>
        <v>0</v>
      </c>
      <c r="AD1362" s="251"/>
      <c r="AE1362" s="1736"/>
      <c r="AF1362" s="1737"/>
      <c r="AG1362" s="77">
        <f t="shared" si="216"/>
        <v>0</v>
      </c>
      <c r="AH1362" s="136">
        <f t="shared" si="217"/>
        <v>0</v>
      </c>
      <c r="AI1362" s="251"/>
      <c r="AJ1362" s="1736"/>
      <c r="AK1362" s="1737"/>
      <c r="AL1362" s="79">
        <f t="shared" si="218"/>
        <v>0</v>
      </c>
      <c r="AM1362" s="137">
        <f t="shared" si="219"/>
        <v>0</v>
      </c>
      <c r="AN1362" s="251"/>
      <c r="AO1362" s="1736"/>
      <c r="AP1362" s="1737"/>
    </row>
    <row r="1363" spans="1:42" s="85" customFormat="1" ht="13.5" thickBot="1">
      <c r="A1363" s="240"/>
      <c r="B1363" s="241"/>
      <c r="C1363" s="242"/>
      <c r="D1363" s="242"/>
      <c r="E1363" s="243"/>
      <c r="F1363" s="244"/>
      <c r="G1363" s="244"/>
      <c r="H1363" s="243"/>
      <c r="I1363" s="258"/>
      <c r="J1363" s="245"/>
      <c r="K1363" s="245"/>
      <c r="L1363" s="76">
        <f t="shared" si="210"/>
        <v>0</v>
      </c>
      <c r="M1363" s="246"/>
      <c r="N1363" s="247"/>
      <c r="O1363" s="248"/>
      <c r="P1363" s="246"/>
      <c r="Q1363" s="249"/>
      <c r="R1363" s="250"/>
      <c r="S1363" s="259"/>
      <c r="T1363" s="260"/>
      <c r="U1363" s="250"/>
      <c r="V1363" s="78">
        <f t="shared" si="211"/>
        <v>0</v>
      </c>
      <c r="W1363" s="261">
        <f t="shared" si="212"/>
        <v>0</v>
      </c>
      <c r="X1363" s="133">
        <f t="shared" si="213"/>
        <v>0</v>
      </c>
      <c r="Y1363" s="251"/>
      <c r="Z1363" s="1736"/>
      <c r="AA1363" s="1737"/>
      <c r="AB1363" s="77">
        <f t="shared" si="214"/>
        <v>0</v>
      </c>
      <c r="AC1363" s="134">
        <f t="shared" si="215"/>
        <v>0</v>
      </c>
      <c r="AD1363" s="251"/>
      <c r="AE1363" s="1736"/>
      <c r="AF1363" s="1737"/>
      <c r="AG1363" s="77">
        <f t="shared" si="216"/>
        <v>0</v>
      </c>
      <c r="AH1363" s="136">
        <f t="shared" si="217"/>
        <v>0</v>
      </c>
      <c r="AI1363" s="251"/>
      <c r="AJ1363" s="1736"/>
      <c r="AK1363" s="1737"/>
      <c r="AL1363" s="79">
        <f t="shared" si="218"/>
        <v>0</v>
      </c>
      <c r="AM1363" s="137">
        <f t="shared" si="219"/>
        <v>0</v>
      </c>
      <c r="AN1363" s="251"/>
      <c r="AO1363" s="1736"/>
      <c r="AP1363" s="1737"/>
    </row>
    <row r="1364" spans="1:42" s="85" customFormat="1" ht="13.5" thickBot="1">
      <c r="A1364" s="240"/>
      <c r="B1364" s="241"/>
      <c r="C1364" s="242"/>
      <c r="D1364" s="242"/>
      <c r="E1364" s="243"/>
      <c r="F1364" s="244"/>
      <c r="G1364" s="244"/>
      <c r="H1364" s="243"/>
      <c r="I1364" s="258"/>
      <c r="J1364" s="245"/>
      <c r="K1364" s="245"/>
      <c r="L1364" s="76">
        <f t="shared" si="210"/>
        <v>0</v>
      </c>
      <c r="M1364" s="246"/>
      <c r="N1364" s="247"/>
      <c r="O1364" s="248"/>
      <c r="P1364" s="246"/>
      <c r="Q1364" s="249"/>
      <c r="R1364" s="250"/>
      <c r="S1364" s="259"/>
      <c r="T1364" s="260"/>
      <c r="U1364" s="250"/>
      <c r="V1364" s="78">
        <f t="shared" si="211"/>
        <v>0</v>
      </c>
      <c r="W1364" s="261">
        <f t="shared" si="212"/>
        <v>0</v>
      </c>
      <c r="X1364" s="133">
        <f t="shared" si="213"/>
        <v>0</v>
      </c>
      <c r="Y1364" s="251"/>
      <c r="Z1364" s="1736"/>
      <c r="AA1364" s="1737"/>
      <c r="AB1364" s="77">
        <f t="shared" si="214"/>
        <v>0</v>
      </c>
      <c r="AC1364" s="134">
        <f t="shared" si="215"/>
        <v>0</v>
      </c>
      <c r="AD1364" s="251"/>
      <c r="AE1364" s="1736"/>
      <c r="AF1364" s="1737"/>
      <c r="AG1364" s="77">
        <f t="shared" si="216"/>
        <v>0</v>
      </c>
      <c r="AH1364" s="136">
        <f t="shared" si="217"/>
        <v>0</v>
      </c>
      <c r="AI1364" s="251"/>
      <c r="AJ1364" s="1736"/>
      <c r="AK1364" s="1737"/>
      <c r="AL1364" s="79">
        <f t="shared" si="218"/>
        <v>0</v>
      </c>
      <c r="AM1364" s="137">
        <f t="shared" si="219"/>
        <v>0</v>
      </c>
      <c r="AN1364" s="251"/>
      <c r="AO1364" s="1736"/>
      <c r="AP1364" s="1737"/>
    </row>
    <row r="1365" spans="1:42" s="85" customFormat="1" ht="13.5" thickBot="1">
      <c r="A1365" s="240"/>
      <c r="B1365" s="241"/>
      <c r="C1365" s="242"/>
      <c r="D1365" s="242"/>
      <c r="E1365" s="243"/>
      <c r="F1365" s="244"/>
      <c r="G1365" s="244"/>
      <c r="H1365" s="243"/>
      <c r="I1365" s="258"/>
      <c r="J1365" s="245"/>
      <c r="K1365" s="245"/>
      <c r="L1365" s="76">
        <f t="shared" si="210"/>
        <v>0</v>
      </c>
      <c r="M1365" s="246"/>
      <c r="N1365" s="247"/>
      <c r="O1365" s="248"/>
      <c r="P1365" s="246"/>
      <c r="Q1365" s="249"/>
      <c r="R1365" s="250"/>
      <c r="S1365" s="259"/>
      <c r="T1365" s="260"/>
      <c r="U1365" s="250"/>
      <c r="V1365" s="78">
        <f t="shared" si="211"/>
        <v>0</v>
      </c>
      <c r="W1365" s="261">
        <f t="shared" si="212"/>
        <v>0</v>
      </c>
      <c r="X1365" s="133">
        <f t="shared" si="213"/>
        <v>0</v>
      </c>
      <c r="Y1365" s="251"/>
      <c r="Z1365" s="1736"/>
      <c r="AA1365" s="1737"/>
      <c r="AB1365" s="77">
        <f t="shared" si="214"/>
        <v>0</v>
      </c>
      <c r="AC1365" s="134">
        <f t="shared" si="215"/>
        <v>0</v>
      </c>
      <c r="AD1365" s="251"/>
      <c r="AE1365" s="1736"/>
      <c r="AF1365" s="1737"/>
      <c r="AG1365" s="77">
        <f t="shared" si="216"/>
        <v>0</v>
      </c>
      <c r="AH1365" s="136">
        <f t="shared" si="217"/>
        <v>0</v>
      </c>
      <c r="AI1365" s="251"/>
      <c r="AJ1365" s="1736"/>
      <c r="AK1365" s="1737"/>
      <c r="AL1365" s="79">
        <f t="shared" si="218"/>
        <v>0</v>
      </c>
      <c r="AM1365" s="137">
        <f t="shared" si="219"/>
        <v>0</v>
      </c>
      <c r="AN1365" s="251"/>
      <c r="AO1365" s="1736"/>
      <c r="AP1365" s="1737"/>
    </row>
    <row r="1366" spans="1:42" s="85" customFormat="1" ht="13.5" thickBot="1">
      <c r="A1366" s="240"/>
      <c r="B1366" s="241"/>
      <c r="C1366" s="242"/>
      <c r="D1366" s="242"/>
      <c r="E1366" s="243"/>
      <c r="F1366" s="244"/>
      <c r="G1366" s="244"/>
      <c r="H1366" s="243"/>
      <c r="I1366" s="258"/>
      <c r="J1366" s="245"/>
      <c r="K1366" s="245"/>
      <c r="L1366" s="76">
        <f t="shared" si="210"/>
        <v>0</v>
      </c>
      <c r="M1366" s="246"/>
      <c r="N1366" s="247"/>
      <c r="O1366" s="248"/>
      <c r="P1366" s="246"/>
      <c r="Q1366" s="249"/>
      <c r="R1366" s="250"/>
      <c r="S1366" s="259"/>
      <c r="T1366" s="260"/>
      <c r="U1366" s="250"/>
      <c r="V1366" s="78">
        <f t="shared" si="211"/>
        <v>0</v>
      </c>
      <c r="W1366" s="261">
        <f t="shared" si="212"/>
        <v>0</v>
      </c>
      <c r="X1366" s="133">
        <f t="shared" si="213"/>
        <v>0</v>
      </c>
      <c r="Y1366" s="251"/>
      <c r="Z1366" s="1736"/>
      <c r="AA1366" s="1737"/>
      <c r="AB1366" s="77">
        <f t="shared" si="214"/>
        <v>0</v>
      </c>
      <c r="AC1366" s="134">
        <f t="shared" si="215"/>
        <v>0</v>
      </c>
      <c r="AD1366" s="251"/>
      <c r="AE1366" s="1736"/>
      <c r="AF1366" s="1737"/>
      <c r="AG1366" s="77">
        <f t="shared" si="216"/>
        <v>0</v>
      </c>
      <c r="AH1366" s="136">
        <f t="shared" si="217"/>
        <v>0</v>
      </c>
      <c r="AI1366" s="251"/>
      <c r="AJ1366" s="1736"/>
      <c r="AK1366" s="1737"/>
      <c r="AL1366" s="79">
        <f t="shared" si="218"/>
        <v>0</v>
      </c>
      <c r="AM1366" s="137">
        <f t="shared" si="219"/>
        <v>0</v>
      </c>
      <c r="AN1366" s="251"/>
      <c r="AO1366" s="1736"/>
      <c r="AP1366" s="1737"/>
    </row>
    <row r="1367" spans="1:42" s="85" customFormat="1" ht="13.5" thickBot="1">
      <c r="A1367" s="240"/>
      <c r="B1367" s="241"/>
      <c r="C1367" s="242"/>
      <c r="D1367" s="242"/>
      <c r="E1367" s="243"/>
      <c r="F1367" s="244"/>
      <c r="G1367" s="244"/>
      <c r="H1367" s="243"/>
      <c r="I1367" s="258"/>
      <c r="J1367" s="245"/>
      <c r="K1367" s="245"/>
      <c r="L1367" s="76">
        <f t="shared" si="210"/>
        <v>0</v>
      </c>
      <c r="M1367" s="246"/>
      <c r="N1367" s="247"/>
      <c r="O1367" s="248"/>
      <c r="P1367" s="246"/>
      <c r="Q1367" s="249"/>
      <c r="R1367" s="250"/>
      <c r="S1367" s="259"/>
      <c r="T1367" s="260"/>
      <c r="U1367" s="250"/>
      <c r="V1367" s="78">
        <f t="shared" si="211"/>
        <v>0</v>
      </c>
      <c r="W1367" s="261">
        <f t="shared" si="212"/>
        <v>0</v>
      </c>
      <c r="X1367" s="133">
        <f t="shared" si="213"/>
        <v>0</v>
      </c>
      <c r="Y1367" s="251"/>
      <c r="Z1367" s="1736"/>
      <c r="AA1367" s="1737"/>
      <c r="AB1367" s="77">
        <f t="shared" si="214"/>
        <v>0</v>
      </c>
      <c r="AC1367" s="134">
        <f t="shared" si="215"/>
        <v>0</v>
      </c>
      <c r="AD1367" s="251"/>
      <c r="AE1367" s="1736"/>
      <c r="AF1367" s="1737"/>
      <c r="AG1367" s="77">
        <f t="shared" si="216"/>
        <v>0</v>
      </c>
      <c r="AH1367" s="136">
        <f t="shared" si="217"/>
        <v>0</v>
      </c>
      <c r="AI1367" s="251"/>
      <c r="AJ1367" s="1736"/>
      <c r="AK1367" s="1737"/>
      <c r="AL1367" s="79">
        <f t="shared" si="218"/>
        <v>0</v>
      </c>
      <c r="AM1367" s="137">
        <f t="shared" si="219"/>
        <v>0</v>
      </c>
      <c r="AN1367" s="251"/>
      <c r="AO1367" s="1736"/>
      <c r="AP1367" s="1737"/>
    </row>
    <row r="1368" spans="1:42" s="85" customFormat="1" ht="13.5" thickBot="1">
      <c r="A1368" s="240"/>
      <c r="B1368" s="241"/>
      <c r="C1368" s="242"/>
      <c r="D1368" s="242"/>
      <c r="E1368" s="243"/>
      <c r="F1368" s="244"/>
      <c r="G1368" s="244"/>
      <c r="H1368" s="243"/>
      <c r="I1368" s="258"/>
      <c r="J1368" s="245"/>
      <c r="K1368" s="245"/>
      <c r="L1368" s="76">
        <f t="shared" si="210"/>
        <v>0</v>
      </c>
      <c r="M1368" s="246"/>
      <c r="N1368" s="247"/>
      <c r="O1368" s="248"/>
      <c r="P1368" s="246"/>
      <c r="Q1368" s="249"/>
      <c r="R1368" s="250"/>
      <c r="S1368" s="259"/>
      <c r="T1368" s="260"/>
      <c r="U1368" s="250"/>
      <c r="V1368" s="78">
        <f t="shared" si="211"/>
        <v>0</v>
      </c>
      <c r="W1368" s="261">
        <f t="shared" si="212"/>
        <v>0</v>
      </c>
      <c r="X1368" s="133">
        <f t="shared" si="213"/>
        <v>0</v>
      </c>
      <c r="Y1368" s="251"/>
      <c r="Z1368" s="1736"/>
      <c r="AA1368" s="1737"/>
      <c r="AB1368" s="77">
        <f t="shared" si="214"/>
        <v>0</v>
      </c>
      <c r="AC1368" s="134">
        <f t="shared" si="215"/>
        <v>0</v>
      </c>
      <c r="AD1368" s="251"/>
      <c r="AE1368" s="1736"/>
      <c r="AF1368" s="1737"/>
      <c r="AG1368" s="77">
        <f t="shared" si="216"/>
        <v>0</v>
      </c>
      <c r="AH1368" s="136">
        <f t="shared" si="217"/>
        <v>0</v>
      </c>
      <c r="AI1368" s="251"/>
      <c r="AJ1368" s="1736"/>
      <c r="AK1368" s="1737"/>
      <c r="AL1368" s="79">
        <f t="shared" si="218"/>
        <v>0</v>
      </c>
      <c r="AM1368" s="137">
        <f t="shared" si="219"/>
        <v>0</v>
      </c>
      <c r="AN1368" s="251"/>
      <c r="AO1368" s="1736"/>
      <c r="AP1368" s="1737"/>
    </row>
    <row r="1369" spans="1:42" s="85" customFormat="1" ht="13.5" thickBot="1">
      <c r="A1369" s="240"/>
      <c r="B1369" s="241"/>
      <c r="C1369" s="242"/>
      <c r="D1369" s="242"/>
      <c r="E1369" s="243"/>
      <c r="F1369" s="244"/>
      <c r="G1369" s="244"/>
      <c r="H1369" s="243"/>
      <c r="I1369" s="258"/>
      <c r="J1369" s="245"/>
      <c r="K1369" s="245"/>
      <c r="L1369" s="76">
        <f t="shared" si="210"/>
        <v>0</v>
      </c>
      <c r="M1369" s="246"/>
      <c r="N1369" s="247"/>
      <c r="O1369" s="248"/>
      <c r="P1369" s="246"/>
      <c r="Q1369" s="249"/>
      <c r="R1369" s="250"/>
      <c r="S1369" s="259"/>
      <c r="T1369" s="260"/>
      <c r="U1369" s="250"/>
      <c r="V1369" s="78">
        <f t="shared" si="211"/>
        <v>0</v>
      </c>
      <c r="W1369" s="261">
        <f t="shared" si="212"/>
        <v>0</v>
      </c>
      <c r="X1369" s="133">
        <f t="shared" si="213"/>
        <v>0</v>
      </c>
      <c r="Y1369" s="251"/>
      <c r="Z1369" s="1736"/>
      <c r="AA1369" s="1737"/>
      <c r="AB1369" s="77">
        <f t="shared" si="214"/>
        <v>0</v>
      </c>
      <c r="AC1369" s="134">
        <f t="shared" si="215"/>
        <v>0</v>
      </c>
      <c r="AD1369" s="251"/>
      <c r="AE1369" s="1736"/>
      <c r="AF1369" s="1737"/>
      <c r="AG1369" s="77">
        <f t="shared" si="216"/>
        <v>0</v>
      </c>
      <c r="AH1369" s="136">
        <f t="shared" si="217"/>
        <v>0</v>
      </c>
      <c r="AI1369" s="251"/>
      <c r="AJ1369" s="1736"/>
      <c r="AK1369" s="1737"/>
      <c r="AL1369" s="79">
        <f t="shared" si="218"/>
        <v>0</v>
      </c>
      <c r="AM1369" s="137">
        <f t="shared" si="219"/>
        <v>0</v>
      </c>
      <c r="AN1369" s="251"/>
      <c r="AO1369" s="1736"/>
      <c r="AP1369" s="1737"/>
    </row>
    <row r="1370" spans="1:42" s="85" customFormat="1" ht="13.5" thickBot="1">
      <c r="A1370" s="240"/>
      <c r="B1370" s="241"/>
      <c r="C1370" s="242"/>
      <c r="D1370" s="242"/>
      <c r="E1370" s="243"/>
      <c r="F1370" s="244"/>
      <c r="G1370" s="244"/>
      <c r="H1370" s="243"/>
      <c r="I1370" s="258"/>
      <c r="J1370" s="245"/>
      <c r="K1370" s="245"/>
      <c r="L1370" s="76">
        <f t="shared" si="210"/>
        <v>0</v>
      </c>
      <c r="M1370" s="246"/>
      <c r="N1370" s="247"/>
      <c r="O1370" s="248"/>
      <c r="P1370" s="246"/>
      <c r="Q1370" s="249"/>
      <c r="R1370" s="250"/>
      <c r="S1370" s="259"/>
      <c r="T1370" s="260"/>
      <c r="U1370" s="250"/>
      <c r="V1370" s="78">
        <f t="shared" si="211"/>
        <v>0</v>
      </c>
      <c r="W1370" s="261">
        <f t="shared" si="212"/>
        <v>0</v>
      </c>
      <c r="X1370" s="133">
        <f t="shared" si="213"/>
        <v>0</v>
      </c>
      <c r="Y1370" s="251"/>
      <c r="Z1370" s="1736"/>
      <c r="AA1370" s="1737"/>
      <c r="AB1370" s="77">
        <f t="shared" si="214"/>
        <v>0</v>
      </c>
      <c r="AC1370" s="134">
        <f t="shared" si="215"/>
        <v>0</v>
      </c>
      <c r="AD1370" s="251"/>
      <c r="AE1370" s="1736"/>
      <c r="AF1370" s="1737"/>
      <c r="AG1370" s="77">
        <f t="shared" si="216"/>
        <v>0</v>
      </c>
      <c r="AH1370" s="136">
        <f t="shared" si="217"/>
        <v>0</v>
      </c>
      <c r="AI1370" s="251"/>
      <c r="AJ1370" s="1736"/>
      <c r="AK1370" s="1737"/>
      <c r="AL1370" s="79">
        <f t="shared" si="218"/>
        <v>0</v>
      </c>
      <c r="AM1370" s="137">
        <f t="shared" si="219"/>
        <v>0</v>
      </c>
      <c r="AN1370" s="251"/>
      <c r="AO1370" s="1736"/>
      <c r="AP1370" s="1737"/>
    </row>
    <row r="1371" spans="1:42" s="85" customFormat="1" ht="13.5" thickBot="1">
      <c r="A1371" s="240"/>
      <c r="B1371" s="241"/>
      <c r="C1371" s="242"/>
      <c r="D1371" s="242"/>
      <c r="E1371" s="243"/>
      <c r="F1371" s="244"/>
      <c r="G1371" s="244"/>
      <c r="H1371" s="243"/>
      <c r="I1371" s="258"/>
      <c r="J1371" s="245"/>
      <c r="K1371" s="245"/>
      <c r="L1371" s="76">
        <f t="shared" si="210"/>
        <v>0</v>
      </c>
      <c r="M1371" s="246"/>
      <c r="N1371" s="247"/>
      <c r="O1371" s="248"/>
      <c r="P1371" s="246"/>
      <c r="Q1371" s="249"/>
      <c r="R1371" s="250"/>
      <c r="S1371" s="259"/>
      <c r="T1371" s="260"/>
      <c r="U1371" s="250"/>
      <c r="V1371" s="78">
        <f t="shared" si="211"/>
        <v>0</v>
      </c>
      <c r="W1371" s="261">
        <f t="shared" si="212"/>
        <v>0</v>
      </c>
      <c r="X1371" s="133">
        <f t="shared" si="213"/>
        <v>0</v>
      </c>
      <c r="Y1371" s="251"/>
      <c r="Z1371" s="1736"/>
      <c r="AA1371" s="1737"/>
      <c r="AB1371" s="77">
        <f t="shared" si="214"/>
        <v>0</v>
      </c>
      <c r="AC1371" s="134">
        <f t="shared" si="215"/>
        <v>0</v>
      </c>
      <c r="AD1371" s="251"/>
      <c r="AE1371" s="1736"/>
      <c r="AF1371" s="1737"/>
      <c r="AG1371" s="77">
        <f t="shared" si="216"/>
        <v>0</v>
      </c>
      <c r="AH1371" s="136">
        <f t="shared" si="217"/>
        <v>0</v>
      </c>
      <c r="AI1371" s="251"/>
      <c r="AJ1371" s="1736"/>
      <c r="AK1371" s="1737"/>
      <c r="AL1371" s="79">
        <f t="shared" si="218"/>
        <v>0</v>
      </c>
      <c r="AM1371" s="137">
        <f t="shared" si="219"/>
        <v>0</v>
      </c>
      <c r="AN1371" s="251"/>
      <c r="AO1371" s="1736"/>
      <c r="AP1371" s="1737"/>
    </row>
    <row r="1372" spans="1:42" s="85" customFormat="1" ht="13.5" thickBot="1">
      <c r="A1372" s="240"/>
      <c r="B1372" s="241"/>
      <c r="C1372" s="242"/>
      <c r="D1372" s="242"/>
      <c r="E1372" s="243"/>
      <c r="F1372" s="244"/>
      <c r="G1372" s="244"/>
      <c r="H1372" s="243"/>
      <c r="I1372" s="258"/>
      <c r="J1372" s="245"/>
      <c r="K1372" s="245"/>
      <c r="L1372" s="76">
        <f t="shared" si="210"/>
        <v>0</v>
      </c>
      <c r="M1372" s="246"/>
      <c r="N1372" s="247"/>
      <c r="O1372" s="248"/>
      <c r="P1372" s="246"/>
      <c r="Q1372" s="249"/>
      <c r="R1372" s="250"/>
      <c r="S1372" s="259"/>
      <c r="T1372" s="260"/>
      <c r="U1372" s="250"/>
      <c r="V1372" s="78">
        <f t="shared" si="211"/>
        <v>0</v>
      </c>
      <c r="W1372" s="261">
        <f t="shared" si="212"/>
        <v>0</v>
      </c>
      <c r="X1372" s="133">
        <f t="shared" si="213"/>
        <v>0</v>
      </c>
      <c r="Y1372" s="251"/>
      <c r="Z1372" s="1736"/>
      <c r="AA1372" s="1737"/>
      <c r="AB1372" s="77">
        <f t="shared" si="214"/>
        <v>0</v>
      </c>
      <c r="AC1372" s="134">
        <f t="shared" si="215"/>
        <v>0</v>
      </c>
      <c r="AD1372" s="251"/>
      <c r="AE1372" s="1736"/>
      <c r="AF1372" s="1737"/>
      <c r="AG1372" s="77">
        <f t="shared" si="216"/>
        <v>0</v>
      </c>
      <c r="AH1372" s="136">
        <f t="shared" si="217"/>
        <v>0</v>
      </c>
      <c r="AI1372" s="251"/>
      <c r="AJ1372" s="1736"/>
      <c r="AK1372" s="1737"/>
      <c r="AL1372" s="79">
        <f t="shared" si="218"/>
        <v>0</v>
      </c>
      <c r="AM1372" s="137">
        <f t="shared" si="219"/>
        <v>0</v>
      </c>
      <c r="AN1372" s="251"/>
      <c r="AO1372" s="1736"/>
      <c r="AP1372" s="1737"/>
    </row>
    <row r="1373" spans="1:42" s="85" customFormat="1" ht="13.5" thickBot="1">
      <c r="A1373" s="240"/>
      <c r="B1373" s="241"/>
      <c r="C1373" s="242"/>
      <c r="D1373" s="242"/>
      <c r="E1373" s="243"/>
      <c r="F1373" s="244"/>
      <c r="G1373" s="244"/>
      <c r="H1373" s="243"/>
      <c r="I1373" s="258"/>
      <c r="J1373" s="245"/>
      <c r="K1373" s="245"/>
      <c r="L1373" s="76">
        <f t="shared" si="210"/>
        <v>0</v>
      </c>
      <c r="M1373" s="246"/>
      <c r="N1373" s="247"/>
      <c r="O1373" s="248"/>
      <c r="P1373" s="246"/>
      <c r="Q1373" s="249"/>
      <c r="R1373" s="250"/>
      <c r="S1373" s="259"/>
      <c r="T1373" s="260"/>
      <c r="U1373" s="250"/>
      <c r="V1373" s="78">
        <f t="shared" si="211"/>
        <v>0</v>
      </c>
      <c r="W1373" s="261">
        <f t="shared" si="212"/>
        <v>0</v>
      </c>
      <c r="X1373" s="133">
        <f t="shared" si="213"/>
        <v>0</v>
      </c>
      <c r="Y1373" s="251"/>
      <c r="Z1373" s="1736"/>
      <c r="AA1373" s="1737"/>
      <c r="AB1373" s="77">
        <f t="shared" si="214"/>
        <v>0</v>
      </c>
      <c r="AC1373" s="134">
        <f t="shared" si="215"/>
        <v>0</v>
      </c>
      <c r="AD1373" s="251"/>
      <c r="AE1373" s="1736"/>
      <c r="AF1373" s="1737"/>
      <c r="AG1373" s="77">
        <f t="shared" si="216"/>
        <v>0</v>
      </c>
      <c r="AH1373" s="136">
        <f t="shared" si="217"/>
        <v>0</v>
      </c>
      <c r="AI1373" s="251"/>
      <c r="AJ1373" s="1736"/>
      <c r="AK1373" s="1737"/>
      <c r="AL1373" s="79">
        <f t="shared" si="218"/>
        <v>0</v>
      </c>
      <c r="AM1373" s="137">
        <f t="shared" si="219"/>
        <v>0</v>
      </c>
      <c r="AN1373" s="251"/>
      <c r="AO1373" s="1736"/>
      <c r="AP1373" s="1737"/>
    </row>
    <row r="1374" spans="1:42" s="85" customFormat="1" ht="13.5" thickBot="1">
      <c r="A1374" s="240"/>
      <c r="B1374" s="241"/>
      <c r="C1374" s="242"/>
      <c r="D1374" s="242"/>
      <c r="E1374" s="243"/>
      <c r="F1374" s="244"/>
      <c r="G1374" s="244"/>
      <c r="H1374" s="243"/>
      <c r="I1374" s="258"/>
      <c r="J1374" s="245"/>
      <c r="K1374" s="245"/>
      <c r="L1374" s="76">
        <f t="shared" si="210"/>
        <v>0</v>
      </c>
      <c r="M1374" s="246"/>
      <c r="N1374" s="247"/>
      <c r="O1374" s="248"/>
      <c r="P1374" s="246"/>
      <c r="Q1374" s="249"/>
      <c r="R1374" s="250"/>
      <c r="S1374" s="259"/>
      <c r="T1374" s="260"/>
      <c r="U1374" s="250"/>
      <c r="V1374" s="78">
        <f t="shared" si="211"/>
        <v>0</v>
      </c>
      <c r="W1374" s="261">
        <f t="shared" si="212"/>
        <v>0</v>
      </c>
      <c r="X1374" s="133">
        <f t="shared" si="213"/>
        <v>0</v>
      </c>
      <c r="Y1374" s="251"/>
      <c r="Z1374" s="1736"/>
      <c r="AA1374" s="1737"/>
      <c r="AB1374" s="77">
        <f t="shared" si="214"/>
        <v>0</v>
      </c>
      <c r="AC1374" s="134">
        <f t="shared" si="215"/>
        <v>0</v>
      </c>
      <c r="AD1374" s="251"/>
      <c r="AE1374" s="1736"/>
      <c r="AF1374" s="1737"/>
      <c r="AG1374" s="77">
        <f t="shared" si="216"/>
        <v>0</v>
      </c>
      <c r="AH1374" s="136">
        <f t="shared" si="217"/>
        <v>0</v>
      </c>
      <c r="AI1374" s="251"/>
      <c r="AJ1374" s="1736"/>
      <c r="AK1374" s="1737"/>
      <c r="AL1374" s="79">
        <f t="shared" si="218"/>
        <v>0</v>
      </c>
      <c r="AM1374" s="137">
        <f t="shared" si="219"/>
        <v>0</v>
      </c>
      <c r="AN1374" s="251"/>
      <c r="AO1374" s="1736"/>
      <c r="AP1374" s="1737"/>
    </row>
    <row r="1375" spans="1:42" s="85" customFormat="1" ht="13.5" thickBot="1">
      <c r="A1375" s="240"/>
      <c r="B1375" s="241"/>
      <c r="C1375" s="242"/>
      <c r="D1375" s="242"/>
      <c r="E1375" s="243"/>
      <c r="F1375" s="244"/>
      <c r="G1375" s="244"/>
      <c r="H1375" s="243"/>
      <c r="I1375" s="258"/>
      <c r="J1375" s="245"/>
      <c r="K1375" s="245"/>
      <c r="L1375" s="76">
        <f t="shared" si="210"/>
        <v>0</v>
      </c>
      <c r="M1375" s="246"/>
      <c r="N1375" s="247"/>
      <c r="O1375" s="248"/>
      <c r="P1375" s="246"/>
      <c r="Q1375" s="249"/>
      <c r="R1375" s="250"/>
      <c r="S1375" s="259"/>
      <c r="T1375" s="260"/>
      <c r="U1375" s="250"/>
      <c r="V1375" s="78">
        <f t="shared" si="211"/>
        <v>0</v>
      </c>
      <c r="W1375" s="261">
        <f t="shared" si="212"/>
        <v>0</v>
      </c>
      <c r="X1375" s="133">
        <f t="shared" si="213"/>
        <v>0</v>
      </c>
      <c r="Y1375" s="251"/>
      <c r="Z1375" s="1736"/>
      <c r="AA1375" s="1737"/>
      <c r="AB1375" s="77">
        <f t="shared" si="214"/>
        <v>0</v>
      </c>
      <c r="AC1375" s="134">
        <f t="shared" si="215"/>
        <v>0</v>
      </c>
      <c r="AD1375" s="251"/>
      <c r="AE1375" s="1736"/>
      <c r="AF1375" s="1737"/>
      <c r="AG1375" s="77">
        <f t="shared" si="216"/>
        <v>0</v>
      </c>
      <c r="AH1375" s="136">
        <f t="shared" si="217"/>
        <v>0</v>
      </c>
      <c r="AI1375" s="251"/>
      <c r="AJ1375" s="1736"/>
      <c r="AK1375" s="1737"/>
      <c r="AL1375" s="79">
        <f t="shared" si="218"/>
        <v>0</v>
      </c>
      <c r="AM1375" s="137">
        <f t="shared" si="219"/>
        <v>0</v>
      </c>
      <c r="AN1375" s="251"/>
      <c r="AO1375" s="1736"/>
      <c r="AP1375" s="1737"/>
    </row>
    <row r="1376" spans="1:42" s="85" customFormat="1" ht="13.5" thickBot="1">
      <c r="A1376" s="240"/>
      <c r="B1376" s="241"/>
      <c r="C1376" s="242"/>
      <c r="D1376" s="242"/>
      <c r="E1376" s="243"/>
      <c r="F1376" s="244"/>
      <c r="G1376" s="244"/>
      <c r="H1376" s="243"/>
      <c r="I1376" s="258"/>
      <c r="J1376" s="245"/>
      <c r="K1376" s="245"/>
      <c r="L1376" s="76">
        <f t="shared" si="210"/>
        <v>0</v>
      </c>
      <c r="M1376" s="246"/>
      <c r="N1376" s="247"/>
      <c r="O1376" s="248"/>
      <c r="P1376" s="246"/>
      <c r="Q1376" s="249"/>
      <c r="R1376" s="250"/>
      <c r="S1376" s="259"/>
      <c r="T1376" s="260"/>
      <c r="U1376" s="250"/>
      <c r="V1376" s="78">
        <f t="shared" si="211"/>
        <v>0</v>
      </c>
      <c r="W1376" s="261">
        <f t="shared" si="212"/>
        <v>0</v>
      </c>
      <c r="X1376" s="133">
        <f t="shared" si="213"/>
        <v>0</v>
      </c>
      <c r="Y1376" s="251"/>
      <c r="Z1376" s="1736"/>
      <c r="AA1376" s="1737"/>
      <c r="AB1376" s="77">
        <f t="shared" si="214"/>
        <v>0</v>
      </c>
      <c r="AC1376" s="134">
        <f t="shared" si="215"/>
        <v>0</v>
      </c>
      <c r="AD1376" s="251"/>
      <c r="AE1376" s="1736"/>
      <c r="AF1376" s="1737"/>
      <c r="AG1376" s="77">
        <f t="shared" si="216"/>
        <v>0</v>
      </c>
      <c r="AH1376" s="136">
        <f t="shared" si="217"/>
        <v>0</v>
      </c>
      <c r="AI1376" s="251"/>
      <c r="AJ1376" s="1736"/>
      <c r="AK1376" s="1737"/>
      <c r="AL1376" s="79">
        <f t="shared" si="218"/>
        <v>0</v>
      </c>
      <c r="AM1376" s="137">
        <f t="shared" si="219"/>
        <v>0</v>
      </c>
      <c r="AN1376" s="251"/>
      <c r="AO1376" s="1736"/>
      <c r="AP1376" s="1737"/>
    </row>
    <row r="1377" spans="1:42" s="85" customFormat="1" ht="13.5" thickBot="1">
      <c r="A1377" s="240"/>
      <c r="B1377" s="241"/>
      <c r="C1377" s="242"/>
      <c r="D1377" s="242"/>
      <c r="E1377" s="243"/>
      <c r="F1377" s="244"/>
      <c r="G1377" s="244"/>
      <c r="H1377" s="243"/>
      <c r="I1377" s="258"/>
      <c r="J1377" s="245"/>
      <c r="K1377" s="245"/>
      <c r="L1377" s="76">
        <f t="shared" si="210"/>
        <v>0</v>
      </c>
      <c r="M1377" s="246"/>
      <c r="N1377" s="247"/>
      <c r="O1377" s="248"/>
      <c r="P1377" s="246"/>
      <c r="Q1377" s="249"/>
      <c r="R1377" s="250"/>
      <c r="S1377" s="259"/>
      <c r="T1377" s="260"/>
      <c r="U1377" s="250"/>
      <c r="V1377" s="78">
        <f t="shared" si="211"/>
        <v>0</v>
      </c>
      <c r="W1377" s="261">
        <f t="shared" si="212"/>
        <v>0</v>
      </c>
      <c r="X1377" s="133">
        <f t="shared" si="213"/>
        <v>0</v>
      </c>
      <c r="Y1377" s="251"/>
      <c r="Z1377" s="1736"/>
      <c r="AA1377" s="1737"/>
      <c r="AB1377" s="77">
        <f t="shared" si="214"/>
        <v>0</v>
      </c>
      <c r="AC1377" s="134">
        <f t="shared" si="215"/>
        <v>0</v>
      </c>
      <c r="AD1377" s="251"/>
      <c r="AE1377" s="1736"/>
      <c r="AF1377" s="1737"/>
      <c r="AG1377" s="77">
        <f t="shared" si="216"/>
        <v>0</v>
      </c>
      <c r="AH1377" s="136">
        <f t="shared" si="217"/>
        <v>0</v>
      </c>
      <c r="AI1377" s="251"/>
      <c r="AJ1377" s="1736"/>
      <c r="AK1377" s="1737"/>
      <c r="AL1377" s="79">
        <f t="shared" si="218"/>
        <v>0</v>
      </c>
      <c r="AM1377" s="137">
        <f t="shared" si="219"/>
        <v>0</v>
      </c>
      <c r="AN1377" s="251"/>
      <c r="AO1377" s="1736"/>
      <c r="AP1377" s="1737"/>
    </row>
    <row r="1378" spans="1:42" s="85" customFormat="1" ht="13.5" thickBot="1">
      <c r="A1378" s="240"/>
      <c r="B1378" s="241"/>
      <c r="C1378" s="242"/>
      <c r="D1378" s="242"/>
      <c r="E1378" s="243"/>
      <c r="F1378" s="244"/>
      <c r="G1378" s="244"/>
      <c r="H1378" s="243"/>
      <c r="I1378" s="258"/>
      <c r="J1378" s="245"/>
      <c r="K1378" s="245"/>
      <c r="L1378" s="76">
        <f t="shared" si="210"/>
        <v>0</v>
      </c>
      <c r="M1378" s="246"/>
      <c r="N1378" s="247"/>
      <c r="O1378" s="248"/>
      <c r="P1378" s="246"/>
      <c r="Q1378" s="249"/>
      <c r="R1378" s="250"/>
      <c r="S1378" s="259"/>
      <c r="T1378" s="260"/>
      <c r="U1378" s="250"/>
      <c r="V1378" s="78">
        <f t="shared" si="211"/>
        <v>0</v>
      </c>
      <c r="W1378" s="261">
        <f t="shared" si="212"/>
        <v>0</v>
      </c>
      <c r="X1378" s="133">
        <f t="shared" si="213"/>
        <v>0</v>
      </c>
      <c r="Y1378" s="251"/>
      <c r="Z1378" s="1736"/>
      <c r="AA1378" s="1737"/>
      <c r="AB1378" s="77">
        <f t="shared" si="214"/>
        <v>0</v>
      </c>
      <c r="AC1378" s="134">
        <f t="shared" si="215"/>
        <v>0</v>
      </c>
      <c r="AD1378" s="251"/>
      <c r="AE1378" s="1736"/>
      <c r="AF1378" s="1737"/>
      <c r="AG1378" s="77">
        <f t="shared" si="216"/>
        <v>0</v>
      </c>
      <c r="AH1378" s="136">
        <f t="shared" si="217"/>
        <v>0</v>
      </c>
      <c r="AI1378" s="251"/>
      <c r="AJ1378" s="1736"/>
      <c r="AK1378" s="1737"/>
      <c r="AL1378" s="79">
        <f t="shared" si="218"/>
        <v>0</v>
      </c>
      <c r="AM1378" s="137">
        <f t="shared" si="219"/>
        <v>0</v>
      </c>
      <c r="AN1378" s="251"/>
      <c r="AO1378" s="1736"/>
      <c r="AP1378" s="1737"/>
    </row>
    <row r="1379" spans="1:42" s="85" customFormat="1" ht="13.5" thickBot="1">
      <c r="A1379" s="240"/>
      <c r="B1379" s="241"/>
      <c r="C1379" s="242"/>
      <c r="D1379" s="242"/>
      <c r="E1379" s="243"/>
      <c r="F1379" s="244"/>
      <c r="G1379" s="244"/>
      <c r="H1379" s="243"/>
      <c r="I1379" s="258"/>
      <c r="J1379" s="245"/>
      <c r="K1379" s="245"/>
      <c r="L1379" s="76">
        <f t="shared" si="210"/>
        <v>0</v>
      </c>
      <c r="M1379" s="246"/>
      <c r="N1379" s="247"/>
      <c r="O1379" s="248"/>
      <c r="P1379" s="246"/>
      <c r="Q1379" s="249"/>
      <c r="R1379" s="250"/>
      <c r="S1379" s="259"/>
      <c r="T1379" s="260"/>
      <c r="U1379" s="250"/>
      <c r="V1379" s="78">
        <f t="shared" si="211"/>
        <v>0</v>
      </c>
      <c r="W1379" s="261">
        <f t="shared" si="212"/>
        <v>0</v>
      </c>
      <c r="X1379" s="133">
        <f t="shared" si="213"/>
        <v>0</v>
      </c>
      <c r="Y1379" s="251"/>
      <c r="Z1379" s="1736"/>
      <c r="AA1379" s="1737"/>
      <c r="AB1379" s="77">
        <f t="shared" si="214"/>
        <v>0</v>
      </c>
      <c r="AC1379" s="134">
        <f t="shared" si="215"/>
        <v>0</v>
      </c>
      <c r="AD1379" s="251"/>
      <c r="AE1379" s="1736"/>
      <c r="AF1379" s="1737"/>
      <c r="AG1379" s="77">
        <f t="shared" si="216"/>
        <v>0</v>
      </c>
      <c r="AH1379" s="136">
        <f t="shared" si="217"/>
        <v>0</v>
      </c>
      <c r="AI1379" s="251"/>
      <c r="AJ1379" s="1736"/>
      <c r="AK1379" s="1737"/>
      <c r="AL1379" s="79">
        <f t="shared" si="218"/>
        <v>0</v>
      </c>
      <c r="AM1379" s="137">
        <f t="shared" si="219"/>
        <v>0</v>
      </c>
      <c r="AN1379" s="251"/>
      <c r="AO1379" s="1736"/>
      <c r="AP1379" s="1737"/>
    </row>
    <row r="1380" spans="1:42" s="85" customFormat="1" ht="13.5" thickBot="1">
      <c r="A1380" s="240"/>
      <c r="B1380" s="241"/>
      <c r="C1380" s="242"/>
      <c r="D1380" s="242"/>
      <c r="E1380" s="243"/>
      <c r="F1380" s="244"/>
      <c r="G1380" s="244"/>
      <c r="H1380" s="243"/>
      <c r="I1380" s="258"/>
      <c r="J1380" s="245"/>
      <c r="K1380" s="245"/>
      <c r="L1380" s="76">
        <f t="shared" si="210"/>
        <v>0</v>
      </c>
      <c r="M1380" s="246"/>
      <c r="N1380" s="247"/>
      <c r="O1380" s="248"/>
      <c r="P1380" s="246"/>
      <c r="Q1380" s="249"/>
      <c r="R1380" s="250"/>
      <c r="S1380" s="259"/>
      <c r="T1380" s="260"/>
      <c r="U1380" s="250"/>
      <c r="V1380" s="78">
        <f t="shared" si="211"/>
        <v>0</v>
      </c>
      <c r="W1380" s="261">
        <f t="shared" si="212"/>
        <v>0</v>
      </c>
      <c r="X1380" s="133">
        <f t="shared" si="213"/>
        <v>0</v>
      </c>
      <c r="Y1380" s="251"/>
      <c r="Z1380" s="1736"/>
      <c r="AA1380" s="1737"/>
      <c r="AB1380" s="77">
        <f t="shared" si="214"/>
        <v>0</v>
      </c>
      <c r="AC1380" s="134">
        <f t="shared" si="215"/>
        <v>0</v>
      </c>
      <c r="AD1380" s="251"/>
      <c r="AE1380" s="1736"/>
      <c r="AF1380" s="1737"/>
      <c r="AG1380" s="77">
        <f t="shared" si="216"/>
        <v>0</v>
      </c>
      <c r="AH1380" s="136">
        <f t="shared" si="217"/>
        <v>0</v>
      </c>
      <c r="AI1380" s="251"/>
      <c r="AJ1380" s="1736"/>
      <c r="AK1380" s="1737"/>
      <c r="AL1380" s="79">
        <f t="shared" si="218"/>
        <v>0</v>
      </c>
      <c r="AM1380" s="137">
        <f t="shared" si="219"/>
        <v>0</v>
      </c>
      <c r="AN1380" s="251"/>
      <c r="AO1380" s="1736"/>
      <c r="AP1380" s="1737"/>
    </row>
    <row r="1381" spans="1:42" s="85" customFormat="1" ht="13.5" thickBot="1">
      <c r="A1381" s="240"/>
      <c r="B1381" s="241"/>
      <c r="C1381" s="242"/>
      <c r="D1381" s="242"/>
      <c r="E1381" s="243"/>
      <c r="F1381" s="244"/>
      <c r="G1381" s="244"/>
      <c r="H1381" s="243"/>
      <c r="I1381" s="258"/>
      <c r="J1381" s="245"/>
      <c r="K1381" s="245"/>
      <c r="L1381" s="76">
        <f t="shared" si="210"/>
        <v>0</v>
      </c>
      <c r="M1381" s="246"/>
      <c r="N1381" s="247"/>
      <c r="O1381" s="248"/>
      <c r="P1381" s="246"/>
      <c r="Q1381" s="249"/>
      <c r="R1381" s="250"/>
      <c r="S1381" s="259"/>
      <c r="T1381" s="260"/>
      <c r="U1381" s="250"/>
      <c r="V1381" s="78">
        <f t="shared" si="211"/>
        <v>0</v>
      </c>
      <c r="W1381" s="261">
        <f t="shared" si="212"/>
        <v>0</v>
      </c>
      <c r="X1381" s="133">
        <f t="shared" si="213"/>
        <v>0</v>
      </c>
      <c r="Y1381" s="251"/>
      <c r="Z1381" s="1736"/>
      <c r="AA1381" s="1737"/>
      <c r="AB1381" s="77">
        <f t="shared" si="214"/>
        <v>0</v>
      </c>
      <c r="AC1381" s="134">
        <f t="shared" si="215"/>
        <v>0</v>
      </c>
      <c r="AD1381" s="251"/>
      <c r="AE1381" s="1736"/>
      <c r="AF1381" s="1737"/>
      <c r="AG1381" s="77">
        <f t="shared" si="216"/>
        <v>0</v>
      </c>
      <c r="AH1381" s="136">
        <f t="shared" si="217"/>
        <v>0</v>
      </c>
      <c r="AI1381" s="251"/>
      <c r="AJ1381" s="1736"/>
      <c r="AK1381" s="1737"/>
      <c r="AL1381" s="79">
        <f t="shared" si="218"/>
        <v>0</v>
      </c>
      <c r="AM1381" s="137">
        <f t="shared" si="219"/>
        <v>0</v>
      </c>
      <c r="AN1381" s="251"/>
      <c r="AO1381" s="1736"/>
      <c r="AP1381" s="1737"/>
    </row>
    <row r="1382" spans="1:42" s="85" customFormat="1" ht="13.5" thickBot="1">
      <c r="A1382" s="240"/>
      <c r="B1382" s="241"/>
      <c r="C1382" s="242"/>
      <c r="D1382" s="242"/>
      <c r="E1382" s="243"/>
      <c r="F1382" s="244"/>
      <c r="G1382" s="244"/>
      <c r="H1382" s="243"/>
      <c r="I1382" s="258"/>
      <c r="J1382" s="245"/>
      <c r="K1382" s="245"/>
      <c r="L1382" s="76">
        <f t="shared" si="210"/>
        <v>0</v>
      </c>
      <c r="M1382" s="246"/>
      <c r="N1382" s="247"/>
      <c r="O1382" s="248"/>
      <c r="P1382" s="246"/>
      <c r="Q1382" s="249"/>
      <c r="R1382" s="250"/>
      <c r="S1382" s="259"/>
      <c r="T1382" s="260"/>
      <c r="U1382" s="250"/>
      <c r="V1382" s="78">
        <f t="shared" si="211"/>
        <v>0</v>
      </c>
      <c r="W1382" s="261">
        <f t="shared" si="212"/>
        <v>0</v>
      </c>
      <c r="X1382" s="133">
        <f t="shared" si="213"/>
        <v>0</v>
      </c>
      <c r="Y1382" s="251"/>
      <c r="Z1382" s="1736"/>
      <c r="AA1382" s="1737"/>
      <c r="AB1382" s="77">
        <f t="shared" si="214"/>
        <v>0</v>
      </c>
      <c r="AC1382" s="134">
        <f t="shared" si="215"/>
        <v>0</v>
      </c>
      <c r="AD1382" s="251"/>
      <c r="AE1382" s="1736"/>
      <c r="AF1382" s="1737"/>
      <c r="AG1382" s="77">
        <f t="shared" si="216"/>
        <v>0</v>
      </c>
      <c r="AH1382" s="136">
        <f t="shared" si="217"/>
        <v>0</v>
      </c>
      <c r="AI1382" s="251"/>
      <c r="AJ1382" s="1736"/>
      <c r="AK1382" s="1737"/>
      <c r="AL1382" s="79">
        <f t="shared" si="218"/>
        <v>0</v>
      </c>
      <c r="AM1382" s="137">
        <f t="shared" si="219"/>
        <v>0</v>
      </c>
      <c r="AN1382" s="251"/>
      <c r="AO1382" s="1736"/>
      <c r="AP1382" s="1737"/>
    </row>
    <row r="1383" spans="1:42" s="85" customFormat="1" ht="13.5" thickBot="1">
      <c r="A1383" s="240"/>
      <c r="B1383" s="241"/>
      <c r="C1383" s="242"/>
      <c r="D1383" s="242"/>
      <c r="E1383" s="243"/>
      <c r="F1383" s="244"/>
      <c r="G1383" s="244"/>
      <c r="H1383" s="243"/>
      <c r="I1383" s="258"/>
      <c r="J1383" s="245"/>
      <c r="K1383" s="245"/>
      <c r="L1383" s="76">
        <f t="shared" si="210"/>
        <v>0</v>
      </c>
      <c r="M1383" s="246"/>
      <c r="N1383" s="247"/>
      <c r="O1383" s="248"/>
      <c r="P1383" s="246"/>
      <c r="Q1383" s="249"/>
      <c r="R1383" s="250"/>
      <c r="S1383" s="259"/>
      <c r="T1383" s="260"/>
      <c r="U1383" s="250"/>
      <c r="V1383" s="78">
        <f t="shared" si="211"/>
        <v>0</v>
      </c>
      <c r="W1383" s="261">
        <f t="shared" si="212"/>
        <v>0</v>
      </c>
      <c r="X1383" s="133">
        <f t="shared" si="213"/>
        <v>0</v>
      </c>
      <c r="Y1383" s="251"/>
      <c r="Z1383" s="1736"/>
      <c r="AA1383" s="1737"/>
      <c r="AB1383" s="77">
        <f t="shared" si="214"/>
        <v>0</v>
      </c>
      <c r="AC1383" s="134">
        <f t="shared" si="215"/>
        <v>0</v>
      </c>
      <c r="AD1383" s="251"/>
      <c r="AE1383" s="1736"/>
      <c r="AF1383" s="1737"/>
      <c r="AG1383" s="77">
        <f t="shared" si="216"/>
        <v>0</v>
      </c>
      <c r="AH1383" s="136">
        <f t="shared" si="217"/>
        <v>0</v>
      </c>
      <c r="AI1383" s="251"/>
      <c r="AJ1383" s="1736"/>
      <c r="AK1383" s="1737"/>
      <c r="AL1383" s="79">
        <f t="shared" si="218"/>
        <v>0</v>
      </c>
      <c r="AM1383" s="137">
        <f t="shared" si="219"/>
        <v>0</v>
      </c>
      <c r="AN1383" s="251"/>
      <c r="AO1383" s="1736"/>
      <c r="AP1383" s="1737"/>
    </row>
    <row r="1384" spans="1:42" s="85" customFormat="1" ht="13.5" thickBot="1">
      <c r="A1384" s="240"/>
      <c r="B1384" s="241"/>
      <c r="C1384" s="242"/>
      <c r="D1384" s="242"/>
      <c r="E1384" s="243"/>
      <c r="F1384" s="244"/>
      <c r="G1384" s="244"/>
      <c r="H1384" s="243"/>
      <c r="I1384" s="258"/>
      <c r="J1384" s="245"/>
      <c r="K1384" s="245"/>
      <c r="L1384" s="76">
        <f t="shared" si="210"/>
        <v>0</v>
      </c>
      <c r="M1384" s="246"/>
      <c r="N1384" s="247"/>
      <c r="O1384" s="248"/>
      <c r="P1384" s="246"/>
      <c r="Q1384" s="249"/>
      <c r="R1384" s="250"/>
      <c r="S1384" s="259"/>
      <c r="T1384" s="260"/>
      <c r="U1384" s="250"/>
      <c r="V1384" s="78">
        <f t="shared" si="211"/>
        <v>0</v>
      </c>
      <c r="W1384" s="261">
        <f t="shared" si="212"/>
        <v>0</v>
      </c>
      <c r="X1384" s="133">
        <f t="shared" si="213"/>
        <v>0</v>
      </c>
      <c r="Y1384" s="251"/>
      <c r="Z1384" s="1736"/>
      <c r="AA1384" s="1737"/>
      <c r="AB1384" s="77">
        <f t="shared" si="214"/>
        <v>0</v>
      </c>
      <c r="AC1384" s="134">
        <f t="shared" si="215"/>
        <v>0</v>
      </c>
      <c r="AD1384" s="251"/>
      <c r="AE1384" s="1736"/>
      <c r="AF1384" s="1737"/>
      <c r="AG1384" s="77">
        <f t="shared" si="216"/>
        <v>0</v>
      </c>
      <c r="AH1384" s="136">
        <f t="shared" si="217"/>
        <v>0</v>
      </c>
      <c r="AI1384" s="251"/>
      <c r="AJ1384" s="1736"/>
      <c r="AK1384" s="1737"/>
      <c r="AL1384" s="79">
        <f t="shared" si="218"/>
        <v>0</v>
      </c>
      <c r="AM1384" s="137">
        <f t="shared" si="219"/>
        <v>0</v>
      </c>
      <c r="AN1384" s="251"/>
      <c r="AO1384" s="1736"/>
      <c r="AP1384" s="1737"/>
    </row>
    <row r="1385" spans="1:42" s="85" customFormat="1" ht="13.5" thickBot="1">
      <c r="A1385" s="240"/>
      <c r="B1385" s="241"/>
      <c r="C1385" s="242"/>
      <c r="D1385" s="242"/>
      <c r="E1385" s="243"/>
      <c r="F1385" s="244"/>
      <c r="G1385" s="244"/>
      <c r="H1385" s="243"/>
      <c r="I1385" s="258"/>
      <c r="J1385" s="245"/>
      <c r="K1385" s="245"/>
      <c r="L1385" s="76">
        <f t="shared" si="210"/>
        <v>0</v>
      </c>
      <c r="M1385" s="246"/>
      <c r="N1385" s="247"/>
      <c r="O1385" s="248"/>
      <c r="P1385" s="246"/>
      <c r="Q1385" s="249"/>
      <c r="R1385" s="250"/>
      <c r="S1385" s="259"/>
      <c r="T1385" s="260"/>
      <c r="U1385" s="250"/>
      <c r="V1385" s="78">
        <f t="shared" si="211"/>
        <v>0</v>
      </c>
      <c r="W1385" s="261">
        <f t="shared" si="212"/>
        <v>0</v>
      </c>
      <c r="X1385" s="133">
        <f t="shared" si="213"/>
        <v>0</v>
      </c>
      <c r="Y1385" s="251"/>
      <c r="Z1385" s="1736"/>
      <c r="AA1385" s="1737"/>
      <c r="AB1385" s="77">
        <f t="shared" si="214"/>
        <v>0</v>
      </c>
      <c r="AC1385" s="134">
        <f t="shared" si="215"/>
        <v>0</v>
      </c>
      <c r="AD1385" s="251"/>
      <c r="AE1385" s="1736"/>
      <c r="AF1385" s="1737"/>
      <c r="AG1385" s="77">
        <f t="shared" si="216"/>
        <v>0</v>
      </c>
      <c r="AH1385" s="136">
        <f t="shared" si="217"/>
        <v>0</v>
      </c>
      <c r="AI1385" s="251"/>
      <c r="AJ1385" s="1736"/>
      <c r="AK1385" s="1737"/>
      <c r="AL1385" s="79">
        <f t="shared" si="218"/>
        <v>0</v>
      </c>
      <c r="AM1385" s="137">
        <f t="shared" si="219"/>
        <v>0</v>
      </c>
      <c r="AN1385" s="251"/>
      <c r="AO1385" s="1736"/>
      <c r="AP1385" s="1737"/>
    </row>
    <row r="1386" spans="1:42" s="85" customFormat="1" ht="13.5" thickBot="1">
      <c r="A1386" s="240"/>
      <c r="B1386" s="241"/>
      <c r="C1386" s="242"/>
      <c r="D1386" s="242"/>
      <c r="E1386" s="243"/>
      <c r="F1386" s="244"/>
      <c r="G1386" s="244"/>
      <c r="H1386" s="243"/>
      <c r="I1386" s="258"/>
      <c r="J1386" s="245"/>
      <c r="K1386" s="245"/>
      <c r="L1386" s="76">
        <f t="shared" si="210"/>
        <v>0</v>
      </c>
      <c r="M1386" s="246"/>
      <c r="N1386" s="247"/>
      <c r="O1386" s="248"/>
      <c r="P1386" s="246"/>
      <c r="Q1386" s="249"/>
      <c r="R1386" s="250"/>
      <c r="S1386" s="259"/>
      <c r="T1386" s="260"/>
      <c r="U1386" s="250"/>
      <c r="V1386" s="78">
        <f t="shared" si="211"/>
        <v>0</v>
      </c>
      <c r="W1386" s="261">
        <f t="shared" si="212"/>
        <v>0</v>
      </c>
      <c r="X1386" s="133">
        <f t="shared" si="213"/>
        <v>0</v>
      </c>
      <c r="Y1386" s="251"/>
      <c r="Z1386" s="1736"/>
      <c r="AA1386" s="1737"/>
      <c r="AB1386" s="77">
        <f t="shared" si="214"/>
        <v>0</v>
      </c>
      <c r="AC1386" s="134">
        <f t="shared" si="215"/>
        <v>0</v>
      </c>
      <c r="AD1386" s="251"/>
      <c r="AE1386" s="1736"/>
      <c r="AF1386" s="1737"/>
      <c r="AG1386" s="77">
        <f t="shared" si="216"/>
        <v>0</v>
      </c>
      <c r="AH1386" s="136">
        <f t="shared" si="217"/>
        <v>0</v>
      </c>
      <c r="AI1386" s="251"/>
      <c r="AJ1386" s="1736"/>
      <c r="AK1386" s="1737"/>
      <c r="AL1386" s="79">
        <f t="shared" si="218"/>
        <v>0</v>
      </c>
      <c r="AM1386" s="137">
        <f t="shared" si="219"/>
        <v>0</v>
      </c>
      <c r="AN1386" s="251"/>
      <c r="AO1386" s="1736"/>
      <c r="AP1386" s="1737"/>
    </row>
    <row r="1387" spans="1:42" s="85" customFormat="1" ht="13.5" thickBot="1">
      <c r="A1387" s="240"/>
      <c r="B1387" s="241"/>
      <c r="C1387" s="242"/>
      <c r="D1387" s="242"/>
      <c r="E1387" s="243"/>
      <c r="F1387" s="244"/>
      <c r="G1387" s="244"/>
      <c r="H1387" s="243"/>
      <c r="I1387" s="258"/>
      <c r="J1387" s="245"/>
      <c r="K1387" s="245"/>
      <c r="L1387" s="76">
        <f t="shared" si="210"/>
        <v>0</v>
      </c>
      <c r="M1387" s="246"/>
      <c r="N1387" s="247"/>
      <c r="O1387" s="248"/>
      <c r="P1387" s="246"/>
      <c r="Q1387" s="249"/>
      <c r="R1387" s="250"/>
      <c r="S1387" s="259"/>
      <c r="T1387" s="260"/>
      <c r="U1387" s="250"/>
      <c r="V1387" s="78">
        <f t="shared" si="211"/>
        <v>0</v>
      </c>
      <c r="W1387" s="261">
        <f t="shared" si="212"/>
        <v>0</v>
      </c>
      <c r="X1387" s="133">
        <f t="shared" si="213"/>
        <v>0</v>
      </c>
      <c r="Y1387" s="251"/>
      <c r="Z1387" s="1736"/>
      <c r="AA1387" s="1737"/>
      <c r="AB1387" s="77">
        <f t="shared" si="214"/>
        <v>0</v>
      </c>
      <c r="AC1387" s="134">
        <f t="shared" si="215"/>
        <v>0</v>
      </c>
      <c r="AD1387" s="251"/>
      <c r="AE1387" s="1736"/>
      <c r="AF1387" s="1737"/>
      <c r="AG1387" s="77">
        <f t="shared" si="216"/>
        <v>0</v>
      </c>
      <c r="AH1387" s="136">
        <f t="shared" si="217"/>
        <v>0</v>
      </c>
      <c r="AI1387" s="251"/>
      <c r="AJ1387" s="1736"/>
      <c r="AK1387" s="1737"/>
      <c r="AL1387" s="79">
        <f t="shared" si="218"/>
        <v>0</v>
      </c>
      <c r="AM1387" s="137">
        <f t="shared" si="219"/>
        <v>0</v>
      </c>
      <c r="AN1387" s="251"/>
      <c r="AO1387" s="1736"/>
      <c r="AP1387" s="1737"/>
    </row>
    <row r="1388" spans="1:42" s="85" customFormat="1" ht="13.5" thickBot="1">
      <c r="A1388" s="240"/>
      <c r="B1388" s="241"/>
      <c r="C1388" s="242"/>
      <c r="D1388" s="242"/>
      <c r="E1388" s="243"/>
      <c r="F1388" s="244"/>
      <c r="G1388" s="244"/>
      <c r="H1388" s="243"/>
      <c r="I1388" s="258"/>
      <c r="J1388" s="245"/>
      <c r="K1388" s="245"/>
      <c r="L1388" s="76">
        <f t="shared" si="210"/>
        <v>0</v>
      </c>
      <c r="M1388" s="246"/>
      <c r="N1388" s="247"/>
      <c r="O1388" s="248"/>
      <c r="P1388" s="246"/>
      <c r="Q1388" s="249"/>
      <c r="R1388" s="250"/>
      <c r="S1388" s="259"/>
      <c r="T1388" s="260"/>
      <c r="U1388" s="250"/>
      <c r="V1388" s="78">
        <f t="shared" si="211"/>
        <v>0</v>
      </c>
      <c r="W1388" s="261">
        <f t="shared" si="212"/>
        <v>0</v>
      </c>
      <c r="X1388" s="133">
        <f t="shared" si="213"/>
        <v>0</v>
      </c>
      <c r="Y1388" s="251"/>
      <c r="Z1388" s="1736"/>
      <c r="AA1388" s="1737"/>
      <c r="AB1388" s="77">
        <f t="shared" si="214"/>
        <v>0</v>
      </c>
      <c r="AC1388" s="134">
        <f t="shared" si="215"/>
        <v>0</v>
      </c>
      <c r="AD1388" s="251"/>
      <c r="AE1388" s="1736"/>
      <c r="AF1388" s="1737"/>
      <c r="AG1388" s="77">
        <f t="shared" si="216"/>
        <v>0</v>
      </c>
      <c r="AH1388" s="136">
        <f t="shared" si="217"/>
        <v>0</v>
      </c>
      <c r="AI1388" s="251"/>
      <c r="AJ1388" s="1736"/>
      <c r="AK1388" s="1737"/>
      <c r="AL1388" s="79">
        <f t="shared" si="218"/>
        <v>0</v>
      </c>
      <c r="AM1388" s="137">
        <f t="shared" si="219"/>
        <v>0</v>
      </c>
      <c r="AN1388" s="251"/>
      <c r="AO1388" s="1736"/>
      <c r="AP1388" s="1737"/>
    </row>
    <row r="1389" spans="1:42" s="85" customFormat="1" ht="13.5" thickBot="1">
      <c r="A1389" s="240"/>
      <c r="B1389" s="241"/>
      <c r="C1389" s="242"/>
      <c r="D1389" s="242"/>
      <c r="E1389" s="243"/>
      <c r="F1389" s="244"/>
      <c r="G1389" s="244"/>
      <c r="H1389" s="243"/>
      <c r="I1389" s="258"/>
      <c r="J1389" s="245"/>
      <c r="K1389" s="245"/>
      <c r="L1389" s="76">
        <f t="shared" si="210"/>
        <v>0</v>
      </c>
      <c r="M1389" s="246"/>
      <c r="N1389" s="247"/>
      <c r="O1389" s="248"/>
      <c r="P1389" s="246"/>
      <c r="Q1389" s="249"/>
      <c r="R1389" s="250"/>
      <c r="S1389" s="259"/>
      <c r="T1389" s="260"/>
      <c r="U1389" s="250"/>
      <c r="V1389" s="78">
        <f t="shared" si="211"/>
        <v>0</v>
      </c>
      <c r="W1389" s="261">
        <f t="shared" si="212"/>
        <v>0</v>
      </c>
      <c r="X1389" s="133">
        <f t="shared" si="213"/>
        <v>0</v>
      </c>
      <c r="Y1389" s="251"/>
      <c r="Z1389" s="1736"/>
      <c r="AA1389" s="1737"/>
      <c r="AB1389" s="77">
        <f t="shared" si="214"/>
        <v>0</v>
      </c>
      <c r="AC1389" s="134">
        <f t="shared" si="215"/>
        <v>0</v>
      </c>
      <c r="AD1389" s="251"/>
      <c r="AE1389" s="1736"/>
      <c r="AF1389" s="1737"/>
      <c r="AG1389" s="77">
        <f t="shared" si="216"/>
        <v>0</v>
      </c>
      <c r="AH1389" s="136">
        <f t="shared" si="217"/>
        <v>0</v>
      </c>
      <c r="AI1389" s="251"/>
      <c r="AJ1389" s="1736"/>
      <c r="AK1389" s="1737"/>
      <c r="AL1389" s="79">
        <f t="shared" si="218"/>
        <v>0</v>
      </c>
      <c r="AM1389" s="137">
        <f t="shared" si="219"/>
        <v>0</v>
      </c>
      <c r="AN1389" s="251"/>
      <c r="AO1389" s="1736"/>
      <c r="AP1389" s="1737"/>
    </row>
    <row r="1390" spans="1:42" s="85" customFormat="1" ht="13.5" thickBot="1">
      <c r="A1390" s="240"/>
      <c r="B1390" s="241"/>
      <c r="C1390" s="242"/>
      <c r="D1390" s="242"/>
      <c r="E1390" s="243"/>
      <c r="F1390" s="244"/>
      <c r="G1390" s="244"/>
      <c r="H1390" s="243"/>
      <c r="I1390" s="258"/>
      <c r="J1390" s="245"/>
      <c r="K1390" s="245"/>
      <c r="L1390" s="76">
        <f t="shared" si="210"/>
        <v>0</v>
      </c>
      <c r="M1390" s="246"/>
      <c r="N1390" s="247"/>
      <c r="O1390" s="248"/>
      <c r="P1390" s="246"/>
      <c r="Q1390" s="249"/>
      <c r="R1390" s="250"/>
      <c r="S1390" s="259"/>
      <c r="T1390" s="260"/>
      <c r="U1390" s="250"/>
      <c r="V1390" s="78">
        <f t="shared" si="211"/>
        <v>0</v>
      </c>
      <c r="W1390" s="261">
        <f t="shared" si="212"/>
        <v>0</v>
      </c>
      <c r="X1390" s="133">
        <f t="shared" si="213"/>
        <v>0</v>
      </c>
      <c r="Y1390" s="251"/>
      <c r="Z1390" s="1736"/>
      <c r="AA1390" s="1737"/>
      <c r="AB1390" s="77">
        <f t="shared" si="214"/>
        <v>0</v>
      </c>
      <c r="AC1390" s="134">
        <f t="shared" si="215"/>
        <v>0</v>
      </c>
      <c r="AD1390" s="251"/>
      <c r="AE1390" s="1736"/>
      <c r="AF1390" s="1737"/>
      <c r="AG1390" s="77">
        <f t="shared" si="216"/>
        <v>0</v>
      </c>
      <c r="AH1390" s="136">
        <f t="shared" si="217"/>
        <v>0</v>
      </c>
      <c r="AI1390" s="251"/>
      <c r="AJ1390" s="1736"/>
      <c r="AK1390" s="1737"/>
      <c r="AL1390" s="79">
        <f t="shared" si="218"/>
        <v>0</v>
      </c>
      <c r="AM1390" s="137">
        <f t="shared" si="219"/>
        <v>0</v>
      </c>
      <c r="AN1390" s="251"/>
      <c r="AO1390" s="1736"/>
      <c r="AP1390" s="1737"/>
    </row>
    <row r="1391" spans="1:42" s="85" customFormat="1" ht="13.5" thickBot="1">
      <c r="A1391" s="240"/>
      <c r="B1391" s="241"/>
      <c r="C1391" s="242"/>
      <c r="D1391" s="242"/>
      <c r="E1391" s="243"/>
      <c r="F1391" s="244"/>
      <c r="G1391" s="244"/>
      <c r="H1391" s="243"/>
      <c r="I1391" s="258"/>
      <c r="J1391" s="245"/>
      <c r="K1391" s="245"/>
      <c r="L1391" s="76">
        <f t="shared" si="210"/>
        <v>0</v>
      </c>
      <c r="M1391" s="246"/>
      <c r="N1391" s="247"/>
      <c r="O1391" s="248"/>
      <c r="P1391" s="246"/>
      <c r="Q1391" s="249"/>
      <c r="R1391" s="250"/>
      <c r="S1391" s="259"/>
      <c r="T1391" s="260"/>
      <c r="U1391" s="250"/>
      <c r="V1391" s="78">
        <f t="shared" si="211"/>
        <v>0</v>
      </c>
      <c r="W1391" s="261">
        <f t="shared" si="212"/>
        <v>0</v>
      </c>
      <c r="X1391" s="133">
        <f t="shared" si="213"/>
        <v>0</v>
      </c>
      <c r="Y1391" s="251"/>
      <c r="Z1391" s="1736"/>
      <c r="AA1391" s="1737"/>
      <c r="AB1391" s="77">
        <f t="shared" si="214"/>
        <v>0</v>
      </c>
      <c r="AC1391" s="134">
        <f t="shared" si="215"/>
        <v>0</v>
      </c>
      <c r="AD1391" s="251"/>
      <c r="AE1391" s="1736"/>
      <c r="AF1391" s="1737"/>
      <c r="AG1391" s="77">
        <f t="shared" si="216"/>
        <v>0</v>
      </c>
      <c r="AH1391" s="136">
        <f t="shared" si="217"/>
        <v>0</v>
      </c>
      <c r="AI1391" s="251"/>
      <c r="AJ1391" s="1736"/>
      <c r="AK1391" s="1737"/>
      <c r="AL1391" s="79">
        <f t="shared" si="218"/>
        <v>0</v>
      </c>
      <c r="AM1391" s="137">
        <f t="shared" si="219"/>
        <v>0</v>
      </c>
      <c r="AN1391" s="251"/>
      <c r="AO1391" s="1736"/>
      <c r="AP1391" s="1737"/>
    </row>
    <row r="1392" spans="1:42" s="85" customFormat="1" ht="13.5" thickBot="1">
      <c r="A1392" s="240"/>
      <c r="B1392" s="241"/>
      <c r="C1392" s="242"/>
      <c r="D1392" s="242"/>
      <c r="E1392" s="243"/>
      <c r="F1392" s="244"/>
      <c r="G1392" s="244"/>
      <c r="H1392" s="243"/>
      <c r="I1392" s="258"/>
      <c r="J1392" s="245"/>
      <c r="K1392" s="245"/>
      <c r="L1392" s="76">
        <f t="shared" si="210"/>
        <v>0</v>
      </c>
      <c r="M1392" s="246"/>
      <c r="N1392" s="247"/>
      <c r="O1392" s="248"/>
      <c r="P1392" s="246"/>
      <c r="Q1392" s="249"/>
      <c r="R1392" s="250"/>
      <c r="S1392" s="259"/>
      <c r="T1392" s="260"/>
      <c r="U1392" s="250"/>
      <c r="V1392" s="78">
        <f t="shared" si="211"/>
        <v>0</v>
      </c>
      <c r="W1392" s="261">
        <f t="shared" si="212"/>
        <v>0</v>
      </c>
      <c r="X1392" s="133">
        <f t="shared" si="213"/>
        <v>0</v>
      </c>
      <c r="Y1392" s="251"/>
      <c r="Z1392" s="1736"/>
      <c r="AA1392" s="1737"/>
      <c r="AB1392" s="77">
        <f t="shared" si="214"/>
        <v>0</v>
      </c>
      <c r="AC1392" s="134">
        <f t="shared" si="215"/>
        <v>0</v>
      </c>
      <c r="AD1392" s="251"/>
      <c r="AE1392" s="1736"/>
      <c r="AF1392" s="1737"/>
      <c r="AG1392" s="77">
        <f t="shared" si="216"/>
        <v>0</v>
      </c>
      <c r="AH1392" s="136">
        <f t="shared" si="217"/>
        <v>0</v>
      </c>
      <c r="AI1392" s="251"/>
      <c r="AJ1392" s="1736"/>
      <c r="AK1392" s="1737"/>
      <c r="AL1392" s="79">
        <f t="shared" si="218"/>
        <v>0</v>
      </c>
      <c r="AM1392" s="137">
        <f t="shared" si="219"/>
        <v>0</v>
      </c>
      <c r="AN1392" s="251"/>
      <c r="AO1392" s="1736"/>
      <c r="AP1392" s="1737"/>
    </row>
    <row r="1393" spans="1:42" s="85" customFormat="1" ht="13.5" thickBot="1">
      <c r="A1393" s="240"/>
      <c r="B1393" s="241"/>
      <c r="C1393" s="242"/>
      <c r="D1393" s="242"/>
      <c r="E1393" s="243"/>
      <c r="F1393" s="244"/>
      <c r="G1393" s="244"/>
      <c r="H1393" s="243"/>
      <c r="I1393" s="258"/>
      <c r="J1393" s="245"/>
      <c r="K1393" s="245"/>
      <c r="L1393" s="76">
        <f t="shared" si="210"/>
        <v>0</v>
      </c>
      <c r="M1393" s="246"/>
      <c r="N1393" s="247"/>
      <c r="O1393" s="248"/>
      <c r="P1393" s="246"/>
      <c r="Q1393" s="249"/>
      <c r="R1393" s="250"/>
      <c r="S1393" s="259"/>
      <c r="T1393" s="260"/>
      <c r="U1393" s="250"/>
      <c r="V1393" s="78">
        <f t="shared" si="211"/>
        <v>0</v>
      </c>
      <c r="W1393" s="261">
        <f t="shared" si="212"/>
        <v>0</v>
      </c>
      <c r="X1393" s="133">
        <f t="shared" si="213"/>
        <v>0</v>
      </c>
      <c r="Y1393" s="251"/>
      <c r="Z1393" s="1736"/>
      <c r="AA1393" s="1737"/>
      <c r="AB1393" s="77">
        <f t="shared" si="214"/>
        <v>0</v>
      </c>
      <c r="AC1393" s="134">
        <f t="shared" si="215"/>
        <v>0</v>
      </c>
      <c r="AD1393" s="251"/>
      <c r="AE1393" s="1736"/>
      <c r="AF1393" s="1737"/>
      <c r="AG1393" s="77">
        <f t="shared" si="216"/>
        <v>0</v>
      </c>
      <c r="AH1393" s="136">
        <f t="shared" si="217"/>
        <v>0</v>
      </c>
      <c r="AI1393" s="251"/>
      <c r="AJ1393" s="1736"/>
      <c r="AK1393" s="1737"/>
      <c r="AL1393" s="79">
        <f t="shared" si="218"/>
        <v>0</v>
      </c>
      <c r="AM1393" s="137">
        <f t="shared" si="219"/>
        <v>0</v>
      </c>
      <c r="AN1393" s="251"/>
      <c r="AO1393" s="1736"/>
      <c r="AP1393" s="1737"/>
    </row>
    <row r="1394" spans="1:42" s="85" customFormat="1" ht="13.5" thickBot="1">
      <c r="A1394" s="240"/>
      <c r="B1394" s="241"/>
      <c r="C1394" s="242"/>
      <c r="D1394" s="242"/>
      <c r="E1394" s="243"/>
      <c r="F1394" s="244"/>
      <c r="G1394" s="244"/>
      <c r="H1394" s="243"/>
      <c r="I1394" s="258"/>
      <c r="J1394" s="245"/>
      <c r="K1394" s="245"/>
      <c r="L1394" s="76">
        <f t="shared" si="210"/>
        <v>0</v>
      </c>
      <c r="M1394" s="246"/>
      <c r="N1394" s="247"/>
      <c r="O1394" s="248"/>
      <c r="P1394" s="246"/>
      <c r="Q1394" s="249"/>
      <c r="R1394" s="250"/>
      <c r="S1394" s="259"/>
      <c r="T1394" s="260"/>
      <c r="U1394" s="250"/>
      <c r="V1394" s="78">
        <f t="shared" si="211"/>
        <v>0</v>
      </c>
      <c r="W1394" s="261">
        <f t="shared" si="212"/>
        <v>0</v>
      </c>
      <c r="X1394" s="133">
        <f t="shared" si="213"/>
        <v>0</v>
      </c>
      <c r="Y1394" s="251"/>
      <c r="Z1394" s="1736"/>
      <c r="AA1394" s="1737"/>
      <c r="AB1394" s="77">
        <f t="shared" si="214"/>
        <v>0</v>
      </c>
      <c r="AC1394" s="134">
        <f t="shared" si="215"/>
        <v>0</v>
      </c>
      <c r="AD1394" s="251"/>
      <c r="AE1394" s="1736"/>
      <c r="AF1394" s="1737"/>
      <c r="AG1394" s="77">
        <f t="shared" si="216"/>
        <v>0</v>
      </c>
      <c r="AH1394" s="136">
        <f t="shared" si="217"/>
        <v>0</v>
      </c>
      <c r="AI1394" s="251"/>
      <c r="AJ1394" s="1736"/>
      <c r="AK1394" s="1737"/>
      <c r="AL1394" s="79">
        <f t="shared" si="218"/>
        <v>0</v>
      </c>
      <c r="AM1394" s="137">
        <f t="shared" si="219"/>
        <v>0</v>
      </c>
      <c r="AN1394" s="251"/>
      <c r="AO1394" s="1736"/>
      <c r="AP1394" s="1737"/>
    </row>
    <row r="1395" spans="1:42" s="85" customFormat="1" ht="13.5" thickBot="1">
      <c r="A1395" s="240"/>
      <c r="B1395" s="241"/>
      <c r="C1395" s="242"/>
      <c r="D1395" s="242"/>
      <c r="E1395" s="243"/>
      <c r="F1395" s="244"/>
      <c r="G1395" s="244"/>
      <c r="H1395" s="243"/>
      <c r="I1395" s="258"/>
      <c r="J1395" s="245"/>
      <c r="K1395" s="245"/>
      <c r="L1395" s="76">
        <f t="shared" si="210"/>
        <v>0</v>
      </c>
      <c r="M1395" s="246"/>
      <c r="N1395" s="247"/>
      <c r="O1395" s="248"/>
      <c r="P1395" s="246"/>
      <c r="Q1395" s="249"/>
      <c r="R1395" s="250"/>
      <c r="S1395" s="259"/>
      <c r="T1395" s="260"/>
      <c r="U1395" s="250"/>
      <c r="V1395" s="78">
        <f t="shared" si="211"/>
        <v>0</v>
      </c>
      <c r="W1395" s="261">
        <f t="shared" si="212"/>
        <v>0</v>
      </c>
      <c r="X1395" s="133">
        <f t="shared" si="213"/>
        <v>0</v>
      </c>
      <c r="Y1395" s="251"/>
      <c r="Z1395" s="1736"/>
      <c r="AA1395" s="1737"/>
      <c r="AB1395" s="77">
        <f t="shared" si="214"/>
        <v>0</v>
      </c>
      <c r="AC1395" s="134">
        <f t="shared" si="215"/>
        <v>0</v>
      </c>
      <c r="AD1395" s="251"/>
      <c r="AE1395" s="1736"/>
      <c r="AF1395" s="1737"/>
      <c r="AG1395" s="77">
        <f t="shared" si="216"/>
        <v>0</v>
      </c>
      <c r="AH1395" s="136">
        <f t="shared" si="217"/>
        <v>0</v>
      </c>
      <c r="AI1395" s="251"/>
      <c r="AJ1395" s="1736"/>
      <c r="AK1395" s="1737"/>
      <c r="AL1395" s="79">
        <f t="shared" si="218"/>
        <v>0</v>
      </c>
      <c r="AM1395" s="137">
        <f t="shared" si="219"/>
        <v>0</v>
      </c>
      <c r="AN1395" s="251"/>
      <c r="AO1395" s="1736"/>
      <c r="AP1395" s="1737"/>
    </row>
    <row r="1396" spans="1:42" s="85" customFormat="1" ht="13.5" thickBot="1">
      <c r="A1396" s="240"/>
      <c r="B1396" s="241"/>
      <c r="C1396" s="242"/>
      <c r="D1396" s="242"/>
      <c r="E1396" s="243"/>
      <c r="F1396" s="244"/>
      <c r="G1396" s="244"/>
      <c r="H1396" s="243"/>
      <c r="I1396" s="258"/>
      <c r="J1396" s="245"/>
      <c r="K1396" s="245"/>
      <c r="L1396" s="76">
        <f t="shared" si="210"/>
        <v>0</v>
      </c>
      <c r="M1396" s="246"/>
      <c r="N1396" s="247"/>
      <c r="O1396" s="248"/>
      <c r="P1396" s="246"/>
      <c r="Q1396" s="249"/>
      <c r="R1396" s="250"/>
      <c r="S1396" s="259"/>
      <c r="T1396" s="260"/>
      <c r="U1396" s="250"/>
      <c r="V1396" s="78">
        <f t="shared" si="211"/>
        <v>0</v>
      </c>
      <c r="W1396" s="261">
        <f t="shared" si="212"/>
        <v>0</v>
      </c>
      <c r="X1396" s="133">
        <f t="shared" si="213"/>
        <v>0</v>
      </c>
      <c r="Y1396" s="251"/>
      <c r="Z1396" s="1736"/>
      <c r="AA1396" s="1737"/>
      <c r="AB1396" s="77">
        <f t="shared" si="214"/>
        <v>0</v>
      </c>
      <c r="AC1396" s="134">
        <f t="shared" si="215"/>
        <v>0</v>
      </c>
      <c r="AD1396" s="251"/>
      <c r="AE1396" s="1736"/>
      <c r="AF1396" s="1737"/>
      <c r="AG1396" s="77">
        <f t="shared" si="216"/>
        <v>0</v>
      </c>
      <c r="AH1396" s="136">
        <f t="shared" si="217"/>
        <v>0</v>
      </c>
      <c r="AI1396" s="251"/>
      <c r="AJ1396" s="1736"/>
      <c r="AK1396" s="1737"/>
      <c r="AL1396" s="79">
        <f t="shared" si="218"/>
        <v>0</v>
      </c>
      <c r="AM1396" s="137">
        <f t="shared" si="219"/>
        <v>0</v>
      </c>
      <c r="AN1396" s="251"/>
      <c r="AO1396" s="1736"/>
      <c r="AP1396" s="1737"/>
    </row>
    <row r="1397" spans="1:42" s="85" customFormat="1" ht="13.5" thickBot="1">
      <c r="A1397" s="240"/>
      <c r="B1397" s="241"/>
      <c r="C1397" s="242"/>
      <c r="D1397" s="242"/>
      <c r="E1397" s="243"/>
      <c r="F1397" s="244"/>
      <c r="G1397" s="244"/>
      <c r="H1397" s="243"/>
      <c r="I1397" s="258"/>
      <c r="J1397" s="245"/>
      <c r="K1397" s="245"/>
      <c r="L1397" s="76">
        <f t="shared" si="210"/>
        <v>0</v>
      </c>
      <c r="M1397" s="246"/>
      <c r="N1397" s="247"/>
      <c r="O1397" s="248"/>
      <c r="P1397" s="246"/>
      <c r="Q1397" s="249"/>
      <c r="R1397" s="250"/>
      <c r="S1397" s="259"/>
      <c r="T1397" s="260"/>
      <c r="U1397" s="250"/>
      <c r="V1397" s="78">
        <f t="shared" si="211"/>
        <v>0</v>
      </c>
      <c r="W1397" s="261">
        <f t="shared" si="212"/>
        <v>0</v>
      </c>
      <c r="X1397" s="133">
        <f t="shared" si="213"/>
        <v>0</v>
      </c>
      <c r="Y1397" s="251"/>
      <c r="Z1397" s="1736"/>
      <c r="AA1397" s="1737"/>
      <c r="AB1397" s="77">
        <f t="shared" si="214"/>
        <v>0</v>
      </c>
      <c r="AC1397" s="134">
        <f t="shared" si="215"/>
        <v>0</v>
      </c>
      <c r="AD1397" s="251"/>
      <c r="AE1397" s="1736"/>
      <c r="AF1397" s="1737"/>
      <c r="AG1397" s="77">
        <f t="shared" si="216"/>
        <v>0</v>
      </c>
      <c r="AH1397" s="136">
        <f t="shared" si="217"/>
        <v>0</v>
      </c>
      <c r="AI1397" s="251"/>
      <c r="AJ1397" s="1736"/>
      <c r="AK1397" s="1737"/>
      <c r="AL1397" s="79">
        <f t="shared" si="218"/>
        <v>0</v>
      </c>
      <c r="AM1397" s="137">
        <f t="shared" si="219"/>
        <v>0</v>
      </c>
      <c r="AN1397" s="251"/>
      <c r="AO1397" s="1736"/>
      <c r="AP1397" s="1737"/>
    </row>
    <row r="1398" spans="1:42" s="85" customFormat="1" ht="13.5" thickBot="1">
      <c r="A1398" s="240"/>
      <c r="B1398" s="241"/>
      <c r="C1398" s="242"/>
      <c r="D1398" s="242"/>
      <c r="E1398" s="243"/>
      <c r="F1398" s="244"/>
      <c r="G1398" s="244"/>
      <c r="H1398" s="243"/>
      <c r="I1398" s="258"/>
      <c r="J1398" s="245"/>
      <c r="K1398" s="245"/>
      <c r="L1398" s="76">
        <f t="shared" si="210"/>
        <v>0</v>
      </c>
      <c r="M1398" s="246"/>
      <c r="N1398" s="247"/>
      <c r="O1398" s="248"/>
      <c r="P1398" s="246"/>
      <c r="Q1398" s="249"/>
      <c r="R1398" s="250"/>
      <c r="S1398" s="259"/>
      <c r="T1398" s="260"/>
      <c r="U1398" s="250"/>
      <c r="V1398" s="78">
        <f t="shared" si="211"/>
        <v>0</v>
      </c>
      <c r="W1398" s="261">
        <f t="shared" si="212"/>
        <v>0</v>
      </c>
      <c r="X1398" s="133">
        <f t="shared" si="213"/>
        <v>0</v>
      </c>
      <c r="Y1398" s="251"/>
      <c r="Z1398" s="1736"/>
      <c r="AA1398" s="1737"/>
      <c r="AB1398" s="77">
        <f t="shared" si="214"/>
        <v>0</v>
      </c>
      <c r="AC1398" s="134">
        <f t="shared" si="215"/>
        <v>0</v>
      </c>
      <c r="AD1398" s="251"/>
      <c r="AE1398" s="1736"/>
      <c r="AF1398" s="1737"/>
      <c r="AG1398" s="77">
        <f t="shared" si="216"/>
        <v>0</v>
      </c>
      <c r="AH1398" s="136">
        <f t="shared" si="217"/>
        <v>0</v>
      </c>
      <c r="AI1398" s="251"/>
      <c r="AJ1398" s="1736"/>
      <c r="AK1398" s="1737"/>
      <c r="AL1398" s="79">
        <f t="shared" si="218"/>
        <v>0</v>
      </c>
      <c r="AM1398" s="137">
        <f t="shared" si="219"/>
        <v>0</v>
      </c>
      <c r="AN1398" s="251"/>
      <c r="AO1398" s="1736"/>
      <c r="AP1398" s="1737"/>
    </row>
    <row r="1399" spans="1:42" s="85" customFormat="1" ht="13.5" thickBot="1">
      <c r="A1399" s="240"/>
      <c r="B1399" s="241"/>
      <c r="C1399" s="242"/>
      <c r="D1399" s="242"/>
      <c r="E1399" s="243"/>
      <c r="F1399" s="244"/>
      <c r="G1399" s="244"/>
      <c r="H1399" s="243"/>
      <c r="I1399" s="258"/>
      <c r="J1399" s="245"/>
      <c r="K1399" s="245"/>
      <c r="L1399" s="76">
        <f t="shared" si="210"/>
        <v>0</v>
      </c>
      <c r="M1399" s="246"/>
      <c r="N1399" s="247"/>
      <c r="O1399" s="248"/>
      <c r="P1399" s="246"/>
      <c r="Q1399" s="249"/>
      <c r="R1399" s="250"/>
      <c r="S1399" s="259"/>
      <c r="T1399" s="260"/>
      <c r="U1399" s="250"/>
      <c r="V1399" s="78">
        <f t="shared" si="211"/>
        <v>0</v>
      </c>
      <c r="W1399" s="261">
        <f t="shared" si="212"/>
        <v>0</v>
      </c>
      <c r="X1399" s="133">
        <f t="shared" si="213"/>
        <v>0</v>
      </c>
      <c r="Y1399" s="251"/>
      <c r="Z1399" s="1736"/>
      <c r="AA1399" s="1737"/>
      <c r="AB1399" s="77">
        <f t="shared" si="214"/>
        <v>0</v>
      </c>
      <c r="AC1399" s="134">
        <f t="shared" si="215"/>
        <v>0</v>
      </c>
      <c r="AD1399" s="251"/>
      <c r="AE1399" s="1736"/>
      <c r="AF1399" s="1737"/>
      <c r="AG1399" s="77">
        <f t="shared" si="216"/>
        <v>0</v>
      </c>
      <c r="AH1399" s="136">
        <f t="shared" si="217"/>
        <v>0</v>
      </c>
      <c r="AI1399" s="251"/>
      <c r="AJ1399" s="1736"/>
      <c r="AK1399" s="1737"/>
      <c r="AL1399" s="79">
        <f t="shared" si="218"/>
        <v>0</v>
      </c>
      <c r="AM1399" s="137">
        <f t="shared" si="219"/>
        <v>0</v>
      </c>
      <c r="AN1399" s="251"/>
      <c r="AO1399" s="1736"/>
      <c r="AP1399" s="1737"/>
    </row>
    <row r="1400" spans="1:42" s="85" customFormat="1" ht="13.5" thickBot="1">
      <c r="A1400" s="240"/>
      <c r="B1400" s="241"/>
      <c r="C1400" s="242"/>
      <c r="D1400" s="242"/>
      <c r="E1400" s="243"/>
      <c r="F1400" s="244"/>
      <c r="G1400" s="244"/>
      <c r="H1400" s="243"/>
      <c r="I1400" s="258"/>
      <c r="J1400" s="245"/>
      <c r="K1400" s="245"/>
      <c r="L1400" s="76">
        <f t="shared" si="210"/>
        <v>0</v>
      </c>
      <c r="M1400" s="246"/>
      <c r="N1400" s="247"/>
      <c r="O1400" s="248"/>
      <c r="P1400" s="246"/>
      <c r="Q1400" s="249"/>
      <c r="R1400" s="250"/>
      <c r="S1400" s="259"/>
      <c r="T1400" s="260"/>
      <c r="U1400" s="250"/>
      <c r="V1400" s="78">
        <f t="shared" si="211"/>
        <v>0</v>
      </c>
      <c r="W1400" s="261">
        <f t="shared" si="212"/>
        <v>0</v>
      </c>
      <c r="X1400" s="133">
        <f t="shared" si="213"/>
        <v>0</v>
      </c>
      <c r="Y1400" s="251"/>
      <c r="Z1400" s="1736"/>
      <c r="AA1400" s="1737"/>
      <c r="AB1400" s="77">
        <f t="shared" si="214"/>
        <v>0</v>
      </c>
      <c r="AC1400" s="134">
        <f t="shared" si="215"/>
        <v>0</v>
      </c>
      <c r="AD1400" s="251"/>
      <c r="AE1400" s="1736"/>
      <c r="AF1400" s="1737"/>
      <c r="AG1400" s="77">
        <f t="shared" si="216"/>
        <v>0</v>
      </c>
      <c r="AH1400" s="136">
        <f t="shared" si="217"/>
        <v>0</v>
      </c>
      <c r="AI1400" s="251"/>
      <c r="AJ1400" s="1736"/>
      <c r="AK1400" s="1737"/>
      <c r="AL1400" s="79">
        <f t="shared" si="218"/>
        <v>0</v>
      </c>
      <c r="AM1400" s="137">
        <f t="shared" si="219"/>
        <v>0</v>
      </c>
      <c r="AN1400" s="251"/>
      <c r="AO1400" s="1736"/>
      <c r="AP1400" s="1737"/>
    </row>
    <row r="1401" spans="1:42" s="85" customFormat="1" ht="13.5" thickBot="1">
      <c r="A1401" s="240"/>
      <c r="B1401" s="241"/>
      <c r="C1401" s="242"/>
      <c r="D1401" s="242"/>
      <c r="E1401" s="243"/>
      <c r="F1401" s="244"/>
      <c r="G1401" s="244"/>
      <c r="H1401" s="243"/>
      <c r="I1401" s="258"/>
      <c r="J1401" s="245"/>
      <c r="K1401" s="245"/>
      <c r="L1401" s="76">
        <f t="shared" si="210"/>
        <v>0</v>
      </c>
      <c r="M1401" s="246"/>
      <c r="N1401" s="247"/>
      <c r="O1401" s="248"/>
      <c r="P1401" s="246"/>
      <c r="Q1401" s="249"/>
      <c r="R1401" s="250"/>
      <c r="S1401" s="259"/>
      <c r="T1401" s="260"/>
      <c r="U1401" s="250"/>
      <c r="V1401" s="78">
        <f t="shared" si="211"/>
        <v>0</v>
      </c>
      <c r="W1401" s="261">
        <f t="shared" si="212"/>
        <v>0</v>
      </c>
      <c r="X1401" s="133">
        <f t="shared" si="213"/>
        <v>0</v>
      </c>
      <c r="Y1401" s="251"/>
      <c r="Z1401" s="1736"/>
      <c r="AA1401" s="1737"/>
      <c r="AB1401" s="77">
        <f t="shared" si="214"/>
        <v>0</v>
      </c>
      <c r="AC1401" s="134">
        <f t="shared" si="215"/>
        <v>0</v>
      </c>
      <c r="AD1401" s="251"/>
      <c r="AE1401" s="1736"/>
      <c r="AF1401" s="1737"/>
      <c r="AG1401" s="77">
        <f t="shared" si="216"/>
        <v>0</v>
      </c>
      <c r="AH1401" s="136">
        <f t="shared" si="217"/>
        <v>0</v>
      </c>
      <c r="AI1401" s="251"/>
      <c r="AJ1401" s="1736"/>
      <c r="AK1401" s="1737"/>
      <c r="AL1401" s="79">
        <f t="shared" si="218"/>
        <v>0</v>
      </c>
      <c r="AM1401" s="137">
        <f t="shared" si="219"/>
        <v>0</v>
      </c>
      <c r="AN1401" s="251"/>
      <c r="AO1401" s="1736"/>
      <c r="AP1401" s="1737"/>
    </row>
    <row r="1402" spans="1:42" s="85" customFormat="1" ht="13.5" thickBot="1">
      <c r="A1402" s="240"/>
      <c r="B1402" s="241"/>
      <c r="C1402" s="242"/>
      <c r="D1402" s="242"/>
      <c r="E1402" s="243"/>
      <c r="F1402" s="244"/>
      <c r="G1402" s="244"/>
      <c r="H1402" s="243"/>
      <c r="I1402" s="258"/>
      <c r="J1402" s="245"/>
      <c r="K1402" s="245"/>
      <c r="L1402" s="76">
        <f t="shared" si="210"/>
        <v>0</v>
      </c>
      <c r="M1402" s="246"/>
      <c r="N1402" s="247"/>
      <c r="O1402" s="248"/>
      <c r="P1402" s="246"/>
      <c r="Q1402" s="249"/>
      <c r="R1402" s="250"/>
      <c r="S1402" s="259"/>
      <c r="T1402" s="260"/>
      <c r="U1402" s="250"/>
      <c r="V1402" s="78">
        <f t="shared" si="211"/>
        <v>0</v>
      </c>
      <c r="W1402" s="261">
        <f t="shared" si="212"/>
        <v>0</v>
      </c>
      <c r="X1402" s="133">
        <f t="shared" si="213"/>
        <v>0</v>
      </c>
      <c r="Y1402" s="251"/>
      <c r="Z1402" s="1736"/>
      <c r="AA1402" s="1737"/>
      <c r="AB1402" s="77">
        <f t="shared" si="214"/>
        <v>0</v>
      </c>
      <c r="AC1402" s="134">
        <f t="shared" si="215"/>
        <v>0</v>
      </c>
      <c r="AD1402" s="251"/>
      <c r="AE1402" s="1736"/>
      <c r="AF1402" s="1737"/>
      <c r="AG1402" s="77">
        <f t="shared" si="216"/>
        <v>0</v>
      </c>
      <c r="AH1402" s="136">
        <f t="shared" si="217"/>
        <v>0</v>
      </c>
      <c r="AI1402" s="251"/>
      <c r="AJ1402" s="1736"/>
      <c r="AK1402" s="1737"/>
      <c r="AL1402" s="79">
        <f t="shared" si="218"/>
        <v>0</v>
      </c>
      <c r="AM1402" s="137">
        <f t="shared" si="219"/>
        <v>0</v>
      </c>
      <c r="AN1402" s="251"/>
      <c r="AO1402" s="1736"/>
      <c r="AP1402" s="1737"/>
    </row>
    <row r="1403" spans="1:42" s="85" customFormat="1" ht="13.5" thickBot="1">
      <c r="A1403" s="240"/>
      <c r="B1403" s="241"/>
      <c r="C1403" s="242"/>
      <c r="D1403" s="242"/>
      <c r="E1403" s="243"/>
      <c r="F1403" s="244"/>
      <c r="G1403" s="244"/>
      <c r="H1403" s="243"/>
      <c r="I1403" s="258"/>
      <c r="J1403" s="245"/>
      <c r="K1403" s="245"/>
      <c r="L1403" s="76">
        <f t="shared" si="210"/>
        <v>0</v>
      </c>
      <c r="M1403" s="246"/>
      <c r="N1403" s="247"/>
      <c r="O1403" s="248"/>
      <c r="P1403" s="246"/>
      <c r="Q1403" s="249"/>
      <c r="R1403" s="250"/>
      <c r="S1403" s="259"/>
      <c r="T1403" s="260"/>
      <c r="U1403" s="250"/>
      <c r="V1403" s="78">
        <f t="shared" si="211"/>
        <v>0</v>
      </c>
      <c r="W1403" s="261">
        <f t="shared" si="212"/>
        <v>0</v>
      </c>
      <c r="X1403" s="133">
        <f t="shared" si="213"/>
        <v>0</v>
      </c>
      <c r="Y1403" s="251"/>
      <c r="Z1403" s="1736"/>
      <c r="AA1403" s="1737"/>
      <c r="AB1403" s="77">
        <f t="shared" si="214"/>
        <v>0</v>
      </c>
      <c r="AC1403" s="134">
        <f t="shared" si="215"/>
        <v>0</v>
      </c>
      <c r="AD1403" s="251"/>
      <c r="AE1403" s="1736"/>
      <c r="AF1403" s="1737"/>
      <c r="AG1403" s="77">
        <f t="shared" si="216"/>
        <v>0</v>
      </c>
      <c r="AH1403" s="136">
        <f t="shared" si="217"/>
        <v>0</v>
      </c>
      <c r="AI1403" s="251"/>
      <c r="AJ1403" s="1736"/>
      <c r="AK1403" s="1737"/>
      <c r="AL1403" s="79">
        <f t="shared" si="218"/>
        <v>0</v>
      </c>
      <c r="AM1403" s="137">
        <f t="shared" si="219"/>
        <v>0</v>
      </c>
      <c r="AN1403" s="251"/>
      <c r="AO1403" s="1736"/>
      <c r="AP1403" s="1737"/>
    </row>
    <row r="1404" spans="1:42" s="85" customFormat="1" ht="13.5" thickBot="1">
      <c r="A1404" s="240"/>
      <c r="B1404" s="241"/>
      <c r="C1404" s="242"/>
      <c r="D1404" s="242"/>
      <c r="E1404" s="243"/>
      <c r="F1404" s="244"/>
      <c r="G1404" s="244"/>
      <c r="H1404" s="243"/>
      <c r="I1404" s="258"/>
      <c r="J1404" s="245"/>
      <c r="K1404" s="245"/>
      <c r="L1404" s="76">
        <f t="shared" si="210"/>
        <v>0</v>
      </c>
      <c r="M1404" s="246"/>
      <c r="N1404" s="247"/>
      <c r="O1404" s="248"/>
      <c r="P1404" s="246"/>
      <c r="Q1404" s="249"/>
      <c r="R1404" s="250"/>
      <c r="S1404" s="259"/>
      <c r="T1404" s="260"/>
      <c r="U1404" s="250"/>
      <c r="V1404" s="78">
        <f t="shared" si="211"/>
        <v>0</v>
      </c>
      <c r="W1404" s="261">
        <f t="shared" si="212"/>
        <v>0</v>
      </c>
      <c r="X1404" s="133">
        <f t="shared" si="213"/>
        <v>0</v>
      </c>
      <c r="Y1404" s="251"/>
      <c r="Z1404" s="1736"/>
      <c r="AA1404" s="1737"/>
      <c r="AB1404" s="77">
        <f t="shared" si="214"/>
        <v>0</v>
      </c>
      <c r="AC1404" s="134">
        <f t="shared" si="215"/>
        <v>0</v>
      </c>
      <c r="AD1404" s="251"/>
      <c r="AE1404" s="1736"/>
      <c r="AF1404" s="1737"/>
      <c r="AG1404" s="77">
        <f t="shared" si="216"/>
        <v>0</v>
      </c>
      <c r="AH1404" s="136">
        <f t="shared" si="217"/>
        <v>0</v>
      </c>
      <c r="AI1404" s="251"/>
      <c r="AJ1404" s="1736"/>
      <c r="AK1404" s="1737"/>
      <c r="AL1404" s="79">
        <f t="shared" si="218"/>
        <v>0</v>
      </c>
      <c r="AM1404" s="137">
        <f t="shared" si="219"/>
        <v>0</v>
      </c>
      <c r="AN1404" s="251"/>
      <c r="AO1404" s="1736"/>
      <c r="AP1404" s="1737"/>
    </row>
    <row r="1405" spans="1:42" s="85" customFormat="1" ht="13.5" thickBot="1">
      <c r="A1405" s="240"/>
      <c r="B1405" s="241"/>
      <c r="C1405" s="242"/>
      <c r="D1405" s="242"/>
      <c r="E1405" s="243"/>
      <c r="F1405" s="244"/>
      <c r="G1405" s="244"/>
      <c r="H1405" s="243"/>
      <c r="I1405" s="258"/>
      <c r="J1405" s="245"/>
      <c r="K1405" s="245"/>
      <c r="L1405" s="76">
        <f t="shared" si="210"/>
        <v>0</v>
      </c>
      <c r="M1405" s="246"/>
      <c r="N1405" s="247"/>
      <c r="O1405" s="248"/>
      <c r="P1405" s="246"/>
      <c r="Q1405" s="249"/>
      <c r="R1405" s="250"/>
      <c r="S1405" s="259"/>
      <c r="T1405" s="260"/>
      <c r="U1405" s="250"/>
      <c r="V1405" s="78">
        <f t="shared" si="211"/>
        <v>0</v>
      </c>
      <c r="W1405" s="261">
        <f t="shared" si="212"/>
        <v>0</v>
      </c>
      <c r="X1405" s="133">
        <f t="shared" si="213"/>
        <v>0</v>
      </c>
      <c r="Y1405" s="251"/>
      <c r="Z1405" s="1736"/>
      <c r="AA1405" s="1737"/>
      <c r="AB1405" s="77">
        <f t="shared" si="214"/>
        <v>0</v>
      </c>
      <c r="AC1405" s="134">
        <f t="shared" si="215"/>
        <v>0</v>
      </c>
      <c r="AD1405" s="251"/>
      <c r="AE1405" s="1736"/>
      <c r="AF1405" s="1737"/>
      <c r="AG1405" s="77">
        <f t="shared" si="216"/>
        <v>0</v>
      </c>
      <c r="AH1405" s="136">
        <f t="shared" si="217"/>
        <v>0</v>
      </c>
      <c r="AI1405" s="251"/>
      <c r="AJ1405" s="1736"/>
      <c r="AK1405" s="1737"/>
      <c r="AL1405" s="79">
        <f t="shared" si="218"/>
        <v>0</v>
      </c>
      <c r="AM1405" s="137">
        <f t="shared" si="219"/>
        <v>0</v>
      </c>
      <c r="AN1405" s="251"/>
      <c r="AO1405" s="1736"/>
      <c r="AP1405" s="1737"/>
    </row>
    <row r="1406" spans="1:42" s="85" customFormat="1" ht="13.5" thickBot="1">
      <c r="A1406" s="240"/>
      <c r="B1406" s="241"/>
      <c r="C1406" s="242"/>
      <c r="D1406" s="242"/>
      <c r="E1406" s="243"/>
      <c r="F1406" s="244"/>
      <c r="G1406" s="244"/>
      <c r="H1406" s="243"/>
      <c r="I1406" s="258"/>
      <c r="J1406" s="245"/>
      <c r="K1406" s="245"/>
      <c r="L1406" s="76">
        <f t="shared" si="210"/>
        <v>0</v>
      </c>
      <c r="M1406" s="246"/>
      <c r="N1406" s="247"/>
      <c r="O1406" s="248"/>
      <c r="P1406" s="246"/>
      <c r="Q1406" s="249"/>
      <c r="R1406" s="250"/>
      <c r="S1406" s="259"/>
      <c r="T1406" s="260"/>
      <c r="U1406" s="250"/>
      <c r="V1406" s="78">
        <f t="shared" si="211"/>
        <v>0</v>
      </c>
      <c r="W1406" s="261">
        <f t="shared" si="212"/>
        <v>0</v>
      </c>
      <c r="X1406" s="133">
        <f t="shared" si="213"/>
        <v>0</v>
      </c>
      <c r="Y1406" s="251"/>
      <c r="Z1406" s="1736"/>
      <c r="AA1406" s="1737"/>
      <c r="AB1406" s="77">
        <f t="shared" si="214"/>
        <v>0</v>
      </c>
      <c r="AC1406" s="134">
        <f t="shared" si="215"/>
        <v>0</v>
      </c>
      <c r="AD1406" s="251"/>
      <c r="AE1406" s="1736"/>
      <c r="AF1406" s="1737"/>
      <c r="AG1406" s="77">
        <f t="shared" si="216"/>
        <v>0</v>
      </c>
      <c r="AH1406" s="136">
        <f t="shared" si="217"/>
        <v>0</v>
      </c>
      <c r="AI1406" s="251"/>
      <c r="AJ1406" s="1736"/>
      <c r="AK1406" s="1737"/>
      <c r="AL1406" s="79">
        <f t="shared" si="218"/>
        <v>0</v>
      </c>
      <c r="AM1406" s="137">
        <f t="shared" si="219"/>
        <v>0</v>
      </c>
      <c r="AN1406" s="251"/>
      <c r="AO1406" s="1736"/>
      <c r="AP1406" s="1737"/>
    </row>
    <row r="1407" spans="1:42" s="85" customFormat="1" ht="13.5" thickBot="1">
      <c r="A1407" s="240"/>
      <c r="B1407" s="241"/>
      <c r="C1407" s="242"/>
      <c r="D1407" s="242"/>
      <c r="E1407" s="243"/>
      <c r="F1407" s="244"/>
      <c r="G1407" s="244"/>
      <c r="H1407" s="243"/>
      <c r="I1407" s="258"/>
      <c r="J1407" s="245"/>
      <c r="K1407" s="245"/>
      <c r="L1407" s="76">
        <f t="shared" si="210"/>
        <v>0</v>
      </c>
      <c r="M1407" s="246"/>
      <c r="N1407" s="247"/>
      <c r="O1407" s="248"/>
      <c r="P1407" s="246"/>
      <c r="Q1407" s="249"/>
      <c r="R1407" s="250"/>
      <c r="S1407" s="259"/>
      <c r="T1407" s="260"/>
      <c r="U1407" s="250"/>
      <c r="V1407" s="78">
        <f t="shared" si="211"/>
        <v>0</v>
      </c>
      <c r="W1407" s="261">
        <f t="shared" si="212"/>
        <v>0</v>
      </c>
      <c r="X1407" s="133">
        <f t="shared" si="213"/>
        <v>0</v>
      </c>
      <c r="Y1407" s="251"/>
      <c r="Z1407" s="1736"/>
      <c r="AA1407" s="1737"/>
      <c r="AB1407" s="77">
        <f t="shared" si="214"/>
        <v>0</v>
      </c>
      <c r="AC1407" s="134">
        <f t="shared" si="215"/>
        <v>0</v>
      </c>
      <c r="AD1407" s="251"/>
      <c r="AE1407" s="1736"/>
      <c r="AF1407" s="1737"/>
      <c r="AG1407" s="77">
        <f t="shared" si="216"/>
        <v>0</v>
      </c>
      <c r="AH1407" s="136">
        <f t="shared" si="217"/>
        <v>0</v>
      </c>
      <c r="AI1407" s="251"/>
      <c r="AJ1407" s="1736"/>
      <c r="AK1407" s="1737"/>
      <c r="AL1407" s="79">
        <f t="shared" si="218"/>
        <v>0</v>
      </c>
      <c r="AM1407" s="137">
        <f t="shared" si="219"/>
        <v>0</v>
      </c>
      <c r="AN1407" s="251"/>
      <c r="AO1407" s="1736"/>
      <c r="AP1407" s="1737"/>
    </row>
    <row r="1408" spans="1:42" s="85" customFormat="1" ht="13.5" thickBot="1">
      <c r="A1408" s="240"/>
      <c r="B1408" s="241"/>
      <c r="C1408" s="242"/>
      <c r="D1408" s="242"/>
      <c r="E1408" s="243"/>
      <c r="F1408" s="244"/>
      <c r="G1408" s="244"/>
      <c r="H1408" s="243"/>
      <c r="I1408" s="258"/>
      <c r="J1408" s="245"/>
      <c r="K1408" s="245"/>
      <c r="L1408" s="76">
        <f t="shared" si="210"/>
        <v>0</v>
      </c>
      <c r="M1408" s="246"/>
      <c r="N1408" s="247"/>
      <c r="O1408" s="248"/>
      <c r="P1408" s="246"/>
      <c r="Q1408" s="249"/>
      <c r="R1408" s="250"/>
      <c r="S1408" s="259"/>
      <c r="T1408" s="260"/>
      <c r="U1408" s="250"/>
      <c r="V1408" s="78">
        <f t="shared" si="211"/>
        <v>0</v>
      </c>
      <c r="W1408" s="261">
        <f t="shared" si="212"/>
        <v>0</v>
      </c>
      <c r="X1408" s="133">
        <f t="shared" si="213"/>
        <v>0</v>
      </c>
      <c r="Y1408" s="251"/>
      <c r="Z1408" s="1736"/>
      <c r="AA1408" s="1737"/>
      <c r="AB1408" s="77">
        <f t="shared" si="214"/>
        <v>0</v>
      </c>
      <c r="AC1408" s="134">
        <f t="shared" si="215"/>
        <v>0</v>
      </c>
      <c r="AD1408" s="251"/>
      <c r="AE1408" s="1736"/>
      <c r="AF1408" s="1737"/>
      <c r="AG1408" s="77">
        <f t="shared" si="216"/>
        <v>0</v>
      </c>
      <c r="AH1408" s="136">
        <f t="shared" si="217"/>
        <v>0</v>
      </c>
      <c r="AI1408" s="251"/>
      <c r="AJ1408" s="1736"/>
      <c r="AK1408" s="1737"/>
      <c r="AL1408" s="79">
        <f t="shared" si="218"/>
        <v>0</v>
      </c>
      <c r="AM1408" s="137">
        <f t="shared" si="219"/>
        <v>0</v>
      </c>
      <c r="AN1408" s="251"/>
      <c r="AO1408" s="1736"/>
      <c r="AP1408" s="1737"/>
    </row>
    <row r="1409" spans="1:42" s="85" customFormat="1" ht="13.5" thickBot="1">
      <c r="A1409" s="240"/>
      <c r="B1409" s="241"/>
      <c r="C1409" s="242"/>
      <c r="D1409" s="242"/>
      <c r="E1409" s="243"/>
      <c r="F1409" s="244"/>
      <c r="G1409" s="244"/>
      <c r="H1409" s="243"/>
      <c r="I1409" s="258"/>
      <c r="J1409" s="245"/>
      <c r="K1409" s="245"/>
      <c r="L1409" s="76">
        <f t="shared" si="210"/>
        <v>0</v>
      </c>
      <c r="M1409" s="246"/>
      <c r="N1409" s="247"/>
      <c r="O1409" s="248"/>
      <c r="P1409" s="246"/>
      <c r="Q1409" s="249"/>
      <c r="R1409" s="250"/>
      <c r="S1409" s="259"/>
      <c r="T1409" s="260"/>
      <c r="U1409" s="250"/>
      <c r="V1409" s="78">
        <f t="shared" si="211"/>
        <v>0</v>
      </c>
      <c r="W1409" s="261">
        <f t="shared" si="212"/>
        <v>0</v>
      </c>
      <c r="X1409" s="133">
        <f t="shared" si="213"/>
        <v>0</v>
      </c>
      <c r="Y1409" s="251"/>
      <c r="Z1409" s="1736"/>
      <c r="AA1409" s="1737"/>
      <c r="AB1409" s="77">
        <f t="shared" si="214"/>
        <v>0</v>
      </c>
      <c r="AC1409" s="134">
        <f t="shared" si="215"/>
        <v>0</v>
      </c>
      <c r="AD1409" s="251"/>
      <c r="AE1409" s="1736"/>
      <c r="AF1409" s="1737"/>
      <c r="AG1409" s="77">
        <f t="shared" si="216"/>
        <v>0</v>
      </c>
      <c r="AH1409" s="136">
        <f t="shared" si="217"/>
        <v>0</v>
      </c>
      <c r="AI1409" s="251"/>
      <c r="AJ1409" s="1736"/>
      <c r="AK1409" s="1737"/>
      <c r="AL1409" s="79">
        <f t="shared" si="218"/>
        <v>0</v>
      </c>
      <c r="AM1409" s="137">
        <f t="shared" si="219"/>
        <v>0</v>
      </c>
      <c r="AN1409" s="251"/>
      <c r="AO1409" s="1736"/>
      <c r="AP1409" s="1737"/>
    </row>
    <row r="1410" spans="1:42" s="85" customFormat="1" ht="13.5" thickBot="1">
      <c r="A1410" s="240"/>
      <c r="B1410" s="241"/>
      <c r="C1410" s="242"/>
      <c r="D1410" s="242"/>
      <c r="E1410" s="243"/>
      <c r="F1410" s="244"/>
      <c r="G1410" s="244"/>
      <c r="H1410" s="243"/>
      <c r="I1410" s="258"/>
      <c r="J1410" s="245"/>
      <c r="K1410" s="245"/>
      <c r="L1410" s="76">
        <f t="shared" si="210"/>
        <v>0</v>
      </c>
      <c r="M1410" s="246"/>
      <c r="N1410" s="247"/>
      <c r="O1410" s="248"/>
      <c r="P1410" s="246"/>
      <c r="Q1410" s="249"/>
      <c r="R1410" s="250"/>
      <c r="S1410" s="259"/>
      <c r="T1410" s="260"/>
      <c r="U1410" s="250"/>
      <c r="V1410" s="78">
        <f t="shared" si="211"/>
        <v>0</v>
      </c>
      <c r="W1410" s="261">
        <f t="shared" si="212"/>
        <v>0</v>
      </c>
      <c r="X1410" s="133">
        <f t="shared" si="213"/>
        <v>0</v>
      </c>
      <c r="Y1410" s="251"/>
      <c r="Z1410" s="1736"/>
      <c r="AA1410" s="1737"/>
      <c r="AB1410" s="77">
        <f t="shared" si="214"/>
        <v>0</v>
      </c>
      <c r="AC1410" s="134">
        <f t="shared" si="215"/>
        <v>0</v>
      </c>
      <c r="AD1410" s="251"/>
      <c r="AE1410" s="1736"/>
      <c r="AF1410" s="1737"/>
      <c r="AG1410" s="77">
        <f t="shared" si="216"/>
        <v>0</v>
      </c>
      <c r="AH1410" s="136">
        <f t="shared" si="217"/>
        <v>0</v>
      </c>
      <c r="AI1410" s="251"/>
      <c r="AJ1410" s="1736"/>
      <c r="AK1410" s="1737"/>
      <c r="AL1410" s="79">
        <f t="shared" si="218"/>
        <v>0</v>
      </c>
      <c r="AM1410" s="137">
        <f t="shared" si="219"/>
        <v>0</v>
      </c>
      <c r="AN1410" s="251"/>
      <c r="AO1410" s="1736"/>
      <c r="AP1410" s="1737"/>
    </row>
    <row r="1411" spans="1:42" s="85" customFormat="1" ht="13.5" thickBot="1">
      <c r="A1411" s="240"/>
      <c r="B1411" s="241"/>
      <c r="C1411" s="242"/>
      <c r="D1411" s="242"/>
      <c r="E1411" s="243"/>
      <c r="F1411" s="244"/>
      <c r="G1411" s="244"/>
      <c r="H1411" s="243"/>
      <c r="I1411" s="258"/>
      <c r="J1411" s="245"/>
      <c r="K1411" s="245"/>
      <c r="L1411" s="76">
        <f t="shared" si="210"/>
        <v>0</v>
      </c>
      <c r="M1411" s="246"/>
      <c r="N1411" s="247"/>
      <c r="O1411" s="248"/>
      <c r="P1411" s="246"/>
      <c r="Q1411" s="249"/>
      <c r="R1411" s="250"/>
      <c r="S1411" s="259"/>
      <c r="T1411" s="260"/>
      <c r="U1411" s="250"/>
      <c r="V1411" s="78">
        <f t="shared" si="211"/>
        <v>0</v>
      </c>
      <c r="W1411" s="261">
        <f t="shared" si="212"/>
        <v>0</v>
      </c>
      <c r="X1411" s="133">
        <f t="shared" si="213"/>
        <v>0</v>
      </c>
      <c r="Y1411" s="251"/>
      <c r="Z1411" s="1736"/>
      <c r="AA1411" s="1737"/>
      <c r="AB1411" s="77">
        <f t="shared" si="214"/>
        <v>0</v>
      </c>
      <c r="AC1411" s="134">
        <f t="shared" si="215"/>
        <v>0</v>
      </c>
      <c r="AD1411" s="251"/>
      <c r="AE1411" s="1736"/>
      <c r="AF1411" s="1737"/>
      <c r="AG1411" s="77">
        <f t="shared" si="216"/>
        <v>0</v>
      </c>
      <c r="AH1411" s="136">
        <f t="shared" si="217"/>
        <v>0</v>
      </c>
      <c r="AI1411" s="251"/>
      <c r="AJ1411" s="1736"/>
      <c r="AK1411" s="1737"/>
      <c r="AL1411" s="79">
        <f t="shared" si="218"/>
        <v>0</v>
      </c>
      <c r="AM1411" s="137">
        <f t="shared" si="219"/>
        <v>0</v>
      </c>
      <c r="AN1411" s="251"/>
      <c r="AO1411" s="1736"/>
      <c r="AP1411" s="1737"/>
    </row>
    <row r="1412" spans="1:42" s="85" customFormat="1" ht="13.5" thickBot="1">
      <c r="A1412" s="240"/>
      <c r="B1412" s="241"/>
      <c r="C1412" s="242"/>
      <c r="D1412" s="242"/>
      <c r="E1412" s="243"/>
      <c r="F1412" s="244"/>
      <c r="G1412" s="244"/>
      <c r="H1412" s="243"/>
      <c r="I1412" s="258"/>
      <c r="J1412" s="245"/>
      <c r="K1412" s="245"/>
      <c r="L1412" s="76">
        <f t="shared" si="210"/>
        <v>0</v>
      </c>
      <c r="M1412" s="246"/>
      <c r="N1412" s="247"/>
      <c r="O1412" s="248"/>
      <c r="P1412" s="246"/>
      <c r="Q1412" s="249"/>
      <c r="R1412" s="250"/>
      <c r="S1412" s="259"/>
      <c r="T1412" s="260"/>
      <c r="U1412" s="250"/>
      <c r="V1412" s="78">
        <f t="shared" si="211"/>
        <v>0</v>
      </c>
      <c r="W1412" s="261">
        <f t="shared" si="212"/>
        <v>0</v>
      </c>
      <c r="X1412" s="133">
        <f t="shared" si="213"/>
        <v>0</v>
      </c>
      <c r="Y1412" s="251"/>
      <c r="Z1412" s="1736"/>
      <c r="AA1412" s="1737"/>
      <c r="AB1412" s="77">
        <f t="shared" si="214"/>
        <v>0</v>
      </c>
      <c r="AC1412" s="134">
        <f t="shared" si="215"/>
        <v>0</v>
      </c>
      <c r="AD1412" s="251"/>
      <c r="AE1412" s="1736"/>
      <c r="AF1412" s="1737"/>
      <c r="AG1412" s="77">
        <f t="shared" si="216"/>
        <v>0</v>
      </c>
      <c r="AH1412" s="136">
        <f t="shared" si="217"/>
        <v>0</v>
      </c>
      <c r="AI1412" s="251"/>
      <c r="AJ1412" s="1736"/>
      <c r="AK1412" s="1737"/>
      <c r="AL1412" s="79">
        <f t="shared" si="218"/>
        <v>0</v>
      </c>
      <c r="AM1412" s="137">
        <f t="shared" si="219"/>
        <v>0</v>
      </c>
      <c r="AN1412" s="251"/>
      <c r="AO1412" s="1736"/>
      <c r="AP1412" s="1737"/>
    </row>
    <row r="1413" spans="1:42" s="85" customFormat="1" ht="13.5" thickBot="1">
      <c r="A1413" s="240"/>
      <c r="B1413" s="241"/>
      <c r="C1413" s="242"/>
      <c r="D1413" s="242"/>
      <c r="E1413" s="243"/>
      <c r="F1413" s="244"/>
      <c r="G1413" s="244"/>
      <c r="H1413" s="243"/>
      <c r="I1413" s="258"/>
      <c r="J1413" s="245"/>
      <c r="K1413" s="245"/>
      <c r="L1413" s="76">
        <f t="shared" si="210"/>
        <v>0</v>
      </c>
      <c r="M1413" s="246"/>
      <c r="N1413" s="247"/>
      <c r="O1413" s="248"/>
      <c r="P1413" s="246"/>
      <c r="Q1413" s="249"/>
      <c r="R1413" s="250"/>
      <c r="S1413" s="259"/>
      <c r="T1413" s="260"/>
      <c r="U1413" s="250"/>
      <c r="V1413" s="78">
        <f t="shared" si="211"/>
        <v>0</v>
      </c>
      <c r="W1413" s="261">
        <f t="shared" si="212"/>
        <v>0</v>
      </c>
      <c r="X1413" s="133">
        <f t="shared" si="213"/>
        <v>0</v>
      </c>
      <c r="Y1413" s="251"/>
      <c r="Z1413" s="1736"/>
      <c r="AA1413" s="1737"/>
      <c r="AB1413" s="77">
        <f t="shared" si="214"/>
        <v>0</v>
      </c>
      <c r="AC1413" s="134">
        <f t="shared" si="215"/>
        <v>0</v>
      </c>
      <c r="AD1413" s="251"/>
      <c r="AE1413" s="1736"/>
      <c r="AF1413" s="1737"/>
      <c r="AG1413" s="77">
        <f t="shared" si="216"/>
        <v>0</v>
      </c>
      <c r="AH1413" s="136">
        <f t="shared" si="217"/>
        <v>0</v>
      </c>
      <c r="AI1413" s="251"/>
      <c r="AJ1413" s="1736"/>
      <c r="AK1413" s="1737"/>
      <c r="AL1413" s="79">
        <f t="shared" si="218"/>
        <v>0</v>
      </c>
      <c r="AM1413" s="137">
        <f t="shared" si="219"/>
        <v>0</v>
      </c>
      <c r="AN1413" s="251"/>
      <c r="AO1413" s="1736"/>
      <c r="AP1413" s="1737"/>
    </row>
    <row r="1414" spans="1:42" s="85" customFormat="1" ht="13.5" thickBot="1">
      <c r="A1414" s="240"/>
      <c r="B1414" s="241"/>
      <c r="C1414" s="242"/>
      <c r="D1414" s="242"/>
      <c r="E1414" s="243"/>
      <c r="F1414" s="244"/>
      <c r="G1414" s="244"/>
      <c r="H1414" s="243"/>
      <c r="I1414" s="258"/>
      <c r="J1414" s="245"/>
      <c r="K1414" s="245"/>
      <c r="L1414" s="76">
        <f t="shared" si="210"/>
        <v>0</v>
      </c>
      <c r="M1414" s="246"/>
      <c r="N1414" s="247"/>
      <c r="O1414" s="248"/>
      <c r="P1414" s="246"/>
      <c r="Q1414" s="249"/>
      <c r="R1414" s="250"/>
      <c r="S1414" s="259"/>
      <c r="T1414" s="260"/>
      <c r="U1414" s="250"/>
      <c r="V1414" s="78">
        <f t="shared" si="211"/>
        <v>0</v>
      </c>
      <c r="W1414" s="261">
        <f t="shared" si="212"/>
        <v>0</v>
      </c>
      <c r="X1414" s="133">
        <f t="shared" si="213"/>
        <v>0</v>
      </c>
      <c r="Y1414" s="251"/>
      <c r="Z1414" s="1736"/>
      <c r="AA1414" s="1737"/>
      <c r="AB1414" s="77">
        <f t="shared" si="214"/>
        <v>0</v>
      </c>
      <c r="AC1414" s="134">
        <f t="shared" si="215"/>
        <v>0</v>
      </c>
      <c r="AD1414" s="251"/>
      <c r="AE1414" s="1736"/>
      <c r="AF1414" s="1737"/>
      <c r="AG1414" s="77">
        <f t="shared" si="216"/>
        <v>0</v>
      </c>
      <c r="AH1414" s="136">
        <f t="shared" si="217"/>
        <v>0</v>
      </c>
      <c r="AI1414" s="251"/>
      <c r="AJ1414" s="1736"/>
      <c r="AK1414" s="1737"/>
      <c r="AL1414" s="79">
        <f t="shared" si="218"/>
        <v>0</v>
      </c>
      <c r="AM1414" s="137">
        <f t="shared" si="219"/>
        <v>0</v>
      </c>
      <c r="AN1414" s="251"/>
      <c r="AO1414" s="1736"/>
      <c r="AP1414" s="1737"/>
    </row>
    <row r="1415" spans="1:42" s="85" customFormat="1" ht="13.5" thickBot="1">
      <c r="A1415" s="240"/>
      <c r="B1415" s="241"/>
      <c r="C1415" s="242"/>
      <c r="D1415" s="242"/>
      <c r="E1415" s="243"/>
      <c r="F1415" s="244"/>
      <c r="G1415" s="244"/>
      <c r="H1415" s="243"/>
      <c r="I1415" s="258"/>
      <c r="J1415" s="245"/>
      <c r="K1415" s="245"/>
      <c r="L1415" s="76">
        <f t="shared" si="210"/>
        <v>0</v>
      </c>
      <c r="M1415" s="246"/>
      <c r="N1415" s="247"/>
      <c r="O1415" s="248"/>
      <c r="P1415" s="246"/>
      <c r="Q1415" s="249"/>
      <c r="R1415" s="250"/>
      <c r="S1415" s="259"/>
      <c r="T1415" s="260"/>
      <c r="U1415" s="250"/>
      <c r="V1415" s="78">
        <f t="shared" si="211"/>
        <v>0</v>
      </c>
      <c r="W1415" s="261">
        <f t="shared" si="212"/>
        <v>0</v>
      </c>
      <c r="X1415" s="133">
        <f t="shared" si="213"/>
        <v>0</v>
      </c>
      <c r="Y1415" s="251"/>
      <c r="Z1415" s="1736"/>
      <c r="AA1415" s="1737"/>
      <c r="AB1415" s="77">
        <f t="shared" si="214"/>
        <v>0</v>
      </c>
      <c r="AC1415" s="134">
        <f t="shared" si="215"/>
        <v>0</v>
      </c>
      <c r="AD1415" s="251"/>
      <c r="AE1415" s="1736"/>
      <c r="AF1415" s="1737"/>
      <c r="AG1415" s="77">
        <f t="shared" si="216"/>
        <v>0</v>
      </c>
      <c r="AH1415" s="136">
        <f t="shared" si="217"/>
        <v>0</v>
      </c>
      <c r="AI1415" s="251"/>
      <c r="AJ1415" s="1736"/>
      <c r="AK1415" s="1737"/>
      <c r="AL1415" s="79">
        <f t="shared" si="218"/>
        <v>0</v>
      </c>
      <c r="AM1415" s="137">
        <f t="shared" si="219"/>
        <v>0</v>
      </c>
      <c r="AN1415" s="251"/>
      <c r="AO1415" s="1736"/>
      <c r="AP1415" s="1737"/>
    </row>
    <row r="1416" spans="1:42" s="85" customFormat="1" ht="13.5" thickBot="1">
      <c r="A1416" s="240"/>
      <c r="B1416" s="241"/>
      <c r="C1416" s="242"/>
      <c r="D1416" s="242"/>
      <c r="E1416" s="243"/>
      <c r="F1416" s="244"/>
      <c r="G1416" s="244"/>
      <c r="H1416" s="243"/>
      <c r="I1416" s="258"/>
      <c r="J1416" s="245"/>
      <c r="K1416" s="245"/>
      <c r="L1416" s="76">
        <f t="shared" si="210"/>
        <v>0</v>
      </c>
      <c r="M1416" s="246"/>
      <c r="N1416" s="247"/>
      <c r="O1416" s="248"/>
      <c r="P1416" s="246"/>
      <c r="Q1416" s="249"/>
      <c r="R1416" s="250"/>
      <c r="S1416" s="259"/>
      <c r="T1416" s="260"/>
      <c r="U1416" s="250"/>
      <c r="V1416" s="78">
        <f t="shared" si="211"/>
        <v>0</v>
      </c>
      <c r="W1416" s="261">
        <f t="shared" si="212"/>
        <v>0</v>
      </c>
      <c r="X1416" s="133">
        <f t="shared" si="213"/>
        <v>0</v>
      </c>
      <c r="Y1416" s="251"/>
      <c r="Z1416" s="1736"/>
      <c r="AA1416" s="1737"/>
      <c r="AB1416" s="77">
        <f t="shared" si="214"/>
        <v>0</v>
      </c>
      <c r="AC1416" s="134">
        <f t="shared" si="215"/>
        <v>0</v>
      </c>
      <c r="AD1416" s="251"/>
      <c r="AE1416" s="1736"/>
      <c r="AF1416" s="1737"/>
      <c r="AG1416" s="77">
        <f t="shared" si="216"/>
        <v>0</v>
      </c>
      <c r="AH1416" s="136">
        <f t="shared" si="217"/>
        <v>0</v>
      </c>
      <c r="AI1416" s="251"/>
      <c r="AJ1416" s="1736"/>
      <c r="AK1416" s="1737"/>
      <c r="AL1416" s="79">
        <f t="shared" si="218"/>
        <v>0</v>
      </c>
      <c r="AM1416" s="137">
        <f t="shared" si="219"/>
        <v>0</v>
      </c>
      <c r="AN1416" s="251"/>
      <c r="AO1416" s="1736"/>
      <c r="AP1416" s="1737"/>
    </row>
    <row r="1417" spans="1:42" s="85" customFormat="1" ht="13.5" thickBot="1">
      <c r="A1417" s="240"/>
      <c r="B1417" s="241"/>
      <c r="C1417" s="242"/>
      <c r="D1417" s="242"/>
      <c r="E1417" s="243"/>
      <c r="F1417" s="244"/>
      <c r="G1417" s="244"/>
      <c r="H1417" s="243"/>
      <c r="I1417" s="258"/>
      <c r="J1417" s="245"/>
      <c r="K1417" s="245"/>
      <c r="L1417" s="76">
        <f t="shared" si="210"/>
        <v>0</v>
      </c>
      <c r="M1417" s="246"/>
      <c r="N1417" s="247"/>
      <c r="O1417" s="248"/>
      <c r="P1417" s="246"/>
      <c r="Q1417" s="249"/>
      <c r="R1417" s="250"/>
      <c r="S1417" s="259"/>
      <c r="T1417" s="260"/>
      <c r="U1417" s="250"/>
      <c r="V1417" s="78">
        <f t="shared" si="211"/>
        <v>0</v>
      </c>
      <c r="W1417" s="261">
        <f t="shared" si="212"/>
        <v>0</v>
      </c>
      <c r="X1417" s="133">
        <f t="shared" si="213"/>
        <v>0</v>
      </c>
      <c r="Y1417" s="251"/>
      <c r="Z1417" s="1736"/>
      <c r="AA1417" s="1737"/>
      <c r="AB1417" s="77">
        <f t="shared" si="214"/>
        <v>0</v>
      </c>
      <c r="AC1417" s="134">
        <f t="shared" si="215"/>
        <v>0</v>
      </c>
      <c r="AD1417" s="251"/>
      <c r="AE1417" s="1736"/>
      <c r="AF1417" s="1737"/>
      <c r="AG1417" s="77">
        <f t="shared" si="216"/>
        <v>0</v>
      </c>
      <c r="AH1417" s="136">
        <f t="shared" si="217"/>
        <v>0</v>
      </c>
      <c r="AI1417" s="251"/>
      <c r="AJ1417" s="1736"/>
      <c r="AK1417" s="1737"/>
      <c r="AL1417" s="79">
        <f t="shared" si="218"/>
        <v>0</v>
      </c>
      <c r="AM1417" s="137">
        <f t="shared" si="219"/>
        <v>0</v>
      </c>
      <c r="AN1417" s="251"/>
      <c r="AO1417" s="1736"/>
      <c r="AP1417" s="1737"/>
    </row>
    <row r="1418" spans="1:42" s="85" customFormat="1" ht="13.5" thickBot="1">
      <c r="A1418" s="240"/>
      <c r="B1418" s="241"/>
      <c r="C1418" s="242"/>
      <c r="D1418" s="242"/>
      <c r="E1418" s="243"/>
      <c r="F1418" s="244"/>
      <c r="G1418" s="244"/>
      <c r="H1418" s="243"/>
      <c r="I1418" s="258"/>
      <c r="J1418" s="245"/>
      <c r="K1418" s="245"/>
      <c r="L1418" s="76">
        <f t="shared" si="210"/>
        <v>0</v>
      </c>
      <c r="M1418" s="246"/>
      <c r="N1418" s="247"/>
      <c r="O1418" s="248"/>
      <c r="P1418" s="246"/>
      <c r="Q1418" s="249"/>
      <c r="R1418" s="250"/>
      <c r="S1418" s="259"/>
      <c r="T1418" s="260"/>
      <c r="U1418" s="250"/>
      <c r="V1418" s="78">
        <f t="shared" si="211"/>
        <v>0</v>
      </c>
      <c r="W1418" s="261">
        <f t="shared" si="212"/>
        <v>0</v>
      </c>
      <c r="X1418" s="133">
        <f t="shared" si="213"/>
        <v>0</v>
      </c>
      <c r="Y1418" s="251"/>
      <c r="Z1418" s="1736"/>
      <c r="AA1418" s="1737"/>
      <c r="AB1418" s="77">
        <f t="shared" si="214"/>
        <v>0</v>
      </c>
      <c r="AC1418" s="134">
        <f t="shared" si="215"/>
        <v>0</v>
      </c>
      <c r="AD1418" s="251"/>
      <c r="AE1418" s="1736"/>
      <c r="AF1418" s="1737"/>
      <c r="AG1418" s="77">
        <f t="shared" si="216"/>
        <v>0</v>
      </c>
      <c r="AH1418" s="136">
        <f t="shared" si="217"/>
        <v>0</v>
      </c>
      <c r="AI1418" s="251"/>
      <c r="AJ1418" s="1736"/>
      <c r="AK1418" s="1737"/>
      <c r="AL1418" s="79">
        <f t="shared" si="218"/>
        <v>0</v>
      </c>
      <c r="AM1418" s="137">
        <f t="shared" si="219"/>
        <v>0</v>
      </c>
      <c r="AN1418" s="251"/>
      <c r="AO1418" s="1736"/>
      <c r="AP1418" s="1737"/>
    </row>
    <row r="1419" spans="1:42" s="85" customFormat="1" ht="13.5" thickBot="1">
      <c r="A1419" s="240"/>
      <c r="B1419" s="241"/>
      <c r="C1419" s="242"/>
      <c r="D1419" s="242"/>
      <c r="E1419" s="243"/>
      <c r="F1419" s="244"/>
      <c r="G1419" s="244"/>
      <c r="H1419" s="243"/>
      <c r="I1419" s="258"/>
      <c r="J1419" s="245"/>
      <c r="K1419" s="245"/>
      <c r="L1419" s="76">
        <f t="shared" ref="L1419:L1482" si="220">IF(I1419=0,0,(K1419+J1419)/I1419)</f>
        <v>0</v>
      </c>
      <c r="M1419" s="246"/>
      <c r="N1419" s="247"/>
      <c r="O1419" s="248"/>
      <c r="P1419" s="246"/>
      <c r="Q1419" s="249"/>
      <c r="R1419" s="250"/>
      <c r="S1419" s="259"/>
      <c r="T1419" s="260"/>
      <c r="U1419" s="250"/>
      <c r="V1419" s="78">
        <f t="shared" ref="V1419:V1482" si="221">IF(U1419=0,0,((U1419*S1419)-AB1419-AL1419))</f>
        <v>0</v>
      </c>
      <c r="W1419" s="261">
        <f t="shared" ref="W1419:W1482" si="222">+S1419-I1419</f>
        <v>0</v>
      </c>
      <c r="X1419" s="133">
        <f t="shared" ref="X1419:X1482" si="223">(V1419-J1419)</f>
        <v>0</v>
      </c>
      <c r="Y1419" s="251"/>
      <c r="Z1419" s="1736"/>
      <c r="AA1419" s="1737"/>
      <c r="AB1419" s="77">
        <f t="shared" ref="AB1419:AB1482" si="224">(IF(I1419=0,0,M1419/H1419))*S1419</f>
        <v>0</v>
      </c>
      <c r="AC1419" s="134">
        <f t="shared" ref="AC1419:AC1482" si="225">+AB1419-P1419</f>
        <v>0</v>
      </c>
      <c r="AD1419" s="251"/>
      <c r="AE1419" s="1736"/>
      <c r="AF1419" s="1737"/>
      <c r="AG1419" s="77">
        <f t="shared" ref="AG1419:AG1482" si="226">(IF(H1419=0,0,N1419/H1419))*T1419</f>
        <v>0</v>
      </c>
      <c r="AH1419" s="136">
        <f t="shared" ref="AH1419:AH1482" si="227">+AG1419-Q1419</f>
        <v>0</v>
      </c>
      <c r="AI1419" s="251"/>
      <c r="AJ1419" s="1736"/>
      <c r="AK1419" s="1737"/>
      <c r="AL1419" s="79">
        <f t="shared" ref="AL1419:AL1482" si="228">+O1419*S1419</f>
        <v>0</v>
      </c>
      <c r="AM1419" s="137">
        <f t="shared" ref="AM1419:AM1482" si="229">+AL1419-R1419</f>
        <v>0</v>
      </c>
      <c r="AN1419" s="251"/>
      <c r="AO1419" s="1736"/>
      <c r="AP1419" s="1737"/>
    </row>
    <row r="1420" spans="1:42" s="85" customFormat="1" ht="13.5" thickBot="1">
      <c r="A1420" s="240"/>
      <c r="B1420" s="241"/>
      <c r="C1420" s="242"/>
      <c r="D1420" s="242"/>
      <c r="E1420" s="243"/>
      <c r="F1420" s="244"/>
      <c r="G1420" s="244"/>
      <c r="H1420" s="243"/>
      <c r="I1420" s="258"/>
      <c r="J1420" s="245"/>
      <c r="K1420" s="245"/>
      <c r="L1420" s="76">
        <f t="shared" si="220"/>
        <v>0</v>
      </c>
      <c r="M1420" s="246"/>
      <c r="N1420" s="247"/>
      <c r="O1420" s="248"/>
      <c r="P1420" s="246"/>
      <c r="Q1420" s="249"/>
      <c r="R1420" s="250"/>
      <c r="S1420" s="259"/>
      <c r="T1420" s="260"/>
      <c r="U1420" s="250"/>
      <c r="V1420" s="78">
        <f t="shared" si="221"/>
        <v>0</v>
      </c>
      <c r="W1420" s="261">
        <f t="shared" si="222"/>
        <v>0</v>
      </c>
      <c r="X1420" s="133">
        <f t="shared" si="223"/>
        <v>0</v>
      </c>
      <c r="Y1420" s="251"/>
      <c r="Z1420" s="1736"/>
      <c r="AA1420" s="1737"/>
      <c r="AB1420" s="77">
        <f t="shared" si="224"/>
        <v>0</v>
      </c>
      <c r="AC1420" s="134">
        <f t="shared" si="225"/>
        <v>0</v>
      </c>
      <c r="AD1420" s="251"/>
      <c r="AE1420" s="1736"/>
      <c r="AF1420" s="1737"/>
      <c r="AG1420" s="77">
        <f t="shared" si="226"/>
        <v>0</v>
      </c>
      <c r="AH1420" s="136">
        <f t="shared" si="227"/>
        <v>0</v>
      </c>
      <c r="AI1420" s="251"/>
      <c r="AJ1420" s="1736"/>
      <c r="AK1420" s="1737"/>
      <c r="AL1420" s="79">
        <f t="shared" si="228"/>
        <v>0</v>
      </c>
      <c r="AM1420" s="137">
        <f t="shared" si="229"/>
        <v>0</v>
      </c>
      <c r="AN1420" s="251"/>
      <c r="AO1420" s="1736"/>
      <c r="AP1420" s="1737"/>
    </row>
    <row r="1421" spans="1:42" s="85" customFormat="1" ht="13.5" thickBot="1">
      <c r="A1421" s="240"/>
      <c r="B1421" s="241"/>
      <c r="C1421" s="242"/>
      <c r="D1421" s="242"/>
      <c r="E1421" s="243"/>
      <c r="F1421" s="244"/>
      <c r="G1421" s="244"/>
      <c r="H1421" s="243"/>
      <c r="I1421" s="258"/>
      <c r="J1421" s="245"/>
      <c r="K1421" s="245"/>
      <c r="L1421" s="76">
        <f t="shared" si="220"/>
        <v>0</v>
      </c>
      <c r="M1421" s="246"/>
      <c r="N1421" s="247"/>
      <c r="O1421" s="248"/>
      <c r="P1421" s="246"/>
      <c r="Q1421" s="249"/>
      <c r="R1421" s="250"/>
      <c r="S1421" s="259"/>
      <c r="T1421" s="260"/>
      <c r="U1421" s="250"/>
      <c r="V1421" s="78">
        <f t="shared" si="221"/>
        <v>0</v>
      </c>
      <c r="W1421" s="261">
        <f t="shared" si="222"/>
        <v>0</v>
      </c>
      <c r="X1421" s="133">
        <f t="shared" si="223"/>
        <v>0</v>
      </c>
      <c r="Y1421" s="251"/>
      <c r="Z1421" s="1736"/>
      <c r="AA1421" s="1737"/>
      <c r="AB1421" s="77">
        <f t="shared" si="224"/>
        <v>0</v>
      </c>
      <c r="AC1421" s="134">
        <f t="shared" si="225"/>
        <v>0</v>
      </c>
      <c r="AD1421" s="251"/>
      <c r="AE1421" s="1736"/>
      <c r="AF1421" s="1737"/>
      <c r="AG1421" s="77">
        <f t="shared" si="226"/>
        <v>0</v>
      </c>
      <c r="AH1421" s="136">
        <f t="shared" si="227"/>
        <v>0</v>
      </c>
      <c r="AI1421" s="251"/>
      <c r="AJ1421" s="1736"/>
      <c r="AK1421" s="1737"/>
      <c r="AL1421" s="79">
        <f t="shared" si="228"/>
        <v>0</v>
      </c>
      <c r="AM1421" s="137">
        <f t="shared" si="229"/>
        <v>0</v>
      </c>
      <c r="AN1421" s="251"/>
      <c r="AO1421" s="1736"/>
      <c r="AP1421" s="1737"/>
    </row>
    <row r="1422" spans="1:42" s="85" customFormat="1" ht="13.5" thickBot="1">
      <c r="A1422" s="240"/>
      <c r="B1422" s="241"/>
      <c r="C1422" s="242"/>
      <c r="D1422" s="242"/>
      <c r="E1422" s="243"/>
      <c r="F1422" s="244"/>
      <c r="G1422" s="244"/>
      <c r="H1422" s="243"/>
      <c r="I1422" s="258"/>
      <c r="J1422" s="245"/>
      <c r="K1422" s="245"/>
      <c r="L1422" s="76">
        <f t="shared" si="220"/>
        <v>0</v>
      </c>
      <c r="M1422" s="246"/>
      <c r="N1422" s="247"/>
      <c r="O1422" s="248"/>
      <c r="P1422" s="246"/>
      <c r="Q1422" s="249"/>
      <c r="R1422" s="250"/>
      <c r="S1422" s="259"/>
      <c r="T1422" s="260"/>
      <c r="U1422" s="250"/>
      <c r="V1422" s="78">
        <f t="shared" si="221"/>
        <v>0</v>
      </c>
      <c r="W1422" s="261">
        <f t="shared" si="222"/>
        <v>0</v>
      </c>
      <c r="X1422" s="133">
        <f t="shared" si="223"/>
        <v>0</v>
      </c>
      <c r="Y1422" s="251"/>
      <c r="Z1422" s="1736"/>
      <c r="AA1422" s="1737"/>
      <c r="AB1422" s="77">
        <f t="shared" si="224"/>
        <v>0</v>
      </c>
      <c r="AC1422" s="134">
        <f t="shared" si="225"/>
        <v>0</v>
      </c>
      <c r="AD1422" s="251"/>
      <c r="AE1422" s="1736"/>
      <c r="AF1422" s="1737"/>
      <c r="AG1422" s="77">
        <f t="shared" si="226"/>
        <v>0</v>
      </c>
      <c r="AH1422" s="136">
        <f t="shared" si="227"/>
        <v>0</v>
      </c>
      <c r="AI1422" s="251"/>
      <c r="AJ1422" s="1736"/>
      <c r="AK1422" s="1737"/>
      <c r="AL1422" s="79">
        <f t="shared" si="228"/>
        <v>0</v>
      </c>
      <c r="AM1422" s="137">
        <f t="shared" si="229"/>
        <v>0</v>
      </c>
      <c r="AN1422" s="251"/>
      <c r="AO1422" s="1736"/>
      <c r="AP1422" s="1737"/>
    </row>
    <row r="1423" spans="1:42" s="85" customFormat="1" ht="13.5" thickBot="1">
      <c r="A1423" s="240"/>
      <c r="B1423" s="241"/>
      <c r="C1423" s="242"/>
      <c r="D1423" s="242"/>
      <c r="E1423" s="243"/>
      <c r="F1423" s="244"/>
      <c r="G1423" s="244"/>
      <c r="H1423" s="243"/>
      <c r="I1423" s="258"/>
      <c r="J1423" s="245"/>
      <c r="K1423" s="245"/>
      <c r="L1423" s="76">
        <f t="shared" si="220"/>
        <v>0</v>
      </c>
      <c r="M1423" s="246"/>
      <c r="N1423" s="247"/>
      <c r="O1423" s="248"/>
      <c r="P1423" s="246"/>
      <c r="Q1423" s="249"/>
      <c r="R1423" s="250"/>
      <c r="S1423" s="259"/>
      <c r="T1423" s="260"/>
      <c r="U1423" s="250"/>
      <c r="V1423" s="78">
        <f t="shared" si="221"/>
        <v>0</v>
      </c>
      <c r="W1423" s="261">
        <f t="shared" si="222"/>
        <v>0</v>
      </c>
      <c r="X1423" s="133">
        <f t="shared" si="223"/>
        <v>0</v>
      </c>
      <c r="Y1423" s="251"/>
      <c r="Z1423" s="1736"/>
      <c r="AA1423" s="1737"/>
      <c r="AB1423" s="77">
        <f t="shared" si="224"/>
        <v>0</v>
      </c>
      <c r="AC1423" s="134">
        <f t="shared" si="225"/>
        <v>0</v>
      </c>
      <c r="AD1423" s="251"/>
      <c r="AE1423" s="1736"/>
      <c r="AF1423" s="1737"/>
      <c r="AG1423" s="77">
        <f t="shared" si="226"/>
        <v>0</v>
      </c>
      <c r="AH1423" s="136">
        <f t="shared" si="227"/>
        <v>0</v>
      </c>
      <c r="AI1423" s="251"/>
      <c r="AJ1423" s="1736"/>
      <c r="AK1423" s="1737"/>
      <c r="AL1423" s="79">
        <f t="shared" si="228"/>
        <v>0</v>
      </c>
      <c r="AM1423" s="137">
        <f t="shared" si="229"/>
        <v>0</v>
      </c>
      <c r="AN1423" s="251"/>
      <c r="AO1423" s="1736"/>
      <c r="AP1423" s="1737"/>
    </row>
    <row r="1424" spans="1:42" s="85" customFormat="1" ht="13.5" thickBot="1">
      <c r="A1424" s="240"/>
      <c r="B1424" s="241"/>
      <c r="C1424" s="242"/>
      <c r="D1424" s="242"/>
      <c r="E1424" s="243"/>
      <c r="F1424" s="244"/>
      <c r="G1424" s="244"/>
      <c r="H1424" s="243"/>
      <c r="I1424" s="258"/>
      <c r="J1424" s="245"/>
      <c r="K1424" s="245"/>
      <c r="L1424" s="76">
        <f t="shared" si="220"/>
        <v>0</v>
      </c>
      <c r="M1424" s="246"/>
      <c r="N1424" s="247"/>
      <c r="O1424" s="248"/>
      <c r="P1424" s="246"/>
      <c r="Q1424" s="249"/>
      <c r="R1424" s="250"/>
      <c r="S1424" s="259"/>
      <c r="T1424" s="260"/>
      <c r="U1424" s="250"/>
      <c r="V1424" s="78">
        <f t="shared" si="221"/>
        <v>0</v>
      </c>
      <c r="W1424" s="261">
        <f t="shared" si="222"/>
        <v>0</v>
      </c>
      <c r="X1424" s="133">
        <f t="shared" si="223"/>
        <v>0</v>
      </c>
      <c r="Y1424" s="251"/>
      <c r="Z1424" s="1736"/>
      <c r="AA1424" s="1737"/>
      <c r="AB1424" s="77">
        <f t="shared" si="224"/>
        <v>0</v>
      </c>
      <c r="AC1424" s="134">
        <f t="shared" si="225"/>
        <v>0</v>
      </c>
      <c r="AD1424" s="251"/>
      <c r="AE1424" s="1736"/>
      <c r="AF1424" s="1737"/>
      <c r="AG1424" s="77">
        <f t="shared" si="226"/>
        <v>0</v>
      </c>
      <c r="AH1424" s="136">
        <f t="shared" si="227"/>
        <v>0</v>
      </c>
      <c r="AI1424" s="251"/>
      <c r="AJ1424" s="1736"/>
      <c r="AK1424" s="1737"/>
      <c r="AL1424" s="79">
        <f t="shared" si="228"/>
        <v>0</v>
      </c>
      <c r="AM1424" s="137">
        <f t="shared" si="229"/>
        <v>0</v>
      </c>
      <c r="AN1424" s="251"/>
      <c r="AO1424" s="1736"/>
      <c r="AP1424" s="1737"/>
    </row>
    <row r="1425" spans="1:42" s="85" customFormat="1" ht="13.5" thickBot="1">
      <c r="A1425" s="240"/>
      <c r="B1425" s="241"/>
      <c r="C1425" s="242"/>
      <c r="D1425" s="242"/>
      <c r="E1425" s="243"/>
      <c r="F1425" s="244"/>
      <c r="G1425" s="244"/>
      <c r="H1425" s="243"/>
      <c r="I1425" s="258"/>
      <c r="J1425" s="245"/>
      <c r="K1425" s="245"/>
      <c r="L1425" s="76">
        <f t="shared" si="220"/>
        <v>0</v>
      </c>
      <c r="M1425" s="246"/>
      <c r="N1425" s="247"/>
      <c r="O1425" s="248"/>
      <c r="P1425" s="246"/>
      <c r="Q1425" s="249"/>
      <c r="R1425" s="250"/>
      <c r="S1425" s="259"/>
      <c r="T1425" s="260"/>
      <c r="U1425" s="250"/>
      <c r="V1425" s="78">
        <f t="shared" si="221"/>
        <v>0</v>
      </c>
      <c r="W1425" s="261">
        <f t="shared" si="222"/>
        <v>0</v>
      </c>
      <c r="X1425" s="133">
        <f t="shared" si="223"/>
        <v>0</v>
      </c>
      <c r="Y1425" s="251"/>
      <c r="Z1425" s="1736"/>
      <c r="AA1425" s="1737"/>
      <c r="AB1425" s="77">
        <f t="shared" si="224"/>
        <v>0</v>
      </c>
      <c r="AC1425" s="134">
        <f t="shared" si="225"/>
        <v>0</v>
      </c>
      <c r="AD1425" s="251"/>
      <c r="AE1425" s="1736"/>
      <c r="AF1425" s="1737"/>
      <c r="AG1425" s="77">
        <f t="shared" si="226"/>
        <v>0</v>
      </c>
      <c r="AH1425" s="136">
        <f t="shared" si="227"/>
        <v>0</v>
      </c>
      <c r="AI1425" s="251"/>
      <c r="AJ1425" s="1736"/>
      <c r="AK1425" s="1737"/>
      <c r="AL1425" s="79">
        <f t="shared" si="228"/>
        <v>0</v>
      </c>
      <c r="AM1425" s="137">
        <f t="shared" si="229"/>
        <v>0</v>
      </c>
      <c r="AN1425" s="251"/>
      <c r="AO1425" s="1736"/>
      <c r="AP1425" s="1737"/>
    </row>
    <row r="1426" spans="1:42" s="85" customFormat="1" ht="13.5" thickBot="1">
      <c r="A1426" s="240"/>
      <c r="B1426" s="241"/>
      <c r="C1426" s="242"/>
      <c r="D1426" s="242"/>
      <c r="E1426" s="243"/>
      <c r="F1426" s="244"/>
      <c r="G1426" s="244"/>
      <c r="H1426" s="243"/>
      <c r="I1426" s="258"/>
      <c r="J1426" s="245"/>
      <c r="K1426" s="245"/>
      <c r="L1426" s="76">
        <f t="shared" si="220"/>
        <v>0</v>
      </c>
      <c r="M1426" s="246"/>
      <c r="N1426" s="247"/>
      <c r="O1426" s="248"/>
      <c r="P1426" s="246"/>
      <c r="Q1426" s="249"/>
      <c r="R1426" s="250"/>
      <c r="S1426" s="259"/>
      <c r="T1426" s="260"/>
      <c r="U1426" s="250"/>
      <c r="V1426" s="78">
        <f t="shared" si="221"/>
        <v>0</v>
      </c>
      <c r="W1426" s="261">
        <f t="shared" si="222"/>
        <v>0</v>
      </c>
      <c r="X1426" s="133">
        <f t="shared" si="223"/>
        <v>0</v>
      </c>
      <c r="Y1426" s="251"/>
      <c r="Z1426" s="1736"/>
      <c r="AA1426" s="1737"/>
      <c r="AB1426" s="77">
        <f t="shared" si="224"/>
        <v>0</v>
      </c>
      <c r="AC1426" s="134">
        <f t="shared" si="225"/>
        <v>0</v>
      </c>
      <c r="AD1426" s="251"/>
      <c r="AE1426" s="1736"/>
      <c r="AF1426" s="1737"/>
      <c r="AG1426" s="77">
        <f t="shared" si="226"/>
        <v>0</v>
      </c>
      <c r="AH1426" s="136">
        <f t="shared" si="227"/>
        <v>0</v>
      </c>
      <c r="AI1426" s="251"/>
      <c r="AJ1426" s="1736"/>
      <c r="AK1426" s="1737"/>
      <c r="AL1426" s="79">
        <f t="shared" si="228"/>
        <v>0</v>
      </c>
      <c r="AM1426" s="137">
        <f t="shared" si="229"/>
        <v>0</v>
      </c>
      <c r="AN1426" s="251"/>
      <c r="AO1426" s="1736"/>
      <c r="AP1426" s="1737"/>
    </row>
    <row r="1427" spans="1:42" s="85" customFormat="1" ht="13.5" thickBot="1">
      <c r="A1427" s="240"/>
      <c r="B1427" s="241"/>
      <c r="C1427" s="242"/>
      <c r="D1427" s="242"/>
      <c r="E1427" s="243"/>
      <c r="F1427" s="244"/>
      <c r="G1427" s="244"/>
      <c r="H1427" s="243"/>
      <c r="I1427" s="258"/>
      <c r="J1427" s="245"/>
      <c r="K1427" s="245"/>
      <c r="L1427" s="76">
        <f t="shared" si="220"/>
        <v>0</v>
      </c>
      <c r="M1427" s="246"/>
      <c r="N1427" s="247"/>
      <c r="O1427" s="248"/>
      <c r="P1427" s="246"/>
      <c r="Q1427" s="249"/>
      <c r="R1427" s="250"/>
      <c r="S1427" s="259"/>
      <c r="T1427" s="260"/>
      <c r="U1427" s="250"/>
      <c r="V1427" s="78">
        <f t="shared" si="221"/>
        <v>0</v>
      </c>
      <c r="W1427" s="261">
        <f t="shared" si="222"/>
        <v>0</v>
      </c>
      <c r="X1427" s="133">
        <f t="shared" si="223"/>
        <v>0</v>
      </c>
      <c r="Y1427" s="251"/>
      <c r="Z1427" s="1736"/>
      <c r="AA1427" s="1737"/>
      <c r="AB1427" s="77">
        <f t="shared" si="224"/>
        <v>0</v>
      </c>
      <c r="AC1427" s="134">
        <f t="shared" si="225"/>
        <v>0</v>
      </c>
      <c r="AD1427" s="251"/>
      <c r="AE1427" s="1736"/>
      <c r="AF1427" s="1737"/>
      <c r="AG1427" s="77">
        <f t="shared" si="226"/>
        <v>0</v>
      </c>
      <c r="AH1427" s="136">
        <f t="shared" si="227"/>
        <v>0</v>
      </c>
      <c r="AI1427" s="251"/>
      <c r="AJ1427" s="1736"/>
      <c r="AK1427" s="1737"/>
      <c r="AL1427" s="79">
        <f t="shared" si="228"/>
        <v>0</v>
      </c>
      <c r="AM1427" s="137">
        <f t="shared" si="229"/>
        <v>0</v>
      </c>
      <c r="AN1427" s="251"/>
      <c r="AO1427" s="1736"/>
      <c r="AP1427" s="1737"/>
    </row>
    <row r="1428" spans="1:42" s="85" customFormat="1" ht="13.5" thickBot="1">
      <c r="A1428" s="240"/>
      <c r="B1428" s="241"/>
      <c r="C1428" s="242"/>
      <c r="D1428" s="242"/>
      <c r="E1428" s="243"/>
      <c r="F1428" s="244"/>
      <c r="G1428" s="244"/>
      <c r="H1428" s="243"/>
      <c r="I1428" s="258"/>
      <c r="J1428" s="245"/>
      <c r="K1428" s="245"/>
      <c r="L1428" s="76">
        <f t="shared" si="220"/>
        <v>0</v>
      </c>
      <c r="M1428" s="246"/>
      <c r="N1428" s="247"/>
      <c r="O1428" s="248"/>
      <c r="P1428" s="246"/>
      <c r="Q1428" s="249"/>
      <c r="R1428" s="250"/>
      <c r="S1428" s="259"/>
      <c r="T1428" s="260"/>
      <c r="U1428" s="250"/>
      <c r="V1428" s="78">
        <f t="shared" si="221"/>
        <v>0</v>
      </c>
      <c r="W1428" s="261">
        <f t="shared" si="222"/>
        <v>0</v>
      </c>
      <c r="X1428" s="133">
        <f t="shared" si="223"/>
        <v>0</v>
      </c>
      <c r="Y1428" s="251"/>
      <c r="Z1428" s="1736"/>
      <c r="AA1428" s="1737"/>
      <c r="AB1428" s="77">
        <f t="shared" si="224"/>
        <v>0</v>
      </c>
      <c r="AC1428" s="134">
        <f t="shared" si="225"/>
        <v>0</v>
      </c>
      <c r="AD1428" s="251"/>
      <c r="AE1428" s="1736"/>
      <c r="AF1428" s="1737"/>
      <c r="AG1428" s="77">
        <f t="shared" si="226"/>
        <v>0</v>
      </c>
      <c r="AH1428" s="136">
        <f t="shared" si="227"/>
        <v>0</v>
      </c>
      <c r="AI1428" s="251"/>
      <c r="AJ1428" s="1736"/>
      <c r="AK1428" s="1737"/>
      <c r="AL1428" s="79">
        <f t="shared" si="228"/>
        <v>0</v>
      </c>
      <c r="AM1428" s="137">
        <f t="shared" si="229"/>
        <v>0</v>
      </c>
      <c r="AN1428" s="251"/>
      <c r="AO1428" s="1736"/>
      <c r="AP1428" s="1737"/>
    </row>
    <row r="1429" spans="1:42" s="85" customFormat="1" ht="13.5" thickBot="1">
      <c r="A1429" s="240"/>
      <c r="B1429" s="241"/>
      <c r="C1429" s="242"/>
      <c r="D1429" s="242"/>
      <c r="E1429" s="243"/>
      <c r="F1429" s="244"/>
      <c r="G1429" s="244"/>
      <c r="H1429" s="243"/>
      <c r="I1429" s="258"/>
      <c r="J1429" s="245"/>
      <c r="K1429" s="245"/>
      <c r="L1429" s="76">
        <f t="shared" si="220"/>
        <v>0</v>
      </c>
      <c r="M1429" s="246"/>
      <c r="N1429" s="247"/>
      <c r="O1429" s="248"/>
      <c r="P1429" s="246"/>
      <c r="Q1429" s="249"/>
      <c r="R1429" s="250"/>
      <c r="S1429" s="259"/>
      <c r="T1429" s="260"/>
      <c r="U1429" s="250"/>
      <c r="V1429" s="78">
        <f t="shared" si="221"/>
        <v>0</v>
      </c>
      <c r="W1429" s="261">
        <f t="shared" si="222"/>
        <v>0</v>
      </c>
      <c r="X1429" s="133">
        <f t="shared" si="223"/>
        <v>0</v>
      </c>
      <c r="Y1429" s="251"/>
      <c r="Z1429" s="1736"/>
      <c r="AA1429" s="1737"/>
      <c r="AB1429" s="77">
        <f t="shared" si="224"/>
        <v>0</v>
      </c>
      <c r="AC1429" s="134">
        <f t="shared" si="225"/>
        <v>0</v>
      </c>
      <c r="AD1429" s="251"/>
      <c r="AE1429" s="1736"/>
      <c r="AF1429" s="1737"/>
      <c r="AG1429" s="77">
        <f t="shared" si="226"/>
        <v>0</v>
      </c>
      <c r="AH1429" s="136">
        <f t="shared" si="227"/>
        <v>0</v>
      </c>
      <c r="AI1429" s="251"/>
      <c r="AJ1429" s="1736"/>
      <c r="AK1429" s="1737"/>
      <c r="AL1429" s="79">
        <f t="shared" si="228"/>
        <v>0</v>
      </c>
      <c r="AM1429" s="137">
        <f t="shared" si="229"/>
        <v>0</v>
      </c>
      <c r="AN1429" s="251"/>
      <c r="AO1429" s="1736"/>
      <c r="AP1429" s="1737"/>
    </row>
    <row r="1430" spans="1:42" s="85" customFormat="1" ht="13.5" thickBot="1">
      <c r="A1430" s="240"/>
      <c r="B1430" s="241"/>
      <c r="C1430" s="242"/>
      <c r="D1430" s="242"/>
      <c r="E1430" s="243"/>
      <c r="F1430" s="244"/>
      <c r="G1430" s="244"/>
      <c r="H1430" s="243"/>
      <c r="I1430" s="258"/>
      <c r="J1430" s="245"/>
      <c r="K1430" s="245"/>
      <c r="L1430" s="76">
        <f t="shared" si="220"/>
        <v>0</v>
      </c>
      <c r="M1430" s="246"/>
      <c r="N1430" s="247"/>
      <c r="O1430" s="248"/>
      <c r="P1430" s="246"/>
      <c r="Q1430" s="249"/>
      <c r="R1430" s="250"/>
      <c r="S1430" s="259"/>
      <c r="T1430" s="260"/>
      <c r="U1430" s="250"/>
      <c r="V1430" s="78">
        <f t="shared" si="221"/>
        <v>0</v>
      </c>
      <c r="W1430" s="261">
        <f t="shared" si="222"/>
        <v>0</v>
      </c>
      <c r="X1430" s="133">
        <f t="shared" si="223"/>
        <v>0</v>
      </c>
      <c r="Y1430" s="251"/>
      <c r="Z1430" s="1736"/>
      <c r="AA1430" s="1737"/>
      <c r="AB1430" s="77">
        <f t="shared" si="224"/>
        <v>0</v>
      </c>
      <c r="AC1430" s="134">
        <f t="shared" si="225"/>
        <v>0</v>
      </c>
      <c r="AD1430" s="251"/>
      <c r="AE1430" s="1736"/>
      <c r="AF1430" s="1737"/>
      <c r="AG1430" s="77">
        <f t="shared" si="226"/>
        <v>0</v>
      </c>
      <c r="AH1430" s="136">
        <f t="shared" si="227"/>
        <v>0</v>
      </c>
      <c r="AI1430" s="251"/>
      <c r="AJ1430" s="1736"/>
      <c r="AK1430" s="1737"/>
      <c r="AL1430" s="79">
        <f t="shared" si="228"/>
        <v>0</v>
      </c>
      <c r="AM1430" s="137">
        <f t="shared" si="229"/>
        <v>0</v>
      </c>
      <c r="AN1430" s="251"/>
      <c r="AO1430" s="1736"/>
      <c r="AP1430" s="1737"/>
    </row>
    <row r="1431" spans="1:42" s="85" customFormat="1" ht="13.5" thickBot="1">
      <c r="A1431" s="240"/>
      <c r="B1431" s="241"/>
      <c r="C1431" s="242"/>
      <c r="D1431" s="242"/>
      <c r="E1431" s="243"/>
      <c r="F1431" s="244"/>
      <c r="G1431" s="244"/>
      <c r="H1431" s="243"/>
      <c r="I1431" s="258"/>
      <c r="J1431" s="245"/>
      <c r="K1431" s="245"/>
      <c r="L1431" s="76">
        <f t="shared" si="220"/>
        <v>0</v>
      </c>
      <c r="M1431" s="246"/>
      <c r="N1431" s="247"/>
      <c r="O1431" s="248"/>
      <c r="P1431" s="246"/>
      <c r="Q1431" s="249"/>
      <c r="R1431" s="250"/>
      <c r="S1431" s="259"/>
      <c r="T1431" s="260"/>
      <c r="U1431" s="250"/>
      <c r="V1431" s="78">
        <f t="shared" si="221"/>
        <v>0</v>
      </c>
      <c r="W1431" s="261">
        <f t="shared" si="222"/>
        <v>0</v>
      </c>
      <c r="X1431" s="133">
        <f t="shared" si="223"/>
        <v>0</v>
      </c>
      <c r="Y1431" s="251"/>
      <c r="Z1431" s="1736"/>
      <c r="AA1431" s="1737"/>
      <c r="AB1431" s="77">
        <f t="shared" si="224"/>
        <v>0</v>
      </c>
      <c r="AC1431" s="134">
        <f t="shared" si="225"/>
        <v>0</v>
      </c>
      <c r="AD1431" s="251"/>
      <c r="AE1431" s="1736"/>
      <c r="AF1431" s="1737"/>
      <c r="AG1431" s="77">
        <f t="shared" si="226"/>
        <v>0</v>
      </c>
      <c r="AH1431" s="136">
        <f t="shared" si="227"/>
        <v>0</v>
      </c>
      <c r="AI1431" s="251"/>
      <c r="AJ1431" s="1736"/>
      <c r="AK1431" s="1737"/>
      <c r="AL1431" s="79">
        <f t="shared" si="228"/>
        <v>0</v>
      </c>
      <c r="AM1431" s="137">
        <f t="shared" si="229"/>
        <v>0</v>
      </c>
      <c r="AN1431" s="251"/>
      <c r="AO1431" s="1736"/>
      <c r="AP1431" s="1737"/>
    </row>
    <row r="1432" spans="1:42" s="85" customFormat="1" ht="13.5" thickBot="1">
      <c r="A1432" s="240"/>
      <c r="B1432" s="241"/>
      <c r="C1432" s="242"/>
      <c r="D1432" s="242"/>
      <c r="E1432" s="243"/>
      <c r="F1432" s="244"/>
      <c r="G1432" s="244"/>
      <c r="H1432" s="243"/>
      <c r="I1432" s="258"/>
      <c r="J1432" s="245"/>
      <c r="K1432" s="245"/>
      <c r="L1432" s="76">
        <f t="shared" si="220"/>
        <v>0</v>
      </c>
      <c r="M1432" s="246"/>
      <c r="N1432" s="247"/>
      <c r="O1432" s="248"/>
      <c r="P1432" s="246"/>
      <c r="Q1432" s="249"/>
      <c r="R1432" s="250"/>
      <c r="S1432" s="259"/>
      <c r="T1432" s="260"/>
      <c r="U1432" s="250"/>
      <c r="V1432" s="78">
        <f t="shared" si="221"/>
        <v>0</v>
      </c>
      <c r="W1432" s="261">
        <f t="shared" si="222"/>
        <v>0</v>
      </c>
      <c r="X1432" s="133">
        <f t="shared" si="223"/>
        <v>0</v>
      </c>
      <c r="Y1432" s="251"/>
      <c r="Z1432" s="1736"/>
      <c r="AA1432" s="1737"/>
      <c r="AB1432" s="77">
        <f t="shared" si="224"/>
        <v>0</v>
      </c>
      <c r="AC1432" s="134">
        <f t="shared" si="225"/>
        <v>0</v>
      </c>
      <c r="AD1432" s="251"/>
      <c r="AE1432" s="1736"/>
      <c r="AF1432" s="1737"/>
      <c r="AG1432" s="77">
        <f t="shared" si="226"/>
        <v>0</v>
      </c>
      <c r="AH1432" s="136">
        <f t="shared" si="227"/>
        <v>0</v>
      </c>
      <c r="AI1432" s="251"/>
      <c r="AJ1432" s="1736"/>
      <c r="AK1432" s="1737"/>
      <c r="AL1432" s="79">
        <f t="shared" si="228"/>
        <v>0</v>
      </c>
      <c r="AM1432" s="137">
        <f t="shared" si="229"/>
        <v>0</v>
      </c>
      <c r="AN1432" s="251"/>
      <c r="AO1432" s="1736"/>
      <c r="AP1432" s="1737"/>
    </row>
    <row r="1433" spans="1:42" s="85" customFormat="1" ht="13.5" thickBot="1">
      <c r="A1433" s="240"/>
      <c r="B1433" s="241"/>
      <c r="C1433" s="242"/>
      <c r="D1433" s="242"/>
      <c r="E1433" s="243"/>
      <c r="F1433" s="244"/>
      <c r="G1433" s="244"/>
      <c r="H1433" s="243"/>
      <c r="I1433" s="258"/>
      <c r="J1433" s="245"/>
      <c r="K1433" s="245"/>
      <c r="L1433" s="76">
        <f t="shared" si="220"/>
        <v>0</v>
      </c>
      <c r="M1433" s="246"/>
      <c r="N1433" s="247"/>
      <c r="O1433" s="248"/>
      <c r="P1433" s="246"/>
      <c r="Q1433" s="249"/>
      <c r="R1433" s="250"/>
      <c r="S1433" s="259"/>
      <c r="T1433" s="260"/>
      <c r="U1433" s="250"/>
      <c r="V1433" s="78">
        <f t="shared" si="221"/>
        <v>0</v>
      </c>
      <c r="W1433" s="261">
        <f t="shared" si="222"/>
        <v>0</v>
      </c>
      <c r="X1433" s="133">
        <f t="shared" si="223"/>
        <v>0</v>
      </c>
      <c r="Y1433" s="251"/>
      <c r="Z1433" s="1736"/>
      <c r="AA1433" s="1737"/>
      <c r="AB1433" s="77">
        <f t="shared" si="224"/>
        <v>0</v>
      </c>
      <c r="AC1433" s="134">
        <f t="shared" si="225"/>
        <v>0</v>
      </c>
      <c r="AD1433" s="251"/>
      <c r="AE1433" s="1736"/>
      <c r="AF1433" s="1737"/>
      <c r="AG1433" s="77">
        <f t="shared" si="226"/>
        <v>0</v>
      </c>
      <c r="AH1433" s="136">
        <f t="shared" si="227"/>
        <v>0</v>
      </c>
      <c r="AI1433" s="251"/>
      <c r="AJ1433" s="1736"/>
      <c r="AK1433" s="1737"/>
      <c r="AL1433" s="79">
        <f t="shared" si="228"/>
        <v>0</v>
      </c>
      <c r="AM1433" s="137">
        <f t="shared" si="229"/>
        <v>0</v>
      </c>
      <c r="AN1433" s="251"/>
      <c r="AO1433" s="1736"/>
      <c r="AP1433" s="1737"/>
    </row>
    <row r="1434" spans="1:42" s="85" customFormat="1" ht="13.5" thickBot="1">
      <c r="A1434" s="240"/>
      <c r="B1434" s="241"/>
      <c r="C1434" s="242"/>
      <c r="D1434" s="242"/>
      <c r="E1434" s="243"/>
      <c r="F1434" s="244"/>
      <c r="G1434" s="244"/>
      <c r="H1434" s="243"/>
      <c r="I1434" s="258"/>
      <c r="J1434" s="245"/>
      <c r="K1434" s="245"/>
      <c r="L1434" s="76">
        <f t="shared" si="220"/>
        <v>0</v>
      </c>
      <c r="M1434" s="246"/>
      <c r="N1434" s="247"/>
      <c r="O1434" s="248"/>
      <c r="P1434" s="246"/>
      <c r="Q1434" s="249"/>
      <c r="R1434" s="250"/>
      <c r="S1434" s="259"/>
      <c r="T1434" s="260"/>
      <c r="U1434" s="250"/>
      <c r="V1434" s="78">
        <f t="shared" si="221"/>
        <v>0</v>
      </c>
      <c r="W1434" s="261">
        <f t="shared" si="222"/>
        <v>0</v>
      </c>
      <c r="X1434" s="133">
        <f t="shared" si="223"/>
        <v>0</v>
      </c>
      <c r="Y1434" s="251"/>
      <c r="Z1434" s="1736"/>
      <c r="AA1434" s="1737"/>
      <c r="AB1434" s="77">
        <f t="shared" si="224"/>
        <v>0</v>
      </c>
      <c r="AC1434" s="134">
        <f t="shared" si="225"/>
        <v>0</v>
      </c>
      <c r="AD1434" s="251"/>
      <c r="AE1434" s="1736"/>
      <c r="AF1434" s="1737"/>
      <c r="AG1434" s="77">
        <f t="shared" si="226"/>
        <v>0</v>
      </c>
      <c r="AH1434" s="136">
        <f t="shared" si="227"/>
        <v>0</v>
      </c>
      <c r="AI1434" s="251"/>
      <c r="AJ1434" s="1736"/>
      <c r="AK1434" s="1737"/>
      <c r="AL1434" s="79">
        <f t="shared" si="228"/>
        <v>0</v>
      </c>
      <c r="AM1434" s="137">
        <f t="shared" si="229"/>
        <v>0</v>
      </c>
      <c r="AN1434" s="251"/>
      <c r="AO1434" s="1736"/>
      <c r="AP1434" s="1737"/>
    </row>
    <row r="1435" spans="1:42" s="85" customFormat="1" ht="13.5" thickBot="1">
      <c r="A1435" s="240"/>
      <c r="B1435" s="241"/>
      <c r="C1435" s="242"/>
      <c r="D1435" s="242"/>
      <c r="E1435" s="243"/>
      <c r="F1435" s="244"/>
      <c r="G1435" s="244"/>
      <c r="H1435" s="243"/>
      <c r="I1435" s="258"/>
      <c r="J1435" s="245"/>
      <c r="K1435" s="245"/>
      <c r="L1435" s="76">
        <f t="shared" si="220"/>
        <v>0</v>
      </c>
      <c r="M1435" s="246"/>
      <c r="N1435" s="247"/>
      <c r="O1435" s="248"/>
      <c r="P1435" s="246"/>
      <c r="Q1435" s="249"/>
      <c r="R1435" s="250"/>
      <c r="S1435" s="259"/>
      <c r="T1435" s="260"/>
      <c r="U1435" s="250"/>
      <c r="V1435" s="78">
        <f t="shared" si="221"/>
        <v>0</v>
      </c>
      <c r="W1435" s="261">
        <f t="shared" si="222"/>
        <v>0</v>
      </c>
      <c r="X1435" s="133">
        <f t="shared" si="223"/>
        <v>0</v>
      </c>
      <c r="Y1435" s="251"/>
      <c r="Z1435" s="1736"/>
      <c r="AA1435" s="1737"/>
      <c r="AB1435" s="77">
        <f t="shared" si="224"/>
        <v>0</v>
      </c>
      <c r="AC1435" s="134">
        <f t="shared" si="225"/>
        <v>0</v>
      </c>
      <c r="AD1435" s="251"/>
      <c r="AE1435" s="1736"/>
      <c r="AF1435" s="1737"/>
      <c r="AG1435" s="77">
        <f t="shared" si="226"/>
        <v>0</v>
      </c>
      <c r="AH1435" s="136">
        <f t="shared" si="227"/>
        <v>0</v>
      </c>
      <c r="AI1435" s="251"/>
      <c r="AJ1435" s="1736"/>
      <c r="AK1435" s="1737"/>
      <c r="AL1435" s="79">
        <f t="shared" si="228"/>
        <v>0</v>
      </c>
      <c r="AM1435" s="137">
        <f t="shared" si="229"/>
        <v>0</v>
      </c>
      <c r="AN1435" s="251"/>
      <c r="AO1435" s="1736"/>
      <c r="AP1435" s="1737"/>
    </row>
    <row r="1436" spans="1:42" s="85" customFormat="1" ht="13.5" thickBot="1">
      <c r="A1436" s="240"/>
      <c r="B1436" s="241"/>
      <c r="C1436" s="242"/>
      <c r="D1436" s="242"/>
      <c r="E1436" s="243"/>
      <c r="F1436" s="244"/>
      <c r="G1436" s="244"/>
      <c r="H1436" s="243"/>
      <c r="I1436" s="258"/>
      <c r="J1436" s="245"/>
      <c r="K1436" s="245"/>
      <c r="L1436" s="76">
        <f t="shared" si="220"/>
        <v>0</v>
      </c>
      <c r="M1436" s="246"/>
      <c r="N1436" s="247"/>
      <c r="O1436" s="248"/>
      <c r="P1436" s="246"/>
      <c r="Q1436" s="249"/>
      <c r="R1436" s="250"/>
      <c r="S1436" s="259"/>
      <c r="T1436" s="260"/>
      <c r="U1436" s="250"/>
      <c r="V1436" s="78">
        <f t="shared" si="221"/>
        <v>0</v>
      </c>
      <c r="W1436" s="261">
        <f t="shared" si="222"/>
        <v>0</v>
      </c>
      <c r="X1436" s="133">
        <f t="shared" si="223"/>
        <v>0</v>
      </c>
      <c r="Y1436" s="251"/>
      <c r="Z1436" s="1736"/>
      <c r="AA1436" s="1737"/>
      <c r="AB1436" s="77">
        <f t="shared" si="224"/>
        <v>0</v>
      </c>
      <c r="AC1436" s="134">
        <f t="shared" si="225"/>
        <v>0</v>
      </c>
      <c r="AD1436" s="251"/>
      <c r="AE1436" s="1736"/>
      <c r="AF1436" s="1737"/>
      <c r="AG1436" s="77">
        <f t="shared" si="226"/>
        <v>0</v>
      </c>
      <c r="AH1436" s="136">
        <f t="shared" si="227"/>
        <v>0</v>
      </c>
      <c r="AI1436" s="251"/>
      <c r="AJ1436" s="1736"/>
      <c r="AK1436" s="1737"/>
      <c r="AL1436" s="79">
        <f t="shared" si="228"/>
        <v>0</v>
      </c>
      <c r="AM1436" s="137">
        <f t="shared" si="229"/>
        <v>0</v>
      </c>
      <c r="AN1436" s="251"/>
      <c r="AO1436" s="1736"/>
      <c r="AP1436" s="1737"/>
    </row>
    <row r="1437" spans="1:42" s="85" customFormat="1" ht="13.5" thickBot="1">
      <c r="A1437" s="240"/>
      <c r="B1437" s="241"/>
      <c r="C1437" s="242"/>
      <c r="D1437" s="242"/>
      <c r="E1437" s="243"/>
      <c r="F1437" s="244"/>
      <c r="G1437" s="244"/>
      <c r="H1437" s="243"/>
      <c r="I1437" s="258"/>
      <c r="J1437" s="245"/>
      <c r="K1437" s="245"/>
      <c r="L1437" s="76">
        <f t="shared" si="220"/>
        <v>0</v>
      </c>
      <c r="M1437" s="246"/>
      <c r="N1437" s="247"/>
      <c r="O1437" s="248"/>
      <c r="P1437" s="246"/>
      <c r="Q1437" s="249"/>
      <c r="R1437" s="250"/>
      <c r="S1437" s="259"/>
      <c r="T1437" s="260"/>
      <c r="U1437" s="250"/>
      <c r="V1437" s="78">
        <f t="shared" si="221"/>
        <v>0</v>
      </c>
      <c r="W1437" s="261">
        <f t="shared" si="222"/>
        <v>0</v>
      </c>
      <c r="X1437" s="133">
        <f t="shared" si="223"/>
        <v>0</v>
      </c>
      <c r="Y1437" s="251"/>
      <c r="Z1437" s="1736"/>
      <c r="AA1437" s="1737"/>
      <c r="AB1437" s="77">
        <f t="shared" si="224"/>
        <v>0</v>
      </c>
      <c r="AC1437" s="134">
        <f t="shared" si="225"/>
        <v>0</v>
      </c>
      <c r="AD1437" s="251"/>
      <c r="AE1437" s="1736"/>
      <c r="AF1437" s="1737"/>
      <c r="AG1437" s="77">
        <f t="shared" si="226"/>
        <v>0</v>
      </c>
      <c r="AH1437" s="136">
        <f t="shared" si="227"/>
        <v>0</v>
      </c>
      <c r="AI1437" s="251"/>
      <c r="AJ1437" s="1736"/>
      <c r="AK1437" s="1737"/>
      <c r="AL1437" s="79">
        <f t="shared" si="228"/>
        <v>0</v>
      </c>
      <c r="AM1437" s="137">
        <f t="shared" si="229"/>
        <v>0</v>
      </c>
      <c r="AN1437" s="251"/>
      <c r="AO1437" s="1736"/>
      <c r="AP1437" s="1737"/>
    </row>
    <row r="1438" spans="1:42" s="85" customFormat="1" ht="13.5" thickBot="1">
      <c r="A1438" s="240"/>
      <c r="B1438" s="241"/>
      <c r="C1438" s="242"/>
      <c r="D1438" s="242"/>
      <c r="E1438" s="243"/>
      <c r="F1438" s="244"/>
      <c r="G1438" s="244"/>
      <c r="H1438" s="243"/>
      <c r="I1438" s="258"/>
      <c r="J1438" s="245"/>
      <c r="K1438" s="245"/>
      <c r="L1438" s="76">
        <f t="shared" si="220"/>
        <v>0</v>
      </c>
      <c r="M1438" s="246"/>
      <c r="N1438" s="247"/>
      <c r="O1438" s="248"/>
      <c r="P1438" s="246"/>
      <c r="Q1438" s="249"/>
      <c r="R1438" s="250"/>
      <c r="S1438" s="259"/>
      <c r="T1438" s="260"/>
      <c r="U1438" s="250"/>
      <c r="V1438" s="78">
        <f t="shared" si="221"/>
        <v>0</v>
      </c>
      <c r="W1438" s="261">
        <f t="shared" si="222"/>
        <v>0</v>
      </c>
      <c r="X1438" s="133">
        <f t="shared" si="223"/>
        <v>0</v>
      </c>
      <c r="Y1438" s="251"/>
      <c r="Z1438" s="1736"/>
      <c r="AA1438" s="1737"/>
      <c r="AB1438" s="77">
        <f t="shared" si="224"/>
        <v>0</v>
      </c>
      <c r="AC1438" s="134">
        <f t="shared" si="225"/>
        <v>0</v>
      </c>
      <c r="AD1438" s="251"/>
      <c r="AE1438" s="1736"/>
      <c r="AF1438" s="1737"/>
      <c r="AG1438" s="77">
        <f t="shared" si="226"/>
        <v>0</v>
      </c>
      <c r="AH1438" s="136">
        <f t="shared" si="227"/>
        <v>0</v>
      </c>
      <c r="AI1438" s="251"/>
      <c r="AJ1438" s="1736"/>
      <c r="AK1438" s="1737"/>
      <c r="AL1438" s="79">
        <f t="shared" si="228"/>
        <v>0</v>
      </c>
      <c r="AM1438" s="137">
        <f t="shared" si="229"/>
        <v>0</v>
      </c>
      <c r="AN1438" s="251"/>
      <c r="AO1438" s="1736"/>
      <c r="AP1438" s="1737"/>
    </row>
    <row r="1439" spans="1:42" s="85" customFormat="1" ht="13.5" thickBot="1">
      <c r="A1439" s="240"/>
      <c r="B1439" s="241"/>
      <c r="C1439" s="242"/>
      <c r="D1439" s="242"/>
      <c r="E1439" s="243"/>
      <c r="F1439" s="244"/>
      <c r="G1439" s="244"/>
      <c r="H1439" s="243"/>
      <c r="I1439" s="258"/>
      <c r="J1439" s="245"/>
      <c r="K1439" s="245"/>
      <c r="L1439" s="76">
        <f t="shared" si="220"/>
        <v>0</v>
      </c>
      <c r="M1439" s="246"/>
      <c r="N1439" s="247"/>
      <c r="O1439" s="248"/>
      <c r="P1439" s="246"/>
      <c r="Q1439" s="249"/>
      <c r="R1439" s="250"/>
      <c r="S1439" s="259"/>
      <c r="T1439" s="260"/>
      <c r="U1439" s="250"/>
      <c r="V1439" s="78">
        <f t="shared" si="221"/>
        <v>0</v>
      </c>
      <c r="W1439" s="261">
        <f t="shared" si="222"/>
        <v>0</v>
      </c>
      <c r="X1439" s="133">
        <f t="shared" si="223"/>
        <v>0</v>
      </c>
      <c r="Y1439" s="251"/>
      <c r="Z1439" s="1736"/>
      <c r="AA1439" s="1737"/>
      <c r="AB1439" s="77">
        <f t="shared" si="224"/>
        <v>0</v>
      </c>
      <c r="AC1439" s="134">
        <f t="shared" si="225"/>
        <v>0</v>
      </c>
      <c r="AD1439" s="251"/>
      <c r="AE1439" s="1736"/>
      <c r="AF1439" s="1737"/>
      <c r="AG1439" s="77">
        <f t="shared" si="226"/>
        <v>0</v>
      </c>
      <c r="AH1439" s="136">
        <f t="shared" si="227"/>
        <v>0</v>
      </c>
      <c r="AI1439" s="251"/>
      <c r="AJ1439" s="1736"/>
      <c r="AK1439" s="1737"/>
      <c r="AL1439" s="79">
        <f t="shared" si="228"/>
        <v>0</v>
      </c>
      <c r="AM1439" s="137">
        <f t="shared" si="229"/>
        <v>0</v>
      </c>
      <c r="AN1439" s="251"/>
      <c r="AO1439" s="1736"/>
      <c r="AP1439" s="1737"/>
    </row>
    <row r="1440" spans="1:42" s="85" customFormat="1" ht="13.5" thickBot="1">
      <c r="A1440" s="240"/>
      <c r="B1440" s="241"/>
      <c r="C1440" s="242"/>
      <c r="D1440" s="242"/>
      <c r="E1440" s="243"/>
      <c r="F1440" s="244"/>
      <c r="G1440" s="244"/>
      <c r="H1440" s="243"/>
      <c r="I1440" s="258"/>
      <c r="J1440" s="245"/>
      <c r="K1440" s="245"/>
      <c r="L1440" s="76">
        <f t="shared" si="220"/>
        <v>0</v>
      </c>
      <c r="M1440" s="246"/>
      <c r="N1440" s="247"/>
      <c r="O1440" s="248"/>
      <c r="P1440" s="246"/>
      <c r="Q1440" s="249"/>
      <c r="R1440" s="250"/>
      <c r="S1440" s="259"/>
      <c r="T1440" s="260"/>
      <c r="U1440" s="250"/>
      <c r="V1440" s="78">
        <f t="shared" si="221"/>
        <v>0</v>
      </c>
      <c r="W1440" s="261">
        <f t="shared" si="222"/>
        <v>0</v>
      </c>
      <c r="X1440" s="133">
        <f t="shared" si="223"/>
        <v>0</v>
      </c>
      <c r="Y1440" s="251"/>
      <c r="Z1440" s="1736"/>
      <c r="AA1440" s="1737"/>
      <c r="AB1440" s="77">
        <f t="shared" si="224"/>
        <v>0</v>
      </c>
      <c r="AC1440" s="134">
        <f t="shared" si="225"/>
        <v>0</v>
      </c>
      <c r="AD1440" s="251"/>
      <c r="AE1440" s="1736"/>
      <c r="AF1440" s="1737"/>
      <c r="AG1440" s="77">
        <f t="shared" si="226"/>
        <v>0</v>
      </c>
      <c r="AH1440" s="136">
        <f t="shared" si="227"/>
        <v>0</v>
      </c>
      <c r="AI1440" s="251"/>
      <c r="AJ1440" s="1736"/>
      <c r="AK1440" s="1737"/>
      <c r="AL1440" s="79">
        <f t="shared" si="228"/>
        <v>0</v>
      </c>
      <c r="AM1440" s="137">
        <f t="shared" si="229"/>
        <v>0</v>
      </c>
      <c r="AN1440" s="251"/>
      <c r="AO1440" s="1736"/>
      <c r="AP1440" s="1737"/>
    </row>
    <row r="1441" spans="1:42" s="85" customFormat="1" ht="13.5" thickBot="1">
      <c r="A1441" s="240"/>
      <c r="B1441" s="241"/>
      <c r="C1441" s="242"/>
      <c r="D1441" s="242"/>
      <c r="E1441" s="243"/>
      <c r="F1441" s="244"/>
      <c r="G1441" s="244"/>
      <c r="H1441" s="243"/>
      <c r="I1441" s="258"/>
      <c r="J1441" s="245"/>
      <c r="K1441" s="245"/>
      <c r="L1441" s="76">
        <f t="shared" si="220"/>
        <v>0</v>
      </c>
      <c r="M1441" s="246"/>
      <c r="N1441" s="247"/>
      <c r="O1441" s="248"/>
      <c r="P1441" s="246"/>
      <c r="Q1441" s="249"/>
      <c r="R1441" s="250"/>
      <c r="S1441" s="259"/>
      <c r="T1441" s="260"/>
      <c r="U1441" s="250"/>
      <c r="V1441" s="78">
        <f t="shared" si="221"/>
        <v>0</v>
      </c>
      <c r="W1441" s="261">
        <f t="shared" si="222"/>
        <v>0</v>
      </c>
      <c r="X1441" s="133">
        <f t="shared" si="223"/>
        <v>0</v>
      </c>
      <c r="Y1441" s="251"/>
      <c r="Z1441" s="1736"/>
      <c r="AA1441" s="1737"/>
      <c r="AB1441" s="77">
        <f t="shared" si="224"/>
        <v>0</v>
      </c>
      <c r="AC1441" s="134">
        <f t="shared" si="225"/>
        <v>0</v>
      </c>
      <c r="AD1441" s="251"/>
      <c r="AE1441" s="1736"/>
      <c r="AF1441" s="1737"/>
      <c r="AG1441" s="77">
        <f t="shared" si="226"/>
        <v>0</v>
      </c>
      <c r="AH1441" s="136">
        <f t="shared" si="227"/>
        <v>0</v>
      </c>
      <c r="AI1441" s="251"/>
      <c r="AJ1441" s="1736"/>
      <c r="AK1441" s="1737"/>
      <c r="AL1441" s="79">
        <f t="shared" si="228"/>
        <v>0</v>
      </c>
      <c r="AM1441" s="137">
        <f t="shared" si="229"/>
        <v>0</v>
      </c>
      <c r="AN1441" s="251"/>
      <c r="AO1441" s="1736"/>
      <c r="AP1441" s="1737"/>
    </row>
    <row r="1442" spans="1:42" s="85" customFormat="1" ht="13.5" thickBot="1">
      <c r="A1442" s="240"/>
      <c r="B1442" s="241"/>
      <c r="C1442" s="242"/>
      <c r="D1442" s="242"/>
      <c r="E1442" s="243"/>
      <c r="F1442" s="244"/>
      <c r="G1442" s="244"/>
      <c r="H1442" s="243"/>
      <c r="I1442" s="258"/>
      <c r="J1442" s="245"/>
      <c r="K1442" s="245"/>
      <c r="L1442" s="76">
        <f t="shared" si="220"/>
        <v>0</v>
      </c>
      <c r="M1442" s="246"/>
      <c r="N1442" s="247"/>
      <c r="O1442" s="248"/>
      <c r="P1442" s="246"/>
      <c r="Q1442" s="249"/>
      <c r="R1442" s="250"/>
      <c r="S1442" s="259"/>
      <c r="T1442" s="260"/>
      <c r="U1442" s="250"/>
      <c r="V1442" s="78">
        <f t="shared" si="221"/>
        <v>0</v>
      </c>
      <c r="W1442" s="261">
        <f t="shared" si="222"/>
        <v>0</v>
      </c>
      <c r="X1442" s="133">
        <f t="shared" si="223"/>
        <v>0</v>
      </c>
      <c r="Y1442" s="251"/>
      <c r="Z1442" s="1736"/>
      <c r="AA1442" s="1737"/>
      <c r="AB1442" s="77">
        <f t="shared" si="224"/>
        <v>0</v>
      </c>
      <c r="AC1442" s="134">
        <f t="shared" si="225"/>
        <v>0</v>
      </c>
      <c r="AD1442" s="251"/>
      <c r="AE1442" s="1736"/>
      <c r="AF1442" s="1737"/>
      <c r="AG1442" s="77">
        <f t="shared" si="226"/>
        <v>0</v>
      </c>
      <c r="AH1442" s="136">
        <f t="shared" si="227"/>
        <v>0</v>
      </c>
      <c r="AI1442" s="251"/>
      <c r="AJ1442" s="1736"/>
      <c r="AK1442" s="1737"/>
      <c r="AL1442" s="79">
        <f t="shared" si="228"/>
        <v>0</v>
      </c>
      <c r="AM1442" s="137">
        <f t="shared" si="229"/>
        <v>0</v>
      </c>
      <c r="AN1442" s="251"/>
      <c r="AO1442" s="1736"/>
      <c r="AP1442" s="1737"/>
    </row>
    <row r="1443" spans="1:42" s="85" customFormat="1" ht="13.5" thickBot="1">
      <c r="A1443" s="240"/>
      <c r="B1443" s="241"/>
      <c r="C1443" s="242"/>
      <c r="D1443" s="242"/>
      <c r="E1443" s="243"/>
      <c r="F1443" s="244"/>
      <c r="G1443" s="244"/>
      <c r="H1443" s="243"/>
      <c r="I1443" s="258"/>
      <c r="J1443" s="245"/>
      <c r="K1443" s="245"/>
      <c r="L1443" s="76">
        <f t="shared" si="220"/>
        <v>0</v>
      </c>
      <c r="M1443" s="246"/>
      <c r="N1443" s="247"/>
      <c r="O1443" s="248"/>
      <c r="P1443" s="246"/>
      <c r="Q1443" s="249"/>
      <c r="R1443" s="250"/>
      <c r="S1443" s="259"/>
      <c r="T1443" s="260"/>
      <c r="U1443" s="250"/>
      <c r="V1443" s="78">
        <f t="shared" si="221"/>
        <v>0</v>
      </c>
      <c r="W1443" s="261">
        <f t="shared" si="222"/>
        <v>0</v>
      </c>
      <c r="X1443" s="133">
        <f t="shared" si="223"/>
        <v>0</v>
      </c>
      <c r="Y1443" s="251"/>
      <c r="Z1443" s="1736"/>
      <c r="AA1443" s="1737"/>
      <c r="AB1443" s="77">
        <f t="shared" si="224"/>
        <v>0</v>
      </c>
      <c r="AC1443" s="134">
        <f t="shared" si="225"/>
        <v>0</v>
      </c>
      <c r="AD1443" s="251"/>
      <c r="AE1443" s="1736"/>
      <c r="AF1443" s="1737"/>
      <c r="AG1443" s="77">
        <f t="shared" si="226"/>
        <v>0</v>
      </c>
      <c r="AH1443" s="136">
        <f t="shared" si="227"/>
        <v>0</v>
      </c>
      <c r="AI1443" s="251"/>
      <c r="AJ1443" s="1736"/>
      <c r="AK1443" s="1737"/>
      <c r="AL1443" s="79">
        <f t="shared" si="228"/>
        <v>0</v>
      </c>
      <c r="AM1443" s="137">
        <f t="shared" si="229"/>
        <v>0</v>
      </c>
      <c r="AN1443" s="251"/>
      <c r="AO1443" s="1736"/>
      <c r="AP1443" s="1737"/>
    </row>
    <row r="1444" spans="1:42" s="85" customFormat="1" ht="13.5" thickBot="1">
      <c r="A1444" s="240"/>
      <c r="B1444" s="241"/>
      <c r="C1444" s="242"/>
      <c r="D1444" s="242"/>
      <c r="E1444" s="243"/>
      <c r="F1444" s="244"/>
      <c r="G1444" s="244"/>
      <c r="H1444" s="243"/>
      <c r="I1444" s="258"/>
      <c r="J1444" s="245"/>
      <c r="K1444" s="245"/>
      <c r="L1444" s="76">
        <f t="shared" si="220"/>
        <v>0</v>
      </c>
      <c r="M1444" s="246"/>
      <c r="N1444" s="247"/>
      <c r="O1444" s="248"/>
      <c r="P1444" s="246"/>
      <c r="Q1444" s="249"/>
      <c r="R1444" s="250"/>
      <c r="S1444" s="259"/>
      <c r="T1444" s="260"/>
      <c r="U1444" s="250"/>
      <c r="V1444" s="78">
        <f t="shared" si="221"/>
        <v>0</v>
      </c>
      <c r="W1444" s="261">
        <f t="shared" si="222"/>
        <v>0</v>
      </c>
      <c r="X1444" s="133">
        <f t="shared" si="223"/>
        <v>0</v>
      </c>
      <c r="Y1444" s="251"/>
      <c r="Z1444" s="1736"/>
      <c r="AA1444" s="1737"/>
      <c r="AB1444" s="77">
        <f t="shared" si="224"/>
        <v>0</v>
      </c>
      <c r="AC1444" s="134">
        <f t="shared" si="225"/>
        <v>0</v>
      </c>
      <c r="AD1444" s="251"/>
      <c r="AE1444" s="1736"/>
      <c r="AF1444" s="1737"/>
      <c r="AG1444" s="77">
        <f t="shared" si="226"/>
        <v>0</v>
      </c>
      <c r="AH1444" s="136">
        <f t="shared" si="227"/>
        <v>0</v>
      </c>
      <c r="AI1444" s="251"/>
      <c r="AJ1444" s="1736"/>
      <c r="AK1444" s="1737"/>
      <c r="AL1444" s="79">
        <f t="shared" si="228"/>
        <v>0</v>
      </c>
      <c r="AM1444" s="137">
        <f t="shared" si="229"/>
        <v>0</v>
      </c>
      <c r="AN1444" s="251"/>
      <c r="AO1444" s="1736"/>
      <c r="AP1444" s="1737"/>
    </row>
    <row r="1445" spans="1:42" s="85" customFormat="1" ht="13.5" thickBot="1">
      <c r="A1445" s="240"/>
      <c r="B1445" s="241"/>
      <c r="C1445" s="242"/>
      <c r="D1445" s="242"/>
      <c r="E1445" s="243"/>
      <c r="F1445" s="244"/>
      <c r="G1445" s="244"/>
      <c r="H1445" s="243"/>
      <c r="I1445" s="258"/>
      <c r="J1445" s="245"/>
      <c r="K1445" s="245"/>
      <c r="L1445" s="76">
        <f t="shared" si="220"/>
        <v>0</v>
      </c>
      <c r="M1445" s="246"/>
      <c r="N1445" s="247"/>
      <c r="O1445" s="248"/>
      <c r="P1445" s="246"/>
      <c r="Q1445" s="249"/>
      <c r="R1445" s="250"/>
      <c r="S1445" s="259"/>
      <c r="T1445" s="260"/>
      <c r="U1445" s="250"/>
      <c r="V1445" s="78">
        <f t="shared" si="221"/>
        <v>0</v>
      </c>
      <c r="W1445" s="261">
        <f t="shared" si="222"/>
        <v>0</v>
      </c>
      <c r="X1445" s="133">
        <f t="shared" si="223"/>
        <v>0</v>
      </c>
      <c r="Y1445" s="251"/>
      <c r="Z1445" s="1736"/>
      <c r="AA1445" s="1737"/>
      <c r="AB1445" s="77">
        <f t="shared" si="224"/>
        <v>0</v>
      </c>
      <c r="AC1445" s="134">
        <f t="shared" si="225"/>
        <v>0</v>
      </c>
      <c r="AD1445" s="251"/>
      <c r="AE1445" s="1736"/>
      <c r="AF1445" s="1737"/>
      <c r="AG1445" s="77">
        <f t="shared" si="226"/>
        <v>0</v>
      </c>
      <c r="AH1445" s="136">
        <f t="shared" si="227"/>
        <v>0</v>
      </c>
      <c r="AI1445" s="251"/>
      <c r="AJ1445" s="1736"/>
      <c r="AK1445" s="1737"/>
      <c r="AL1445" s="79">
        <f t="shared" si="228"/>
        <v>0</v>
      </c>
      <c r="AM1445" s="137">
        <f t="shared" si="229"/>
        <v>0</v>
      </c>
      <c r="AN1445" s="251"/>
      <c r="AO1445" s="1736"/>
      <c r="AP1445" s="1737"/>
    </row>
    <row r="1446" spans="1:42" s="85" customFormat="1" ht="13.5" thickBot="1">
      <c r="A1446" s="240"/>
      <c r="B1446" s="241"/>
      <c r="C1446" s="242"/>
      <c r="D1446" s="242"/>
      <c r="E1446" s="243"/>
      <c r="F1446" s="244"/>
      <c r="G1446" s="244"/>
      <c r="H1446" s="243"/>
      <c r="I1446" s="258"/>
      <c r="J1446" s="245"/>
      <c r="K1446" s="245"/>
      <c r="L1446" s="76">
        <f t="shared" si="220"/>
        <v>0</v>
      </c>
      <c r="M1446" s="246"/>
      <c r="N1446" s="247"/>
      <c r="O1446" s="248"/>
      <c r="P1446" s="246"/>
      <c r="Q1446" s="249"/>
      <c r="R1446" s="250"/>
      <c r="S1446" s="259"/>
      <c r="T1446" s="260"/>
      <c r="U1446" s="250"/>
      <c r="V1446" s="78">
        <f t="shared" si="221"/>
        <v>0</v>
      </c>
      <c r="W1446" s="261">
        <f t="shared" si="222"/>
        <v>0</v>
      </c>
      <c r="X1446" s="133">
        <f t="shared" si="223"/>
        <v>0</v>
      </c>
      <c r="Y1446" s="251"/>
      <c r="Z1446" s="1736"/>
      <c r="AA1446" s="1737"/>
      <c r="AB1446" s="77">
        <f t="shared" si="224"/>
        <v>0</v>
      </c>
      <c r="AC1446" s="134">
        <f t="shared" si="225"/>
        <v>0</v>
      </c>
      <c r="AD1446" s="251"/>
      <c r="AE1446" s="1736"/>
      <c r="AF1446" s="1737"/>
      <c r="AG1446" s="77">
        <f t="shared" si="226"/>
        <v>0</v>
      </c>
      <c r="AH1446" s="136">
        <f t="shared" si="227"/>
        <v>0</v>
      </c>
      <c r="AI1446" s="251"/>
      <c r="AJ1446" s="1736"/>
      <c r="AK1446" s="1737"/>
      <c r="AL1446" s="79">
        <f t="shared" si="228"/>
        <v>0</v>
      </c>
      <c r="AM1446" s="137">
        <f t="shared" si="229"/>
        <v>0</v>
      </c>
      <c r="AN1446" s="251"/>
      <c r="AO1446" s="1736"/>
      <c r="AP1446" s="1737"/>
    </row>
    <row r="1447" spans="1:42" s="85" customFormat="1" ht="13.5" thickBot="1">
      <c r="A1447" s="240"/>
      <c r="B1447" s="241"/>
      <c r="C1447" s="242"/>
      <c r="D1447" s="242"/>
      <c r="E1447" s="243"/>
      <c r="F1447" s="244"/>
      <c r="G1447" s="244"/>
      <c r="H1447" s="243"/>
      <c r="I1447" s="258"/>
      <c r="J1447" s="245"/>
      <c r="K1447" s="245"/>
      <c r="L1447" s="76">
        <f t="shared" si="220"/>
        <v>0</v>
      </c>
      <c r="M1447" s="246"/>
      <c r="N1447" s="247"/>
      <c r="O1447" s="248"/>
      <c r="P1447" s="246"/>
      <c r="Q1447" s="249"/>
      <c r="R1447" s="250"/>
      <c r="S1447" s="259"/>
      <c r="T1447" s="260"/>
      <c r="U1447" s="250"/>
      <c r="V1447" s="78">
        <f t="shared" si="221"/>
        <v>0</v>
      </c>
      <c r="W1447" s="261">
        <f t="shared" si="222"/>
        <v>0</v>
      </c>
      <c r="X1447" s="133">
        <f t="shared" si="223"/>
        <v>0</v>
      </c>
      <c r="Y1447" s="251"/>
      <c r="Z1447" s="1736"/>
      <c r="AA1447" s="1737"/>
      <c r="AB1447" s="77">
        <f t="shared" si="224"/>
        <v>0</v>
      </c>
      <c r="AC1447" s="134">
        <f t="shared" si="225"/>
        <v>0</v>
      </c>
      <c r="AD1447" s="251"/>
      <c r="AE1447" s="1736"/>
      <c r="AF1447" s="1737"/>
      <c r="AG1447" s="77">
        <f t="shared" si="226"/>
        <v>0</v>
      </c>
      <c r="AH1447" s="136">
        <f t="shared" si="227"/>
        <v>0</v>
      </c>
      <c r="AI1447" s="251"/>
      <c r="AJ1447" s="1736"/>
      <c r="AK1447" s="1737"/>
      <c r="AL1447" s="79">
        <f t="shared" si="228"/>
        <v>0</v>
      </c>
      <c r="AM1447" s="137">
        <f t="shared" si="229"/>
        <v>0</v>
      </c>
      <c r="AN1447" s="251"/>
      <c r="AO1447" s="1736"/>
      <c r="AP1447" s="1737"/>
    </row>
    <row r="1448" spans="1:42" s="85" customFormat="1" ht="13.5" thickBot="1">
      <c r="A1448" s="240"/>
      <c r="B1448" s="241"/>
      <c r="C1448" s="242"/>
      <c r="D1448" s="242"/>
      <c r="E1448" s="243"/>
      <c r="F1448" s="244"/>
      <c r="G1448" s="244"/>
      <c r="H1448" s="243"/>
      <c r="I1448" s="258"/>
      <c r="J1448" s="245"/>
      <c r="K1448" s="245"/>
      <c r="L1448" s="76">
        <f t="shared" si="220"/>
        <v>0</v>
      </c>
      <c r="M1448" s="246"/>
      <c r="N1448" s="247"/>
      <c r="O1448" s="248"/>
      <c r="P1448" s="246"/>
      <c r="Q1448" s="249"/>
      <c r="R1448" s="250"/>
      <c r="S1448" s="259"/>
      <c r="T1448" s="260"/>
      <c r="U1448" s="250"/>
      <c r="V1448" s="78">
        <f t="shared" si="221"/>
        <v>0</v>
      </c>
      <c r="W1448" s="261">
        <f t="shared" si="222"/>
        <v>0</v>
      </c>
      <c r="X1448" s="133">
        <f t="shared" si="223"/>
        <v>0</v>
      </c>
      <c r="Y1448" s="251"/>
      <c r="Z1448" s="1736"/>
      <c r="AA1448" s="1737"/>
      <c r="AB1448" s="77">
        <f t="shared" si="224"/>
        <v>0</v>
      </c>
      <c r="AC1448" s="134">
        <f t="shared" si="225"/>
        <v>0</v>
      </c>
      <c r="AD1448" s="251"/>
      <c r="AE1448" s="1736"/>
      <c r="AF1448" s="1737"/>
      <c r="AG1448" s="77">
        <f t="shared" si="226"/>
        <v>0</v>
      </c>
      <c r="AH1448" s="136">
        <f t="shared" si="227"/>
        <v>0</v>
      </c>
      <c r="AI1448" s="251"/>
      <c r="AJ1448" s="1736"/>
      <c r="AK1448" s="1737"/>
      <c r="AL1448" s="79">
        <f t="shared" si="228"/>
        <v>0</v>
      </c>
      <c r="AM1448" s="137">
        <f t="shared" si="229"/>
        <v>0</v>
      </c>
      <c r="AN1448" s="251"/>
      <c r="AO1448" s="1736"/>
      <c r="AP1448" s="1737"/>
    </row>
    <row r="1449" spans="1:42" s="85" customFormat="1" ht="13.5" thickBot="1">
      <c r="A1449" s="240"/>
      <c r="B1449" s="241"/>
      <c r="C1449" s="242"/>
      <c r="D1449" s="242"/>
      <c r="E1449" s="243"/>
      <c r="F1449" s="244"/>
      <c r="G1449" s="244"/>
      <c r="H1449" s="243"/>
      <c r="I1449" s="258"/>
      <c r="J1449" s="245"/>
      <c r="K1449" s="245"/>
      <c r="L1449" s="76">
        <f t="shared" si="220"/>
        <v>0</v>
      </c>
      <c r="M1449" s="246"/>
      <c r="N1449" s="247"/>
      <c r="O1449" s="248"/>
      <c r="P1449" s="246"/>
      <c r="Q1449" s="249"/>
      <c r="R1449" s="250"/>
      <c r="S1449" s="259"/>
      <c r="T1449" s="260"/>
      <c r="U1449" s="250"/>
      <c r="V1449" s="78">
        <f t="shared" si="221"/>
        <v>0</v>
      </c>
      <c r="W1449" s="261">
        <f t="shared" si="222"/>
        <v>0</v>
      </c>
      <c r="X1449" s="133">
        <f t="shared" si="223"/>
        <v>0</v>
      </c>
      <c r="Y1449" s="251"/>
      <c r="Z1449" s="1736"/>
      <c r="AA1449" s="1737"/>
      <c r="AB1449" s="77">
        <f t="shared" si="224"/>
        <v>0</v>
      </c>
      <c r="AC1449" s="134">
        <f t="shared" si="225"/>
        <v>0</v>
      </c>
      <c r="AD1449" s="251"/>
      <c r="AE1449" s="1736"/>
      <c r="AF1449" s="1737"/>
      <c r="AG1449" s="77">
        <f t="shared" si="226"/>
        <v>0</v>
      </c>
      <c r="AH1449" s="136">
        <f t="shared" si="227"/>
        <v>0</v>
      </c>
      <c r="AI1449" s="251"/>
      <c r="AJ1449" s="1736"/>
      <c r="AK1449" s="1737"/>
      <c r="AL1449" s="79">
        <f t="shared" si="228"/>
        <v>0</v>
      </c>
      <c r="AM1449" s="137">
        <f t="shared" si="229"/>
        <v>0</v>
      </c>
      <c r="AN1449" s="251"/>
      <c r="AO1449" s="1736"/>
      <c r="AP1449" s="1737"/>
    </row>
    <row r="1450" spans="1:42" s="85" customFormat="1" ht="13.5" thickBot="1">
      <c r="A1450" s="240"/>
      <c r="B1450" s="241"/>
      <c r="C1450" s="242"/>
      <c r="D1450" s="242"/>
      <c r="E1450" s="243"/>
      <c r="F1450" s="244"/>
      <c r="G1450" s="244"/>
      <c r="H1450" s="243"/>
      <c r="I1450" s="258"/>
      <c r="J1450" s="245"/>
      <c r="K1450" s="245"/>
      <c r="L1450" s="76">
        <f t="shared" si="220"/>
        <v>0</v>
      </c>
      <c r="M1450" s="246"/>
      <c r="N1450" s="247"/>
      <c r="O1450" s="248"/>
      <c r="P1450" s="246"/>
      <c r="Q1450" s="249"/>
      <c r="R1450" s="250"/>
      <c r="S1450" s="259"/>
      <c r="T1450" s="260"/>
      <c r="U1450" s="250"/>
      <c r="V1450" s="78">
        <f t="shared" si="221"/>
        <v>0</v>
      </c>
      <c r="W1450" s="261">
        <f t="shared" si="222"/>
        <v>0</v>
      </c>
      <c r="X1450" s="133">
        <f t="shared" si="223"/>
        <v>0</v>
      </c>
      <c r="Y1450" s="251"/>
      <c r="Z1450" s="1736"/>
      <c r="AA1450" s="1737"/>
      <c r="AB1450" s="77">
        <f t="shared" si="224"/>
        <v>0</v>
      </c>
      <c r="AC1450" s="134">
        <f t="shared" si="225"/>
        <v>0</v>
      </c>
      <c r="AD1450" s="251"/>
      <c r="AE1450" s="1736"/>
      <c r="AF1450" s="1737"/>
      <c r="AG1450" s="77">
        <f t="shared" si="226"/>
        <v>0</v>
      </c>
      <c r="AH1450" s="136">
        <f t="shared" si="227"/>
        <v>0</v>
      </c>
      <c r="AI1450" s="251"/>
      <c r="AJ1450" s="1736"/>
      <c r="AK1450" s="1737"/>
      <c r="AL1450" s="79">
        <f t="shared" si="228"/>
        <v>0</v>
      </c>
      <c r="AM1450" s="137">
        <f t="shared" si="229"/>
        <v>0</v>
      </c>
      <c r="AN1450" s="251"/>
      <c r="AO1450" s="1736"/>
      <c r="AP1450" s="1737"/>
    </row>
    <row r="1451" spans="1:42" s="85" customFormat="1" ht="13.5" thickBot="1">
      <c r="A1451" s="240"/>
      <c r="B1451" s="241"/>
      <c r="C1451" s="242"/>
      <c r="D1451" s="242"/>
      <c r="E1451" s="243"/>
      <c r="F1451" s="244"/>
      <c r="G1451" s="244"/>
      <c r="H1451" s="243"/>
      <c r="I1451" s="258"/>
      <c r="J1451" s="245"/>
      <c r="K1451" s="245"/>
      <c r="L1451" s="76">
        <f t="shared" si="220"/>
        <v>0</v>
      </c>
      <c r="M1451" s="246"/>
      <c r="N1451" s="247"/>
      <c r="O1451" s="248"/>
      <c r="P1451" s="246"/>
      <c r="Q1451" s="249"/>
      <c r="R1451" s="250"/>
      <c r="S1451" s="259"/>
      <c r="T1451" s="260"/>
      <c r="U1451" s="250"/>
      <c r="V1451" s="78">
        <f t="shared" si="221"/>
        <v>0</v>
      </c>
      <c r="W1451" s="261">
        <f t="shared" si="222"/>
        <v>0</v>
      </c>
      <c r="X1451" s="133">
        <f t="shared" si="223"/>
        <v>0</v>
      </c>
      <c r="Y1451" s="251"/>
      <c r="Z1451" s="1736"/>
      <c r="AA1451" s="1737"/>
      <c r="AB1451" s="77">
        <f t="shared" si="224"/>
        <v>0</v>
      </c>
      <c r="AC1451" s="134">
        <f t="shared" si="225"/>
        <v>0</v>
      </c>
      <c r="AD1451" s="251"/>
      <c r="AE1451" s="1736"/>
      <c r="AF1451" s="1737"/>
      <c r="AG1451" s="77">
        <f t="shared" si="226"/>
        <v>0</v>
      </c>
      <c r="AH1451" s="136">
        <f t="shared" si="227"/>
        <v>0</v>
      </c>
      <c r="AI1451" s="251"/>
      <c r="AJ1451" s="1736"/>
      <c r="AK1451" s="1737"/>
      <c r="AL1451" s="79">
        <f t="shared" si="228"/>
        <v>0</v>
      </c>
      <c r="AM1451" s="137">
        <f t="shared" si="229"/>
        <v>0</v>
      </c>
      <c r="AN1451" s="251"/>
      <c r="AO1451" s="1736"/>
      <c r="AP1451" s="1737"/>
    </row>
    <row r="1452" spans="1:42" s="85" customFormat="1" ht="13.5" thickBot="1">
      <c r="A1452" s="240"/>
      <c r="B1452" s="241"/>
      <c r="C1452" s="242"/>
      <c r="D1452" s="242"/>
      <c r="E1452" s="243"/>
      <c r="F1452" s="244"/>
      <c r="G1452" s="244"/>
      <c r="H1452" s="243"/>
      <c r="I1452" s="258"/>
      <c r="J1452" s="245"/>
      <c r="K1452" s="245"/>
      <c r="L1452" s="76">
        <f t="shared" si="220"/>
        <v>0</v>
      </c>
      <c r="M1452" s="246"/>
      <c r="N1452" s="247"/>
      <c r="O1452" s="248"/>
      <c r="P1452" s="246"/>
      <c r="Q1452" s="249"/>
      <c r="R1452" s="250"/>
      <c r="S1452" s="259"/>
      <c r="T1452" s="260"/>
      <c r="U1452" s="250"/>
      <c r="V1452" s="78">
        <f t="shared" si="221"/>
        <v>0</v>
      </c>
      <c r="W1452" s="261">
        <f t="shared" si="222"/>
        <v>0</v>
      </c>
      <c r="X1452" s="133">
        <f t="shared" si="223"/>
        <v>0</v>
      </c>
      <c r="Y1452" s="251"/>
      <c r="Z1452" s="1736"/>
      <c r="AA1452" s="1737"/>
      <c r="AB1452" s="77">
        <f t="shared" si="224"/>
        <v>0</v>
      </c>
      <c r="AC1452" s="134">
        <f t="shared" si="225"/>
        <v>0</v>
      </c>
      <c r="AD1452" s="251"/>
      <c r="AE1452" s="1736"/>
      <c r="AF1452" s="1737"/>
      <c r="AG1452" s="77">
        <f t="shared" si="226"/>
        <v>0</v>
      </c>
      <c r="AH1452" s="136">
        <f t="shared" si="227"/>
        <v>0</v>
      </c>
      <c r="AI1452" s="251"/>
      <c r="AJ1452" s="1736"/>
      <c r="AK1452" s="1737"/>
      <c r="AL1452" s="79">
        <f t="shared" si="228"/>
        <v>0</v>
      </c>
      <c r="AM1452" s="137">
        <f t="shared" si="229"/>
        <v>0</v>
      </c>
      <c r="AN1452" s="251"/>
      <c r="AO1452" s="1736"/>
      <c r="AP1452" s="1737"/>
    </row>
    <row r="1453" spans="1:42" s="85" customFormat="1" ht="13.5" thickBot="1">
      <c r="A1453" s="240"/>
      <c r="B1453" s="241"/>
      <c r="C1453" s="242"/>
      <c r="D1453" s="242"/>
      <c r="E1453" s="243"/>
      <c r="F1453" s="244"/>
      <c r="G1453" s="244"/>
      <c r="H1453" s="243"/>
      <c r="I1453" s="258"/>
      <c r="J1453" s="245"/>
      <c r="K1453" s="245"/>
      <c r="L1453" s="76">
        <f t="shared" si="220"/>
        <v>0</v>
      </c>
      <c r="M1453" s="246"/>
      <c r="N1453" s="247"/>
      <c r="O1453" s="248"/>
      <c r="P1453" s="246"/>
      <c r="Q1453" s="249"/>
      <c r="R1453" s="250"/>
      <c r="S1453" s="259"/>
      <c r="T1453" s="260"/>
      <c r="U1453" s="250"/>
      <c r="V1453" s="78">
        <f t="shared" si="221"/>
        <v>0</v>
      </c>
      <c r="W1453" s="261">
        <f t="shared" si="222"/>
        <v>0</v>
      </c>
      <c r="X1453" s="133">
        <f t="shared" si="223"/>
        <v>0</v>
      </c>
      <c r="Y1453" s="251"/>
      <c r="Z1453" s="1736"/>
      <c r="AA1453" s="1737"/>
      <c r="AB1453" s="77">
        <f t="shared" si="224"/>
        <v>0</v>
      </c>
      <c r="AC1453" s="134">
        <f t="shared" si="225"/>
        <v>0</v>
      </c>
      <c r="AD1453" s="251"/>
      <c r="AE1453" s="1736"/>
      <c r="AF1453" s="1737"/>
      <c r="AG1453" s="77">
        <f t="shared" si="226"/>
        <v>0</v>
      </c>
      <c r="AH1453" s="136">
        <f t="shared" si="227"/>
        <v>0</v>
      </c>
      <c r="AI1453" s="251"/>
      <c r="AJ1453" s="1736"/>
      <c r="AK1453" s="1737"/>
      <c r="AL1453" s="79">
        <f t="shared" si="228"/>
        <v>0</v>
      </c>
      <c r="AM1453" s="137">
        <f t="shared" si="229"/>
        <v>0</v>
      </c>
      <c r="AN1453" s="251"/>
      <c r="AO1453" s="1736"/>
      <c r="AP1453" s="1737"/>
    </row>
    <row r="1454" spans="1:42" s="85" customFormat="1" ht="13.5" thickBot="1">
      <c r="A1454" s="240"/>
      <c r="B1454" s="241"/>
      <c r="C1454" s="242"/>
      <c r="D1454" s="242"/>
      <c r="E1454" s="243"/>
      <c r="F1454" s="244"/>
      <c r="G1454" s="244"/>
      <c r="H1454" s="243"/>
      <c r="I1454" s="258"/>
      <c r="J1454" s="245"/>
      <c r="K1454" s="245"/>
      <c r="L1454" s="76">
        <f t="shared" si="220"/>
        <v>0</v>
      </c>
      <c r="M1454" s="246"/>
      <c r="N1454" s="247"/>
      <c r="O1454" s="248"/>
      <c r="P1454" s="246"/>
      <c r="Q1454" s="249"/>
      <c r="R1454" s="250"/>
      <c r="S1454" s="259"/>
      <c r="T1454" s="260"/>
      <c r="U1454" s="250"/>
      <c r="V1454" s="78">
        <f t="shared" si="221"/>
        <v>0</v>
      </c>
      <c r="W1454" s="261">
        <f t="shared" si="222"/>
        <v>0</v>
      </c>
      <c r="X1454" s="133">
        <f t="shared" si="223"/>
        <v>0</v>
      </c>
      <c r="Y1454" s="251"/>
      <c r="Z1454" s="1736"/>
      <c r="AA1454" s="1737"/>
      <c r="AB1454" s="77">
        <f t="shared" si="224"/>
        <v>0</v>
      </c>
      <c r="AC1454" s="134">
        <f t="shared" si="225"/>
        <v>0</v>
      </c>
      <c r="AD1454" s="251"/>
      <c r="AE1454" s="1736"/>
      <c r="AF1454" s="1737"/>
      <c r="AG1454" s="77">
        <f t="shared" si="226"/>
        <v>0</v>
      </c>
      <c r="AH1454" s="136">
        <f t="shared" si="227"/>
        <v>0</v>
      </c>
      <c r="AI1454" s="251"/>
      <c r="AJ1454" s="1736"/>
      <c r="AK1454" s="1737"/>
      <c r="AL1454" s="79">
        <f t="shared" si="228"/>
        <v>0</v>
      </c>
      <c r="AM1454" s="137">
        <f t="shared" si="229"/>
        <v>0</v>
      </c>
      <c r="AN1454" s="251"/>
      <c r="AO1454" s="1736"/>
      <c r="AP1454" s="1737"/>
    </row>
    <row r="1455" spans="1:42" s="85" customFormat="1" ht="13.5" thickBot="1">
      <c r="A1455" s="240"/>
      <c r="B1455" s="241"/>
      <c r="C1455" s="242"/>
      <c r="D1455" s="242"/>
      <c r="E1455" s="243"/>
      <c r="F1455" s="244"/>
      <c r="G1455" s="244"/>
      <c r="H1455" s="243"/>
      <c r="I1455" s="258"/>
      <c r="J1455" s="245"/>
      <c r="K1455" s="245"/>
      <c r="L1455" s="76">
        <f t="shared" si="220"/>
        <v>0</v>
      </c>
      <c r="M1455" s="246"/>
      <c r="N1455" s="247"/>
      <c r="O1455" s="248"/>
      <c r="P1455" s="246"/>
      <c r="Q1455" s="249"/>
      <c r="R1455" s="250"/>
      <c r="S1455" s="259"/>
      <c r="T1455" s="260"/>
      <c r="U1455" s="250"/>
      <c r="V1455" s="78">
        <f t="shared" si="221"/>
        <v>0</v>
      </c>
      <c r="W1455" s="261">
        <f t="shared" si="222"/>
        <v>0</v>
      </c>
      <c r="X1455" s="133">
        <f t="shared" si="223"/>
        <v>0</v>
      </c>
      <c r="Y1455" s="251"/>
      <c r="Z1455" s="1736"/>
      <c r="AA1455" s="1737"/>
      <c r="AB1455" s="77">
        <f t="shared" si="224"/>
        <v>0</v>
      </c>
      <c r="AC1455" s="134">
        <f t="shared" si="225"/>
        <v>0</v>
      </c>
      <c r="AD1455" s="251"/>
      <c r="AE1455" s="1736"/>
      <c r="AF1455" s="1737"/>
      <c r="AG1455" s="77">
        <f t="shared" si="226"/>
        <v>0</v>
      </c>
      <c r="AH1455" s="136">
        <f t="shared" si="227"/>
        <v>0</v>
      </c>
      <c r="AI1455" s="251"/>
      <c r="AJ1455" s="1736"/>
      <c r="AK1455" s="1737"/>
      <c r="AL1455" s="79">
        <f t="shared" si="228"/>
        <v>0</v>
      </c>
      <c r="AM1455" s="137">
        <f t="shared" si="229"/>
        <v>0</v>
      </c>
      <c r="AN1455" s="251"/>
      <c r="AO1455" s="1736"/>
      <c r="AP1455" s="1737"/>
    </row>
    <row r="1456" spans="1:42" s="85" customFormat="1" ht="13.5" thickBot="1">
      <c r="A1456" s="240"/>
      <c r="B1456" s="241"/>
      <c r="C1456" s="242"/>
      <c r="D1456" s="242"/>
      <c r="E1456" s="243"/>
      <c r="F1456" s="244"/>
      <c r="G1456" s="244"/>
      <c r="H1456" s="243"/>
      <c r="I1456" s="258"/>
      <c r="J1456" s="245"/>
      <c r="K1456" s="245"/>
      <c r="L1456" s="76">
        <f t="shared" si="220"/>
        <v>0</v>
      </c>
      <c r="M1456" s="246"/>
      <c r="N1456" s="247"/>
      <c r="O1456" s="248"/>
      <c r="P1456" s="246"/>
      <c r="Q1456" s="249"/>
      <c r="R1456" s="250"/>
      <c r="S1456" s="259"/>
      <c r="T1456" s="260"/>
      <c r="U1456" s="250"/>
      <c r="V1456" s="78">
        <f t="shared" si="221"/>
        <v>0</v>
      </c>
      <c r="W1456" s="261">
        <f t="shared" si="222"/>
        <v>0</v>
      </c>
      <c r="X1456" s="133">
        <f t="shared" si="223"/>
        <v>0</v>
      </c>
      <c r="Y1456" s="251"/>
      <c r="Z1456" s="1736"/>
      <c r="AA1456" s="1737"/>
      <c r="AB1456" s="77">
        <f t="shared" si="224"/>
        <v>0</v>
      </c>
      <c r="AC1456" s="134">
        <f t="shared" si="225"/>
        <v>0</v>
      </c>
      <c r="AD1456" s="251"/>
      <c r="AE1456" s="1736"/>
      <c r="AF1456" s="1737"/>
      <c r="AG1456" s="77">
        <f t="shared" si="226"/>
        <v>0</v>
      </c>
      <c r="AH1456" s="136">
        <f t="shared" si="227"/>
        <v>0</v>
      </c>
      <c r="AI1456" s="251"/>
      <c r="AJ1456" s="1736"/>
      <c r="AK1456" s="1737"/>
      <c r="AL1456" s="79">
        <f t="shared" si="228"/>
        <v>0</v>
      </c>
      <c r="AM1456" s="137">
        <f t="shared" si="229"/>
        <v>0</v>
      </c>
      <c r="AN1456" s="251"/>
      <c r="AO1456" s="1736"/>
      <c r="AP1456" s="1737"/>
    </row>
    <row r="1457" spans="1:42" s="85" customFormat="1" ht="13.5" thickBot="1">
      <c r="A1457" s="240"/>
      <c r="B1457" s="241"/>
      <c r="C1457" s="242"/>
      <c r="D1457" s="242"/>
      <c r="E1457" s="243"/>
      <c r="F1457" s="244"/>
      <c r="G1457" s="244"/>
      <c r="H1457" s="243"/>
      <c r="I1457" s="258"/>
      <c r="J1457" s="245"/>
      <c r="K1457" s="245"/>
      <c r="L1457" s="76">
        <f t="shared" si="220"/>
        <v>0</v>
      </c>
      <c r="M1457" s="246"/>
      <c r="N1457" s="247"/>
      <c r="O1457" s="248"/>
      <c r="P1457" s="246"/>
      <c r="Q1457" s="249"/>
      <c r="R1457" s="250"/>
      <c r="S1457" s="259"/>
      <c r="T1457" s="260"/>
      <c r="U1457" s="250"/>
      <c r="V1457" s="78">
        <f t="shared" si="221"/>
        <v>0</v>
      </c>
      <c r="W1457" s="261">
        <f t="shared" si="222"/>
        <v>0</v>
      </c>
      <c r="X1457" s="133">
        <f t="shared" si="223"/>
        <v>0</v>
      </c>
      <c r="Y1457" s="251"/>
      <c r="Z1457" s="1736"/>
      <c r="AA1457" s="1737"/>
      <c r="AB1457" s="77">
        <f t="shared" si="224"/>
        <v>0</v>
      </c>
      <c r="AC1457" s="134">
        <f t="shared" si="225"/>
        <v>0</v>
      </c>
      <c r="AD1457" s="251"/>
      <c r="AE1457" s="1736"/>
      <c r="AF1457" s="1737"/>
      <c r="AG1457" s="77">
        <f t="shared" si="226"/>
        <v>0</v>
      </c>
      <c r="AH1457" s="136">
        <f t="shared" si="227"/>
        <v>0</v>
      </c>
      <c r="AI1457" s="251"/>
      <c r="AJ1457" s="1736"/>
      <c r="AK1457" s="1737"/>
      <c r="AL1457" s="79">
        <f t="shared" si="228"/>
        <v>0</v>
      </c>
      <c r="AM1457" s="137">
        <f t="shared" si="229"/>
        <v>0</v>
      </c>
      <c r="AN1457" s="251"/>
      <c r="AO1457" s="1736"/>
      <c r="AP1457" s="1737"/>
    </row>
    <row r="1458" spans="1:42" s="85" customFormat="1" ht="13.5" thickBot="1">
      <c r="A1458" s="240"/>
      <c r="B1458" s="241"/>
      <c r="C1458" s="242"/>
      <c r="D1458" s="242"/>
      <c r="E1458" s="243"/>
      <c r="F1458" s="244"/>
      <c r="G1458" s="244"/>
      <c r="H1458" s="243"/>
      <c r="I1458" s="258"/>
      <c r="J1458" s="245"/>
      <c r="K1458" s="245"/>
      <c r="L1458" s="76">
        <f t="shared" si="220"/>
        <v>0</v>
      </c>
      <c r="M1458" s="246"/>
      <c r="N1458" s="247"/>
      <c r="O1458" s="248"/>
      <c r="P1458" s="246"/>
      <c r="Q1458" s="249"/>
      <c r="R1458" s="250"/>
      <c r="S1458" s="259"/>
      <c r="T1458" s="260"/>
      <c r="U1458" s="250"/>
      <c r="V1458" s="78">
        <f t="shared" si="221"/>
        <v>0</v>
      </c>
      <c r="W1458" s="261">
        <f t="shared" si="222"/>
        <v>0</v>
      </c>
      <c r="X1458" s="133">
        <f t="shared" si="223"/>
        <v>0</v>
      </c>
      <c r="Y1458" s="251"/>
      <c r="Z1458" s="1736"/>
      <c r="AA1458" s="1737"/>
      <c r="AB1458" s="77">
        <f t="shared" si="224"/>
        <v>0</v>
      </c>
      <c r="AC1458" s="134">
        <f t="shared" si="225"/>
        <v>0</v>
      </c>
      <c r="AD1458" s="251"/>
      <c r="AE1458" s="1736"/>
      <c r="AF1458" s="1737"/>
      <c r="AG1458" s="77">
        <f t="shared" si="226"/>
        <v>0</v>
      </c>
      <c r="AH1458" s="136">
        <f t="shared" si="227"/>
        <v>0</v>
      </c>
      <c r="AI1458" s="251"/>
      <c r="AJ1458" s="1736"/>
      <c r="AK1458" s="1737"/>
      <c r="AL1458" s="79">
        <f t="shared" si="228"/>
        <v>0</v>
      </c>
      <c r="AM1458" s="137">
        <f t="shared" si="229"/>
        <v>0</v>
      </c>
      <c r="AN1458" s="251"/>
      <c r="AO1458" s="1736"/>
      <c r="AP1458" s="1737"/>
    </row>
    <row r="1459" spans="1:42" s="85" customFormat="1" ht="13.5" thickBot="1">
      <c r="A1459" s="240"/>
      <c r="B1459" s="241"/>
      <c r="C1459" s="242"/>
      <c r="D1459" s="242"/>
      <c r="E1459" s="243"/>
      <c r="F1459" s="244"/>
      <c r="G1459" s="244"/>
      <c r="H1459" s="243"/>
      <c r="I1459" s="258"/>
      <c r="J1459" s="245"/>
      <c r="K1459" s="245"/>
      <c r="L1459" s="76">
        <f t="shared" si="220"/>
        <v>0</v>
      </c>
      <c r="M1459" s="246"/>
      <c r="N1459" s="247"/>
      <c r="O1459" s="248"/>
      <c r="P1459" s="246"/>
      <c r="Q1459" s="249"/>
      <c r="R1459" s="250"/>
      <c r="S1459" s="259"/>
      <c r="T1459" s="260"/>
      <c r="U1459" s="250"/>
      <c r="V1459" s="78">
        <f t="shared" si="221"/>
        <v>0</v>
      </c>
      <c r="W1459" s="261">
        <f t="shared" si="222"/>
        <v>0</v>
      </c>
      <c r="X1459" s="133">
        <f t="shared" si="223"/>
        <v>0</v>
      </c>
      <c r="Y1459" s="251"/>
      <c r="Z1459" s="1736"/>
      <c r="AA1459" s="1737"/>
      <c r="AB1459" s="77">
        <f t="shared" si="224"/>
        <v>0</v>
      </c>
      <c r="AC1459" s="134">
        <f t="shared" si="225"/>
        <v>0</v>
      </c>
      <c r="AD1459" s="251"/>
      <c r="AE1459" s="1736"/>
      <c r="AF1459" s="1737"/>
      <c r="AG1459" s="77">
        <f t="shared" si="226"/>
        <v>0</v>
      </c>
      <c r="AH1459" s="136">
        <f t="shared" si="227"/>
        <v>0</v>
      </c>
      <c r="AI1459" s="251"/>
      <c r="AJ1459" s="1736"/>
      <c r="AK1459" s="1737"/>
      <c r="AL1459" s="79">
        <f t="shared" si="228"/>
        <v>0</v>
      </c>
      <c r="AM1459" s="137">
        <f t="shared" si="229"/>
        <v>0</v>
      </c>
      <c r="AN1459" s="251"/>
      <c r="AO1459" s="1736"/>
      <c r="AP1459" s="1737"/>
    </row>
    <row r="1460" spans="1:42" s="85" customFormat="1" ht="13.5" thickBot="1">
      <c r="A1460" s="240"/>
      <c r="B1460" s="241"/>
      <c r="C1460" s="242"/>
      <c r="D1460" s="242"/>
      <c r="E1460" s="243"/>
      <c r="F1460" s="244"/>
      <c r="G1460" s="244"/>
      <c r="H1460" s="243"/>
      <c r="I1460" s="258"/>
      <c r="J1460" s="245"/>
      <c r="K1460" s="245"/>
      <c r="L1460" s="76">
        <f t="shared" si="220"/>
        <v>0</v>
      </c>
      <c r="M1460" s="246"/>
      <c r="N1460" s="247"/>
      <c r="O1460" s="248"/>
      <c r="P1460" s="246"/>
      <c r="Q1460" s="249"/>
      <c r="R1460" s="250"/>
      <c r="S1460" s="259"/>
      <c r="T1460" s="260"/>
      <c r="U1460" s="250"/>
      <c r="V1460" s="78">
        <f t="shared" si="221"/>
        <v>0</v>
      </c>
      <c r="W1460" s="261">
        <f t="shared" si="222"/>
        <v>0</v>
      </c>
      <c r="X1460" s="133">
        <f t="shared" si="223"/>
        <v>0</v>
      </c>
      <c r="Y1460" s="251"/>
      <c r="Z1460" s="1736"/>
      <c r="AA1460" s="1737"/>
      <c r="AB1460" s="77">
        <f t="shared" si="224"/>
        <v>0</v>
      </c>
      <c r="AC1460" s="134">
        <f t="shared" si="225"/>
        <v>0</v>
      </c>
      <c r="AD1460" s="251"/>
      <c r="AE1460" s="1736"/>
      <c r="AF1460" s="1737"/>
      <c r="AG1460" s="77">
        <f t="shared" si="226"/>
        <v>0</v>
      </c>
      <c r="AH1460" s="136">
        <f t="shared" si="227"/>
        <v>0</v>
      </c>
      <c r="AI1460" s="251"/>
      <c r="AJ1460" s="1736"/>
      <c r="AK1460" s="1737"/>
      <c r="AL1460" s="79">
        <f t="shared" si="228"/>
        <v>0</v>
      </c>
      <c r="AM1460" s="137">
        <f t="shared" si="229"/>
        <v>0</v>
      </c>
      <c r="AN1460" s="251"/>
      <c r="AO1460" s="1736"/>
      <c r="AP1460" s="1737"/>
    </row>
    <row r="1461" spans="1:42" s="85" customFormat="1" ht="13.5" thickBot="1">
      <c r="A1461" s="240"/>
      <c r="B1461" s="241"/>
      <c r="C1461" s="242"/>
      <c r="D1461" s="242"/>
      <c r="E1461" s="243"/>
      <c r="F1461" s="244"/>
      <c r="G1461" s="244"/>
      <c r="H1461" s="243"/>
      <c r="I1461" s="258"/>
      <c r="J1461" s="245"/>
      <c r="K1461" s="245"/>
      <c r="L1461" s="76">
        <f t="shared" si="220"/>
        <v>0</v>
      </c>
      <c r="M1461" s="246"/>
      <c r="N1461" s="247"/>
      <c r="O1461" s="248"/>
      <c r="P1461" s="246"/>
      <c r="Q1461" s="249"/>
      <c r="R1461" s="250"/>
      <c r="S1461" s="259"/>
      <c r="T1461" s="260"/>
      <c r="U1461" s="250"/>
      <c r="V1461" s="78">
        <f t="shared" si="221"/>
        <v>0</v>
      </c>
      <c r="W1461" s="261">
        <f t="shared" si="222"/>
        <v>0</v>
      </c>
      <c r="X1461" s="133">
        <f t="shared" si="223"/>
        <v>0</v>
      </c>
      <c r="Y1461" s="251"/>
      <c r="Z1461" s="1736"/>
      <c r="AA1461" s="1737"/>
      <c r="AB1461" s="77">
        <f t="shared" si="224"/>
        <v>0</v>
      </c>
      <c r="AC1461" s="134">
        <f t="shared" si="225"/>
        <v>0</v>
      </c>
      <c r="AD1461" s="251"/>
      <c r="AE1461" s="1736"/>
      <c r="AF1461" s="1737"/>
      <c r="AG1461" s="77">
        <f t="shared" si="226"/>
        <v>0</v>
      </c>
      <c r="AH1461" s="136">
        <f t="shared" si="227"/>
        <v>0</v>
      </c>
      <c r="AI1461" s="251"/>
      <c r="AJ1461" s="1736"/>
      <c r="AK1461" s="1737"/>
      <c r="AL1461" s="79">
        <f t="shared" si="228"/>
        <v>0</v>
      </c>
      <c r="AM1461" s="137">
        <f t="shared" si="229"/>
        <v>0</v>
      </c>
      <c r="AN1461" s="251"/>
      <c r="AO1461" s="1736"/>
      <c r="AP1461" s="1737"/>
    </row>
    <row r="1462" spans="1:42" s="85" customFormat="1" ht="13.5" thickBot="1">
      <c r="A1462" s="240"/>
      <c r="B1462" s="241"/>
      <c r="C1462" s="242"/>
      <c r="D1462" s="242"/>
      <c r="E1462" s="243"/>
      <c r="F1462" s="244"/>
      <c r="G1462" s="244"/>
      <c r="H1462" s="243"/>
      <c r="I1462" s="258"/>
      <c r="J1462" s="245"/>
      <c r="K1462" s="245"/>
      <c r="L1462" s="76">
        <f t="shared" si="220"/>
        <v>0</v>
      </c>
      <c r="M1462" s="246"/>
      <c r="N1462" s="247"/>
      <c r="O1462" s="248"/>
      <c r="P1462" s="246"/>
      <c r="Q1462" s="249"/>
      <c r="R1462" s="250"/>
      <c r="S1462" s="259"/>
      <c r="T1462" s="260"/>
      <c r="U1462" s="250"/>
      <c r="V1462" s="78">
        <f t="shared" si="221"/>
        <v>0</v>
      </c>
      <c r="W1462" s="261">
        <f t="shared" si="222"/>
        <v>0</v>
      </c>
      <c r="X1462" s="133">
        <f t="shared" si="223"/>
        <v>0</v>
      </c>
      <c r="Y1462" s="251"/>
      <c r="Z1462" s="1736"/>
      <c r="AA1462" s="1737"/>
      <c r="AB1462" s="77">
        <f t="shared" si="224"/>
        <v>0</v>
      </c>
      <c r="AC1462" s="134">
        <f t="shared" si="225"/>
        <v>0</v>
      </c>
      <c r="AD1462" s="251"/>
      <c r="AE1462" s="1736"/>
      <c r="AF1462" s="1737"/>
      <c r="AG1462" s="77">
        <f t="shared" si="226"/>
        <v>0</v>
      </c>
      <c r="AH1462" s="136">
        <f t="shared" si="227"/>
        <v>0</v>
      </c>
      <c r="AI1462" s="251"/>
      <c r="AJ1462" s="1736"/>
      <c r="AK1462" s="1737"/>
      <c r="AL1462" s="79">
        <f t="shared" si="228"/>
        <v>0</v>
      </c>
      <c r="AM1462" s="137">
        <f t="shared" si="229"/>
        <v>0</v>
      </c>
      <c r="AN1462" s="251"/>
      <c r="AO1462" s="1736"/>
      <c r="AP1462" s="1737"/>
    </row>
    <row r="1463" spans="1:42" s="85" customFormat="1" ht="13.5" thickBot="1">
      <c r="A1463" s="240"/>
      <c r="B1463" s="241"/>
      <c r="C1463" s="242"/>
      <c r="D1463" s="242"/>
      <c r="E1463" s="243"/>
      <c r="F1463" s="244"/>
      <c r="G1463" s="244"/>
      <c r="H1463" s="243"/>
      <c r="I1463" s="258"/>
      <c r="J1463" s="245"/>
      <c r="K1463" s="245"/>
      <c r="L1463" s="76">
        <f t="shared" si="220"/>
        <v>0</v>
      </c>
      <c r="M1463" s="246"/>
      <c r="N1463" s="247"/>
      <c r="O1463" s="248"/>
      <c r="P1463" s="246"/>
      <c r="Q1463" s="249"/>
      <c r="R1463" s="250"/>
      <c r="S1463" s="259"/>
      <c r="T1463" s="260"/>
      <c r="U1463" s="250"/>
      <c r="V1463" s="78">
        <f t="shared" si="221"/>
        <v>0</v>
      </c>
      <c r="W1463" s="261">
        <f t="shared" si="222"/>
        <v>0</v>
      </c>
      <c r="X1463" s="133">
        <f t="shared" si="223"/>
        <v>0</v>
      </c>
      <c r="Y1463" s="251"/>
      <c r="Z1463" s="1736"/>
      <c r="AA1463" s="1737"/>
      <c r="AB1463" s="77">
        <f t="shared" si="224"/>
        <v>0</v>
      </c>
      <c r="AC1463" s="134">
        <f t="shared" si="225"/>
        <v>0</v>
      </c>
      <c r="AD1463" s="251"/>
      <c r="AE1463" s="1736"/>
      <c r="AF1463" s="1737"/>
      <c r="AG1463" s="77">
        <f t="shared" si="226"/>
        <v>0</v>
      </c>
      <c r="AH1463" s="136">
        <f t="shared" si="227"/>
        <v>0</v>
      </c>
      <c r="AI1463" s="251"/>
      <c r="AJ1463" s="1736"/>
      <c r="AK1463" s="1737"/>
      <c r="AL1463" s="79">
        <f t="shared" si="228"/>
        <v>0</v>
      </c>
      <c r="AM1463" s="137">
        <f t="shared" si="229"/>
        <v>0</v>
      </c>
      <c r="AN1463" s="251"/>
      <c r="AO1463" s="1736"/>
      <c r="AP1463" s="1737"/>
    </row>
    <row r="1464" spans="1:42" s="85" customFormat="1" ht="13.5" thickBot="1">
      <c r="A1464" s="240"/>
      <c r="B1464" s="241"/>
      <c r="C1464" s="242"/>
      <c r="D1464" s="242"/>
      <c r="E1464" s="243"/>
      <c r="F1464" s="244"/>
      <c r="G1464" s="244"/>
      <c r="H1464" s="243"/>
      <c r="I1464" s="258"/>
      <c r="J1464" s="245"/>
      <c r="K1464" s="245"/>
      <c r="L1464" s="76">
        <f t="shared" si="220"/>
        <v>0</v>
      </c>
      <c r="M1464" s="246"/>
      <c r="N1464" s="247"/>
      <c r="O1464" s="248"/>
      <c r="P1464" s="246"/>
      <c r="Q1464" s="249"/>
      <c r="R1464" s="250"/>
      <c r="S1464" s="259"/>
      <c r="T1464" s="260"/>
      <c r="U1464" s="250"/>
      <c r="V1464" s="78">
        <f t="shared" si="221"/>
        <v>0</v>
      </c>
      <c r="W1464" s="261">
        <f t="shared" si="222"/>
        <v>0</v>
      </c>
      <c r="X1464" s="133">
        <f t="shared" si="223"/>
        <v>0</v>
      </c>
      <c r="Y1464" s="251"/>
      <c r="Z1464" s="1736"/>
      <c r="AA1464" s="1737"/>
      <c r="AB1464" s="77">
        <f t="shared" si="224"/>
        <v>0</v>
      </c>
      <c r="AC1464" s="134">
        <f t="shared" si="225"/>
        <v>0</v>
      </c>
      <c r="AD1464" s="251"/>
      <c r="AE1464" s="1736"/>
      <c r="AF1464" s="1737"/>
      <c r="AG1464" s="77">
        <f t="shared" si="226"/>
        <v>0</v>
      </c>
      <c r="AH1464" s="136">
        <f t="shared" si="227"/>
        <v>0</v>
      </c>
      <c r="AI1464" s="251"/>
      <c r="AJ1464" s="1736"/>
      <c r="AK1464" s="1737"/>
      <c r="AL1464" s="79">
        <f t="shared" si="228"/>
        <v>0</v>
      </c>
      <c r="AM1464" s="137">
        <f t="shared" si="229"/>
        <v>0</v>
      </c>
      <c r="AN1464" s="251"/>
      <c r="AO1464" s="1736"/>
      <c r="AP1464" s="1737"/>
    </row>
    <row r="1465" spans="1:42" s="85" customFormat="1" ht="13.5" thickBot="1">
      <c r="A1465" s="240"/>
      <c r="B1465" s="241"/>
      <c r="C1465" s="242"/>
      <c r="D1465" s="242"/>
      <c r="E1465" s="243"/>
      <c r="F1465" s="244"/>
      <c r="G1465" s="244"/>
      <c r="H1465" s="243"/>
      <c r="I1465" s="258"/>
      <c r="J1465" s="245"/>
      <c r="K1465" s="245"/>
      <c r="L1465" s="76">
        <f t="shared" si="220"/>
        <v>0</v>
      </c>
      <c r="M1465" s="246"/>
      <c r="N1465" s="247"/>
      <c r="O1465" s="248"/>
      <c r="P1465" s="246"/>
      <c r="Q1465" s="249"/>
      <c r="R1465" s="250"/>
      <c r="S1465" s="259"/>
      <c r="T1465" s="260"/>
      <c r="U1465" s="250"/>
      <c r="V1465" s="78">
        <f t="shared" si="221"/>
        <v>0</v>
      </c>
      <c r="W1465" s="261">
        <f t="shared" si="222"/>
        <v>0</v>
      </c>
      <c r="X1465" s="133">
        <f t="shared" si="223"/>
        <v>0</v>
      </c>
      <c r="Y1465" s="251"/>
      <c r="Z1465" s="1736"/>
      <c r="AA1465" s="1737"/>
      <c r="AB1465" s="77">
        <f t="shared" si="224"/>
        <v>0</v>
      </c>
      <c r="AC1465" s="134">
        <f t="shared" si="225"/>
        <v>0</v>
      </c>
      <c r="AD1465" s="251"/>
      <c r="AE1465" s="1736"/>
      <c r="AF1465" s="1737"/>
      <c r="AG1465" s="77">
        <f t="shared" si="226"/>
        <v>0</v>
      </c>
      <c r="AH1465" s="136">
        <f t="shared" si="227"/>
        <v>0</v>
      </c>
      <c r="AI1465" s="251"/>
      <c r="AJ1465" s="1736"/>
      <c r="AK1465" s="1737"/>
      <c r="AL1465" s="79">
        <f t="shared" si="228"/>
        <v>0</v>
      </c>
      <c r="AM1465" s="137">
        <f t="shared" si="229"/>
        <v>0</v>
      </c>
      <c r="AN1465" s="251"/>
      <c r="AO1465" s="1736"/>
      <c r="AP1465" s="1737"/>
    </row>
    <row r="1466" spans="1:42" s="85" customFormat="1" ht="13.5" thickBot="1">
      <c r="A1466" s="240"/>
      <c r="B1466" s="241"/>
      <c r="C1466" s="242"/>
      <c r="D1466" s="242"/>
      <c r="E1466" s="243"/>
      <c r="F1466" s="244"/>
      <c r="G1466" s="244"/>
      <c r="H1466" s="243"/>
      <c r="I1466" s="258"/>
      <c r="J1466" s="245"/>
      <c r="K1466" s="245"/>
      <c r="L1466" s="76">
        <f t="shared" si="220"/>
        <v>0</v>
      </c>
      <c r="M1466" s="246"/>
      <c r="N1466" s="247"/>
      <c r="O1466" s="248"/>
      <c r="P1466" s="246"/>
      <c r="Q1466" s="249"/>
      <c r="R1466" s="250"/>
      <c r="S1466" s="259"/>
      <c r="T1466" s="260"/>
      <c r="U1466" s="250"/>
      <c r="V1466" s="78">
        <f t="shared" si="221"/>
        <v>0</v>
      </c>
      <c r="W1466" s="261">
        <f t="shared" si="222"/>
        <v>0</v>
      </c>
      <c r="X1466" s="133">
        <f t="shared" si="223"/>
        <v>0</v>
      </c>
      <c r="Y1466" s="251"/>
      <c r="Z1466" s="1736"/>
      <c r="AA1466" s="1737"/>
      <c r="AB1466" s="77">
        <f t="shared" si="224"/>
        <v>0</v>
      </c>
      <c r="AC1466" s="134">
        <f t="shared" si="225"/>
        <v>0</v>
      </c>
      <c r="AD1466" s="251"/>
      <c r="AE1466" s="1736"/>
      <c r="AF1466" s="1737"/>
      <c r="AG1466" s="77">
        <f t="shared" si="226"/>
        <v>0</v>
      </c>
      <c r="AH1466" s="136">
        <f t="shared" si="227"/>
        <v>0</v>
      </c>
      <c r="AI1466" s="251"/>
      <c r="AJ1466" s="1736"/>
      <c r="AK1466" s="1737"/>
      <c r="AL1466" s="79">
        <f t="shared" si="228"/>
        <v>0</v>
      </c>
      <c r="AM1466" s="137">
        <f t="shared" si="229"/>
        <v>0</v>
      </c>
      <c r="AN1466" s="251"/>
      <c r="AO1466" s="1736"/>
      <c r="AP1466" s="1737"/>
    </row>
    <row r="1467" spans="1:42" s="85" customFormat="1" ht="13.5" thickBot="1">
      <c r="A1467" s="240"/>
      <c r="B1467" s="241"/>
      <c r="C1467" s="242"/>
      <c r="D1467" s="242"/>
      <c r="E1467" s="243"/>
      <c r="F1467" s="244"/>
      <c r="G1467" s="244"/>
      <c r="H1467" s="243"/>
      <c r="I1467" s="258"/>
      <c r="J1467" s="245"/>
      <c r="K1467" s="245"/>
      <c r="L1467" s="76">
        <f t="shared" si="220"/>
        <v>0</v>
      </c>
      <c r="M1467" s="246"/>
      <c r="N1467" s="247"/>
      <c r="O1467" s="248"/>
      <c r="P1467" s="246"/>
      <c r="Q1467" s="249"/>
      <c r="R1467" s="250"/>
      <c r="S1467" s="259"/>
      <c r="T1467" s="260"/>
      <c r="U1467" s="250"/>
      <c r="V1467" s="78">
        <f t="shared" si="221"/>
        <v>0</v>
      </c>
      <c r="W1467" s="261">
        <f t="shared" si="222"/>
        <v>0</v>
      </c>
      <c r="X1467" s="133">
        <f t="shared" si="223"/>
        <v>0</v>
      </c>
      <c r="Y1467" s="251"/>
      <c r="Z1467" s="1736"/>
      <c r="AA1467" s="1737"/>
      <c r="AB1467" s="77">
        <f t="shared" si="224"/>
        <v>0</v>
      </c>
      <c r="AC1467" s="134">
        <f t="shared" si="225"/>
        <v>0</v>
      </c>
      <c r="AD1467" s="251"/>
      <c r="AE1467" s="1736"/>
      <c r="AF1467" s="1737"/>
      <c r="AG1467" s="77">
        <f t="shared" si="226"/>
        <v>0</v>
      </c>
      <c r="AH1467" s="136">
        <f t="shared" si="227"/>
        <v>0</v>
      </c>
      <c r="AI1467" s="251"/>
      <c r="AJ1467" s="1736"/>
      <c r="AK1467" s="1737"/>
      <c r="AL1467" s="79">
        <f t="shared" si="228"/>
        <v>0</v>
      </c>
      <c r="AM1467" s="137">
        <f t="shared" si="229"/>
        <v>0</v>
      </c>
      <c r="AN1467" s="251"/>
      <c r="AO1467" s="1736"/>
      <c r="AP1467" s="1737"/>
    </row>
    <row r="1468" spans="1:42" s="85" customFormat="1" ht="13.5" thickBot="1">
      <c r="A1468" s="240"/>
      <c r="B1468" s="241"/>
      <c r="C1468" s="242"/>
      <c r="D1468" s="242"/>
      <c r="E1468" s="243"/>
      <c r="F1468" s="244"/>
      <c r="G1468" s="244"/>
      <c r="H1468" s="243"/>
      <c r="I1468" s="258"/>
      <c r="J1468" s="245"/>
      <c r="K1468" s="245"/>
      <c r="L1468" s="76">
        <f t="shared" si="220"/>
        <v>0</v>
      </c>
      <c r="M1468" s="246"/>
      <c r="N1468" s="247"/>
      <c r="O1468" s="248"/>
      <c r="P1468" s="246"/>
      <c r="Q1468" s="249"/>
      <c r="R1468" s="250"/>
      <c r="S1468" s="259"/>
      <c r="T1468" s="260"/>
      <c r="U1468" s="250"/>
      <c r="V1468" s="78">
        <f t="shared" si="221"/>
        <v>0</v>
      </c>
      <c r="W1468" s="261">
        <f t="shared" si="222"/>
        <v>0</v>
      </c>
      <c r="X1468" s="133">
        <f t="shared" si="223"/>
        <v>0</v>
      </c>
      <c r="Y1468" s="251"/>
      <c r="Z1468" s="1736"/>
      <c r="AA1468" s="1737"/>
      <c r="AB1468" s="77">
        <f t="shared" si="224"/>
        <v>0</v>
      </c>
      <c r="AC1468" s="134">
        <f t="shared" si="225"/>
        <v>0</v>
      </c>
      <c r="AD1468" s="251"/>
      <c r="AE1468" s="1736"/>
      <c r="AF1468" s="1737"/>
      <c r="AG1468" s="77">
        <f t="shared" si="226"/>
        <v>0</v>
      </c>
      <c r="AH1468" s="136">
        <f t="shared" si="227"/>
        <v>0</v>
      </c>
      <c r="AI1468" s="251"/>
      <c r="AJ1468" s="1736"/>
      <c r="AK1468" s="1737"/>
      <c r="AL1468" s="79">
        <f t="shared" si="228"/>
        <v>0</v>
      </c>
      <c r="AM1468" s="137">
        <f t="shared" si="229"/>
        <v>0</v>
      </c>
      <c r="AN1468" s="251"/>
      <c r="AO1468" s="1736"/>
      <c r="AP1468" s="1737"/>
    </row>
    <row r="1469" spans="1:42" s="85" customFormat="1" ht="13.5" thickBot="1">
      <c r="A1469" s="240"/>
      <c r="B1469" s="241"/>
      <c r="C1469" s="242"/>
      <c r="D1469" s="242"/>
      <c r="E1469" s="243"/>
      <c r="F1469" s="244"/>
      <c r="G1469" s="244"/>
      <c r="H1469" s="243"/>
      <c r="I1469" s="258"/>
      <c r="J1469" s="245"/>
      <c r="K1469" s="245"/>
      <c r="L1469" s="76">
        <f t="shared" si="220"/>
        <v>0</v>
      </c>
      <c r="M1469" s="246"/>
      <c r="N1469" s="247"/>
      <c r="O1469" s="248"/>
      <c r="P1469" s="246"/>
      <c r="Q1469" s="249"/>
      <c r="R1469" s="250"/>
      <c r="S1469" s="259"/>
      <c r="T1469" s="260"/>
      <c r="U1469" s="250"/>
      <c r="V1469" s="78">
        <f t="shared" si="221"/>
        <v>0</v>
      </c>
      <c r="W1469" s="261">
        <f t="shared" si="222"/>
        <v>0</v>
      </c>
      <c r="X1469" s="133">
        <f t="shared" si="223"/>
        <v>0</v>
      </c>
      <c r="Y1469" s="251"/>
      <c r="Z1469" s="1736"/>
      <c r="AA1469" s="1737"/>
      <c r="AB1469" s="77">
        <f t="shared" si="224"/>
        <v>0</v>
      </c>
      <c r="AC1469" s="134">
        <f t="shared" si="225"/>
        <v>0</v>
      </c>
      <c r="AD1469" s="251"/>
      <c r="AE1469" s="1736"/>
      <c r="AF1469" s="1737"/>
      <c r="AG1469" s="77">
        <f t="shared" si="226"/>
        <v>0</v>
      </c>
      <c r="AH1469" s="136">
        <f t="shared" si="227"/>
        <v>0</v>
      </c>
      <c r="AI1469" s="251"/>
      <c r="AJ1469" s="1736"/>
      <c r="AK1469" s="1737"/>
      <c r="AL1469" s="79">
        <f t="shared" si="228"/>
        <v>0</v>
      </c>
      <c r="AM1469" s="137">
        <f t="shared" si="229"/>
        <v>0</v>
      </c>
      <c r="AN1469" s="251"/>
      <c r="AO1469" s="1736"/>
      <c r="AP1469" s="1737"/>
    </row>
    <row r="1470" spans="1:42" s="85" customFormat="1" ht="13.5" thickBot="1">
      <c r="A1470" s="240"/>
      <c r="B1470" s="241"/>
      <c r="C1470" s="242"/>
      <c r="D1470" s="242"/>
      <c r="E1470" s="243"/>
      <c r="F1470" s="244"/>
      <c r="G1470" s="244"/>
      <c r="H1470" s="243"/>
      <c r="I1470" s="258"/>
      <c r="J1470" s="245"/>
      <c r="K1470" s="245"/>
      <c r="L1470" s="76">
        <f t="shared" si="220"/>
        <v>0</v>
      </c>
      <c r="M1470" s="246"/>
      <c r="N1470" s="247"/>
      <c r="O1470" s="248"/>
      <c r="P1470" s="246"/>
      <c r="Q1470" s="249"/>
      <c r="R1470" s="250"/>
      <c r="S1470" s="259"/>
      <c r="T1470" s="260"/>
      <c r="U1470" s="250"/>
      <c r="V1470" s="78">
        <f t="shared" si="221"/>
        <v>0</v>
      </c>
      <c r="W1470" s="261">
        <f t="shared" si="222"/>
        <v>0</v>
      </c>
      <c r="X1470" s="133">
        <f t="shared" si="223"/>
        <v>0</v>
      </c>
      <c r="Y1470" s="251"/>
      <c r="Z1470" s="1736"/>
      <c r="AA1470" s="1737"/>
      <c r="AB1470" s="77">
        <f t="shared" si="224"/>
        <v>0</v>
      </c>
      <c r="AC1470" s="134">
        <f t="shared" si="225"/>
        <v>0</v>
      </c>
      <c r="AD1470" s="251"/>
      <c r="AE1470" s="1736"/>
      <c r="AF1470" s="1737"/>
      <c r="AG1470" s="77">
        <f t="shared" si="226"/>
        <v>0</v>
      </c>
      <c r="AH1470" s="136">
        <f t="shared" si="227"/>
        <v>0</v>
      </c>
      <c r="AI1470" s="251"/>
      <c r="AJ1470" s="1736"/>
      <c r="AK1470" s="1737"/>
      <c r="AL1470" s="79">
        <f t="shared" si="228"/>
        <v>0</v>
      </c>
      <c r="AM1470" s="137">
        <f t="shared" si="229"/>
        <v>0</v>
      </c>
      <c r="AN1470" s="251"/>
      <c r="AO1470" s="1736"/>
      <c r="AP1470" s="1737"/>
    </row>
    <row r="1471" spans="1:42" s="85" customFormat="1" ht="13.5" thickBot="1">
      <c r="A1471" s="240"/>
      <c r="B1471" s="241"/>
      <c r="C1471" s="242"/>
      <c r="D1471" s="242"/>
      <c r="E1471" s="243"/>
      <c r="F1471" s="244"/>
      <c r="G1471" s="244"/>
      <c r="H1471" s="243"/>
      <c r="I1471" s="258"/>
      <c r="J1471" s="245"/>
      <c r="K1471" s="245"/>
      <c r="L1471" s="76">
        <f t="shared" si="220"/>
        <v>0</v>
      </c>
      <c r="M1471" s="246"/>
      <c r="N1471" s="247"/>
      <c r="O1471" s="248"/>
      <c r="P1471" s="246"/>
      <c r="Q1471" s="249"/>
      <c r="R1471" s="250"/>
      <c r="S1471" s="259"/>
      <c r="T1471" s="260"/>
      <c r="U1471" s="250"/>
      <c r="V1471" s="78">
        <f t="shared" si="221"/>
        <v>0</v>
      </c>
      <c r="W1471" s="261">
        <f t="shared" si="222"/>
        <v>0</v>
      </c>
      <c r="X1471" s="133">
        <f t="shared" si="223"/>
        <v>0</v>
      </c>
      <c r="Y1471" s="251"/>
      <c r="Z1471" s="1736"/>
      <c r="AA1471" s="1737"/>
      <c r="AB1471" s="77">
        <f t="shared" si="224"/>
        <v>0</v>
      </c>
      <c r="AC1471" s="134">
        <f t="shared" si="225"/>
        <v>0</v>
      </c>
      <c r="AD1471" s="251"/>
      <c r="AE1471" s="1736"/>
      <c r="AF1471" s="1737"/>
      <c r="AG1471" s="77">
        <f t="shared" si="226"/>
        <v>0</v>
      </c>
      <c r="AH1471" s="136">
        <f t="shared" si="227"/>
        <v>0</v>
      </c>
      <c r="AI1471" s="251"/>
      <c r="AJ1471" s="1736"/>
      <c r="AK1471" s="1737"/>
      <c r="AL1471" s="79">
        <f t="shared" si="228"/>
        <v>0</v>
      </c>
      <c r="AM1471" s="137">
        <f t="shared" si="229"/>
        <v>0</v>
      </c>
      <c r="AN1471" s="251"/>
      <c r="AO1471" s="1736"/>
      <c r="AP1471" s="1737"/>
    </row>
    <row r="1472" spans="1:42" s="85" customFormat="1" ht="13.5" thickBot="1">
      <c r="A1472" s="240"/>
      <c r="B1472" s="241"/>
      <c r="C1472" s="242"/>
      <c r="D1472" s="242"/>
      <c r="E1472" s="243"/>
      <c r="F1472" s="244"/>
      <c r="G1472" s="244"/>
      <c r="H1472" s="243"/>
      <c r="I1472" s="258"/>
      <c r="J1472" s="245"/>
      <c r="K1472" s="245"/>
      <c r="L1472" s="76">
        <f t="shared" si="220"/>
        <v>0</v>
      </c>
      <c r="M1472" s="246"/>
      <c r="N1472" s="247"/>
      <c r="O1472" s="248"/>
      <c r="P1472" s="246"/>
      <c r="Q1472" s="249"/>
      <c r="R1472" s="250"/>
      <c r="S1472" s="259"/>
      <c r="T1472" s="260"/>
      <c r="U1472" s="250"/>
      <c r="V1472" s="78">
        <f t="shared" si="221"/>
        <v>0</v>
      </c>
      <c r="W1472" s="261">
        <f t="shared" si="222"/>
        <v>0</v>
      </c>
      <c r="X1472" s="133">
        <f t="shared" si="223"/>
        <v>0</v>
      </c>
      <c r="Y1472" s="251"/>
      <c r="Z1472" s="1736"/>
      <c r="AA1472" s="1737"/>
      <c r="AB1472" s="77">
        <f t="shared" si="224"/>
        <v>0</v>
      </c>
      <c r="AC1472" s="134">
        <f t="shared" si="225"/>
        <v>0</v>
      </c>
      <c r="AD1472" s="251"/>
      <c r="AE1472" s="1736"/>
      <c r="AF1472" s="1737"/>
      <c r="AG1472" s="77">
        <f t="shared" si="226"/>
        <v>0</v>
      </c>
      <c r="AH1472" s="136">
        <f t="shared" si="227"/>
        <v>0</v>
      </c>
      <c r="AI1472" s="251"/>
      <c r="AJ1472" s="1736"/>
      <c r="AK1472" s="1737"/>
      <c r="AL1472" s="79">
        <f t="shared" si="228"/>
        <v>0</v>
      </c>
      <c r="AM1472" s="137">
        <f t="shared" si="229"/>
        <v>0</v>
      </c>
      <c r="AN1472" s="251"/>
      <c r="AO1472" s="1736"/>
      <c r="AP1472" s="1737"/>
    </row>
    <row r="1473" spans="1:42" s="85" customFormat="1" ht="13.5" thickBot="1">
      <c r="A1473" s="240"/>
      <c r="B1473" s="241"/>
      <c r="C1473" s="242"/>
      <c r="D1473" s="242"/>
      <c r="E1473" s="243"/>
      <c r="F1473" s="244"/>
      <c r="G1473" s="244"/>
      <c r="H1473" s="243"/>
      <c r="I1473" s="258"/>
      <c r="J1473" s="245"/>
      <c r="K1473" s="245"/>
      <c r="L1473" s="76">
        <f t="shared" si="220"/>
        <v>0</v>
      </c>
      <c r="M1473" s="246"/>
      <c r="N1473" s="247"/>
      <c r="O1473" s="248"/>
      <c r="P1473" s="246"/>
      <c r="Q1473" s="249"/>
      <c r="R1473" s="250"/>
      <c r="S1473" s="259"/>
      <c r="T1473" s="260"/>
      <c r="U1473" s="250"/>
      <c r="V1473" s="78">
        <f t="shared" si="221"/>
        <v>0</v>
      </c>
      <c r="W1473" s="261">
        <f t="shared" si="222"/>
        <v>0</v>
      </c>
      <c r="X1473" s="133">
        <f t="shared" si="223"/>
        <v>0</v>
      </c>
      <c r="Y1473" s="251"/>
      <c r="Z1473" s="1736"/>
      <c r="AA1473" s="1737"/>
      <c r="AB1473" s="77">
        <f t="shared" si="224"/>
        <v>0</v>
      </c>
      <c r="AC1473" s="134">
        <f t="shared" si="225"/>
        <v>0</v>
      </c>
      <c r="AD1473" s="251"/>
      <c r="AE1473" s="1736"/>
      <c r="AF1473" s="1737"/>
      <c r="AG1473" s="77">
        <f t="shared" si="226"/>
        <v>0</v>
      </c>
      <c r="AH1473" s="136">
        <f t="shared" si="227"/>
        <v>0</v>
      </c>
      <c r="AI1473" s="251"/>
      <c r="AJ1473" s="1736"/>
      <c r="AK1473" s="1737"/>
      <c r="AL1473" s="79">
        <f t="shared" si="228"/>
        <v>0</v>
      </c>
      <c r="AM1473" s="137">
        <f t="shared" si="229"/>
        <v>0</v>
      </c>
      <c r="AN1473" s="251"/>
      <c r="AO1473" s="1736"/>
      <c r="AP1473" s="1737"/>
    </row>
    <row r="1474" spans="1:42" s="85" customFormat="1" ht="13.5" thickBot="1">
      <c r="A1474" s="240"/>
      <c r="B1474" s="241"/>
      <c r="C1474" s="242"/>
      <c r="D1474" s="242"/>
      <c r="E1474" s="243"/>
      <c r="F1474" s="244"/>
      <c r="G1474" s="244"/>
      <c r="H1474" s="243"/>
      <c r="I1474" s="258"/>
      <c r="J1474" s="245"/>
      <c r="K1474" s="245"/>
      <c r="L1474" s="76">
        <f t="shared" si="220"/>
        <v>0</v>
      </c>
      <c r="M1474" s="246"/>
      <c r="N1474" s="247"/>
      <c r="O1474" s="248"/>
      <c r="P1474" s="246"/>
      <c r="Q1474" s="249"/>
      <c r="R1474" s="250"/>
      <c r="S1474" s="259"/>
      <c r="T1474" s="260"/>
      <c r="U1474" s="250"/>
      <c r="V1474" s="78">
        <f t="shared" si="221"/>
        <v>0</v>
      </c>
      <c r="W1474" s="261">
        <f t="shared" si="222"/>
        <v>0</v>
      </c>
      <c r="X1474" s="133">
        <f t="shared" si="223"/>
        <v>0</v>
      </c>
      <c r="Y1474" s="251"/>
      <c r="Z1474" s="1736"/>
      <c r="AA1474" s="1737"/>
      <c r="AB1474" s="77">
        <f t="shared" si="224"/>
        <v>0</v>
      </c>
      <c r="AC1474" s="134">
        <f t="shared" si="225"/>
        <v>0</v>
      </c>
      <c r="AD1474" s="251"/>
      <c r="AE1474" s="1736"/>
      <c r="AF1474" s="1737"/>
      <c r="AG1474" s="77">
        <f t="shared" si="226"/>
        <v>0</v>
      </c>
      <c r="AH1474" s="136">
        <f t="shared" si="227"/>
        <v>0</v>
      </c>
      <c r="AI1474" s="251"/>
      <c r="AJ1474" s="1736"/>
      <c r="AK1474" s="1737"/>
      <c r="AL1474" s="79">
        <f t="shared" si="228"/>
        <v>0</v>
      </c>
      <c r="AM1474" s="137">
        <f t="shared" si="229"/>
        <v>0</v>
      </c>
      <c r="AN1474" s="251"/>
      <c r="AO1474" s="1736"/>
      <c r="AP1474" s="1737"/>
    </row>
    <row r="1475" spans="1:42" s="85" customFormat="1" ht="13.5" thickBot="1">
      <c r="A1475" s="240"/>
      <c r="B1475" s="241"/>
      <c r="C1475" s="242"/>
      <c r="D1475" s="242"/>
      <c r="E1475" s="243"/>
      <c r="F1475" s="244"/>
      <c r="G1475" s="244"/>
      <c r="H1475" s="243"/>
      <c r="I1475" s="258"/>
      <c r="J1475" s="245"/>
      <c r="K1475" s="245"/>
      <c r="L1475" s="76">
        <f t="shared" si="220"/>
        <v>0</v>
      </c>
      <c r="M1475" s="246"/>
      <c r="N1475" s="247"/>
      <c r="O1475" s="248"/>
      <c r="P1475" s="246"/>
      <c r="Q1475" s="249"/>
      <c r="R1475" s="250"/>
      <c r="S1475" s="259"/>
      <c r="T1475" s="260"/>
      <c r="U1475" s="250"/>
      <c r="V1475" s="78">
        <f t="shared" si="221"/>
        <v>0</v>
      </c>
      <c r="W1475" s="261">
        <f t="shared" si="222"/>
        <v>0</v>
      </c>
      <c r="X1475" s="133">
        <f t="shared" si="223"/>
        <v>0</v>
      </c>
      <c r="Y1475" s="251"/>
      <c r="Z1475" s="1736"/>
      <c r="AA1475" s="1737"/>
      <c r="AB1475" s="77">
        <f t="shared" si="224"/>
        <v>0</v>
      </c>
      <c r="AC1475" s="134">
        <f t="shared" si="225"/>
        <v>0</v>
      </c>
      <c r="AD1475" s="251"/>
      <c r="AE1475" s="1736"/>
      <c r="AF1475" s="1737"/>
      <c r="AG1475" s="77">
        <f t="shared" si="226"/>
        <v>0</v>
      </c>
      <c r="AH1475" s="136">
        <f t="shared" si="227"/>
        <v>0</v>
      </c>
      <c r="AI1475" s="251"/>
      <c r="AJ1475" s="1736"/>
      <c r="AK1475" s="1737"/>
      <c r="AL1475" s="79">
        <f t="shared" si="228"/>
        <v>0</v>
      </c>
      <c r="AM1475" s="137">
        <f t="shared" si="229"/>
        <v>0</v>
      </c>
      <c r="AN1475" s="251"/>
      <c r="AO1475" s="1736"/>
      <c r="AP1475" s="1737"/>
    </row>
    <row r="1476" spans="1:42" s="85" customFormat="1" ht="13.5" thickBot="1">
      <c r="A1476" s="240"/>
      <c r="B1476" s="241"/>
      <c r="C1476" s="242"/>
      <c r="D1476" s="242"/>
      <c r="E1476" s="243"/>
      <c r="F1476" s="244"/>
      <c r="G1476" s="244"/>
      <c r="H1476" s="243"/>
      <c r="I1476" s="258"/>
      <c r="J1476" s="245"/>
      <c r="K1476" s="245"/>
      <c r="L1476" s="76">
        <f t="shared" si="220"/>
        <v>0</v>
      </c>
      <c r="M1476" s="246"/>
      <c r="N1476" s="247"/>
      <c r="O1476" s="248"/>
      <c r="P1476" s="246"/>
      <c r="Q1476" s="249"/>
      <c r="R1476" s="250"/>
      <c r="S1476" s="259"/>
      <c r="T1476" s="260"/>
      <c r="U1476" s="250"/>
      <c r="V1476" s="78">
        <f t="shared" si="221"/>
        <v>0</v>
      </c>
      <c r="W1476" s="261">
        <f t="shared" si="222"/>
        <v>0</v>
      </c>
      <c r="X1476" s="133">
        <f t="shared" si="223"/>
        <v>0</v>
      </c>
      <c r="Y1476" s="251"/>
      <c r="Z1476" s="1736"/>
      <c r="AA1476" s="1737"/>
      <c r="AB1476" s="77">
        <f t="shared" si="224"/>
        <v>0</v>
      </c>
      <c r="AC1476" s="134">
        <f t="shared" si="225"/>
        <v>0</v>
      </c>
      <c r="AD1476" s="251"/>
      <c r="AE1476" s="1736"/>
      <c r="AF1476" s="1737"/>
      <c r="AG1476" s="77">
        <f t="shared" si="226"/>
        <v>0</v>
      </c>
      <c r="AH1476" s="136">
        <f t="shared" si="227"/>
        <v>0</v>
      </c>
      <c r="AI1476" s="251"/>
      <c r="AJ1476" s="1736"/>
      <c r="AK1476" s="1737"/>
      <c r="AL1476" s="79">
        <f t="shared" si="228"/>
        <v>0</v>
      </c>
      <c r="AM1476" s="137">
        <f t="shared" si="229"/>
        <v>0</v>
      </c>
      <c r="AN1476" s="251"/>
      <c r="AO1476" s="1736"/>
      <c r="AP1476" s="1737"/>
    </row>
    <row r="1477" spans="1:42" s="85" customFormat="1" ht="13.5" thickBot="1">
      <c r="A1477" s="240"/>
      <c r="B1477" s="241"/>
      <c r="C1477" s="242"/>
      <c r="D1477" s="242"/>
      <c r="E1477" s="243"/>
      <c r="F1477" s="244"/>
      <c r="G1477" s="244"/>
      <c r="H1477" s="243"/>
      <c r="I1477" s="258"/>
      <c r="J1477" s="245"/>
      <c r="K1477" s="245"/>
      <c r="L1477" s="76">
        <f t="shared" si="220"/>
        <v>0</v>
      </c>
      <c r="M1477" s="246"/>
      <c r="N1477" s="247"/>
      <c r="O1477" s="248"/>
      <c r="P1477" s="246"/>
      <c r="Q1477" s="249"/>
      <c r="R1477" s="250"/>
      <c r="S1477" s="259"/>
      <c r="T1477" s="260"/>
      <c r="U1477" s="250"/>
      <c r="V1477" s="78">
        <f t="shared" si="221"/>
        <v>0</v>
      </c>
      <c r="W1477" s="261">
        <f t="shared" si="222"/>
        <v>0</v>
      </c>
      <c r="X1477" s="133">
        <f t="shared" si="223"/>
        <v>0</v>
      </c>
      <c r="Y1477" s="251"/>
      <c r="Z1477" s="1736"/>
      <c r="AA1477" s="1737"/>
      <c r="AB1477" s="77">
        <f t="shared" si="224"/>
        <v>0</v>
      </c>
      <c r="AC1477" s="134">
        <f t="shared" si="225"/>
        <v>0</v>
      </c>
      <c r="AD1477" s="251"/>
      <c r="AE1477" s="1736"/>
      <c r="AF1477" s="1737"/>
      <c r="AG1477" s="77">
        <f t="shared" si="226"/>
        <v>0</v>
      </c>
      <c r="AH1477" s="136">
        <f t="shared" si="227"/>
        <v>0</v>
      </c>
      <c r="AI1477" s="251"/>
      <c r="AJ1477" s="1736"/>
      <c r="AK1477" s="1737"/>
      <c r="AL1477" s="79">
        <f t="shared" si="228"/>
        <v>0</v>
      </c>
      <c r="AM1477" s="137">
        <f t="shared" si="229"/>
        <v>0</v>
      </c>
      <c r="AN1477" s="251"/>
      <c r="AO1477" s="1736"/>
      <c r="AP1477" s="1737"/>
    </row>
    <row r="1478" spans="1:42" s="85" customFormat="1" ht="13.5" thickBot="1">
      <c r="A1478" s="240"/>
      <c r="B1478" s="241"/>
      <c r="C1478" s="242"/>
      <c r="D1478" s="242"/>
      <c r="E1478" s="243"/>
      <c r="F1478" s="244"/>
      <c r="G1478" s="244"/>
      <c r="H1478" s="243"/>
      <c r="I1478" s="258"/>
      <c r="J1478" s="245"/>
      <c r="K1478" s="245"/>
      <c r="L1478" s="76">
        <f t="shared" si="220"/>
        <v>0</v>
      </c>
      <c r="M1478" s="246"/>
      <c r="N1478" s="247"/>
      <c r="O1478" s="248"/>
      <c r="P1478" s="246"/>
      <c r="Q1478" s="249"/>
      <c r="R1478" s="250"/>
      <c r="S1478" s="259"/>
      <c r="T1478" s="260"/>
      <c r="U1478" s="250"/>
      <c r="V1478" s="78">
        <f t="shared" si="221"/>
        <v>0</v>
      </c>
      <c r="W1478" s="261">
        <f t="shared" si="222"/>
        <v>0</v>
      </c>
      <c r="X1478" s="133">
        <f t="shared" si="223"/>
        <v>0</v>
      </c>
      <c r="Y1478" s="251"/>
      <c r="Z1478" s="1736"/>
      <c r="AA1478" s="1737"/>
      <c r="AB1478" s="77">
        <f t="shared" si="224"/>
        <v>0</v>
      </c>
      <c r="AC1478" s="134">
        <f t="shared" si="225"/>
        <v>0</v>
      </c>
      <c r="AD1478" s="251"/>
      <c r="AE1478" s="1736"/>
      <c r="AF1478" s="1737"/>
      <c r="AG1478" s="77">
        <f t="shared" si="226"/>
        <v>0</v>
      </c>
      <c r="AH1478" s="136">
        <f t="shared" si="227"/>
        <v>0</v>
      </c>
      <c r="AI1478" s="251"/>
      <c r="AJ1478" s="1736"/>
      <c r="AK1478" s="1737"/>
      <c r="AL1478" s="79">
        <f t="shared" si="228"/>
        <v>0</v>
      </c>
      <c r="AM1478" s="137">
        <f t="shared" si="229"/>
        <v>0</v>
      </c>
      <c r="AN1478" s="251"/>
      <c r="AO1478" s="1736"/>
      <c r="AP1478" s="1737"/>
    </row>
    <row r="1479" spans="1:42" s="85" customFormat="1" ht="13.5" thickBot="1">
      <c r="A1479" s="240"/>
      <c r="B1479" s="241"/>
      <c r="C1479" s="242"/>
      <c r="D1479" s="242"/>
      <c r="E1479" s="243"/>
      <c r="F1479" s="244"/>
      <c r="G1479" s="244"/>
      <c r="H1479" s="243"/>
      <c r="I1479" s="258"/>
      <c r="J1479" s="245"/>
      <c r="K1479" s="245"/>
      <c r="L1479" s="76">
        <f t="shared" si="220"/>
        <v>0</v>
      </c>
      <c r="M1479" s="246"/>
      <c r="N1479" s="247"/>
      <c r="O1479" s="248"/>
      <c r="P1479" s="246"/>
      <c r="Q1479" s="249"/>
      <c r="R1479" s="250"/>
      <c r="S1479" s="259"/>
      <c r="T1479" s="260"/>
      <c r="U1479" s="250"/>
      <c r="V1479" s="78">
        <f t="shared" si="221"/>
        <v>0</v>
      </c>
      <c r="W1479" s="261">
        <f t="shared" si="222"/>
        <v>0</v>
      </c>
      <c r="X1479" s="133">
        <f t="shared" si="223"/>
        <v>0</v>
      </c>
      <c r="Y1479" s="251"/>
      <c r="Z1479" s="1736"/>
      <c r="AA1479" s="1737"/>
      <c r="AB1479" s="77">
        <f t="shared" si="224"/>
        <v>0</v>
      </c>
      <c r="AC1479" s="134">
        <f t="shared" si="225"/>
        <v>0</v>
      </c>
      <c r="AD1479" s="251"/>
      <c r="AE1479" s="1736"/>
      <c r="AF1479" s="1737"/>
      <c r="AG1479" s="77">
        <f t="shared" si="226"/>
        <v>0</v>
      </c>
      <c r="AH1479" s="136">
        <f t="shared" si="227"/>
        <v>0</v>
      </c>
      <c r="AI1479" s="251"/>
      <c r="AJ1479" s="1736"/>
      <c r="AK1479" s="1737"/>
      <c r="AL1479" s="79">
        <f t="shared" si="228"/>
        <v>0</v>
      </c>
      <c r="AM1479" s="137">
        <f t="shared" si="229"/>
        <v>0</v>
      </c>
      <c r="AN1479" s="251"/>
      <c r="AO1479" s="1736"/>
      <c r="AP1479" s="1737"/>
    </row>
    <row r="1480" spans="1:42" s="85" customFormat="1" ht="13.5" thickBot="1">
      <c r="A1480" s="240"/>
      <c r="B1480" s="241"/>
      <c r="C1480" s="242"/>
      <c r="D1480" s="242"/>
      <c r="E1480" s="243"/>
      <c r="F1480" s="244"/>
      <c r="G1480" s="244"/>
      <c r="H1480" s="243"/>
      <c r="I1480" s="258"/>
      <c r="J1480" s="245"/>
      <c r="K1480" s="245"/>
      <c r="L1480" s="76">
        <f t="shared" si="220"/>
        <v>0</v>
      </c>
      <c r="M1480" s="246"/>
      <c r="N1480" s="247"/>
      <c r="O1480" s="248"/>
      <c r="P1480" s="246"/>
      <c r="Q1480" s="249"/>
      <c r="R1480" s="250"/>
      <c r="S1480" s="259"/>
      <c r="T1480" s="260"/>
      <c r="U1480" s="250"/>
      <c r="V1480" s="78">
        <f t="shared" si="221"/>
        <v>0</v>
      </c>
      <c r="W1480" s="261">
        <f t="shared" si="222"/>
        <v>0</v>
      </c>
      <c r="X1480" s="133">
        <f t="shared" si="223"/>
        <v>0</v>
      </c>
      <c r="Y1480" s="251"/>
      <c r="Z1480" s="1736"/>
      <c r="AA1480" s="1737"/>
      <c r="AB1480" s="77">
        <f t="shared" si="224"/>
        <v>0</v>
      </c>
      <c r="AC1480" s="134">
        <f t="shared" si="225"/>
        <v>0</v>
      </c>
      <c r="AD1480" s="251"/>
      <c r="AE1480" s="1736"/>
      <c r="AF1480" s="1737"/>
      <c r="AG1480" s="77">
        <f t="shared" si="226"/>
        <v>0</v>
      </c>
      <c r="AH1480" s="136">
        <f t="shared" si="227"/>
        <v>0</v>
      </c>
      <c r="AI1480" s="251"/>
      <c r="AJ1480" s="1736"/>
      <c r="AK1480" s="1737"/>
      <c r="AL1480" s="79">
        <f t="shared" si="228"/>
        <v>0</v>
      </c>
      <c r="AM1480" s="137">
        <f t="shared" si="229"/>
        <v>0</v>
      </c>
      <c r="AN1480" s="251"/>
      <c r="AO1480" s="1736"/>
      <c r="AP1480" s="1737"/>
    </row>
    <row r="1481" spans="1:42" s="85" customFormat="1" ht="13.5" thickBot="1">
      <c r="A1481" s="240"/>
      <c r="B1481" s="241"/>
      <c r="C1481" s="242"/>
      <c r="D1481" s="242"/>
      <c r="E1481" s="243"/>
      <c r="F1481" s="244"/>
      <c r="G1481" s="244"/>
      <c r="H1481" s="243"/>
      <c r="I1481" s="258"/>
      <c r="J1481" s="245"/>
      <c r="K1481" s="245"/>
      <c r="L1481" s="76">
        <f t="shared" si="220"/>
        <v>0</v>
      </c>
      <c r="M1481" s="246"/>
      <c r="N1481" s="247"/>
      <c r="O1481" s="248"/>
      <c r="P1481" s="246"/>
      <c r="Q1481" s="249"/>
      <c r="R1481" s="250"/>
      <c r="S1481" s="259"/>
      <c r="T1481" s="260"/>
      <c r="U1481" s="250"/>
      <c r="V1481" s="78">
        <f t="shared" si="221"/>
        <v>0</v>
      </c>
      <c r="W1481" s="261">
        <f t="shared" si="222"/>
        <v>0</v>
      </c>
      <c r="X1481" s="133">
        <f t="shared" si="223"/>
        <v>0</v>
      </c>
      <c r="Y1481" s="251"/>
      <c r="Z1481" s="1736"/>
      <c r="AA1481" s="1737"/>
      <c r="AB1481" s="77">
        <f t="shared" si="224"/>
        <v>0</v>
      </c>
      <c r="AC1481" s="134">
        <f t="shared" si="225"/>
        <v>0</v>
      </c>
      <c r="AD1481" s="251"/>
      <c r="AE1481" s="1736"/>
      <c r="AF1481" s="1737"/>
      <c r="AG1481" s="77">
        <f t="shared" si="226"/>
        <v>0</v>
      </c>
      <c r="AH1481" s="136">
        <f t="shared" si="227"/>
        <v>0</v>
      </c>
      <c r="AI1481" s="251"/>
      <c r="AJ1481" s="1736"/>
      <c r="AK1481" s="1737"/>
      <c r="AL1481" s="79">
        <f t="shared" si="228"/>
        <v>0</v>
      </c>
      <c r="AM1481" s="137">
        <f t="shared" si="229"/>
        <v>0</v>
      </c>
      <c r="AN1481" s="251"/>
      <c r="AO1481" s="1736"/>
      <c r="AP1481" s="1737"/>
    </row>
    <row r="1482" spans="1:42" s="85" customFormat="1" ht="13.5" thickBot="1">
      <c r="A1482" s="240"/>
      <c r="B1482" s="241"/>
      <c r="C1482" s="242"/>
      <c r="D1482" s="242"/>
      <c r="E1482" s="243"/>
      <c r="F1482" s="244"/>
      <c r="G1482" s="244"/>
      <c r="H1482" s="243"/>
      <c r="I1482" s="258"/>
      <c r="J1482" s="245"/>
      <c r="K1482" s="245"/>
      <c r="L1482" s="76">
        <f t="shared" si="220"/>
        <v>0</v>
      </c>
      <c r="M1482" s="246"/>
      <c r="N1482" s="247"/>
      <c r="O1482" s="248"/>
      <c r="P1482" s="246"/>
      <c r="Q1482" s="249"/>
      <c r="R1482" s="250"/>
      <c r="S1482" s="259"/>
      <c r="T1482" s="260"/>
      <c r="U1482" s="250"/>
      <c r="V1482" s="78">
        <f t="shared" si="221"/>
        <v>0</v>
      </c>
      <c r="W1482" s="261">
        <f t="shared" si="222"/>
        <v>0</v>
      </c>
      <c r="X1482" s="133">
        <f t="shared" si="223"/>
        <v>0</v>
      </c>
      <c r="Y1482" s="251"/>
      <c r="Z1482" s="1736"/>
      <c r="AA1482" s="1737"/>
      <c r="AB1482" s="77">
        <f t="shared" si="224"/>
        <v>0</v>
      </c>
      <c r="AC1482" s="134">
        <f t="shared" si="225"/>
        <v>0</v>
      </c>
      <c r="AD1482" s="251"/>
      <c r="AE1482" s="1736"/>
      <c r="AF1482" s="1737"/>
      <c r="AG1482" s="77">
        <f t="shared" si="226"/>
        <v>0</v>
      </c>
      <c r="AH1482" s="136">
        <f t="shared" si="227"/>
        <v>0</v>
      </c>
      <c r="AI1482" s="251"/>
      <c r="AJ1482" s="1736"/>
      <c r="AK1482" s="1737"/>
      <c r="AL1482" s="79">
        <f t="shared" si="228"/>
        <v>0</v>
      </c>
      <c r="AM1482" s="137">
        <f t="shared" si="229"/>
        <v>0</v>
      </c>
      <c r="AN1482" s="251"/>
      <c r="AO1482" s="1736"/>
      <c r="AP1482" s="1737"/>
    </row>
    <row r="1483" spans="1:42" s="85" customFormat="1" ht="13.5" thickBot="1">
      <c r="A1483" s="240"/>
      <c r="B1483" s="241"/>
      <c r="C1483" s="242"/>
      <c r="D1483" s="242"/>
      <c r="E1483" s="243"/>
      <c r="F1483" s="244"/>
      <c r="G1483" s="244"/>
      <c r="H1483" s="243"/>
      <c r="I1483" s="258"/>
      <c r="J1483" s="245"/>
      <c r="K1483" s="245"/>
      <c r="L1483" s="76">
        <f t="shared" ref="L1483:L1546" si="230">IF(I1483=0,0,(K1483+J1483)/I1483)</f>
        <v>0</v>
      </c>
      <c r="M1483" s="246"/>
      <c r="N1483" s="247"/>
      <c r="O1483" s="248"/>
      <c r="P1483" s="246"/>
      <c r="Q1483" s="249"/>
      <c r="R1483" s="250"/>
      <c r="S1483" s="259"/>
      <c r="T1483" s="260"/>
      <c r="U1483" s="250"/>
      <c r="V1483" s="78">
        <f t="shared" ref="V1483:V1546" si="231">IF(U1483=0,0,((U1483*S1483)-AB1483-AL1483))</f>
        <v>0</v>
      </c>
      <c r="W1483" s="261">
        <f t="shared" ref="W1483:W1546" si="232">+S1483-I1483</f>
        <v>0</v>
      </c>
      <c r="X1483" s="133">
        <f t="shared" ref="X1483:X1546" si="233">(V1483-J1483)</f>
        <v>0</v>
      </c>
      <c r="Y1483" s="251"/>
      <c r="Z1483" s="1736"/>
      <c r="AA1483" s="1737"/>
      <c r="AB1483" s="77">
        <f t="shared" ref="AB1483:AB1546" si="234">(IF(I1483=0,0,M1483/H1483))*S1483</f>
        <v>0</v>
      </c>
      <c r="AC1483" s="134">
        <f t="shared" ref="AC1483:AC1546" si="235">+AB1483-P1483</f>
        <v>0</v>
      </c>
      <c r="AD1483" s="251"/>
      <c r="AE1483" s="1736"/>
      <c r="AF1483" s="1737"/>
      <c r="AG1483" s="77">
        <f t="shared" ref="AG1483:AG1546" si="236">(IF(H1483=0,0,N1483/H1483))*T1483</f>
        <v>0</v>
      </c>
      <c r="AH1483" s="136">
        <f t="shared" ref="AH1483:AH1546" si="237">+AG1483-Q1483</f>
        <v>0</v>
      </c>
      <c r="AI1483" s="251"/>
      <c r="AJ1483" s="1736"/>
      <c r="AK1483" s="1737"/>
      <c r="AL1483" s="79">
        <f t="shared" ref="AL1483:AL1546" si="238">+O1483*S1483</f>
        <v>0</v>
      </c>
      <c r="AM1483" s="137">
        <f t="shared" ref="AM1483:AM1546" si="239">+AL1483-R1483</f>
        <v>0</v>
      </c>
      <c r="AN1483" s="251"/>
      <c r="AO1483" s="1736"/>
      <c r="AP1483" s="1737"/>
    </row>
    <row r="1484" spans="1:42" s="85" customFormat="1" ht="13.5" thickBot="1">
      <c r="A1484" s="240"/>
      <c r="B1484" s="241"/>
      <c r="C1484" s="242"/>
      <c r="D1484" s="242"/>
      <c r="E1484" s="243"/>
      <c r="F1484" s="244"/>
      <c r="G1484" s="244"/>
      <c r="H1484" s="243"/>
      <c r="I1484" s="258"/>
      <c r="J1484" s="245"/>
      <c r="K1484" s="245"/>
      <c r="L1484" s="76">
        <f t="shared" si="230"/>
        <v>0</v>
      </c>
      <c r="M1484" s="246"/>
      <c r="N1484" s="247"/>
      <c r="O1484" s="248"/>
      <c r="P1484" s="246"/>
      <c r="Q1484" s="249"/>
      <c r="R1484" s="250"/>
      <c r="S1484" s="259"/>
      <c r="T1484" s="260"/>
      <c r="U1484" s="250"/>
      <c r="V1484" s="78">
        <f t="shared" si="231"/>
        <v>0</v>
      </c>
      <c r="W1484" s="261">
        <f t="shared" si="232"/>
        <v>0</v>
      </c>
      <c r="X1484" s="133">
        <f t="shared" si="233"/>
        <v>0</v>
      </c>
      <c r="Y1484" s="251"/>
      <c r="Z1484" s="1736"/>
      <c r="AA1484" s="1737"/>
      <c r="AB1484" s="77">
        <f t="shared" si="234"/>
        <v>0</v>
      </c>
      <c r="AC1484" s="134">
        <f t="shared" si="235"/>
        <v>0</v>
      </c>
      <c r="AD1484" s="251"/>
      <c r="AE1484" s="1736"/>
      <c r="AF1484" s="1737"/>
      <c r="AG1484" s="77">
        <f t="shared" si="236"/>
        <v>0</v>
      </c>
      <c r="AH1484" s="136">
        <f t="shared" si="237"/>
        <v>0</v>
      </c>
      <c r="AI1484" s="251"/>
      <c r="AJ1484" s="1736"/>
      <c r="AK1484" s="1737"/>
      <c r="AL1484" s="79">
        <f t="shared" si="238"/>
        <v>0</v>
      </c>
      <c r="AM1484" s="137">
        <f t="shared" si="239"/>
        <v>0</v>
      </c>
      <c r="AN1484" s="251"/>
      <c r="AO1484" s="1736"/>
      <c r="AP1484" s="1737"/>
    </row>
    <row r="1485" spans="1:42" s="85" customFormat="1" ht="13.5" thickBot="1">
      <c r="A1485" s="240"/>
      <c r="B1485" s="241"/>
      <c r="C1485" s="242"/>
      <c r="D1485" s="242"/>
      <c r="E1485" s="243"/>
      <c r="F1485" s="244"/>
      <c r="G1485" s="244"/>
      <c r="H1485" s="243"/>
      <c r="I1485" s="258"/>
      <c r="J1485" s="245"/>
      <c r="K1485" s="245"/>
      <c r="L1485" s="76">
        <f t="shared" si="230"/>
        <v>0</v>
      </c>
      <c r="M1485" s="246"/>
      <c r="N1485" s="247"/>
      <c r="O1485" s="248"/>
      <c r="P1485" s="246"/>
      <c r="Q1485" s="249"/>
      <c r="R1485" s="250"/>
      <c r="S1485" s="259"/>
      <c r="T1485" s="260"/>
      <c r="U1485" s="250"/>
      <c r="V1485" s="78">
        <f t="shared" si="231"/>
        <v>0</v>
      </c>
      <c r="W1485" s="261">
        <f t="shared" si="232"/>
        <v>0</v>
      </c>
      <c r="X1485" s="133">
        <f t="shared" si="233"/>
        <v>0</v>
      </c>
      <c r="Y1485" s="251"/>
      <c r="Z1485" s="1736"/>
      <c r="AA1485" s="1737"/>
      <c r="AB1485" s="77">
        <f t="shared" si="234"/>
        <v>0</v>
      </c>
      <c r="AC1485" s="134">
        <f t="shared" si="235"/>
        <v>0</v>
      </c>
      <c r="AD1485" s="251"/>
      <c r="AE1485" s="1736"/>
      <c r="AF1485" s="1737"/>
      <c r="AG1485" s="77">
        <f t="shared" si="236"/>
        <v>0</v>
      </c>
      <c r="AH1485" s="136">
        <f t="shared" si="237"/>
        <v>0</v>
      </c>
      <c r="AI1485" s="251"/>
      <c r="AJ1485" s="1736"/>
      <c r="AK1485" s="1737"/>
      <c r="AL1485" s="79">
        <f t="shared" si="238"/>
        <v>0</v>
      </c>
      <c r="AM1485" s="137">
        <f t="shared" si="239"/>
        <v>0</v>
      </c>
      <c r="AN1485" s="251"/>
      <c r="AO1485" s="1736"/>
      <c r="AP1485" s="1737"/>
    </row>
    <row r="1486" spans="1:42" s="85" customFormat="1" ht="13.5" thickBot="1">
      <c r="A1486" s="240"/>
      <c r="B1486" s="241"/>
      <c r="C1486" s="242"/>
      <c r="D1486" s="242"/>
      <c r="E1486" s="243"/>
      <c r="F1486" s="244"/>
      <c r="G1486" s="244"/>
      <c r="H1486" s="243"/>
      <c r="I1486" s="258"/>
      <c r="J1486" s="245"/>
      <c r="K1486" s="245"/>
      <c r="L1486" s="76">
        <f t="shared" si="230"/>
        <v>0</v>
      </c>
      <c r="M1486" s="246"/>
      <c r="N1486" s="247"/>
      <c r="O1486" s="248"/>
      <c r="P1486" s="246"/>
      <c r="Q1486" s="249"/>
      <c r="R1486" s="250"/>
      <c r="S1486" s="259"/>
      <c r="T1486" s="260"/>
      <c r="U1486" s="250"/>
      <c r="V1486" s="78">
        <f t="shared" si="231"/>
        <v>0</v>
      </c>
      <c r="W1486" s="261">
        <f t="shared" si="232"/>
        <v>0</v>
      </c>
      <c r="X1486" s="133">
        <f t="shared" si="233"/>
        <v>0</v>
      </c>
      <c r="Y1486" s="251"/>
      <c r="Z1486" s="1736"/>
      <c r="AA1486" s="1737"/>
      <c r="AB1486" s="77">
        <f t="shared" si="234"/>
        <v>0</v>
      </c>
      <c r="AC1486" s="134">
        <f t="shared" si="235"/>
        <v>0</v>
      </c>
      <c r="AD1486" s="251"/>
      <c r="AE1486" s="1736"/>
      <c r="AF1486" s="1737"/>
      <c r="AG1486" s="77">
        <f t="shared" si="236"/>
        <v>0</v>
      </c>
      <c r="AH1486" s="136">
        <f t="shared" si="237"/>
        <v>0</v>
      </c>
      <c r="AI1486" s="251"/>
      <c r="AJ1486" s="1736"/>
      <c r="AK1486" s="1737"/>
      <c r="AL1486" s="79">
        <f t="shared" si="238"/>
        <v>0</v>
      </c>
      <c r="AM1486" s="137">
        <f t="shared" si="239"/>
        <v>0</v>
      </c>
      <c r="AN1486" s="251"/>
      <c r="AO1486" s="1736"/>
      <c r="AP1486" s="1737"/>
    </row>
    <row r="1487" spans="1:42" s="85" customFormat="1" ht="13.5" thickBot="1">
      <c r="A1487" s="240"/>
      <c r="B1487" s="241"/>
      <c r="C1487" s="242"/>
      <c r="D1487" s="242"/>
      <c r="E1487" s="243"/>
      <c r="F1487" s="244"/>
      <c r="G1487" s="244"/>
      <c r="H1487" s="243"/>
      <c r="I1487" s="258"/>
      <c r="J1487" s="245"/>
      <c r="K1487" s="245"/>
      <c r="L1487" s="76">
        <f t="shared" si="230"/>
        <v>0</v>
      </c>
      <c r="M1487" s="246"/>
      <c r="N1487" s="247"/>
      <c r="O1487" s="248"/>
      <c r="P1487" s="246"/>
      <c r="Q1487" s="249"/>
      <c r="R1487" s="250"/>
      <c r="S1487" s="259"/>
      <c r="T1487" s="260"/>
      <c r="U1487" s="250"/>
      <c r="V1487" s="78">
        <f t="shared" si="231"/>
        <v>0</v>
      </c>
      <c r="W1487" s="261">
        <f t="shared" si="232"/>
        <v>0</v>
      </c>
      <c r="X1487" s="133">
        <f t="shared" si="233"/>
        <v>0</v>
      </c>
      <c r="Y1487" s="251"/>
      <c r="Z1487" s="1736"/>
      <c r="AA1487" s="1737"/>
      <c r="AB1487" s="77">
        <f t="shared" si="234"/>
        <v>0</v>
      </c>
      <c r="AC1487" s="134">
        <f t="shared" si="235"/>
        <v>0</v>
      </c>
      <c r="AD1487" s="251"/>
      <c r="AE1487" s="1736"/>
      <c r="AF1487" s="1737"/>
      <c r="AG1487" s="77">
        <f t="shared" si="236"/>
        <v>0</v>
      </c>
      <c r="AH1487" s="136">
        <f t="shared" si="237"/>
        <v>0</v>
      </c>
      <c r="AI1487" s="251"/>
      <c r="AJ1487" s="1736"/>
      <c r="AK1487" s="1737"/>
      <c r="AL1487" s="79">
        <f t="shared" si="238"/>
        <v>0</v>
      </c>
      <c r="AM1487" s="137">
        <f t="shared" si="239"/>
        <v>0</v>
      </c>
      <c r="AN1487" s="251"/>
      <c r="AO1487" s="1736"/>
      <c r="AP1487" s="1737"/>
    </row>
    <row r="1488" spans="1:42" s="85" customFormat="1" ht="13.5" thickBot="1">
      <c r="A1488" s="240"/>
      <c r="B1488" s="241"/>
      <c r="C1488" s="242"/>
      <c r="D1488" s="242"/>
      <c r="E1488" s="243"/>
      <c r="F1488" s="244"/>
      <c r="G1488" s="244"/>
      <c r="H1488" s="243"/>
      <c r="I1488" s="258"/>
      <c r="J1488" s="245"/>
      <c r="K1488" s="245"/>
      <c r="L1488" s="76">
        <f t="shared" si="230"/>
        <v>0</v>
      </c>
      <c r="M1488" s="246"/>
      <c r="N1488" s="247"/>
      <c r="O1488" s="248"/>
      <c r="P1488" s="246"/>
      <c r="Q1488" s="249"/>
      <c r="R1488" s="250"/>
      <c r="S1488" s="259"/>
      <c r="T1488" s="260"/>
      <c r="U1488" s="250"/>
      <c r="V1488" s="78">
        <f t="shared" si="231"/>
        <v>0</v>
      </c>
      <c r="W1488" s="261">
        <f t="shared" si="232"/>
        <v>0</v>
      </c>
      <c r="X1488" s="133">
        <f t="shared" si="233"/>
        <v>0</v>
      </c>
      <c r="Y1488" s="251"/>
      <c r="Z1488" s="1736"/>
      <c r="AA1488" s="1737"/>
      <c r="AB1488" s="77">
        <f t="shared" si="234"/>
        <v>0</v>
      </c>
      <c r="AC1488" s="134">
        <f t="shared" si="235"/>
        <v>0</v>
      </c>
      <c r="AD1488" s="251"/>
      <c r="AE1488" s="1736"/>
      <c r="AF1488" s="1737"/>
      <c r="AG1488" s="77">
        <f t="shared" si="236"/>
        <v>0</v>
      </c>
      <c r="AH1488" s="136">
        <f t="shared" si="237"/>
        <v>0</v>
      </c>
      <c r="AI1488" s="251"/>
      <c r="AJ1488" s="1736"/>
      <c r="AK1488" s="1737"/>
      <c r="AL1488" s="79">
        <f t="shared" si="238"/>
        <v>0</v>
      </c>
      <c r="AM1488" s="137">
        <f t="shared" si="239"/>
        <v>0</v>
      </c>
      <c r="AN1488" s="251"/>
      <c r="AO1488" s="1736"/>
      <c r="AP1488" s="1737"/>
    </row>
    <row r="1489" spans="1:42" s="85" customFormat="1" ht="13.5" thickBot="1">
      <c r="A1489" s="240"/>
      <c r="B1489" s="241"/>
      <c r="C1489" s="242"/>
      <c r="D1489" s="242"/>
      <c r="E1489" s="243"/>
      <c r="F1489" s="244"/>
      <c r="G1489" s="244"/>
      <c r="H1489" s="243"/>
      <c r="I1489" s="258"/>
      <c r="J1489" s="245"/>
      <c r="K1489" s="245"/>
      <c r="L1489" s="76">
        <f t="shared" si="230"/>
        <v>0</v>
      </c>
      <c r="M1489" s="246"/>
      <c r="N1489" s="247"/>
      <c r="O1489" s="248"/>
      <c r="P1489" s="246"/>
      <c r="Q1489" s="249"/>
      <c r="R1489" s="250"/>
      <c r="S1489" s="259"/>
      <c r="T1489" s="260"/>
      <c r="U1489" s="250"/>
      <c r="V1489" s="78">
        <f t="shared" si="231"/>
        <v>0</v>
      </c>
      <c r="W1489" s="261">
        <f t="shared" si="232"/>
        <v>0</v>
      </c>
      <c r="X1489" s="133">
        <f t="shared" si="233"/>
        <v>0</v>
      </c>
      <c r="Y1489" s="251"/>
      <c r="Z1489" s="1736"/>
      <c r="AA1489" s="1737"/>
      <c r="AB1489" s="77">
        <f t="shared" si="234"/>
        <v>0</v>
      </c>
      <c r="AC1489" s="134">
        <f t="shared" si="235"/>
        <v>0</v>
      </c>
      <c r="AD1489" s="251"/>
      <c r="AE1489" s="1736"/>
      <c r="AF1489" s="1737"/>
      <c r="AG1489" s="77">
        <f t="shared" si="236"/>
        <v>0</v>
      </c>
      <c r="AH1489" s="136">
        <f t="shared" si="237"/>
        <v>0</v>
      </c>
      <c r="AI1489" s="251"/>
      <c r="AJ1489" s="1736"/>
      <c r="AK1489" s="1737"/>
      <c r="AL1489" s="79">
        <f t="shared" si="238"/>
        <v>0</v>
      </c>
      <c r="AM1489" s="137">
        <f t="shared" si="239"/>
        <v>0</v>
      </c>
      <c r="AN1489" s="251"/>
      <c r="AO1489" s="1736"/>
      <c r="AP1489" s="1737"/>
    </row>
    <row r="1490" spans="1:42" s="85" customFormat="1" ht="13.5" thickBot="1">
      <c r="A1490" s="240"/>
      <c r="B1490" s="241"/>
      <c r="C1490" s="242"/>
      <c r="D1490" s="242"/>
      <c r="E1490" s="243"/>
      <c r="F1490" s="244"/>
      <c r="G1490" s="244"/>
      <c r="H1490" s="243"/>
      <c r="I1490" s="258"/>
      <c r="J1490" s="245"/>
      <c r="K1490" s="245"/>
      <c r="L1490" s="76">
        <f t="shared" si="230"/>
        <v>0</v>
      </c>
      <c r="M1490" s="246"/>
      <c r="N1490" s="247"/>
      <c r="O1490" s="248"/>
      <c r="P1490" s="246"/>
      <c r="Q1490" s="249"/>
      <c r="R1490" s="250"/>
      <c r="S1490" s="259"/>
      <c r="T1490" s="260"/>
      <c r="U1490" s="250"/>
      <c r="V1490" s="78">
        <f t="shared" si="231"/>
        <v>0</v>
      </c>
      <c r="W1490" s="261">
        <f t="shared" si="232"/>
        <v>0</v>
      </c>
      <c r="X1490" s="133">
        <f t="shared" si="233"/>
        <v>0</v>
      </c>
      <c r="Y1490" s="251"/>
      <c r="Z1490" s="1736"/>
      <c r="AA1490" s="1737"/>
      <c r="AB1490" s="77">
        <f t="shared" si="234"/>
        <v>0</v>
      </c>
      <c r="AC1490" s="134">
        <f t="shared" si="235"/>
        <v>0</v>
      </c>
      <c r="AD1490" s="251"/>
      <c r="AE1490" s="1736"/>
      <c r="AF1490" s="1737"/>
      <c r="AG1490" s="77">
        <f t="shared" si="236"/>
        <v>0</v>
      </c>
      <c r="AH1490" s="136">
        <f t="shared" si="237"/>
        <v>0</v>
      </c>
      <c r="AI1490" s="251"/>
      <c r="AJ1490" s="1736"/>
      <c r="AK1490" s="1737"/>
      <c r="AL1490" s="79">
        <f t="shared" si="238"/>
        <v>0</v>
      </c>
      <c r="AM1490" s="137">
        <f t="shared" si="239"/>
        <v>0</v>
      </c>
      <c r="AN1490" s="251"/>
      <c r="AO1490" s="1736"/>
      <c r="AP1490" s="1737"/>
    </row>
    <row r="1491" spans="1:42" s="85" customFormat="1" ht="13.5" thickBot="1">
      <c r="A1491" s="240"/>
      <c r="B1491" s="241"/>
      <c r="C1491" s="242"/>
      <c r="D1491" s="242"/>
      <c r="E1491" s="243"/>
      <c r="F1491" s="244"/>
      <c r="G1491" s="244"/>
      <c r="H1491" s="243"/>
      <c r="I1491" s="258"/>
      <c r="J1491" s="245"/>
      <c r="K1491" s="245"/>
      <c r="L1491" s="76">
        <f t="shared" si="230"/>
        <v>0</v>
      </c>
      <c r="M1491" s="246"/>
      <c r="N1491" s="247"/>
      <c r="O1491" s="248"/>
      <c r="P1491" s="246"/>
      <c r="Q1491" s="249"/>
      <c r="R1491" s="250"/>
      <c r="S1491" s="259"/>
      <c r="T1491" s="260"/>
      <c r="U1491" s="250"/>
      <c r="V1491" s="78">
        <f t="shared" si="231"/>
        <v>0</v>
      </c>
      <c r="W1491" s="261">
        <f t="shared" si="232"/>
        <v>0</v>
      </c>
      <c r="X1491" s="133">
        <f t="shared" si="233"/>
        <v>0</v>
      </c>
      <c r="Y1491" s="251"/>
      <c r="Z1491" s="1736"/>
      <c r="AA1491" s="1737"/>
      <c r="AB1491" s="77">
        <f t="shared" si="234"/>
        <v>0</v>
      </c>
      <c r="AC1491" s="134">
        <f t="shared" si="235"/>
        <v>0</v>
      </c>
      <c r="AD1491" s="251"/>
      <c r="AE1491" s="1736"/>
      <c r="AF1491" s="1737"/>
      <c r="AG1491" s="77">
        <f t="shared" si="236"/>
        <v>0</v>
      </c>
      <c r="AH1491" s="136">
        <f t="shared" si="237"/>
        <v>0</v>
      </c>
      <c r="AI1491" s="251"/>
      <c r="AJ1491" s="1736"/>
      <c r="AK1491" s="1737"/>
      <c r="AL1491" s="79">
        <f t="shared" si="238"/>
        <v>0</v>
      </c>
      <c r="AM1491" s="137">
        <f t="shared" si="239"/>
        <v>0</v>
      </c>
      <c r="AN1491" s="251"/>
      <c r="AO1491" s="1736"/>
      <c r="AP1491" s="1737"/>
    </row>
    <row r="1492" spans="1:42" s="85" customFormat="1" ht="13.5" thickBot="1">
      <c r="A1492" s="240"/>
      <c r="B1492" s="241"/>
      <c r="C1492" s="242"/>
      <c r="D1492" s="242"/>
      <c r="E1492" s="243"/>
      <c r="F1492" s="244"/>
      <c r="G1492" s="244"/>
      <c r="H1492" s="243"/>
      <c r="I1492" s="258"/>
      <c r="J1492" s="245"/>
      <c r="K1492" s="245"/>
      <c r="L1492" s="76">
        <f t="shared" si="230"/>
        <v>0</v>
      </c>
      <c r="M1492" s="246"/>
      <c r="N1492" s="247"/>
      <c r="O1492" s="248"/>
      <c r="P1492" s="246"/>
      <c r="Q1492" s="249"/>
      <c r="R1492" s="250"/>
      <c r="S1492" s="259"/>
      <c r="T1492" s="260"/>
      <c r="U1492" s="250"/>
      <c r="V1492" s="78">
        <f t="shared" si="231"/>
        <v>0</v>
      </c>
      <c r="W1492" s="261">
        <f t="shared" si="232"/>
        <v>0</v>
      </c>
      <c r="X1492" s="133">
        <f t="shared" si="233"/>
        <v>0</v>
      </c>
      <c r="Y1492" s="251"/>
      <c r="Z1492" s="1736"/>
      <c r="AA1492" s="1737"/>
      <c r="AB1492" s="77">
        <f t="shared" si="234"/>
        <v>0</v>
      </c>
      <c r="AC1492" s="134">
        <f t="shared" si="235"/>
        <v>0</v>
      </c>
      <c r="AD1492" s="251"/>
      <c r="AE1492" s="1736"/>
      <c r="AF1492" s="1737"/>
      <c r="AG1492" s="77">
        <f t="shared" si="236"/>
        <v>0</v>
      </c>
      <c r="AH1492" s="136">
        <f t="shared" si="237"/>
        <v>0</v>
      </c>
      <c r="AI1492" s="251"/>
      <c r="AJ1492" s="1736"/>
      <c r="AK1492" s="1737"/>
      <c r="AL1492" s="79">
        <f t="shared" si="238"/>
        <v>0</v>
      </c>
      <c r="AM1492" s="137">
        <f t="shared" si="239"/>
        <v>0</v>
      </c>
      <c r="AN1492" s="251"/>
      <c r="AO1492" s="1736"/>
      <c r="AP1492" s="1737"/>
    </row>
    <row r="1493" spans="1:42" s="85" customFormat="1" ht="13.5" thickBot="1">
      <c r="A1493" s="240"/>
      <c r="B1493" s="241"/>
      <c r="C1493" s="242"/>
      <c r="D1493" s="242"/>
      <c r="E1493" s="243"/>
      <c r="F1493" s="244"/>
      <c r="G1493" s="244"/>
      <c r="H1493" s="243"/>
      <c r="I1493" s="258"/>
      <c r="J1493" s="245"/>
      <c r="K1493" s="245"/>
      <c r="L1493" s="76">
        <f t="shared" si="230"/>
        <v>0</v>
      </c>
      <c r="M1493" s="246"/>
      <c r="N1493" s="247"/>
      <c r="O1493" s="248"/>
      <c r="P1493" s="246"/>
      <c r="Q1493" s="249"/>
      <c r="R1493" s="250"/>
      <c r="S1493" s="259"/>
      <c r="T1493" s="260"/>
      <c r="U1493" s="250"/>
      <c r="V1493" s="78">
        <f t="shared" si="231"/>
        <v>0</v>
      </c>
      <c r="W1493" s="261">
        <f t="shared" si="232"/>
        <v>0</v>
      </c>
      <c r="X1493" s="133">
        <f t="shared" si="233"/>
        <v>0</v>
      </c>
      <c r="Y1493" s="251"/>
      <c r="Z1493" s="1736"/>
      <c r="AA1493" s="1737"/>
      <c r="AB1493" s="77">
        <f t="shared" si="234"/>
        <v>0</v>
      </c>
      <c r="AC1493" s="134">
        <f t="shared" si="235"/>
        <v>0</v>
      </c>
      <c r="AD1493" s="251"/>
      <c r="AE1493" s="1736"/>
      <c r="AF1493" s="1737"/>
      <c r="AG1493" s="77">
        <f t="shared" si="236"/>
        <v>0</v>
      </c>
      <c r="AH1493" s="136">
        <f t="shared" si="237"/>
        <v>0</v>
      </c>
      <c r="AI1493" s="251"/>
      <c r="AJ1493" s="1736"/>
      <c r="AK1493" s="1737"/>
      <c r="AL1493" s="79">
        <f t="shared" si="238"/>
        <v>0</v>
      </c>
      <c r="AM1493" s="137">
        <f t="shared" si="239"/>
        <v>0</v>
      </c>
      <c r="AN1493" s="251"/>
      <c r="AO1493" s="1736"/>
      <c r="AP1493" s="1737"/>
    </row>
    <row r="1494" spans="1:42" s="85" customFormat="1" ht="13.5" thickBot="1">
      <c r="A1494" s="240"/>
      <c r="B1494" s="241"/>
      <c r="C1494" s="242"/>
      <c r="D1494" s="242"/>
      <c r="E1494" s="243"/>
      <c r="F1494" s="244"/>
      <c r="G1494" s="244"/>
      <c r="H1494" s="243"/>
      <c r="I1494" s="258"/>
      <c r="J1494" s="245"/>
      <c r="K1494" s="245"/>
      <c r="L1494" s="76">
        <f t="shared" si="230"/>
        <v>0</v>
      </c>
      <c r="M1494" s="246"/>
      <c r="N1494" s="247"/>
      <c r="O1494" s="248"/>
      <c r="P1494" s="246"/>
      <c r="Q1494" s="249"/>
      <c r="R1494" s="250"/>
      <c r="S1494" s="259"/>
      <c r="T1494" s="260"/>
      <c r="U1494" s="250"/>
      <c r="V1494" s="78">
        <f t="shared" si="231"/>
        <v>0</v>
      </c>
      <c r="W1494" s="261">
        <f t="shared" si="232"/>
        <v>0</v>
      </c>
      <c r="X1494" s="133">
        <f t="shared" si="233"/>
        <v>0</v>
      </c>
      <c r="Y1494" s="251"/>
      <c r="Z1494" s="1736"/>
      <c r="AA1494" s="1737"/>
      <c r="AB1494" s="77">
        <f t="shared" si="234"/>
        <v>0</v>
      </c>
      <c r="AC1494" s="134">
        <f t="shared" si="235"/>
        <v>0</v>
      </c>
      <c r="AD1494" s="251"/>
      <c r="AE1494" s="1736"/>
      <c r="AF1494" s="1737"/>
      <c r="AG1494" s="77">
        <f t="shared" si="236"/>
        <v>0</v>
      </c>
      <c r="AH1494" s="136">
        <f t="shared" si="237"/>
        <v>0</v>
      </c>
      <c r="AI1494" s="251"/>
      <c r="AJ1494" s="1736"/>
      <c r="AK1494" s="1737"/>
      <c r="AL1494" s="79">
        <f t="shared" si="238"/>
        <v>0</v>
      </c>
      <c r="AM1494" s="137">
        <f t="shared" si="239"/>
        <v>0</v>
      </c>
      <c r="AN1494" s="251"/>
      <c r="AO1494" s="1736"/>
      <c r="AP1494" s="1737"/>
    </row>
    <row r="1495" spans="1:42" s="85" customFormat="1" ht="13.5" thickBot="1">
      <c r="A1495" s="240"/>
      <c r="B1495" s="241"/>
      <c r="C1495" s="242"/>
      <c r="D1495" s="242"/>
      <c r="E1495" s="243"/>
      <c r="F1495" s="244"/>
      <c r="G1495" s="244"/>
      <c r="H1495" s="243"/>
      <c r="I1495" s="258"/>
      <c r="J1495" s="245"/>
      <c r="K1495" s="245"/>
      <c r="L1495" s="76">
        <f t="shared" si="230"/>
        <v>0</v>
      </c>
      <c r="M1495" s="246"/>
      <c r="N1495" s="247"/>
      <c r="O1495" s="248"/>
      <c r="P1495" s="246"/>
      <c r="Q1495" s="249"/>
      <c r="R1495" s="250"/>
      <c r="S1495" s="259"/>
      <c r="T1495" s="260"/>
      <c r="U1495" s="250"/>
      <c r="V1495" s="78">
        <f t="shared" si="231"/>
        <v>0</v>
      </c>
      <c r="W1495" s="261">
        <f t="shared" si="232"/>
        <v>0</v>
      </c>
      <c r="X1495" s="133">
        <f t="shared" si="233"/>
        <v>0</v>
      </c>
      <c r="Y1495" s="251"/>
      <c r="Z1495" s="1736"/>
      <c r="AA1495" s="1737"/>
      <c r="AB1495" s="77">
        <f t="shared" si="234"/>
        <v>0</v>
      </c>
      <c r="AC1495" s="134">
        <f t="shared" si="235"/>
        <v>0</v>
      </c>
      <c r="AD1495" s="251"/>
      <c r="AE1495" s="1736"/>
      <c r="AF1495" s="1737"/>
      <c r="AG1495" s="77">
        <f t="shared" si="236"/>
        <v>0</v>
      </c>
      <c r="AH1495" s="136">
        <f t="shared" si="237"/>
        <v>0</v>
      </c>
      <c r="AI1495" s="251"/>
      <c r="AJ1495" s="1736"/>
      <c r="AK1495" s="1737"/>
      <c r="AL1495" s="79">
        <f t="shared" si="238"/>
        <v>0</v>
      </c>
      <c r="AM1495" s="137">
        <f t="shared" si="239"/>
        <v>0</v>
      </c>
      <c r="AN1495" s="251"/>
      <c r="AO1495" s="1736"/>
      <c r="AP1495" s="1737"/>
    </row>
    <row r="1496" spans="1:42" s="85" customFormat="1" ht="13.5" thickBot="1">
      <c r="A1496" s="240"/>
      <c r="B1496" s="241"/>
      <c r="C1496" s="242"/>
      <c r="D1496" s="242"/>
      <c r="E1496" s="243"/>
      <c r="F1496" s="244"/>
      <c r="G1496" s="244"/>
      <c r="H1496" s="243"/>
      <c r="I1496" s="258"/>
      <c r="J1496" s="245"/>
      <c r="K1496" s="245"/>
      <c r="L1496" s="76">
        <f t="shared" si="230"/>
        <v>0</v>
      </c>
      <c r="M1496" s="246"/>
      <c r="N1496" s="247"/>
      <c r="O1496" s="248"/>
      <c r="P1496" s="246"/>
      <c r="Q1496" s="249"/>
      <c r="R1496" s="250"/>
      <c r="S1496" s="259"/>
      <c r="T1496" s="260"/>
      <c r="U1496" s="250"/>
      <c r="V1496" s="78">
        <f t="shared" si="231"/>
        <v>0</v>
      </c>
      <c r="W1496" s="261">
        <f t="shared" si="232"/>
        <v>0</v>
      </c>
      <c r="X1496" s="133">
        <f t="shared" si="233"/>
        <v>0</v>
      </c>
      <c r="Y1496" s="251"/>
      <c r="Z1496" s="1736"/>
      <c r="AA1496" s="1737"/>
      <c r="AB1496" s="77">
        <f t="shared" si="234"/>
        <v>0</v>
      </c>
      <c r="AC1496" s="134">
        <f t="shared" si="235"/>
        <v>0</v>
      </c>
      <c r="AD1496" s="251"/>
      <c r="AE1496" s="1736"/>
      <c r="AF1496" s="1737"/>
      <c r="AG1496" s="77">
        <f t="shared" si="236"/>
        <v>0</v>
      </c>
      <c r="AH1496" s="136">
        <f t="shared" si="237"/>
        <v>0</v>
      </c>
      <c r="AI1496" s="251"/>
      <c r="AJ1496" s="1736"/>
      <c r="AK1496" s="1737"/>
      <c r="AL1496" s="79">
        <f t="shared" si="238"/>
        <v>0</v>
      </c>
      <c r="AM1496" s="137">
        <f t="shared" si="239"/>
        <v>0</v>
      </c>
      <c r="AN1496" s="251"/>
      <c r="AO1496" s="1736"/>
      <c r="AP1496" s="1737"/>
    </row>
    <row r="1497" spans="1:42" s="85" customFormat="1" ht="13.5" thickBot="1">
      <c r="A1497" s="240"/>
      <c r="B1497" s="241"/>
      <c r="C1497" s="242"/>
      <c r="D1497" s="242"/>
      <c r="E1497" s="243"/>
      <c r="F1497" s="244"/>
      <c r="G1497" s="244"/>
      <c r="H1497" s="243"/>
      <c r="I1497" s="258"/>
      <c r="J1497" s="245"/>
      <c r="K1497" s="245"/>
      <c r="L1497" s="76">
        <f t="shared" si="230"/>
        <v>0</v>
      </c>
      <c r="M1497" s="246"/>
      <c r="N1497" s="247"/>
      <c r="O1497" s="248"/>
      <c r="P1497" s="246"/>
      <c r="Q1497" s="249"/>
      <c r="R1497" s="250"/>
      <c r="S1497" s="259"/>
      <c r="T1497" s="260"/>
      <c r="U1497" s="250"/>
      <c r="V1497" s="78">
        <f t="shared" si="231"/>
        <v>0</v>
      </c>
      <c r="W1497" s="261">
        <f t="shared" si="232"/>
        <v>0</v>
      </c>
      <c r="X1497" s="133">
        <f t="shared" si="233"/>
        <v>0</v>
      </c>
      <c r="Y1497" s="251"/>
      <c r="Z1497" s="1736"/>
      <c r="AA1497" s="1737"/>
      <c r="AB1497" s="77">
        <f t="shared" si="234"/>
        <v>0</v>
      </c>
      <c r="AC1497" s="134">
        <f t="shared" si="235"/>
        <v>0</v>
      </c>
      <c r="AD1497" s="251"/>
      <c r="AE1497" s="1736"/>
      <c r="AF1497" s="1737"/>
      <c r="AG1497" s="77">
        <f t="shared" si="236"/>
        <v>0</v>
      </c>
      <c r="AH1497" s="136">
        <f t="shared" si="237"/>
        <v>0</v>
      </c>
      <c r="AI1497" s="251"/>
      <c r="AJ1497" s="1736"/>
      <c r="AK1497" s="1737"/>
      <c r="AL1497" s="79">
        <f t="shared" si="238"/>
        <v>0</v>
      </c>
      <c r="AM1497" s="137">
        <f t="shared" si="239"/>
        <v>0</v>
      </c>
      <c r="AN1497" s="251"/>
      <c r="AO1497" s="1736"/>
      <c r="AP1497" s="1737"/>
    </row>
    <row r="1498" spans="1:42" s="85" customFormat="1" ht="13.5" thickBot="1">
      <c r="A1498" s="240"/>
      <c r="B1498" s="241"/>
      <c r="C1498" s="242"/>
      <c r="D1498" s="242"/>
      <c r="E1498" s="243"/>
      <c r="F1498" s="244"/>
      <c r="G1498" s="244"/>
      <c r="H1498" s="243"/>
      <c r="I1498" s="258"/>
      <c r="J1498" s="245"/>
      <c r="K1498" s="245"/>
      <c r="L1498" s="76">
        <f t="shared" si="230"/>
        <v>0</v>
      </c>
      <c r="M1498" s="246"/>
      <c r="N1498" s="247"/>
      <c r="O1498" s="248"/>
      <c r="P1498" s="246"/>
      <c r="Q1498" s="249"/>
      <c r="R1498" s="250"/>
      <c r="S1498" s="259"/>
      <c r="T1498" s="260"/>
      <c r="U1498" s="250"/>
      <c r="V1498" s="78">
        <f t="shared" si="231"/>
        <v>0</v>
      </c>
      <c r="W1498" s="261">
        <f t="shared" si="232"/>
        <v>0</v>
      </c>
      <c r="X1498" s="133">
        <f t="shared" si="233"/>
        <v>0</v>
      </c>
      <c r="Y1498" s="251"/>
      <c r="Z1498" s="1736"/>
      <c r="AA1498" s="1737"/>
      <c r="AB1498" s="77">
        <f t="shared" si="234"/>
        <v>0</v>
      </c>
      <c r="AC1498" s="134">
        <f t="shared" si="235"/>
        <v>0</v>
      </c>
      <c r="AD1498" s="251"/>
      <c r="AE1498" s="1736"/>
      <c r="AF1498" s="1737"/>
      <c r="AG1498" s="77">
        <f t="shared" si="236"/>
        <v>0</v>
      </c>
      <c r="AH1498" s="136">
        <f t="shared" si="237"/>
        <v>0</v>
      </c>
      <c r="AI1498" s="251"/>
      <c r="AJ1498" s="1736"/>
      <c r="AK1498" s="1737"/>
      <c r="AL1498" s="79">
        <f t="shared" si="238"/>
        <v>0</v>
      </c>
      <c r="AM1498" s="137">
        <f t="shared" si="239"/>
        <v>0</v>
      </c>
      <c r="AN1498" s="251"/>
      <c r="AO1498" s="1736"/>
      <c r="AP1498" s="1737"/>
    </row>
    <row r="1499" spans="1:42" s="85" customFormat="1" ht="13.5" thickBot="1">
      <c r="A1499" s="240"/>
      <c r="B1499" s="241"/>
      <c r="C1499" s="242"/>
      <c r="D1499" s="242"/>
      <c r="E1499" s="243"/>
      <c r="F1499" s="244"/>
      <c r="G1499" s="244"/>
      <c r="H1499" s="243"/>
      <c r="I1499" s="258"/>
      <c r="J1499" s="245"/>
      <c r="K1499" s="245"/>
      <c r="L1499" s="76">
        <f t="shared" si="230"/>
        <v>0</v>
      </c>
      <c r="M1499" s="246"/>
      <c r="N1499" s="247"/>
      <c r="O1499" s="248"/>
      <c r="P1499" s="246"/>
      <c r="Q1499" s="249"/>
      <c r="R1499" s="250"/>
      <c r="S1499" s="259"/>
      <c r="T1499" s="260"/>
      <c r="U1499" s="250"/>
      <c r="V1499" s="78">
        <f t="shared" si="231"/>
        <v>0</v>
      </c>
      <c r="W1499" s="261">
        <f t="shared" si="232"/>
        <v>0</v>
      </c>
      <c r="X1499" s="133">
        <f t="shared" si="233"/>
        <v>0</v>
      </c>
      <c r="Y1499" s="251"/>
      <c r="Z1499" s="1736"/>
      <c r="AA1499" s="1737"/>
      <c r="AB1499" s="77">
        <f t="shared" si="234"/>
        <v>0</v>
      </c>
      <c r="AC1499" s="134">
        <f t="shared" si="235"/>
        <v>0</v>
      </c>
      <c r="AD1499" s="251"/>
      <c r="AE1499" s="1736"/>
      <c r="AF1499" s="1737"/>
      <c r="AG1499" s="77">
        <f t="shared" si="236"/>
        <v>0</v>
      </c>
      <c r="AH1499" s="136">
        <f t="shared" si="237"/>
        <v>0</v>
      </c>
      <c r="AI1499" s="251"/>
      <c r="AJ1499" s="1736"/>
      <c r="AK1499" s="1737"/>
      <c r="AL1499" s="79">
        <f t="shared" si="238"/>
        <v>0</v>
      </c>
      <c r="AM1499" s="137">
        <f t="shared" si="239"/>
        <v>0</v>
      </c>
      <c r="AN1499" s="251"/>
      <c r="AO1499" s="1736"/>
      <c r="AP1499" s="1737"/>
    </row>
    <row r="1500" spans="1:42" s="85" customFormat="1" ht="13.5" thickBot="1">
      <c r="A1500" s="240"/>
      <c r="B1500" s="241"/>
      <c r="C1500" s="242"/>
      <c r="D1500" s="242"/>
      <c r="E1500" s="243"/>
      <c r="F1500" s="244"/>
      <c r="G1500" s="244"/>
      <c r="H1500" s="243"/>
      <c r="I1500" s="258"/>
      <c r="J1500" s="245"/>
      <c r="K1500" s="245"/>
      <c r="L1500" s="76">
        <f t="shared" si="230"/>
        <v>0</v>
      </c>
      <c r="M1500" s="246"/>
      <c r="N1500" s="247"/>
      <c r="O1500" s="248"/>
      <c r="P1500" s="246"/>
      <c r="Q1500" s="249"/>
      <c r="R1500" s="250"/>
      <c r="S1500" s="259"/>
      <c r="T1500" s="260"/>
      <c r="U1500" s="250"/>
      <c r="V1500" s="78">
        <f t="shared" si="231"/>
        <v>0</v>
      </c>
      <c r="W1500" s="261">
        <f t="shared" si="232"/>
        <v>0</v>
      </c>
      <c r="X1500" s="133">
        <f t="shared" si="233"/>
        <v>0</v>
      </c>
      <c r="Y1500" s="251"/>
      <c r="Z1500" s="1736"/>
      <c r="AA1500" s="1737"/>
      <c r="AB1500" s="77">
        <f t="shared" si="234"/>
        <v>0</v>
      </c>
      <c r="AC1500" s="134">
        <f t="shared" si="235"/>
        <v>0</v>
      </c>
      <c r="AD1500" s="251"/>
      <c r="AE1500" s="1736"/>
      <c r="AF1500" s="1737"/>
      <c r="AG1500" s="77">
        <f t="shared" si="236"/>
        <v>0</v>
      </c>
      <c r="AH1500" s="136">
        <f t="shared" si="237"/>
        <v>0</v>
      </c>
      <c r="AI1500" s="251"/>
      <c r="AJ1500" s="1736"/>
      <c r="AK1500" s="1737"/>
      <c r="AL1500" s="79">
        <f t="shared" si="238"/>
        <v>0</v>
      </c>
      <c r="AM1500" s="137">
        <f t="shared" si="239"/>
        <v>0</v>
      </c>
      <c r="AN1500" s="251"/>
      <c r="AO1500" s="1736"/>
      <c r="AP1500" s="1737"/>
    </row>
    <row r="1501" spans="1:42" s="85" customFormat="1" ht="13.5" thickBot="1">
      <c r="A1501" s="240"/>
      <c r="B1501" s="241"/>
      <c r="C1501" s="242"/>
      <c r="D1501" s="242"/>
      <c r="E1501" s="243"/>
      <c r="F1501" s="244"/>
      <c r="G1501" s="244"/>
      <c r="H1501" s="243"/>
      <c r="I1501" s="258"/>
      <c r="J1501" s="245"/>
      <c r="K1501" s="245"/>
      <c r="L1501" s="76">
        <f t="shared" si="230"/>
        <v>0</v>
      </c>
      <c r="M1501" s="246"/>
      <c r="N1501" s="247"/>
      <c r="O1501" s="248"/>
      <c r="P1501" s="246"/>
      <c r="Q1501" s="249"/>
      <c r="R1501" s="250"/>
      <c r="S1501" s="259"/>
      <c r="T1501" s="260"/>
      <c r="U1501" s="250"/>
      <c r="V1501" s="78">
        <f t="shared" si="231"/>
        <v>0</v>
      </c>
      <c r="W1501" s="261">
        <f t="shared" si="232"/>
        <v>0</v>
      </c>
      <c r="X1501" s="133">
        <f t="shared" si="233"/>
        <v>0</v>
      </c>
      <c r="Y1501" s="251"/>
      <c r="Z1501" s="1736"/>
      <c r="AA1501" s="1737"/>
      <c r="AB1501" s="77">
        <f t="shared" si="234"/>
        <v>0</v>
      </c>
      <c r="AC1501" s="134">
        <f t="shared" si="235"/>
        <v>0</v>
      </c>
      <c r="AD1501" s="251"/>
      <c r="AE1501" s="1736"/>
      <c r="AF1501" s="1737"/>
      <c r="AG1501" s="77">
        <f t="shared" si="236"/>
        <v>0</v>
      </c>
      <c r="AH1501" s="136">
        <f t="shared" si="237"/>
        <v>0</v>
      </c>
      <c r="AI1501" s="251"/>
      <c r="AJ1501" s="1736"/>
      <c r="AK1501" s="1737"/>
      <c r="AL1501" s="79">
        <f t="shared" si="238"/>
        <v>0</v>
      </c>
      <c r="AM1501" s="137">
        <f t="shared" si="239"/>
        <v>0</v>
      </c>
      <c r="AN1501" s="251"/>
      <c r="AO1501" s="1736"/>
      <c r="AP1501" s="1737"/>
    </row>
    <row r="1502" spans="1:42" s="85" customFormat="1" ht="13.5" thickBot="1">
      <c r="A1502" s="240"/>
      <c r="B1502" s="241"/>
      <c r="C1502" s="242"/>
      <c r="D1502" s="242"/>
      <c r="E1502" s="243"/>
      <c r="F1502" s="244"/>
      <c r="G1502" s="244"/>
      <c r="H1502" s="243"/>
      <c r="I1502" s="258"/>
      <c r="J1502" s="245"/>
      <c r="K1502" s="245"/>
      <c r="L1502" s="76">
        <f t="shared" si="230"/>
        <v>0</v>
      </c>
      <c r="M1502" s="246"/>
      <c r="N1502" s="247"/>
      <c r="O1502" s="248"/>
      <c r="P1502" s="246"/>
      <c r="Q1502" s="249"/>
      <c r="R1502" s="250"/>
      <c r="S1502" s="259"/>
      <c r="T1502" s="260"/>
      <c r="U1502" s="250"/>
      <c r="V1502" s="78">
        <f t="shared" si="231"/>
        <v>0</v>
      </c>
      <c r="W1502" s="261">
        <f t="shared" si="232"/>
        <v>0</v>
      </c>
      <c r="X1502" s="133">
        <f t="shared" si="233"/>
        <v>0</v>
      </c>
      <c r="Y1502" s="251"/>
      <c r="Z1502" s="1736"/>
      <c r="AA1502" s="1737"/>
      <c r="AB1502" s="77">
        <f t="shared" si="234"/>
        <v>0</v>
      </c>
      <c r="AC1502" s="134">
        <f t="shared" si="235"/>
        <v>0</v>
      </c>
      <c r="AD1502" s="251"/>
      <c r="AE1502" s="1736"/>
      <c r="AF1502" s="1737"/>
      <c r="AG1502" s="77">
        <f t="shared" si="236"/>
        <v>0</v>
      </c>
      <c r="AH1502" s="136">
        <f t="shared" si="237"/>
        <v>0</v>
      </c>
      <c r="AI1502" s="251"/>
      <c r="AJ1502" s="1736"/>
      <c r="AK1502" s="1737"/>
      <c r="AL1502" s="79">
        <f t="shared" si="238"/>
        <v>0</v>
      </c>
      <c r="AM1502" s="137">
        <f t="shared" si="239"/>
        <v>0</v>
      </c>
      <c r="AN1502" s="251"/>
      <c r="AO1502" s="1736"/>
      <c r="AP1502" s="1737"/>
    </row>
    <row r="1503" spans="1:42" s="85" customFormat="1" ht="13.5" thickBot="1">
      <c r="A1503" s="240"/>
      <c r="B1503" s="241"/>
      <c r="C1503" s="242"/>
      <c r="D1503" s="242"/>
      <c r="E1503" s="243"/>
      <c r="F1503" s="244"/>
      <c r="G1503" s="244"/>
      <c r="H1503" s="243"/>
      <c r="I1503" s="258"/>
      <c r="J1503" s="245"/>
      <c r="K1503" s="245"/>
      <c r="L1503" s="76">
        <f t="shared" si="230"/>
        <v>0</v>
      </c>
      <c r="M1503" s="246"/>
      <c r="N1503" s="247"/>
      <c r="O1503" s="248"/>
      <c r="P1503" s="246"/>
      <c r="Q1503" s="249"/>
      <c r="R1503" s="250"/>
      <c r="S1503" s="259"/>
      <c r="T1503" s="260"/>
      <c r="U1503" s="250"/>
      <c r="V1503" s="78">
        <f t="shared" si="231"/>
        <v>0</v>
      </c>
      <c r="W1503" s="261">
        <f t="shared" si="232"/>
        <v>0</v>
      </c>
      <c r="X1503" s="133">
        <f t="shared" si="233"/>
        <v>0</v>
      </c>
      <c r="Y1503" s="251"/>
      <c r="Z1503" s="1736"/>
      <c r="AA1503" s="1737"/>
      <c r="AB1503" s="77">
        <f t="shared" si="234"/>
        <v>0</v>
      </c>
      <c r="AC1503" s="134">
        <f t="shared" si="235"/>
        <v>0</v>
      </c>
      <c r="AD1503" s="251"/>
      <c r="AE1503" s="1736"/>
      <c r="AF1503" s="1737"/>
      <c r="AG1503" s="77">
        <f t="shared" si="236"/>
        <v>0</v>
      </c>
      <c r="AH1503" s="136">
        <f t="shared" si="237"/>
        <v>0</v>
      </c>
      <c r="AI1503" s="251"/>
      <c r="AJ1503" s="1736"/>
      <c r="AK1503" s="1737"/>
      <c r="AL1503" s="79">
        <f t="shared" si="238"/>
        <v>0</v>
      </c>
      <c r="AM1503" s="137">
        <f t="shared" si="239"/>
        <v>0</v>
      </c>
      <c r="AN1503" s="251"/>
      <c r="AO1503" s="1736"/>
      <c r="AP1503" s="1737"/>
    </row>
    <row r="1504" spans="1:42" s="85" customFormat="1" ht="13.5" thickBot="1">
      <c r="A1504" s="240"/>
      <c r="B1504" s="241"/>
      <c r="C1504" s="242"/>
      <c r="D1504" s="242"/>
      <c r="E1504" s="243"/>
      <c r="F1504" s="244"/>
      <c r="G1504" s="244"/>
      <c r="H1504" s="243"/>
      <c r="I1504" s="258"/>
      <c r="J1504" s="245"/>
      <c r="K1504" s="245"/>
      <c r="L1504" s="76">
        <f t="shared" si="230"/>
        <v>0</v>
      </c>
      <c r="M1504" s="246"/>
      <c r="N1504" s="247"/>
      <c r="O1504" s="248"/>
      <c r="P1504" s="246"/>
      <c r="Q1504" s="249"/>
      <c r="R1504" s="250"/>
      <c r="S1504" s="259"/>
      <c r="T1504" s="260"/>
      <c r="U1504" s="250"/>
      <c r="V1504" s="78">
        <f t="shared" si="231"/>
        <v>0</v>
      </c>
      <c r="W1504" s="261">
        <f t="shared" si="232"/>
        <v>0</v>
      </c>
      <c r="X1504" s="133">
        <f t="shared" si="233"/>
        <v>0</v>
      </c>
      <c r="Y1504" s="251"/>
      <c r="Z1504" s="1736"/>
      <c r="AA1504" s="1737"/>
      <c r="AB1504" s="77">
        <f t="shared" si="234"/>
        <v>0</v>
      </c>
      <c r="AC1504" s="134">
        <f t="shared" si="235"/>
        <v>0</v>
      </c>
      <c r="AD1504" s="251"/>
      <c r="AE1504" s="1736"/>
      <c r="AF1504" s="1737"/>
      <c r="AG1504" s="77">
        <f t="shared" si="236"/>
        <v>0</v>
      </c>
      <c r="AH1504" s="136">
        <f t="shared" si="237"/>
        <v>0</v>
      </c>
      <c r="AI1504" s="251"/>
      <c r="AJ1504" s="1736"/>
      <c r="AK1504" s="1737"/>
      <c r="AL1504" s="79">
        <f t="shared" si="238"/>
        <v>0</v>
      </c>
      <c r="AM1504" s="137">
        <f t="shared" si="239"/>
        <v>0</v>
      </c>
      <c r="AN1504" s="251"/>
      <c r="AO1504" s="1736"/>
      <c r="AP1504" s="1737"/>
    </row>
    <row r="1505" spans="1:42" s="85" customFormat="1" ht="13.5" thickBot="1">
      <c r="A1505" s="240"/>
      <c r="B1505" s="241"/>
      <c r="C1505" s="242"/>
      <c r="D1505" s="242"/>
      <c r="E1505" s="243"/>
      <c r="F1505" s="244"/>
      <c r="G1505" s="244"/>
      <c r="H1505" s="243"/>
      <c r="I1505" s="258"/>
      <c r="J1505" s="245"/>
      <c r="K1505" s="245"/>
      <c r="L1505" s="76">
        <f t="shared" si="230"/>
        <v>0</v>
      </c>
      <c r="M1505" s="246"/>
      <c r="N1505" s="247"/>
      <c r="O1505" s="248"/>
      <c r="P1505" s="246"/>
      <c r="Q1505" s="249"/>
      <c r="R1505" s="250"/>
      <c r="S1505" s="259"/>
      <c r="T1505" s="260"/>
      <c r="U1505" s="250"/>
      <c r="V1505" s="78">
        <f t="shared" si="231"/>
        <v>0</v>
      </c>
      <c r="W1505" s="261">
        <f t="shared" si="232"/>
        <v>0</v>
      </c>
      <c r="X1505" s="133">
        <f t="shared" si="233"/>
        <v>0</v>
      </c>
      <c r="Y1505" s="251"/>
      <c r="Z1505" s="1736"/>
      <c r="AA1505" s="1737"/>
      <c r="AB1505" s="77">
        <f t="shared" si="234"/>
        <v>0</v>
      </c>
      <c r="AC1505" s="134">
        <f t="shared" si="235"/>
        <v>0</v>
      </c>
      <c r="AD1505" s="251"/>
      <c r="AE1505" s="1736"/>
      <c r="AF1505" s="1737"/>
      <c r="AG1505" s="77">
        <f t="shared" si="236"/>
        <v>0</v>
      </c>
      <c r="AH1505" s="136">
        <f t="shared" si="237"/>
        <v>0</v>
      </c>
      <c r="AI1505" s="251"/>
      <c r="AJ1505" s="1736"/>
      <c r="AK1505" s="1737"/>
      <c r="AL1505" s="79">
        <f t="shared" si="238"/>
        <v>0</v>
      </c>
      <c r="AM1505" s="137">
        <f t="shared" si="239"/>
        <v>0</v>
      </c>
      <c r="AN1505" s="251"/>
      <c r="AO1505" s="1736"/>
      <c r="AP1505" s="1737"/>
    </row>
    <row r="1506" spans="1:42" s="85" customFormat="1" ht="13.5" thickBot="1">
      <c r="A1506" s="240"/>
      <c r="B1506" s="241"/>
      <c r="C1506" s="242"/>
      <c r="D1506" s="242"/>
      <c r="E1506" s="243"/>
      <c r="F1506" s="244"/>
      <c r="G1506" s="244"/>
      <c r="H1506" s="243"/>
      <c r="I1506" s="258"/>
      <c r="J1506" s="245"/>
      <c r="K1506" s="245"/>
      <c r="L1506" s="76">
        <f t="shared" si="230"/>
        <v>0</v>
      </c>
      <c r="M1506" s="246"/>
      <c r="N1506" s="247"/>
      <c r="O1506" s="248"/>
      <c r="P1506" s="246"/>
      <c r="Q1506" s="249"/>
      <c r="R1506" s="250"/>
      <c r="S1506" s="259"/>
      <c r="T1506" s="260"/>
      <c r="U1506" s="250"/>
      <c r="V1506" s="78">
        <f t="shared" si="231"/>
        <v>0</v>
      </c>
      <c r="W1506" s="261">
        <f t="shared" si="232"/>
        <v>0</v>
      </c>
      <c r="X1506" s="133">
        <f t="shared" si="233"/>
        <v>0</v>
      </c>
      <c r="Y1506" s="251"/>
      <c r="Z1506" s="1736"/>
      <c r="AA1506" s="1737"/>
      <c r="AB1506" s="77">
        <f t="shared" si="234"/>
        <v>0</v>
      </c>
      <c r="AC1506" s="134">
        <f t="shared" si="235"/>
        <v>0</v>
      </c>
      <c r="AD1506" s="251"/>
      <c r="AE1506" s="1736"/>
      <c r="AF1506" s="1737"/>
      <c r="AG1506" s="77">
        <f t="shared" si="236"/>
        <v>0</v>
      </c>
      <c r="AH1506" s="136">
        <f t="shared" si="237"/>
        <v>0</v>
      </c>
      <c r="AI1506" s="251"/>
      <c r="AJ1506" s="1736"/>
      <c r="AK1506" s="1737"/>
      <c r="AL1506" s="79">
        <f t="shared" si="238"/>
        <v>0</v>
      </c>
      <c r="AM1506" s="137">
        <f t="shared" si="239"/>
        <v>0</v>
      </c>
      <c r="AN1506" s="251"/>
      <c r="AO1506" s="1736"/>
      <c r="AP1506" s="1737"/>
    </row>
    <row r="1507" spans="1:42" s="85" customFormat="1" ht="13.5" thickBot="1">
      <c r="A1507" s="240"/>
      <c r="B1507" s="241"/>
      <c r="C1507" s="242"/>
      <c r="D1507" s="242"/>
      <c r="E1507" s="243"/>
      <c r="F1507" s="244"/>
      <c r="G1507" s="244"/>
      <c r="H1507" s="243"/>
      <c r="I1507" s="258"/>
      <c r="J1507" s="245"/>
      <c r="K1507" s="245"/>
      <c r="L1507" s="76">
        <f t="shared" si="230"/>
        <v>0</v>
      </c>
      <c r="M1507" s="246"/>
      <c r="N1507" s="247"/>
      <c r="O1507" s="248"/>
      <c r="P1507" s="246"/>
      <c r="Q1507" s="249"/>
      <c r="R1507" s="250"/>
      <c r="S1507" s="259"/>
      <c r="T1507" s="260"/>
      <c r="U1507" s="250"/>
      <c r="V1507" s="78">
        <f t="shared" si="231"/>
        <v>0</v>
      </c>
      <c r="W1507" s="261">
        <f t="shared" si="232"/>
        <v>0</v>
      </c>
      <c r="X1507" s="133">
        <f t="shared" si="233"/>
        <v>0</v>
      </c>
      <c r="Y1507" s="251"/>
      <c r="Z1507" s="1736"/>
      <c r="AA1507" s="1737"/>
      <c r="AB1507" s="77">
        <f t="shared" si="234"/>
        <v>0</v>
      </c>
      <c r="AC1507" s="134">
        <f t="shared" si="235"/>
        <v>0</v>
      </c>
      <c r="AD1507" s="251"/>
      <c r="AE1507" s="1736"/>
      <c r="AF1507" s="1737"/>
      <c r="AG1507" s="77">
        <f t="shared" si="236"/>
        <v>0</v>
      </c>
      <c r="AH1507" s="136">
        <f t="shared" si="237"/>
        <v>0</v>
      </c>
      <c r="AI1507" s="251"/>
      <c r="AJ1507" s="1736"/>
      <c r="AK1507" s="1737"/>
      <c r="AL1507" s="79">
        <f t="shared" si="238"/>
        <v>0</v>
      </c>
      <c r="AM1507" s="137">
        <f t="shared" si="239"/>
        <v>0</v>
      </c>
      <c r="AN1507" s="251"/>
      <c r="AO1507" s="1736"/>
      <c r="AP1507" s="1737"/>
    </row>
    <row r="1508" spans="1:42" s="85" customFormat="1" ht="13.5" thickBot="1">
      <c r="A1508" s="240"/>
      <c r="B1508" s="241"/>
      <c r="C1508" s="242"/>
      <c r="D1508" s="242"/>
      <c r="E1508" s="243"/>
      <c r="F1508" s="244"/>
      <c r="G1508" s="244"/>
      <c r="H1508" s="243"/>
      <c r="I1508" s="258"/>
      <c r="J1508" s="245"/>
      <c r="K1508" s="245"/>
      <c r="L1508" s="76">
        <f t="shared" si="230"/>
        <v>0</v>
      </c>
      <c r="M1508" s="246"/>
      <c r="N1508" s="247"/>
      <c r="O1508" s="248"/>
      <c r="P1508" s="246"/>
      <c r="Q1508" s="249"/>
      <c r="R1508" s="250"/>
      <c r="S1508" s="259"/>
      <c r="T1508" s="260"/>
      <c r="U1508" s="250"/>
      <c r="V1508" s="78">
        <f t="shared" si="231"/>
        <v>0</v>
      </c>
      <c r="W1508" s="261">
        <f t="shared" si="232"/>
        <v>0</v>
      </c>
      <c r="X1508" s="133">
        <f t="shared" si="233"/>
        <v>0</v>
      </c>
      <c r="Y1508" s="251"/>
      <c r="Z1508" s="1736"/>
      <c r="AA1508" s="1737"/>
      <c r="AB1508" s="77">
        <f t="shared" si="234"/>
        <v>0</v>
      </c>
      <c r="AC1508" s="134">
        <f t="shared" si="235"/>
        <v>0</v>
      </c>
      <c r="AD1508" s="251"/>
      <c r="AE1508" s="1736"/>
      <c r="AF1508" s="1737"/>
      <c r="AG1508" s="77">
        <f t="shared" si="236"/>
        <v>0</v>
      </c>
      <c r="AH1508" s="136">
        <f t="shared" si="237"/>
        <v>0</v>
      </c>
      <c r="AI1508" s="251"/>
      <c r="AJ1508" s="1736"/>
      <c r="AK1508" s="1737"/>
      <c r="AL1508" s="79">
        <f t="shared" si="238"/>
        <v>0</v>
      </c>
      <c r="AM1508" s="137">
        <f t="shared" si="239"/>
        <v>0</v>
      </c>
      <c r="AN1508" s="251"/>
      <c r="AO1508" s="1736"/>
      <c r="AP1508" s="1737"/>
    </row>
    <row r="1509" spans="1:42" s="85" customFormat="1" ht="13.5" thickBot="1">
      <c r="A1509" s="240"/>
      <c r="B1509" s="241"/>
      <c r="C1509" s="242"/>
      <c r="D1509" s="242"/>
      <c r="E1509" s="243"/>
      <c r="F1509" s="244"/>
      <c r="G1509" s="244"/>
      <c r="H1509" s="243"/>
      <c r="I1509" s="258"/>
      <c r="J1509" s="245"/>
      <c r="K1509" s="245"/>
      <c r="L1509" s="76">
        <f t="shared" si="230"/>
        <v>0</v>
      </c>
      <c r="M1509" s="246"/>
      <c r="N1509" s="247"/>
      <c r="O1509" s="248"/>
      <c r="P1509" s="246"/>
      <c r="Q1509" s="249"/>
      <c r="R1509" s="250"/>
      <c r="S1509" s="259"/>
      <c r="T1509" s="260"/>
      <c r="U1509" s="250"/>
      <c r="V1509" s="78">
        <f t="shared" si="231"/>
        <v>0</v>
      </c>
      <c r="W1509" s="261">
        <f t="shared" si="232"/>
        <v>0</v>
      </c>
      <c r="X1509" s="133">
        <f t="shared" si="233"/>
        <v>0</v>
      </c>
      <c r="Y1509" s="251"/>
      <c r="Z1509" s="1736"/>
      <c r="AA1509" s="1737"/>
      <c r="AB1509" s="77">
        <f t="shared" si="234"/>
        <v>0</v>
      </c>
      <c r="AC1509" s="134">
        <f t="shared" si="235"/>
        <v>0</v>
      </c>
      <c r="AD1509" s="251"/>
      <c r="AE1509" s="1736"/>
      <c r="AF1509" s="1737"/>
      <c r="AG1509" s="77">
        <f t="shared" si="236"/>
        <v>0</v>
      </c>
      <c r="AH1509" s="136">
        <f t="shared" si="237"/>
        <v>0</v>
      </c>
      <c r="AI1509" s="251"/>
      <c r="AJ1509" s="1736"/>
      <c r="AK1509" s="1737"/>
      <c r="AL1509" s="79">
        <f t="shared" si="238"/>
        <v>0</v>
      </c>
      <c r="AM1509" s="137">
        <f t="shared" si="239"/>
        <v>0</v>
      </c>
      <c r="AN1509" s="251"/>
      <c r="AO1509" s="1736"/>
      <c r="AP1509" s="1737"/>
    </row>
    <row r="1510" spans="1:42" s="85" customFormat="1" ht="13.5" thickBot="1">
      <c r="A1510" s="240"/>
      <c r="B1510" s="241"/>
      <c r="C1510" s="242"/>
      <c r="D1510" s="242"/>
      <c r="E1510" s="243"/>
      <c r="F1510" s="244"/>
      <c r="G1510" s="244"/>
      <c r="H1510" s="243"/>
      <c r="I1510" s="258"/>
      <c r="J1510" s="245"/>
      <c r="K1510" s="245"/>
      <c r="L1510" s="76">
        <f t="shared" si="230"/>
        <v>0</v>
      </c>
      <c r="M1510" s="246"/>
      <c r="N1510" s="247"/>
      <c r="O1510" s="248"/>
      <c r="P1510" s="246"/>
      <c r="Q1510" s="249"/>
      <c r="R1510" s="250"/>
      <c r="S1510" s="259"/>
      <c r="T1510" s="260"/>
      <c r="U1510" s="250"/>
      <c r="V1510" s="78">
        <f t="shared" si="231"/>
        <v>0</v>
      </c>
      <c r="W1510" s="261">
        <f t="shared" si="232"/>
        <v>0</v>
      </c>
      <c r="X1510" s="133">
        <f t="shared" si="233"/>
        <v>0</v>
      </c>
      <c r="Y1510" s="251"/>
      <c r="Z1510" s="1736"/>
      <c r="AA1510" s="1737"/>
      <c r="AB1510" s="77">
        <f t="shared" si="234"/>
        <v>0</v>
      </c>
      <c r="AC1510" s="134">
        <f t="shared" si="235"/>
        <v>0</v>
      </c>
      <c r="AD1510" s="251"/>
      <c r="AE1510" s="1736"/>
      <c r="AF1510" s="1737"/>
      <c r="AG1510" s="77">
        <f t="shared" si="236"/>
        <v>0</v>
      </c>
      <c r="AH1510" s="136">
        <f t="shared" si="237"/>
        <v>0</v>
      </c>
      <c r="AI1510" s="251"/>
      <c r="AJ1510" s="1736"/>
      <c r="AK1510" s="1737"/>
      <c r="AL1510" s="79">
        <f t="shared" si="238"/>
        <v>0</v>
      </c>
      <c r="AM1510" s="137">
        <f t="shared" si="239"/>
        <v>0</v>
      </c>
      <c r="AN1510" s="251"/>
      <c r="AO1510" s="1736"/>
      <c r="AP1510" s="1737"/>
    </row>
    <row r="1511" spans="1:42" s="85" customFormat="1" ht="13.5" thickBot="1">
      <c r="A1511" s="240"/>
      <c r="B1511" s="241"/>
      <c r="C1511" s="242"/>
      <c r="D1511" s="242"/>
      <c r="E1511" s="243"/>
      <c r="F1511" s="244"/>
      <c r="G1511" s="244"/>
      <c r="H1511" s="243"/>
      <c r="I1511" s="258"/>
      <c r="J1511" s="245"/>
      <c r="K1511" s="245"/>
      <c r="L1511" s="76">
        <f t="shared" si="230"/>
        <v>0</v>
      </c>
      <c r="M1511" s="246"/>
      <c r="N1511" s="247"/>
      <c r="O1511" s="248"/>
      <c r="P1511" s="246"/>
      <c r="Q1511" s="249"/>
      <c r="R1511" s="250"/>
      <c r="S1511" s="259"/>
      <c r="T1511" s="260"/>
      <c r="U1511" s="250"/>
      <c r="V1511" s="78">
        <f t="shared" si="231"/>
        <v>0</v>
      </c>
      <c r="W1511" s="261">
        <f t="shared" si="232"/>
        <v>0</v>
      </c>
      <c r="X1511" s="133">
        <f t="shared" si="233"/>
        <v>0</v>
      </c>
      <c r="Y1511" s="251"/>
      <c r="Z1511" s="1736"/>
      <c r="AA1511" s="1737"/>
      <c r="AB1511" s="77">
        <f t="shared" si="234"/>
        <v>0</v>
      </c>
      <c r="AC1511" s="134">
        <f t="shared" si="235"/>
        <v>0</v>
      </c>
      <c r="AD1511" s="251"/>
      <c r="AE1511" s="1736"/>
      <c r="AF1511" s="1737"/>
      <c r="AG1511" s="77">
        <f t="shared" si="236"/>
        <v>0</v>
      </c>
      <c r="AH1511" s="136">
        <f t="shared" si="237"/>
        <v>0</v>
      </c>
      <c r="AI1511" s="251"/>
      <c r="AJ1511" s="1736"/>
      <c r="AK1511" s="1737"/>
      <c r="AL1511" s="79">
        <f t="shared" si="238"/>
        <v>0</v>
      </c>
      <c r="AM1511" s="137">
        <f t="shared" si="239"/>
        <v>0</v>
      </c>
      <c r="AN1511" s="251"/>
      <c r="AO1511" s="1736"/>
      <c r="AP1511" s="1737"/>
    </row>
    <row r="1512" spans="1:42" s="85" customFormat="1" ht="13.5" thickBot="1">
      <c r="A1512" s="240"/>
      <c r="B1512" s="241"/>
      <c r="C1512" s="242"/>
      <c r="D1512" s="242"/>
      <c r="E1512" s="243"/>
      <c r="F1512" s="244"/>
      <c r="G1512" s="244"/>
      <c r="H1512" s="243"/>
      <c r="I1512" s="258"/>
      <c r="J1512" s="245"/>
      <c r="K1512" s="245"/>
      <c r="L1512" s="76">
        <f t="shared" si="230"/>
        <v>0</v>
      </c>
      <c r="M1512" s="246"/>
      <c r="N1512" s="247"/>
      <c r="O1512" s="248"/>
      <c r="P1512" s="246"/>
      <c r="Q1512" s="249"/>
      <c r="R1512" s="250"/>
      <c r="S1512" s="259"/>
      <c r="T1512" s="260"/>
      <c r="U1512" s="250"/>
      <c r="V1512" s="78">
        <f t="shared" si="231"/>
        <v>0</v>
      </c>
      <c r="W1512" s="261">
        <f t="shared" si="232"/>
        <v>0</v>
      </c>
      <c r="X1512" s="133">
        <f t="shared" si="233"/>
        <v>0</v>
      </c>
      <c r="Y1512" s="251"/>
      <c r="Z1512" s="1736"/>
      <c r="AA1512" s="1737"/>
      <c r="AB1512" s="77">
        <f t="shared" si="234"/>
        <v>0</v>
      </c>
      <c r="AC1512" s="134">
        <f t="shared" si="235"/>
        <v>0</v>
      </c>
      <c r="AD1512" s="251"/>
      <c r="AE1512" s="1736"/>
      <c r="AF1512" s="1737"/>
      <c r="AG1512" s="77">
        <f t="shared" si="236"/>
        <v>0</v>
      </c>
      <c r="AH1512" s="136">
        <f t="shared" si="237"/>
        <v>0</v>
      </c>
      <c r="AI1512" s="251"/>
      <c r="AJ1512" s="1736"/>
      <c r="AK1512" s="1737"/>
      <c r="AL1512" s="79">
        <f t="shared" si="238"/>
        <v>0</v>
      </c>
      <c r="AM1512" s="137">
        <f t="shared" si="239"/>
        <v>0</v>
      </c>
      <c r="AN1512" s="251"/>
      <c r="AO1512" s="1736"/>
      <c r="AP1512" s="1737"/>
    </row>
    <row r="1513" spans="1:42" s="85" customFormat="1" ht="13.5" thickBot="1">
      <c r="A1513" s="240"/>
      <c r="B1513" s="241"/>
      <c r="C1513" s="242"/>
      <c r="D1513" s="242"/>
      <c r="E1513" s="243"/>
      <c r="F1513" s="244"/>
      <c r="G1513" s="244"/>
      <c r="H1513" s="243"/>
      <c r="I1513" s="258"/>
      <c r="J1513" s="245"/>
      <c r="K1513" s="245"/>
      <c r="L1513" s="76">
        <f t="shared" si="230"/>
        <v>0</v>
      </c>
      <c r="M1513" s="246"/>
      <c r="N1513" s="247"/>
      <c r="O1513" s="248"/>
      <c r="P1513" s="246"/>
      <c r="Q1513" s="249"/>
      <c r="R1513" s="250"/>
      <c r="S1513" s="259"/>
      <c r="T1513" s="260"/>
      <c r="U1513" s="250"/>
      <c r="V1513" s="78">
        <f t="shared" si="231"/>
        <v>0</v>
      </c>
      <c r="W1513" s="261">
        <f t="shared" si="232"/>
        <v>0</v>
      </c>
      <c r="X1513" s="133">
        <f t="shared" si="233"/>
        <v>0</v>
      </c>
      <c r="Y1513" s="251"/>
      <c r="Z1513" s="1736"/>
      <c r="AA1513" s="1737"/>
      <c r="AB1513" s="77">
        <f t="shared" si="234"/>
        <v>0</v>
      </c>
      <c r="AC1513" s="134">
        <f t="shared" si="235"/>
        <v>0</v>
      </c>
      <c r="AD1513" s="251"/>
      <c r="AE1513" s="1736"/>
      <c r="AF1513" s="1737"/>
      <c r="AG1513" s="77">
        <f t="shared" si="236"/>
        <v>0</v>
      </c>
      <c r="AH1513" s="136">
        <f t="shared" si="237"/>
        <v>0</v>
      </c>
      <c r="AI1513" s="251"/>
      <c r="AJ1513" s="1736"/>
      <c r="AK1513" s="1737"/>
      <c r="AL1513" s="79">
        <f t="shared" si="238"/>
        <v>0</v>
      </c>
      <c r="AM1513" s="137">
        <f t="shared" si="239"/>
        <v>0</v>
      </c>
      <c r="AN1513" s="251"/>
      <c r="AO1513" s="1736"/>
      <c r="AP1513" s="1737"/>
    </row>
    <row r="1514" spans="1:42" s="85" customFormat="1" ht="13.5" thickBot="1">
      <c r="A1514" s="240"/>
      <c r="B1514" s="241"/>
      <c r="C1514" s="242"/>
      <c r="D1514" s="242"/>
      <c r="E1514" s="243"/>
      <c r="F1514" s="244"/>
      <c r="G1514" s="244"/>
      <c r="H1514" s="243"/>
      <c r="I1514" s="258"/>
      <c r="J1514" s="245"/>
      <c r="K1514" s="245"/>
      <c r="L1514" s="76">
        <f t="shared" si="230"/>
        <v>0</v>
      </c>
      <c r="M1514" s="246"/>
      <c r="N1514" s="247"/>
      <c r="O1514" s="248"/>
      <c r="P1514" s="246"/>
      <c r="Q1514" s="249"/>
      <c r="R1514" s="250"/>
      <c r="S1514" s="259"/>
      <c r="T1514" s="260"/>
      <c r="U1514" s="250"/>
      <c r="V1514" s="78">
        <f t="shared" si="231"/>
        <v>0</v>
      </c>
      <c r="W1514" s="261">
        <f t="shared" si="232"/>
        <v>0</v>
      </c>
      <c r="X1514" s="133">
        <f t="shared" si="233"/>
        <v>0</v>
      </c>
      <c r="Y1514" s="251"/>
      <c r="Z1514" s="1736"/>
      <c r="AA1514" s="1737"/>
      <c r="AB1514" s="77">
        <f t="shared" si="234"/>
        <v>0</v>
      </c>
      <c r="AC1514" s="134">
        <f t="shared" si="235"/>
        <v>0</v>
      </c>
      <c r="AD1514" s="251"/>
      <c r="AE1514" s="1736"/>
      <c r="AF1514" s="1737"/>
      <c r="AG1514" s="77">
        <f t="shared" si="236"/>
        <v>0</v>
      </c>
      <c r="AH1514" s="136">
        <f t="shared" si="237"/>
        <v>0</v>
      </c>
      <c r="AI1514" s="251"/>
      <c r="AJ1514" s="1736"/>
      <c r="AK1514" s="1737"/>
      <c r="AL1514" s="79">
        <f t="shared" si="238"/>
        <v>0</v>
      </c>
      <c r="AM1514" s="137">
        <f t="shared" si="239"/>
        <v>0</v>
      </c>
      <c r="AN1514" s="251"/>
      <c r="AO1514" s="1736"/>
      <c r="AP1514" s="1737"/>
    </row>
    <row r="1515" spans="1:42" s="85" customFormat="1" ht="13.5" thickBot="1">
      <c r="A1515" s="240"/>
      <c r="B1515" s="241"/>
      <c r="C1515" s="242"/>
      <c r="D1515" s="242"/>
      <c r="E1515" s="243"/>
      <c r="F1515" s="244"/>
      <c r="G1515" s="244"/>
      <c r="H1515" s="243"/>
      <c r="I1515" s="258"/>
      <c r="J1515" s="245"/>
      <c r="K1515" s="245"/>
      <c r="L1515" s="76">
        <f t="shared" si="230"/>
        <v>0</v>
      </c>
      <c r="M1515" s="246"/>
      <c r="N1515" s="247"/>
      <c r="O1515" s="248"/>
      <c r="P1515" s="246"/>
      <c r="Q1515" s="249"/>
      <c r="R1515" s="250"/>
      <c r="S1515" s="259"/>
      <c r="T1515" s="260"/>
      <c r="U1515" s="250"/>
      <c r="V1515" s="78">
        <f t="shared" si="231"/>
        <v>0</v>
      </c>
      <c r="W1515" s="261">
        <f t="shared" si="232"/>
        <v>0</v>
      </c>
      <c r="X1515" s="133">
        <f t="shared" si="233"/>
        <v>0</v>
      </c>
      <c r="Y1515" s="251"/>
      <c r="Z1515" s="1736"/>
      <c r="AA1515" s="1737"/>
      <c r="AB1515" s="77">
        <f t="shared" si="234"/>
        <v>0</v>
      </c>
      <c r="AC1515" s="134">
        <f t="shared" si="235"/>
        <v>0</v>
      </c>
      <c r="AD1515" s="251"/>
      <c r="AE1515" s="1736"/>
      <c r="AF1515" s="1737"/>
      <c r="AG1515" s="77">
        <f t="shared" si="236"/>
        <v>0</v>
      </c>
      <c r="AH1515" s="136">
        <f t="shared" si="237"/>
        <v>0</v>
      </c>
      <c r="AI1515" s="251"/>
      <c r="AJ1515" s="1736"/>
      <c r="AK1515" s="1737"/>
      <c r="AL1515" s="79">
        <f t="shared" si="238"/>
        <v>0</v>
      </c>
      <c r="AM1515" s="137">
        <f t="shared" si="239"/>
        <v>0</v>
      </c>
      <c r="AN1515" s="251"/>
      <c r="AO1515" s="1736"/>
      <c r="AP1515" s="1737"/>
    </row>
    <row r="1516" spans="1:42" s="85" customFormat="1" ht="13.5" thickBot="1">
      <c r="A1516" s="240"/>
      <c r="B1516" s="241"/>
      <c r="C1516" s="242"/>
      <c r="D1516" s="242"/>
      <c r="E1516" s="243"/>
      <c r="F1516" s="244"/>
      <c r="G1516" s="244"/>
      <c r="H1516" s="243"/>
      <c r="I1516" s="258"/>
      <c r="J1516" s="245"/>
      <c r="K1516" s="245"/>
      <c r="L1516" s="76">
        <f t="shared" si="230"/>
        <v>0</v>
      </c>
      <c r="M1516" s="246"/>
      <c r="N1516" s="247"/>
      <c r="O1516" s="248"/>
      <c r="P1516" s="246"/>
      <c r="Q1516" s="249"/>
      <c r="R1516" s="250"/>
      <c r="S1516" s="259"/>
      <c r="T1516" s="260"/>
      <c r="U1516" s="250"/>
      <c r="V1516" s="78">
        <f t="shared" si="231"/>
        <v>0</v>
      </c>
      <c r="W1516" s="261">
        <f t="shared" si="232"/>
        <v>0</v>
      </c>
      <c r="X1516" s="133">
        <f t="shared" si="233"/>
        <v>0</v>
      </c>
      <c r="Y1516" s="251"/>
      <c r="Z1516" s="1736"/>
      <c r="AA1516" s="1737"/>
      <c r="AB1516" s="77">
        <f t="shared" si="234"/>
        <v>0</v>
      </c>
      <c r="AC1516" s="134">
        <f t="shared" si="235"/>
        <v>0</v>
      </c>
      <c r="AD1516" s="251"/>
      <c r="AE1516" s="1736"/>
      <c r="AF1516" s="1737"/>
      <c r="AG1516" s="77">
        <f t="shared" si="236"/>
        <v>0</v>
      </c>
      <c r="AH1516" s="136">
        <f t="shared" si="237"/>
        <v>0</v>
      </c>
      <c r="AI1516" s="251"/>
      <c r="AJ1516" s="1736"/>
      <c r="AK1516" s="1737"/>
      <c r="AL1516" s="79">
        <f t="shared" si="238"/>
        <v>0</v>
      </c>
      <c r="AM1516" s="137">
        <f t="shared" si="239"/>
        <v>0</v>
      </c>
      <c r="AN1516" s="251"/>
      <c r="AO1516" s="1736"/>
      <c r="AP1516" s="1737"/>
    </row>
    <row r="1517" spans="1:42" s="85" customFormat="1" ht="13.5" thickBot="1">
      <c r="A1517" s="240"/>
      <c r="B1517" s="241"/>
      <c r="C1517" s="242"/>
      <c r="D1517" s="242"/>
      <c r="E1517" s="243"/>
      <c r="F1517" s="244"/>
      <c r="G1517" s="244"/>
      <c r="H1517" s="243"/>
      <c r="I1517" s="258"/>
      <c r="J1517" s="245"/>
      <c r="K1517" s="245"/>
      <c r="L1517" s="76">
        <f t="shared" si="230"/>
        <v>0</v>
      </c>
      <c r="M1517" s="246"/>
      <c r="N1517" s="247"/>
      <c r="O1517" s="248"/>
      <c r="P1517" s="246"/>
      <c r="Q1517" s="249"/>
      <c r="R1517" s="250"/>
      <c r="S1517" s="259"/>
      <c r="T1517" s="260"/>
      <c r="U1517" s="250"/>
      <c r="V1517" s="78">
        <f t="shared" si="231"/>
        <v>0</v>
      </c>
      <c r="W1517" s="261">
        <f t="shared" si="232"/>
        <v>0</v>
      </c>
      <c r="X1517" s="133">
        <f t="shared" si="233"/>
        <v>0</v>
      </c>
      <c r="Y1517" s="251"/>
      <c r="Z1517" s="1736"/>
      <c r="AA1517" s="1737"/>
      <c r="AB1517" s="77">
        <f t="shared" si="234"/>
        <v>0</v>
      </c>
      <c r="AC1517" s="134">
        <f t="shared" si="235"/>
        <v>0</v>
      </c>
      <c r="AD1517" s="251"/>
      <c r="AE1517" s="1736"/>
      <c r="AF1517" s="1737"/>
      <c r="AG1517" s="77">
        <f t="shared" si="236"/>
        <v>0</v>
      </c>
      <c r="AH1517" s="136">
        <f t="shared" si="237"/>
        <v>0</v>
      </c>
      <c r="AI1517" s="251"/>
      <c r="AJ1517" s="1736"/>
      <c r="AK1517" s="1737"/>
      <c r="AL1517" s="79">
        <f t="shared" si="238"/>
        <v>0</v>
      </c>
      <c r="AM1517" s="137">
        <f t="shared" si="239"/>
        <v>0</v>
      </c>
      <c r="AN1517" s="251"/>
      <c r="AO1517" s="1736"/>
      <c r="AP1517" s="1737"/>
    </row>
    <row r="1518" spans="1:42" s="85" customFormat="1" ht="13.5" thickBot="1">
      <c r="A1518" s="240"/>
      <c r="B1518" s="241"/>
      <c r="C1518" s="242"/>
      <c r="D1518" s="242"/>
      <c r="E1518" s="243"/>
      <c r="F1518" s="244"/>
      <c r="G1518" s="244"/>
      <c r="H1518" s="243"/>
      <c r="I1518" s="258"/>
      <c r="J1518" s="245"/>
      <c r="K1518" s="245"/>
      <c r="L1518" s="76">
        <f t="shared" si="230"/>
        <v>0</v>
      </c>
      <c r="M1518" s="246"/>
      <c r="N1518" s="247"/>
      <c r="O1518" s="248"/>
      <c r="P1518" s="246"/>
      <c r="Q1518" s="249"/>
      <c r="R1518" s="250"/>
      <c r="S1518" s="259"/>
      <c r="T1518" s="260"/>
      <c r="U1518" s="250"/>
      <c r="V1518" s="78">
        <f t="shared" si="231"/>
        <v>0</v>
      </c>
      <c r="W1518" s="261">
        <f t="shared" si="232"/>
        <v>0</v>
      </c>
      <c r="X1518" s="133">
        <f t="shared" si="233"/>
        <v>0</v>
      </c>
      <c r="Y1518" s="251"/>
      <c r="Z1518" s="1736"/>
      <c r="AA1518" s="1737"/>
      <c r="AB1518" s="77">
        <f t="shared" si="234"/>
        <v>0</v>
      </c>
      <c r="AC1518" s="134">
        <f t="shared" si="235"/>
        <v>0</v>
      </c>
      <c r="AD1518" s="251"/>
      <c r="AE1518" s="1736"/>
      <c r="AF1518" s="1737"/>
      <c r="AG1518" s="77">
        <f t="shared" si="236"/>
        <v>0</v>
      </c>
      <c r="AH1518" s="136">
        <f t="shared" si="237"/>
        <v>0</v>
      </c>
      <c r="AI1518" s="251"/>
      <c r="AJ1518" s="1736"/>
      <c r="AK1518" s="1737"/>
      <c r="AL1518" s="79">
        <f t="shared" si="238"/>
        <v>0</v>
      </c>
      <c r="AM1518" s="137">
        <f t="shared" si="239"/>
        <v>0</v>
      </c>
      <c r="AN1518" s="251"/>
      <c r="AO1518" s="1736"/>
      <c r="AP1518" s="1737"/>
    </row>
    <row r="1519" spans="1:42" s="85" customFormat="1" ht="13.5" thickBot="1">
      <c r="A1519" s="240"/>
      <c r="B1519" s="241"/>
      <c r="C1519" s="242"/>
      <c r="D1519" s="242"/>
      <c r="E1519" s="243"/>
      <c r="F1519" s="244"/>
      <c r="G1519" s="244"/>
      <c r="H1519" s="243"/>
      <c r="I1519" s="258"/>
      <c r="J1519" s="245"/>
      <c r="K1519" s="245"/>
      <c r="L1519" s="76">
        <f t="shared" si="230"/>
        <v>0</v>
      </c>
      <c r="M1519" s="246"/>
      <c r="N1519" s="247"/>
      <c r="O1519" s="248"/>
      <c r="P1519" s="246"/>
      <c r="Q1519" s="249"/>
      <c r="R1519" s="250"/>
      <c r="S1519" s="259"/>
      <c r="T1519" s="260"/>
      <c r="U1519" s="250"/>
      <c r="V1519" s="78">
        <f t="shared" si="231"/>
        <v>0</v>
      </c>
      <c r="W1519" s="261">
        <f t="shared" si="232"/>
        <v>0</v>
      </c>
      <c r="X1519" s="133">
        <f t="shared" si="233"/>
        <v>0</v>
      </c>
      <c r="Y1519" s="251"/>
      <c r="Z1519" s="1736"/>
      <c r="AA1519" s="1737"/>
      <c r="AB1519" s="77">
        <f t="shared" si="234"/>
        <v>0</v>
      </c>
      <c r="AC1519" s="134">
        <f t="shared" si="235"/>
        <v>0</v>
      </c>
      <c r="AD1519" s="251"/>
      <c r="AE1519" s="1736"/>
      <c r="AF1519" s="1737"/>
      <c r="AG1519" s="77">
        <f t="shared" si="236"/>
        <v>0</v>
      </c>
      <c r="AH1519" s="136">
        <f t="shared" si="237"/>
        <v>0</v>
      </c>
      <c r="AI1519" s="251"/>
      <c r="AJ1519" s="1736"/>
      <c r="AK1519" s="1737"/>
      <c r="AL1519" s="79">
        <f t="shared" si="238"/>
        <v>0</v>
      </c>
      <c r="AM1519" s="137">
        <f t="shared" si="239"/>
        <v>0</v>
      </c>
      <c r="AN1519" s="251"/>
      <c r="AO1519" s="1736"/>
      <c r="AP1519" s="1737"/>
    </row>
    <row r="1520" spans="1:42" s="85" customFormat="1" ht="13.5" thickBot="1">
      <c r="A1520" s="240"/>
      <c r="B1520" s="241"/>
      <c r="C1520" s="242"/>
      <c r="D1520" s="242"/>
      <c r="E1520" s="243"/>
      <c r="F1520" s="244"/>
      <c r="G1520" s="244"/>
      <c r="H1520" s="243"/>
      <c r="I1520" s="258"/>
      <c r="J1520" s="245"/>
      <c r="K1520" s="245"/>
      <c r="L1520" s="76">
        <f t="shared" si="230"/>
        <v>0</v>
      </c>
      <c r="M1520" s="246"/>
      <c r="N1520" s="247"/>
      <c r="O1520" s="248"/>
      <c r="P1520" s="246"/>
      <c r="Q1520" s="249"/>
      <c r="R1520" s="250"/>
      <c r="S1520" s="259"/>
      <c r="T1520" s="260"/>
      <c r="U1520" s="250"/>
      <c r="V1520" s="78">
        <f t="shared" si="231"/>
        <v>0</v>
      </c>
      <c r="W1520" s="261">
        <f t="shared" si="232"/>
        <v>0</v>
      </c>
      <c r="X1520" s="133">
        <f t="shared" si="233"/>
        <v>0</v>
      </c>
      <c r="Y1520" s="251"/>
      <c r="Z1520" s="1736"/>
      <c r="AA1520" s="1737"/>
      <c r="AB1520" s="77">
        <f t="shared" si="234"/>
        <v>0</v>
      </c>
      <c r="AC1520" s="134">
        <f t="shared" si="235"/>
        <v>0</v>
      </c>
      <c r="AD1520" s="251"/>
      <c r="AE1520" s="1736"/>
      <c r="AF1520" s="1737"/>
      <c r="AG1520" s="77">
        <f t="shared" si="236"/>
        <v>0</v>
      </c>
      <c r="AH1520" s="136">
        <f t="shared" si="237"/>
        <v>0</v>
      </c>
      <c r="AI1520" s="251"/>
      <c r="AJ1520" s="1736"/>
      <c r="AK1520" s="1737"/>
      <c r="AL1520" s="79">
        <f t="shared" si="238"/>
        <v>0</v>
      </c>
      <c r="AM1520" s="137">
        <f t="shared" si="239"/>
        <v>0</v>
      </c>
      <c r="AN1520" s="251"/>
      <c r="AO1520" s="1736"/>
      <c r="AP1520" s="1737"/>
    </row>
    <row r="1521" spans="1:42" s="85" customFormat="1" ht="13.5" thickBot="1">
      <c r="A1521" s="240"/>
      <c r="B1521" s="241"/>
      <c r="C1521" s="242"/>
      <c r="D1521" s="242"/>
      <c r="E1521" s="243"/>
      <c r="F1521" s="244"/>
      <c r="G1521" s="244"/>
      <c r="H1521" s="243"/>
      <c r="I1521" s="258"/>
      <c r="J1521" s="245"/>
      <c r="K1521" s="245"/>
      <c r="L1521" s="76">
        <f t="shared" si="230"/>
        <v>0</v>
      </c>
      <c r="M1521" s="246"/>
      <c r="N1521" s="247"/>
      <c r="O1521" s="248"/>
      <c r="P1521" s="246"/>
      <c r="Q1521" s="249"/>
      <c r="R1521" s="250"/>
      <c r="S1521" s="259"/>
      <c r="T1521" s="260"/>
      <c r="U1521" s="250"/>
      <c r="V1521" s="78">
        <f t="shared" si="231"/>
        <v>0</v>
      </c>
      <c r="W1521" s="261">
        <f t="shared" si="232"/>
        <v>0</v>
      </c>
      <c r="X1521" s="133">
        <f t="shared" si="233"/>
        <v>0</v>
      </c>
      <c r="Y1521" s="251"/>
      <c r="Z1521" s="1736"/>
      <c r="AA1521" s="1737"/>
      <c r="AB1521" s="77">
        <f t="shared" si="234"/>
        <v>0</v>
      </c>
      <c r="AC1521" s="134">
        <f t="shared" si="235"/>
        <v>0</v>
      </c>
      <c r="AD1521" s="251"/>
      <c r="AE1521" s="1736"/>
      <c r="AF1521" s="1737"/>
      <c r="AG1521" s="77">
        <f t="shared" si="236"/>
        <v>0</v>
      </c>
      <c r="AH1521" s="136">
        <f t="shared" si="237"/>
        <v>0</v>
      </c>
      <c r="AI1521" s="251"/>
      <c r="AJ1521" s="1736"/>
      <c r="AK1521" s="1737"/>
      <c r="AL1521" s="79">
        <f t="shared" si="238"/>
        <v>0</v>
      </c>
      <c r="AM1521" s="137">
        <f t="shared" si="239"/>
        <v>0</v>
      </c>
      <c r="AN1521" s="251"/>
      <c r="AO1521" s="1736"/>
      <c r="AP1521" s="1737"/>
    </row>
    <row r="1522" spans="1:42" s="85" customFormat="1" ht="13.5" thickBot="1">
      <c r="A1522" s="240"/>
      <c r="B1522" s="241"/>
      <c r="C1522" s="242"/>
      <c r="D1522" s="242"/>
      <c r="E1522" s="243"/>
      <c r="F1522" s="244"/>
      <c r="G1522" s="244"/>
      <c r="H1522" s="243"/>
      <c r="I1522" s="258"/>
      <c r="J1522" s="245"/>
      <c r="K1522" s="245"/>
      <c r="L1522" s="76">
        <f t="shared" si="230"/>
        <v>0</v>
      </c>
      <c r="M1522" s="246"/>
      <c r="N1522" s="247"/>
      <c r="O1522" s="248"/>
      <c r="P1522" s="246"/>
      <c r="Q1522" s="249"/>
      <c r="R1522" s="250"/>
      <c r="S1522" s="259"/>
      <c r="T1522" s="260"/>
      <c r="U1522" s="250"/>
      <c r="V1522" s="78">
        <f t="shared" si="231"/>
        <v>0</v>
      </c>
      <c r="W1522" s="261">
        <f t="shared" si="232"/>
        <v>0</v>
      </c>
      <c r="X1522" s="133">
        <f t="shared" si="233"/>
        <v>0</v>
      </c>
      <c r="Y1522" s="251"/>
      <c r="Z1522" s="1736"/>
      <c r="AA1522" s="1737"/>
      <c r="AB1522" s="77">
        <f t="shared" si="234"/>
        <v>0</v>
      </c>
      <c r="AC1522" s="134">
        <f t="shared" si="235"/>
        <v>0</v>
      </c>
      <c r="AD1522" s="251"/>
      <c r="AE1522" s="1736"/>
      <c r="AF1522" s="1737"/>
      <c r="AG1522" s="77">
        <f t="shared" si="236"/>
        <v>0</v>
      </c>
      <c r="AH1522" s="136">
        <f t="shared" si="237"/>
        <v>0</v>
      </c>
      <c r="AI1522" s="251"/>
      <c r="AJ1522" s="1736"/>
      <c r="AK1522" s="1737"/>
      <c r="AL1522" s="79">
        <f t="shared" si="238"/>
        <v>0</v>
      </c>
      <c r="AM1522" s="137">
        <f t="shared" si="239"/>
        <v>0</v>
      </c>
      <c r="AN1522" s="251"/>
      <c r="AO1522" s="1736"/>
      <c r="AP1522" s="1737"/>
    </row>
    <row r="1523" spans="1:42" s="85" customFormat="1" ht="13.5" thickBot="1">
      <c r="A1523" s="240"/>
      <c r="B1523" s="241"/>
      <c r="C1523" s="242"/>
      <c r="D1523" s="242"/>
      <c r="E1523" s="243"/>
      <c r="F1523" s="244"/>
      <c r="G1523" s="244"/>
      <c r="H1523" s="243"/>
      <c r="I1523" s="258"/>
      <c r="J1523" s="245"/>
      <c r="K1523" s="245"/>
      <c r="L1523" s="76">
        <f t="shared" si="230"/>
        <v>0</v>
      </c>
      <c r="M1523" s="246"/>
      <c r="N1523" s="247"/>
      <c r="O1523" s="248"/>
      <c r="P1523" s="246"/>
      <c r="Q1523" s="249"/>
      <c r="R1523" s="250"/>
      <c r="S1523" s="259"/>
      <c r="T1523" s="260"/>
      <c r="U1523" s="250"/>
      <c r="V1523" s="78">
        <f t="shared" si="231"/>
        <v>0</v>
      </c>
      <c r="W1523" s="261">
        <f t="shared" si="232"/>
        <v>0</v>
      </c>
      <c r="X1523" s="133">
        <f t="shared" si="233"/>
        <v>0</v>
      </c>
      <c r="Y1523" s="251"/>
      <c r="Z1523" s="1736"/>
      <c r="AA1523" s="1737"/>
      <c r="AB1523" s="77">
        <f t="shared" si="234"/>
        <v>0</v>
      </c>
      <c r="AC1523" s="134">
        <f t="shared" si="235"/>
        <v>0</v>
      </c>
      <c r="AD1523" s="251"/>
      <c r="AE1523" s="1736"/>
      <c r="AF1523" s="1737"/>
      <c r="AG1523" s="77">
        <f t="shared" si="236"/>
        <v>0</v>
      </c>
      <c r="AH1523" s="136">
        <f t="shared" si="237"/>
        <v>0</v>
      </c>
      <c r="AI1523" s="251"/>
      <c r="AJ1523" s="1736"/>
      <c r="AK1523" s="1737"/>
      <c r="AL1523" s="79">
        <f t="shared" si="238"/>
        <v>0</v>
      </c>
      <c r="AM1523" s="137">
        <f t="shared" si="239"/>
        <v>0</v>
      </c>
      <c r="AN1523" s="251"/>
      <c r="AO1523" s="1736"/>
      <c r="AP1523" s="1737"/>
    </row>
    <row r="1524" spans="1:42" s="85" customFormat="1" ht="13.5" thickBot="1">
      <c r="A1524" s="240"/>
      <c r="B1524" s="241"/>
      <c r="C1524" s="242"/>
      <c r="D1524" s="242"/>
      <c r="E1524" s="243"/>
      <c r="F1524" s="244"/>
      <c r="G1524" s="244"/>
      <c r="H1524" s="243"/>
      <c r="I1524" s="258"/>
      <c r="J1524" s="245"/>
      <c r="K1524" s="245"/>
      <c r="L1524" s="76">
        <f t="shared" si="230"/>
        <v>0</v>
      </c>
      <c r="M1524" s="246"/>
      <c r="N1524" s="247"/>
      <c r="O1524" s="248"/>
      <c r="P1524" s="246"/>
      <c r="Q1524" s="249"/>
      <c r="R1524" s="250"/>
      <c r="S1524" s="259"/>
      <c r="T1524" s="260"/>
      <c r="U1524" s="250"/>
      <c r="V1524" s="78">
        <f t="shared" si="231"/>
        <v>0</v>
      </c>
      <c r="W1524" s="261">
        <f t="shared" si="232"/>
        <v>0</v>
      </c>
      <c r="X1524" s="133">
        <f t="shared" si="233"/>
        <v>0</v>
      </c>
      <c r="Y1524" s="251"/>
      <c r="Z1524" s="1736"/>
      <c r="AA1524" s="1737"/>
      <c r="AB1524" s="77">
        <f t="shared" si="234"/>
        <v>0</v>
      </c>
      <c r="AC1524" s="134">
        <f t="shared" si="235"/>
        <v>0</v>
      </c>
      <c r="AD1524" s="251"/>
      <c r="AE1524" s="1736"/>
      <c r="AF1524" s="1737"/>
      <c r="AG1524" s="77">
        <f t="shared" si="236"/>
        <v>0</v>
      </c>
      <c r="AH1524" s="136">
        <f t="shared" si="237"/>
        <v>0</v>
      </c>
      <c r="AI1524" s="251"/>
      <c r="AJ1524" s="1736"/>
      <c r="AK1524" s="1737"/>
      <c r="AL1524" s="79">
        <f t="shared" si="238"/>
        <v>0</v>
      </c>
      <c r="AM1524" s="137">
        <f t="shared" si="239"/>
        <v>0</v>
      </c>
      <c r="AN1524" s="251"/>
      <c r="AO1524" s="1736"/>
      <c r="AP1524" s="1737"/>
    </row>
    <row r="1525" spans="1:42" s="85" customFormat="1" ht="13.5" thickBot="1">
      <c r="A1525" s="240"/>
      <c r="B1525" s="241"/>
      <c r="C1525" s="242"/>
      <c r="D1525" s="242"/>
      <c r="E1525" s="243"/>
      <c r="F1525" s="244"/>
      <c r="G1525" s="244"/>
      <c r="H1525" s="243"/>
      <c r="I1525" s="258"/>
      <c r="J1525" s="245"/>
      <c r="K1525" s="245"/>
      <c r="L1525" s="76">
        <f t="shared" si="230"/>
        <v>0</v>
      </c>
      <c r="M1525" s="246"/>
      <c r="N1525" s="247"/>
      <c r="O1525" s="248"/>
      <c r="P1525" s="246"/>
      <c r="Q1525" s="249"/>
      <c r="R1525" s="250"/>
      <c r="S1525" s="259"/>
      <c r="T1525" s="260"/>
      <c r="U1525" s="250"/>
      <c r="V1525" s="78">
        <f t="shared" si="231"/>
        <v>0</v>
      </c>
      <c r="W1525" s="261">
        <f t="shared" si="232"/>
        <v>0</v>
      </c>
      <c r="X1525" s="133">
        <f t="shared" si="233"/>
        <v>0</v>
      </c>
      <c r="Y1525" s="251"/>
      <c r="Z1525" s="1736"/>
      <c r="AA1525" s="1737"/>
      <c r="AB1525" s="77">
        <f t="shared" si="234"/>
        <v>0</v>
      </c>
      <c r="AC1525" s="134">
        <f t="shared" si="235"/>
        <v>0</v>
      </c>
      <c r="AD1525" s="251"/>
      <c r="AE1525" s="1736"/>
      <c r="AF1525" s="1737"/>
      <c r="AG1525" s="77">
        <f t="shared" si="236"/>
        <v>0</v>
      </c>
      <c r="AH1525" s="136">
        <f t="shared" si="237"/>
        <v>0</v>
      </c>
      <c r="AI1525" s="251"/>
      <c r="AJ1525" s="1736"/>
      <c r="AK1525" s="1737"/>
      <c r="AL1525" s="79">
        <f t="shared" si="238"/>
        <v>0</v>
      </c>
      <c r="AM1525" s="137">
        <f t="shared" si="239"/>
        <v>0</v>
      </c>
      <c r="AN1525" s="251"/>
      <c r="AO1525" s="1736"/>
      <c r="AP1525" s="1737"/>
    </row>
    <row r="1526" spans="1:42" s="85" customFormat="1" ht="13.5" thickBot="1">
      <c r="A1526" s="240"/>
      <c r="B1526" s="241"/>
      <c r="C1526" s="242"/>
      <c r="D1526" s="242"/>
      <c r="E1526" s="243"/>
      <c r="F1526" s="244"/>
      <c r="G1526" s="244"/>
      <c r="H1526" s="243"/>
      <c r="I1526" s="258"/>
      <c r="J1526" s="245"/>
      <c r="K1526" s="245"/>
      <c r="L1526" s="76">
        <f t="shared" si="230"/>
        <v>0</v>
      </c>
      <c r="M1526" s="246"/>
      <c r="N1526" s="247"/>
      <c r="O1526" s="248"/>
      <c r="P1526" s="246"/>
      <c r="Q1526" s="249"/>
      <c r="R1526" s="250"/>
      <c r="S1526" s="259"/>
      <c r="T1526" s="260"/>
      <c r="U1526" s="250"/>
      <c r="V1526" s="78">
        <f t="shared" si="231"/>
        <v>0</v>
      </c>
      <c r="W1526" s="261">
        <f t="shared" si="232"/>
        <v>0</v>
      </c>
      <c r="X1526" s="133">
        <f t="shared" si="233"/>
        <v>0</v>
      </c>
      <c r="Y1526" s="251"/>
      <c r="Z1526" s="1736"/>
      <c r="AA1526" s="1737"/>
      <c r="AB1526" s="77">
        <f t="shared" si="234"/>
        <v>0</v>
      </c>
      <c r="AC1526" s="134">
        <f t="shared" si="235"/>
        <v>0</v>
      </c>
      <c r="AD1526" s="251"/>
      <c r="AE1526" s="1736"/>
      <c r="AF1526" s="1737"/>
      <c r="AG1526" s="77">
        <f t="shared" si="236"/>
        <v>0</v>
      </c>
      <c r="AH1526" s="136">
        <f t="shared" si="237"/>
        <v>0</v>
      </c>
      <c r="AI1526" s="251"/>
      <c r="AJ1526" s="1736"/>
      <c r="AK1526" s="1737"/>
      <c r="AL1526" s="79">
        <f t="shared" si="238"/>
        <v>0</v>
      </c>
      <c r="AM1526" s="137">
        <f t="shared" si="239"/>
        <v>0</v>
      </c>
      <c r="AN1526" s="251"/>
      <c r="AO1526" s="1736"/>
      <c r="AP1526" s="1737"/>
    </row>
    <row r="1527" spans="1:42" s="85" customFormat="1" ht="13.5" thickBot="1">
      <c r="A1527" s="240"/>
      <c r="B1527" s="241"/>
      <c r="C1527" s="242"/>
      <c r="D1527" s="242"/>
      <c r="E1527" s="243"/>
      <c r="F1527" s="244"/>
      <c r="G1527" s="244"/>
      <c r="H1527" s="243"/>
      <c r="I1527" s="258"/>
      <c r="J1527" s="245"/>
      <c r="K1527" s="245"/>
      <c r="L1527" s="76">
        <f t="shared" si="230"/>
        <v>0</v>
      </c>
      <c r="M1527" s="246"/>
      <c r="N1527" s="247"/>
      <c r="O1527" s="248"/>
      <c r="P1527" s="246"/>
      <c r="Q1527" s="249"/>
      <c r="R1527" s="250"/>
      <c r="S1527" s="259"/>
      <c r="T1527" s="260"/>
      <c r="U1527" s="250"/>
      <c r="V1527" s="78">
        <f t="shared" si="231"/>
        <v>0</v>
      </c>
      <c r="W1527" s="261">
        <f t="shared" si="232"/>
        <v>0</v>
      </c>
      <c r="X1527" s="133">
        <f t="shared" si="233"/>
        <v>0</v>
      </c>
      <c r="Y1527" s="251"/>
      <c r="Z1527" s="1736"/>
      <c r="AA1527" s="1737"/>
      <c r="AB1527" s="77">
        <f t="shared" si="234"/>
        <v>0</v>
      </c>
      <c r="AC1527" s="134">
        <f t="shared" si="235"/>
        <v>0</v>
      </c>
      <c r="AD1527" s="251"/>
      <c r="AE1527" s="1736"/>
      <c r="AF1527" s="1737"/>
      <c r="AG1527" s="77">
        <f t="shared" si="236"/>
        <v>0</v>
      </c>
      <c r="AH1527" s="136">
        <f t="shared" si="237"/>
        <v>0</v>
      </c>
      <c r="AI1527" s="251"/>
      <c r="AJ1527" s="1736"/>
      <c r="AK1527" s="1737"/>
      <c r="AL1527" s="79">
        <f t="shared" si="238"/>
        <v>0</v>
      </c>
      <c r="AM1527" s="137">
        <f t="shared" si="239"/>
        <v>0</v>
      </c>
      <c r="AN1527" s="251"/>
      <c r="AO1527" s="1736"/>
      <c r="AP1527" s="1737"/>
    </row>
    <row r="1528" spans="1:42" s="85" customFormat="1" ht="13.5" thickBot="1">
      <c r="A1528" s="240"/>
      <c r="B1528" s="241"/>
      <c r="C1528" s="242"/>
      <c r="D1528" s="242"/>
      <c r="E1528" s="243"/>
      <c r="F1528" s="244"/>
      <c r="G1528" s="244"/>
      <c r="H1528" s="243"/>
      <c r="I1528" s="258"/>
      <c r="J1528" s="245"/>
      <c r="K1528" s="245"/>
      <c r="L1528" s="76">
        <f t="shared" si="230"/>
        <v>0</v>
      </c>
      <c r="M1528" s="246"/>
      <c r="N1528" s="247"/>
      <c r="O1528" s="248"/>
      <c r="P1528" s="246"/>
      <c r="Q1528" s="249"/>
      <c r="R1528" s="250"/>
      <c r="S1528" s="259"/>
      <c r="T1528" s="260"/>
      <c r="U1528" s="250"/>
      <c r="V1528" s="78">
        <f t="shared" si="231"/>
        <v>0</v>
      </c>
      <c r="W1528" s="261">
        <f t="shared" si="232"/>
        <v>0</v>
      </c>
      <c r="X1528" s="133">
        <f t="shared" si="233"/>
        <v>0</v>
      </c>
      <c r="Y1528" s="251"/>
      <c r="Z1528" s="1736"/>
      <c r="AA1528" s="1737"/>
      <c r="AB1528" s="77">
        <f t="shared" si="234"/>
        <v>0</v>
      </c>
      <c r="AC1528" s="134">
        <f t="shared" si="235"/>
        <v>0</v>
      </c>
      <c r="AD1528" s="251"/>
      <c r="AE1528" s="1736"/>
      <c r="AF1528" s="1737"/>
      <c r="AG1528" s="77">
        <f t="shared" si="236"/>
        <v>0</v>
      </c>
      <c r="AH1528" s="136">
        <f t="shared" si="237"/>
        <v>0</v>
      </c>
      <c r="AI1528" s="251"/>
      <c r="AJ1528" s="1736"/>
      <c r="AK1528" s="1737"/>
      <c r="AL1528" s="79">
        <f t="shared" si="238"/>
        <v>0</v>
      </c>
      <c r="AM1528" s="137">
        <f t="shared" si="239"/>
        <v>0</v>
      </c>
      <c r="AN1528" s="251"/>
      <c r="AO1528" s="1736"/>
      <c r="AP1528" s="1737"/>
    </row>
    <row r="1529" spans="1:42" s="85" customFormat="1" ht="13.5" thickBot="1">
      <c r="A1529" s="240"/>
      <c r="B1529" s="241"/>
      <c r="C1529" s="242"/>
      <c r="D1529" s="242"/>
      <c r="E1529" s="243"/>
      <c r="F1529" s="244"/>
      <c r="G1529" s="244"/>
      <c r="H1529" s="243"/>
      <c r="I1529" s="258"/>
      <c r="J1529" s="245"/>
      <c r="K1529" s="245"/>
      <c r="L1529" s="76">
        <f t="shared" si="230"/>
        <v>0</v>
      </c>
      <c r="M1529" s="246"/>
      <c r="N1529" s="247"/>
      <c r="O1529" s="248"/>
      <c r="P1529" s="246"/>
      <c r="Q1529" s="249"/>
      <c r="R1529" s="250"/>
      <c r="S1529" s="259"/>
      <c r="T1529" s="260"/>
      <c r="U1529" s="250"/>
      <c r="V1529" s="78">
        <f t="shared" si="231"/>
        <v>0</v>
      </c>
      <c r="W1529" s="261">
        <f t="shared" si="232"/>
        <v>0</v>
      </c>
      <c r="X1529" s="133">
        <f t="shared" si="233"/>
        <v>0</v>
      </c>
      <c r="Y1529" s="251"/>
      <c r="Z1529" s="1736"/>
      <c r="AA1529" s="1737"/>
      <c r="AB1529" s="77">
        <f t="shared" si="234"/>
        <v>0</v>
      </c>
      <c r="AC1529" s="134">
        <f t="shared" si="235"/>
        <v>0</v>
      </c>
      <c r="AD1529" s="251"/>
      <c r="AE1529" s="1736"/>
      <c r="AF1529" s="1737"/>
      <c r="AG1529" s="77">
        <f t="shared" si="236"/>
        <v>0</v>
      </c>
      <c r="AH1529" s="136">
        <f t="shared" si="237"/>
        <v>0</v>
      </c>
      <c r="AI1529" s="251"/>
      <c r="AJ1529" s="1736"/>
      <c r="AK1529" s="1737"/>
      <c r="AL1529" s="79">
        <f t="shared" si="238"/>
        <v>0</v>
      </c>
      <c r="AM1529" s="137">
        <f t="shared" si="239"/>
        <v>0</v>
      </c>
      <c r="AN1529" s="251"/>
      <c r="AO1529" s="1736"/>
      <c r="AP1529" s="1737"/>
    </row>
    <row r="1530" spans="1:42" s="85" customFormat="1" ht="13.5" thickBot="1">
      <c r="A1530" s="240"/>
      <c r="B1530" s="241"/>
      <c r="C1530" s="242"/>
      <c r="D1530" s="242"/>
      <c r="E1530" s="243"/>
      <c r="F1530" s="244"/>
      <c r="G1530" s="244"/>
      <c r="H1530" s="243"/>
      <c r="I1530" s="258"/>
      <c r="J1530" s="245"/>
      <c r="K1530" s="245"/>
      <c r="L1530" s="76">
        <f t="shared" si="230"/>
        <v>0</v>
      </c>
      <c r="M1530" s="246"/>
      <c r="N1530" s="247"/>
      <c r="O1530" s="248"/>
      <c r="P1530" s="246"/>
      <c r="Q1530" s="249"/>
      <c r="R1530" s="250"/>
      <c r="S1530" s="259"/>
      <c r="T1530" s="260"/>
      <c r="U1530" s="250"/>
      <c r="V1530" s="78">
        <f t="shared" si="231"/>
        <v>0</v>
      </c>
      <c r="W1530" s="261">
        <f t="shared" si="232"/>
        <v>0</v>
      </c>
      <c r="X1530" s="133">
        <f t="shared" si="233"/>
        <v>0</v>
      </c>
      <c r="Y1530" s="251"/>
      <c r="Z1530" s="1736"/>
      <c r="AA1530" s="1737"/>
      <c r="AB1530" s="77">
        <f t="shared" si="234"/>
        <v>0</v>
      </c>
      <c r="AC1530" s="134">
        <f t="shared" si="235"/>
        <v>0</v>
      </c>
      <c r="AD1530" s="251"/>
      <c r="AE1530" s="1736"/>
      <c r="AF1530" s="1737"/>
      <c r="AG1530" s="77">
        <f t="shared" si="236"/>
        <v>0</v>
      </c>
      <c r="AH1530" s="136">
        <f t="shared" si="237"/>
        <v>0</v>
      </c>
      <c r="AI1530" s="251"/>
      <c r="AJ1530" s="1736"/>
      <c r="AK1530" s="1737"/>
      <c r="AL1530" s="79">
        <f t="shared" si="238"/>
        <v>0</v>
      </c>
      <c r="AM1530" s="137">
        <f t="shared" si="239"/>
        <v>0</v>
      </c>
      <c r="AN1530" s="251"/>
      <c r="AO1530" s="1736"/>
      <c r="AP1530" s="1737"/>
    </row>
    <row r="1531" spans="1:42" s="85" customFormat="1" ht="13.5" thickBot="1">
      <c r="A1531" s="240"/>
      <c r="B1531" s="241"/>
      <c r="C1531" s="242"/>
      <c r="D1531" s="242"/>
      <c r="E1531" s="243"/>
      <c r="F1531" s="244"/>
      <c r="G1531" s="244"/>
      <c r="H1531" s="243"/>
      <c r="I1531" s="258"/>
      <c r="J1531" s="245"/>
      <c r="K1531" s="245"/>
      <c r="L1531" s="76">
        <f t="shared" si="230"/>
        <v>0</v>
      </c>
      <c r="M1531" s="246"/>
      <c r="N1531" s="247"/>
      <c r="O1531" s="248"/>
      <c r="P1531" s="246"/>
      <c r="Q1531" s="249"/>
      <c r="R1531" s="250"/>
      <c r="S1531" s="259"/>
      <c r="T1531" s="260"/>
      <c r="U1531" s="250"/>
      <c r="V1531" s="78">
        <f t="shared" si="231"/>
        <v>0</v>
      </c>
      <c r="W1531" s="261">
        <f t="shared" si="232"/>
        <v>0</v>
      </c>
      <c r="X1531" s="133">
        <f t="shared" si="233"/>
        <v>0</v>
      </c>
      <c r="Y1531" s="251"/>
      <c r="Z1531" s="1736"/>
      <c r="AA1531" s="1737"/>
      <c r="AB1531" s="77">
        <f t="shared" si="234"/>
        <v>0</v>
      </c>
      <c r="AC1531" s="134">
        <f t="shared" si="235"/>
        <v>0</v>
      </c>
      <c r="AD1531" s="251"/>
      <c r="AE1531" s="1736"/>
      <c r="AF1531" s="1737"/>
      <c r="AG1531" s="77">
        <f t="shared" si="236"/>
        <v>0</v>
      </c>
      <c r="AH1531" s="136">
        <f t="shared" si="237"/>
        <v>0</v>
      </c>
      <c r="AI1531" s="251"/>
      <c r="AJ1531" s="1736"/>
      <c r="AK1531" s="1737"/>
      <c r="AL1531" s="79">
        <f t="shared" si="238"/>
        <v>0</v>
      </c>
      <c r="AM1531" s="137">
        <f t="shared" si="239"/>
        <v>0</v>
      </c>
      <c r="AN1531" s="251"/>
      <c r="AO1531" s="1736"/>
      <c r="AP1531" s="1737"/>
    </row>
    <row r="1532" spans="1:42" s="85" customFormat="1" ht="13.5" thickBot="1">
      <c r="A1532" s="240"/>
      <c r="B1532" s="241"/>
      <c r="C1532" s="242"/>
      <c r="D1532" s="242"/>
      <c r="E1532" s="243"/>
      <c r="F1532" s="244"/>
      <c r="G1532" s="244"/>
      <c r="H1532" s="243"/>
      <c r="I1532" s="258"/>
      <c r="J1532" s="245"/>
      <c r="K1532" s="245"/>
      <c r="L1532" s="76">
        <f t="shared" si="230"/>
        <v>0</v>
      </c>
      <c r="M1532" s="246"/>
      <c r="N1532" s="247"/>
      <c r="O1532" s="248"/>
      <c r="P1532" s="246"/>
      <c r="Q1532" s="249"/>
      <c r="R1532" s="250"/>
      <c r="S1532" s="259"/>
      <c r="T1532" s="260"/>
      <c r="U1532" s="250"/>
      <c r="V1532" s="78">
        <f t="shared" si="231"/>
        <v>0</v>
      </c>
      <c r="W1532" s="261">
        <f t="shared" si="232"/>
        <v>0</v>
      </c>
      <c r="X1532" s="133">
        <f t="shared" si="233"/>
        <v>0</v>
      </c>
      <c r="Y1532" s="251"/>
      <c r="Z1532" s="1736"/>
      <c r="AA1532" s="1737"/>
      <c r="AB1532" s="77">
        <f t="shared" si="234"/>
        <v>0</v>
      </c>
      <c r="AC1532" s="134">
        <f t="shared" si="235"/>
        <v>0</v>
      </c>
      <c r="AD1532" s="251"/>
      <c r="AE1532" s="1736"/>
      <c r="AF1532" s="1737"/>
      <c r="AG1532" s="77">
        <f t="shared" si="236"/>
        <v>0</v>
      </c>
      <c r="AH1532" s="136">
        <f t="shared" si="237"/>
        <v>0</v>
      </c>
      <c r="AI1532" s="251"/>
      <c r="AJ1532" s="1736"/>
      <c r="AK1532" s="1737"/>
      <c r="AL1532" s="79">
        <f t="shared" si="238"/>
        <v>0</v>
      </c>
      <c r="AM1532" s="137">
        <f t="shared" si="239"/>
        <v>0</v>
      </c>
      <c r="AN1532" s="251"/>
      <c r="AO1532" s="1736"/>
      <c r="AP1532" s="1737"/>
    </row>
    <row r="1533" spans="1:42" s="85" customFormat="1" ht="13.5" thickBot="1">
      <c r="A1533" s="240"/>
      <c r="B1533" s="241"/>
      <c r="C1533" s="242"/>
      <c r="D1533" s="242"/>
      <c r="E1533" s="243"/>
      <c r="F1533" s="244"/>
      <c r="G1533" s="244"/>
      <c r="H1533" s="243"/>
      <c r="I1533" s="258"/>
      <c r="J1533" s="245"/>
      <c r="K1533" s="245"/>
      <c r="L1533" s="76">
        <f t="shared" si="230"/>
        <v>0</v>
      </c>
      <c r="M1533" s="246"/>
      <c r="N1533" s="247"/>
      <c r="O1533" s="248"/>
      <c r="P1533" s="246"/>
      <c r="Q1533" s="249"/>
      <c r="R1533" s="250"/>
      <c r="S1533" s="259"/>
      <c r="T1533" s="260"/>
      <c r="U1533" s="250"/>
      <c r="V1533" s="78">
        <f t="shared" si="231"/>
        <v>0</v>
      </c>
      <c r="W1533" s="261">
        <f t="shared" si="232"/>
        <v>0</v>
      </c>
      <c r="X1533" s="133">
        <f t="shared" si="233"/>
        <v>0</v>
      </c>
      <c r="Y1533" s="251"/>
      <c r="Z1533" s="1736"/>
      <c r="AA1533" s="1737"/>
      <c r="AB1533" s="77">
        <f t="shared" si="234"/>
        <v>0</v>
      </c>
      <c r="AC1533" s="134">
        <f t="shared" si="235"/>
        <v>0</v>
      </c>
      <c r="AD1533" s="251"/>
      <c r="AE1533" s="1736"/>
      <c r="AF1533" s="1737"/>
      <c r="AG1533" s="77">
        <f t="shared" si="236"/>
        <v>0</v>
      </c>
      <c r="AH1533" s="136">
        <f t="shared" si="237"/>
        <v>0</v>
      </c>
      <c r="AI1533" s="251"/>
      <c r="AJ1533" s="1736"/>
      <c r="AK1533" s="1737"/>
      <c r="AL1533" s="79">
        <f t="shared" si="238"/>
        <v>0</v>
      </c>
      <c r="AM1533" s="137">
        <f t="shared" si="239"/>
        <v>0</v>
      </c>
      <c r="AN1533" s="251"/>
      <c r="AO1533" s="1736"/>
      <c r="AP1533" s="1737"/>
    </row>
    <row r="1534" spans="1:42" s="85" customFormat="1" ht="13.5" thickBot="1">
      <c r="A1534" s="240"/>
      <c r="B1534" s="241"/>
      <c r="C1534" s="242"/>
      <c r="D1534" s="242"/>
      <c r="E1534" s="243"/>
      <c r="F1534" s="244"/>
      <c r="G1534" s="244"/>
      <c r="H1534" s="243"/>
      <c r="I1534" s="258"/>
      <c r="J1534" s="245"/>
      <c r="K1534" s="245"/>
      <c r="L1534" s="76">
        <f t="shared" si="230"/>
        <v>0</v>
      </c>
      <c r="M1534" s="246"/>
      <c r="N1534" s="247"/>
      <c r="O1534" s="248"/>
      <c r="P1534" s="246"/>
      <c r="Q1534" s="249"/>
      <c r="R1534" s="250"/>
      <c r="S1534" s="259"/>
      <c r="T1534" s="260"/>
      <c r="U1534" s="250"/>
      <c r="V1534" s="78">
        <f t="shared" si="231"/>
        <v>0</v>
      </c>
      <c r="W1534" s="261">
        <f t="shared" si="232"/>
        <v>0</v>
      </c>
      <c r="X1534" s="133">
        <f t="shared" si="233"/>
        <v>0</v>
      </c>
      <c r="Y1534" s="251"/>
      <c r="Z1534" s="1736"/>
      <c r="AA1534" s="1737"/>
      <c r="AB1534" s="77">
        <f t="shared" si="234"/>
        <v>0</v>
      </c>
      <c r="AC1534" s="134">
        <f t="shared" si="235"/>
        <v>0</v>
      </c>
      <c r="AD1534" s="251"/>
      <c r="AE1534" s="1736"/>
      <c r="AF1534" s="1737"/>
      <c r="AG1534" s="77">
        <f t="shared" si="236"/>
        <v>0</v>
      </c>
      <c r="AH1534" s="136">
        <f t="shared" si="237"/>
        <v>0</v>
      </c>
      <c r="AI1534" s="251"/>
      <c r="AJ1534" s="1736"/>
      <c r="AK1534" s="1737"/>
      <c r="AL1534" s="79">
        <f t="shared" si="238"/>
        <v>0</v>
      </c>
      <c r="AM1534" s="137">
        <f t="shared" si="239"/>
        <v>0</v>
      </c>
      <c r="AN1534" s="251"/>
      <c r="AO1534" s="1736"/>
      <c r="AP1534" s="1737"/>
    </row>
    <row r="1535" spans="1:42" s="85" customFormat="1" ht="13.5" thickBot="1">
      <c r="A1535" s="240"/>
      <c r="B1535" s="241"/>
      <c r="C1535" s="242"/>
      <c r="D1535" s="242"/>
      <c r="E1535" s="243"/>
      <c r="F1535" s="244"/>
      <c r="G1535" s="244"/>
      <c r="H1535" s="243"/>
      <c r="I1535" s="258"/>
      <c r="J1535" s="245"/>
      <c r="K1535" s="245"/>
      <c r="L1535" s="76">
        <f t="shared" si="230"/>
        <v>0</v>
      </c>
      <c r="M1535" s="246"/>
      <c r="N1535" s="247"/>
      <c r="O1535" s="248"/>
      <c r="P1535" s="246"/>
      <c r="Q1535" s="249"/>
      <c r="R1535" s="250"/>
      <c r="S1535" s="259"/>
      <c r="T1535" s="260"/>
      <c r="U1535" s="250"/>
      <c r="V1535" s="78">
        <f t="shared" si="231"/>
        <v>0</v>
      </c>
      <c r="W1535" s="261">
        <f t="shared" si="232"/>
        <v>0</v>
      </c>
      <c r="X1535" s="133">
        <f t="shared" si="233"/>
        <v>0</v>
      </c>
      <c r="Y1535" s="251"/>
      <c r="Z1535" s="1736"/>
      <c r="AA1535" s="1737"/>
      <c r="AB1535" s="77">
        <f t="shared" si="234"/>
        <v>0</v>
      </c>
      <c r="AC1535" s="134">
        <f t="shared" si="235"/>
        <v>0</v>
      </c>
      <c r="AD1535" s="251"/>
      <c r="AE1535" s="1736"/>
      <c r="AF1535" s="1737"/>
      <c r="AG1535" s="77">
        <f t="shared" si="236"/>
        <v>0</v>
      </c>
      <c r="AH1535" s="136">
        <f t="shared" si="237"/>
        <v>0</v>
      </c>
      <c r="AI1535" s="251"/>
      <c r="AJ1535" s="1736"/>
      <c r="AK1535" s="1737"/>
      <c r="AL1535" s="79">
        <f t="shared" si="238"/>
        <v>0</v>
      </c>
      <c r="AM1535" s="137">
        <f t="shared" si="239"/>
        <v>0</v>
      </c>
      <c r="AN1535" s="251"/>
      <c r="AO1535" s="1736"/>
      <c r="AP1535" s="1737"/>
    </row>
    <row r="1536" spans="1:42" s="85" customFormat="1" ht="13.5" thickBot="1">
      <c r="A1536" s="240"/>
      <c r="B1536" s="241"/>
      <c r="C1536" s="242"/>
      <c r="D1536" s="242"/>
      <c r="E1536" s="243"/>
      <c r="F1536" s="244"/>
      <c r="G1536" s="244"/>
      <c r="H1536" s="243"/>
      <c r="I1536" s="258"/>
      <c r="J1536" s="245"/>
      <c r="K1536" s="245"/>
      <c r="L1536" s="76">
        <f t="shared" si="230"/>
        <v>0</v>
      </c>
      <c r="M1536" s="246"/>
      <c r="N1536" s="247"/>
      <c r="O1536" s="248"/>
      <c r="P1536" s="246"/>
      <c r="Q1536" s="249"/>
      <c r="R1536" s="250"/>
      <c r="S1536" s="259"/>
      <c r="T1536" s="260"/>
      <c r="U1536" s="250"/>
      <c r="V1536" s="78">
        <f t="shared" si="231"/>
        <v>0</v>
      </c>
      <c r="W1536" s="261">
        <f t="shared" si="232"/>
        <v>0</v>
      </c>
      <c r="X1536" s="133">
        <f t="shared" si="233"/>
        <v>0</v>
      </c>
      <c r="Y1536" s="251"/>
      <c r="Z1536" s="1736"/>
      <c r="AA1536" s="1737"/>
      <c r="AB1536" s="77">
        <f t="shared" si="234"/>
        <v>0</v>
      </c>
      <c r="AC1536" s="134">
        <f t="shared" si="235"/>
        <v>0</v>
      </c>
      <c r="AD1536" s="251"/>
      <c r="AE1536" s="1736"/>
      <c r="AF1536" s="1737"/>
      <c r="AG1536" s="77">
        <f t="shared" si="236"/>
        <v>0</v>
      </c>
      <c r="AH1536" s="136">
        <f t="shared" si="237"/>
        <v>0</v>
      </c>
      <c r="AI1536" s="251"/>
      <c r="AJ1536" s="1736"/>
      <c r="AK1536" s="1737"/>
      <c r="AL1536" s="79">
        <f t="shared" si="238"/>
        <v>0</v>
      </c>
      <c r="AM1536" s="137">
        <f t="shared" si="239"/>
        <v>0</v>
      </c>
      <c r="AN1536" s="251"/>
      <c r="AO1536" s="1736"/>
      <c r="AP1536" s="1737"/>
    </row>
    <row r="1537" spans="1:42" s="85" customFormat="1" ht="13.5" thickBot="1">
      <c r="A1537" s="240"/>
      <c r="B1537" s="241"/>
      <c r="C1537" s="242"/>
      <c r="D1537" s="242"/>
      <c r="E1537" s="243"/>
      <c r="F1537" s="244"/>
      <c r="G1537" s="244"/>
      <c r="H1537" s="243"/>
      <c r="I1537" s="258"/>
      <c r="J1537" s="245"/>
      <c r="K1537" s="245"/>
      <c r="L1537" s="76">
        <f t="shared" si="230"/>
        <v>0</v>
      </c>
      <c r="M1537" s="246"/>
      <c r="N1537" s="247"/>
      <c r="O1537" s="248"/>
      <c r="P1537" s="246"/>
      <c r="Q1537" s="249"/>
      <c r="R1537" s="250"/>
      <c r="S1537" s="259"/>
      <c r="T1537" s="260"/>
      <c r="U1537" s="250"/>
      <c r="V1537" s="78">
        <f t="shared" si="231"/>
        <v>0</v>
      </c>
      <c r="W1537" s="261">
        <f t="shared" si="232"/>
        <v>0</v>
      </c>
      <c r="X1537" s="133">
        <f t="shared" si="233"/>
        <v>0</v>
      </c>
      <c r="Y1537" s="251"/>
      <c r="Z1537" s="1736"/>
      <c r="AA1537" s="1737"/>
      <c r="AB1537" s="77">
        <f t="shared" si="234"/>
        <v>0</v>
      </c>
      <c r="AC1537" s="134">
        <f t="shared" si="235"/>
        <v>0</v>
      </c>
      <c r="AD1537" s="251"/>
      <c r="AE1537" s="1736"/>
      <c r="AF1537" s="1737"/>
      <c r="AG1537" s="77">
        <f t="shared" si="236"/>
        <v>0</v>
      </c>
      <c r="AH1537" s="136">
        <f t="shared" si="237"/>
        <v>0</v>
      </c>
      <c r="AI1537" s="251"/>
      <c r="AJ1537" s="1736"/>
      <c r="AK1537" s="1737"/>
      <c r="AL1537" s="79">
        <f t="shared" si="238"/>
        <v>0</v>
      </c>
      <c r="AM1537" s="137">
        <f t="shared" si="239"/>
        <v>0</v>
      </c>
      <c r="AN1537" s="251"/>
      <c r="AO1537" s="1736"/>
      <c r="AP1537" s="1737"/>
    </row>
    <row r="1538" spans="1:42" s="85" customFormat="1" ht="13.5" thickBot="1">
      <c r="A1538" s="240"/>
      <c r="B1538" s="241"/>
      <c r="C1538" s="242"/>
      <c r="D1538" s="242"/>
      <c r="E1538" s="243"/>
      <c r="F1538" s="244"/>
      <c r="G1538" s="244"/>
      <c r="H1538" s="243"/>
      <c r="I1538" s="258"/>
      <c r="J1538" s="245"/>
      <c r="K1538" s="245"/>
      <c r="L1538" s="76">
        <f t="shared" si="230"/>
        <v>0</v>
      </c>
      <c r="M1538" s="246"/>
      <c r="N1538" s="247"/>
      <c r="O1538" s="248"/>
      <c r="P1538" s="246"/>
      <c r="Q1538" s="249"/>
      <c r="R1538" s="250"/>
      <c r="S1538" s="259"/>
      <c r="T1538" s="260"/>
      <c r="U1538" s="250"/>
      <c r="V1538" s="78">
        <f t="shared" si="231"/>
        <v>0</v>
      </c>
      <c r="W1538" s="261">
        <f t="shared" si="232"/>
        <v>0</v>
      </c>
      <c r="X1538" s="133">
        <f t="shared" si="233"/>
        <v>0</v>
      </c>
      <c r="Y1538" s="251"/>
      <c r="Z1538" s="1736"/>
      <c r="AA1538" s="1737"/>
      <c r="AB1538" s="77">
        <f t="shared" si="234"/>
        <v>0</v>
      </c>
      <c r="AC1538" s="134">
        <f t="shared" si="235"/>
        <v>0</v>
      </c>
      <c r="AD1538" s="251"/>
      <c r="AE1538" s="1736"/>
      <c r="AF1538" s="1737"/>
      <c r="AG1538" s="77">
        <f t="shared" si="236"/>
        <v>0</v>
      </c>
      <c r="AH1538" s="136">
        <f t="shared" si="237"/>
        <v>0</v>
      </c>
      <c r="AI1538" s="251"/>
      <c r="AJ1538" s="1736"/>
      <c r="AK1538" s="1737"/>
      <c r="AL1538" s="79">
        <f t="shared" si="238"/>
        <v>0</v>
      </c>
      <c r="AM1538" s="137">
        <f t="shared" si="239"/>
        <v>0</v>
      </c>
      <c r="AN1538" s="251"/>
      <c r="AO1538" s="1736"/>
      <c r="AP1538" s="1737"/>
    </row>
    <row r="1539" spans="1:42" s="85" customFormat="1" ht="13.5" thickBot="1">
      <c r="A1539" s="240"/>
      <c r="B1539" s="241"/>
      <c r="C1539" s="242"/>
      <c r="D1539" s="242"/>
      <c r="E1539" s="243"/>
      <c r="F1539" s="244"/>
      <c r="G1539" s="244"/>
      <c r="H1539" s="243"/>
      <c r="I1539" s="258"/>
      <c r="J1539" s="245"/>
      <c r="K1539" s="245"/>
      <c r="L1539" s="76">
        <f t="shared" si="230"/>
        <v>0</v>
      </c>
      <c r="M1539" s="246"/>
      <c r="N1539" s="247"/>
      <c r="O1539" s="248"/>
      <c r="P1539" s="246"/>
      <c r="Q1539" s="249"/>
      <c r="R1539" s="250"/>
      <c r="S1539" s="259"/>
      <c r="T1539" s="260"/>
      <c r="U1539" s="250"/>
      <c r="V1539" s="78">
        <f t="shared" si="231"/>
        <v>0</v>
      </c>
      <c r="W1539" s="261">
        <f t="shared" si="232"/>
        <v>0</v>
      </c>
      <c r="X1539" s="133">
        <f t="shared" si="233"/>
        <v>0</v>
      </c>
      <c r="Y1539" s="251"/>
      <c r="Z1539" s="1736"/>
      <c r="AA1539" s="1737"/>
      <c r="AB1539" s="77">
        <f t="shared" si="234"/>
        <v>0</v>
      </c>
      <c r="AC1539" s="134">
        <f t="shared" si="235"/>
        <v>0</v>
      </c>
      <c r="AD1539" s="251"/>
      <c r="AE1539" s="1736"/>
      <c r="AF1539" s="1737"/>
      <c r="AG1539" s="77">
        <f t="shared" si="236"/>
        <v>0</v>
      </c>
      <c r="AH1539" s="136">
        <f t="shared" si="237"/>
        <v>0</v>
      </c>
      <c r="AI1539" s="251"/>
      <c r="AJ1539" s="1736"/>
      <c r="AK1539" s="1737"/>
      <c r="AL1539" s="79">
        <f t="shared" si="238"/>
        <v>0</v>
      </c>
      <c r="AM1539" s="137">
        <f t="shared" si="239"/>
        <v>0</v>
      </c>
      <c r="AN1539" s="251"/>
      <c r="AO1539" s="1736"/>
      <c r="AP1539" s="1737"/>
    </row>
    <row r="1540" spans="1:42" s="85" customFormat="1" ht="13.5" thickBot="1">
      <c r="A1540" s="240"/>
      <c r="B1540" s="241"/>
      <c r="C1540" s="242"/>
      <c r="D1540" s="242"/>
      <c r="E1540" s="243"/>
      <c r="F1540" s="244"/>
      <c r="G1540" s="244"/>
      <c r="H1540" s="243"/>
      <c r="I1540" s="258"/>
      <c r="J1540" s="245"/>
      <c r="K1540" s="245"/>
      <c r="L1540" s="76">
        <f t="shared" si="230"/>
        <v>0</v>
      </c>
      <c r="M1540" s="246"/>
      <c r="N1540" s="247"/>
      <c r="O1540" s="248"/>
      <c r="P1540" s="246"/>
      <c r="Q1540" s="249"/>
      <c r="R1540" s="250"/>
      <c r="S1540" s="259"/>
      <c r="T1540" s="260"/>
      <c r="U1540" s="250"/>
      <c r="V1540" s="78">
        <f t="shared" si="231"/>
        <v>0</v>
      </c>
      <c r="W1540" s="261">
        <f t="shared" si="232"/>
        <v>0</v>
      </c>
      <c r="X1540" s="133">
        <f t="shared" si="233"/>
        <v>0</v>
      </c>
      <c r="Y1540" s="251"/>
      <c r="Z1540" s="1736"/>
      <c r="AA1540" s="1737"/>
      <c r="AB1540" s="77">
        <f t="shared" si="234"/>
        <v>0</v>
      </c>
      <c r="AC1540" s="134">
        <f t="shared" si="235"/>
        <v>0</v>
      </c>
      <c r="AD1540" s="251"/>
      <c r="AE1540" s="1736"/>
      <c r="AF1540" s="1737"/>
      <c r="AG1540" s="77">
        <f t="shared" si="236"/>
        <v>0</v>
      </c>
      <c r="AH1540" s="136">
        <f t="shared" si="237"/>
        <v>0</v>
      </c>
      <c r="AI1540" s="251"/>
      <c r="AJ1540" s="1736"/>
      <c r="AK1540" s="1737"/>
      <c r="AL1540" s="79">
        <f t="shared" si="238"/>
        <v>0</v>
      </c>
      <c r="AM1540" s="137">
        <f t="shared" si="239"/>
        <v>0</v>
      </c>
      <c r="AN1540" s="251"/>
      <c r="AO1540" s="1736"/>
      <c r="AP1540" s="1737"/>
    </row>
    <row r="1541" spans="1:42" s="85" customFormat="1" ht="13.5" thickBot="1">
      <c r="A1541" s="240"/>
      <c r="B1541" s="241"/>
      <c r="C1541" s="242"/>
      <c r="D1541" s="242"/>
      <c r="E1541" s="243"/>
      <c r="F1541" s="244"/>
      <c r="G1541" s="244"/>
      <c r="H1541" s="243"/>
      <c r="I1541" s="258"/>
      <c r="J1541" s="245"/>
      <c r="K1541" s="245"/>
      <c r="L1541" s="76">
        <f t="shared" si="230"/>
        <v>0</v>
      </c>
      <c r="M1541" s="246"/>
      <c r="N1541" s="247"/>
      <c r="O1541" s="248"/>
      <c r="P1541" s="246"/>
      <c r="Q1541" s="249"/>
      <c r="R1541" s="250"/>
      <c r="S1541" s="259"/>
      <c r="T1541" s="260"/>
      <c r="U1541" s="250"/>
      <c r="V1541" s="78">
        <f t="shared" si="231"/>
        <v>0</v>
      </c>
      <c r="W1541" s="261">
        <f t="shared" si="232"/>
        <v>0</v>
      </c>
      <c r="X1541" s="133">
        <f t="shared" si="233"/>
        <v>0</v>
      </c>
      <c r="Y1541" s="251"/>
      <c r="Z1541" s="1736"/>
      <c r="AA1541" s="1737"/>
      <c r="AB1541" s="77">
        <f t="shared" si="234"/>
        <v>0</v>
      </c>
      <c r="AC1541" s="134">
        <f t="shared" si="235"/>
        <v>0</v>
      </c>
      <c r="AD1541" s="251"/>
      <c r="AE1541" s="1736"/>
      <c r="AF1541" s="1737"/>
      <c r="AG1541" s="77">
        <f t="shared" si="236"/>
        <v>0</v>
      </c>
      <c r="AH1541" s="136">
        <f t="shared" si="237"/>
        <v>0</v>
      </c>
      <c r="AI1541" s="251"/>
      <c r="AJ1541" s="1736"/>
      <c r="AK1541" s="1737"/>
      <c r="AL1541" s="79">
        <f t="shared" si="238"/>
        <v>0</v>
      </c>
      <c r="AM1541" s="137">
        <f t="shared" si="239"/>
        <v>0</v>
      </c>
      <c r="AN1541" s="251"/>
      <c r="AO1541" s="1736"/>
      <c r="AP1541" s="1737"/>
    </row>
    <row r="1542" spans="1:42" s="85" customFormat="1" ht="13.5" thickBot="1">
      <c r="A1542" s="240"/>
      <c r="B1542" s="241"/>
      <c r="C1542" s="242"/>
      <c r="D1542" s="242"/>
      <c r="E1542" s="243"/>
      <c r="F1542" s="244"/>
      <c r="G1542" s="244"/>
      <c r="H1542" s="243"/>
      <c r="I1542" s="258"/>
      <c r="J1542" s="245"/>
      <c r="K1542" s="245"/>
      <c r="L1542" s="76">
        <f t="shared" si="230"/>
        <v>0</v>
      </c>
      <c r="M1542" s="246"/>
      <c r="N1542" s="247"/>
      <c r="O1542" s="248"/>
      <c r="P1542" s="246"/>
      <c r="Q1542" s="249"/>
      <c r="R1542" s="250"/>
      <c r="S1542" s="259"/>
      <c r="T1542" s="260"/>
      <c r="U1542" s="250"/>
      <c r="V1542" s="78">
        <f t="shared" si="231"/>
        <v>0</v>
      </c>
      <c r="W1542" s="261">
        <f t="shared" si="232"/>
        <v>0</v>
      </c>
      <c r="X1542" s="133">
        <f t="shared" si="233"/>
        <v>0</v>
      </c>
      <c r="Y1542" s="251"/>
      <c r="Z1542" s="1736"/>
      <c r="AA1542" s="1737"/>
      <c r="AB1542" s="77">
        <f t="shared" si="234"/>
        <v>0</v>
      </c>
      <c r="AC1542" s="134">
        <f t="shared" si="235"/>
        <v>0</v>
      </c>
      <c r="AD1542" s="251"/>
      <c r="AE1542" s="1736"/>
      <c r="AF1542" s="1737"/>
      <c r="AG1542" s="77">
        <f t="shared" si="236"/>
        <v>0</v>
      </c>
      <c r="AH1542" s="136">
        <f t="shared" si="237"/>
        <v>0</v>
      </c>
      <c r="AI1542" s="251"/>
      <c r="AJ1542" s="1736"/>
      <c r="AK1542" s="1737"/>
      <c r="AL1542" s="79">
        <f t="shared" si="238"/>
        <v>0</v>
      </c>
      <c r="AM1542" s="137">
        <f t="shared" si="239"/>
        <v>0</v>
      </c>
      <c r="AN1542" s="251"/>
      <c r="AO1542" s="1736"/>
      <c r="AP1542" s="1737"/>
    </row>
    <row r="1543" spans="1:42" s="85" customFormat="1" ht="13.5" thickBot="1">
      <c r="A1543" s="240"/>
      <c r="B1543" s="241"/>
      <c r="C1543" s="242"/>
      <c r="D1543" s="242"/>
      <c r="E1543" s="243"/>
      <c r="F1543" s="244"/>
      <c r="G1543" s="244"/>
      <c r="H1543" s="243"/>
      <c r="I1543" s="258"/>
      <c r="J1543" s="245"/>
      <c r="K1543" s="245"/>
      <c r="L1543" s="76">
        <f t="shared" si="230"/>
        <v>0</v>
      </c>
      <c r="M1543" s="246"/>
      <c r="N1543" s="247"/>
      <c r="O1543" s="248"/>
      <c r="P1543" s="246"/>
      <c r="Q1543" s="249"/>
      <c r="R1543" s="250"/>
      <c r="S1543" s="259"/>
      <c r="T1543" s="260"/>
      <c r="U1543" s="250"/>
      <c r="V1543" s="78">
        <f t="shared" si="231"/>
        <v>0</v>
      </c>
      <c r="W1543" s="261">
        <f t="shared" si="232"/>
        <v>0</v>
      </c>
      <c r="X1543" s="133">
        <f t="shared" si="233"/>
        <v>0</v>
      </c>
      <c r="Y1543" s="251"/>
      <c r="Z1543" s="1736"/>
      <c r="AA1543" s="1737"/>
      <c r="AB1543" s="77">
        <f t="shared" si="234"/>
        <v>0</v>
      </c>
      <c r="AC1543" s="134">
        <f t="shared" si="235"/>
        <v>0</v>
      </c>
      <c r="AD1543" s="251"/>
      <c r="AE1543" s="1736"/>
      <c r="AF1543" s="1737"/>
      <c r="AG1543" s="77">
        <f t="shared" si="236"/>
        <v>0</v>
      </c>
      <c r="AH1543" s="136">
        <f t="shared" si="237"/>
        <v>0</v>
      </c>
      <c r="AI1543" s="251"/>
      <c r="AJ1543" s="1736"/>
      <c r="AK1543" s="1737"/>
      <c r="AL1543" s="79">
        <f t="shared" si="238"/>
        <v>0</v>
      </c>
      <c r="AM1543" s="137">
        <f t="shared" si="239"/>
        <v>0</v>
      </c>
      <c r="AN1543" s="251"/>
      <c r="AO1543" s="1736"/>
      <c r="AP1543" s="1737"/>
    </row>
    <row r="1544" spans="1:42" s="85" customFormat="1" ht="13.5" thickBot="1">
      <c r="A1544" s="240"/>
      <c r="B1544" s="241"/>
      <c r="C1544" s="242"/>
      <c r="D1544" s="242"/>
      <c r="E1544" s="243"/>
      <c r="F1544" s="244"/>
      <c r="G1544" s="244"/>
      <c r="H1544" s="243"/>
      <c r="I1544" s="258"/>
      <c r="J1544" s="245"/>
      <c r="K1544" s="245"/>
      <c r="L1544" s="76">
        <f t="shared" si="230"/>
        <v>0</v>
      </c>
      <c r="M1544" s="246"/>
      <c r="N1544" s="247"/>
      <c r="O1544" s="248"/>
      <c r="P1544" s="246"/>
      <c r="Q1544" s="249"/>
      <c r="R1544" s="250"/>
      <c r="S1544" s="259"/>
      <c r="T1544" s="260"/>
      <c r="U1544" s="250"/>
      <c r="V1544" s="78">
        <f t="shared" si="231"/>
        <v>0</v>
      </c>
      <c r="W1544" s="261">
        <f t="shared" si="232"/>
        <v>0</v>
      </c>
      <c r="X1544" s="133">
        <f t="shared" si="233"/>
        <v>0</v>
      </c>
      <c r="Y1544" s="251"/>
      <c r="Z1544" s="1736"/>
      <c r="AA1544" s="1737"/>
      <c r="AB1544" s="77">
        <f t="shared" si="234"/>
        <v>0</v>
      </c>
      <c r="AC1544" s="134">
        <f t="shared" si="235"/>
        <v>0</v>
      </c>
      <c r="AD1544" s="251"/>
      <c r="AE1544" s="1736"/>
      <c r="AF1544" s="1737"/>
      <c r="AG1544" s="77">
        <f t="shared" si="236"/>
        <v>0</v>
      </c>
      <c r="AH1544" s="136">
        <f t="shared" si="237"/>
        <v>0</v>
      </c>
      <c r="AI1544" s="251"/>
      <c r="AJ1544" s="1736"/>
      <c r="AK1544" s="1737"/>
      <c r="AL1544" s="79">
        <f t="shared" si="238"/>
        <v>0</v>
      </c>
      <c r="AM1544" s="137">
        <f t="shared" si="239"/>
        <v>0</v>
      </c>
      <c r="AN1544" s="251"/>
      <c r="AO1544" s="1736"/>
      <c r="AP1544" s="1737"/>
    </row>
    <row r="1545" spans="1:42" s="85" customFormat="1" ht="13.5" thickBot="1">
      <c r="A1545" s="240"/>
      <c r="B1545" s="241"/>
      <c r="C1545" s="242"/>
      <c r="D1545" s="242"/>
      <c r="E1545" s="243"/>
      <c r="F1545" s="244"/>
      <c r="G1545" s="244"/>
      <c r="H1545" s="243"/>
      <c r="I1545" s="258"/>
      <c r="J1545" s="245"/>
      <c r="K1545" s="245"/>
      <c r="L1545" s="76">
        <f t="shared" si="230"/>
        <v>0</v>
      </c>
      <c r="M1545" s="246"/>
      <c r="N1545" s="247"/>
      <c r="O1545" s="248"/>
      <c r="P1545" s="246"/>
      <c r="Q1545" s="249"/>
      <c r="R1545" s="250"/>
      <c r="S1545" s="259"/>
      <c r="T1545" s="260"/>
      <c r="U1545" s="250"/>
      <c r="V1545" s="78">
        <f t="shared" si="231"/>
        <v>0</v>
      </c>
      <c r="W1545" s="261">
        <f t="shared" si="232"/>
        <v>0</v>
      </c>
      <c r="X1545" s="133">
        <f t="shared" si="233"/>
        <v>0</v>
      </c>
      <c r="Y1545" s="251"/>
      <c r="Z1545" s="1736"/>
      <c r="AA1545" s="1737"/>
      <c r="AB1545" s="77">
        <f t="shared" si="234"/>
        <v>0</v>
      </c>
      <c r="AC1545" s="134">
        <f t="shared" si="235"/>
        <v>0</v>
      </c>
      <c r="AD1545" s="251"/>
      <c r="AE1545" s="1736"/>
      <c r="AF1545" s="1737"/>
      <c r="AG1545" s="77">
        <f t="shared" si="236"/>
        <v>0</v>
      </c>
      <c r="AH1545" s="136">
        <f t="shared" si="237"/>
        <v>0</v>
      </c>
      <c r="AI1545" s="251"/>
      <c r="AJ1545" s="1736"/>
      <c r="AK1545" s="1737"/>
      <c r="AL1545" s="79">
        <f t="shared" si="238"/>
        <v>0</v>
      </c>
      <c r="AM1545" s="137">
        <f t="shared" si="239"/>
        <v>0</v>
      </c>
      <c r="AN1545" s="251"/>
      <c r="AO1545" s="1736"/>
      <c r="AP1545" s="1737"/>
    </row>
    <row r="1546" spans="1:42" s="85" customFormat="1" ht="13.5" thickBot="1">
      <c r="A1546" s="240"/>
      <c r="B1546" s="241"/>
      <c r="C1546" s="242"/>
      <c r="D1546" s="242"/>
      <c r="E1546" s="243"/>
      <c r="F1546" s="244"/>
      <c r="G1546" s="244"/>
      <c r="H1546" s="243"/>
      <c r="I1546" s="258"/>
      <c r="J1546" s="245"/>
      <c r="K1546" s="245"/>
      <c r="L1546" s="76">
        <f t="shared" si="230"/>
        <v>0</v>
      </c>
      <c r="M1546" s="246"/>
      <c r="N1546" s="247"/>
      <c r="O1546" s="248"/>
      <c r="P1546" s="246"/>
      <c r="Q1546" s="249"/>
      <c r="R1546" s="250"/>
      <c r="S1546" s="259"/>
      <c r="T1546" s="260"/>
      <c r="U1546" s="250"/>
      <c r="V1546" s="78">
        <f t="shared" si="231"/>
        <v>0</v>
      </c>
      <c r="W1546" s="261">
        <f t="shared" si="232"/>
        <v>0</v>
      </c>
      <c r="X1546" s="133">
        <f t="shared" si="233"/>
        <v>0</v>
      </c>
      <c r="Y1546" s="251"/>
      <c r="Z1546" s="1736"/>
      <c r="AA1546" s="1737"/>
      <c r="AB1546" s="77">
        <f t="shared" si="234"/>
        <v>0</v>
      </c>
      <c r="AC1546" s="134">
        <f t="shared" si="235"/>
        <v>0</v>
      </c>
      <c r="AD1546" s="251"/>
      <c r="AE1546" s="1736"/>
      <c r="AF1546" s="1737"/>
      <c r="AG1546" s="77">
        <f t="shared" si="236"/>
        <v>0</v>
      </c>
      <c r="AH1546" s="136">
        <f t="shared" si="237"/>
        <v>0</v>
      </c>
      <c r="AI1546" s="251"/>
      <c r="AJ1546" s="1736"/>
      <c r="AK1546" s="1737"/>
      <c r="AL1546" s="79">
        <f t="shared" si="238"/>
        <v>0</v>
      </c>
      <c r="AM1546" s="137">
        <f t="shared" si="239"/>
        <v>0</v>
      </c>
      <c r="AN1546" s="251"/>
      <c r="AO1546" s="1736"/>
      <c r="AP1546" s="1737"/>
    </row>
    <row r="1547" spans="1:42" s="85" customFormat="1" ht="13.5" thickBot="1">
      <c r="A1547" s="240"/>
      <c r="B1547" s="241"/>
      <c r="C1547" s="242"/>
      <c r="D1547" s="242"/>
      <c r="E1547" s="243"/>
      <c r="F1547" s="244"/>
      <c r="G1547" s="244"/>
      <c r="H1547" s="243"/>
      <c r="I1547" s="258"/>
      <c r="J1547" s="245"/>
      <c r="K1547" s="245"/>
      <c r="L1547" s="76">
        <f t="shared" ref="L1547:L1610" si="240">IF(I1547=0,0,(K1547+J1547)/I1547)</f>
        <v>0</v>
      </c>
      <c r="M1547" s="246"/>
      <c r="N1547" s="247"/>
      <c r="O1547" s="248"/>
      <c r="P1547" s="246"/>
      <c r="Q1547" s="249"/>
      <c r="R1547" s="250"/>
      <c r="S1547" s="259"/>
      <c r="T1547" s="260"/>
      <c r="U1547" s="250"/>
      <c r="V1547" s="78">
        <f t="shared" ref="V1547:V1610" si="241">IF(U1547=0,0,((U1547*S1547)-AB1547-AL1547))</f>
        <v>0</v>
      </c>
      <c r="W1547" s="261">
        <f t="shared" ref="W1547:W1610" si="242">+S1547-I1547</f>
        <v>0</v>
      </c>
      <c r="X1547" s="133">
        <f t="shared" ref="X1547:X1610" si="243">(V1547-J1547)</f>
        <v>0</v>
      </c>
      <c r="Y1547" s="251"/>
      <c r="Z1547" s="1736"/>
      <c r="AA1547" s="1737"/>
      <c r="AB1547" s="77">
        <f t="shared" ref="AB1547:AB1610" si="244">(IF(I1547=0,0,M1547/H1547))*S1547</f>
        <v>0</v>
      </c>
      <c r="AC1547" s="134">
        <f t="shared" ref="AC1547:AC1610" si="245">+AB1547-P1547</f>
        <v>0</v>
      </c>
      <c r="AD1547" s="251"/>
      <c r="AE1547" s="1736"/>
      <c r="AF1547" s="1737"/>
      <c r="AG1547" s="77">
        <f t="shared" ref="AG1547:AG1610" si="246">(IF(H1547=0,0,N1547/H1547))*T1547</f>
        <v>0</v>
      </c>
      <c r="AH1547" s="136">
        <f t="shared" ref="AH1547:AH1610" si="247">+AG1547-Q1547</f>
        <v>0</v>
      </c>
      <c r="AI1547" s="251"/>
      <c r="AJ1547" s="1736"/>
      <c r="AK1547" s="1737"/>
      <c r="AL1547" s="79">
        <f t="shared" ref="AL1547:AL1610" si="248">+O1547*S1547</f>
        <v>0</v>
      </c>
      <c r="AM1547" s="137">
        <f t="shared" ref="AM1547:AM1610" si="249">+AL1547-R1547</f>
        <v>0</v>
      </c>
      <c r="AN1547" s="251"/>
      <c r="AO1547" s="1736"/>
      <c r="AP1547" s="1737"/>
    </row>
    <row r="1548" spans="1:42" s="85" customFormat="1" ht="13.5" thickBot="1">
      <c r="A1548" s="240"/>
      <c r="B1548" s="241"/>
      <c r="C1548" s="242"/>
      <c r="D1548" s="242"/>
      <c r="E1548" s="243"/>
      <c r="F1548" s="244"/>
      <c r="G1548" s="244"/>
      <c r="H1548" s="243"/>
      <c r="I1548" s="258"/>
      <c r="J1548" s="245"/>
      <c r="K1548" s="245"/>
      <c r="L1548" s="76">
        <f t="shared" si="240"/>
        <v>0</v>
      </c>
      <c r="M1548" s="246"/>
      <c r="N1548" s="247"/>
      <c r="O1548" s="248"/>
      <c r="P1548" s="246"/>
      <c r="Q1548" s="249"/>
      <c r="R1548" s="250"/>
      <c r="S1548" s="259"/>
      <c r="T1548" s="260"/>
      <c r="U1548" s="250"/>
      <c r="V1548" s="78">
        <f t="shared" si="241"/>
        <v>0</v>
      </c>
      <c r="W1548" s="261">
        <f t="shared" si="242"/>
        <v>0</v>
      </c>
      <c r="X1548" s="133">
        <f t="shared" si="243"/>
        <v>0</v>
      </c>
      <c r="Y1548" s="251"/>
      <c r="Z1548" s="1736"/>
      <c r="AA1548" s="1737"/>
      <c r="AB1548" s="77">
        <f t="shared" si="244"/>
        <v>0</v>
      </c>
      <c r="AC1548" s="134">
        <f t="shared" si="245"/>
        <v>0</v>
      </c>
      <c r="AD1548" s="251"/>
      <c r="AE1548" s="1736"/>
      <c r="AF1548" s="1737"/>
      <c r="AG1548" s="77">
        <f t="shared" si="246"/>
        <v>0</v>
      </c>
      <c r="AH1548" s="136">
        <f t="shared" si="247"/>
        <v>0</v>
      </c>
      <c r="AI1548" s="251"/>
      <c r="AJ1548" s="1736"/>
      <c r="AK1548" s="1737"/>
      <c r="AL1548" s="79">
        <f t="shared" si="248"/>
        <v>0</v>
      </c>
      <c r="AM1548" s="137">
        <f t="shared" si="249"/>
        <v>0</v>
      </c>
      <c r="AN1548" s="251"/>
      <c r="AO1548" s="1736"/>
      <c r="AP1548" s="1737"/>
    </row>
    <row r="1549" spans="1:42" s="85" customFormat="1" ht="13.5" thickBot="1">
      <c r="A1549" s="240"/>
      <c r="B1549" s="241"/>
      <c r="C1549" s="242"/>
      <c r="D1549" s="242"/>
      <c r="E1549" s="243"/>
      <c r="F1549" s="244"/>
      <c r="G1549" s="244"/>
      <c r="H1549" s="243"/>
      <c r="I1549" s="258"/>
      <c r="J1549" s="245"/>
      <c r="K1549" s="245"/>
      <c r="L1549" s="76">
        <f t="shared" si="240"/>
        <v>0</v>
      </c>
      <c r="M1549" s="246"/>
      <c r="N1549" s="247"/>
      <c r="O1549" s="248"/>
      <c r="P1549" s="246"/>
      <c r="Q1549" s="249"/>
      <c r="R1549" s="250"/>
      <c r="S1549" s="259"/>
      <c r="T1549" s="260"/>
      <c r="U1549" s="250"/>
      <c r="V1549" s="78">
        <f t="shared" si="241"/>
        <v>0</v>
      </c>
      <c r="W1549" s="261">
        <f t="shared" si="242"/>
        <v>0</v>
      </c>
      <c r="X1549" s="133">
        <f t="shared" si="243"/>
        <v>0</v>
      </c>
      <c r="Y1549" s="251"/>
      <c r="Z1549" s="1736"/>
      <c r="AA1549" s="1737"/>
      <c r="AB1549" s="77">
        <f t="shared" si="244"/>
        <v>0</v>
      </c>
      <c r="AC1549" s="134">
        <f t="shared" si="245"/>
        <v>0</v>
      </c>
      <c r="AD1549" s="251"/>
      <c r="AE1549" s="1736"/>
      <c r="AF1549" s="1737"/>
      <c r="AG1549" s="77">
        <f t="shared" si="246"/>
        <v>0</v>
      </c>
      <c r="AH1549" s="136">
        <f t="shared" si="247"/>
        <v>0</v>
      </c>
      <c r="AI1549" s="251"/>
      <c r="AJ1549" s="1736"/>
      <c r="AK1549" s="1737"/>
      <c r="AL1549" s="79">
        <f t="shared" si="248"/>
        <v>0</v>
      </c>
      <c r="AM1549" s="137">
        <f t="shared" si="249"/>
        <v>0</v>
      </c>
      <c r="AN1549" s="251"/>
      <c r="AO1549" s="1736"/>
      <c r="AP1549" s="1737"/>
    </row>
    <row r="1550" spans="1:42" s="85" customFormat="1" ht="13.5" thickBot="1">
      <c r="A1550" s="240"/>
      <c r="B1550" s="241"/>
      <c r="C1550" s="242"/>
      <c r="D1550" s="242"/>
      <c r="E1550" s="243"/>
      <c r="F1550" s="244"/>
      <c r="G1550" s="244"/>
      <c r="H1550" s="243"/>
      <c r="I1550" s="258"/>
      <c r="J1550" s="245"/>
      <c r="K1550" s="245"/>
      <c r="L1550" s="76">
        <f t="shared" si="240"/>
        <v>0</v>
      </c>
      <c r="M1550" s="246"/>
      <c r="N1550" s="247"/>
      <c r="O1550" s="248"/>
      <c r="P1550" s="246"/>
      <c r="Q1550" s="249"/>
      <c r="R1550" s="250"/>
      <c r="S1550" s="259"/>
      <c r="T1550" s="260"/>
      <c r="U1550" s="250"/>
      <c r="V1550" s="78">
        <f t="shared" si="241"/>
        <v>0</v>
      </c>
      <c r="W1550" s="261">
        <f t="shared" si="242"/>
        <v>0</v>
      </c>
      <c r="X1550" s="133">
        <f t="shared" si="243"/>
        <v>0</v>
      </c>
      <c r="Y1550" s="251"/>
      <c r="Z1550" s="1736"/>
      <c r="AA1550" s="1737"/>
      <c r="AB1550" s="77">
        <f t="shared" si="244"/>
        <v>0</v>
      </c>
      <c r="AC1550" s="134">
        <f t="shared" si="245"/>
        <v>0</v>
      </c>
      <c r="AD1550" s="251"/>
      <c r="AE1550" s="1736"/>
      <c r="AF1550" s="1737"/>
      <c r="AG1550" s="77">
        <f t="shared" si="246"/>
        <v>0</v>
      </c>
      <c r="AH1550" s="136">
        <f t="shared" si="247"/>
        <v>0</v>
      </c>
      <c r="AI1550" s="251"/>
      <c r="AJ1550" s="1736"/>
      <c r="AK1550" s="1737"/>
      <c r="AL1550" s="79">
        <f t="shared" si="248"/>
        <v>0</v>
      </c>
      <c r="AM1550" s="137">
        <f t="shared" si="249"/>
        <v>0</v>
      </c>
      <c r="AN1550" s="251"/>
      <c r="AO1550" s="1736"/>
      <c r="AP1550" s="1737"/>
    </row>
    <row r="1551" spans="1:42" s="85" customFormat="1" ht="13.5" thickBot="1">
      <c r="A1551" s="240"/>
      <c r="B1551" s="241"/>
      <c r="C1551" s="242"/>
      <c r="D1551" s="242"/>
      <c r="E1551" s="243"/>
      <c r="F1551" s="244"/>
      <c r="G1551" s="244"/>
      <c r="H1551" s="243"/>
      <c r="I1551" s="258"/>
      <c r="J1551" s="245"/>
      <c r="K1551" s="245"/>
      <c r="L1551" s="76">
        <f t="shared" si="240"/>
        <v>0</v>
      </c>
      <c r="M1551" s="246"/>
      <c r="N1551" s="247"/>
      <c r="O1551" s="248"/>
      <c r="P1551" s="246"/>
      <c r="Q1551" s="249"/>
      <c r="R1551" s="250"/>
      <c r="S1551" s="259"/>
      <c r="T1551" s="260"/>
      <c r="U1551" s="250"/>
      <c r="V1551" s="78">
        <f t="shared" si="241"/>
        <v>0</v>
      </c>
      <c r="W1551" s="261">
        <f t="shared" si="242"/>
        <v>0</v>
      </c>
      <c r="X1551" s="133">
        <f t="shared" si="243"/>
        <v>0</v>
      </c>
      <c r="Y1551" s="251"/>
      <c r="Z1551" s="1736"/>
      <c r="AA1551" s="1737"/>
      <c r="AB1551" s="77">
        <f t="shared" si="244"/>
        <v>0</v>
      </c>
      <c r="AC1551" s="134">
        <f t="shared" si="245"/>
        <v>0</v>
      </c>
      <c r="AD1551" s="251"/>
      <c r="AE1551" s="1736"/>
      <c r="AF1551" s="1737"/>
      <c r="AG1551" s="77">
        <f t="shared" si="246"/>
        <v>0</v>
      </c>
      <c r="AH1551" s="136">
        <f t="shared" si="247"/>
        <v>0</v>
      </c>
      <c r="AI1551" s="251"/>
      <c r="AJ1551" s="1736"/>
      <c r="AK1551" s="1737"/>
      <c r="AL1551" s="79">
        <f t="shared" si="248"/>
        <v>0</v>
      </c>
      <c r="AM1551" s="137">
        <f t="shared" si="249"/>
        <v>0</v>
      </c>
      <c r="AN1551" s="251"/>
      <c r="AO1551" s="1736"/>
      <c r="AP1551" s="1737"/>
    </row>
    <row r="1552" spans="1:42" s="85" customFormat="1" ht="13.5" thickBot="1">
      <c r="A1552" s="240"/>
      <c r="B1552" s="241"/>
      <c r="C1552" s="242"/>
      <c r="D1552" s="242"/>
      <c r="E1552" s="243"/>
      <c r="F1552" s="244"/>
      <c r="G1552" s="244"/>
      <c r="H1552" s="243"/>
      <c r="I1552" s="258"/>
      <c r="J1552" s="245"/>
      <c r="K1552" s="245"/>
      <c r="L1552" s="76">
        <f t="shared" si="240"/>
        <v>0</v>
      </c>
      <c r="M1552" s="246"/>
      <c r="N1552" s="247"/>
      <c r="O1552" s="248"/>
      <c r="P1552" s="246"/>
      <c r="Q1552" s="249"/>
      <c r="R1552" s="250"/>
      <c r="S1552" s="259"/>
      <c r="T1552" s="260"/>
      <c r="U1552" s="250"/>
      <c r="V1552" s="78">
        <f t="shared" si="241"/>
        <v>0</v>
      </c>
      <c r="W1552" s="261">
        <f t="shared" si="242"/>
        <v>0</v>
      </c>
      <c r="X1552" s="133">
        <f t="shared" si="243"/>
        <v>0</v>
      </c>
      <c r="Y1552" s="251"/>
      <c r="Z1552" s="1736"/>
      <c r="AA1552" s="1737"/>
      <c r="AB1552" s="77">
        <f t="shared" si="244"/>
        <v>0</v>
      </c>
      <c r="AC1552" s="134">
        <f t="shared" si="245"/>
        <v>0</v>
      </c>
      <c r="AD1552" s="251"/>
      <c r="AE1552" s="1736"/>
      <c r="AF1552" s="1737"/>
      <c r="AG1552" s="77">
        <f t="shared" si="246"/>
        <v>0</v>
      </c>
      <c r="AH1552" s="136">
        <f t="shared" si="247"/>
        <v>0</v>
      </c>
      <c r="AI1552" s="251"/>
      <c r="AJ1552" s="1736"/>
      <c r="AK1552" s="1737"/>
      <c r="AL1552" s="79">
        <f t="shared" si="248"/>
        <v>0</v>
      </c>
      <c r="AM1552" s="137">
        <f t="shared" si="249"/>
        <v>0</v>
      </c>
      <c r="AN1552" s="251"/>
      <c r="AO1552" s="1736"/>
      <c r="AP1552" s="1737"/>
    </row>
    <row r="1553" spans="1:42" s="85" customFormat="1" ht="13.5" thickBot="1">
      <c r="A1553" s="240"/>
      <c r="B1553" s="241"/>
      <c r="C1553" s="242"/>
      <c r="D1553" s="242"/>
      <c r="E1553" s="243"/>
      <c r="F1553" s="244"/>
      <c r="G1553" s="244"/>
      <c r="H1553" s="243"/>
      <c r="I1553" s="258"/>
      <c r="J1553" s="245"/>
      <c r="K1553" s="245"/>
      <c r="L1553" s="76">
        <f t="shared" si="240"/>
        <v>0</v>
      </c>
      <c r="M1553" s="246"/>
      <c r="N1553" s="247"/>
      <c r="O1553" s="248"/>
      <c r="P1553" s="246"/>
      <c r="Q1553" s="249"/>
      <c r="R1553" s="250"/>
      <c r="S1553" s="259"/>
      <c r="T1553" s="260"/>
      <c r="U1553" s="250"/>
      <c r="V1553" s="78">
        <f t="shared" si="241"/>
        <v>0</v>
      </c>
      <c r="W1553" s="261">
        <f t="shared" si="242"/>
        <v>0</v>
      </c>
      <c r="X1553" s="133">
        <f t="shared" si="243"/>
        <v>0</v>
      </c>
      <c r="Y1553" s="251"/>
      <c r="Z1553" s="1736"/>
      <c r="AA1553" s="1737"/>
      <c r="AB1553" s="77">
        <f t="shared" si="244"/>
        <v>0</v>
      </c>
      <c r="AC1553" s="134">
        <f t="shared" si="245"/>
        <v>0</v>
      </c>
      <c r="AD1553" s="251"/>
      <c r="AE1553" s="1736"/>
      <c r="AF1553" s="1737"/>
      <c r="AG1553" s="77">
        <f t="shared" si="246"/>
        <v>0</v>
      </c>
      <c r="AH1553" s="136">
        <f t="shared" si="247"/>
        <v>0</v>
      </c>
      <c r="AI1553" s="251"/>
      <c r="AJ1553" s="1736"/>
      <c r="AK1553" s="1737"/>
      <c r="AL1553" s="79">
        <f t="shared" si="248"/>
        <v>0</v>
      </c>
      <c r="AM1553" s="137">
        <f t="shared" si="249"/>
        <v>0</v>
      </c>
      <c r="AN1553" s="251"/>
      <c r="AO1553" s="1736"/>
      <c r="AP1553" s="1737"/>
    </row>
    <row r="1554" spans="1:42" s="85" customFormat="1" ht="13.5" thickBot="1">
      <c r="A1554" s="240"/>
      <c r="B1554" s="241"/>
      <c r="C1554" s="242"/>
      <c r="D1554" s="242"/>
      <c r="E1554" s="243"/>
      <c r="F1554" s="244"/>
      <c r="G1554" s="244"/>
      <c r="H1554" s="243"/>
      <c r="I1554" s="258"/>
      <c r="J1554" s="245"/>
      <c r="K1554" s="245"/>
      <c r="L1554" s="76">
        <f t="shared" si="240"/>
        <v>0</v>
      </c>
      <c r="M1554" s="246"/>
      <c r="N1554" s="247"/>
      <c r="O1554" s="248"/>
      <c r="P1554" s="246"/>
      <c r="Q1554" s="249"/>
      <c r="R1554" s="250"/>
      <c r="S1554" s="259"/>
      <c r="T1554" s="260"/>
      <c r="U1554" s="250"/>
      <c r="V1554" s="78">
        <f t="shared" si="241"/>
        <v>0</v>
      </c>
      <c r="W1554" s="261">
        <f t="shared" si="242"/>
        <v>0</v>
      </c>
      <c r="X1554" s="133">
        <f t="shared" si="243"/>
        <v>0</v>
      </c>
      <c r="Y1554" s="251"/>
      <c r="Z1554" s="1736"/>
      <c r="AA1554" s="1737"/>
      <c r="AB1554" s="77">
        <f t="shared" si="244"/>
        <v>0</v>
      </c>
      <c r="AC1554" s="134">
        <f t="shared" si="245"/>
        <v>0</v>
      </c>
      <c r="AD1554" s="251"/>
      <c r="AE1554" s="1736"/>
      <c r="AF1554" s="1737"/>
      <c r="AG1554" s="77">
        <f t="shared" si="246"/>
        <v>0</v>
      </c>
      <c r="AH1554" s="136">
        <f t="shared" si="247"/>
        <v>0</v>
      </c>
      <c r="AI1554" s="251"/>
      <c r="AJ1554" s="1736"/>
      <c r="AK1554" s="1737"/>
      <c r="AL1554" s="79">
        <f t="shared" si="248"/>
        <v>0</v>
      </c>
      <c r="AM1554" s="137">
        <f t="shared" si="249"/>
        <v>0</v>
      </c>
      <c r="AN1554" s="251"/>
      <c r="AO1554" s="1736"/>
      <c r="AP1554" s="1737"/>
    </row>
    <row r="1555" spans="1:42" s="85" customFormat="1" ht="13.5" thickBot="1">
      <c r="A1555" s="240"/>
      <c r="B1555" s="241"/>
      <c r="C1555" s="242"/>
      <c r="D1555" s="242"/>
      <c r="E1555" s="243"/>
      <c r="F1555" s="244"/>
      <c r="G1555" s="244"/>
      <c r="H1555" s="243"/>
      <c r="I1555" s="258"/>
      <c r="J1555" s="245"/>
      <c r="K1555" s="245"/>
      <c r="L1555" s="76">
        <f t="shared" si="240"/>
        <v>0</v>
      </c>
      <c r="M1555" s="246"/>
      <c r="N1555" s="247"/>
      <c r="O1555" s="248"/>
      <c r="P1555" s="246"/>
      <c r="Q1555" s="249"/>
      <c r="R1555" s="250"/>
      <c r="S1555" s="259"/>
      <c r="T1555" s="260"/>
      <c r="U1555" s="250"/>
      <c r="V1555" s="78">
        <f t="shared" si="241"/>
        <v>0</v>
      </c>
      <c r="W1555" s="261">
        <f t="shared" si="242"/>
        <v>0</v>
      </c>
      <c r="X1555" s="133">
        <f t="shared" si="243"/>
        <v>0</v>
      </c>
      <c r="Y1555" s="251"/>
      <c r="Z1555" s="1736"/>
      <c r="AA1555" s="1737"/>
      <c r="AB1555" s="77">
        <f t="shared" si="244"/>
        <v>0</v>
      </c>
      <c r="AC1555" s="134">
        <f t="shared" si="245"/>
        <v>0</v>
      </c>
      <c r="AD1555" s="251"/>
      <c r="AE1555" s="1736"/>
      <c r="AF1555" s="1737"/>
      <c r="AG1555" s="77">
        <f t="shared" si="246"/>
        <v>0</v>
      </c>
      <c r="AH1555" s="136">
        <f t="shared" si="247"/>
        <v>0</v>
      </c>
      <c r="AI1555" s="251"/>
      <c r="AJ1555" s="1736"/>
      <c r="AK1555" s="1737"/>
      <c r="AL1555" s="79">
        <f t="shared" si="248"/>
        <v>0</v>
      </c>
      <c r="AM1555" s="137">
        <f t="shared" si="249"/>
        <v>0</v>
      </c>
      <c r="AN1555" s="251"/>
      <c r="AO1555" s="1736"/>
      <c r="AP1555" s="1737"/>
    </row>
    <row r="1556" spans="1:42" s="85" customFormat="1" ht="13.5" thickBot="1">
      <c r="A1556" s="240"/>
      <c r="B1556" s="241"/>
      <c r="C1556" s="242"/>
      <c r="D1556" s="242"/>
      <c r="E1556" s="243"/>
      <c r="F1556" s="244"/>
      <c r="G1556" s="244"/>
      <c r="H1556" s="243"/>
      <c r="I1556" s="258"/>
      <c r="J1556" s="245"/>
      <c r="K1556" s="245"/>
      <c r="L1556" s="76">
        <f t="shared" si="240"/>
        <v>0</v>
      </c>
      <c r="M1556" s="246"/>
      <c r="N1556" s="247"/>
      <c r="O1556" s="248"/>
      <c r="P1556" s="246"/>
      <c r="Q1556" s="249"/>
      <c r="R1556" s="250"/>
      <c r="S1556" s="259"/>
      <c r="T1556" s="260"/>
      <c r="U1556" s="250"/>
      <c r="V1556" s="78">
        <f t="shared" si="241"/>
        <v>0</v>
      </c>
      <c r="W1556" s="261">
        <f t="shared" si="242"/>
        <v>0</v>
      </c>
      <c r="X1556" s="133">
        <f t="shared" si="243"/>
        <v>0</v>
      </c>
      <c r="Y1556" s="251"/>
      <c r="Z1556" s="1736"/>
      <c r="AA1556" s="1737"/>
      <c r="AB1556" s="77">
        <f t="shared" si="244"/>
        <v>0</v>
      </c>
      <c r="AC1556" s="134">
        <f t="shared" si="245"/>
        <v>0</v>
      </c>
      <c r="AD1556" s="251"/>
      <c r="AE1556" s="1736"/>
      <c r="AF1556" s="1737"/>
      <c r="AG1556" s="77">
        <f t="shared" si="246"/>
        <v>0</v>
      </c>
      <c r="AH1556" s="136">
        <f t="shared" si="247"/>
        <v>0</v>
      </c>
      <c r="AI1556" s="251"/>
      <c r="AJ1556" s="1736"/>
      <c r="AK1556" s="1737"/>
      <c r="AL1556" s="79">
        <f t="shared" si="248"/>
        <v>0</v>
      </c>
      <c r="AM1556" s="137">
        <f t="shared" si="249"/>
        <v>0</v>
      </c>
      <c r="AN1556" s="251"/>
      <c r="AO1556" s="1736"/>
      <c r="AP1556" s="1737"/>
    </row>
    <row r="1557" spans="1:42" s="85" customFormat="1" ht="13.5" thickBot="1">
      <c r="A1557" s="240"/>
      <c r="B1557" s="241"/>
      <c r="C1557" s="242"/>
      <c r="D1557" s="242"/>
      <c r="E1557" s="243"/>
      <c r="F1557" s="244"/>
      <c r="G1557" s="244"/>
      <c r="H1557" s="243"/>
      <c r="I1557" s="258"/>
      <c r="J1557" s="245"/>
      <c r="K1557" s="245"/>
      <c r="L1557" s="76">
        <f t="shared" si="240"/>
        <v>0</v>
      </c>
      <c r="M1557" s="246"/>
      <c r="N1557" s="247"/>
      <c r="O1557" s="248"/>
      <c r="P1557" s="246"/>
      <c r="Q1557" s="249"/>
      <c r="R1557" s="250"/>
      <c r="S1557" s="259"/>
      <c r="T1557" s="260"/>
      <c r="U1557" s="250"/>
      <c r="V1557" s="78">
        <f t="shared" si="241"/>
        <v>0</v>
      </c>
      <c r="W1557" s="261">
        <f t="shared" si="242"/>
        <v>0</v>
      </c>
      <c r="X1557" s="133">
        <f t="shared" si="243"/>
        <v>0</v>
      </c>
      <c r="Y1557" s="251"/>
      <c r="Z1557" s="1736"/>
      <c r="AA1557" s="1737"/>
      <c r="AB1557" s="77">
        <f t="shared" si="244"/>
        <v>0</v>
      </c>
      <c r="AC1557" s="134">
        <f t="shared" si="245"/>
        <v>0</v>
      </c>
      <c r="AD1557" s="251"/>
      <c r="AE1557" s="1736"/>
      <c r="AF1557" s="1737"/>
      <c r="AG1557" s="77">
        <f t="shared" si="246"/>
        <v>0</v>
      </c>
      <c r="AH1557" s="136">
        <f t="shared" si="247"/>
        <v>0</v>
      </c>
      <c r="AI1557" s="251"/>
      <c r="AJ1557" s="1736"/>
      <c r="AK1557" s="1737"/>
      <c r="AL1557" s="79">
        <f t="shared" si="248"/>
        <v>0</v>
      </c>
      <c r="AM1557" s="137">
        <f t="shared" si="249"/>
        <v>0</v>
      </c>
      <c r="AN1557" s="251"/>
      <c r="AO1557" s="1736"/>
      <c r="AP1557" s="1737"/>
    </row>
    <row r="1558" spans="1:42" s="85" customFormat="1" ht="13.5" thickBot="1">
      <c r="A1558" s="240"/>
      <c r="B1558" s="241"/>
      <c r="C1558" s="242"/>
      <c r="D1558" s="242"/>
      <c r="E1558" s="243"/>
      <c r="F1558" s="244"/>
      <c r="G1558" s="244"/>
      <c r="H1558" s="243"/>
      <c r="I1558" s="258"/>
      <c r="J1558" s="245"/>
      <c r="K1558" s="245"/>
      <c r="L1558" s="76">
        <f t="shared" si="240"/>
        <v>0</v>
      </c>
      <c r="M1558" s="246"/>
      <c r="N1558" s="247"/>
      <c r="O1558" s="248"/>
      <c r="P1558" s="246"/>
      <c r="Q1558" s="249"/>
      <c r="R1558" s="250"/>
      <c r="S1558" s="259"/>
      <c r="T1558" s="260"/>
      <c r="U1558" s="250"/>
      <c r="V1558" s="78">
        <f t="shared" si="241"/>
        <v>0</v>
      </c>
      <c r="W1558" s="261">
        <f t="shared" si="242"/>
        <v>0</v>
      </c>
      <c r="X1558" s="133">
        <f t="shared" si="243"/>
        <v>0</v>
      </c>
      <c r="Y1558" s="251"/>
      <c r="Z1558" s="1736"/>
      <c r="AA1558" s="1737"/>
      <c r="AB1558" s="77">
        <f t="shared" si="244"/>
        <v>0</v>
      </c>
      <c r="AC1558" s="134">
        <f t="shared" si="245"/>
        <v>0</v>
      </c>
      <c r="AD1558" s="251"/>
      <c r="AE1558" s="1736"/>
      <c r="AF1558" s="1737"/>
      <c r="AG1558" s="77">
        <f t="shared" si="246"/>
        <v>0</v>
      </c>
      <c r="AH1558" s="136">
        <f t="shared" si="247"/>
        <v>0</v>
      </c>
      <c r="AI1558" s="251"/>
      <c r="AJ1558" s="1736"/>
      <c r="AK1558" s="1737"/>
      <c r="AL1558" s="79">
        <f t="shared" si="248"/>
        <v>0</v>
      </c>
      <c r="AM1558" s="137">
        <f t="shared" si="249"/>
        <v>0</v>
      </c>
      <c r="AN1558" s="251"/>
      <c r="AO1558" s="1736"/>
      <c r="AP1558" s="1737"/>
    </row>
    <row r="1559" spans="1:42" s="85" customFormat="1" ht="13.5" thickBot="1">
      <c r="A1559" s="240"/>
      <c r="B1559" s="241"/>
      <c r="C1559" s="242"/>
      <c r="D1559" s="242"/>
      <c r="E1559" s="243"/>
      <c r="F1559" s="244"/>
      <c r="G1559" s="244"/>
      <c r="H1559" s="243"/>
      <c r="I1559" s="258"/>
      <c r="J1559" s="245"/>
      <c r="K1559" s="245"/>
      <c r="L1559" s="76">
        <f t="shared" si="240"/>
        <v>0</v>
      </c>
      <c r="M1559" s="246"/>
      <c r="N1559" s="247"/>
      <c r="O1559" s="248"/>
      <c r="P1559" s="246"/>
      <c r="Q1559" s="249"/>
      <c r="R1559" s="250"/>
      <c r="S1559" s="259"/>
      <c r="T1559" s="260"/>
      <c r="U1559" s="250"/>
      <c r="V1559" s="78">
        <f t="shared" si="241"/>
        <v>0</v>
      </c>
      <c r="W1559" s="261">
        <f t="shared" si="242"/>
        <v>0</v>
      </c>
      <c r="X1559" s="133">
        <f t="shared" si="243"/>
        <v>0</v>
      </c>
      <c r="Y1559" s="251"/>
      <c r="Z1559" s="1736"/>
      <c r="AA1559" s="1737"/>
      <c r="AB1559" s="77">
        <f t="shared" si="244"/>
        <v>0</v>
      </c>
      <c r="AC1559" s="134">
        <f t="shared" si="245"/>
        <v>0</v>
      </c>
      <c r="AD1559" s="251"/>
      <c r="AE1559" s="1736"/>
      <c r="AF1559" s="1737"/>
      <c r="AG1559" s="77">
        <f t="shared" si="246"/>
        <v>0</v>
      </c>
      <c r="AH1559" s="136">
        <f t="shared" si="247"/>
        <v>0</v>
      </c>
      <c r="AI1559" s="251"/>
      <c r="AJ1559" s="1736"/>
      <c r="AK1559" s="1737"/>
      <c r="AL1559" s="79">
        <f t="shared" si="248"/>
        <v>0</v>
      </c>
      <c r="AM1559" s="137">
        <f t="shared" si="249"/>
        <v>0</v>
      </c>
      <c r="AN1559" s="251"/>
      <c r="AO1559" s="1736"/>
      <c r="AP1559" s="1737"/>
    </row>
    <row r="1560" spans="1:42" s="85" customFormat="1" ht="13.5" thickBot="1">
      <c r="A1560" s="240"/>
      <c r="B1560" s="241"/>
      <c r="C1560" s="242"/>
      <c r="D1560" s="242"/>
      <c r="E1560" s="243"/>
      <c r="F1560" s="244"/>
      <c r="G1560" s="244"/>
      <c r="H1560" s="243"/>
      <c r="I1560" s="258"/>
      <c r="J1560" s="245"/>
      <c r="K1560" s="245"/>
      <c r="L1560" s="76">
        <f t="shared" si="240"/>
        <v>0</v>
      </c>
      <c r="M1560" s="246"/>
      <c r="N1560" s="247"/>
      <c r="O1560" s="248"/>
      <c r="P1560" s="246"/>
      <c r="Q1560" s="249"/>
      <c r="R1560" s="250"/>
      <c r="S1560" s="259"/>
      <c r="T1560" s="260"/>
      <c r="U1560" s="250"/>
      <c r="V1560" s="78">
        <f t="shared" si="241"/>
        <v>0</v>
      </c>
      <c r="W1560" s="261">
        <f t="shared" si="242"/>
        <v>0</v>
      </c>
      <c r="X1560" s="133">
        <f t="shared" si="243"/>
        <v>0</v>
      </c>
      <c r="Y1560" s="251"/>
      <c r="Z1560" s="1736"/>
      <c r="AA1560" s="1737"/>
      <c r="AB1560" s="77">
        <f t="shared" si="244"/>
        <v>0</v>
      </c>
      <c r="AC1560" s="134">
        <f t="shared" si="245"/>
        <v>0</v>
      </c>
      <c r="AD1560" s="251"/>
      <c r="AE1560" s="1736"/>
      <c r="AF1560" s="1737"/>
      <c r="AG1560" s="77">
        <f t="shared" si="246"/>
        <v>0</v>
      </c>
      <c r="AH1560" s="136">
        <f t="shared" si="247"/>
        <v>0</v>
      </c>
      <c r="AI1560" s="251"/>
      <c r="AJ1560" s="1736"/>
      <c r="AK1560" s="1737"/>
      <c r="AL1560" s="79">
        <f t="shared" si="248"/>
        <v>0</v>
      </c>
      <c r="AM1560" s="137">
        <f t="shared" si="249"/>
        <v>0</v>
      </c>
      <c r="AN1560" s="251"/>
      <c r="AO1560" s="1736"/>
      <c r="AP1560" s="1737"/>
    </row>
    <row r="1561" spans="1:42" s="85" customFormat="1" ht="13.5" thickBot="1">
      <c r="A1561" s="240"/>
      <c r="B1561" s="241"/>
      <c r="C1561" s="242"/>
      <c r="D1561" s="242"/>
      <c r="E1561" s="243"/>
      <c r="F1561" s="244"/>
      <c r="G1561" s="244"/>
      <c r="H1561" s="243"/>
      <c r="I1561" s="258"/>
      <c r="J1561" s="245"/>
      <c r="K1561" s="245"/>
      <c r="L1561" s="76">
        <f t="shared" si="240"/>
        <v>0</v>
      </c>
      <c r="M1561" s="246"/>
      <c r="N1561" s="247"/>
      <c r="O1561" s="248"/>
      <c r="P1561" s="246"/>
      <c r="Q1561" s="249"/>
      <c r="R1561" s="250"/>
      <c r="S1561" s="259"/>
      <c r="T1561" s="260"/>
      <c r="U1561" s="250"/>
      <c r="V1561" s="78">
        <f t="shared" si="241"/>
        <v>0</v>
      </c>
      <c r="W1561" s="261">
        <f t="shared" si="242"/>
        <v>0</v>
      </c>
      <c r="X1561" s="133">
        <f t="shared" si="243"/>
        <v>0</v>
      </c>
      <c r="Y1561" s="251"/>
      <c r="Z1561" s="1736"/>
      <c r="AA1561" s="1737"/>
      <c r="AB1561" s="77">
        <f t="shared" si="244"/>
        <v>0</v>
      </c>
      <c r="AC1561" s="134">
        <f t="shared" si="245"/>
        <v>0</v>
      </c>
      <c r="AD1561" s="251"/>
      <c r="AE1561" s="1736"/>
      <c r="AF1561" s="1737"/>
      <c r="AG1561" s="77">
        <f t="shared" si="246"/>
        <v>0</v>
      </c>
      <c r="AH1561" s="136">
        <f t="shared" si="247"/>
        <v>0</v>
      </c>
      <c r="AI1561" s="251"/>
      <c r="AJ1561" s="1736"/>
      <c r="AK1561" s="1737"/>
      <c r="AL1561" s="79">
        <f t="shared" si="248"/>
        <v>0</v>
      </c>
      <c r="AM1561" s="137">
        <f t="shared" si="249"/>
        <v>0</v>
      </c>
      <c r="AN1561" s="251"/>
      <c r="AO1561" s="1736"/>
      <c r="AP1561" s="1737"/>
    </row>
    <row r="1562" spans="1:42" s="85" customFormat="1" ht="13.5" thickBot="1">
      <c r="A1562" s="240"/>
      <c r="B1562" s="241"/>
      <c r="C1562" s="242"/>
      <c r="D1562" s="242"/>
      <c r="E1562" s="243"/>
      <c r="F1562" s="244"/>
      <c r="G1562" s="244"/>
      <c r="H1562" s="243"/>
      <c r="I1562" s="258"/>
      <c r="J1562" s="245"/>
      <c r="K1562" s="245"/>
      <c r="L1562" s="76">
        <f t="shared" si="240"/>
        <v>0</v>
      </c>
      <c r="M1562" s="246"/>
      <c r="N1562" s="247"/>
      <c r="O1562" s="248"/>
      <c r="P1562" s="246"/>
      <c r="Q1562" s="249"/>
      <c r="R1562" s="250"/>
      <c r="S1562" s="259"/>
      <c r="T1562" s="260"/>
      <c r="U1562" s="250"/>
      <c r="V1562" s="78">
        <f t="shared" si="241"/>
        <v>0</v>
      </c>
      <c r="W1562" s="261">
        <f t="shared" si="242"/>
        <v>0</v>
      </c>
      <c r="X1562" s="133">
        <f t="shared" si="243"/>
        <v>0</v>
      </c>
      <c r="Y1562" s="251"/>
      <c r="Z1562" s="1736"/>
      <c r="AA1562" s="1737"/>
      <c r="AB1562" s="77">
        <f t="shared" si="244"/>
        <v>0</v>
      </c>
      <c r="AC1562" s="134">
        <f t="shared" si="245"/>
        <v>0</v>
      </c>
      <c r="AD1562" s="251"/>
      <c r="AE1562" s="1736"/>
      <c r="AF1562" s="1737"/>
      <c r="AG1562" s="77">
        <f t="shared" si="246"/>
        <v>0</v>
      </c>
      <c r="AH1562" s="136">
        <f t="shared" si="247"/>
        <v>0</v>
      </c>
      <c r="AI1562" s="251"/>
      <c r="AJ1562" s="1736"/>
      <c r="AK1562" s="1737"/>
      <c r="AL1562" s="79">
        <f t="shared" si="248"/>
        <v>0</v>
      </c>
      <c r="AM1562" s="137">
        <f t="shared" si="249"/>
        <v>0</v>
      </c>
      <c r="AN1562" s="251"/>
      <c r="AO1562" s="1736"/>
      <c r="AP1562" s="1737"/>
    </row>
    <row r="1563" spans="1:42" s="85" customFormat="1" ht="13.5" thickBot="1">
      <c r="A1563" s="240"/>
      <c r="B1563" s="241"/>
      <c r="C1563" s="242"/>
      <c r="D1563" s="242"/>
      <c r="E1563" s="243"/>
      <c r="F1563" s="244"/>
      <c r="G1563" s="244"/>
      <c r="H1563" s="243"/>
      <c r="I1563" s="258"/>
      <c r="J1563" s="245"/>
      <c r="K1563" s="245"/>
      <c r="L1563" s="76">
        <f t="shared" si="240"/>
        <v>0</v>
      </c>
      <c r="M1563" s="246"/>
      <c r="N1563" s="247"/>
      <c r="O1563" s="248"/>
      <c r="P1563" s="246"/>
      <c r="Q1563" s="249"/>
      <c r="R1563" s="250"/>
      <c r="S1563" s="259"/>
      <c r="T1563" s="260"/>
      <c r="U1563" s="250"/>
      <c r="V1563" s="78">
        <f t="shared" si="241"/>
        <v>0</v>
      </c>
      <c r="W1563" s="261">
        <f t="shared" si="242"/>
        <v>0</v>
      </c>
      <c r="X1563" s="133">
        <f t="shared" si="243"/>
        <v>0</v>
      </c>
      <c r="Y1563" s="251"/>
      <c r="Z1563" s="1736"/>
      <c r="AA1563" s="1737"/>
      <c r="AB1563" s="77">
        <f t="shared" si="244"/>
        <v>0</v>
      </c>
      <c r="AC1563" s="134">
        <f t="shared" si="245"/>
        <v>0</v>
      </c>
      <c r="AD1563" s="251"/>
      <c r="AE1563" s="1736"/>
      <c r="AF1563" s="1737"/>
      <c r="AG1563" s="77">
        <f t="shared" si="246"/>
        <v>0</v>
      </c>
      <c r="AH1563" s="136">
        <f t="shared" si="247"/>
        <v>0</v>
      </c>
      <c r="AI1563" s="251"/>
      <c r="AJ1563" s="1736"/>
      <c r="AK1563" s="1737"/>
      <c r="AL1563" s="79">
        <f t="shared" si="248"/>
        <v>0</v>
      </c>
      <c r="AM1563" s="137">
        <f t="shared" si="249"/>
        <v>0</v>
      </c>
      <c r="AN1563" s="251"/>
      <c r="AO1563" s="1736"/>
      <c r="AP1563" s="1737"/>
    </row>
    <row r="1564" spans="1:42" s="85" customFormat="1" ht="13.5" thickBot="1">
      <c r="A1564" s="240"/>
      <c r="B1564" s="241"/>
      <c r="C1564" s="242"/>
      <c r="D1564" s="242"/>
      <c r="E1564" s="243"/>
      <c r="F1564" s="244"/>
      <c r="G1564" s="244"/>
      <c r="H1564" s="243"/>
      <c r="I1564" s="258"/>
      <c r="J1564" s="245"/>
      <c r="K1564" s="245"/>
      <c r="L1564" s="76">
        <f t="shared" si="240"/>
        <v>0</v>
      </c>
      <c r="M1564" s="246"/>
      <c r="N1564" s="247"/>
      <c r="O1564" s="248"/>
      <c r="P1564" s="246"/>
      <c r="Q1564" s="249"/>
      <c r="R1564" s="250"/>
      <c r="S1564" s="259"/>
      <c r="T1564" s="260"/>
      <c r="U1564" s="250"/>
      <c r="V1564" s="78">
        <f t="shared" si="241"/>
        <v>0</v>
      </c>
      <c r="W1564" s="261">
        <f t="shared" si="242"/>
        <v>0</v>
      </c>
      <c r="X1564" s="133">
        <f t="shared" si="243"/>
        <v>0</v>
      </c>
      <c r="Y1564" s="251"/>
      <c r="Z1564" s="1736"/>
      <c r="AA1564" s="1737"/>
      <c r="AB1564" s="77">
        <f t="shared" si="244"/>
        <v>0</v>
      </c>
      <c r="AC1564" s="134">
        <f t="shared" si="245"/>
        <v>0</v>
      </c>
      <c r="AD1564" s="251"/>
      <c r="AE1564" s="1736"/>
      <c r="AF1564" s="1737"/>
      <c r="AG1564" s="77">
        <f t="shared" si="246"/>
        <v>0</v>
      </c>
      <c r="AH1564" s="136">
        <f t="shared" si="247"/>
        <v>0</v>
      </c>
      <c r="AI1564" s="251"/>
      <c r="AJ1564" s="1736"/>
      <c r="AK1564" s="1737"/>
      <c r="AL1564" s="79">
        <f t="shared" si="248"/>
        <v>0</v>
      </c>
      <c r="AM1564" s="137">
        <f t="shared" si="249"/>
        <v>0</v>
      </c>
      <c r="AN1564" s="251"/>
      <c r="AO1564" s="1736"/>
      <c r="AP1564" s="1737"/>
    </row>
    <row r="1565" spans="1:42" s="85" customFormat="1" ht="13.5" thickBot="1">
      <c r="A1565" s="240"/>
      <c r="B1565" s="241"/>
      <c r="C1565" s="242"/>
      <c r="D1565" s="242"/>
      <c r="E1565" s="243"/>
      <c r="F1565" s="244"/>
      <c r="G1565" s="244"/>
      <c r="H1565" s="243"/>
      <c r="I1565" s="258"/>
      <c r="J1565" s="245"/>
      <c r="K1565" s="245"/>
      <c r="L1565" s="76">
        <f t="shared" si="240"/>
        <v>0</v>
      </c>
      <c r="M1565" s="246"/>
      <c r="N1565" s="247"/>
      <c r="O1565" s="248"/>
      <c r="P1565" s="246"/>
      <c r="Q1565" s="249"/>
      <c r="R1565" s="250"/>
      <c r="S1565" s="259"/>
      <c r="T1565" s="260"/>
      <c r="U1565" s="250"/>
      <c r="V1565" s="78">
        <f t="shared" si="241"/>
        <v>0</v>
      </c>
      <c r="W1565" s="261">
        <f t="shared" si="242"/>
        <v>0</v>
      </c>
      <c r="X1565" s="133">
        <f t="shared" si="243"/>
        <v>0</v>
      </c>
      <c r="Y1565" s="251"/>
      <c r="Z1565" s="1736"/>
      <c r="AA1565" s="1737"/>
      <c r="AB1565" s="77">
        <f t="shared" si="244"/>
        <v>0</v>
      </c>
      <c r="AC1565" s="134">
        <f t="shared" si="245"/>
        <v>0</v>
      </c>
      <c r="AD1565" s="251"/>
      <c r="AE1565" s="1736"/>
      <c r="AF1565" s="1737"/>
      <c r="AG1565" s="77">
        <f t="shared" si="246"/>
        <v>0</v>
      </c>
      <c r="AH1565" s="136">
        <f t="shared" si="247"/>
        <v>0</v>
      </c>
      <c r="AI1565" s="251"/>
      <c r="AJ1565" s="1736"/>
      <c r="AK1565" s="1737"/>
      <c r="AL1565" s="79">
        <f t="shared" si="248"/>
        <v>0</v>
      </c>
      <c r="AM1565" s="137">
        <f t="shared" si="249"/>
        <v>0</v>
      </c>
      <c r="AN1565" s="251"/>
      <c r="AO1565" s="1736"/>
      <c r="AP1565" s="1737"/>
    </row>
    <row r="1566" spans="1:42" s="85" customFormat="1" ht="13.5" thickBot="1">
      <c r="A1566" s="240"/>
      <c r="B1566" s="241"/>
      <c r="C1566" s="242"/>
      <c r="D1566" s="242"/>
      <c r="E1566" s="243"/>
      <c r="F1566" s="244"/>
      <c r="G1566" s="244"/>
      <c r="H1566" s="243"/>
      <c r="I1566" s="258"/>
      <c r="J1566" s="245"/>
      <c r="K1566" s="245"/>
      <c r="L1566" s="76">
        <f t="shared" si="240"/>
        <v>0</v>
      </c>
      <c r="M1566" s="246"/>
      <c r="N1566" s="247"/>
      <c r="O1566" s="248"/>
      <c r="P1566" s="246"/>
      <c r="Q1566" s="249"/>
      <c r="R1566" s="250"/>
      <c r="S1566" s="259"/>
      <c r="T1566" s="260"/>
      <c r="U1566" s="250"/>
      <c r="V1566" s="78">
        <f t="shared" si="241"/>
        <v>0</v>
      </c>
      <c r="W1566" s="261">
        <f t="shared" si="242"/>
        <v>0</v>
      </c>
      <c r="X1566" s="133">
        <f t="shared" si="243"/>
        <v>0</v>
      </c>
      <c r="Y1566" s="251"/>
      <c r="Z1566" s="1736"/>
      <c r="AA1566" s="1737"/>
      <c r="AB1566" s="77">
        <f t="shared" si="244"/>
        <v>0</v>
      </c>
      <c r="AC1566" s="134">
        <f t="shared" si="245"/>
        <v>0</v>
      </c>
      <c r="AD1566" s="251"/>
      <c r="AE1566" s="1736"/>
      <c r="AF1566" s="1737"/>
      <c r="AG1566" s="77">
        <f t="shared" si="246"/>
        <v>0</v>
      </c>
      <c r="AH1566" s="136">
        <f t="shared" si="247"/>
        <v>0</v>
      </c>
      <c r="AI1566" s="251"/>
      <c r="AJ1566" s="1736"/>
      <c r="AK1566" s="1737"/>
      <c r="AL1566" s="79">
        <f t="shared" si="248"/>
        <v>0</v>
      </c>
      <c r="AM1566" s="137">
        <f t="shared" si="249"/>
        <v>0</v>
      </c>
      <c r="AN1566" s="251"/>
      <c r="AO1566" s="1736"/>
      <c r="AP1566" s="1737"/>
    </row>
    <row r="1567" spans="1:42" s="85" customFormat="1" ht="13.5" thickBot="1">
      <c r="A1567" s="240"/>
      <c r="B1567" s="241"/>
      <c r="C1567" s="242"/>
      <c r="D1567" s="242"/>
      <c r="E1567" s="243"/>
      <c r="F1567" s="244"/>
      <c r="G1567" s="244"/>
      <c r="H1567" s="243"/>
      <c r="I1567" s="258"/>
      <c r="J1567" s="245"/>
      <c r="K1567" s="245"/>
      <c r="L1567" s="76">
        <f t="shared" si="240"/>
        <v>0</v>
      </c>
      <c r="M1567" s="246"/>
      <c r="N1567" s="247"/>
      <c r="O1567" s="248"/>
      <c r="P1567" s="246"/>
      <c r="Q1567" s="249"/>
      <c r="R1567" s="250"/>
      <c r="S1567" s="259"/>
      <c r="T1567" s="260"/>
      <c r="U1567" s="250"/>
      <c r="V1567" s="78">
        <f t="shared" si="241"/>
        <v>0</v>
      </c>
      <c r="W1567" s="261">
        <f t="shared" si="242"/>
        <v>0</v>
      </c>
      <c r="X1567" s="133">
        <f t="shared" si="243"/>
        <v>0</v>
      </c>
      <c r="Y1567" s="251"/>
      <c r="Z1567" s="1736"/>
      <c r="AA1567" s="1737"/>
      <c r="AB1567" s="77">
        <f t="shared" si="244"/>
        <v>0</v>
      </c>
      <c r="AC1567" s="134">
        <f t="shared" si="245"/>
        <v>0</v>
      </c>
      <c r="AD1567" s="251"/>
      <c r="AE1567" s="1736"/>
      <c r="AF1567" s="1737"/>
      <c r="AG1567" s="77">
        <f t="shared" si="246"/>
        <v>0</v>
      </c>
      <c r="AH1567" s="136">
        <f t="shared" si="247"/>
        <v>0</v>
      </c>
      <c r="AI1567" s="251"/>
      <c r="AJ1567" s="1736"/>
      <c r="AK1567" s="1737"/>
      <c r="AL1567" s="79">
        <f t="shared" si="248"/>
        <v>0</v>
      </c>
      <c r="AM1567" s="137">
        <f t="shared" si="249"/>
        <v>0</v>
      </c>
      <c r="AN1567" s="251"/>
      <c r="AO1567" s="1736"/>
      <c r="AP1567" s="1737"/>
    </row>
    <row r="1568" spans="1:42" s="85" customFormat="1" ht="13.5" thickBot="1">
      <c r="A1568" s="240"/>
      <c r="B1568" s="241"/>
      <c r="C1568" s="242"/>
      <c r="D1568" s="242"/>
      <c r="E1568" s="243"/>
      <c r="F1568" s="244"/>
      <c r="G1568" s="244"/>
      <c r="H1568" s="243"/>
      <c r="I1568" s="258"/>
      <c r="J1568" s="245"/>
      <c r="K1568" s="245"/>
      <c r="L1568" s="76">
        <f t="shared" si="240"/>
        <v>0</v>
      </c>
      <c r="M1568" s="246"/>
      <c r="N1568" s="247"/>
      <c r="O1568" s="248"/>
      <c r="P1568" s="246"/>
      <c r="Q1568" s="249"/>
      <c r="R1568" s="250"/>
      <c r="S1568" s="259"/>
      <c r="T1568" s="260"/>
      <c r="U1568" s="250"/>
      <c r="V1568" s="78">
        <f t="shared" si="241"/>
        <v>0</v>
      </c>
      <c r="W1568" s="261">
        <f t="shared" si="242"/>
        <v>0</v>
      </c>
      <c r="X1568" s="133">
        <f t="shared" si="243"/>
        <v>0</v>
      </c>
      <c r="Y1568" s="251"/>
      <c r="Z1568" s="1736"/>
      <c r="AA1568" s="1737"/>
      <c r="AB1568" s="77">
        <f t="shared" si="244"/>
        <v>0</v>
      </c>
      <c r="AC1568" s="134">
        <f t="shared" si="245"/>
        <v>0</v>
      </c>
      <c r="AD1568" s="251"/>
      <c r="AE1568" s="1736"/>
      <c r="AF1568" s="1737"/>
      <c r="AG1568" s="77">
        <f t="shared" si="246"/>
        <v>0</v>
      </c>
      <c r="AH1568" s="136">
        <f t="shared" si="247"/>
        <v>0</v>
      </c>
      <c r="AI1568" s="251"/>
      <c r="AJ1568" s="1736"/>
      <c r="AK1568" s="1737"/>
      <c r="AL1568" s="79">
        <f t="shared" si="248"/>
        <v>0</v>
      </c>
      <c r="AM1568" s="137">
        <f t="shared" si="249"/>
        <v>0</v>
      </c>
      <c r="AN1568" s="251"/>
      <c r="AO1568" s="1736"/>
      <c r="AP1568" s="1737"/>
    </row>
    <row r="1569" spans="1:42" s="85" customFormat="1" ht="13.5" thickBot="1">
      <c r="A1569" s="240"/>
      <c r="B1569" s="241"/>
      <c r="C1569" s="242"/>
      <c r="D1569" s="242"/>
      <c r="E1569" s="243"/>
      <c r="F1569" s="244"/>
      <c r="G1569" s="244"/>
      <c r="H1569" s="243"/>
      <c r="I1569" s="258"/>
      <c r="J1569" s="245"/>
      <c r="K1569" s="245"/>
      <c r="L1569" s="76">
        <f t="shared" si="240"/>
        <v>0</v>
      </c>
      <c r="M1569" s="246"/>
      <c r="N1569" s="247"/>
      <c r="O1569" s="248"/>
      <c r="P1569" s="246"/>
      <c r="Q1569" s="249"/>
      <c r="R1569" s="250"/>
      <c r="S1569" s="259"/>
      <c r="T1569" s="260"/>
      <c r="U1569" s="250"/>
      <c r="V1569" s="78">
        <f t="shared" si="241"/>
        <v>0</v>
      </c>
      <c r="W1569" s="261">
        <f t="shared" si="242"/>
        <v>0</v>
      </c>
      <c r="X1569" s="133">
        <f t="shared" si="243"/>
        <v>0</v>
      </c>
      <c r="Y1569" s="251"/>
      <c r="Z1569" s="1736"/>
      <c r="AA1569" s="1737"/>
      <c r="AB1569" s="77">
        <f t="shared" si="244"/>
        <v>0</v>
      </c>
      <c r="AC1569" s="134">
        <f t="shared" si="245"/>
        <v>0</v>
      </c>
      <c r="AD1569" s="251"/>
      <c r="AE1569" s="1736"/>
      <c r="AF1569" s="1737"/>
      <c r="AG1569" s="77">
        <f t="shared" si="246"/>
        <v>0</v>
      </c>
      <c r="AH1569" s="136">
        <f t="shared" si="247"/>
        <v>0</v>
      </c>
      <c r="AI1569" s="251"/>
      <c r="AJ1569" s="1736"/>
      <c r="AK1569" s="1737"/>
      <c r="AL1569" s="79">
        <f t="shared" si="248"/>
        <v>0</v>
      </c>
      <c r="AM1569" s="137">
        <f t="shared" si="249"/>
        <v>0</v>
      </c>
      <c r="AN1569" s="251"/>
      <c r="AO1569" s="1736"/>
      <c r="AP1569" s="1737"/>
    </row>
    <row r="1570" spans="1:42" s="85" customFormat="1" ht="13.5" thickBot="1">
      <c r="A1570" s="240"/>
      <c r="B1570" s="241"/>
      <c r="C1570" s="242"/>
      <c r="D1570" s="242"/>
      <c r="E1570" s="243"/>
      <c r="F1570" s="244"/>
      <c r="G1570" s="244"/>
      <c r="H1570" s="243"/>
      <c r="I1570" s="258"/>
      <c r="J1570" s="245"/>
      <c r="K1570" s="245"/>
      <c r="L1570" s="76">
        <f t="shared" si="240"/>
        <v>0</v>
      </c>
      <c r="M1570" s="246"/>
      <c r="N1570" s="247"/>
      <c r="O1570" s="248"/>
      <c r="P1570" s="246"/>
      <c r="Q1570" s="249"/>
      <c r="R1570" s="250"/>
      <c r="S1570" s="259"/>
      <c r="T1570" s="260"/>
      <c r="U1570" s="250"/>
      <c r="V1570" s="78">
        <f t="shared" si="241"/>
        <v>0</v>
      </c>
      <c r="W1570" s="261">
        <f t="shared" si="242"/>
        <v>0</v>
      </c>
      <c r="X1570" s="133">
        <f t="shared" si="243"/>
        <v>0</v>
      </c>
      <c r="Y1570" s="251"/>
      <c r="Z1570" s="1736"/>
      <c r="AA1570" s="1737"/>
      <c r="AB1570" s="77">
        <f t="shared" si="244"/>
        <v>0</v>
      </c>
      <c r="AC1570" s="134">
        <f t="shared" si="245"/>
        <v>0</v>
      </c>
      <c r="AD1570" s="251"/>
      <c r="AE1570" s="1736"/>
      <c r="AF1570" s="1737"/>
      <c r="AG1570" s="77">
        <f t="shared" si="246"/>
        <v>0</v>
      </c>
      <c r="AH1570" s="136">
        <f t="shared" si="247"/>
        <v>0</v>
      </c>
      <c r="AI1570" s="251"/>
      <c r="AJ1570" s="1736"/>
      <c r="AK1570" s="1737"/>
      <c r="AL1570" s="79">
        <f t="shared" si="248"/>
        <v>0</v>
      </c>
      <c r="AM1570" s="137">
        <f t="shared" si="249"/>
        <v>0</v>
      </c>
      <c r="AN1570" s="251"/>
      <c r="AO1570" s="1736"/>
      <c r="AP1570" s="1737"/>
    </row>
    <row r="1571" spans="1:42" s="85" customFormat="1" ht="13.5" thickBot="1">
      <c r="A1571" s="240"/>
      <c r="B1571" s="241"/>
      <c r="C1571" s="242"/>
      <c r="D1571" s="242"/>
      <c r="E1571" s="243"/>
      <c r="F1571" s="244"/>
      <c r="G1571" s="244"/>
      <c r="H1571" s="243"/>
      <c r="I1571" s="258"/>
      <c r="J1571" s="245"/>
      <c r="K1571" s="245"/>
      <c r="L1571" s="76">
        <f t="shared" si="240"/>
        <v>0</v>
      </c>
      <c r="M1571" s="246"/>
      <c r="N1571" s="247"/>
      <c r="O1571" s="248"/>
      <c r="P1571" s="246"/>
      <c r="Q1571" s="249"/>
      <c r="R1571" s="250"/>
      <c r="S1571" s="259"/>
      <c r="T1571" s="260"/>
      <c r="U1571" s="250"/>
      <c r="V1571" s="78">
        <f t="shared" si="241"/>
        <v>0</v>
      </c>
      <c r="W1571" s="261">
        <f t="shared" si="242"/>
        <v>0</v>
      </c>
      <c r="X1571" s="133">
        <f t="shared" si="243"/>
        <v>0</v>
      </c>
      <c r="Y1571" s="251"/>
      <c r="Z1571" s="1736"/>
      <c r="AA1571" s="1737"/>
      <c r="AB1571" s="77">
        <f t="shared" si="244"/>
        <v>0</v>
      </c>
      <c r="AC1571" s="134">
        <f t="shared" si="245"/>
        <v>0</v>
      </c>
      <c r="AD1571" s="251"/>
      <c r="AE1571" s="1736"/>
      <c r="AF1571" s="1737"/>
      <c r="AG1571" s="77">
        <f t="shared" si="246"/>
        <v>0</v>
      </c>
      <c r="AH1571" s="136">
        <f t="shared" si="247"/>
        <v>0</v>
      </c>
      <c r="AI1571" s="251"/>
      <c r="AJ1571" s="1736"/>
      <c r="AK1571" s="1737"/>
      <c r="AL1571" s="79">
        <f t="shared" si="248"/>
        <v>0</v>
      </c>
      <c r="AM1571" s="137">
        <f t="shared" si="249"/>
        <v>0</v>
      </c>
      <c r="AN1571" s="251"/>
      <c r="AO1571" s="1736"/>
      <c r="AP1571" s="1737"/>
    </row>
    <row r="1572" spans="1:42" s="85" customFormat="1" ht="13.5" thickBot="1">
      <c r="A1572" s="240"/>
      <c r="B1572" s="241"/>
      <c r="C1572" s="242"/>
      <c r="D1572" s="242"/>
      <c r="E1572" s="243"/>
      <c r="F1572" s="244"/>
      <c r="G1572" s="244"/>
      <c r="H1572" s="243"/>
      <c r="I1572" s="258"/>
      <c r="J1572" s="245"/>
      <c r="K1572" s="245"/>
      <c r="L1572" s="76">
        <f t="shared" si="240"/>
        <v>0</v>
      </c>
      <c r="M1572" s="246"/>
      <c r="N1572" s="247"/>
      <c r="O1572" s="248"/>
      <c r="P1572" s="246"/>
      <c r="Q1572" s="249"/>
      <c r="R1572" s="250"/>
      <c r="S1572" s="259"/>
      <c r="T1572" s="260"/>
      <c r="U1572" s="250"/>
      <c r="V1572" s="78">
        <f t="shared" si="241"/>
        <v>0</v>
      </c>
      <c r="W1572" s="261">
        <f t="shared" si="242"/>
        <v>0</v>
      </c>
      <c r="X1572" s="133">
        <f t="shared" si="243"/>
        <v>0</v>
      </c>
      <c r="Y1572" s="251"/>
      <c r="Z1572" s="1736"/>
      <c r="AA1572" s="1737"/>
      <c r="AB1572" s="77">
        <f t="shared" si="244"/>
        <v>0</v>
      </c>
      <c r="AC1572" s="134">
        <f t="shared" si="245"/>
        <v>0</v>
      </c>
      <c r="AD1572" s="251"/>
      <c r="AE1572" s="1736"/>
      <c r="AF1572" s="1737"/>
      <c r="AG1572" s="77">
        <f t="shared" si="246"/>
        <v>0</v>
      </c>
      <c r="AH1572" s="136">
        <f t="shared" si="247"/>
        <v>0</v>
      </c>
      <c r="AI1572" s="251"/>
      <c r="AJ1572" s="1736"/>
      <c r="AK1572" s="1737"/>
      <c r="AL1572" s="79">
        <f t="shared" si="248"/>
        <v>0</v>
      </c>
      <c r="AM1572" s="137">
        <f t="shared" si="249"/>
        <v>0</v>
      </c>
      <c r="AN1572" s="251"/>
      <c r="AO1572" s="1736"/>
      <c r="AP1572" s="1737"/>
    </row>
    <row r="1573" spans="1:42" s="85" customFormat="1" ht="13.5" thickBot="1">
      <c r="A1573" s="240"/>
      <c r="B1573" s="241"/>
      <c r="C1573" s="242"/>
      <c r="D1573" s="242"/>
      <c r="E1573" s="243"/>
      <c r="F1573" s="244"/>
      <c r="G1573" s="244"/>
      <c r="H1573" s="243"/>
      <c r="I1573" s="258"/>
      <c r="J1573" s="245"/>
      <c r="K1573" s="245"/>
      <c r="L1573" s="76">
        <f t="shared" si="240"/>
        <v>0</v>
      </c>
      <c r="M1573" s="246"/>
      <c r="N1573" s="247"/>
      <c r="O1573" s="248"/>
      <c r="P1573" s="246"/>
      <c r="Q1573" s="249"/>
      <c r="R1573" s="250"/>
      <c r="S1573" s="259"/>
      <c r="T1573" s="260"/>
      <c r="U1573" s="250"/>
      <c r="V1573" s="78">
        <f t="shared" si="241"/>
        <v>0</v>
      </c>
      <c r="W1573" s="261">
        <f t="shared" si="242"/>
        <v>0</v>
      </c>
      <c r="X1573" s="133">
        <f t="shared" si="243"/>
        <v>0</v>
      </c>
      <c r="Y1573" s="251"/>
      <c r="Z1573" s="1736"/>
      <c r="AA1573" s="1737"/>
      <c r="AB1573" s="77">
        <f t="shared" si="244"/>
        <v>0</v>
      </c>
      <c r="AC1573" s="134">
        <f t="shared" si="245"/>
        <v>0</v>
      </c>
      <c r="AD1573" s="251"/>
      <c r="AE1573" s="1736"/>
      <c r="AF1573" s="1737"/>
      <c r="AG1573" s="77">
        <f t="shared" si="246"/>
        <v>0</v>
      </c>
      <c r="AH1573" s="136">
        <f t="shared" si="247"/>
        <v>0</v>
      </c>
      <c r="AI1573" s="251"/>
      <c r="AJ1573" s="1736"/>
      <c r="AK1573" s="1737"/>
      <c r="AL1573" s="79">
        <f t="shared" si="248"/>
        <v>0</v>
      </c>
      <c r="AM1573" s="137">
        <f t="shared" si="249"/>
        <v>0</v>
      </c>
      <c r="AN1573" s="251"/>
      <c r="AO1573" s="1736"/>
      <c r="AP1573" s="1737"/>
    </row>
    <row r="1574" spans="1:42" s="85" customFormat="1" ht="13.5" thickBot="1">
      <c r="A1574" s="240"/>
      <c r="B1574" s="241"/>
      <c r="C1574" s="242"/>
      <c r="D1574" s="242"/>
      <c r="E1574" s="243"/>
      <c r="F1574" s="244"/>
      <c r="G1574" s="244"/>
      <c r="H1574" s="243"/>
      <c r="I1574" s="258"/>
      <c r="J1574" s="245"/>
      <c r="K1574" s="245"/>
      <c r="L1574" s="76">
        <f t="shared" si="240"/>
        <v>0</v>
      </c>
      <c r="M1574" s="246"/>
      <c r="N1574" s="247"/>
      <c r="O1574" s="248"/>
      <c r="P1574" s="246"/>
      <c r="Q1574" s="249"/>
      <c r="R1574" s="250"/>
      <c r="S1574" s="259"/>
      <c r="T1574" s="260"/>
      <c r="U1574" s="250"/>
      <c r="V1574" s="78">
        <f t="shared" si="241"/>
        <v>0</v>
      </c>
      <c r="W1574" s="261">
        <f t="shared" si="242"/>
        <v>0</v>
      </c>
      <c r="X1574" s="133">
        <f t="shared" si="243"/>
        <v>0</v>
      </c>
      <c r="Y1574" s="251"/>
      <c r="Z1574" s="1736"/>
      <c r="AA1574" s="1737"/>
      <c r="AB1574" s="77">
        <f t="shared" si="244"/>
        <v>0</v>
      </c>
      <c r="AC1574" s="134">
        <f t="shared" si="245"/>
        <v>0</v>
      </c>
      <c r="AD1574" s="251"/>
      <c r="AE1574" s="1736"/>
      <c r="AF1574" s="1737"/>
      <c r="AG1574" s="77">
        <f t="shared" si="246"/>
        <v>0</v>
      </c>
      <c r="AH1574" s="136">
        <f t="shared" si="247"/>
        <v>0</v>
      </c>
      <c r="AI1574" s="251"/>
      <c r="AJ1574" s="1736"/>
      <c r="AK1574" s="1737"/>
      <c r="AL1574" s="79">
        <f t="shared" si="248"/>
        <v>0</v>
      </c>
      <c r="AM1574" s="137">
        <f t="shared" si="249"/>
        <v>0</v>
      </c>
      <c r="AN1574" s="251"/>
      <c r="AO1574" s="1736"/>
      <c r="AP1574" s="1737"/>
    </row>
    <row r="1575" spans="1:42" s="85" customFormat="1" ht="13.5" thickBot="1">
      <c r="A1575" s="240"/>
      <c r="B1575" s="241"/>
      <c r="C1575" s="242"/>
      <c r="D1575" s="242"/>
      <c r="E1575" s="243"/>
      <c r="F1575" s="244"/>
      <c r="G1575" s="244"/>
      <c r="H1575" s="243"/>
      <c r="I1575" s="258"/>
      <c r="J1575" s="245"/>
      <c r="K1575" s="245"/>
      <c r="L1575" s="76">
        <f t="shared" si="240"/>
        <v>0</v>
      </c>
      <c r="M1575" s="246"/>
      <c r="N1575" s="247"/>
      <c r="O1575" s="248"/>
      <c r="P1575" s="246"/>
      <c r="Q1575" s="249"/>
      <c r="R1575" s="250"/>
      <c r="S1575" s="259"/>
      <c r="T1575" s="260"/>
      <c r="U1575" s="250"/>
      <c r="V1575" s="78">
        <f t="shared" si="241"/>
        <v>0</v>
      </c>
      <c r="W1575" s="261">
        <f t="shared" si="242"/>
        <v>0</v>
      </c>
      <c r="X1575" s="133">
        <f t="shared" si="243"/>
        <v>0</v>
      </c>
      <c r="Y1575" s="251"/>
      <c r="Z1575" s="1736"/>
      <c r="AA1575" s="1737"/>
      <c r="AB1575" s="77">
        <f t="shared" si="244"/>
        <v>0</v>
      </c>
      <c r="AC1575" s="134">
        <f t="shared" si="245"/>
        <v>0</v>
      </c>
      <c r="AD1575" s="251"/>
      <c r="AE1575" s="1736"/>
      <c r="AF1575" s="1737"/>
      <c r="AG1575" s="77">
        <f t="shared" si="246"/>
        <v>0</v>
      </c>
      <c r="AH1575" s="136">
        <f t="shared" si="247"/>
        <v>0</v>
      </c>
      <c r="AI1575" s="251"/>
      <c r="AJ1575" s="1736"/>
      <c r="AK1575" s="1737"/>
      <c r="AL1575" s="79">
        <f t="shared" si="248"/>
        <v>0</v>
      </c>
      <c r="AM1575" s="137">
        <f t="shared" si="249"/>
        <v>0</v>
      </c>
      <c r="AN1575" s="251"/>
      <c r="AO1575" s="1736"/>
      <c r="AP1575" s="1737"/>
    </row>
    <row r="1576" spans="1:42" s="85" customFormat="1" ht="13.5" thickBot="1">
      <c r="A1576" s="240"/>
      <c r="B1576" s="241"/>
      <c r="C1576" s="242"/>
      <c r="D1576" s="242"/>
      <c r="E1576" s="243"/>
      <c r="F1576" s="244"/>
      <c r="G1576" s="244"/>
      <c r="H1576" s="243"/>
      <c r="I1576" s="258"/>
      <c r="J1576" s="245"/>
      <c r="K1576" s="245"/>
      <c r="L1576" s="76">
        <f t="shared" si="240"/>
        <v>0</v>
      </c>
      <c r="M1576" s="246"/>
      <c r="N1576" s="247"/>
      <c r="O1576" s="248"/>
      <c r="P1576" s="246"/>
      <c r="Q1576" s="249"/>
      <c r="R1576" s="250"/>
      <c r="S1576" s="259"/>
      <c r="T1576" s="260"/>
      <c r="U1576" s="250"/>
      <c r="V1576" s="78">
        <f t="shared" si="241"/>
        <v>0</v>
      </c>
      <c r="W1576" s="261">
        <f t="shared" si="242"/>
        <v>0</v>
      </c>
      <c r="X1576" s="133">
        <f t="shared" si="243"/>
        <v>0</v>
      </c>
      <c r="Y1576" s="251"/>
      <c r="Z1576" s="1736"/>
      <c r="AA1576" s="1737"/>
      <c r="AB1576" s="77">
        <f t="shared" si="244"/>
        <v>0</v>
      </c>
      <c r="AC1576" s="134">
        <f t="shared" si="245"/>
        <v>0</v>
      </c>
      <c r="AD1576" s="251"/>
      <c r="AE1576" s="1736"/>
      <c r="AF1576" s="1737"/>
      <c r="AG1576" s="77">
        <f t="shared" si="246"/>
        <v>0</v>
      </c>
      <c r="AH1576" s="136">
        <f t="shared" si="247"/>
        <v>0</v>
      </c>
      <c r="AI1576" s="251"/>
      <c r="AJ1576" s="1736"/>
      <c r="AK1576" s="1737"/>
      <c r="AL1576" s="79">
        <f t="shared" si="248"/>
        <v>0</v>
      </c>
      <c r="AM1576" s="137">
        <f t="shared" si="249"/>
        <v>0</v>
      </c>
      <c r="AN1576" s="251"/>
      <c r="AO1576" s="1736"/>
      <c r="AP1576" s="1737"/>
    </row>
    <row r="1577" spans="1:42" s="85" customFormat="1" ht="13.5" thickBot="1">
      <c r="A1577" s="240"/>
      <c r="B1577" s="241"/>
      <c r="C1577" s="242"/>
      <c r="D1577" s="242"/>
      <c r="E1577" s="243"/>
      <c r="F1577" s="244"/>
      <c r="G1577" s="244"/>
      <c r="H1577" s="243"/>
      <c r="I1577" s="258"/>
      <c r="J1577" s="245"/>
      <c r="K1577" s="245"/>
      <c r="L1577" s="76">
        <f t="shared" si="240"/>
        <v>0</v>
      </c>
      <c r="M1577" s="246"/>
      <c r="N1577" s="247"/>
      <c r="O1577" s="248"/>
      <c r="P1577" s="246"/>
      <c r="Q1577" s="249"/>
      <c r="R1577" s="250"/>
      <c r="S1577" s="259"/>
      <c r="T1577" s="260"/>
      <c r="U1577" s="250"/>
      <c r="V1577" s="78">
        <f t="shared" si="241"/>
        <v>0</v>
      </c>
      <c r="W1577" s="261">
        <f t="shared" si="242"/>
        <v>0</v>
      </c>
      <c r="X1577" s="133">
        <f t="shared" si="243"/>
        <v>0</v>
      </c>
      <c r="Y1577" s="251"/>
      <c r="Z1577" s="1736"/>
      <c r="AA1577" s="1737"/>
      <c r="AB1577" s="77">
        <f t="shared" si="244"/>
        <v>0</v>
      </c>
      <c r="AC1577" s="134">
        <f t="shared" si="245"/>
        <v>0</v>
      </c>
      <c r="AD1577" s="251"/>
      <c r="AE1577" s="1736"/>
      <c r="AF1577" s="1737"/>
      <c r="AG1577" s="77">
        <f t="shared" si="246"/>
        <v>0</v>
      </c>
      <c r="AH1577" s="136">
        <f t="shared" si="247"/>
        <v>0</v>
      </c>
      <c r="AI1577" s="251"/>
      <c r="AJ1577" s="1736"/>
      <c r="AK1577" s="1737"/>
      <c r="AL1577" s="79">
        <f t="shared" si="248"/>
        <v>0</v>
      </c>
      <c r="AM1577" s="137">
        <f t="shared" si="249"/>
        <v>0</v>
      </c>
      <c r="AN1577" s="251"/>
      <c r="AO1577" s="1736"/>
      <c r="AP1577" s="1737"/>
    </row>
    <row r="1578" spans="1:42" s="85" customFormat="1" ht="13.5" thickBot="1">
      <c r="A1578" s="240"/>
      <c r="B1578" s="241"/>
      <c r="C1578" s="242"/>
      <c r="D1578" s="242"/>
      <c r="E1578" s="243"/>
      <c r="F1578" s="244"/>
      <c r="G1578" s="244"/>
      <c r="H1578" s="243"/>
      <c r="I1578" s="258"/>
      <c r="J1578" s="245"/>
      <c r="K1578" s="245"/>
      <c r="L1578" s="76">
        <f t="shared" si="240"/>
        <v>0</v>
      </c>
      <c r="M1578" s="246"/>
      <c r="N1578" s="247"/>
      <c r="O1578" s="248"/>
      <c r="P1578" s="246"/>
      <c r="Q1578" s="249"/>
      <c r="R1578" s="250"/>
      <c r="S1578" s="259"/>
      <c r="T1578" s="260"/>
      <c r="U1578" s="250"/>
      <c r="V1578" s="78">
        <f t="shared" si="241"/>
        <v>0</v>
      </c>
      <c r="W1578" s="261">
        <f t="shared" si="242"/>
        <v>0</v>
      </c>
      <c r="X1578" s="133">
        <f t="shared" si="243"/>
        <v>0</v>
      </c>
      <c r="Y1578" s="251"/>
      <c r="Z1578" s="1736"/>
      <c r="AA1578" s="1737"/>
      <c r="AB1578" s="77">
        <f t="shared" si="244"/>
        <v>0</v>
      </c>
      <c r="AC1578" s="134">
        <f t="shared" si="245"/>
        <v>0</v>
      </c>
      <c r="AD1578" s="251"/>
      <c r="AE1578" s="1736"/>
      <c r="AF1578" s="1737"/>
      <c r="AG1578" s="77">
        <f t="shared" si="246"/>
        <v>0</v>
      </c>
      <c r="AH1578" s="136">
        <f t="shared" si="247"/>
        <v>0</v>
      </c>
      <c r="AI1578" s="251"/>
      <c r="AJ1578" s="1736"/>
      <c r="AK1578" s="1737"/>
      <c r="AL1578" s="79">
        <f t="shared" si="248"/>
        <v>0</v>
      </c>
      <c r="AM1578" s="137">
        <f t="shared" si="249"/>
        <v>0</v>
      </c>
      <c r="AN1578" s="251"/>
      <c r="AO1578" s="1736"/>
      <c r="AP1578" s="1737"/>
    </row>
    <row r="1579" spans="1:42" s="85" customFormat="1" ht="13.5" thickBot="1">
      <c r="A1579" s="240"/>
      <c r="B1579" s="241"/>
      <c r="C1579" s="242"/>
      <c r="D1579" s="242"/>
      <c r="E1579" s="243"/>
      <c r="F1579" s="244"/>
      <c r="G1579" s="244"/>
      <c r="H1579" s="243"/>
      <c r="I1579" s="258"/>
      <c r="J1579" s="245"/>
      <c r="K1579" s="245"/>
      <c r="L1579" s="76">
        <f t="shared" si="240"/>
        <v>0</v>
      </c>
      <c r="M1579" s="246"/>
      <c r="N1579" s="247"/>
      <c r="O1579" s="248"/>
      <c r="P1579" s="246"/>
      <c r="Q1579" s="249"/>
      <c r="R1579" s="250"/>
      <c r="S1579" s="259"/>
      <c r="T1579" s="260"/>
      <c r="U1579" s="250"/>
      <c r="V1579" s="78">
        <f t="shared" si="241"/>
        <v>0</v>
      </c>
      <c r="W1579" s="261">
        <f t="shared" si="242"/>
        <v>0</v>
      </c>
      <c r="X1579" s="133">
        <f t="shared" si="243"/>
        <v>0</v>
      </c>
      <c r="Y1579" s="251"/>
      <c r="Z1579" s="1736"/>
      <c r="AA1579" s="1737"/>
      <c r="AB1579" s="77">
        <f t="shared" si="244"/>
        <v>0</v>
      </c>
      <c r="AC1579" s="134">
        <f t="shared" si="245"/>
        <v>0</v>
      </c>
      <c r="AD1579" s="251"/>
      <c r="AE1579" s="1736"/>
      <c r="AF1579" s="1737"/>
      <c r="AG1579" s="77">
        <f t="shared" si="246"/>
        <v>0</v>
      </c>
      <c r="AH1579" s="136">
        <f t="shared" si="247"/>
        <v>0</v>
      </c>
      <c r="AI1579" s="251"/>
      <c r="AJ1579" s="1736"/>
      <c r="AK1579" s="1737"/>
      <c r="AL1579" s="79">
        <f t="shared" si="248"/>
        <v>0</v>
      </c>
      <c r="AM1579" s="137">
        <f t="shared" si="249"/>
        <v>0</v>
      </c>
      <c r="AN1579" s="251"/>
      <c r="AO1579" s="1736"/>
      <c r="AP1579" s="1737"/>
    </row>
    <row r="1580" spans="1:42" s="85" customFormat="1" ht="13.5" thickBot="1">
      <c r="A1580" s="240"/>
      <c r="B1580" s="241"/>
      <c r="C1580" s="242"/>
      <c r="D1580" s="242"/>
      <c r="E1580" s="243"/>
      <c r="F1580" s="244"/>
      <c r="G1580" s="244"/>
      <c r="H1580" s="243"/>
      <c r="I1580" s="258"/>
      <c r="J1580" s="245"/>
      <c r="K1580" s="245"/>
      <c r="L1580" s="76">
        <f t="shared" si="240"/>
        <v>0</v>
      </c>
      <c r="M1580" s="246"/>
      <c r="N1580" s="247"/>
      <c r="O1580" s="248"/>
      <c r="P1580" s="246"/>
      <c r="Q1580" s="249"/>
      <c r="R1580" s="250"/>
      <c r="S1580" s="259"/>
      <c r="T1580" s="260"/>
      <c r="U1580" s="250"/>
      <c r="V1580" s="78">
        <f t="shared" si="241"/>
        <v>0</v>
      </c>
      <c r="W1580" s="261">
        <f t="shared" si="242"/>
        <v>0</v>
      </c>
      <c r="X1580" s="133">
        <f t="shared" si="243"/>
        <v>0</v>
      </c>
      <c r="Y1580" s="251"/>
      <c r="Z1580" s="1736"/>
      <c r="AA1580" s="1737"/>
      <c r="AB1580" s="77">
        <f t="shared" si="244"/>
        <v>0</v>
      </c>
      <c r="AC1580" s="134">
        <f t="shared" si="245"/>
        <v>0</v>
      </c>
      <c r="AD1580" s="251"/>
      <c r="AE1580" s="1736"/>
      <c r="AF1580" s="1737"/>
      <c r="AG1580" s="77">
        <f t="shared" si="246"/>
        <v>0</v>
      </c>
      <c r="AH1580" s="136">
        <f t="shared" si="247"/>
        <v>0</v>
      </c>
      <c r="AI1580" s="251"/>
      <c r="AJ1580" s="1736"/>
      <c r="AK1580" s="1737"/>
      <c r="AL1580" s="79">
        <f t="shared" si="248"/>
        <v>0</v>
      </c>
      <c r="AM1580" s="137">
        <f t="shared" si="249"/>
        <v>0</v>
      </c>
      <c r="AN1580" s="251"/>
      <c r="AO1580" s="1736"/>
      <c r="AP1580" s="1737"/>
    </row>
    <row r="1581" spans="1:42" s="85" customFormat="1" ht="13.5" thickBot="1">
      <c r="A1581" s="240"/>
      <c r="B1581" s="241"/>
      <c r="C1581" s="242"/>
      <c r="D1581" s="242"/>
      <c r="E1581" s="243"/>
      <c r="F1581" s="244"/>
      <c r="G1581" s="244"/>
      <c r="H1581" s="243"/>
      <c r="I1581" s="258"/>
      <c r="J1581" s="245"/>
      <c r="K1581" s="245"/>
      <c r="L1581" s="76">
        <f t="shared" si="240"/>
        <v>0</v>
      </c>
      <c r="M1581" s="246"/>
      <c r="N1581" s="247"/>
      <c r="O1581" s="248"/>
      <c r="P1581" s="246"/>
      <c r="Q1581" s="249"/>
      <c r="R1581" s="250"/>
      <c r="S1581" s="259"/>
      <c r="T1581" s="260"/>
      <c r="U1581" s="250"/>
      <c r="V1581" s="78">
        <f t="shared" si="241"/>
        <v>0</v>
      </c>
      <c r="W1581" s="261">
        <f t="shared" si="242"/>
        <v>0</v>
      </c>
      <c r="X1581" s="133">
        <f t="shared" si="243"/>
        <v>0</v>
      </c>
      <c r="Y1581" s="251"/>
      <c r="Z1581" s="1736"/>
      <c r="AA1581" s="1737"/>
      <c r="AB1581" s="77">
        <f t="shared" si="244"/>
        <v>0</v>
      </c>
      <c r="AC1581" s="134">
        <f t="shared" si="245"/>
        <v>0</v>
      </c>
      <c r="AD1581" s="251"/>
      <c r="AE1581" s="1736"/>
      <c r="AF1581" s="1737"/>
      <c r="AG1581" s="77">
        <f t="shared" si="246"/>
        <v>0</v>
      </c>
      <c r="AH1581" s="136">
        <f t="shared" si="247"/>
        <v>0</v>
      </c>
      <c r="AI1581" s="251"/>
      <c r="AJ1581" s="1736"/>
      <c r="AK1581" s="1737"/>
      <c r="AL1581" s="79">
        <f t="shared" si="248"/>
        <v>0</v>
      </c>
      <c r="AM1581" s="137">
        <f t="shared" si="249"/>
        <v>0</v>
      </c>
      <c r="AN1581" s="251"/>
      <c r="AO1581" s="1736"/>
      <c r="AP1581" s="1737"/>
    </row>
    <row r="1582" spans="1:42" s="85" customFormat="1" ht="13.5" thickBot="1">
      <c r="A1582" s="240"/>
      <c r="B1582" s="241"/>
      <c r="C1582" s="242"/>
      <c r="D1582" s="242"/>
      <c r="E1582" s="243"/>
      <c r="F1582" s="244"/>
      <c r="G1582" s="244"/>
      <c r="H1582" s="243"/>
      <c r="I1582" s="258"/>
      <c r="J1582" s="245"/>
      <c r="K1582" s="245"/>
      <c r="L1582" s="76">
        <f t="shared" si="240"/>
        <v>0</v>
      </c>
      <c r="M1582" s="246"/>
      <c r="N1582" s="247"/>
      <c r="O1582" s="248"/>
      <c r="P1582" s="246"/>
      <c r="Q1582" s="249"/>
      <c r="R1582" s="250"/>
      <c r="S1582" s="259"/>
      <c r="T1582" s="260"/>
      <c r="U1582" s="250"/>
      <c r="V1582" s="78">
        <f t="shared" si="241"/>
        <v>0</v>
      </c>
      <c r="W1582" s="261">
        <f t="shared" si="242"/>
        <v>0</v>
      </c>
      <c r="X1582" s="133">
        <f t="shared" si="243"/>
        <v>0</v>
      </c>
      <c r="Y1582" s="251"/>
      <c r="Z1582" s="1736"/>
      <c r="AA1582" s="1737"/>
      <c r="AB1582" s="77">
        <f t="shared" si="244"/>
        <v>0</v>
      </c>
      <c r="AC1582" s="134">
        <f t="shared" si="245"/>
        <v>0</v>
      </c>
      <c r="AD1582" s="251"/>
      <c r="AE1582" s="1736"/>
      <c r="AF1582" s="1737"/>
      <c r="AG1582" s="77">
        <f t="shared" si="246"/>
        <v>0</v>
      </c>
      <c r="AH1582" s="136">
        <f t="shared" si="247"/>
        <v>0</v>
      </c>
      <c r="AI1582" s="251"/>
      <c r="AJ1582" s="1736"/>
      <c r="AK1582" s="1737"/>
      <c r="AL1582" s="79">
        <f t="shared" si="248"/>
        <v>0</v>
      </c>
      <c r="AM1582" s="137">
        <f t="shared" si="249"/>
        <v>0</v>
      </c>
      <c r="AN1582" s="251"/>
      <c r="AO1582" s="1736"/>
      <c r="AP1582" s="1737"/>
    </row>
    <row r="1583" spans="1:42" s="85" customFormat="1" ht="13.5" thickBot="1">
      <c r="A1583" s="240"/>
      <c r="B1583" s="241"/>
      <c r="C1583" s="242"/>
      <c r="D1583" s="242"/>
      <c r="E1583" s="243"/>
      <c r="F1583" s="244"/>
      <c r="G1583" s="244"/>
      <c r="H1583" s="243"/>
      <c r="I1583" s="258"/>
      <c r="J1583" s="245"/>
      <c r="K1583" s="245"/>
      <c r="L1583" s="76">
        <f t="shared" si="240"/>
        <v>0</v>
      </c>
      <c r="M1583" s="246"/>
      <c r="N1583" s="247"/>
      <c r="O1583" s="248"/>
      <c r="P1583" s="246"/>
      <c r="Q1583" s="249"/>
      <c r="R1583" s="250"/>
      <c r="S1583" s="259"/>
      <c r="T1583" s="260"/>
      <c r="U1583" s="250"/>
      <c r="V1583" s="78">
        <f t="shared" si="241"/>
        <v>0</v>
      </c>
      <c r="W1583" s="261">
        <f t="shared" si="242"/>
        <v>0</v>
      </c>
      <c r="X1583" s="133">
        <f t="shared" si="243"/>
        <v>0</v>
      </c>
      <c r="Y1583" s="251"/>
      <c r="Z1583" s="1736"/>
      <c r="AA1583" s="1737"/>
      <c r="AB1583" s="77">
        <f t="shared" si="244"/>
        <v>0</v>
      </c>
      <c r="AC1583" s="134">
        <f t="shared" si="245"/>
        <v>0</v>
      </c>
      <c r="AD1583" s="251"/>
      <c r="AE1583" s="1736"/>
      <c r="AF1583" s="1737"/>
      <c r="AG1583" s="77">
        <f t="shared" si="246"/>
        <v>0</v>
      </c>
      <c r="AH1583" s="136">
        <f t="shared" si="247"/>
        <v>0</v>
      </c>
      <c r="AI1583" s="251"/>
      <c r="AJ1583" s="1736"/>
      <c r="AK1583" s="1737"/>
      <c r="AL1583" s="79">
        <f t="shared" si="248"/>
        <v>0</v>
      </c>
      <c r="AM1583" s="137">
        <f t="shared" si="249"/>
        <v>0</v>
      </c>
      <c r="AN1583" s="251"/>
      <c r="AO1583" s="1736"/>
      <c r="AP1583" s="1737"/>
    </row>
    <row r="1584" spans="1:42" s="85" customFormat="1" ht="13.5" thickBot="1">
      <c r="A1584" s="240"/>
      <c r="B1584" s="241"/>
      <c r="C1584" s="242"/>
      <c r="D1584" s="242"/>
      <c r="E1584" s="243"/>
      <c r="F1584" s="244"/>
      <c r="G1584" s="244"/>
      <c r="H1584" s="243"/>
      <c r="I1584" s="258"/>
      <c r="J1584" s="245"/>
      <c r="K1584" s="245"/>
      <c r="L1584" s="76">
        <f t="shared" si="240"/>
        <v>0</v>
      </c>
      <c r="M1584" s="246"/>
      <c r="N1584" s="247"/>
      <c r="O1584" s="248"/>
      <c r="P1584" s="246"/>
      <c r="Q1584" s="249"/>
      <c r="R1584" s="250"/>
      <c r="S1584" s="259"/>
      <c r="T1584" s="260"/>
      <c r="U1584" s="250"/>
      <c r="V1584" s="78">
        <f t="shared" si="241"/>
        <v>0</v>
      </c>
      <c r="W1584" s="261">
        <f t="shared" si="242"/>
        <v>0</v>
      </c>
      <c r="X1584" s="133">
        <f t="shared" si="243"/>
        <v>0</v>
      </c>
      <c r="Y1584" s="251"/>
      <c r="Z1584" s="1736"/>
      <c r="AA1584" s="1737"/>
      <c r="AB1584" s="77">
        <f t="shared" si="244"/>
        <v>0</v>
      </c>
      <c r="AC1584" s="134">
        <f t="shared" si="245"/>
        <v>0</v>
      </c>
      <c r="AD1584" s="251"/>
      <c r="AE1584" s="1736"/>
      <c r="AF1584" s="1737"/>
      <c r="AG1584" s="77">
        <f t="shared" si="246"/>
        <v>0</v>
      </c>
      <c r="AH1584" s="136">
        <f t="shared" si="247"/>
        <v>0</v>
      </c>
      <c r="AI1584" s="251"/>
      <c r="AJ1584" s="1736"/>
      <c r="AK1584" s="1737"/>
      <c r="AL1584" s="79">
        <f t="shared" si="248"/>
        <v>0</v>
      </c>
      <c r="AM1584" s="137">
        <f t="shared" si="249"/>
        <v>0</v>
      </c>
      <c r="AN1584" s="251"/>
      <c r="AO1584" s="1736"/>
      <c r="AP1584" s="1737"/>
    </row>
    <row r="1585" spans="1:42" s="85" customFormat="1" ht="13.5" thickBot="1">
      <c r="A1585" s="240"/>
      <c r="B1585" s="241"/>
      <c r="C1585" s="242"/>
      <c r="D1585" s="242"/>
      <c r="E1585" s="243"/>
      <c r="F1585" s="244"/>
      <c r="G1585" s="244"/>
      <c r="H1585" s="243"/>
      <c r="I1585" s="258"/>
      <c r="J1585" s="245"/>
      <c r="K1585" s="245"/>
      <c r="L1585" s="76">
        <f t="shared" si="240"/>
        <v>0</v>
      </c>
      <c r="M1585" s="246"/>
      <c r="N1585" s="247"/>
      <c r="O1585" s="248"/>
      <c r="P1585" s="246"/>
      <c r="Q1585" s="249"/>
      <c r="R1585" s="250"/>
      <c r="S1585" s="259"/>
      <c r="T1585" s="260"/>
      <c r="U1585" s="250"/>
      <c r="V1585" s="78">
        <f t="shared" si="241"/>
        <v>0</v>
      </c>
      <c r="W1585" s="261">
        <f t="shared" si="242"/>
        <v>0</v>
      </c>
      <c r="X1585" s="133">
        <f t="shared" si="243"/>
        <v>0</v>
      </c>
      <c r="Y1585" s="251"/>
      <c r="Z1585" s="1736"/>
      <c r="AA1585" s="1737"/>
      <c r="AB1585" s="77">
        <f t="shared" si="244"/>
        <v>0</v>
      </c>
      <c r="AC1585" s="134">
        <f t="shared" si="245"/>
        <v>0</v>
      </c>
      <c r="AD1585" s="251"/>
      <c r="AE1585" s="1736"/>
      <c r="AF1585" s="1737"/>
      <c r="AG1585" s="77">
        <f t="shared" si="246"/>
        <v>0</v>
      </c>
      <c r="AH1585" s="136">
        <f t="shared" si="247"/>
        <v>0</v>
      </c>
      <c r="AI1585" s="251"/>
      <c r="AJ1585" s="1736"/>
      <c r="AK1585" s="1737"/>
      <c r="AL1585" s="79">
        <f t="shared" si="248"/>
        <v>0</v>
      </c>
      <c r="AM1585" s="137">
        <f t="shared" si="249"/>
        <v>0</v>
      </c>
      <c r="AN1585" s="251"/>
      <c r="AO1585" s="1736"/>
      <c r="AP1585" s="1737"/>
    </row>
    <row r="1586" spans="1:42" s="85" customFormat="1" ht="13.5" thickBot="1">
      <c r="A1586" s="240"/>
      <c r="B1586" s="241"/>
      <c r="C1586" s="242"/>
      <c r="D1586" s="242"/>
      <c r="E1586" s="243"/>
      <c r="F1586" s="244"/>
      <c r="G1586" s="244"/>
      <c r="H1586" s="243"/>
      <c r="I1586" s="258"/>
      <c r="J1586" s="245"/>
      <c r="K1586" s="245"/>
      <c r="L1586" s="76">
        <f t="shared" si="240"/>
        <v>0</v>
      </c>
      <c r="M1586" s="246"/>
      <c r="N1586" s="247"/>
      <c r="O1586" s="248"/>
      <c r="P1586" s="246"/>
      <c r="Q1586" s="249"/>
      <c r="R1586" s="250"/>
      <c r="S1586" s="259"/>
      <c r="T1586" s="260"/>
      <c r="U1586" s="250"/>
      <c r="V1586" s="78">
        <f t="shared" si="241"/>
        <v>0</v>
      </c>
      <c r="W1586" s="261">
        <f t="shared" si="242"/>
        <v>0</v>
      </c>
      <c r="X1586" s="133">
        <f t="shared" si="243"/>
        <v>0</v>
      </c>
      <c r="Y1586" s="251"/>
      <c r="Z1586" s="1736"/>
      <c r="AA1586" s="1737"/>
      <c r="AB1586" s="77">
        <f t="shared" si="244"/>
        <v>0</v>
      </c>
      <c r="AC1586" s="134">
        <f t="shared" si="245"/>
        <v>0</v>
      </c>
      <c r="AD1586" s="251"/>
      <c r="AE1586" s="1736"/>
      <c r="AF1586" s="1737"/>
      <c r="AG1586" s="77">
        <f t="shared" si="246"/>
        <v>0</v>
      </c>
      <c r="AH1586" s="136">
        <f t="shared" si="247"/>
        <v>0</v>
      </c>
      <c r="AI1586" s="251"/>
      <c r="AJ1586" s="1736"/>
      <c r="AK1586" s="1737"/>
      <c r="AL1586" s="79">
        <f t="shared" si="248"/>
        <v>0</v>
      </c>
      <c r="AM1586" s="137">
        <f t="shared" si="249"/>
        <v>0</v>
      </c>
      <c r="AN1586" s="251"/>
      <c r="AO1586" s="1736"/>
      <c r="AP1586" s="1737"/>
    </row>
    <row r="1587" spans="1:42" s="85" customFormat="1" ht="13.5" thickBot="1">
      <c r="A1587" s="240"/>
      <c r="B1587" s="241"/>
      <c r="C1587" s="242"/>
      <c r="D1587" s="242"/>
      <c r="E1587" s="243"/>
      <c r="F1587" s="244"/>
      <c r="G1587" s="244"/>
      <c r="H1587" s="243"/>
      <c r="I1587" s="258"/>
      <c r="J1587" s="245"/>
      <c r="K1587" s="245"/>
      <c r="L1587" s="76">
        <f t="shared" si="240"/>
        <v>0</v>
      </c>
      <c r="M1587" s="246"/>
      <c r="N1587" s="247"/>
      <c r="O1587" s="248"/>
      <c r="P1587" s="246"/>
      <c r="Q1587" s="249"/>
      <c r="R1587" s="250"/>
      <c r="S1587" s="259"/>
      <c r="T1587" s="260"/>
      <c r="U1587" s="250"/>
      <c r="V1587" s="78">
        <f t="shared" si="241"/>
        <v>0</v>
      </c>
      <c r="W1587" s="261">
        <f t="shared" si="242"/>
        <v>0</v>
      </c>
      <c r="X1587" s="133">
        <f t="shared" si="243"/>
        <v>0</v>
      </c>
      <c r="Y1587" s="251"/>
      <c r="Z1587" s="1736"/>
      <c r="AA1587" s="1737"/>
      <c r="AB1587" s="77">
        <f t="shared" si="244"/>
        <v>0</v>
      </c>
      <c r="AC1587" s="134">
        <f t="shared" si="245"/>
        <v>0</v>
      </c>
      <c r="AD1587" s="251"/>
      <c r="AE1587" s="1736"/>
      <c r="AF1587" s="1737"/>
      <c r="AG1587" s="77">
        <f t="shared" si="246"/>
        <v>0</v>
      </c>
      <c r="AH1587" s="136">
        <f t="shared" si="247"/>
        <v>0</v>
      </c>
      <c r="AI1587" s="251"/>
      <c r="AJ1587" s="1736"/>
      <c r="AK1587" s="1737"/>
      <c r="AL1587" s="79">
        <f t="shared" si="248"/>
        <v>0</v>
      </c>
      <c r="AM1587" s="137">
        <f t="shared" si="249"/>
        <v>0</v>
      </c>
      <c r="AN1587" s="251"/>
      <c r="AO1587" s="1736"/>
      <c r="AP1587" s="1737"/>
    </row>
    <row r="1588" spans="1:42" s="85" customFormat="1" ht="13.5" thickBot="1">
      <c r="A1588" s="240"/>
      <c r="B1588" s="241"/>
      <c r="C1588" s="242"/>
      <c r="D1588" s="242"/>
      <c r="E1588" s="243"/>
      <c r="F1588" s="244"/>
      <c r="G1588" s="244"/>
      <c r="H1588" s="243"/>
      <c r="I1588" s="258"/>
      <c r="J1588" s="245"/>
      <c r="K1588" s="245"/>
      <c r="L1588" s="76">
        <f t="shared" si="240"/>
        <v>0</v>
      </c>
      <c r="M1588" s="246"/>
      <c r="N1588" s="247"/>
      <c r="O1588" s="248"/>
      <c r="P1588" s="246"/>
      <c r="Q1588" s="249"/>
      <c r="R1588" s="250"/>
      <c r="S1588" s="259"/>
      <c r="T1588" s="260"/>
      <c r="U1588" s="250"/>
      <c r="V1588" s="78">
        <f t="shared" si="241"/>
        <v>0</v>
      </c>
      <c r="W1588" s="261">
        <f t="shared" si="242"/>
        <v>0</v>
      </c>
      <c r="X1588" s="133">
        <f t="shared" si="243"/>
        <v>0</v>
      </c>
      <c r="Y1588" s="251"/>
      <c r="Z1588" s="1736"/>
      <c r="AA1588" s="1737"/>
      <c r="AB1588" s="77">
        <f t="shared" si="244"/>
        <v>0</v>
      </c>
      <c r="AC1588" s="134">
        <f t="shared" si="245"/>
        <v>0</v>
      </c>
      <c r="AD1588" s="251"/>
      <c r="AE1588" s="1736"/>
      <c r="AF1588" s="1737"/>
      <c r="AG1588" s="77">
        <f t="shared" si="246"/>
        <v>0</v>
      </c>
      <c r="AH1588" s="136">
        <f t="shared" si="247"/>
        <v>0</v>
      </c>
      <c r="AI1588" s="251"/>
      <c r="AJ1588" s="1736"/>
      <c r="AK1588" s="1737"/>
      <c r="AL1588" s="79">
        <f t="shared" si="248"/>
        <v>0</v>
      </c>
      <c r="AM1588" s="137">
        <f t="shared" si="249"/>
        <v>0</v>
      </c>
      <c r="AN1588" s="251"/>
      <c r="AO1588" s="1736"/>
      <c r="AP1588" s="1737"/>
    </row>
    <row r="1589" spans="1:42" s="85" customFormat="1" ht="13.5" thickBot="1">
      <c r="A1589" s="240"/>
      <c r="B1589" s="241"/>
      <c r="C1589" s="242"/>
      <c r="D1589" s="242"/>
      <c r="E1589" s="243"/>
      <c r="F1589" s="244"/>
      <c r="G1589" s="244"/>
      <c r="H1589" s="243"/>
      <c r="I1589" s="258"/>
      <c r="J1589" s="245"/>
      <c r="K1589" s="245"/>
      <c r="L1589" s="76">
        <f t="shared" si="240"/>
        <v>0</v>
      </c>
      <c r="M1589" s="246"/>
      <c r="N1589" s="247"/>
      <c r="O1589" s="248"/>
      <c r="P1589" s="246"/>
      <c r="Q1589" s="249"/>
      <c r="R1589" s="250"/>
      <c r="S1589" s="259"/>
      <c r="T1589" s="260"/>
      <c r="U1589" s="250"/>
      <c r="V1589" s="78">
        <f t="shared" si="241"/>
        <v>0</v>
      </c>
      <c r="W1589" s="261">
        <f t="shared" si="242"/>
        <v>0</v>
      </c>
      <c r="X1589" s="133">
        <f t="shared" si="243"/>
        <v>0</v>
      </c>
      <c r="Y1589" s="251"/>
      <c r="Z1589" s="1736"/>
      <c r="AA1589" s="1737"/>
      <c r="AB1589" s="77">
        <f t="shared" si="244"/>
        <v>0</v>
      </c>
      <c r="AC1589" s="134">
        <f t="shared" si="245"/>
        <v>0</v>
      </c>
      <c r="AD1589" s="251"/>
      <c r="AE1589" s="1736"/>
      <c r="AF1589" s="1737"/>
      <c r="AG1589" s="77">
        <f t="shared" si="246"/>
        <v>0</v>
      </c>
      <c r="AH1589" s="136">
        <f t="shared" si="247"/>
        <v>0</v>
      </c>
      <c r="AI1589" s="251"/>
      <c r="AJ1589" s="1736"/>
      <c r="AK1589" s="1737"/>
      <c r="AL1589" s="79">
        <f t="shared" si="248"/>
        <v>0</v>
      </c>
      <c r="AM1589" s="137">
        <f t="shared" si="249"/>
        <v>0</v>
      </c>
      <c r="AN1589" s="251"/>
      <c r="AO1589" s="1736"/>
      <c r="AP1589" s="1737"/>
    </row>
    <row r="1590" spans="1:42" s="85" customFormat="1" ht="13.5" thickBot="1">
      <c r="A1590" s="240"/>
      <c r="B1590" s="241"/>
      <c r="C1590" s="242"/>
      <c r="D1590" s="242"/>
      <c r="E1590" s="243"/>
      <c r="F1590" s="244"/>
      <c r="G1590" s="244"/>
      <c r="H1590" s="243"/>
      <c r="I1590" s="258"/>
      <c r="J1590" s="245"/>
      <c r="K1590" s="245"/>
      <c r="L1590" s="76">
        <f t="shared" si="240"/>
        <v>0</v>
      </c>
      <c r="M1590" s="246"/>
      <c r="N1590" s="247"/>
      <c r="O1590" s="248"/>
      <c r="P1590" s="246"/>
      <c r="Q1590" s="249"/>
      <c r="R1590" s="250"/>
      <c r="S1590" s="259"/>
      <c r="T1590" s="260"/>
      <c r="U1590" s="250"/>
      <c r="V1590" s="78">
        <f t="shared" si="241"/>
        <v>0</v>
      </c>
      <c r="W1590" s="261">
        <f t="shared" si="242"/>
        <v>0</v>
      </c>
      <c r="X1590" s="133">
        <f t="shared" si="243"/>
        <v>0</v>
      </c>
      <c r="Y1590" s="251"/>
      <c r="Z1590" s="1736"/>
      <c r="AA1590" s="1737"/>
      <c r="AB1590" s="77">
        <f t="shared" si="244"/>
        <v>0</v>
      </c>
      <c r="AC1590" s="134">
        <f t="shared" si="245"/>
        <v>0</v>
      </c>
      <c r="AD1590" s="251"/>
      <c r="AE1590" s="1736"/>
      <c r="AF1590" s="1737"/>
      <c r="AG1590" s="77">
        <f t="shared" si="246"/>
        <v>0</v>
      </c>
      <c r="AH1590" s="136">
        <f t="shared" si="247"/>
        <v>0</v>
      </c>
      <c r="AI1590" s="251"/>
      <c r="AJ1590" s="1736"/>
      <c r="AK1590" s="1737"/>
      <c r="AL1590" s="79">
        <f t="shared" si="248"/>
        <v>0</v>
      </c>
      <c r="AM1590" s="137">
        <f t="shared" si="249"/>
        <v>0</v>
      </c>
      <c r="AN1590" s="251"/>
      <c r="AO1590" s="1736"/>
      <c r="AP1590" s="1737"/>
    </row>
    <row r="1591" spans="1:42" s="85" customFormat="1" ht="13.5" thickBot="1">
      <c r="A1591" s="240"/>
      <c r="B1591" s="241"/>
      <c r="C1591" s="242"/>
      <c r="D1591" s="242"/>
      <c r="E1591" s="243"/>
      <c r="F1591" s="244"/>
      <c r="G1591" s="244"/>
      <c r="H1591" s="243"/>
      <c r="I1591" s="258"/>
      <c r="J1591" s="245"/>
      <c r="K1591" s="245"/>
      <c r="L1591" s="76">
        <f t="shared" si="240"/>
        <v>0</v>
      </c>
      <c r="M1591" s="246"/>
      <c r="N1591" s="247"/>
      <c r="O1591" s="248"/>
      <c r="P1591" s="246"/>
      <c r="Q1591" s="249"/>
      <c r="R1591" s="250"/>
      <c r="S1591" s="259"/>
      <c r="T1591" s="260"/>
      <c r="U1591" s="250"/>
      <c r="V1591" s="78">
        <f t="shared" si="241"/>
        <v>0</v>
      </c>
      <c r="W1591" s="261">
        <f t="shared" si="242"/>
        <v>0</v>
      </c>
      <c r="X1591" s="133">
        <f t="shared" si="243"/>
        <v>0</v>
      </c>
      <c r="Y1591" s="251"/>
      <c r="Z1591" s="1736"/>
      <c r="AA1591" s="1737"/>
      <c r="AB1591" s="77">
        <f t="shared" si="244"/>
        <v>0</v>
      </c>
      <c r="AC1591" s="134">
        <f t="shared" si="245"/>
        <v>0</v>
      </c>
      <c r="AD1591" s="251"/>
      <c r="AE1591" s="1736"/>
      <c r="AF1591" s="1737"/>
      <c r="AG1591" s="77">
        <f t="shared" si="246"/>
        <v>0</v>
      </c>
      <c r="AH1591" s="136">
        <f t="shared" si="247"/>
        <v>0</v>
      </c>
      <c r="AI1591" s="251"/>
      <c r="AJ1591" s="1736"/>
      <c r="AK1591" s="1737"/>
      <c r="AL1591" s="79">
        <f t="shared" si="248"/>
        <v>0</v>
      </c>
      <c r="AM1591" s="137">
        <f t="shared" si="249"/>
        <v>0</v>
      </c>
      <c r="AN1591" s="251"/>
      <c r="AO1591" s="1736"/>
      <c r="AP1591" s="1737"/>
    </row>
    <row r="1592" spans="1:42" s="85" customFormat="1" ht="13.5" thickBot="1">
      <c r="A1592" s="240"/>
      <c r="B1592" s="241"/>
      <c r="C1592" s="242"/>
      <c r="D1592" s="242"/>
      <c r="E1592" s="243"/>
      <c r="F1592" s="244"/>
      <c r="G1592" s="244"/>
      <c r="H1592" s="243"/>
      <c r="I1592" s="258"/>
      <c r="J1592" s="245"/>
      <c r="K1592" s="245"/>
      <c r="L1592" s="76">
        <f t="shared" si="240"/>
        <v>0</v>
      </c>
      <c r="M1592" s="246"/>
      <c r="N1592" s="247"/>
      <c r="O1592" s="248"/>
      <c r="P1592" s="246"/>
      <c r="Q1592" s="249"/>
      <c r="R1592" s="250"/>
      <c r="S1592" s="259"/>
      <c r="T1592" s="260"/>
      <c r="U1592" s="250"/>
      <c r="V1592" s="78">
        <f t="shared" si="241"/>
        <v>0</v>
      </c>
      <c r="W1592" s="261">
        <f t="shared" si="242"/>
        <v>0</v>
      </c>
      <c r="X1592" s="133">
        <f t="shared" si="243"/>
        <v>0</v>
      </c>
      <c r="Y1592" s="251"/>
      <c r="Z1592" s="1736"/>
      <c r="AA1592" s="1737"/>
      <c r="AB1592" s="77">
        <f t="shared" si="244"/>
        <v>0</v>
      </c>
      <c r="AC1592" s="134">
        <f t="shared" si="245"/>
        <v>0</v>
      </c>
      <c r="AD1592" s="251"/>
      <c r="AE1592" s="1736"/>
      <c r="AF1592" s="1737"/>
      <c r="AG1592" s="77">
        <f t="shared" si="246"/>
        <v>0</v>
      </c>
      <c r="AH1592" s="136">
        <f t="shared" si="247"/>
        <v>0</v>
      </c>
      <c r="AI1592" s="251"/>
      <c r="AJ1592" s="1736"/>
      <c r="AK1592" s="1737"/>
      <c r="AL1592" s="79">
        <f t="shared" si="248"/>
        <v>0</v>
      </c>
      <c r="AM1592" s="137">
        <f t="shared" si="249"/>
        <v>0</v>
      </c>
      <c r="AN1592" s="251"/>
      <c r="AO1592" s="1736"/>
      <c r="AP1592" s="1737"/>
    </row>
    <row r="1593" spans="1:42" s="85" customFormat="1" ht="13.5" thickBot="1">
      <c r="A1593" s="240"/>
      <c r="B1593" s="241"/>
      <c r="C1593" s="242"/>
      <c r="D1593" s="242"/>
      <c r="E1593" s="243"/>
      <c r="F1593" s="244"/>
      <c r="G1593" s="244"/>
      <c r="H1593" s="243"/>
      <c r="I1593" s="258"/>
      <c r="J1593" s="245"/>
      <c r="K1593" s="245"/>
      <c r="L1593" s="76">
        <f t="shared" si="240"/>
        <v>0</v>
      </c>
      <c r="M1593" s="246"/>
      <c r="N1593" s="247"/>
      <c r="O1593" s="248"/>
      <c r="P1593" s="246"/>
      <c r="Q1593" s="249"/>
      <c r="R1593" s="250"/>
      <c r="S1593" s="259"/>
      <c r="T1593" s="260"/>
      <c r="U1593" s="250"/>
      <c r="V1593" s="78">
        <f t="shared" si="241"/>
        <v>0</v>
      </c>
      <c r="W1593" s="261">
        <f t="shared" si="242"/>
        <v>0</v>
      </c>
      <c r="X1593" s="133">
        <f t="shared" si="243"/>
        <v>0</v>
      </c>
      <c r="Y1593" s="251"/>
      <c r="Z1593" s="1736"/>
      <c r="AA1593" s="1737"/>
      <c r="AB1593" s="77">
        <f t="shared" si="244"/>
        <v>0</v>
      </c>
      <c r="AC1593" s="134">
        <f t="shared" si="245"/>
        <v>0</v>
      </c>
      <c r="AD1593" s="251"/>
      <c r="AE1593" s="1736"/>
      <c r="AF1593" s="1737"/>
      <c r="AG1593" s="77">
        <f t="shared" si="246"/>
        <v>0</v>
      </c>
      <c r="AH1593" s="136">
        <f t="shared" si="247"/>
        <v>0</v>
      </c>
      <c r="AI1593" s="251"/>
      <c r="AJ1593" s="1736"/>
      <c r="AK1593" s="1737"/>
      <c r="AL1593" s="79">
        <f t="shared" si="248"/>
        <v>0</v>
      </c>
      <c r="AM1593" s="137">
        <f t="shared" si="249"/>
        <v>0</v>
      </c>
      <c r="AN1593" s="251"/>
      <c r="AO1593" s="1736"/>
      <c r="AP1593" s="1737"/>
    </row>
    <row r="1594" spans="1:42" s="85" customFormat="1" ht="13.5" thickBot="1">
      <c r="A1594" s="240"/>
      <c r="B1594" s="241"/>
      <c r="C1594" s="242"/>
      <c r="D1594" s="242"/>
      <c r="E1594" s="243"/>
      <c r="F1594" s="244"/>
      <c r="G1594" s="244"/>
      <c r="H1594" s="243"/>
      <c r="I1594" s="258"/>
      <c r="J1594" s="245"/>
      <c r="K1594" s="245"/>
      <c r="L1594" s="76">
        <f t="shared" si="240"/>
        <v>0</v>
      </c>
      <c r="M1594" s="246"/>
      <c r="N1594" s="247"/>
      <c r="O1594" s="248"/>
      <c r="P1594" s="246"/>
      <c r="Q1594" s="249"/>
      <c r="R1594" s="250"/>
      <c r="S1594" s="259"/>
      <c r="T1594" s="260"/>
      <c r="U1594" s="250"/>
      <c r="V1594" s="78">
        <f t="shared" si="241"/>
        <v>0</v>
      </c>
      <c r="W1594" s="261">
        <f t="shared" si="242"/>
        <v>0</v>
      </c>
      <c r="X1594" s="133">
        <f t="shared" si="243"/>
        <v>0</v>
      </c>
      <c r="Y1594" s="251"/>
      <c r="Z1594" s="1736"/>
      <c r="AA1594" s="1737"/>
      <c r="AB1594" s="77">
        <f t="shared" si="244"/>
        <v>0</v>
      </c>
      <c r="AC1594" s="134">
        <f t="shared" si="245"/>
        <v>0</v>
      </c>
      <c r="AD1594" s="251"/>
      <c r="AE1594" s="1736"/>
      <c r="AF1594" s="1737"/>
      <c r="AG1594" s="77">
        <f t="shared" si="246"/>
        <v>0</v>
      </c>
      <c r="AH1594" s="136">
        <f t="shared" si="247"/>
        <v>0</v>
      </c>
      <c r="AI1594" s="251"/>
      <c r="AJ1594" s="1736"/>
      <c r="AK1594" s="1737"/>
      <c r="AL1594" s="79">
        <f t="shared" si="248"/>
        <v>0</v>
      </c>
      <c r="AM1594" s="137">
        <f t="shared" si="249"/>
        <v>0</v>
      </c>
      <c r="AN1594" s="251"/>
      <c r="AO1594" s="1736"/>
      <c r="AP1594" s="1737"/>
    </row>
    <row r="1595" spans="1:42" s="85" customFormat="1" ht="13.5" thickBot="1">
      <c r="A1595" s="240"/>
      <c r="B1595" s="241"/>
      <c r="C1595" s="242"/>
      <c r="D1595" s="242"/>
      <c r="E1595" s="243"/>
      <c r="F1595" s="244"/>
      <c r="G1595" s="244"/>
      <c r="H1595" s="243"/>
      <c r="I1595" s="258"/>
      <c r="J1595" s="245"/>
      <c r="K1595" s="245"/>
      <c r="L1595" s="76">
        <f t="shared" si="240"/>
        <v>0</v>
      </c>
      <c r="M1595" s="246"/>
      <c r="N1595" s="247"/>
      <c r="O1595" s="248"/>
      <c r="P1595" s="246"/>
      <c r="Q1595" s="249"/>
      <c r="R1595" s="250"/>
      <c r="S1595" s="259"/>
      <c r="T1595" s="260"/>
      <c r="U1595" s="250"/>
      <c r="V1595" s="78">
        <f t="shared" si="241"/>
        <v>0</v>
      </c>
      <c r="W1595" s="261">
        <f t="shared" si="242"/>
        <v>0</v>
      </c>
      <c r="X1595" s="133">
        <f t="shared" si="243"/>
        <v>0</v>
      </c>
      <c r="Y1595" s="251"/>
      <c r="Z1595" s="1736"/>
      <c r="AA1595" s="1737"/>
      <c r="AB1595" s="77">
        <f t="shared" si="244"/>
        <v>0</v>
      </c>
      <c r="AC1595" s="134">
        <f t="shared" si="245"/>
        <v>0</v>
      </c>
      <c r="AD1595" s="251"/>
      <c r="AE1595" s="1736"/>
      <c r="AF1595" s="1737"/>
      <c r="AG1595" s="77">
        <f t="shared" si="246"/>
        <v>0</v>
      </c>
      <c r="AH1595" s="136">
        <f t="shared" si="247"/>
        <v>0</v>
      </c>
      <c r="AI1595" s="251"/>
      <c r="AJ1595" s="1736"/>
      <c r="AK1595" s="1737"/>
      <c r="AL1595" s="79">
        <f t="shared" si="248"/>
        <v>0</v>
      </c>
      <c r="AM1595" s="137">
        <f t="shared" si="249"/>
        <v>0</v>
      </c>
      <c r="AN1595" s="251"/>
      <c r="AO1595" s="1736"/>
      <c r="AP1595" s="1737"/>
    </row>
    <row r="1596" spans="1:42" s="85" customFormat="1" ht="13.5" thickBot="1">
      <c r="A1596" s="240"/>
      <c r="B1596" s="241"/>
      <c r="C1596" s="242"/>
      <c r="D1596" s="242"/>
      <c r="E1596" s="243"/>
      <c r="F1596" s="244"/>
      <c r="G1596" s="244"/>
      <c r="H1596" s="243"/>
      <c r="I1596" s="258"/>
      <c r="J1596" s="245"/>
      <c r="K1596" s="245"/>
      <c r="L1596" s="76">
        <f t="shared" si="240"/>
        <v>0</v>
      </c>
      <c r="M1596" s="246"/>
      <c r="N1596" s="247"/>
      <c r="O1596" s="248"/>
      <c r="P1596" s="246"/>
      <c r="Q1596" s="249"/>
      <c r="R1596" s="250"/>
      <c r="S1596" s="259"/>
      <c r="T1596" s="260"/>
      <c r="U1596" s="250"/>
      <c r="V1596" s="78">
        <f t="shared" si="241"/>
        <v>0</v>
      </c>
      <c r="W1596" s="261">
        <f t="shared" si="242"/>
        <v>0</v>
      </c>
      <c r="X1596" s="133">
        <f t="shared" si="243"/>
        <v>0</v>
      </c>
      <c r="Y1596" s="251"/>
      <c r="Z1596" s="1736"/>
      <c r="AA1596" s="1737"/>
      <c r="AB1596" s="77">
        <f t="shared" si="244"/>
        <v>0</v>
      </c>
      <c r="AC1596" s="134">
        <f t="shared" si="245"/>
        <v>0</v>
      </c>
      <c r="AD1596" s="251"/>
      <c r="AE1596" s="1736"/>
      <c r="AF1596" s="1737"/>
      <c r="AG1596" s="77">
        <f t="shared" si="246"/>
        <v>0</v>
      </c>
      <c r="AH1596" s="136">
        <f t="shared" si="247"/>
        <v>0</v>
      </c>
      <c r="AI1596" s="251"/>
      <c r="AJ1596" s="1736"/>
      <c r="AK1596" s="1737"/>
      <c r="AL1596" s="79">
        <f t="shared" si="248"/>
        <v>0</v>
      </c>
      <c r="AM1596" s="137">
        <f t="shared" si="249"/>
        <v>0</v>
      </c>
      <c r="AN1596" s="251"/>
      <c r="AO1596" s="1736"/>
      <c r="AP1596" s="1737"/>
    </row>
    <row r="1597" spans="1:42" s="85" customFormat="1" ht="13.5" thickBot="1">
      <c r="A1597" s="240"/>
      <c r="B1597" s="241"/>
      <c r="C1597" s="242"/>
      <c r="D1597" s="242"/>
      <c r="E1597" s="243"/>
      <c r="F1597" s="244"/>
      <c r="G1597" s="244"/>
      <c r="H1597" s="243"/>
      <c r="I1597" s="258"/>
      <c r="J1597" s="245"/>
      <c r="K1597" s="245"/>
      <c r="L1597" s="76">
        <f t="shared" si="240"/>
        <v>0</v>
      </c>
      <c r="M1597" s="246"/>
      <c r="N1597" s="247"/>
      <c r="O1597" s="248"/>
      <c r="P1597" s="246"/>
      <c r="Q1597" s="249"/>
      <c r="R1597" s="250"/>
      <c r="S1597" s="259"/>
      <c r="T1597" s="260"/>
      <c r="U1597" s="250"/>
      <c r="V1597" s="78">
        <f t="shared" si="241"/>
        <v>0</v>
      </c>
      <c r="W1597" s="261">
        <f t="shared" si="242"/>
        <v>0</v>
      </c>
      <c r="X1597" s="133">
        <f t="shared" si="243"/>
        <v>0</v>
      </c>
      <c r="Y1597" s="251"/>
      <c r="Z1597" s="1736"/>
      <c r="AA1597" s="1737"/>
      <c r="AB1597" s="77">
        <f t="shared" si="244"/>
        <v>0</v>
      </c>
      <c r="AC1597" s="134">
        <f t="shared" si="245"/>
        <v>0</v>
      </c>
      <c r="AD1597" s="251"/>
      <c r="AE1597" s="1736"/>
      <c r="AF1597" s="1737"/>
      <c r="AG1597" s="77">
        <f t="shared" si="246"/>
        <v>0</v>
      </c>
      <c r="AH1597" s="136">
        <f t="shared" si="247"/>
        <v>0</v>
      </c>
      <c r="AI1597" s="251"/>
      <c r="AJ1597" s="1736"/>
      <c r="AK1597" s="1737"/>
      <c r="AL1597" s="79">
        <f t="shared" si="248"/>
        <v>0</v>
      </c>
      <c r="AM1597" s="137">
        <f t="shared" si="249"/>
        <v>0</v>
      </c>
      <c r="AN1597" s="251"/>
      <c r="AO1597" s="1736"/>
      <c r="AP1597" s="1737"/>
    </row>
    <row r="1598" spans="1:42" s="85" customFormat="1" ht="13.5" thickBot="1">
      <c r="A1598" s="240"/>
      <c r="B1598" s="241"/>
      <c r="C1598" s="242"/>
      <c r="D1598" s="242"/>
      <c r="E1598" s="243"/>
      <c r="F1598" s="244"/>
      <c r="G1598" s="244"/>
      <c r="H1598" s="243"/>
      <c r="I1598" s="258"/>
      <c r="J1598" s="245"/>
      <c r="K1598" s="245"/>
      <c r="L1598" s="76">
        <f t="shared" si="240"/>
        <v>0</v>
      </c>
      <c r="M1598" s="246"/>
      <c r="N1598" s="247"/>
      <c r="O1598" s="248"/>
      <c r="P1598" s="246"/>
      <c r="Q1598" s="249"/>
      <c r="R1598" s="250"/>
      <c r="S1598" s="259"/>
      <c r="T1598" s="260"/>
      <c r="U1598" s="250"/>
      <c r="V1598" s="78">
        <f t="shared" si="241"/>
        <v>0</v>
      </c>
      <c r="W1598" s="261">
        <f t="shared" si="242"/>
        <v>0</v>
      </c>
      <c r="X1598" s="133">
        <f t="shared" si="243"/>
        <v>0</v>
      </c>
      <c r="Y1598" s="251"/>
      <c r="Z1598" s="1736"/>
      <c r="AA1598" s="1737"/>
      <c r="AB1598" s="77">
        <f t="shared" si="244"/>
        <v>0</v>
      </c>
      <c r="AC1598" s="134">
        <f t="shared" si="245"/>
        <v>0</v>
      </c>
      <c r="AD1598" s="251"/>
      <c r="AE1598" s="1736"/>
      <c r="AF1598" s="1737"/>
      <c r="AG1598" s="77">
        <f t="shared" si="246"/>
        <v>0</v>
      </c>
      <c r="AH1598" s="136">
        <f t="shared" si="247"/>
        <v>0</v>
      </c>
      <c r="AI1598" s="251"/>
      <c r="AJ1598" s="1736"/>
      <c r="AK1598" s="1737"/>
      <c r="AL1598" s="79">
        <f t="shared" si="248"/>
        <v>0</v>
      </c>
      <c r="AM1598" s="137">
        <f t="shared" si="249"/>
        <v>0</v>
      </c>
      <c r="AN1598" s="251"/>
      <c r="AO1598" s="1736"/>
      <c r="AP1598" s="1737"/>
    </row>
    <row r="1599" spans="1:42" s="85" customFormat="1" ht="13.5" thickBot="1">
      <c r="A1599" s="240"/>
      <c r="B1599" s="241"/>
      <c r="C1599" s="242"/>
      <c r="D1599" s="242"/>
      <c r="E1599" s="243"/>
      <c r="F1599" s="244"/>
      <c r="G1599" s="244"/>
      <c r="H1599" s="243"/>
      <c r="I1599" s="258"/>
      <c r="J1599" s="245"/>
      <c r="K1599" s="245"/>
      <c r="L1599" s="76">
        <f t="shared" si="240"/>
        <v>0</v>
      </c>
      <c r="M1599" s="246"/>
      <c r="N1599" s="247"/>
      <c r="O1599" s="248"/>
      <c r="P1599" s="246"/>
      <c r="Q1599" s="249"/>
      <c r="R1599" s="250"/>
      <c r="S1599" s="259"/>
      <c r="T1599" s="260"/>
      <c r="U1599" s="250"/>
      <c r="V1599" s="78">
        <f t="shared" si="241"/>
        <v>0</v>
      </c>
      <c r="W1599" s="261">
        <f t="shared" si="242"/>
        <v>0</v>
      </c>
      <c r="X1599" s="133">
        <f t="shared" si="243"/>
        <v>0</v>
      </c>
      <c r="Y1599" s="251"/>
      <c r="Z1599" s="1736"/>
      <c r="AA1599" s="1737"/>
      <c r="AB1599" s="77">
        <f t="shared" si="244"/>
        <v>0</v>
      </c>
      <c r="AC1599" s="134">
        <f t="shared" si="245"/>
        <v>0</v>
      </c>
      <c r="AD1599" s="251"/>
      <c r="AE1599" s="1736"/>
      <c r="AF1599" s="1737"/>
      <c r="AG1599" s="77">
        <f t="shared" si="246"/>
        <v>0</v>
      </c>
      <c r="AH1599" s="136">
        <f t="shared" si="247"/>
        <v>0</v>
      </c>
      <c r="AI1599" s="251"/>
      <c r="AJ1599" s="1736"/>
      <c r="AK1599" s="1737"/>
      <c r="AL1599" s="79">
        <f t="shared" si="248"/>
        <v>0</v>
      </c>
      <c r="AM1599" s="137">
        <f t="shared" si="249"/>
        <v>0</v>
      </c>
      <c r="AN1599" s="251"/>
      <c r="AO1599" s="1736"/>
      <c r="AP1599" s="1737"/>
    </row>
    <row r="1600" spans="1:42" s="85" customFormat="1" ht="13.5" thickBot="1">
      <c r="A1600" s="240"/>
      <c r="B1600" s="241"/>
      <c r="C1600" s="242"/>
      <c r="D1600" s="242"/>
      <c r="E1600" s="243"/>
      <c r="F1600" s="244"/>
      <c r="G1600" s="244"/>
      <c r="H1600" s="243"/>
      <c r="I1600" s="258"/>
      <c r="J1600" s="245"/>
      <c r="K1600" s="245"/>
      <c r="L1600" s="76">
        <f t="shared" si="240"/>
        <v>0</v>
      </c>
      <c r="M1600" s="246"/>
      <c r="N1600" s="247"/>
      <c r="O1600" s="248"/>
      <c r="P1600" s="246"/>
      <c r="Q1600" s="249"/>
      <c r="R1600" s="250"/>
      <c r="S1600" s="259"/>
      <c r="T1600" s="260"/>
      <c r="U1600" s="250"/>
      <c r="V1600" s="78">
        <f t="shared" si="241"/>
        <v>0</v>
      </c>
      <c r="W1600" s="261">
        <f t="shared" si="242"/>
        <v>0</v>
      </c>
      <c r="X1600" s="133">
        <f t="shared" si="243"/>
        <v>0</v>
      </c>
      <c r="Y1600" s="251"/>
      <c r="Z1600" s="1736"/>
      <c r="AA1600" s="1737"/>
      <c r="AB1600" s="77">
        <f t="shared" si="244"/>
        <v>0</v>
      </c>
      <c r="AC1600" s="134">
        <f t="shared" si="245"/>
        <v>0</v>
      </c>
      <c r="AD1600" s="251"/>
      <c r="AE1600" s="1736"/>
      <c r="AF1600" s="1737"/>
      <c r="AG1600" s="77">
        <f t="shared" si="246"/>
        <v>0</v>
      </c>
      <c r="AH1600" s="136">
        <f t="shared" si="247"/>
        <v>0</v>
      </c>
      <c r="AI1600" s="251"/>
      <c r="AJ1600" s="1736"/>
      <c r="AK1600" s="1737"/>
      <c r="AL1600" s="79">
        <f t="shared" si="248"/>
        <v>0</v>
      </c>
      <c r="AM1600" s="137">
        <f t="shared" si="249"/>
        <v>0</v>
      </c>
      <c r="AN1600" s="251"/>
      <c r="AO1600" s="1736"/>
      <c r="AP1600" s="1737"/>
    </row>
    <row r="1601" spans="1:42" s="85" customFormat="1" ht="13.5" thickBot="1">
      <c r="A1601" s="240"/>
      <c r="B1601" s="241"/>
      <c r="C1601" s="242"/>
      <c r="D1601" s="242"/>
      <c r="E1601" s="243"/>
      <c r="F1601" s="244"/>
      <c r="G1601" s="244"/>
      <c r="H1601" s="243"/>
      <c r="I1601" s="258"/>
      <c r="J1601" s="245"/>
      <c r="K1601" s="245"/>
      <c r="L1601" s="76">
        <f t="shared" si="240"/>
        <v>0</v>
      </c>
      <c r="M1601" s="246"/>
      <c r="N1601" s="247"/>
      <c r="O1601" s="248"/>
      <c r="P1601" s="246"/>
      <c r="Q1601" s="249"/>
      <c r="R1601" s="250"/>
      <c r="S1601" s="259"/>
      <c r="T1601" s="260"/>
      <c r="U1601" s="250"/>
      <c r="V1601" s="78">
        <f t="shared" si="241"/>
        <v>0</v>
      </c>
      <c r="W1601" s="261">
        <f t="shared" si="242"/>
        <v>0</v>
      </c>
      <c r="X1601" s="133">
        <f t="shared" si="243"/>
        <v>0</v>
      </c>
      <c r="Y1601" s="251"/>
      <c r="Z1601" s="1736"/>
      <c r="AA1601" s="1737"/>
      <c r="AB1601" s="77">
        <f t="shared" si="244"/>
        <v>0</v>
      </c>
      <c r="AC1601" s="134">
        <f t="shared" si="245"/>
        <v>0</v>
      </c>
      <c r="AD1601" s="251"/>
      <c r="AE1601" s="1736"/>
      <c r="AF1601" s="1737"/>
      <c r="AG1601" s="77">
        <f t="shared" si="246"/>
        <v>0</v>
      </c>
      <c r="AH1601" s="136">
        <f t="shared" si="247"/>
        <v>0</v>
      </c>
      <c r="AI1601" s="251"/>
      <c r="AJ1601" s="1736"/>
      <c r="AK1601" s="1737"/>
      <c r="AL1601" s="79">
        <f t="shared" si="248"/>
        <v>0</v>
      </c>
      <c r="AM1601" s="137">
        <f t="shared" si="249"/>
        <v>0</v>
      </c>
      <c r="AN1601" s="251"/>
      <c r="AO1601" s="1736"/>
      <c r="AP1601" s="1737"/>
    </row>
    <row r="1602" spans="1:42" s="85" customFormat="1" ht="13.5" thickBot="1">
      <c r="A1602" s="240"/>
      <c r="B1602" s="241"/>
      <c r="C1602" s="242"/>
      <c r="D1602" s="242"/>
      <c r="E1602" s="243"/>
      <c r="F1602" s="244"/>
      <c r="G1602" s="244"/>
      <c r="H1602" s="243"/>
      <c r="I1602" s="258"/>
      <c r="J1602" s="245"/>
      <c r="K1602" s="245"/>
      <c r="L1602" s="76">
        <f t="shared" si="240"/>
        <v>0</v>
      </c>
      <c r="M1602" s="246"/>
      <c r="N1602" s="247"/>
      <c r="O1602" s="248"/>
      <c r="P1602" s="246"/>
      <c r="Q1602" s="249"/>
      <c r="R1602" s="250"/>
      <c r="S1602" s="259"/>
      <c r="T1602" s="260"/>
      <c r="U1602" s="250"/>
      <c r="V1602" s="78">
        <f t="shared" si="241"/>
        <v>0</v>
      </c>
      <c r="W1602" s="261">
        <f t="shared" si="242"/>
        <v>0</v>
      </c>
      <c r="X1602" s="133">
        <f t="shared" si="243"/>
        <v>0</v>
      </c>
      <c r="Y1602" s="251"/>
      <c r="Z1602" s="1736"/>
      <c r="AA1602" s="1737"/>
      <c r="AB1602" s="77">
        <f t="shared" si="244"/>
        <v>0</v>
      </c>
      <c r="AC1602" s="134">
        <f t="shared" si="245"/>
        <v>0</v>
      </c>
      <c r="AD1602" s="251"/>
      <c r="AE1602" s="1736"/>
      <c r="AF1602" s="1737"/>
      <c r="AG1602" s="77">
        <f t="shared" si="246"/>
        <v>0</v>
      </c>
      <c r="AH1602" s="136">
        <f t="shared" si="247"/>
        <v>0</v>
      </c>
      <c r="AI1602" s="251"/>
      <c r="AJ1602" s="1736"/>
      <c r="AK1602" s="1737"/>
      <c r="AL1602" s="79">
        <f t="shared" si="248"/>
        <v>0</v>
      </c>
      <c r="AM1602" s="137">
        <f t="shared" si="249"/>
        <v>0</v>
      </c>
      <c r="AN1602" s="251"/>
      <c r="AO1602" s="1736"/>
      <c r="AP1602" s="1737"/>
    </row>
    <row r="1603" spans="1:42" s="85" customFormat="1" ht="13.5" thickBot="1">
      <c r="A1603" s="240"/>
      <c r="B1603" s="241"/>
      <c r="C1603" s="242"/>
      <c r="D1603" s="242"/>
      <c r="E1603" s="243"/>
      <c r="F1603" s="244"/>
      <c r="G1603" s="244"/>
      <c r="H1603" s="243"/>
      <c r="I1603" s="258"/>
      <c r="J1603" s="245"/>
      <c r="K1603" s="245"/>
      <c r="L1603" s="76">
        <f t="shared" si="240"/>
        <v>0</v>
      </c>
      <c r="M1603" s="246"/>
      <c r="N1603" s="247"/>
      <c r="O1603" s="248"/>
      <c r="P1603" s="246"/>
      <c r="Q1603" s="249"/>
      <c r="R1603" s="250"/>
      <c r="S1603" s="259"/>
      <c r="T1603" s="260"/>
      <c r="U1603" s="250"/>
      <c r="V1603" s="78">
        <f t="shared" si="241"/>
        <v>0</v>
      </c>
      <c r="W1603" s="261">
        <f t="shared" si="242"/>
        <v>0</v>
      </c>
      <c r="X1603" s="133">
        <f t="shared" si="243"/>
        <v>0</v>
      </c>
      <c r="Y1603" s="251"/>
      <c r="Z1603" s="1736"/>
      <c r="AA1603" s="1737"/>
      <c r="AB1603" s="77">
        <f t="shared" si="244"/>
        <v>0</v>
      </c>
      <c r="AC1603" s="134">
        <f t="shared" si="245"/>
        <v>0</v>
      </c>
      <c r="AD1603" s="251"/>
      <c r="AE1603" s="1736"/>
      <c r="AF1603" s="1737"/>
      <c r="AG1603" s="77">
        <f t="shared" si="246"/>
        <v>0</v>
      </c>
      <c r="AH1603" s="136">
        <f t="shared" si="247"/>
        <v>0</v>
      </c>
      <c r="AI1603" s="251"/>
      <c r="AJ1603" s="1736"/>
      <c r="AK1603" s="1737"/>
      <c r="AL1603" s="79">
        <f t="shared" si="248"/>
        <v>0</v>
      </c>
      <c r="AM1603" s="137">
        <f t="shared" si="249"/>
        <v>0</v>
      </c>
      <c r="AN1603" s="251"/>
      <c r="AO1603" s="1736"/>
      <c r="AP1603" s="1737"/>
    </row>
    <row r="1604" spans="1:42" s="85" customFormat="1" ht="13.5" thickBot="1">
      <c r="A1604" s="240"/>
      <c r="B1604" s="241"/>
      <c r="C1604" s="242"/>
      <c r="D1604" s="242"/>
      <c r="E1604" s="243"/>
      <c r="F1604" s="244"/>
      <c r="G1604" s="244"/>
      <c r="H1604" s="243"/>
      <c r="I1604" s="258"/>
      <c r="J1604" s="245"/>
      <c r="K1604" s="245"/>
      <c r="L1604" s="76">
        <f t="shared" si="240"/>
        <v>0</v>
      </c>
      <c r="M1604" s="246"/>
      <c r="N1604" s="247"/>
      <c r="O1604" s="248"/>
      <c r="P1604" s="246"/>
      <c r="Q1604" s="249"/>
      <c r="R1604" s="250"/>
      <c r="S1604" s="259"/>
      <c r="T1604" s="260"/>
      <c r="U1604" s="250"/>
      <c r="V1604" s="78">
        <f t="shared" si="241"/>
        <v>0</v>
      </c>
      <c r="W1604" s="261">
        <f t="shared" si="242"/>
        <v>0</v>
      </c>
      <c r="X1604" s="133">
        <f t="shared" si="243"/>
        <v>0</v>
      </c>
      <c r="Y1604" s="251"/>
      <c r="Z1604" s="1736"/>
      <c r="AA1604" s="1737"/>
      <c r="AB1604" s="77">
        <f t="shared" si="244"/>
        <v>0</v>
      </c>
      <c r="AC1604" s="134">
        <f t="shared" si="245"/>
        <v>0</v>
      </c>
      <c r="AD1604" s="251"/>
      <c r="AE1604" s="1736"/>
      <c r="AF1604" s="1737"/>
      <c r="AG1604" s="77">
        <f t="shared" si="246"/>
        <v>0</v>
      </c>
      <c r="AH1604" s="136">
        <f t="shared" si="247"/>
        <v>0</v>
      </c>
      <c r="AI1604" s="251"/>
      <c r="AJ1604" s="1736"/>
      <c r="AK1604" s="1737"/>
      <c r="AL1604" s="79">
        <f t="shared" si="248"/>
        <v>0</v>
      </c>
      <c r="AM1604" s="137">
        <f t="shared" si="249"/>
        <v>0</v>
      </c>
      <c r="AN1604" s="251"/>
      <c r="AO1604" s="1736"/>
      <c r="AP1604" s="1737"/>
    </row>
    <row r="1605" spans="1:42" s="85" customFormat="1" ht="13.5" thickBot="1">
      <c r="A1605" s="240"/>
      <c r="B1605" s="241"/>
      <c r="C1605" s="242"/>
      <c r="D1605" s="242"/>
      <c r="E1605" s="243"/>
      <c r="F1605" s="244"/>
      <c r="G1605" s="244"/>
      <c r="H1605" s="243"/>
      <c r="I1605" s="258"/>
      <c r="J1605" s="245"/>
      <c r="K1605" s="245"/>
      <c r="L1605" s="76">
        <f t="shared" si="240"/>
        <v>0</v>
      </c>
      <c r="M1605" s="246"/>
      <c r="N1605" s="247"/>
      <c r="O1605" s="248"/>
      <c r="P1605" s="246"/>
      <c r="Q1605" s="249"/>
      <c r="R1605" s="250"/>
      <c r="S1605" s="259"/>
      <c r="T1605" s="260"/>
      <c r="U1605" s="250"/>
      <c r="V1605" s="78">
        <f t="shared" si="241"/>
        <v>0</v>
      </c>
      <c r="W1605" s="261">
        <f t="shared" si="242"/>
        <v>0</v>
      </c>
      <c r="X1605" s="133">
        <f t="shared" si="243"/>
        <v>0</v>
      </c>
      <c r="Y1605" s="251"/>
      <c r="Z1605" s="1736"/>
      <c r="AA1605" s="1737"/>
      <c r="AB1605" s="77">
        <f t="shared" si="244"/>
        <v>0</v>
      </c>
      <c r="AC1605" s="134">
        <f t="shared" si="245"/>
        <v>0</v>
      </c>
      <c r="AD1605" s="251"/>
      <c r="AE1605" s="1736"/>
      <c r="AF1605" s="1737"/>
      <c r="AG1605" s="77">
        <f t="shared" si="246"/>
        <v>0</v>
      </c>
      <c r="AH1605" s="136">
        <f t="shared" si="247"/>
        <v>0</v>
      </c>
      <c r="AI1605" s="251"/>
      <c r="AJ1605" s="1736"/>
      <c r="AK1605" s="1737"/>
      <c r="AL1605" s="79">
        <f t="shared" si="248"/>
        <v>0</v>
      </c>
      <c r="AM1605" s="137">
        <f t="shared" si="249"/>
        <v>0</v>
      </c>
      <c r="AN1605" s="251"/>
      <c r="AO1605" s="1736"/>
      <c r="AP1605" s="1737"/>
    </row>
    <row r="1606" spans="1:42" s="85" customFormat="1" ht="13.5" thickBot="1">
      <c r="A1606" s="240"/>
      <c r="B1606" s="241"/>
      <c r="C1606" s="242"/>
      <c r="D1606" s="242"/>
      <c r="E1606" s="243"/>
      <c r="F1606" s="244"/>
      <c r="G1606" s="244"/>
      <c r="H1606" s="243"/>
      <c r="I1606" s="258"/>
      <c r="J1606" s="245"/>
      <c r="K1606" s="245"/>
      <c r="L1606" s="76">
        <f t="shared" si="240"/>
        <v>0</v>
      </c>
      <c r="M1606" s="246"/>
      <c r="N1606" s="247"/>
      <c r="O1606" s="248"/>
      <c r="P1606" s="246"/>
      <c r="Q1606" s="249"/>
      <c r="R1606" s="250"/>
      <c r="S1606" s="259"/>
      <c r="T1606" s="260"/>
      <c r="U1606" s="250"/>
      <c r="V1606" s="78">
        <f t="shared" si="241"/>
        <v>0</v>
      </c>
      <c r="W1606" s="261">
        <f t="shared" si="242"/>
        <v>0</v>
      </c>
      <c r="X1606" s="133">
        <f t="shared" si="243"/>
        <v>0</v>
      </c>
      <c r="Y1606" s="251"/>
      <c r="Z1606" s="1736"/>
      <c r="AA1606" s="1737"/>
      <c r="AB1606" s="77">
        <f t="shared" si="244"/>
        <v>0</v>
      </c>
      <c r="AC1606" s="134">
        <f t="shared" si="245"/>
        <v>0</v>
      </c>
      <c r="AD1606" s="251"/>
      <c r="AE1606" s="1736"/>
      <c r="AF1606" s="1737"/>
      <c r="AG1606" s="77">
        <f t="shared" si="246"/>
        <v>0</v>
      </c>
      <c r="AH1606" s="136">
        <f t="shared" si="247"/>
        <v>0</v>
      </c>
      <c r="AI1606" s="251"/>
      <c r="AJ1606" s="1736"/>
      <c r="AK1606" s="1737"/>
      <c r="AL1606" s="79">
        <f t="shared" si="248"/>
        <v>0</v>
      </c>
      <c r="AM1606" s="137">
        <f t="shared" si="249"/>
        <v>0</v>
      </c>
      <c r="AN1606" s="251"/>
      <c r="AO1606" s="1736"/>
      <c r="AP1606" s="1737"/>
    </row>
    <row r="1607" spans="1:42" s="85" customFormat="1" ht="13.5" thickBot="1">
      <c r="A1607" s="240"/>
      <c r="B1607" s="241"/>
      <c r="C1607" s="242"/>
      <c r="D1607" s="242"/>
      <c r="E1607" s="243"/>
      <c r="F1607" s="244"/>
      <c r="G1607" s="244"/>
      <c r="H1607" s="243"/>
      <c r="I1607" s="258"/>
      <c r="J1607" s="245"/>
      <c r="K1607" s="245"/>
      <c r="L1607" s="76">
        <f t="shared" si="240"/>
        <v>0</v>
      </c>
      <c r="M1607" s="246"/>
      <c r="N1607" s="247"/>
      <c r="O1607" s="248"/>
      <c r="P1607" s="246"/>
      <c r="Q1607" s="249"/>
      <c r="R1607" s="250"/>
      <c r="S1607" s="259"/>
      <c r="T1607" s="260"/>
      <c r="U1607" s="250"/>
      <c r="V1607" s="78">
        <f t="shared" si="241"/>
        <v>0</v>
      </c>
      <c r="W1607" s="261">
        <f t="shared" si="242"/>
        <v>0</v>
      </c>
      <c r="X1607" s="133">
        <f t="shared" si="243"/>
        <v>0</v>
      </c>
      <c r="Y1607" s="251"/>
      <c r="Z1607" s="1736"/>
      <c r="AA1607" s="1737"/>
      <c r="AB1607" s="77">
        <f t="shared" si="244"/>
        <v>0</v>
      </c>
      <c r="AC1607" s="134">
        <f t="shared" si="245"/>
        <v>0</v>
      </c>
      <c r="AD1607" s="251"/>
      <c r="AE1607" s="1736"/>
      <c r="AF1607" s="1737"/>
      <c r="AG1607" s="77">
        <f t="shared" si="246"/>
        <v>0</v>
      </c>
      <c r="AH1607" s="136">
        <f t="shared" si="247"/>
        <v>0</v>
      </c>
      <c r="AI1607" s="251"/>
      <c r="AJ1607" s="1736"/>
      <c r="AK1607" s="1737"/>
      <c r="AL1607" s="79">
        <f t="shared" si="248"/>
        <v>0</v>
      </c>
      <c r="AM1607" s="137">
        <f t="shared" si="249"/>
        <v>0</v>
      </c>
      <c r="AN1607" s="251"/>
      <c r="AO1607" s="1736"/>
      <c r="AP1607" s="1737"/>
    </row>
    <row r="1608" spans="1:42" s="85" customFormat="1" ht="13.5" thickBot="1">
      <c r="A1608" s="240"/>
      <c r="B1608" s="241"/>
      <c r="C1608" s="242"/>
      <c r="D1608" s="242"/>
      <c r="E1608" s="243"/>
      <c r="F1608" s="244"/>
      <c r="G1608" s="244"/>
      <c r="H1608" s="243"/>
      <c r="I1608" s="258"/>
      <c r="J1608" s="245"/>
      <c r="K1608" s="245"/>
      <c r="L1608" s="76">
        <f t="shared" si="240"/>
        <v>0</v>
      </c>
      <c r="M1608" s="246"/>
      <c r="N1608" s="247"/>
      <c r="O1608" s="248"/>
      <c r="P1608" s="246"/>
      <c r="Q1608" s="249"/>
      <c r="R1608" s="250"/>
      <c r="S1608" s="259"/>
      <c r="T1608" s="260"/>
      <c r="U1608" s="250"/>
      <c r="V1608" s="78">
        <f t="shared" si="241"/>
        <v>0</v>
      </c>
      <c r="W1608" s="261">
        <f t="shared" si="242"/>
        <v>0</v>
      </c>
      <c r="X1608" s="133">
        <f t="shared" si="243"/>
        <v>0</v>
      </c>
      <c r="Y1608" s="251"/>
      <c r="Z1608" s="1736"/>
      <c r="AA1608" s="1737"/>
      <c r="AB1608" s="77">
        <f t="shared" si="244"/>
        <v>0</v>
      </c>
      <c r="AC1608" s="134">
        <f t="shared" si="245"/>
        <v>0</v>
      </c>
      <c r="AD1608" s="251"/>
      <c r="AE1608" s="1736"/>
      <c r="AF1608" s="1737"/>
      <c r="AG1608" s="77">
        <f t="shared" si="246"/>
        <v>0</v>
      </c>
      <c r="AH1608" s="136">
        <f t="shared" si="247"/>
        <v>0</v>
      </c>
      <c r="AI1608" s="251"/>
      <c r="AJ1608" s="1736"/>
      <c r="AK1608" s="1737"/>
      <c r="AL1608" s="79">
        <f t="shared" si="248"/>
        <v>0</v>
      </c>
      <c r="AM1608" s="137">
        <f t="shared" si="249"/>
        <v>0</v>
      </c>
      <c r="AN1608" s="251"/>
      <c r="AO1608" s="1736"/>
      <c r="AP1608" s="1737"/>
    </row>
    <row r="1609" spans="1:42" s="85" customFormat="1" ht="13.5" thickBot="1">
      <c r="A1609" s="240"/>
      <c r="B1609" s="241"/>
      <c r="C1609" s="242"/>
      <c r="D1609" s="242"/>
      <c r="E1609" s="243"/>
      <c r="F1609" s="244"/>
      <c r="G1609" s="244"/>
      <c r="H1609" s="243"/>
      <c r="I1609" s="258"/>
      <c r="J1609" s="245"/>
      <c r="K1609" s="245"/>
      <c r="L1609" s="76">
        <f t="shared" si="240"/>
        <v>0</v>
      </c>
      <c r="M1609" s="246"/>
      <c r="N1609" s="247"/>
      <c r="O1609" s="248"/>
      <c r="P1609" s="246"/>
      <c r="Q1609" s="249"/>
      <c r="R1609" s="250"/>
      <c r="S1609" s="259"/>
      <c r="T1609" s="260"/>
      <c r="U1609" s="250"/>
      <c r="V1609" s="78">
        <f t="shared" si="241"/>
        <v>0</v>
      </c>
      <c r="W1609" s="261">
        <f t="shared" si="242"/>
        <v>0</v>
      </c>
      <c r="X1609" s="133">
        <f t="shared" si="243"/>
        <v>0</v>
      </c>
      <c r="Y1609" s="251"/>
      <c r="Z1609" s="1736"/>
      <c r="AA1609" s="1737"/>
      <c r="AB1609" s="77">
        <f t="shared" si="244"/>
        <v>0</v>
      </c>
      <c r="AC1609" s="134">
        <f t="shared" si="245"/>
        <v>0</v>
      </c>
      <c r="AD1609" s="251"/>
      <c r="AE1609" s="1736"/>
      <c r="AF1609" s="1737"/>
      <c r="AG1609" s="77">
        <f t="shared" si="246"/>
        <v>0</v>
      </c>
      <c r="AH1609" s="136">
        <f t="shared" si="247"/>
        <v>0</v>
      </c>
      <c r="AI1609" s="251"/>
      <c r="AJ1609" s="1736"/>
      <c r="AK1609" s="1737"/>
      <c r="AL1609" s="79">
        <f t="shared" si="248"/>
        <v>0</v>
      </c>
      <c r="AM1609" s="137">
        <f t="shared" si="249"/>
        <v>0</v>
      </c>
      <c r="AN1609" s="251"/>
      <c r="AO1609" s="1736"/>
      <c r="AP1609" s="1737"/>
    </row>
    <row r="1610" spans="1:42" s="85" customFormat="1" ht="13.5" thickBot="1">
      <c r="A1610" s="240"/>
      <c r="B1610" s="241"/>
      <c r="C1610" s="242"/>
      <c r="D1610" s="242"/>
      <c r="E1610" s="243"/>
      <c r="F1610" s="244"/>
      <c r="G1610" s="244"/>
      <c r="H1610" s="243"/>
      <c r="I1610" s="258"/>
      <c r="J1610" s="245"/>
      <c r="K1610" s="245"/>
      <c r="L1610" s="76">
        <f t="shared" si="240"/>
        <v>0</v>
      </c>
      <c r="M1610" s="246"/>
      <c r="N1610" s="247"/>
      <c r="O1610" s="248"/>
      <c r="P1610" s="246"/>
      <c r="Q1610" s="249"/>
      <c r="R1610" s="250"/>
      <c r="S1610" s="259"/>
      <c r="T1610" s="260"/>
      <c r="U1610" s="250"/>
      <c r="V1610" s="78">
        <f t="shared" si="241"/>
        <v>0</v>
      </c>
      <c r="W1610" s="261">
        <f t="shared" si="242"/>
        <v>0</v>
      </c>
      <c r="X1610" s="133">
        <f t="shared" si="243"/>
        <v>0</v>
      </c>
      <c r="Y1610" s="251"/>
      <c r="Z1610" s="1736"/>
      <c r="AA1610" s="1737"/>
      <c r="AB1610" s="77">
        <f t="shared" si="244"/>
        <v>0</v>
      </c>
      <c r="AC1610" s="134">
        <f t="shared" si="245"/>
        <v>0</v>
      </c>
      <c r="AD1610" s="251"/>
      <c r="AE1610" s="1736"/>
      <c r="AF1610" s="1737"/>
      <c r="AG1610" s="77">
        <f t="shared" si="246"/>
        <v>0</v>
      </c>
      <c r="AH1610" s="136">
        <f t="shared" si="247"/>
        <v>0</v>
      </c>
      <c r="AI1610" s="251"/>
      <c r="AJ1610" s="1736"/>
      <c r="AK1610" s="1737"/>
      <c r="AL1610" s="79">
        <f t="shared" si="248"/>
        <v>0</v>
      </c>
      <c r="AM1610" s="137">
        <f t="shared" si="249"/>
        <v>0</v>
      </c>
      <c r="AN1610" s="251"/>
      <c r="AO1610" s="1736"/>
      <c r="AP1610" s="1737"/>
    </row>
    <row r="1611" spans="1:42" s="85" customFormat="1" ht="13.5" thickBot="1">
      <c r="A1611" s="240"/>
      <c r="B1611" s="241"/>
      <c r="C1611" s="242"/>
      <c r="D1611" s="242"/>
      <c r="E1611" s="243"/>
      <c r="F1611" s="244"/>
      <c r="G1611" s="244"/>
      <c r="H1611" s="243"/>
      <c r="I1611" s="258"/>
      <c r="J1611" s="245"/>
      <c r="K1611" s="245"/>
      <c r="L1611" s="76">
        <f t="shared" ref="L1611:L1674" si="250">IF(I1611=0,0,(K1611+J1611)/I1611)</f>
        <v>0</v>
      </c>
      <c r="M1611" s="246"/>
      <c r="N1611" s="247"/>
      <c r="O1611" s="248"/>
      <c r="P1611" s="246"/>
      <c r="Q1611" s="249"/>
      <c r="R1611" s="250"/>
      <c r="S1611" s="259"/>
      <c r="T1611" s="260"/>
      <c r="U1611" s="250"/>
      <c r="V1611" s="78">
        <f t="shared" ref="V1611:V1674" si="251">IF(U1611=0,0,((U1611*S1611)-AB1611-AL1611))</f>
        <v>0</v>
      </c>
      <c r="W1611" s="261">
        <f t="shared" ref="W1611:W1674" si="252">+S1611-I1611</f>
        <v>0</v>
      </c>
      <c r="X1611" s="133">
        <f t="shared" ref="X1611:X1674" si="253">(V1611-J1611)</f>
        <v>0</v>
      </c>
      <c r="Y1611" s="251"/>
      <c r="Z1611" s="1736"/>
      <c r="AA1611" s="1737"/>
      <c r="AB1611" s="77">
        <f t="shared" ref="AB1611:AB1674" si="254">(IF(I1611=0,0,M1611/H1611))*S1611</f>
        <v>0</v>
      </c>
      <c r="AC1611" s="134">
        <f t="shared" ref="AC1611:AC1674" si="255">+AB1611-P1611</f>
        <v>0</v>
      </c>
      <c r="AD1611" s="251"/>
      <c r="AE1611" s="1736"/>
      <c r="AF1611" s="1737"/>
      <c r="AG1611" s="77">
        <f t="shared" ref="AG1611:AG1674" si="256">(IF(H1611=0,0,N1611/H1611))*T1611</f>
        <v>0</v>
      </c>
      <c r="AH1611" s="136">
        <f t="shared" ref="AH1611:AH1674" si="257">+AG1611-Q1611</f>
        <v>0</v>
      </c>
      <c r="AI1611" s="251"/>
      <c r="AJ1611" s="1736"/>
      <c r="AK1611" s="1737"/>
      <c r="AL1611" s="79">
        <f t="shared" ref="AL1611:AL1674" si="258">+O1611*S1611</f>
        <v>0</v>
      </c>
      <c r="AM1611" s="137">
        <f t="shared" ref="AM1611:AM1674" si="259">+AL1611-R1611</f>
        <v>0</v>
      </c>
      <c r="AN1611" s="251"/>
      <c r="AO1611" s="1736"/>
      <c r="AP1611" s="1737"/>
    </row>
    <row r="1612" spans="1:42" s="85" customFormat="1" ht="13.5" thickBot="1">
      <c r="A1612" s="240"/>
      <c r="B1612" s="241"/>
      <c r="C1612" s="242"/>
      <c r="D1612" s="242"/>
      <c r="E1612" s="243"/>
      <c r="F1612" s="244"/>
      <c r="G1612" s="244"/>
      <c r="H1612" s="243"/>
      <c r="I1612" s="258"/>
      <c r="J1612" s="245"/>
      <c r="K1612" s="245"/>
      <c r="L1612" s="76">
        <f t="shared" si="250"/>
        <v>0</v>
      </c>
      <c r="M1612" s="246"/>
      <c r="N1612" s="247"/>
      <c r="O1612" s="248"/>
      <c r="P1612" s="246"/>
      <c r="Q1612" s="249"/>
      <c r="R1612" s="250"/>
      <c r="S1612" s="259"/>
      <c r="T1612" s="260"/>
      <c r="U1612" s="250"/>
      <c r="V1612" s="78">
        <f t="shared" si="251"/>
        <v>0</v>
      </c>
      <c r="W1612" s="261">
        <f t="shared" si="252"/>
        <v>0</v>
      </c>
      <c r="X1612" s="133">
        <f t="shared" si="253"/>
        <v>0</v>
      </c>
      <c r="Y1612" s="251"/>
      <c r="Z1612" s="1736"/>
      <c r="AA1612" s="1737"/>
      <c r="AB1612" s="77">
        <f t="shared" si="254"/>
        <v>0</v>
      </c>
      <c r="AC1612" s="134">
        <f t="shared" si="255"/>
        <v>0</v>
      </c>
      <c r="AD1612" s="251"/>
      <c r="AE1612" s="1736"/>
      <c r="AF1612" s="1737"/>
      <c r="AG1612" s="77">
        <f t="shared" si="256"/>
        <v>0</v>
      </c>
      <c r="AH1612" s="136">
        <f t="shared" si="257"/>
        <v>0</v>
      </c>
      <c r="AI1612" s="251"/>
      <c r="AJ1612" s="1736"/>
      <c r="AK1612" s="1737"/>
      <c r="AL1612" s="79">
        <f t="shared" si="258"/>
        <v>0</v>
      </c>
      <c r="AM1612" s="137">
        <f t="shared" si="259"/>
        <v>0</v>
      </c>
      <c r="AN1612" s="251"/>
      <c r="AO1612" s="1736"/>
      <c r="AP1612" s="1737"/>
    </row>
    <row r="1613" spans="1:42" s="85" customFormat="1" ht="13.5" thickBot="1">
      <c r="A1613" s="240"/>
      <c r="B1613" s="241"/>
      <c r="C1613" s="242"/>
      <c r="D1613" s="242"/>
      <c r="E1613" s="243"/>
      <c r="F1613" s="244"/>
      <c r="G1613" s="244"/>
      <c r="H1613" s="243"/>
      <c r="I1613" s="258"/>
      <c r="J1613" s="245"/>
      <c r="K1613" s="245"/>
      <c r="L1613" s="76">
        <f t="shared" si="250"/>
        <v>0</v>
      </c>
      <c r="M1613" s="246"/>
      <c r="N1613" s="247"/>
      <c r="O1613" s="248"/>
      <c r="P1613" s="246"/>
      <c r="Q1613" s="249"/>
      <c r="R1613" s="250"/>
      <c r="S1613" s="259"/>
      <c r="T1613" s="260"/>
      <c r="U1613" s="250"/>
      <c r="V1613" s="78">
        <f t="shared" si="251"/>
        <v>0</v>
      </c>
      <c r="W1613" s="261">
        <f t="shared" si="252"/>
        <v>0</v>
      </c>
      <c r="X1613" s="133">
        <f t="shared" si="253"/>
        <v>0</v>
      </c>
      <c r="Y1613" s="251"/>
      <c r="Z1613" s="1736"/>
      <c r="AA1613" s="1737"/>
      <c r="AB1613" s="77">
        <f t="shared" si="254"/>
        <v>0</v>
      </c>
      <c r="AC1613" s="134">
        <f t="shared" si="255"/>
        <v>0</v>
      </c>
      <c r="AD1613" s="251"/>
      <c r="AE1613" s="1736"/>
      <c r="AF1613" s="1737"/>
      <c r="AG1613" s="77">
        <f t="shared" si="256"/>
        <v>0</v>
      </c>
      <c r="AH1613" s="136">
        <f t="shared" si="257"/>
        <v>0</v>
      </c>
      <c r="AI1613" s="251"/>
      <c r="AJ1613" s="1736"/>
      <c r="AK1613" s="1737"/>
      <c r="AL1613" s="79">
        <f t="shared" si="258"/>
        <v>0</v>
      </c>
      <c r="AM1613" s="137">
        <f t="shared" si="259"/>
        <v>0</v>
      </c>
      <c r="AN1613" s="251"/>
      <c r="AO1613" s="1736"/>
      <c r="AP1613" s="1737"/>
    </row>
    <row r="1614" spans="1:42" s="85" customFormat="1" ht="13.5" thickBot="1">
      <c r="A1614" s="240"/>
      <c r="B1614" s="241"/>
      <c r="C1614" s="242"/>
      <c r="D1614" s="242"/>
      <c r="E1614" s="243"/>
      <c r="F1614" s="244"/>
      <c r="G1614" s="244"/>
      <c r="H1614" s="243"/>
      <c r="I1614" s="258"/>
      <c r="J1614" s="245"/>
      <c r="K1614" s="245"/>
      <c r="L1614" s="76">
        <f t="shared" si="250"/>
        <v>0</v>
      </c>
      <c r="M1614" s="246"/>
      <c r="N1614" s="247"/>
      <c r="O1614" s="248"/>
      <c r="P1614" s="246"/>
      <c r="Q1614" s="249"/>
      <c r="R1614" s="250"/>
      <c r="S1614" s="259"/>
      <c r="T1614" s="260"/>
      <c r="U1614" s="250"/>
      <c r="V1614" s="78">
        <f t="shared" si="251"/>
        <v>0</v>
      </c>
      <c r="W1614" s="261">
        <f t="shared" si="252"/>
        <v>0</v>
      </c>
      <c r="X1614" s="133">
        <f t="shared" si="253"/>
        <v>0</v>
      </c>
      <c r="Y1614" s="251"/>
      <c r="Z1614" s="1736"/>
      <c r="AA1614" s="1737"/>
      <c r="AB1614" s="77">
        <f t="shared" si="254"/>
        <v>0</v>
      </c>
      <c r="AC1614" s="134">
        <f t="shared" si="255"/>
        <v>0</v>
      </c>
      <c r="AD1614" s="251"/>
      <c r="AE1614" s="1736"/>
      <c r="AF1614" s="1737"/>
      <c r="AG1614" s="77">
        <f t="shared" si="256"/>
        <v>0</v>
      </c>
      <c r="AH1614" s="136">
        <f t="shared" si="257"/>
        <v>0</v>
      </c>
      <c r="AI1614" s="251"/>
      <c r="AJ1614" s="1736"/>
      <c r="AK1614" s="1737"/>
      <c r="AL1614" s="79">
        <f t="shared" si="258"/>
        <v>0</v>
      </c>
      <c r="AM1614" s="137">
        <f t="shared" si="259"/>
        <v>0</v>
      </c>
      <c r="AN1614" s="251"/>
      <c r="AO1614" s="1736"/>
      <c r="AP1614" s="1737"/>
    </row>
    <row r="1615" spans="1:42" s="85" customFormat="1" ht="13.5" thickBot="1">
      <c r="A1615" s="240"/>
      <c r="B1615" s="241"/>
      <c r="C1615" s="242"/>
      <c r="D1615" s="242"/>
      <c r="E1615" s="243"/>
      <c r="F1615" s="244"/>
      <c r="G1615" s="244"/>
      <c r="H1615" s="243"/>
      <c r="I1615" s="258"/>
      <c r="J1615" s="245"/>
      <c r="K1615" s="245"/>
      <c r="L1615" s="76">
        <f t="shared" si="250"/>
        <v>0</v>
      </c>
      <c r="M1615" s="246"/>
      <c r="N1615" s="247"/>
      <c r="O1615" s="248"/>
      <c r="P1615" s="246"/>
      <c r="Q1615" s="249"/>
      <c r="R1615" s="250"/>
      <c r="S1615" s="259"/>
      <c r="T1615" s="260"/>
      <c r="U1615" s="250"/>
      <c r="V1615" s="78">
        <f t="shared" si="251"/>
        <v>0</v>
      </c>
      <c r="W1615" s="261">
        <f t="shared" si="252"/>
        <v>0</v>
      </c>
      <c r="X1615" s="133">
        <f t="shared" si="253"/>
        <v>0</v>
      </c>
      <c r="Y1615" s="251"/>
      <c r="Z1615" s="1736"/>
      <c r="AA1615" s="1737"/>
      <c r="AB1615" s="77">
        <f t="shared" si="254"/>
        <v>0</v>
      </c>
      <c r="AC1615" s="134">
        <f t="shared" si="255"/>
        <v>0</v>
      </c>
      <c r="AD1615" s="251"/>
      <c r="AE1615" s="1736"/>
      <c r="AF1615" s="1737"/>
      <c r="AG1615" s="77">
        <f t="shared" si="256"/>
        <v>0</v>
      </c>
      <c r="AH1615" s="136">
        <f t="shared" si="257"/>
        <v>0</v>
      </c>
      <c r="AI1615" s="251"/>
      <c r="AJ1615" s="1736"/>
      <c r="AK1615" s="1737"/>
      <c r="AL1615" s="79">
        <f t="shared" si="258"/>
        <v>0</v>
      </c>
      <c r="AM1615" s="137">
        <f t="shared" si="259"/>
        <v>0</v>
      </c>
      <c r="AN1615" s="251"/>
      <c r="AO1615" s="1736"/>
      <c r="AP1615" s="1737"/>
    </row>
    <row r="1616" spans="1:42" s="85" customFormat="1" ht="13.5" thickBot="1">
      <c r="A1616" s="240"/>
      <c r="B1616" s="241"/>
      <c r="C1616" s="242"/>
      <c r="D1616" s="242"/>
      <c r="E1616" s="243"/>
      <c r="F1616" s="244"/>
      <c r="G1616" s="244"/>
      <c r="H1616" s="243"/>
      <c r="I1616" s="258"/>
      <c r="J1616" s="245"/>
      <c r="K1616" s="245"/>
      <c r="L1616" s="76">
        <f t="shared" si="250"/>
        <v>0</v>
      </c>
      <c r="M1616" s="246"/>
      <c r="N1616" s="247"/>
      <c r="O1616" s="248"/>
      <c r="P1616" s="246"/>
      <c r="Q1616" s="249"/>
      <c r="R1616" s="250"/>
      <c r="S1616" s="259"/>
      <c r="T1616" s="260"/>
      <c r="U1616" s="250"/>
      <c r="V1616" s="78">
        <f t="shared" si="251"/>
        <v>0</v>
      </c>
      <c r="W1616" s="261">
        <f t="shared" si="252"/>
        <v>0</v>
      </c>
      <c r="X1616" s="133">
        <f t="shared" si="253"/>
        <v>0</v>
      </c>
      <c r="Y1616" s="251"/>
      <c r="Z1616" s="1736"/>
      <c r="AA1616" s="1737"/>
      <c r="AB1616" s="77">
        <f t="shared" si="254"/>
        <v>0</v>
      </c>
      <c r="AC1616" s="134">
        <f t="shared" si="255"/>
        <v>0</v>
      </c>
      <c r="AD1616" s="251"/>
      <c r="AE1616" s="1736"/>
      <c r="AF1616" s="1737"/>
      <c r="AG1616" s="77">
        <f t="shared" si="256"/>
        <v>0</v>
      </c>
      <c r="AH1616" s="136">
        <f t="shared" si="257"/>
        <v>0</v>
      </c>
      <c r="AI1616" s="251"/>
      <c r="AJ1616" s="1736"/>
      <c r="AK1616" s="1737"/>
      <c r="AL1616" s="79">
        <f t="shared" si="258"/>
        <v>0</v>
      </c>
      <c r="AM1616" s="137">
        <f t="shared" si="259"/>
        <v>0</v>
      </c>
      <c r="AN1616" s="251"/>
      <c r="AO1616" s="1736"/>
      <c r="AP1616" s="1737"/>
    </row>
    <row r="1617" spans="1:42" s="85" customFormat="1" ht="13.5" thickBot="1">
      <c r="A1617" s="240"/>
      <c r="B1617" s="241"/>
      <c r="C1617" s="242"/>
      <c r="D1617" s="242"/>
      <c r="E1617" s="243"/>
      <c r="F1617" s="244"/>
      <c r="G1617" s="244"/>
      <c r="H1617" s="243"/>
      <c r="I1617" s="258"/>
      <c r="J1617" s="245"/>
      <c r="K1617" s="245"/>
      <c r="L1617" s="76">
        <f t="shared" si="250"/>
        <v>0</v>
      </c>
      <c r="M1617" s="246"/>
      <c r="N1617" s="247"/>
      <c r="O1617" s="248"/>
      <c r="P1617" s="246"/>
      <c r="Q1617" s="249"/>
      <c r="R1617" s="250"/>
      <c r="S1617" s="259"/>
      <c r="T1617" s="260"/>
      <c r="U1617" s="250"/>
      <c r="V1617" s="78">
        <f t="shared" si="251"/>
        <v>0</v>
      </c>
      <c r="W1617" s="261">
        <f t="shared" si="252"/>
        <v>0</v>
      </c>
      <c r="X1617" s="133">
        <f t="shared" si="253"/>
        <v>0</v>
      </c>
      <c r="Y1617" s="251"/>
      <c r="Z1617" s="1736"/>
      <c r="AA1617" s="1737"/>
      <c r="AB1617" s="77">
        <f t="shared" si="254"/>
        <v>0</v>
      </c>
      <c r="AC1617" s="134">
        <f t="shared" si="255"/>
        <v>0</v>
      </c>
      <c r="AD1617" s="251"/>
      <c r="AE1617" s="1736"/>
      <c r="AF1617" s="1737"/>
      <c r="AG1617" s="77">
        <f t="shared" si="256"/>
        <v>0</v>
      </c>
      <c r="AH1617" s="136">
        <f t="shared" si="257"/>
        <v>0</v>
      </c>
      <c r="AI1617" s="251"/>
      <c r="AJ1617" s="1736"/>
      <c r="AK1617" s="1737"/>
      <c r="AL1617" s="79">
        <f t="shared" si="258"/>
        <v>0</v>
      </c>
      <c r="AM1617" s="137">
        <f t="shared" si="259"/>
        <v>0</v>
      </c>
      <c r="AN1617" s="251"/>
      <c r="AO1617" s="1736"/>
      <c r="AP1617" s="1737"/>
    </row>
    <row r="1618" spans="1:42" s="85" customFormat="1" ht="13.5" thickBot="1">
      <c r="A1618" s="240"/>
      <c r="B1618" s="241"/>
      <c r="C1618" s="242"/>
      <c r="D1618" s="242"/>
      <c r="E1618" s="243"/>
      <c r="F1618" s="244"/>
      <c r="G1618" s="244"/>
      <c r="H1618" s="243"/>
      <c r="I1618" s="258"/>
      <c r="J1618" s="245"/>
      <c r="K1618" s="245"/>
      <c r="L1618" s="76">
        <f t="shared" si="250"/>
        <v>0</v>
      </c>
      <c r="M1618" s="246"/>
      <c r="N1618" s="247"/>
      <c r="O1618" s="248"/>
      <c r="P1618" s="246"/>
      <c r="Q1618" s="249"/>
      <c r="R1618" s="250"/>
      <c r="S1618" s="259"/>
      <c r="T1618" s="260"/>
      <c r="U1618" s="250"/>
      <c r="V1618" s="78">
        <f t="shared" si="251"/>
        <v>0</v>
      </c>
      <c r="W1618" s="261">
        <f t="shared" si="252"/>
        <v>0</v>
      </c>
      <c r="X1618" s="133">
        <f t="shared" si="253"/>
        <v>0</v>
      </c>
      <c r="Y1618" s="251"/>
      <c r="Z1618" s="1736"/>
      <c r="AA1618" s="1737"/>
      <c r="AB1618" s="77">
        <f t="shared" si="254"/>
        <v>0</v>
      </c>
      <c r="AC1618" s="134">
        <f t="shared" si="255"/>
        <v>0</v>
      </c>
      <c r="AD1618" s="251"/>
      <c r="AE1618" s="1736"/>
      <c r="AF1618" s="1737"/>
      <c r="AG1618" s="77">
        <f t="shared" si="256"/>
        <v>0</v>
      </c>
      <c r="AH1618" s="136">
        <f t="shared" si="257"/>
        <v>0</v>
      </c>
      <c r="AI1618" s="251"/>
      <c r="AJ1618" s="1736"/>
      <c r="AK1618" s="1737"/>
      <c r="AL1618" s="79">
        <f t="shared" si="258"/>
        <v>0</v>
      </c>
      <c r="AM1618" s="137">
        <f t="shared" si="259"/>
        <v>0</v>
      </c>
      <c r="AN1618" s="251"/>
      <c r="AO1618" s="1736"/>
      <c r="AP1618" s="1737"/>
    </row>
    <row r="1619" spans="1:42" s="85" customFormat="1" ht="13.5" thickBot="1">
      <c r="A1619" s="240"/>
      <c r="B1619" s="241"/>
      <c r="C1619" s="242"/>
      <c r="D1619" s="242"/>
      <c r="E1619" s="243"/>
      <c r="F1619" s="244"/>
      <c r="G1619" s="244"/>
      <c r="H1619" s="243"/>
      <c r="I1619" s="258"/>
      <c r="J1619" s="245"/>
      <c r="K1619" s="245"/>
      <c r="L1619" s="76">
        <f t="shared" si="250"/>
        <v>0</v>
      </c>
      <c r="M1619" s="246"/>
      <c r="N1619" s="247"/>
      <c r="O1619" s="248"/>
      <c r="P1619" s="246"/>
      <c r="Q1619" s="249"/>
      <c r="R1619" s="250"/>
      <c r="S1619" s="259"/>
      <c r="T1619" s="260"/>
      <c r="U1619" s="250"/>
      <c r="V1619" s="78">
        <f t="shared" si="251"/>
        <v>0</v>
      </c>
      <c r="W1619" s="261">
        <f t="shared" si="252"/>
        <v>0</v>
      </c>
      <c r="X1619" s="133">
        <f t="shared" si="253"/>
        <v>0</v>
      </c>
      <c r="Y1619" s="251"/>
      <c r="Z1619" s="1736"/>
      <c r="AA1619" s="1737"/>
      <c r="AB1619" s="77">
        <f t="shared" si="254"/>
        <v>0</v>
      </c>
      <c r="AC1619" s="134">
        <f t="shared" si="255"/>
        <v>0</v>
      </c>
      <c r="AD1619" s="251"/>
      <c r="AE1619" s="1736"/>
      <c r="AF1619" s="1737"/>
      <c r="AG1619" s="77">
        <f t="shared" si="256"/>
        <v>0</v>
      </c>
      <c r="AH1619" s="136">
        <f t="shared" si="257"/>
        <v>0</v>
      </c>
      <c r="AI1619" s="251"/>
      <c r="AJ1619" s="1736"/>
      <c r="AK1619" s="1737"/>
      <c r="AL1619" s="79">
        <f t="shared" si="258"/>
        <v>0</v>
      </c>
      <c r="AM1619" s="137">
        <f t="shared" si="259"/>
        <v>0</v>
      </c>
      <c r="AN1619" s="251"/>
      <c r="AO1619" s="1736"/>
      <c r="AP1619" s="1737"/>
    </row>
    <row r="1620" spans="1:42" s="85" customFormat="1" ht="13.5" thickBot="1">
      <c r="A1620" s="240"/>
      <c r="B1620" s="241"/>
      <c r="C1620" s="242"/>
      <c r="D1620" s="242"/>
      <c r="E1620" s="243"/>
      <c r="F1620" s="244"/>
      <c r="G1620" s="244"/>
      <c r="H1620" s="243"/>
      <c r="I1620" s="258"/>
      <c r="J1620" s="245"/>
      <c r="K1620" s="245"/>
      <c r="L1620" s="76">
        <f t="shared" si="250"/>
        <v>0</v>
      </c>
      <c r="M1620" s="246"/>
      <c r="N1620" s="247"/>
      <c r="O1620" s="248"/>
      <c r="P1620" s="246"/>
      <c r="Q1620" s="249"/>
      <c r="R1620" s="250"/>
      <c r="S1620" s="259"/>
      <c r="T1620" s="260"/>
      <c r="U1620" s="250"/>
      <c r="V1620" s="78">
        <f t="shared" si="251"/>
        <v>0</v>
      </c>
      <c r="W1620" s="261">
        <f t="shared" si="252"/>
        <v>0</v>
      </c>
      <c r="X1620" s="133">
        <f t="shared" si="253"/>
        <v>0</v>
      </c>
      <c r="Y1620" s="251"/>
      <c r="Z1620" s="1736"/>
      <c r="AA1620" s="1737"/>
      <c r="AB1620" s="77">
        <f t="shared" si="254"/>
        <v>0</v>
      </c>
      <c r="AC1620" s="134">
        <f t="shared" si="255"/>
        <v>0</v>
      </c>
      <c r="AD1620" s="251"/>
      <c r="AE1620" s="1736"/>
      <c r="AF1620" s="1737"/>
      <c r="AG1620" s="77">
        <f t="shared" si="256"/>
        <v>0</v>
      </c>
      <c r="AH1620" s="136">
        <f t="shared" si="257"/>
        <v>0</v>
      </c>
      <c r="AI1620" s="251"/>
      <c r="AJ1620" s="1736"/>
      <c r="AK1620" s="1737"/>
      <c r="AL1620" s="79">
        <f t="shared" si="258"/>
        <v>0</v>
      </c>
      <c r="AM1620" s="137">
        <f t="shared" si="259"/>
        <v>0</v>
      </c>
      <c r="AN1620" s="251"/>
      <c r="AO1620" s="1736"/>
      <c r="AP1620" s="1737"/>
    </row>
    <row r="1621" spans="1:42" s="85" customFormat="1" ht="13.5" thickBot="1">
      <c r="A1621" s="240"/>
      <c r="B1621" s="241"/>
      <c r="C1621" s="242"/>
      <c r="D1621" s="242"/>
      <c r="E1621" s="243"/>
      <c r="F1621" s="244"/>
      <c r="G1621" s="244"/>
      <c r="H1621" s="243"/>
      <c r="I1621" s="258"/>
      <c r="J1621" s="245"/>
      <c r="K1621" s="245"/>
      <c r="L1621" s="76">
        <f t="shared" si="250"/>
        <v>0</v>
      </c>
      <c r="M1621" s="246"/>
      <c r="N1621" s="247"/>
      <c r="O1621" s="248"/>
      <c r="P1621" s="246"/>
      <c r="Q1621" s="249"/>
      <c r="R1621" s="250"/>
      <c r="S1621" s="259"/>
      <c r="T1621" s="260"/>
      <c r="U1621" s="250"/>
      <c r="V1621" s="78">
        <f t="shared" si="251"/>
        <v>0</v>
      </c>
      <c r="W1621" s="261">
        <f t="shared" si="252"/>
        <v>0</v>
      </c>
      <c r="X1621" s="133">
        <f t="shared" si="253"/>
        <v>0</v>
      </c>
      <c r="Y1621" s="251"/>
      <c r="Z1621" s="1736"/>
      <c r="AA1621" s="1737"/>
      <c r="AB1621" s="77">
        <f t="shared" si="254"/>
        <v>0</v>
      </c>
      <c r="AC1621" s="134">
        <f t="shared" si="255"/>
        <v>0</v>
      </c>
      <c r="AD1621" s="251"/>
      <c r="AE1621" s="1736"/>
      <c r="AF1621" s="1737"/>
      <c r="AG1621" s="77">
        <f t="shared" si="256"/>
        <v>0</v>
      </c>
      <c r="AH1621" s="136">
        <f t="shared" si="257"/>
        <v>0</v>
      </c>
      <c r="AI1621" s="251"/>
      <c r="AJ1621" s="1736"/>
      <c r="AK1621" s="1737"/>
      <c r="AL1621" s="79">
        <f t="shared" si="258"/>
        <v>0</v>
      </c>
      <c r="AM1621" s="137">
        <f t="shared" si="259"/>
        <v>0</v>
      </c>
      <c r="AN1621" s="251"/>
      <c r="AO1621" s="1736"/>
      <c r="AP1621" s="1737"/>
    </row>
    <row r="1622" spans="1:42" s="85" customFormat="1" ht="13.5" thickBot="1">
      <c r="A1622" s="240"/>
      <c r="B1622" s="241"/>
      <c r="C1622" s="242"/>
      <c r="D1622" s="242"/>
      <c r="E1622" s="243"/>
      <c r="F1622" s="244"/>
      <c r="G1622" s="244"/>
      <c r="H1622" s="243"/>
      <c r="I1622" s="258"/>
      <c r="J1622" s="245"/>
      <c r="K1622" s="245"/>
      <c r="L1622" s="76">
        <f t="shared" si="250"/>
        <v>0</v>
      </c>
      <c r="M1622" s="246"/>
      <c r="N1622" s="247"/>
      <c r="O1622" s="248"/>
      <c r="P1622" s="246"/>
      <c r="Q1622" s="249"/>
      <c r="R1622" s="250"/>
      <c r="S1622" s="259"/>
      <c r="T1622" s="260"/>
      <c r="U1622" s="250"/>
      <c r="V1622" s="78">
        <f t="shared" si="251"/>
        <v>0</v>
      </c>
      <c r="W1622" s="261">
        <f t="shared" si="252"/>
        <v>0</v>
      </c>
      <c r="X1622" s="133">
        <f t="shared" si="253"/>
        <v>0</v>
      </c>
      <c r="Y1622" s="251"/>
      <c r="Z1622" s="1736"/>
      <c r="AA1622" s="1737"/>
      <c r="AB1622" s="77">
        <f t="shared" si="254"/>
        <v>0</v>
      </c>
      <c r="AC1622" s="134">
        <f t="shared" si="255"/>
        <v>0</v>
      </c>
      <c r="AD1622" s="251"/>
      <c r="AE1622" s="1736"/>
      <c r="AF1622" s="1737"/>
      <c r="AG1622" s="77">
        <f t="shared" si="256"/>
        <v>0</v>
      </c>
      <c r="AH1622" s="136">
        <f t="shared" si="257"/>
        <v>0</v>
      </c>
      <c r="AI1622" s="251"/>
      <c r="AJ1622" s="1736"/>
      <c r="AK1622" s="1737"/>
      <c r="AL1622" s="79">
        <f t="shared" si="258"/>
        <v>0</v>
      </c>
      <c r="AM1622" s="137">
        <f t="shared" si="259"/>
        <v>0</v>
      </c>
      <c r="AN1622" s="251"/>
      <c r="AO1622" s="1736"/>
      <c r="AP1622" s="1737"/>
    </row>
    <row r="1623" spans="1:42" s="85" customFormat="1" ht="13.5" thickBot="1">
      <c r="A1623" s="240"/>
      <c r="B1623" s="241"/>
      <c r="C1623" s="242"/>
      <c r="D1623" s="242"/>
      <c r="E1623" s="243"/>
      <c r="F1623" s="244"/>
      <c r="G1623" s="244"/>
      <c r="H1623" s="243"/>
      <c r="I1623" s="258"/>
      <c r="J1623" s="245"/>
      <c r="K1623" s="245"/>
      <c r="L1623" s="76">
        <f t="shared" si="250"/>
        <v>0</v>
      </c>
      <c r="M1623" s="246"/>
      <c r="N1623" s="247"/>
      <c r="O1623" s="248"/>
      <c r="P1623" s="246"/>
      <c r="Q1623" s="249"/>
      <c r="R1623" s="250"/>
      <c r="S1623" s="259"/>
      <c r="T1623" s="260"/>
      <c r="U1623" s="250"/>
      <c r="V1623" s="78">
        <f t="shared" si="251"/>
        <v>0</v>
      </c>
      <c r="W1623" s="261">
        <f t="shared" si="252"/>
        <v>0</v>
      </c>
      <c r="X1623" s="133">
        <f t="shared" si="253"/>
        <v>0</v>
      </c>
      <c r="Y1623" s="251"/>
      <c r="Z1623" s="1736"/>
      <c r="AA1623" s="1737"/>
      <c r="AB1623" s="77">
        <f t="shared" si="254"/>
        <v>0</v>
      </c>
      <c r="AC1623" s="134">
        <f t="shared" si="255"/>
        <v>0</v>
      </c>
      <c r="AD1623" s="251"/>
      <c r="AE1623" s="1736"/>
      <c r="AF1623" s="1737"/>
      <c r="AG1623" s="77">
        <f t="shared" si="256"/>
        <v>0</v>
      </c>
      <c r="AH1623" s="136">
        <f t="shared" si="257"/>
        <v>0</v>
      </c>
      <c r="AI1623" s="251"/>
      <c r="AJ1623" s="1736"/>
      <c r="AK1623" s="1737"/>
      <c r="AL1623" s="79">
        <f t="shared" si="258"/>
        <v>0</v>
      </c>
      <c r="AM1623" s="137">
        <f t="shared" si="259"/>
        <v>0</v>
      </c>
      <c r="AN1623" s="251"/>
      <c r="AO1623" s="1736"/>
      <c r="AP1623" s="1737"/>
    </row>
    <row r="1624" spans="1:42" s="85" customFormat="1" ht="13.5" thickBot="1">
      <c r="A1624" s="240"/>
      <c r="B1624" s="241"/>
      <c r="C1624" s="242"/>
      <c r="D1624" s="242"/>
      <c r="E1624" s="243"/>
      <c r="F1624" s="244"/>
      <c r="G1624" s="244"/>
      <c r="H1624" s="243"/>
      <c r="I1624" s="258"/>
      <c r="J1624" s="245"/>
      <c r="K1624" s="245"/>
      <c r="L1624" s="76">
        <f t="shared" si="250"/>
        <v>0</v>
      </c>
      <c r="M1624" s="246"/>
      <c r="N1624" s="247"/>
      <c r="O1624" s="248"/>
      <c r="P1624" s="246"/>
      <c r="Q1624" s="249"/>
      <c r="R1624" s="250"/>
      <c r="S1624" s="259"/>
      <c r="T1624" s="260"/>
      <c r="U1624" s="250"/>
      <c r="V1624" s="78">
        <f t="shared" si="251"/>
        <v>0</v>
      </c>
      <c r="W1624" s="261">
        <f t="shared" si="252"/>
        <v>0</v>
      </c>
      <c r="X1624" s="133">
        <f t="shared" si="253"/>
        <v>0</v>
      </c>
      <c r="Y1624" s="251"/>
      <c r="Z1624" s="1736"/>
      <c r="AA1624" s="1737"/>
      <c r="AB1624" s="77">
        <f t="shared" si="254"/>
        <v>0</v>
      </c>
      <c r="AC1624" s="134">
        <f t="shared" si="255"/>
        <v>0</v>
      </c>
      <c r="AD1624" s="251"/>
      <c r="AE1624" s="1736"/>
      <c r="AF1624" s="1737"/>
      <c r="AG1624" s="77">
        <f t="shared" si="256"/>
        <v>0</v>
      </c>
      <c r="AH1624" s="136">
        <f t="shared" si="257"/>
        <v>0</v>
      </c>
      <c r="AI1624" s="251"/>
      <c r="AJ1624" s="1736"/>
      <c r="AK1624" s="1737"/>
      <c r="AL1624" s="79">
        <f t="shared" si="258"/>
        <v>0</v>
      </c>
      <c r="AM1624" s="137">
        <f t="shared" si="259"/>
        <v>0</v>
      </c>
      <c r="AN1624" s="251"/>
      <c r="AO1624" s="1736"/>
      <c r="AP1624" s="1737"/>
    </row>
    <row r="1625" spans="1:42" s="85" customFormat="1" ht="13.5" thickBot="1">
      <c r="A1625" s="240"/>
      <c r="B1625" s="241"/>
      <c r="C1625" s="242"/>
      <c r="D1625" s="242"/>
      <c r="E1625" s="243"/>
      <c r="F1625" s="244"/>
      <c r="G1625" s="244"/>
      <c r="H1625" s="243"/>
      <c r="I1625" s="258"/>
      <c r="J1625" s="245"/>
      <c r="K1625" s="245"/>
      <c r="L1625" s="76">
        <f t="shared" si="250"/>
        <v>0</v>
      </c>
      <c r="M1625" s="246"/>
      <c r="N1625" s="247"/>
      <c r="O1625" s="248"/>
      <c r="P1625" s="246"/>
      <c r="Q1625" s="249"/>
      <c r="R1625" s="250"/>
      <c r="S1625" s="259"/>
      <c r="T1625" s="260"/>
      <c r="U1625" s="250"/>
      <c r="V1625" s="78">
        <f t="shared" si="251"/>
        <v>0</v>
      </c>
      <c r="W1625" s="261">
        <f t="shared" si="252"/>
        <v>0</v>
      </c>
      <c r="X1625" s="133">
        <f t="shared" si="253"/>
        <v>0</v>
      </c>
      <c r="Y1625" s="251"/>
      <c r="Z1625" s="1736"/>
      <c r="AA1625" s="1737"/>
      <c r="AB1625" s="77">
        <f t="shared" si="254"/>
        <v>0</v>
      </c>
      <c r="AC1625" s="134">
        <f t="shared" si="255"/>
        <v>0</v>
      </c>
      <c r="AD1625" s="251"/>
      <c r="AE1625" s="1736"/>
      <c r="AF1625" s="1737"/>
      <c r="AG1625" s="77">
        <f t="shared" si="256"/>
        <v>0</v>
      </c>
      <c r="AH1625" s="136">
        <f t="shared" si="257"/>
        <v>0</v>
      </c>
      <c r="AI1625" s="251"/>
      <c r="AJ1625" s="1736"/>
      <c r="AK1625" s="1737"/>
      <c r="AL1625" s="79">
        <f t="shared" si="258"/>
        <v>0</v>
      </c>
      <c r="AM1625" s="137">
        <f t="shared" si="259"/>
        <v>0</v>
      </c>
      <c r="AN1625" s="251"/>
      <c r="AO1625" s="1736"/>
      <c r="AP1625" s="1737"/>
    </row>
    <row r="1626" spans="1:42" s="85" customFormat="1" ht="13.5" thickBot="1">
      <c r="A1626" s="240"/>
      <c r="B1626" s="241"/>
      <c r="C1626" s="242"/>
      <c r="D1626" s="242"/>
      <c r="E1626" s="243"/>
      <c r="F1626" s="244"/>
      <c r="G1626" s="244"/>
      <c r="H1626" s="243"/>
      <c r="I1626" s="258"/>
      <c r="J1626" s="245"/>
      <c r="K1626" s="245"/>
      <c r="L1626" s="76">
        <f t="shared" si="250"/>
        <v>0</v>
      </c>
      <c r="M1626" s="246"/>
      <c r="N1626" s="247"/>
      <c r="O1626" s="248"/>
      <c r="P1626" s="246"/>
      <c r="Q1626" s="249"/>
      <c r="R1626" s="250"/>
      <c r="S1626" s="259"/>
      <c r="T1626" s="260"/>
      <c r="U1626" s="250"/>
      <c r="V1626" s="78">
        <f t="shared" si="251"/>
        <v>0</v>
      </c>
      <c r="W1626" s="261">
        <f t="shared" si="252"/>
        <v>0</v>
      </c>
      <c r="X1626" s="133">
        <f t="shared" si="253"/>
        <v>0</v>
      </c>
      <c r="Y1626" s="251"/>
      <c r="Z1626" s="1736"/>
      <c r="AA1626" s="1737"/>
      <c r="AB1626" s="77">
        <f t="shared" si="254"/>
        <v>0</v>
      </c>
      <c r="AC1626" s="134">
        <f t="shared" si="255"/>
        <v>0</v>
      </c>
      <c r="AD1626" s="251"/>
      <c r="AE1626" s="1736"/>
      <c r="AF1626" s="1737"/>
      <c r="AG1626" s="77">
        <f t="shared" si="256"/>
        <v>0</v>
      </c>
      <c r="AH1626" s="136">
        <f t="shared" si="257"/>
        <v>0</v>
      </c>
      <c r="AI1626" s="251"/>
      <c r="AJ1626" s="1736"/>
      <c r="AK1626" s="1737"/>
      <c r="AL1626" s="79">
        <f t="shared" si="258"/>
        <v>0</v>
      </c>
      <c r="AM1626" s="137">
        <f t="shared" si="259"/>
        <v>0</v>
      </c>
      <c r="AN1626" s="251"/>
      <c r="AO1626" s="1736"/>
      <c r="AP1626" s="1737"/>
    </row>
    <row r="1627" spans="1:42" s="85" customFormat="1" ht="13.5" thickBot="1">
      <c r="A1627" s="240"/>
      <c r="B1627" s="241"/>
      <c r="C1627" s="242"/>
      <c r="D1627" s="242"/>
      <c r="E1627" s="243"/>
      <c r="F1627" s="244"/>
      <c r="G1627" s="244"/>
      <c r="H1627" s="243"/>
      <c r="I1627" s="258"/>
      <c r="J1627" s="245"/>
      <c r="K1627" s="245"/>
      <c r="L1627" s="76">
        <f t="shared" si="250"/>
        <v>0</v>
      </c>
      <c r="M1627" s="246"/>
      <c r="N1627" s="247"/>
      <c r="O1627" s="248"/>
      <c r="P1627" s="246"/>
      <c r="Q1627" s="249"/>
      <c r="R1627" s="250"/>
      <c r="S1627" s="259"/>
      <c r="T1627" s="260"/>
      <c r="U1627" s="250"/>
      <c r="V1627" s="78">
        <f t="shared" si="251"/>
        <v>0</v>
      </c>
      <c r="W1627" s="261">
        <f t="shared" si="252"/>
        <v>0</v>
      </c>
      <c r="X1627" s="133">
        <f t="shared" si="253"/>
        <v>0</v>
      </c>
      <c r="Y1627" s="251"/>
      <c r="Z1627" s="1736"/>
      <c r="AA1627" s="1737"/>
      <c r="AB1627" s="77">
        <f t="shared" si="254"/>
        <v>0</v>
      </c>
      <c r="AC1627" s="134">
        <f t="shared" si="255"/>
        <v>0</v>
      </c>
      <c r="AD1627" s="251"/>
      <c r="AE1627" s="1736"/>
      <c r="AF1627" s="1737"/>
      <c r="AG1627" s="77">
        <f t="shared" si="256"/>
        <v>0</v>
      </c>
      <c r="AH1627" s="136">
        <f t="shared" si="257"/>
        <v>0</v>
      </c>
      <c r="AI1627" s="251"/>
      <c r="AJ1627" s="1736"/>
      <c r="AK1627" s="1737"/>
      <c r="AL1627" s="79">
        <f t="shared" si="258"/>
        <v>0</v>
      </c>
      <c r="AM1627" s="137">
        <f t="shared" si="259"/>
        <v>0</v>
      </c>
      <c r="AN1627" s="251"/>
      <c r="AO1627" s="1736"/>
      <c r="AP1627" s="1737"/>
    </row>
    <row r="1628" spans="1:42" s="85" customFormat="1" ht="13.5" thickBot="1">
      <c r="A1628" s="240"/>
      <c r="B1628" s="241"/>
      <c r="C1628" s="242"/>
      <c r="D1628" s="242"/>
      <c r="E1628" s="243"/>
      <c r="F1628" s="244"/>
      <c r="G1628" s="244"/>
      <c r="H1628" s="243"/>
      <c r="I1628" s="258"/>
      <c r="J1628" s="245"/>
      <c r="K1628" s="245"/>
      <c r="L1628" s="76">
        <f t="shared" si="250"/>
        <v>0</v>
      </c>
      <c r="M1628" s="246"/>
      <c r="N1628" s="247"/>
      <c r="O1628" s="248"/>
      <c r="P1628" s="246"/>
      <c r="Q1628" s="249"/>
      <c r="R1628" s="250"/>
      <c r="S1628" s="259"/>
      <c r="T1628" s="260"/>
      <c r="U1628" s="250"/>
      <c r="V1628" s="78">
        <f t="shared" si="251"/>
        <v>0</v>
      </c>
      <c r="W1628" s="261">
        <f t="shared" si="252"/>
        <v>0</v>
      </c>
      <c r="X1628" s="133">
        <f t="shared" si="253"/>
        <v>0</v>
      </c>
      <c r="Y1628" s="251"/>
      <c r="Z1628" s="1736"/>
      <c r="AA1628" s="1737"/>
      <c r="AB1628" s="77">
        <f t="shared" si="254"/>
        <v>0</v>
      </c>
      <c r="AC1628" s="134">
        <f t="shared" si="255"/>
        <v>0</v>
      </c>
      <c r="AD1628" s="251"/>
      <c r="AE1628" s="1736"/>
      <c r="AF1628" s="1737"/>
      <c r="AG1628" s="77">
        <f t="shared" si="256"/>
        <v>0</v>
      </c>
      <c r="AH1628" s="136">
        <f t="shared" si="257"/>
        <v>0</v>
      </c>
      <c r="AI1628" s="251"/>
      <c r="AJ1628" s="1736"/>
      <c r="AK1628" s="1737"/>
      <c r="AL1628" s="79">
        <f t="shared" si="258"/>
        <v>0</v>
      </c>
      <c r="AM1628" s="137">
        <f t="shared" si="259"/>
        <v>0</v>
      </c>
      <c r="AN1628" s="251"/>
      <c r="AO1628" s="1736"/>
      <c r="AP1628" s="1737"/>
    </row>
    <row r="1629" spans="1:42" s="85" customFormat="1" ht="13.5" thickBot="1">
      <c r="A1629" s="240"/>
      <c r="B1629" s="241"/>
      <c r="C1629" s="242"/>
      <c r="D1629" s="242"/>
      <c r="E1629" s="243"/>
      <c r="F1629" s="244"/>
      <c r="G1629" s="244"/>
      <c r="H1629" s="243"/>
      <c r="I1629" s="258"/>
      <c r="J1629" s="245"/>
      <c r="K1629" s="245"/>
      <c r="L1629" s="76">
        <f t="shared" si="250"/>
        <v>0</v>
      </c>
      <c r="M1629" s="246"/>
      <c r="N1629" s="247"/>
      <c r="O1629" s="248"/>
      <c r="P1629" s="246"/>
      <c r="Q1629" s="249"/>
      <c r="R1629" s="250"/>
      <c r="S1629" s="259"/>
      <c r="T1629" s="260"/>
      <c r="U1629" s="250"/>
      <c r="V1629" s="78">
        <f t="shared" si="251"/>
        <v>0</v>
      </c>
      <c r="W1629" s="261">
        <f t="shared" si="252"/>
        <v>0</v>
      </c>
      <c r="X1629" s="133">
        <f t="shared" si="253"/>
        <v>0</v>
      </c>
      <c r="Y1629" s="251"/>
      <c r="Z1629" s="1736"/>
      <c r="AA1629" s="1737"/>
      <c r="AB1629" s="77">
        <f t="shared" si="254"/>
        <v>0</v>
      </c>
      <c r="AC1629" s="134">
        <f t="shared" si="255"/>
        <v>0</v>
      </c>
      <c r="AD1629" s="251"/>
      <c r="AE1629" s="1736"/>
      <c r="AF1629" s="1737"/>
      <c r="AG1629" s="77">
        <f t="shared" si="256"/>
        <v>0</v>
      </c>
      <c r="AH1629" s="136">
        <f t="shared" si="257"/>
        <v>0</v>
      </c>
      <c r="AI1629" s="251"/>
      <c r="AJ1629" s="1736"/>
      <c r="AK1629" s="1737"/>
      <c r="AL1629" s="79">
        <f t="shared" si="258"/>
        <v>0</v>
      </c>
      <c r="AM1629" s="137">
        <f t="shared" si="259"/>
        <v>0</v>
      </c>
      <c r="AN1629" s="251"/>
      <c r="AO1629" s="1736"/>
      <c r="AP1629" s="1737"/>
    </row>
    <row r="1630" spans="1:42" s="85" customFormat="1" ht="13.5" thickBot="1">
      <c r="A1630" s="240"/>
      <c r="B1630" s="241"/>
      <c r="C1630" s="242"/>
      <c r="D1630" s="242"/>
      <c r="E1630" s="243"/>
      <c r="F1630" s="244"/>
      <c r="G1630" s="244"/>
      <c r="H1630" s="243"/>
      <c r="I1630" s="258"/>
      <c r="J1630" s="245"/>
      <c r="K1630" s="245"/>
      <c r="L1630" s="76">
        <f t="shared" si="250"/>
        <v>0</v>
      </c>
      <c r="M1630" s="246"/>
      <c r="N1630" s="247"/>
      <c r="O1630" s="248"/>
      <c r="P1630" s="246"/>
      <c r="Q1630" s="249"/>
      <c r="R1630" s="250"/>
      <c r="S1630" s="259"/>
      <c r="T1630" s="260"/>
      <c r="U1630" s="250"/>
      <c r="V1630" s="78">
        <f t="shared" si="251"/>
        <v>0</v>
      </c>
      <c r="W1630" s="261">
        <f t="shared" si="252"/>
        <v>0</v>
      </c>
      <c r="X1630" s="133">
        <f t="shared" si="253"/>
        <v>0</v>
      </c>
      <c r="Y1630" s="251"/>
      <c r="Z1630" s="1736"/>
      <c r="AA1630" s="1737"/>
      <c r="AB1630" s="77">
        <f t="shared" si="254"/>
        <v>0</v>
      </c>
      <c r="AC1630" s="134">
        <f t="shared" si="255"/>
        <v>0</v>
      </c>
      <c r="AD1630" s="251"/>
      <c r="AE1630" s="1736"/>
      <c r="AF1630" s="1737"/>
      <c r="AG1630" s="77">
        <f t="shared" si="256"/>
        <v>0</v>
      </c>
      <c r="AH1630" s="136">
        <f t="shared" si="257"/>
        <v>0</v>
      </c>
      <c r="AI1630" s="251"/>
      <c r="AJ1630" s="1736"/>
      <c r="AK1630" s="1737"/>
      <c r="AL1630" s="79">
        <f t="shared" si="258"/>
        <v>0</v>
      </c>
      <c r="AM1630" s="137">
        <f t="shared" si="259"/>
        <v>0</v>
      </c>
      <c r="AN1630" s="251"/>
      <c r="AO1630" s="1736"/>
      <c r="AP1630" s="1737"/>
    </row>
    <row r="1631" spans="1:42" s="85" customFormat="1" ht="13.5" thickBot="1">
      <c r="A1631" s="240"/>
      <c r="B1631" s="241"/>
      <c r="C1631" s="242"/>
      <c r="D1631" s="242"/>
      <c r="E1631" s="243"/>
      <c r="F1631" s="244"/>
      <c r="G1631" s="244"/>
      <c r="H1631" s="243"/>
      <c r="I1631" s="258"/>
      <c r="J1631" s="245"/>
      <c r="K1631" s="245"/>
      <c r="L1631" s="76">
        <f t="shared" si="250"/>
        <v>0</v>
      </c>
      <c r="M1631" s="246"/>
      <c r="N1631" s="247"/>
      <c r="O1631" s="248"/>
      <c r="P1631" s="246"/>
      <c r="Q1631" s="249"/>
      <c r="R1631" s="250"/>
      <c r="S1631" s="259"/>
      <c r="T1631" s="260"/>
      <c r="U1631" s="250"/>
      <c r="V1631" s="78">
        <f t="shared" si="251"/>
        <v>0</v>
      </c>
      <c r="W1631" s="261">
        <f t="shared" si="252"/>
        <v>0</v>
      </c>
      <c r="X1631" s="133">
        <f t="shared" si="253"/>
        <v>0</v>
      </c>
      <c r="Y1631" s="251"/>
      <c r="Z1631" s="1736"/>
      <c r="AA1631" s="1737"/>
      <c r="AB1631" s="77">
        <f t="shared" si="254"/>
        <v>0</v>
      </c>
      <c r="AC1631" s="134">
        <f t="shared" si="255"/>
        <v>0</v>
      </c>
      <c r="AD1631" s="251"/>
      <c r="AE1631" s="1736"/>
      <c r="AF1631" s="1737"/>
      <c r="AG1631" s="77">
        <f t="shared" si="256"/>
        <v>0</v>
      </c>
      <c r="AH1631" s="136">
        <f t="shared" si="257"/>
        <v>0</v>
      </c>
      <c r="AI1631" s="251"/>
      <c r="AJ1631" s="1736"/>
      <c r="AK1631" s="1737"/>
      <c r="AL1631" s="79">
        <f t="shared" si="258"/>
        <v>0</v>
      </c>
      <c r="AM1631" s="137">
        <f t="shared" si="259"/>
        <v>0</v>
      </c>
      <c r="AN1631" s="251"/>
      <c r="AO1631" s="1736"/>
      <c r="AP1631" s="1737"/>
    </row>
    <row r="1632" spans="1:42" s="85" customFormat="1" ht="13.5" thickBot="1">
      <c r="A1632" s="240"/>
      <c r="B1632" s="241"/>
      <c r="C1632" s="242"/>
      <c r="D1632" s="242"/>
      <c r="E1632" s="243"/>
      <c r="F1632" s="244"/>
      <c r="G1632" s="244"/>
      <c r="H1632" s="243"/>
      <c r="I1632" s="258"/>
      <c r="J1632" s="245"/>
      <c r="K1632" s="245"/>
      <c r="L1632" s="76">
        <f t="shared" si="250"/>
        <v>0</v>
      </c>
      <c r="M1632" s="246"/>
      <c r="N1632" s="247"/>
      <c r="O1632" s="248"/>
      <c r="P1632" s="246"/>
      <c r="Q1632" s="249"/>
      <c r="R1632" s="250"/>
      <c r="S1632" s="259"/>
      <c r="T1632" s="260"/>
      <c r="U1632" s="250"/>
      <c r="V1632" s="78">
        <f t="shared" si="251"/>
        <v>0</v>
      </c>
      <c r="W1632" s="261">
        <f t="shared" si="252"/>
        <v>0</v>
      </c>
      <c r="X1632" s="133">
        <f t="shared" si="253"/>
        <v>0</v>
      </c>
      <c r="Y1632" s="251"/>
      <c r="Z1632" s="1736"/>
      <c r="AA1632" s="1737"/>
      <c r="AB1632" s="77">
        <f t="shared" si="254"/>
        <v>0</v>
      </c>
      <c r="AC1632" s="134">
        <f t="shared" si="255"/>
        <v>0</v>
      </c>
      <c r="AD1632" s="251"/>
      <c r="AE1632" s="1736"/>
      <c r="AF1632" s="1737"/>
      <c r="AG1632" s="77">
        <f t="shared" si="256"/>
        <v>0</v>
      </c>
      <c r="AH1632" s="136">
        <f t="shared" si="257"/>
        <v>0</v>
      </c>
      <c r="AI1632" s="251"/>
      <c r="AJ1632" s="1736"/>
      <c r="AK1632" s="1737"/>
      <c r="AL1632" s="79">
        <f t="shared" si="258"/>
        <v>0</v>
      </c>
      <c r="AM1632" s="137">
        <f t="shared" si="259"/>
        <v>0</v>
      </c>
      <c r="AN1632" s="251"/>
      <c r="AO1632" s="1736"/>
      <c r="AP1632" s="1737"/>
    </row>
    <row r="1633" spans="1:42" s="85" customFormat="1" ht="13.5" thickBot="1">
      <c r="A1633" s="240"/>
      <c r="B1633" s="241"/>
      <c r="C1633" s="242"/>
      <c r="D1633" s="242"/>
      <c r="E1633" s="243"/>
      <c r="F1633" s="244"/>
      <c r="G1633" s="244"/>
      <c r="H1633" s="243"/>
      <c r="I1633" s="258"/>
      <c r="J1633" s="245"/>
      <c r="K1633" s="245"/>
      <c r="L1633" s="76">
        <f t="shared" si="250"/>
        <v>0</v>
      </c>
      <c r="M1633" s="246"/>
      <c r="N1633" s="247"/>
      <c r="O1633" s="248"/>
      <c r="P1633" s="246"/>
      <c r="Q1633" s="249"/>
      <c r="R1633" s="250"/>
      <c r="S1633" s="259"/>
      <c r="T1633" s="260"/>
      <c r="U1633" s="250"/>
      <c r="V1633" s="78">
        <f t="shared" si="251"/>
        <v>0</v>
      </c>
      <c r="W1633" s="261">
        <f t="shared" si="252"/>
        <v>0</v>
      </c>
      <c r="X1633" s="133">
        <f t="shared" si="253"/>
        <v>0</v>
      </c>
      <c r="Y1633" s="251"/>
      <c r="Z1633" s="1736"/>
      <c r="AA1633" s="1737"/>
      <c r="AB1633" s="77">
        <f t="shared" si="254"/>
        <v>0</v>
      </c>
      <c r="AC1633" s="134">
        <f t="shared" si="255"/>
        <v>0</v>
      </c>
      <c r="AD1633" s="251"/>
      <c r="AE1633" s="1736"/>
      <c r="AF1633" s="1737"/>
      <c r="AG1633" s="77">
        <f t="shared" si="256"/>
        <v>0</v>
      </c>
      <c r="AH1633" s="136">
        <f t="shared" si="257"/>
        <v>0</v>
      </c>
      <c r="AI1633" s="251"/>
      <c r="AJ1633" s="1736"/>
      <c r="AK1633" s="1737"/>
      <c r="AL1633" s="79">
        <f t="shared" si="258"/>
        <v>0</v>
      </c>
      <c r="AM1633" s="137">
        <f t="shared" si="259"/>
        <v>0</v>
      </c>
      <c r="AN1633" s="251"/>
      <c r="AO1633" s="1736"/>
      <c r="AP1633" s="1737"/>
    </row>
    <row r="1634" spans="1:42" s="85" customFormat="1" ht="13.5" thickBot="1">
      <c r="A1634" s="240"/>
      <c r="B1634" s="241"/>
      <c r="C1634" s="242"/>
      <c r="D1634" s="242"/>
      <c r="E1634" s="243"/>
      <c r="F1634" s="244"/>
      <c r="G1634" s="244"/>
      <c r="H1634" s="243"/>
      <c r="I1634" s="258"/>
      <c r="J1634" s="245"/>
      <c r="K1634" s="245"/>
      <c r="L1634" s="76">
        <f t="shared" si="250"/>
        <v>0</v>
      </c>
      <c r="M1634" s="246"/>
      <c r="N1634" s="247"/>
      <c r="O1634" s="248"/>
      <c r="P1634" s="246"/>
      <c r="Q1634" s="249"/>
      <c r="R1634" s="250"/>
      <c r="S1634" s="259"/>
      <c r="T1634" s="260"/>
      <c r="U1634" s="250"/>
      <c r="V1634" s="78">
        <f t="shared" si="251"/>
        <v>0</v>
      </c>
      <c r="W1634" s="261">
        <f t="shared" si="252"/>
        <v>0</v>
      </c>
      <c r="X1634" s="133">
        <f t="shared" si="253"/>
        <v>0</v>
      </c>
      <c r="Y1634" s="251"/>
      <c r="Z1634" s="1736"/>
      <c r="AA1634" s="1737"/>
      <c r="AB1634" s="77">
        <f t="shared" si="254"/>
        <v>0</v>
      </c>
      <c r="AC1634" s="134">
        <f t="shared" si="255"/>
        <v>0</v>
      </c>
      <c r="AD1634" s="251"/>
      <c r="AE1634" s="1736"/>
      <c r="AF1634" s="1737"/>
      <c r="AG1634" s="77">
        <f t="shared" si="256"/>
        <v>0</v>
      </c>
      <c r="AH1634" s="136">
        <f t="shared" si="257"/>
        <v>0</v>
      </c>
      <c r="AI1634" s="251"/>
      <c r="AJ1634" s="1736"/>
      <c r="AK1634" s="1737"/>
      <c r="AL1634" s="79">
        <f t="shared" si="258"/>
        <v>0</v>
      </c>
      <c r="AM1634" s="137">
        <f t="shared" si="259"/>
        <v>0</v>
      </c>
      <c r="AN1634" s="251"/>
      <c r="AO1634" s="1736"/>
      <c r="AP1634" s="1737"/>
    </row>
    <row r="1635" spans="1:42" s="85" customFormat="1" ht="13.5" thickBot="1">
      <c r="A1635" s="240"/>
      <c r="B1635" s="241"/>
      <c r="C1635" s="242"/>
      <c r="D1635" s="242"/>
      <c r="E1635" s="243"/>
      <c r="F1635" s="244"/>
      <c r="G1635" s="244"/>
      <c r="H1635" s="243"/>
      <c r="I1635" s="258"/>
      <c r="J1635" s="245"/>
      <c r="K1635" s="245"/>
      <c r="L1635" s="76">
        <f t="shared" si="250"/>
        <v>0</v>
      </c>
      <c r="M1635" s="246"/>
      <c r="N1635" s="247"/>
      <c r="O1635" s="248"/>
      <c r="P1635" s="246"/>
      <c r="Q1635" s="249"/>
      <c r="R1635" s="250"/>
      <c r="S1635" s="259"/>
      <c r="T1635" s="260"/>
      <c r="U1635" s="250"/>
      <c r="V1635" s="78">
        <f t="shared" si="251"/>
        <v>0</v>
      </c>
      <c r="W1635" s="261">
        <f t="shared" si="252"/>
        <v>0</v>
      </c>
      <c r="X1635" s="133">
        <f t="shared" si="253"/>
        <v>0</v>
      </c>
      <c r="Y1635" s="251"/>
      <c r="Z1635" s="1736"/>
      <c r="AA1635" s="1737"/>
      <c r="AB1635" s="77">
        <f t="shared" si="254"/>
        <v>0</v>
      </c>
      <c r="AC1635" s="134">
        <f t="shared" si="255"/>
        <v>0</v>
      </c>
      <c r="AD1635" s="251"/>
      <c r="AE1635" s="1736"/>
      <c r="AF1635" s="1737"/>
      <c r="AG1635" s="77">
        <f t="shared" si="256"/>
        <v>0</v>
      </c>
      <c r="AH1635" s="136">
        <f t="shared" si="257"/>
        <v>0</v>
      </c>
      <c r="AI1635" s="251"/>
      <c r="AJ1635" s="1736"/>
      <c r="AK1635" s="1737"/>
      <c r="AL1635" s="79">
        <f t="shared" si="258"/>
        <v>0</v>
      </c>
      <c r="AM1635" s="137">
        <f t="shared" si="259"/>
        <v>0</v>
      </c>
      <c r="AN1635" s="251"/>
      <c r="AO1635" s="1736"/>
      <c r="AP1635" s="1737"/>
    </row>
    <row r="1636" spans="1:42" s="85" customFormat="1" ht="13.5" thickBot="1">
      <c r="A1636" s="240"/>
      <c r="B1636" s="241"/>
      <c r="C1636" s="242"/>
      <c r="D1636" s="242"/>
      <c r="E1636" s="243"/>
      <c r="F1636" s="244"/>
      <c r="G1636" s="244"/>
      <c r="H1636" s="243"/>
      <c r="I1636" s="258"/>
      <c r="J1636" s="245"/>
      <c r="K1636" s="245"/>
      <c r="L1636" s="76">
        <f t="shared" si="250"/>
        <v>0</v>
      </c>
      <c r="M1636" s="246"/>
      <c r="N1636" s="247"/>
      <c r="O1636" s="248"/>
      <c r="P1636" s="246"/>
      <c r="Q1636" s="249"/>
      <c r="R1636" s="250"/>
      <c r="S1636" s="259"/>
      <c r="T1636" s="260"/>
      <c r="U1636" s="250"/>
      <c r="V1636" s="78">
        <f t="shared" si="251"/>
        <v>0</v>
      </c>
      <c r="W1636" s="261">
        <f t="shared" si="252"/>
        <v>0</v>
      </c>
      <c r="X1636" s="133">
        <f t="shared" si="253"/>
        <v>0</v>
      </c>
      <c r="Y1636" s="251"/>
      <c r="Z1636" s="1736"/>
      <c r="AA1636" s="1737"/>
      <c r="AB1636" s="77">
        <f t="shared" si="254"/>
        <v>0</v>
      </c>
      <c r="AC1636" s="134">
        <f t="shared" si="255"/>
        <v>0</v>
      </c>
      <c r="AD1636" s="251"/>
      <c r="AE1636" s="1736"/>
      <c r="AF1636" s="1737"/>
      <c r="AG1636" s="77">
        <f t="shared" si="256"/>
        <v>0</v>
      </c>
      <c r="AH1636" s="136">
        <f t="shared" si="257"/>
        <v>0</v>
      </c>
      <c r="AI1636" s="251"/>
      <c r="AJ1636" s="1736"/>
      <c r="AK1636" s="1737"/>
      <c r="AL1636" s="79">
        <f t="shared" si="258"/>
        <v>0</v>
      </c>
      <c r="AM1636" s="137">
        <f t="shared" si="259"/>
        <v>0</v>
      </c>
      <c r="AN1636" s="251"/>
      <c r="AO1636" s="1736"/>
      <c r="AP1636" s="1737"/>
    </row>
    <row r="1637" spans="1:42" s="85" customFormat="1" ht="13.5" thickBot="1">
      <c r="A1637" s="240"/>
      <c r="B1637" s="241"/>
      <c r="C1637" s="242"/>
      <c r="D1637" s="242"/>
      <c r="E1637" s="243"/>
      <c r="F1637" s="244"/>
      <c r="G1637" s="244"/>
      <c r="H1637" s="243"/>
      <c r="I1637" s="258"/>
      <c r="J1637" s="245"/>
      <c r="K1637" s="245"/>
      <c r="L1637" s="76">
        <f t="shared" si="250"/>
        <v>0</v>
      </c>
      <c r="M1637" s="246"/>
      <c r="N1637" s="247"/>
      <c r="O1637" s="248"/>
      <c r="P1637" s="246"/>
      <c r="Q1637" s="249"/>
      <c r="R1637" s="250"/>
      <c r="S1637" s="259"/>
      <c r="T1637" s="260"/>
      <c r="U1637" s="250"/>
      <c r="V1637" s="78">
        <f t="shared" si="251"/>
        <v>0</v>
      </c>
      <c r="W1637" s="261">
        <f t="shared" si="252"/>
        <v>0</v>
      </c>
      <c r="X1637" s="133">
        <f t="shared" si="253"/>
        <v>0</v>
      </c>
      <c r="Y1637" s="251"/>
      <c r="Z1637" s="1736"/>
      <c r="AA1637" s="1737"/>
      <c r="AB1637" s="77">
        <f t="shared" si="254"/>
        <v>0</v>
      </c>
      <c r="AC1637" s="134">
        <f t="shared" si="255"/>
        <v>0</v>
      </c>
      <c r="AD1637" s="251"/>
      <c r="AE1637" s="1736"/>
      <c r="AF1637" s="1737"/>
      <c r="AG1637" s="77">
        <f t="shared" si="256"/>
        <v>0</v>
      </c>
      <c r="AH1637" s="136">
        <f t="shared" si="257"/>
        <v>0</v>
      </c>
      <c r="AI1637" s="251"/>
      <c r="AJ1637" s="1736"/>
      <c r="AK1637" s="1737"/>
      <c r="AL1637" s="79">
        <f t="shared" si="258"/>
        <v>0</v>
      </c>
      <c r="AM1637" s="137">
        <f t="shared" si="259"/>
        <v>0</v>
      </c>
      <c r="AN1637" s="251"/>
      <c r="AO1637" s="1736"/>
      <c r="AP1637" s="1737"/>
    </row>
    <row r="1638" spans="1:42" s="85" customFormat="1" ht="13.5" thickBot="1">
      <c r="A1638" s="240"/>
      <c r="B1638" s="241"/>
      <c r="C1638" s="242"/>
      <c r="D1638" s="242"/>
      <c r="E1638" s="243"/>
      <c r="F1638" s="244"/>
      <c r="G1638" s="244"/>
      <c r="H1638" s="243"/>
      <c r="I1638" s="258"/>
      <c r="J1638" s="245"/>
      <c r="K1638" s="245"/>
      <c r="L1638" s="76">
        <f t="shared" si="250"/>
        <v>0</v>
      </c>
      <c r="M1638" s="246"/>
      <c r="N1638" s="247"/>
      <c r="O1638" s="248"/>
      <c r="P1638" s="246"/>
      <c r="Q1638" s="249"/>
      <c r="R1638" s="250"/>
      <c r="S1638" s="259"/>
      <c r="T1638" s="260"/>
      <c r="U1638" s="250"/>
      <c r="V1638" s="78">
        <f t="shared" si="251"/>
        <v>0</v>
      </c>
      <c r="W1638" s="261">
        <f t="shared" si="252"/>
        <v>0</v>
      </c>
      <c r="X1638" s="133">
        <f t="shared" si="253"/>
        <v>0</v>
      </c>
      <c r="Y1638" s="251"/>
      <c r="Z1638" s="1736"/>
      <c r="AA1638" s="1737"/>
      <c r="AB1638" s="77">
        <f t="shared" si="254"/>
        <v>0</v>
      </c>
      <c r="AC1638" s="134">
        <f t="shared" si="255"/>
        <v>0</v>
      </c>
      <c r="AD1638" s="251"/>
      <c r="AE1638" s="1736"/>
      <c r="AF1638" s="1737"/>
      <c r="AG1638" s="77">
        <f t="shared" si="256"/>
        <v>0</v>
      </c>
      <c r="AH1638" s="136">
        <f t="shared" si="257"/>
        <v>0</v>
      </c>
      <c r="AI1638" s="251"/>
      <c r="AJ1638" s="1736"/>
      <c r="AK1638" s="1737"/>
      <c r="AL1638" s="79">
        <f t="shared" si="258"/>
        <v>0</v>
      </c>
      <c r="AM1638" s="137">
        <f t="shared" si="259"/>
        <v>0</v>
      </c>
      <c r="AN1638" s="251"/>
      <c r="AO1638" s="1736"/>
      <c r="AP1638" s="1737"/>
    </row>
    <row r="1639" spans="1:42" s="85" customFormat="1" ht="13.5" thickBot="1">
      <c r="A1639" s="240"/>
      <c r="B1639" s="241"/>
      <c r="C1639" s="242"/>
      <c r="D1639" s="242"/>
      <c r="E1639" s="243"/>
      <c r="F1639" s="244"/>
      <c r="G1639" s="244"/>
      <c r="H1639" s="243"/>
      <c r="I1639" s="258"/>
      <c r="J1639" s="245"/>
      <c r="K1639" s="245"/>
      <c r="L1639" s="76">
        <f t="shared" si="250"/>
        <v>0</v>
      </c>
      <c r="M1639" s="246"/>
      <c r="N1639" s="247"/>
      <c r="O1639" s="248"/>
      <c r="P1639" s="246"/>
      <c r="Q1639" s="249"/>
      <c r="R1639" s="250"/>
      <c r="S1639" s="259"/>
      <c r="T1639" s="260"/>
      <c r="U1639" s="250"/>
      <c r="V1639" s="78">
        <f t="shared" si="251"/>
        <v>0</v>
      </c>
      <c r="W1639" s="261">
        <f t="shared" si="252"/>
        <v>0</v>
      </c>
      <c r="X1639" s="133">
        <f t="shared" si="253"/>
        <v>0</v>
      </c>
      <c r="Y1639" s="251"/>
      <c r="Z1639" s="1736"/>
      <c r="AA1639" s="1737"/>
      <c r="AB1639" s="77">
        <f t="shared" si="254"/>
        <v>0</v>
      </c>
      <c r="AC1639" s="134">
        <f t="shared" si="255"/>
        <v>0</v>
      </c>
      <c r="AD1639" s="251"/>
      <c r="AE1639" s="1736"/>
      <c r="AF1639" s="1737"/>
      <c r="AG1639" s="77">
        <f t="shared" si="256"/>
        <v>0</v>
      </c>
      <c r="AH1639" s="136">
        <f t="shared" si="257"/>
        <v>0</v>
      </c>
      <c r="AI1639" s="251"/>
      <c r="AJ1639" s="1736"/>
      <c r="AK1639" s="1737"/>
      <c r="AL1639" s="79">
        <f t="shared" si="258"/>
        <v>0</v>
      </c>
      <c r="AM1639" s="137">
        <f t="shared" si="259"/>
        <v>0</v>
      </c>
      <c r="AN1639" s="251"/>
      <c r="AO1639" s="1736"/>
      <c r="AP1639" s="1737"/>
    </row>
    <row r="1640" spans="1:42" s="85" customFormat="1" ht="13.5" thickBot="1">
      <c r="A1640" s="240"/>
      <c r="B1640" s="241"/>
      <c r="C1640" s="242"/>
      <c r="D1640" s="242"/>
      <c r="E1640" s="243"/>
      <c r="F1640" s="244"/>
      <c r="G1640" s="244"/>
      <c r="H1640" s="243"/>
      <c r="I1640" s="258"/>
      <c r="J1640" s="245"/>
      <c r="K1640" s="245"/>
      <c r="L1640" s="76">
        <f t="shared" si="250"/>
        <v>0</v>
      </c>
      <c r="M1640" s="246"/>
      <c r="N1640" s="247"/>
      <c r="O1640" s="248"/>
      <c r="P1640" s="246"/>
      <c r="Q1640" s="249"/>
      <c r="R1640" s="250"/>
      <c r="S1640" s="259"/>
      <c r="T1640" s="260"/>
      <c r="U1640" s="250"/>
      <c r="V1640" s="78">
        <f t="shared" si="251"/>
        <v>0</v>
      </c>
      <c r="W1640" s="261">
        <f t="shared" si="252"/>
        <v>0</v>
      </c>
      <c r="X1640" s="133">
        <f t="shared" si="253"/>
        <v>0</v>
      </c>
      <c r="Y1640" s="251"/>
      <c r="Z1640" s="1736"/>
      <c r="AA1640" s="1737"/>
      <c r="AB1640" s="77">
        <f t="shared" si="254"/>
        <v>0</v>
      </c>
      <c r="AC1640" s="134">
        <f t="shared" si="255"/>
        <v>0</v>
      </c>
      <c r="AD1640" s="251"/>
      <c r="AE1640" s="1736"/>
      <c r="AF1640" s="1737"/>
      <c r="AG1640" s="77">
        <f t="shared" si="256"/>
        <v>0</v>
      </c>
      <c r="AH1640" s="136">
        <f t="shared" si="257"/>
        <v>0</v>
      </c>
      <c r="AI1640" s="251"/>
      <c r="AJ1640" s="1736"/>
      <c r="AK1640" s="1737"/>
      <c r="AL1640" s="79">
        <f t="shared" si="258"/>
        <v>0</v>
      </c>
      <c r="AM1640" s="137">
        <f t="shared" si="259"/>
        <v>0</v>
      </c>
      <c r="AN1640" s="251"/>
      <c r="AO1640" s="1736"/>
      <c r="AP1640" s="1737"/>
    </row>
    <row r="1641" spans="1:42" s="85" customFormat="1" ht="13.5" thickBot="1">
      <c r="A1641" s="240"/>
      <c r="B1641" s="241"/>
      <c r="C1641" s="242"/>
      <c r="D1641" s="242"/>
      <c r="E1641" s="243"/>
      <c r="F1641" s="244"/>
      <c r="G1641" s="244"/>
      <c r="H1641" s="243"/>
      <c r="I1641" s="258"/>
      <c r="J1641" s="245"/>
      <c r="K1641" s="245"/>
      <c r="L1641" s="76">
        <f t="shared" si="250"/>
        <v>0</v>
      </c>
      <c r="M1641" s="246"/>
      <c r="N1641" s="247"/>
      <c r="O1641" s="248"/>
      <c r="P1641" s="246"/>
      <c r="Q1641" s="249"/>
      <c r="R1641" s="250"/>
      <c r="S1641" s="259"/>
      <c r="T1641" s="260"/>
      <c r="U1641" s="250"/>
      <c r="V1641" s="78">
        <f t="shared" si="251"/>
        <v>0</v>
      </c>
      <c r="W1641" s="261">
        <f t="shared" si="252"/>
        <v>0</v>
      </c>
      <c r="X1641" s="133">
        <f t="shared" si="253"/>
        <v>0</v>
      </c>
      <c r="Y1641" s="251"/>
      <c r="Z1641" s="1736"/>
      <c r="AA1641" s="1737"/>
      <c r="AB1641" s="77">
        <f t="shared" si="254"/>
        <v>0</v>
      </c>
      <c r="AC1641" s="134">
        <f t="shared" si="255"/>
        <v>0</v>
      </c>
      <c r="AD1641" s="251"/>
      <c r="AE1641" s="1736"/>
      <c r="AF1641" s="1737"/>
      <c r="AG1641" s="77">
        <f t="shared" si="256"/>
        <v>0</v>
      </c>
      <c r="AH1641" s="136">
        <f t="shared" si="257"/>
        <v>0</v>
      </c>
      <c r="AI1641" s="251"/>
      <c r="AJ1641" s="1736"/>
      <c r="AK1641" s="1737"/>
      <c r="AL1641" s="79">
        <f t="shared" si="258"/>
        <v>0</v>
      </c>
      <c r="AM1641" s="137">
        <f t="shared" si="259"/>
        <v>0</v>
      </c>
      <c r="AN1641" s="251"/>
      <c r="AO1641" s="1736"/>
      <c r="AP1641" s="1737"/>
    </row>
    <row r="1642" spans="1:42" s="85" customFormat="1" ht="13.5" thickBot="1">
      <c r="A1642" s="240"/>
      <c r="B1642" s="241"/>
      <c r="C1642" s="242"/>
      <c r="D1642" s="242"/>
      <c r="E1642" s="243"/>
      <c r="F1642" s="244"/>
      <c r="G1642" s="244"/>
      <c r="H1642" s="243"/>
      <c r="I1642" s="258"/>
      <c r="J1642" s="245"/>
      <c r="K1642" s="245"/>
      <c r="L1642" s="76">
        <f t="shared" si="250"/>
        <v>0</v>
      </c>
      <c r="M1642" s="246"/>
      <c r="N1642" s="247"/>
      <c r="O1642" s="248"/>
      <c r="P1642" s="246"/>
      <c r="Q1642" s="249"/>
      <c r="R1642" s="250"/>
      <c r="S1642" s="259"/>
      <c r="T1642" s="260"/>
      <c r="U1642" s="250"/>
      <c r="V1642" s="78">
        <f t="shared" si="251"/>
        <v>0</v>
      </c>
      <c r="W1642" s="261">
        <f t="shared" si="252"/>
        <v>0</v>
      </c>
      <c r="X1642" s="133">
        <f t="shared" si="253"/>
        <v>0</v>
      </c>
      <c r="Y1642" s="251"/>
      <c r="Z1642" s="1736"/>
      <c r="AA1642" s="1737"/>
      <c r="AB1642" s="77">
        <f t="shared" si="254"/>
        <v>0</v>
      </c>
      <c r="AC1642" s="134">
        <f t="shared" si="255"/>
        <v>0</v>
      </c>
      <c r="AD1642" s="251"/>
      <c r="AE1642" s="1736"/>
      <c r="AF1642" s="1737"/>
      <c r="AG1642" s="77">
        <f t="shared" si="256"/>
        <v>0</v>
      </c>
      <c r="AH1642" s="136">
        <f t="shared" si="257"/>
        <v>0</v>
      </c>
      <c r="AI1642" s="251"/>
      <c r="AJ1642" s="1736"/>
      <c r="AK1642" s="1737"/>
      <c r="AL1642" s="79">
        <f t="shared" si="258"/>
        <v>0</v>
      </c>
      <c r="AM1642" s="137">
        <f t="shared" si="259"/>
        <v>0</v>
      </c>
      <c r="AN1642" s="251"/>
      <c r="AO1642" s="1736"/>
      <c r="AP1642" s="1737"/>
    </row>
    <row r="1643" spans="1:42" s="85" customFormat="1" ht="13.5" thickBot="1">
      <c r="A1643" s="240"/>
      <c r="B1643" s="241"/>
      <c r="C1643" s="242"/>
      <c r="D1643" s="242"/>
      <c r="E1643" s="243"/>
      <c r="F1643" s="244"/>
      <c r="G1643" s="244"/>
      <c r="H1643" s="243"/>
      <c r="I1643" s="258"/>
      <c r="J1643" s="245"/>
      <c r="K1643" s="245"/>
      <c r="L1643" s="76">
        <f t="shared" si="250"/>
        <v>0</v>
      </c>
      <c r="M1643" s="246"/>
      <c r="N1643" s="247"/>
      <c r="O1643" s="248"/>
      <c r="P1643" s="246"/>
      <c r="Q1643" s="249"/>
      <c r="R1643" s="250"/>
      <c r="S1643" s="259"/>
      <c r="T1643" s="260"/>
      <c r="U1643" s="250"/>
      <c r="V1643" s="78">
        <f t="shared" si="251"/>
        <v>0</v>
      </c>
      <c r="W1643" s="261">
        <f t="shared" si="252"/>
        <v>0</v>
      </c>
      <c r="X1643" s="133">
        <f t="shared" si="253"/>
        <v>0</v>
      </c>
      <c r="Y1643" s="251"/>
      <c r="Z1643" s="1736"/>
      <c r="AA1643" s="1737"/>
      <c r="AB1643" s="77">
        <f t="shared" si="254"/>
        <v>0</v>
      </c>
      <c r="AC1643" s="134">
        <f t="shared" si="255"/>
        <v>0</v>
      </c>
      <c r="AD1643" s="251"/>
      <c r="AE1643" s="1736"/>
      <c r="AF1643" s="1737"/>
      <c r="AG1643" s="77">
        <f t="shared" si="256"/>
        <v>0</v>
      </c>
      <c r="AH1643" s="136">
        <f t="shared" si="257"/>
        <v>0</v>
      </c>
      <c r="AI1643" s="251"/>
      <c r="AJ1643" s="1736"/>
      <c r="AK1643" s="1737"/>
      <c r="AL1643" s="79">
        <f t="shared" si="258"/>
        <v>0</v>
      </c>
      <c r="AM1643" s="137">
        <f t="shared" si="259"/>
        <v>0</v>
      </c>
      <c r="AN1643" s="251"/>
      <c r="AO1643" s="1736"/>
      <c r="AP1643" s="1737"/>
    </row>
    <row r="1644" spans="1:42" s="85" customFormat="1" ht="13.5" thickBot="1">
      <c r="A1644" s="240"/>
      <c r="B1644" s="241"/>
      <c r="C1644" s="242"/>
      <c r="D1644" s="242"/>
      <c r="E1644" s="243"/>
      <c r="F1644" s="244"/>
      <c r="G1644" s="244"/>
      <c r="H1644" s="243"/>
      <c r="I1644" s="258"/>
      <c r="J1644" s="245"/>
      <c r="K1644" s="245"/>
      <c r="L1644" s="76">
        <f t="shared" si="250"/>
        <v>0</v>
      </c>
      <c r="M1644" s="246"/>
      <c r="N1644" s="247"/>
      <c r="O1644" s="248"/>
      <c r="P1644" s="246"/>
      <c r="Q1644" s="249"/>
      <c r="R1644" s="250"/>
      <c r="S1644" s="259"/>
      <c r="T1644" s="260"/>
      <c r="U1644" s="250"/>
      <c r="V1644" s="78">
        <f t="shared" si="251"/>
        <v>0</v>
      </c>
      <c r="W1644" s="261">
        <f t="shared" si="252"/>
        <v>0</v>
      </c>
      <c r="X1644" s="133">
        <f t="shared" si="253"/>
        <v>0</v>
      </c>
      <c r="Y1644" s="251"/>
      <c r="Z1644" s="1736"/>
      <c r="AA1644" s="1737"/>
      <c r="AB1644" s="77">
        <f t="shared" si="254"/>
        <v>0</v>
      </c>
      <c r="AC1644" s="134">
        <f t="shared" si="255"/>
        <v>0</v>
      </c>
      <c r="AD1644" s="251"/>
      <c r="AE1644" s="1736"/>
      <c r="AF1644" s="1737"/>
      <c r="AG1644" s="77">
        <f t="shared" si="256"/>
        <v>0</v>
      </c>
      <c r="AH1644" s="136">
        <f t="shared" si="257"/>
        <v>0</v>
      </c>
      <c r="AI1644" s="251"/>
      <c r="AJ1644" s="1736"/>
      <c r="AK1644" s="1737"/>
      <c r="AL1644" s="79">
        <f t="shared" si="258"/>
        <v>0</v>
      </c>
      <c r="AM1644" s="137">
        <f t="shared" si="259"/>
        <v>0</v>
      </c>
      <c r="AN1644" s="251"/>
      <c r="AO1644" s="1736"/>
      <c r="AP1644" s="1737"/>
    </row>
    <row r="1645" spans="1:42" s="85" customFormat="1" ht="13.5" thickBot="1">
      <c r="A1645" s="240"/>
      <c r="B1645" s="241"/>
      <c r="C1645" s="242"/>
      <c r="D1645" s="242"/>
      <c r="E1645" s="243"/>
      <c r="F1645" s="244"/>
      <c r="G1645" s="244"/>
      <c r="H1645" s="243"/>
      <c r="I1645" s="258"/>
      <c r="J1645" s="245"/>
      <c r="K1645" s="245"/>
      <c r="L1645" s="76">
        <f t="shared" si="250"/>
        <v>0</v>
      </c>
      <c r="M1645" s="246"/>
      <c r="N1645" s="247"/>
      <c r="O1645" s="248"/>
      <c r="P1645" s="246"/>
      <c r="Q1645" s="249"/>
      <c r="R1645" s="250"/>
      <c r="S1645" s="259"/>
      <c r="T1645" s="260"/>
      <c r="U1645" s="250"/>
      <c r="V1645" s="78">
        <f t="shared" si="251"/>
        <v>0</v>
      </c>
      <c r="W1645" s="261">
        <f t="shared" si="252"/>
        <v>0</v>
      </c>
      <c r="X1645" s="133">
        <f t="shared" si="253"/>
        <v>0</v>
      </c>
      <c r="Y1645" s="251"/>
      <c r="Z1645" s="1736"/>
      <c r="AA1645" s="1737"/>
      <c r="AB1645" s="77">
        <f t="shared" si="254"/>
        <v>0</v>
      </c>
      <c r="AC1645" s="134">
        <f t="shared" si="255"/>
        <v>0</v>
      </c>
      <c r="AD1645" s="251"/>
      <c r="AE1645" s="1736"/>
      <c r="AF1645" s="1737"/>
      <c r="AG1645" s="77">
        <f t="shared" si="256"/>
        <v>0</v>
      </c>
      <c r="AH1645" s="136">
        <f t="shared" si="257"/>
        <v>0</v>
      </c>
      <c r="AI1645" s="251"/>
      <c r="AJ1645" s="1736"/>
      <c r="AK1645" s="1737"/>
      <c r="AL1645" s="79">
        <f t="shared" si="258"/>
        <v>0</v>
      </c>
      <c r="AM1645" s="137">
        <f t="shared" si="259"/>
        <v>0</v>
      </c>
      <c r="AN1645" s="251"/>
      <c r="AO1645" s="1736"/>
      <c r="AP1645" s="1737"/>
    </row>
    <row r="1646" spans="1:42" s="85" customFormat="1" ht="13.5" thickBot="1">
      <c r="A1646" s="240"/>
      <c r="B1646" s="241"/>
      <c r="C1646" s="242"/>
      <c r="D1646" s="242"/>
      <c r="E1646" s="243"/>
      <c r="F1646" s="244"/>
      <c r="G1646" s="244"/>
      <c r="H1646" s="243"/>
      <c r="I1646" s="258"/>
      <c r="J1646" s="245"/>
      <c r="K1646" s="245"/>
      <c r="L1646" s="76">
        <f t="shared" si="250"/>
        <v>0</v>
      </c>
      <c r="M1646" s="246"/>
      <c r="N1646" s="247"/>
      <c r="O1646" s="248"/>
      <c r="P1646" s="246"/>
      <c r="Q1646" s="249"/>
      <c r="R1646" s="250"/>
      <c r="S1646" s="259"/>
      <c r="T1646" s="260"/>
      <c r="U1646" s="250"/>
      <c r="V1646" s="78">
        <f t="shared" si="251"/>
        <v>0</v>
      </c>
      <c r="W1646" s="261">
        <f t="shared" si="252"/>
        <v>0</v>
      </c>
      <c r="X1646" s="133">
        <f t="shared" si="253"/>
        <v>0</v>
      </c>
      <c r="Y1646" s="251"/>
      <c r="Z1646" s="1736"/>
      <c r="AA1646" s="1737"/>
      <c r="AB1646" s="77">
        <f t="shared" si="254"/>
        <v>0</v>
      </c>
      <c r="AC1646" s="134">
        <f t="shared" si="255"/>
        <v>0</v>
      </c>
      <c r="AD1646" s="251"/>
      <c r="AE1646" s="1736"/>
      <c r="AF1646" s="1737"/>
      <c r="AG1646" s="77">
        <f t="shared" si="256"/>
        <v>0</v>
      </c>
      <c r="AH1646" s="136">
        <f t="shared" si="257"/>
        <v>0</v>
      </c>
      <c r="AI1646" s="251"/>
      <c r="AJ1646" s="1736"/>
      <c r="AK1646" s="1737"/>
      <c r="AL1646" s="79">
        <f t="shared" si="258"/>
        <v>0</v>
      </c>
      <c r="AM1646" s="137">
        <f t="shared" si="259"/>
        <v>0</v>
      </c>
      <c r="AN1646" s="251"/>
      <c r="AO1646" s="1736"/>
      <c r="AP1646" s="1737"/>
    </row>
    <row r="1647" spans="1:42" s="85" customFormat="1" ht="13.5" thickBot="1">
      <c r="A1647" s="240"/>
      <c r="B1647" s="241"/>
      <c r="C1647" s="242"/>
      <c r="D1647" s="242"/>
      <c r="E1647" s="243"/>
      <c r="F1647" s="244"/>
      <c r="G1647" s="244"/>
      <c r="H1647" s="243"/>
      <c r="I1647" s="258"/>
      <c r="J1647" s="245"/>
      <c r="K1647" s="245"/>
      <c r="L1647" s="76">
        <f t="shared" si="250"/>
        <v>0</v>
      </c>
      <c r="M1647" s="246"/>
      <c r="N1647" s="247"/>
      <c r="O1647" s="248"/>
      <c r="P1647" s="246"/>
      <c r="Q1647" s="249"/>
      <c r="R1647" s="250"/>
      <c r="S1647" s="259"/>
      <c r="T1647" s="260"/>
      <c r="U1647" s="250"/>
      <c r="V1647" s="78">
        <f t="shared" si="251"/>
        <v>0</v>
      </c>
      <c r="W1647" s="261">
        <f t="shared" si="252"/>
        <v>0</v>
      </c>
      <c r="X1647" s="133">
        <f t="shared" si="253"/>
        <v>0</v>
      </c>
      <c r="Y1647" s="251"/>
      <c r="Z1647" s="1736"/>
      <c r="AA1647" s="1737"/>
      <c r="AB1647" s="77">
        <f t="shared" si="254"/>
        <v>0</v>
      </c>
      <c r="AC1647" s="134">
        <f t="shared" si="255"/>
        <v>0</v>
      </c>
      <c r="AD1647" s="251"/>
      <c r="AE1647" s="1736"/>
      <c r="AF1647" s="1737"/>
      <c r="AG1647" s="77">
        <f t="shared" si="256"/>
        <v>0</v>
      </c>
      <c r="AH1647" s="136">
        <f t="shared" si="257"/>
        <v>0</v>
      </c>
      <c r="AI1647" s="251"/>
      <c r="AJ1647" s="1736"/>
      <c r="AK1647" s="1737"/>
      <c r="AL1647" s="79">
        <f t="shared" si="258"/>
        <v>0</v>
      </c>
      <c r="AM1647" s="137">
        <f t="shared" si="259"/>
        <v>0</v>
      </c>
      <c r="AN1647" s="251"/>
      <c r="AO1647" s="1736"/>
      <c r="AP1647" s="1737"/>
    </row>
    <row r="1648" spans="1:42" s="85" customFormat="1" ht="13.5" thickBot="1">
      <c r="A1648" s="240"/>
      <c r="B1648" s="241"/>
      <c r="C1648" s="242"/>
      <c r="D1648" s="242"/>
      <c r="E1648" s="243"/>
      <c r="F1648" s="244"/>
      <c r="G1648" s="244"/>
      <c r="H1648" s="243"/>
      <c r="I1648" s="258"/>
      <c r="J1648" s="245"/>
      <c r="K1648" s="245"/>
      <c r="L1648" s="76">
        <f t="shared" si="250"/>
        <v>0</v>
      </c>
      <c r="M1648" s="246"/>
      <c r="N1648" s="247"/>
      <c r="O1648" s="248"/>
      <c r="P1648" s="246"/>
      <c r="Q1648" s="249"/>
      <c r="R1648" s="250"/>
      <c r="S1648" s="259"/>
      <c r="T1648" s="260"/>
      <c r="U1648" s="250"/>
      <c r="V1648" s="78">
        <f t="shared" si="251"/>
        <v>0</v>
      </c>
      <c r="W1648" s="261">
        <f t="shared" si="252"/>
        <v>0</v>
      </c>
      <c r="X1648" s="133">
        <f t="shared" si="253"/>
        <v>0</v>
      </c>
      <c r="Y1648" s="251"/>
      <c r="Z1648" s="1736"/>
      <c r="AA1648" s="1737"/>
      <c r="AB1648" s="77">
        <f t="shared" si="254"/>
        <v>0</v>
      </c>
      <c r="AC1648" s="134">
        <f t="shared" si="255"/>
        <v>0</v>
      </c>
      <c r="AD1648" s="251"/>
      <c r="AE1648" s="1736"/>
      <c r="AF1648" s="1737"/>
      <c r="AG1648" s="77">
        <f t="shared" si="256"/>
        <v>0</v>
      </c>
      <c r="AH1648" s="136">
        <f t="shared" si="257"/>
        <v>0</v>
      </c>
      <c r="AI1648" s="251"/>
      <c r="AJ1648" s="1736"/>
      <c r="AK1648" s="1737"/>
      <c r="AL1648" s="79">
        <f t="shared" si="258"/>
        <v>0</v>
      </c>
      <c r="AM1648" s="137">
        <f t="shared" si="259"/>
        <v>0</v>
      </c>
      <c r="AN1648" s="251"/>
      <c r="AO1648" s="1736"/>
      <c r="AP1648" s="1737"/>
    </row>
    <row r="1649" spans="1:42" s="85" customFormat="1" ht="13.5" thickBot="1">
      <c r="A1649" s="240"/>
      <c r="B1649" s="241"/>
      <c r="C1649" s="242"/>
      <c r="D1649" s="242"/>
      <c r="E1649" s="243"/>
      <c r="F1649" s="244"/>
      <c r="G1649" s="244"/>
      <c r="H1649" s="243"/>
      <c r="I1649" s="258"/>
      <c r="J1649" s="245"/>
      <c r="K1649" s="245"/>
      <c r="L1649" s="76">
        <f t="shared" si="250"/>
        <v>0</v>
      </c>
      <c r="M1649" s="246"/>
      <c r="N1649" s="247"/>
      <c r="O1649" s="248"/>
      <c r="P1649" s="246"/>
      <c r="Q1649" s="249"/>
      <c r="R1649" s="250"/>
      <c r="S1649" s="259"/>
      <c r="T1649" s="260"/>
      <c r="U1649" s="250"/>
      <c r="V1649" s="78">
        <f t="shared" si="251"/>
        <v>0</v>
      </c>
      <c r="W1649" s="261">
        <f t="shared" si="252"/>
        <v>0</v>
      </c>
      <c r="X1649" s="133">
        <f t="shared" si="253"/>
        <v>0</v>
      </c>
      <c r="Y1649" s="251"/>
      <c r="Z1649" s="1736"/>
      <c r="AA1649" s="1737"/>
      <c r="AB1649" s="77">
        <f t="shared" si="254"/>
        <v>0</v>
      </c>
      <c r="AC1649" s="134">
        <f t="shared" si="255"/>
        <v>0</v>
      </c>
      <c r="AD1649" s="251"/>
      <c r="AE1649" s="1736"/>
      <c r="AF1649" s="1737"/>
      <c r="AG1649" s="77">
        <f t="shared" si="256"/>
        <v>0</v>
      </c>
      <c r="AH1649" s="136">
        <f t="shared" si="257"/>
        <v>0</v>
      </c>
      <c r="AI1649" s="251"/>
      <c r="AJ1649" s="1736"/>
      <c r="AK1649" s="1737"/>
      <c r="AL1649" s="79">
        <f t="shared" si="258"/>
        <v>0</v>
      </c>
      <c r="AM1649" s="137">
        <f t="shared" si="259"/>
        <v>0</v>
      </c>
      <c r="AN1649" s="251"/>
      <c r="AO1649" s="1736"/>
      <c r="AP1649" s="1737"/>
    </row>
    <row r="1650" spans="1:42" s="85" customFormat="1" ht="13.5" thickBot="1">
      <c r="A1650" s="240"/>
      <c r="B1650" s="241"/>
      <c r="C1650" s="242"/>
      <c r="D1650" s="242"/>
      <c r="E1650" s="243"/>
      <c r="F1650" s="244"/>
      <c r="G1650" s="244"/>
      <c r="H1650" s="243"/>
      <c r="I1650" s="258"/>
      <c r="J1650" s="245"/>
      <c r="K1650" s="245"/>
      <c r="L1650" s="76">
        <f t="shared" si="250"/>
        <v>0</v>
      </c>
      <c r="M1650" s="246"/>
      <c r="N1650" s="247"/>
      <c r="O1650" s="248"/>
      <c r="P1650" s="246"/>
      <c r="Q1650" s="249"/>
      <c r="R1650" s="250"/>
      <c r="S1650" s="259"/>
      <c r="T1650" s="260"/>
      <c r="U1650" s="250"/>
      <c r="V1650" s="78">
        <f t="shared" si="251"/>
        <v>0</v>
      </c>
      <c r="W1650" s="261">
        <f t="shared" si="252"/>
        <v>0</v>
      </c>
      <c r="X1650" s="133">
        <f t="shared" si="253"/>
        <v>0</v>
      </c>
      <c r="Y1650" s="251"/>
      <c r="Z1650" s="1736"/>
      <c r="AA1650" s="1737"/>
      <c r="AB1650" s="77">
        <f t="shared" si="254"/>
        <v>0</v>
      </c>
      <c r="AC1650" s="134">
        <f t="shared" si="255"/>
        <v>0</v>
      </c>
      <c r="AD1650" s="251"/>
      <c r="AE1650" s="1736"/>
      <c r="AF1650" s="1737"/>
      <c r="AG1650" s="77">
        <f t="shared" si="256"/>
        <v>0</v>
      </c>
      <c r="AH1650" s="136">
        <f t="shared" si="257"/>
        <v>0</v>
      </c>
      <c r="AI1650" s="251"/>
      <c r="AJ1650" s="1736"/>
      <c r="AK1650" s="1737"/>
      <c r="AL1650" s="79">
        <f t="shared" si="258"/>
        <v>0</v>
      </c>
      <c r="AM1650" s="137">
        <f t="shared" si="259"/>
        <v>0</v>
      </c>
      <c r="AN1650" s="251"/>
      <c r="AO1650" s="1736"/>
      <c r="AP1650" s="1737"/>
    </row>
    <row r="1651" spans="1:42" s="85" customFormat="1" ht="13.5" thickBot="1">
      <c r="A1651" s="240"/>
      <c r="B1651" s="241"/>
      <c r="C1651" s="242"/>
      <c r="D1651" s="242"/>
      <c r="E1651" s="243"/>
      <c r="F1651" s="244"/>
      <c r="G1651" s="244"/>
      <c r="H1651" s="243"/>
      <c r="I1651" s="258"/>
      <c r="J1651" s="245"/>
      <c r="K1651" s="245"/>
      <c r="L1651" s="76">
        <f t="shared" si="250"/>
        <v>0</v>
      </c>
      <c r="M1651" s="246"/>
      <c r="N1651" s="247"/>
      <c r="O1651" s="248"/>
      <c r="P1651" s="246"/>
      <c r="Q1651" s="249"/>
      <c r="R1651" s="250"/>
      <c r="S1651" s="259"/>
      <c r="T1651" s="260"/>
      <c r="U1651" s="250"/>
      <c r="V1651" s="78">
        <f t="shared" si="251"/>
        <v>0</v>
      </c>
      <c r="W1651" s="261">
        <f t="shared" si="252"/>
        <v>0</v>
      </c>
      <c r="X1651" s="133">
        <f t="shared" si="253"/>
        <v>0</v>
      </c>
      <c r="Y1651" s="251"/>
      <c r="Z1651" s="1736"/>
      <c r="AA1651" s="1737"/>
      <c r="AB1651" s="77">
        <f t="shared" si="254"/>
        <v>0</v>
      </c>
      <c r="AC1651" s="134">
        <f t="shared" si="255"/>
        <v>0</v>
      </c>
      <c r="AD1651" s="251"/>
      <c r="AE1651" s="1736"/>
      <c r="AF1651" s="1737"/>
      <c r="AG1651" s="77">
        <f t="shared" si="256"/>
        <v>0</v>
      </c>
      <c r="AH1651" s="136">
        <f t="shared" si="257"/>
        <v>0</v>
      </c>
      <c r="AI1651" s="251"/>
      <c r="AJ1651" s="1736"/>
      <c r="AK1651" s="1737"/>
      <c r="AL1651" s="79">
        <f t="shared" si="258"/>
        <v>0</v>
      </c>
      <c r="AM1651" s="137">
        <f t="shared" si="259"/>
        <v>0</v>
      </c>
      <c r="AN1651" s="251"/>
      <c r="AO1651" s="1736"/>
      <c r="AP1651" s="1737"/>
    </row>
    <row r="1652" spans="1:42" s="85" customFormat="1" ht="13.5" thickBot="1">
      <c r="A1652" s="240"/>
      <c r="B1652" s="241"/>
      <c r="C1652" s="242"/>
      <c r="D1652" s="242"/>
      <c r="E1652" s="243"/>
      <c r="F1652" s="244"/>
      <c r="G1652" s="244"/>
      <c r="H1652" s="243"/>
      <c r="I1652" s="258"/>
      <c r="J1652" s="245"/>
      <c r="K1652" s="245"/>
      <c r="L1652" s="76">
        <f t="shared" si="250"/>
        <v>0</v>
      </c>
      <c r="M1652" s="246"/>
      <c r="N1652" s="247"/>
      <c r="O1652" s="248"/>
      <c r="P1652" s="246"/>
      <c r="Q1652" s="249"/>
      <c r="R1652" s="250"/>
      <c r="S1652" s="259"/>
      <c r="T1652" s="260"/>
      <c r="U1652" s="250"/>
      <c r="V1652" s="78">
        <f t="shared" si="251"/>
        <v>0</v>
      </c>
      <c r="W1652" s="261">
        <f t="shared" si="252"/>
        <v>0</v>
      </c>
      <c r="X1652" s="133">
        <f t="shared" si="253"/>
        <v>0</v>
      </c>
      <c r="Y1652" s="251"/>
      <c r="Z1652" s="1736"/>
      <c r="AA1652" s="1737"/>
      <c r="AB1652" s="77">
        <f t="shared" si="254"/>
        <v>0</v>
      </c>
      <c r="AC1652" s="134">
        <f t="shared" si="255"/>
        <v>0</v>
      </c>
      <c r="AD1652" s="251"/>
      <c r="AE1652" s="1736"/>
      <c r="AF1652" s="1737"/>
      <c r="AG1652" s="77">
        <f t="shared" si="256"/>
        <v>0</v>
      </c>
      <c r="AH1652" s="136">
        <f t="shared" si="257"/>
        <v>0</v>
      </c>
      <c r="AI1652" s="251"/>
      <c r="AJ1652" s="1736"/>
      <c r="AK1652" s="1737"/>
      <c r="AL1652" s="79">
        <f t="shared" si="258"/>
        <v>0</v>
      </c>
      <c r="AM1652" s="137">
        <f t="shared" si="259"/>
        <v>0</v>
      </c>
      <c r="AN1652" s="251"/>
      <c r="AO1652" s="1736"/>
      <c r="AP1652" s="1737"/>
    </row>
    <row r="1653" spans="1:42" s="85" customFormat="1" ht="13.5" thickBot="1">
      <c r="A1653" s="240"/>
      <c r="B1653" s="241"/>
      <c r="C1653" s="242"/>
      <c r="D1653" s="242"/>
      <c r="E1653" s="243"/>
      <c r="F1653" s="244"/>
      <c r="G1653" s="244"/>
      <c r="H1653" s="243"/>
      <c r="I1653" s="258"/>
      <c r="J1653" s="245"/>
      <c r="K1653" s="245"/>
      <c r="L1653" s="76">
        <f t="shared" si="250"/>
        <v>0</v>
      </c>
      <c r="M1653" s="246"/>
      <c r="N1653" s="247"/>
      <c r="O1653" s="248"/>
      <c r="P1653" s="246"/>
      <c r="Q1653" s="249"/>
      <c r="R1653" s="250"/>
      <c r="S1653" s="259"/>
      <c r="T1653" s="260"/>
      <c r="U1653" s="250"/>
      <c r="V1653" s="78">
        <f t="shared" si="251"/>
        <v>0</v>
      </c>
      <c r="W1653" s="261">
        <f t="shared" si="252"/>
        <v>0</v>
      </c>
      <c r="X1653" s="133">
        <f t="shared" si="253"/>
        <v>0</v>
      </c>
      <c r="Y1653" s="251"/>
      <c r="Z1653" s="1736"/>
      <c r="AA1653" s="1737"/>
      <c r="AB1653" s="77">
        <f t="shared" si="254"/>
        <v>0</v>
      </c>
      <c r="AC1653" s="134">
        <f t="shared" si="255"/>
        <v>0</v>
      </c>
      <c r="AD1653" s="251"/>
      <c r="AE1653" s="1736"/>
      <c r="AF1653" s="1737"/>
      <c r="AG1653" s="77">
        <f t="shared" si="256"/>
        <v>0</v>
      </c>
      <c r="AH1653" s="136">
        <f t="shared" si="257"/>
        <v>0</v>
      </c>
      <c r="AI1653" s="251"/>
      <c r="AJ1653" s="1736"/>
      <c r="AK1653" s="1737"/>
      <c r="AL1653" s="79">
        <f t="shared" si="258"/>
        <v>0</v>
      </c>
      <c r="AM1653" s="137">
        <f t="shared" si="259"/>
        <v>0</v>
      </c>
      <c r="AN1653" s="251"/>
      <c r="AO1653" s="1736"/>
      <c r="AP1653" s="1737"/>
    </row>
    <row r="1654" spans="1:42" s="85" customFormat="1" ht="13.5" thickBot="1">
      <c r="A1654" s="240"/>
      <c r="B1654" s="241"/>
      <c r="C1654" s="242"/>
      <c r="D1654" s="242"/>
      <c r="E1654" s="243"/>
      <c r="F1654" s="244"/>
      <c r="G1654" s="244"/>
      <c r="H1654" s="243"/>
      <c r="I1654" s="258"/>
      <c r="J1654" s="245"/>
      <c r="K1654" s="245"/>
      <c r="L1654" s="76">
        <f t="shared" si="250"/>
        <v>0</v>
      </c>
      <c r="M1654" s="246"/>
      <c r="N1654" s="247"/>
      <c r="O1654" s="248"/>
      <c r="P1654" s="246"/>
      <c r="Q1654" s="249"/>
      <c r="R1654" s="250"/>
      <c r="S1654" s="259"/>
      <c r="T1654" s="260"/>
      <c r="U1654" s="250"/>
      <c r="V1654" s="78">
        <f t="shared" si="251"/>
        <v>0</v>
      </c>
      <c r="W1654" s="261">
        <f t="shared" si="252"/>
        <v>0</v>
      </c>
      <c r="X1654" s="133">
        <f t="shared" si="253"/>
        <v>0</v>
      </c>
      <c r="Y1654" s="251"/>
      <c r="Z1654" s="1736"/>
      <c r="AA1654" s="1737"/>
      <c r="AB1654" s="77">
        <f t="shared" si="254"/>
        <v>0</v>
      </c>
      <c r="AC1654" s="134">
        <f t="shared" si="255"/>
        <v>0</v>
      </c>
      <c r="AD1654" s="251"/>
      <c r="AE1654" s="1736"/>
      <c r="AF1654" s="1737"/>
      <c r="AG1654" s="77">
        <f t="shared" si="256"/>
        <v>0</v>
      </c>
      <c r="AH1654" s="136">
        <f t="shared" si="257"/>
        <v>0</v>
      </c>
      <c r="AI1654" s="251"/>
      <c r="AJ1654" s="1736"/>
      <c r="AK1654" s="1737"/>
      <c r="AL1654" s="79">
        <f t="shared" si="258"/>
        <v>0</v>
      </c>
      <c r="AM1654" s="137">
        <f t="shared" si="259"/>
        <v>0</v>
      </c>
      <c r="AN1654" s="251"/>
      <c r="AO1654" s="1736"/>
      <c r="AP1654" s="1737"/>
    </row>
    <row r="1655" spans="1:42" s="85" customFormat="1" ht="13.5" thickBot="1">
      <c r="A1655" s="240"/>
      <c r="B1655" s="241"/>
      <c r="C1655" s="242"/>
      <c r="D1655" s="242"/>
      <c r="E1655" s="243"/>
      <c r="F1655" s="244"/>
      <c r="G1655" s="244"/>
      <c r="H1655" s="243"/>
      <c r="I1655" s="258"/>
      <c r="J1655" s="245"/>
      <c r="K1655" s="245"/>
      <c r="L1655" s="76">
        <f t="shared" si="250"/>
        <v>0</v>
      </c>
      <c r="M1655" s="246"/>
      <c r="N1655" s="247"/>
      <c r="O1655" s="248"/>
      <c r="P1655" s="246"/>
      <c r="Q1655" s="249"/>
      <c r="R1655" s="250"/>
      <c r="S1655" s="259"/>
      <c r="T1655" s="260"/>
      <c r="U1655" s="250"/>
      <c r="V1655" s="78">
        <f t="shared" si="251"/>
        <v>0</v>
      </c>
      <c r="W1655" s="261">
        <f t="shared" si="252"/>
        <v>0</v>
      </c>
      <c r="X1655" s="133">
        <f t="shared" si="253"/>
        <v>0</v>
      </c>
      <c r="Y1655" s="251"/>
      <c r="Z1655" s="1736"/>
      <c r="AA1655" s="1737"/>
      <c r="AB1655" s="77">
        <f t="shared" si="254"/>
        <v>0</v>
      </c>
      <c r="AC1655" s="134">
        <f t="shared" si="255"/>
        <v>0</v>
      </c>
      <c r="AD1655" s="251"/>
      <c r="AE1655" s="1736"/>
      <c r="AF1655" s="1737"/>
      <c r="AG1655" s="77">
        <f t="shared" si="256"/>
        <v>0</v>
      </c>
      <c r="AH1655" s="136">
        <f t="shared" si="257"/>
        <v>0</v>
      </c>
      <c r="AI1655" s="251"/>
      <c r="AJ1655" s="1736"/>
      <c r="AK1655" s="1737"/>
      <c r="AL1655" s="79">
        <f t="shared" si="258"/>
        <v>0</v>
      </c>
      <c r="AM1655" s="137">
        <f t="shared" si="259"/>
        <v>0</v>
      </c>
      <c r="AN1655" s="251"/>
      <c r="AO1655" s="1736"/>
      <c r="AP1655" s="1737"/>
    </row>
    <row r="1656" spans="1:42" s="85" customFormat="1" ht="13.5" thickBot="1">
      <c r="A1656" s="240"/>
      <c r="B1656" s="241"/>
      <c r="C1656" s="242"/>
      <c r="D1656" s="242"/>
      <c r="E1656" s="243"/>
      <c r="F1656" s="244"/>
      <c r="G1656" s="244"/>
      <c r="H1656" s="243"/>
      <c r="I1656" s="258"/>
      <c r="J1656" s="245"/>
      <c r="K1656" s="245"/>
      <c r="L1656" s="76">
        <f t="shared" si="250"/>
        <v>0</v>
      </c>
      <c r="M1656" s="246"/>
      <c r="N1656" s="247"/>
      <c r="O1656" s="248"/>
      <c r="P1656" s="246"/>
      <c r="Q1656" s="249"/>
      <c r="R1656" s="250"/>
      <c r="S1656" s="259"/>
      <c r="T1656" s="260"/>
      <c r="U1656" s="250"/>
      <c r="V1656" s="78">
        <f t="shared" si="251"/>
        <v>0</v>
      </c>
      <c r="W1656" s="261">
        <f t="shared" si="252"/>
        <v>0</v>
      </c>
      <c r="X1656" s="133">
        <f t="shared" si="253"/>
        <v>0</v>
      </c>
      <c r="Y1656" s="251"/>
      <c r="Z1656" s="1736"/>
      <c r="AA1656" s="1737"/>
      <c r="AB1656" s="77">
        <f t="shared" si="254"/>
        <v>0</v>
      </c>
      <c r="AC1656" s="134">
        <f t="shared" si="255"/>
        <v>0</v>
      </c>
      <c r="AD1656" s="251"/>
      <c r="AE1656" s="1736"/>
      <c r="AF1656" s="1737"/>
      <c r="AG1656" s="77">
        <f t="shared" si="256"/>
        <v>0</v>
      </c>
      <c r="AH1656" s="136">
        <f t="shared" si="257"/>
        <v>0</v>
      </c>
      <c r="AI1656" s="251"/>
      <c r="AJ1656" s="1736"/>
      <c r="AK1656" s="1737"/>
      <c r="AL1656" s="79">
        <f t="shared" si="258"/>
        <v>0</v>
      </c>
      <c r="AM1656" s="137">
        <f t="shared" si="259"/>
        <v>0</v>
      </c>
      <c r="AN1656" s="251"/>
      <c r="AO1656" s="1736"/>
      <c r="AP1656" s="1737"/>
    </row>
    <row r="1657" spans="1:42" s="85" customFormat="1" ht="13.5" thickBot="1">
      <c r="A1657" s="240"/>
      <c r="B1657" s="241"/>
      <c r="C1657" s="242"/>
      <c r="D1657" s="242"/>
      <c r="E1657" s="243"/>
      <c r="F1657" s="244"/>
      <c r="G1657" s="244"/>
      <c r="H1657" s="243"/>
      <c r="I1657" s="258"/>
      <c r="J1657" s="245"/>
      <c r="K1657" s="245"/>
      <c r="L1657" s="76">
        <f t="shared" si="250"/>
        <v>0</v>
      </c>
      <c r="M1657" s="246"/>
      <c r="N1657" s="247"/>
      <c r="O1657" s="248"/>
      <c r="P1657" s="246"/>
      <c r="Q1657" s="249"/>
      <c r="R1657" s="250"/>
      <c r="S1657" s="259"/>
      <c r="T1657" s="260"/>
      <c r="U1657" s="250"/>
      <c r="V1657" s="78">
        <f t="shared" si="251"/>
        <v>0</v>
      </c>
      <c r="W1657" s="261">
        <f t="shared" si="252"/>
        <v>0</v>
      </c>
      <c r="X1657" s="133">
        <f t="shared" si="253"/>
        <v>0</v>
      </c>
      <c r="Y1657" s="251"/>
      <c r="Z1657" s="1736"/>
      <c r="AA1657" s="1737"/>
      <c r="AB1657" s="77">
        <f t="shared" si="254"/>
        <v>0</v>
      </c>
      <c r="AC1657" s="134">
        <f t="shared" si="255"/>
        <v>0</v>
      </c>
      <c r="AD1657" s="251"/>
      <c r="AE1657" s="1736"/>
      <c r="AF1657" s="1737"/>
      <c r="AG1657" s="77">
        <f t="shared" si="256"/>
        <v>0</v>
      </c>
      <c r="AH1657" s="136">
        <f t="shared" si="257"/>
        <v>0</v>
      </c>
      <c r="AI1657" s="251"/>
      <c r="AJ1657" s="1736"/>
      <c r="AK1657" s="1737"/>
      <c r="AL1657" s="79">
        <f t="shared" si="258"/>
        <v>0</v>
      </c>
      <c r="AM1657" s="137">
        <f t="shared" si="259"/>
        <v>0</v>
      </c>
      <c r="AN1657" s="251"/>
      <c r="AO1657" s="1736"/>
      <c r="AP1657" s="1737"/>
    </row>
    <row r="1658" spans="1:42" s="85" customFormat="1" ht="13.5" thickBot="1">
      <c r="A1658" s="240"/>
      <c r="B1658" s="241"/>
      <c r="C1658" s="242"/>
      <c r="D1658" s="242"/>
      <c r="E1658" s="243"/>
      <c r="F1658" s="244"/>
      <c r="G1658" s="244"/>
      <c r="H1658" s="243"/>
      <c r="I1658" s="258"/>
      <c r="J1658" s="245"/>
      <c r="K1658" s="245"/>
      <c r="L1658" s="76">
        <f t="shared" si="250"/>
        <v>0</v>
      </c>
      <c r="M1658" s="246"/>
      <c r="N1658" s="247"/>
      <c r="O1658" s="248"/>
      <c r="P1658" s="246"/>
      <c r="Q1658" s="249"/>
      <c r="R1658" s="250"/>
      <c r="S1658" s="259"/>
      <c r="T1658" s="260"/>
      <c r="U1658" s="250"/>
      <c r="V1658" s="78">
        <f t="shared" si="251"/>
        <v>0</v>
      </c>
      <c r="W1658" s="261">
        <f t="shared" si="252"/>
        <v>0</v>
      </c>
      <c r="X1658" s="133">
        <f t="shared" si="253"/>
        <v>0</v>
      </c>
      <c r="Y1658" s="251"/>
      <c r="Z1658" s="1736"/>
      <c r="AA1658" s="1737"/>
      <c r="AB1658" s="77">
        <f t="shared" si="254"/>
        <v>0</v>
      </c>
      <c r="AC1658" s="134">
        <f t="shared" si="255"/>
        <v>0</v>
      </c>
      <c r="AD1658" s="251"/>
      <c r="AE1658" s="1736"/>
      <c r="AF1658" s="1737"/>
      <c r="AG1658" s="77">
        <f t="shared" si="256"/>
        <v>0</v>
      </c>
      <c r="AH1658" s="136">
        <f t="shared" si="257"/>
        <v>0</v>
      </c>
      <c r="AI1658" s="251"/>
      <c r="AJ1658" s="1736"/>
      <c r="AK1658" s="1737"/>
      <c r="AL1658" s="79">
        <f t="shared" si="258"/>
        <v>0</v>
      </c>
      <c r="AM1658" s="137">
        <f t="shared" si="259"/>
        <v>0</v>
      </c>
      <c r="AN1658" s="251"/>
      <c r="AO1658" s="1736"/>
      <c r="AP1658" s="1737"/>
    </row>
    <row r="1659" spans="1:42" s="85" customFormat="1" ht="13.5" thickBot="1">
      <c r="A1659" s="240"/>
      <c r="B1659" s="241"/>
      <c r="C1659" s="242"/>
      <c r="D1659" s="242"/>
      <c r="E1659" s="243"/>
      <c r="F1659" s="244"/>
      <c r="G1659" s="244"/>
      <c r="H1659" s="243"/>
      <c r="I1659" s="258"/>
      <c r="J1659" s="245"/>
      <c r="K1659" s="245"/>
      <c r="L1659" s="76">
        <f t="shared" si="250"/>
        <v>0</v>
      </c>
      <c r="M1659" s="246"/>
      <c r="N1659" s="247"/>
      <c r="O1659" s="248"/>
      <c r="P1659" s="246"/>
      <c r="Q1659" s="249"/>
      <c r="R1659" s="250"/>
      <c r="S1659" s="259"/>
      <c r="T1659" s="260"/>
      <c r="U1659" s="250"/>
      <c r="V1659" s="78">
        <f t="shared" si="251"/>
        <v>0</v>
      </c>
      <c r="W1659" s="261">
        <f t="shared" si="252"/>
        <v>0</v>
      </c>
      <c r="X1659" s="133">
        <f t="shared" si="253"/>
        <v>0</v>
      </c>
      <c r="Y1659" s="251"/>
      <c r="Z1659" s="1736"/>
      <c r="AA1659" s="1737"/>
      <c r="AB1659" s="77">
        <f t="shared" si="254"/>
        <v>0</v>
      </c>
      <c r="AC1659" s="134">
        <f t="shared" si="255"/>
        <v>0</v>
      </c>
      <c r="AD1659" s="251"/>
      <c r="AE1659" s="1736"/>
      <c r="AF1659" s="1737"/>
      <c r="AG1659" s="77">
        <f t="shared" si="256"/>
        <v>0</v>
      </c>
      <c r="AH1659" s="136">
        <f t="shared" si="257"/>
        <v>0</v>
      </c>
      <c r="AI1659" s="251"/>
      <c r="AJ1659" s="1736"/>
      <c r="AK1659" s="1737"/>
      <c r="AL1659" s="79">
        <f t="shared" si="258"/>
        <v>0</v>
      </c>
      <c r="AM1659" s="137">
        <f t="shared" si="259"/>
        <v>0</v>
      </c>
      <c r="AN1659" s="251"/>
      <c r="AO1659" s="1736"/>
      <c r="AP1659" s="1737"/>
    </row>
    <row r="1660" spans="1:42" s="85" customFormat="1" ht="13.5" thickBot="1">
      <c r="A1660" s="240"/>
      <c r="B1660" s="241"/>
      <c r="C1660" s="242"/>
      <c r="D1660" s="242"/>
      <c r="E1660" s="243"/>
      <c r="F1660" s="244"/>
      <c r="G1660" s="244"/>
      <c r="H1660" s="243"/>
      <c r="I1660" s="258"/>
      <c r="J1660" s="245"/>
      <c r="K1660" s="245"/>
      <c r="L1660" s="76">
        <f t="shared" si="250"/>
        <v>0</v>
      </c>
      <c r="M1660" s="246"/>
      <c r="N1660" s="247"/>
      <c r="O1660" s="248"/>
      <c r="P1660" s="246"/>
      <c r="Q1660" s="249"/>
      <c r="R1660" s="250"/>
      <c r="S1660" s="259"/>
      <c r="T1660" s="260"/>
      <c r="U1660" s="250"/>
      <c r="V1660" s="78">
        <f t="shared" si="251"/>
        <v>0</v>
      </c>
      <c r="W1660" s="261">
        <f t="shared" si="252"/>
        <v>0</v>
      </c>
      <c r="X1660" s="133">
        <f t="shared" si="253"/>
        <v>0</v>
      </c>
      <c r="Y1660" s="251"/>
      <c r="Z1660" s="1736"/>
      <c r="AA1660" s="1737"/>
      <c r="AB1660" s="77">
        <f t="shared" si="254"/>
        <v>0</v>
      </c>
      <c r="AC1660" s="134">
        <f t="shared" si="255"/>
        <v>0</v>
      </c>
      <c r="AD1660" s="251"/>
      <c r="AE1660" s="1736"/>
      <c r="AF1660" s="1737"/>
      <c r="AG1660" s="77">
        <f t="shared" si="256"/>
        <v>0</v>
      </c>
      <c r="AH1660" s="136">
        <f t="shared" si="257"/>
        <v>0</v>
      </c>
      <c r="AI1660" s="251"/>
      <c r="AJ1660" s="1736"/>
      <c r="AK1660" s="1737"/>
      <c r="AL1660" s="79">
        <f t="shared" si="258"/>
        <v>0</v>
      </c>
      <c r="AM1660" s="137">
        <f t="shared" si="259"/>
        <v>0</v>
      </c>
      <c r="AN1660" s="251"/>
      <c r="AO1660" s="1736"/>
      <c r="AP1660" s="1737"/>
    </row>
    <row r="1661" spans="1:42" s="85" customFormat="1" ht="13.5" thickBot="1">
      <c r="A1661" s="240"/>
      <c r="B1661" s="241"/>
      <c r="C1661" s="242"/>
      <c r="D1661" s="242"/>
      <c r="E1661" s="243"/>
      <c r="F1661" s="244"/>
      <c r="G1661" s="244"/>
      <c r="H1661" s="243"/>
      <c r="I1661" s="258"/>
      <c r="J1661" s="245"/>
      <c r="K1661" s="245"/>
      <c r="L1661" s="76">
        <f t="shared" si="250"/>
        <v>0</v>
      </c>
      <c r="M1661" s="246"/>
      <c r="N1661" s="247"/>
      <c r="O1661" s="248"/>
      <c r="P1661" s="246"/>
      <c r="Q1661" s="249"/>
      <c r="R1661" s="250"/>
      <c r="S1661" s="259"/>
      <c r="T1661" s="260"/>
      <c r="U1661" s="250"/>
      <c r="V1661" s="78">
        <f t="shared" si="251"/>
        <v>0</v>
      </c>
      <c r="W1661" s="261">
        <f t="shared" si="252"/>
        <v>0</v>
      </c>
      <c r="X1661" s="133">
        <f t="shared" si="253"/>
        <v>0</v>
      </c>
      <c r="Y1661" s="251"/>
      <c r="Z1661" s="1736"/>
      <c r="AA1661" s="1737"/>
      <c r="AB1661" s="77">
        <f t="shared" si="254"/>
        <v>0</v>
      </c>
      <c r="AC1661" s="134">
        <f t="shared" si="255"/>
        <v>0</v>
      </c>
      <c r="AD1661" s="251"/>
      <c r="AE1661" s="1736"/>
      <c r="AF1661" s="1737"/>
      <c r="AG1661" s="77">
        <f t="shared" si="256"/>
        <v>0</v>
      </c>
      <c r="AH1661" s="136">
        <f t="shared" si="257"/>
        <v>0</v>
      </c>
      <c r="AI1661" s="251"/>
      <c r="AJ1661" s="1736"/>
      <c r="AK1661" s="1737"/>
      <c r="AL1661" s="79">
        <f t="shared" si="258"/>
        <v>0</v>
      </c>
      <c r="AM1661" s="137">
        <f t="shared" si="259"/>
        <v>0</v>
      </c>
      <c r="AN1661" s="251"/>
      <c r="AO1661" s="1736"/>
      <c r="AP1661" s="1737"/>
    </row>
    <row r="1662" spans="1:42" s="85" customFormat="1" ht="13.5" thickBot="1">
      <c r="A1662" s="240"/>
      <c r="B1662" s="241"/>
      <c r="C1662" s="242"/>
      <c r="D1662" s="242"/>
      <c r="E1662" s="243"/>
      <c r="F1662" s="244"/>
      <c r="G1662" s="244"/>
      <c r="H1662" s="243"/>
      <c r="I1662" s="258"/>
      <c r="J1662" s="245"/>
      <c r="K1662" s="245"/>
      <c r="L1662" s="76">
        <f t="shared" si="250"/>
        <v>0</v>
      </c>
      <c r="M1662" s="246"/>
      <c r="N1662" s="247"/>
      <c r="O1662" s="248"/>
      <c r="P1662" s="246"/>
      <c r="Q1662" s="249"/>
      <c r="R1662" s="250"/>
      <c r="S1662" s="259"/>
      <c r="T1662" s="260"/>
      <c r="U1662" s="250"/>
      <c r="V1662" s="78">
        <f t="shared" si="251"/>
        <v>0</v>
      </c>
      <c r="W1662" s="261">
        <f t="shared" si="252"/>
        <v>0</v>
      </c>
      <c r="X1662" s="133">
        <f t="shared" si="253"/>
        <v>0</v>
      </c>
      <c r="Y1662" s="251"/>
      <c r="Z1662" s="1736"/>
      <c r="AA1662" s="1737"/>
      <c r="AB1662" s="77">
        <f t="shared" si="254"/>
        <v>0</v>
      </c>
      <c r="AC1662" s="134">
        <f t="shared" si="255"/>
        <v>0</v>
      </c>
      <c r="AD1662" s="251"/>
      <c r="AE1662" s="1736"/>
      <c r="AF1662" s="1737"/>
      <c r="AG1662" s="77">
        <f t="shared" si="256"/>
        <v>0</v>
      </c>
      <c r="AH1662" s="136">
        <f t="shared" si="257"/>
        <v>0</v>
      </c>
      <c r="AI1662" s="251"/>
      <c r="AJ1662" s="1736"/>
      <c r="AK1662" s="1737"/>
      <c r="AL1662" s="79">
        <f t="shared" si="258"/>
        <v>0</v>
      </c>
      <c r="AM1662" s="137">
        <f t="shared" si="259"/>
        <v>0</v>
      </c>
      <c r="AN1662" s="251"/>
      <c r="AO1662" s="1736"/>
      <c r="AP1662" s="1737"/>
    </row>
    <row r="1663" spans="1:42" s="85" customFormat="1" ht="13.5" thickBot="1">
      <c r="A1663" s="240"/>
      <c r="B1663" s="241"/>
      <c r="C1663" s="242"/>
      <c r="D1663" s="242"/>
      <c r="E1663" s="243"/>
      <c r="F1663" s="244"/>
      <c r="G1663" s="244"/>
      <c r="H1663" s="243"/>
      <c r="I1663" s="258"/>
      <c r="J1663" s="245"/>
      <c r="K1663" s="245"/>
      <c r="L1663" s="76">
        <f t="shared" si="250"/>
        <v>0</v>
      </c>
      <c r="M1663" s="246"/>
      <c r="N1663" s="247"/>
      <c r="O1663" s="248"/>
      <c r="P1663" s="246"/>
      <c r="Q1663" s="249"/>
      <c r="R1663" s="250"/>
      <c r="S1663" s="259"/>
      <c r="T1663" s="260"/>
      <c r="U1663" s="250"/>
      <c r="V1663" s="78">
        <f t="shared" si="251"/>
        <v>0</v>
      </c>
      <c r="W1663" s="261">
        <f t="shared" si="252"/>
        <v>0</v>
      </c>
      <c r="X1663" s="133">
        <f t="shared" si="253"/>
        <v>0</v>
      </c>
      <c r="Y1663" s="251"/>
      <c r="Z1663" s="1736"/>
      <c r="AA1663" s="1737"/>
      <c r="AB1663" s="77">
        <f t="shared" si="254"/>
        <v>0</v>
      </c>
      <c r="AC1663" s="134">
        <f t="shared" si="255"/>
        <v>0</v>
      </c>
      <c r="AD1663" s="251"/>
      <c r="AE1663" s="1736"/>
      <c r="AF1663" s="1737"/>
      <c r="AG1663" s="77">
        <f t="shared" si="256"/>
        <v>0</v>
      </c>
      <c r="AH1663" s="136">
        <f t="shared" si="257"/>
        <v>0</v>
      </c>
      <c r="AI1663" s="251"/>
      <c r="AJ1663" s="1736"/>
      <c r="AK1663" s="1737"/>
      <c r="AL1663" s="79">
        <f t="shared" si="258"/>
        <v>0</v>
      </c>
      <c r="AM1663" s="137">
        <f t="shared" si="259"/>
        <v>0</v>
      </c>
      <c r="AN1663" s="251"/>
      <c r="AO1663" s="1736"/>
      <c r="AP1663" s="1737"/>
    </row>
    <row r="1664" spans="1:42" s="85" customFormat="1" ht="13.5" thickBot="1">
      <c r="A1664" s="240"/>
      <c r="B1664" s="241"/>
      <c r="C1664" s="242"/>
      <c r="D1664" s="242"/>
      <c r="E1664" s="243"/>
      <c r="F1664" s="244"/>
      <c r="G1664" s="244"/>
      <c r="H1664" s="243"/>
      <c r="I1664" s="258"/>
      <c r="J1664" s="245"/>
      <c r="K1664" s="245"/>
      <c r="L1664" s="76">
        <f t="shared" si="250"/>
        <v>0</v>
      </c>
      <c r="M1664" s="246"/>
      <c r="N1664" s="247"/>
      <c r="O1664" s="248"/>
      <c r="P1664" s="246"/>
      <c r="Q1664" s="249"/>
      <c r="R1664" s="250"/>
      <c r="S1664" s="259"/>
      <c r="T1664" s="260"/>
      <c r="U1664" s="250"/>
      <c r="V1664" s="78">
        <f t="shared" si="251"/>
        <v>0</v>
      </c>
      <c r="W1664" s="261">
        <f t="shared" si="252"/>
        <v>0</v>
      </c>
      <c r="X1664" s="133">
        <f t="shared" si="253"/>
        <v>0</v>
      </c>
      <c r="Y1664" s="251"/>
      <c r="Z1664" s="1736"/>
      <c r="AA1664" s="1737"/>
      <c r="AB1664" s="77">
        <f t="shared" si="254"/>
        <v>0</v>
      </c>
      <c r="AC1664" s="134">
        <f t="shared" si="255"/>
        <v>0</v>
      </c>
      <c r="AD1664" s="251"/>
      <c r="AE1664" s="1736"/>
      <c r="AF1664" s="1737"/>
      <c r="AG1664" s="77">
        <f t="shared" si="256"/>
        <v>0</v>
      </c>
      <c r="AH1664" s="136">
        <f t="shared" si="257"/>
        <v>0</v>
      </c>
      <c r="AI1664" s="251"/>
      <c r="AJ1664" s="1736"/>
      <c r="AK1664" s="1737"/>
      <c r="AL1664" s="79">
        <f t="shared" si="258"/>
        <v>0</v>
      </c>
      <c r="AM1664" s="137">
        <f t="shared" si="259"/>
        <v>0</v>
      </c>
      <c r="AN1664" s="251"/>
      <c r="AO1664" s="1736"/>
      <c r="AP1664" s="1737"/>
    </row>
    <row r="1665" spans="1:42" s="85" customFormat="1" ht="13.5" thickBot="1">
      <c r="A1665" s="240"/>
      <c r="B1665" s="241"/>
      <c r="C1665" s="242"/>
      <c r="D1665" s="242"/>
      <c r="E1665" s="243"/>
      <c r="F1665" s="244"/>
      <c r="G1665" s="244"/>
      <c r="H1665" s="243"/>
      <c r="I1665" s="258"/>
      <c r="J1665" s="245"/>
      <c r="K1665" s="245"/>
      <c r="L1665" s="76">
        <f t="shared" si="250"/>
        <v>0</v>
      </c>
      <c r="M1665" s="246"/>
      <c r="N1665" s="247"/>
      <c r="O1665" s="248"/>
      <c r="P1665" s="246"/>
      <c r="Q1665" s="249"/>
      <c r="R1665" s="250"/>
      <c r="S1665" s="259"/>
      <c r="T1665" s="260"/>
      <c r="U1665" s="250"/>
      <c r="V1665" s="78">
        <f t="shared" si="251"/>
        <v>0</v>
      </c>
      <c r="W1665" s="261">
        <f t="shared" si="252"/>
        <v>0</v>
      </c>
      <c r="X1665" s="133">
        <f t="shared" si="253"/>
        <v>0</v>
      </c>
      <c r="Y1665" s="251"/>
      <c r="Z1665" s="1736"/>
      <c r="AA1665" s="1737"/>
      <c r="AB1665" s="77">
        <f t="shared" si="254"/>
        <v>0</v>
      </c>
      <c r="AC1665" s="134">
        <f t="shared" si="255"/>
        <v>0</v>
      </c>
      <c r="AD1665" s="251"/>
      <c r="AE1665" s="1736"/>
      <c r="AF1665" s="1737"/>
      <c r="AG1665" s="77">
        <f t="shared" si="256"/>
        <v>0</v>
      </c>
      <c r="AH1665" s="136">
        <f t="shared" si="257"/>
        <v>0</v>
      </c>
      <c r="AI1665" s="251"/>
      <c r="AJ1665" s="1736"/>
      <c r="AK1665" s="1737"/>
      <c r="AL1665" s="79">
        <f t="shared" si="258"/>
        <v>0</v>
      </c>
      <c r="AM1665" s="137">
        <f t="shared" si="259"/>
        <v>0</v>
      </c>
      <c r="AN1665" s="251"/>
      <c r="AO1665" s="1736"/>
      <c r="AP1665" s="1737"/>
    </row>
    <row r="1666" spans="1:42" s="85" customFormat="1" ht="13.5" thickBot="1">
      <c r="A1666" s="240"/>
      <c r="B1666" s="241"/>
      <c r="C1666" s="242"/>
      <c r="D1666" s="242"/>
      <c r="E1666" s="243"/>
      <c r="F1666" s="244"/>
      <c r="G1666" s="244"/>
      <c r="H1666" s="243"/>
      <c r="I1666" s="258"/>
      <c r="J1666" s="245"/>
      <c r="K1666" s="245"/>
      <c r="L1666" s="76">
        <f t="shared" si="250"/>
        <v>0</v>
      </c>
      <c r="M1666" s="246"/>
      <c r="N1666" s="247"/>
      <c r="O1666" s="248"/>
      <c r="P1666" s="246"/>
      <c r="Q1666" s="249"/>
      <c r="R1666" s="250"/>
      <c r="S1666" s="259"/>
      <c r="T1666" s="260"/>
      <c r="U1666" s="250"/>
      <c r="V1666" s="78">
        <f t="shared" si="251"/>
        <v>0</v>
      </c>
      <c r="W1666" s="261">
        <f t="shared" si="252"/>
        <v>0</v>
      </c>
      <c r="X1666" s="133">
        <f t="shared" si="253"/>
        <v>0</v>
      </c>
      <c r="Y1666" s="251"/>
      <c r="Z1666" s="1736"/>
      <c r="AA1666" s="1737"/>
      <c r="AB1666" s="77">
        <f t="shared" si="254"/>
        <v>0</v>
      </c>
      <c r="AC1666" s="134">
        <f t="shared" si="255"/>
        <v>0</v>
      </c>
      <c r="AD1666" s="251"/>
      <c r="AE1666" s="1736"/>
      <c r="AF1666" s="1737"/>
      <c r="AG1666" s="77">
        <f t="shared" si="256"/>
        <v>0</v>
      </c>
      <c r="AH1666" s="136">
        <f t="shared" si="257"/>
        <v>0</v>
      </c>
      <c r="AI1666" s="251"/>
      <c r="AJ1666" s="1736"/>
      <c r="AK1666" s="1737"/>
      <c r="AL1666" s="79">
        <f t="shared" si="258"/>
        <v>0</v>
      </c>
      <c r="AM1666" s="137">
        <f t="shared" si="259"/>
        <v>0</v>
      </c>
      <c r="AN1666" s="251"/>
      <c r="AO1666" s="1736"/>
      <c r="AP1666" s="1737"/>
    </row>
    <row r="1667" spans="1:42" s="85" customFormat="1" ht="13.5" thickBot="1">
      <c r="A1667" s="240"/>
      <c r="B1667" s="241"/>
      <c r="C1667" s="242"/>
      <c r="D1667" s="242"/>
      <c r="E1667" s="243"/>
      <c r="F1667" s="244"/>
      <c r="G1667" s="244"/>
      <c r="H1667" s="243"/>
      <c r="I1667" s="258"/>
      <c r="J1667" s="245"/>
      <c r="K1667" s="245"/>
      <c r="L1667" s="76">
        <f t="shared" si="250"/>
        <v>0</v>
      </c>
      <c r="M1667" s="246"/>
      <c r="N1667" s="247"/>
      <c r="O1667" s="248"/>
      <c r="P1667" s="246"/>
      <c r="Q1667" s="249"/>
      <c r="R1667" s="250"/>
      <c r="S1667" s="259"/>
      <c r="T1667" s="260"/>
      <c r="U1667" s="250"/>
      <c r="V1667" s="78">
        <f t="shared" si="251"/>
        <v>0</v>
      </c>
      <c r="W1667" s="261">
        <f t="shared" si="252"/>
        <v>0</v>
      </c>
      <c r="X1667" s="133">
        <f t="shared" si="253"/>
        <v>0</v>
      </c>
      <c r="Y1667" s="251"/>
      <c r="Z1667" s="1736"/>
      <c r="AA1667" s="1737"/>
      <c r="AB1667" s="77">
        <f t="shared" si="254"/>
        <v>0</v>
      </c>
      <c r="AC1667" s="134">
        <f t="shared" si="255"/>
        <v>0</v>
      </c>
      <c r="AD1667" s="251"/>
      <c r="AE1667" s="1736"/>
      <c r="AF1667" s="1737"/>
      <c r="AG1667" s="77">
        <f t="shared" si="256"/>
        <v>0</v>
      </c>
      <c r="AH1667" s="136">
        <f t="shared" si="257"/>
        <v>0</v>
      </c>
      <c r="AI1667" s="251"/>
      <c r="AJ1667" s="1736"/>
      <c r="AK1667" s="1737"/>
      <c r="AL1667" s="79">
        <f t="shared" si="258"/>
        <v>0</v>
      </c>
      <c r="AM1667" s="137">
        <f t="shared" si="259"/>
        <v>0</v>
      </c>
      <c r="AN1667" s="251"/>
      <c r="AO1667" s="1736"/>
      <c r="AP1667" s="1737"/>
    </row>
    <row r="1668" spans="1:42" s="85" customFormat="1" ht="13.5" thickBot="1">
      <c r="A1668" s="240"/>
      <c r="B1668" s="241"/>
      <c r="C1668" s="242"/>
      <c r="D1668" s="242"/>
      <c r="E1668" s="243"/>
      <c r="F1668" s="244"/>
      <c r="G1668" s="244"/>
      <c r="H1668" s="243"/>
      <c r="I1668" s="258"/>
      <c r="J1668" s="245"/>
      <c r="K1668" s="245"/>
      <c r="L1668" s="76">
        <f t="shared" si="250"/>
        <v>0</v>
      </c>
      <c r="M1668" s="246"/>
      <c r="N1668" s="247"/>
      <c r="O1668" s="248"/>
      <c r="P1668" s="246"/>
      <c r="Q1668" s="249"/>
      <c r="R1668" s="250"/>
      <c r="S1668" s="259"/>
      <c r="T1668" s="260"/>
      <c r="U1668" s="250"/>
      <c r="V1668" s="78">
        <f t="shared" si="251"/>
        <v>0</v>
      </c>
      <c r="W1668" s="261">
        <f t="shared" si="252"/>
        <v>0</v>
      </c>
      <c r="X1668" s="133">
        <f t="shared" si="253"/>
        <v>0</v>
      </c>
      <c r="Y1668" s="251"/>
      <c r="Z1668" s="1736"/>
      <c r="AA1668" s="1737"/>
      <c r="AB1668" s="77">
        <f t="shared" si="254"/>
        <v>0</v>
      </c>
      <c r="AC1668" s="134">
        <f t="shared" si="255"/>
        <v>0</v>
      </c>
      <c r="AD1668" s="251"/>
      <c r="AE1668" s="1736"/>
      <c r="AF1668" s="1737"/>
      <c r="AG1668" s="77">
        <f t="shared" si="256"/>
        <v>0</v>
      </c>
      <c r="AH1668" s="136">
        <f t="shared" si="257"/>
        <v>0</v>
      </c>
      <c r="AI1668" s="251"/>
      <c r="AJ1668" s="1736"/>
      <c r="AK1668" s="1737"/>
      <c r="AL1668" s="79">
        <f t="shared" si="258"/>
        <v>0</v>
      </c>
      <c r="AM1668" s="137">
        <f t="shared" si="259"/>
        <v>0</v>
      </c>
      <c r="AN1668" s="251"/>
      <c r="AO1668" s="1736"/>
      <c r="AP1668" s="1737"/>
    </row>
    <row r="1669" spans="1:42" s="85" customFormat="1" ht="13.5" thickBot="1">
      <c r="A1669" s="240"/>
      <c r="B1669" s="241"/>
      <c r="C1669" s="242"/>
      <c r="D1669" s="242"/>
      <c r="E1669" s="243"/>
      <c r="F1669" s="244"/>
      <c r="G1669" s="244"/>
      <c r="H1669" s="243"/>
      <c r="I1669" s="258"/>
      <c r="J1669" s="245"/>
      <c r="K1669" s="245"/>
      <c r="L1669" s="76">
        <f t="shared" si="250"/>
        <v>0</v>
      </c>
      <c r="M1669" s="246"/>
      <c r="N1669" s="247"/>
      <c r="O1669" s="248"/>
      <c r="P1669" s="246"/>
      <c r="Q1669" s="249"/>
      <c r="R1669" s="250"/>
      <c r="S1669" s="259"/>
      <c r="T1669" s="260"/>
      <c r="U1669" s="250"/>
      <c r="V1669" s="78">
        <f t="shared" si="251"/>
        <v>0</v>
      </c>
      <c r="W1669" s="261">
        <f t="shared" si="252"/>
        <v>0</v>
      </c>
      <c r="X1669" s="133">
        <f t="shared" si="253"/>
        <v>0</v>
      </c>
      <c r="Y1669" s="251"/>
      <c r="Z1669" s="1736"/>
      <c r="AA1669" s="1737"/>
      <c r="AB1669" s="77">
        <f t="shared" si="254"/>
        <v>0</v>
      </c>
      <c r="AC1669" s="134">
        <f t="shared" si="255"/>
        <v>0</v>
      </c>
      <c r="AD1669" s="251"/>
      <c r="AE1669" s="1736"/>
      <c r="AF1669" s="1737"/>
      <c r="AG1669" s="77">
        <f t="shared" si="256"/>
        <v>0</v>
      </c>
      <c r="AH1669" s="136">
        <f t="shared" si="257"/>
        <v>0</v>
      </c>
      <c r="AI1669" s="251"/>
      <c r="AJ1669" s="1736"/>
      <c r="AK1669" s="1737"/>
      <c r="AL1669" s="79">
        <f t="shared" si="258"/>
        <v>0</v>
      </c>
      <c r="AM1669" s="137">
        <f t="shared" si="259"/>
        <v>0</v>
      </c>
      <c r="AN1669" s="251"/>
      <c r="AO1669" s="1736"/>
      <c r="AP1669" s="1737"/>
    </row>
    <row r="1670" spans="1:42" s="85" customFormat="1" ht="13.5" thickBot="1">
      <c r="A1670" s="240"/>
      <c r="B1670" s="241"/>
      <c r="C1670" s="242"/>
      <c r="D1670" s="242"/>
      <c r="E1670" s="243"/>
      <c r="F1670" s="244"/>
      <c r="G1670" s="244"/>
      <c r="H1670" s="243"/>
      <c r="I1670" s="258"/>
      <c r="J1670" s="245"/>
      <c r="K1670" s="245"/>
      <c r="L1670" s="76">
        <f t="shared" si="250"/>
        <v>0</v>
      </c>
      <c r="M1670" s="246"/>
      <c r="N1670" s="247"/>
      <c r="O1670" s="248"/>
      <c r="P1670" s="246"/>
      <c r="Q1670" s="249"/>
      <c r="R1670" s="250"/>
      <c r="S1670" s="259"/>
      <c r="T1670" s="260"/>
      <c r="U1670" s="250"/>
      <c r="V1670" s="78">
        <f t="shared" si="251"/>
        <v>0</v>
      </c>
      <c r="W1670" s="261">
        <f t="shared" si="252"/>
        <v>0</v>
      </c>
      <c r="X1670" s="133">
        <f t="shared" si="253"/>
        <v>0</v>
      </c>
      <c r="Y1670" s="251"/>
      <c r="Z1670" s="1736"/>
      <c r="AA1670" s="1737"/>
      <c r="AB1670" s="77">
        <f t="shared" si="254"/>
        <v>0</v>
      </c>
      <c r="AC1670" s="134">
        <f t="shared" si="255"/>
        <v>0</v>
      </c>
      <c r="AD1670" s="251"/>
      <c r="AE1670" s="1736"/>
      <c r="AF1670" s="1737"/>
      <c r="AG1670" s="77">
        <f t="shared" si="256"/>
        <v>0</v>
      </c>
      <c r="AH1670" s="136">
        <f t="shared" si="257"/>
        <v>0</v>
      </c>
      <c r="AI1670" s="251"/>
      <c r="AJ1670" s="1736"/>
      <c r="AK1670" s="1737"/>
      <c r="AL1670" s="79">
        <f t="shared" si="258"/>
        <v>0</v>
      </c>
      <c r="AM1670" s="137">
        <f t="shared" si="259"/>
        <v>0</v>
      </c>
      <c r="AN1670" s="251"/>
      <c r="AO1670" s="1736"/>
      <c r="AP1670" s="1737"/>
    </row>
    <row r="1671" spans="1:42" s="85" customFormat="1" ht="13.5" thickBot="1">
      <c r="A1671" s="240"/>
      <c r="B1671" s="241"/>
      <c r="C1671" s="242"/>
      <c r="D1671" s="242"/>
      <c r="E1671" s="243"/>
      <c r="F1671" s="244"/>
      <c r="G1671" s="244"/>
      <c r="H1671" s="243"/>
      <c r="I1671" s="258"/>
      <c r="J1671" s="245"/>
      <c r="K1671" s="245"/>
      <c r="L1671" s="76">
        <f t="shared" si="250"/>
        <v>0</v>
      </c>
      <c r="M1671" s="246"/>
      <c r="N1671" s="247"/>
      <c r="O1671" s="248"/>
      <c r="P1671" s="246"/>
      <c r="Q1671" s="249"/>
      <c r="R1671" s="250"/>
      <c r="S1671" s="259"/>
      <c r="T1671" s="260"/>
      <c r="U1671" s="250"/>
      <c r="V1671" s="78">
        <f t="shared" si="251"/>
        <v>0</v>
      </c>
      <c r="W1671" s="261">
        <f t="shared" si="252"/>
        <v>0</v>
      </c>
      <c r="X1671" s="133">
        <f t="shared" si="253"/>
        <v>0</v>
      </c>
      <c r="Y1671" s="251"/>
      <c r="Z1671" s="1736"/>
      <c r="AA1671" s="1737"/>
      <c r="AB1671" s="77">
        <f t="shared" si="254"/>
        <v>0</v>
      </c>
      <c r="AC1671" s="134">
        <f t="shared" si="255"/>
        <v>0</v>
      </c>
      <c r="AD1671" s="251"/>
      <c r="AE1671" s="1736"/>
      <c r="AF1671" s="1737"/>
      <c r="AG1671" s="77">
        <f t="shared" si="256"/>
        <v>0</v>
      </c>
      <c r="AH1671" s="136">
        <f t="shared" si="257"/>
        <v>0</v>
      </c>
      <c r="AI1671" s="251"/>
      <c r="AJ1671" s="1736"/>
      <c r="AK1671" s="1737"/>
      <c r="AL1671" s="79">
        <f t="shared" si="258"/>
        <v>0</v>
      </c>
      <c r="AM1671" s="137">
        <f t="shared" si="259"/>
        <v>0</v>
      </c>
      <c r="AN1671" s="251"/>
      <c r="AO1671" s="1736"/>
      <c r="AP1671" s="1737"/>
    </row>
    <row r="1672" spans="1:42" s="85" customFormat="1" ht="13.5" thickBot="1">
      <c r="A1672" s="240"/>
      <c r="B1672" s="241"/>
      <c r="C1672" s="242"/>
      <c r="D1672" s="242"/>
      <c r="E1672" s="243"/>
      <c r="F1672" s="244"/>
      <c r="G1672" s="244"/>
      <c r="H1672" s="243"/>
      <c r="I1672" s="258"/>
      <c r="J1672" s="245"/>
      <c r="K1672" s="245"/>
      <c r="L1672" s="76">
        <f t="shared" si="250"/>
        <v>0</v>
      </c>
      <c r="M1672" s="246"/>
      <c r="N1672" s="247"/>
      <c r="O1672" s="248"/>
      <c r="P1672" s="246"/>
      <c r="Q1672" s="249"/>
      <c r="R1672" s="250"/>
      <c r="S1672" s="259"/>
      <c r="T1672" s="260"/>
      <c r="U1672" s="250"/>
      <c r="V1672" s="78">
        <f t="shared" si="251"/>
        <v>0</v>
      </c>
      <c r="W1672" s="261">
        <f t="shared" si="252"/>
        <v>0</v>
      </c>
      <c r="X1672" s="133">
        <f t="shared" si="253"/>
        <v>0</v>
      </c>
      <c r="Y1672" s="251"/>
      <c r="Z1672" s="1736"/>
      <c r="AA1672" s="1737"/>
      <c r="AB1672" s="77">
        <f t="shared" si="254"/>
        <v>0</v>
      </c>
      <c r="AC1672" s="134">
        <f t="shared" si="255"/>
        <v>0</v>
      </c>
      <c r="AD1672" s="251"/>
      <c r="AE1672" s="1736"/>
      <c r="AF1672" s="1737"/>
      <c r="AG1672" s="77">
        <f t="shared" si="256"/>
        <v>0</v>
      </c>
      <c r="AH1672" s="136">
        <f t="shared" si="257"/>
        <v>0</v>
      </c>
      <c r="AI1672" s="251"/>
      <c r="AJ1672" s="1736"/>
      <c r="AK1672" s="1737"/>
      <c r="AL1672" s="79">
        <f t="shared" si="258"/>
        <v>0</v>
      </c>
      <c r="AM1672" s="137">
        <f t="shared" si="259"/>
        <v>0</v>
      </c>
      <c r="AN1672" s="251"/>
      <c r="AO1672" s="1736"/>
      <c r="AP1672" s="1737"/>
    </row>
    <row r="1673" spans="1:42" s="85" customFormat="1" ht="13.5" thickBot="1">
      <c r="A1673" s="240"/>
      <c r="B1673" s="241"/>
      <c r="C1673" s="242"/>
      <c r="D1673" s="242"/>
      <c r="E1673" s="243"/>
      <c r="F1673" s="244"/>
      <c r="G1673" s="244"/>
      <c r="H1673" s="243"/>
      <c r="I1673" s="258"/>
      <c r="J1673" s="245"/>
      <c r="K1673" s="245"/>
      <c r="L1673" s="76">
        <f t="shared" si="250"/>
        <v>0</v>
      </c>
      <c r="M1673" s="246"/>
      <c r="N1673" s="247"/>
      <c r="O1673" s="248"/>
      <c r="P1673" s="246"/>
      <c r="Q1673" s="249"/>
      <c r="R1673" s="250"/>
      <c r="S1673" s="259"/>
      <c r="T1673" s="260"/>
      <c r="U1673" s="250"/>
      <c r="V1673" s="78">
        <f t="shared" si="251"/>
        <v>0</v>
      </c>
      <c r="W1673" s="261">
        <f t="shared" si="252"/>
        <v>0</v>
      </c>
      <c r="X1673" s="133">
        <f t="shared" si="253"/>
        <v>0</v>
      </c>
      <c r="Y1673" s="251"/>
      <c r="Z1673" s="1736"/>
      <c r="AA1673" s="1737"/>
      <c r="AB1673" s="77">
        <f t="shared" si="254"/>
        <v>0</v>
      </c>
      <c r="AC1673" s="134">
        <f t="shared" si="255"/>
        <v>0</v>
      </c>
      <c r="AD1673" s="251"/>
      <c r="AE1673" s="1736"/>
      <c r="AF1673" s="1737"/>
      <c r="AG1673" s="77">
        <f t="shared" si="256"/>
        <v>0</v>
      </c>
      <c r="AH1673" s="136">
        <f t="shared" si="257"/>
        <v>0</v>
      </c>
      <c r="AI1673" s="251"/>
      <c r="AJ1673" s="1736"/>
      <c r="AK1673" s="1737"/>
      <c r="AL1673" s="79">
        <f t="shared" si="258"/>
        <v>0</v>
      </c>
      <c r="AM1673" s="137">
        <f t="shared" si="259"/>
        <v>0</v>
      </c>
      <c r="AN1673" s="251"/>
      <c r="AO1673" s="1736"/>
      <c r="AP1673" s="1737"/>
    </row>
    <row r="1674" spans="1:42" s="85" customFormat="1" ht="13.5" thickBot="1">
      <c r="A1674" s="240"/>
      <c r="B1674" s="241"/>
      <c r="C1674" s="242"/>
      <c r="D1674" s="242"/>
      <c r="E1674" s="243"/>
      <c r="F1674" s="244"/>
      <c r="G1674" s="244"/>
      <c r="H1674" s="243"/>
      <c r="I1674" s="258"/>
      <c r="J1674" s="245"/>
      <c r="K1674" s="245"/>
      <c r="L1674" s="76">
        <f t="shared" si="250"/>
        <v>0</v>
      </c>
      <c r="M1674" s="246"/>
      <c r="N1674" s="247"/>
      <c r="O1674" s="248"/>
      <c r="P1674" s="246"/>
      <c r="Q1674" s="249"/>
      <c r="R1674" s="250"/>
      <c r="S1674" s="259"/>
      <c r="T1674" s="260"/>
      <c r="U1674" s="250"/>
      <c r="V1674" s="78">
        <f t="shared" si="251"/>
        <v>0</v>
      </c>
      <c r="W1674" s="261">
        <f t="shared" si="252"/>
        <v>0</v>
      </c>
      <c r="X1674" s="133">
        <f t="shared" si="253"/>
        <v>0</v>
      </c>
      <c r="Y1674" s="251"/>
      <c r="Z1674" s="1736"/>
      <c r="AA1674" s="1737"/>
      <c r="AB1674" s="77">
        <f t="shared" si="254"/>
        <v>0</v>
      </c>
      <c r="AC1674" s="134">
        <f t="shared" si="255"/>
        <v>0</v>
      </c>
      <c r="AD1674" s="251"/>
      <c r="AE1674" s="1736"/>
      <c r="AF1674" s="1737"/>
      <c r="AG1674" s="77">
        <f t="shared" si="256"/>
        <v>0</v>
      </c>
      <c r="AH1674" s="136">
        <f t="shared" si="257"/>
        <v>0</v>
      </c>
      <c r="AI1674" s="251"/>
      <c r="AJ1674" s="1736"/>
      <c r="AK1674" s="1737"/>
      <c r="AL1674" s="79">
        <f t="shared" si="258"/>
        <v>0</v>
      </c>
      <c r="AM1674" s="137">
        <f t="shared" si="259"/>
        <v>0</v>
      </c>
      <c r="AN1674" s="251"/>
      <c r="AO1674" s="1736"/>
      <c r="AP1674" s="1737"/>
    </row>
    <row r="1675" spans="1:42" s="85" customFormat="1" ht="13.5" thickBot="1">
      <c r="A1675" s="240"/>
      <c r="B1675" s="241"/>
      <c r="C1675" s="242"/>
      <c r="D1675" s="242"/>
      <c r="E1675" s="243"/>
      <c r="F1675" s="244"/>
      <c r="G1675" s="244"/>
      <c r="H1675" s="243"/>
      <c r="I1675" s="258"/>
      <c r="J1675" s="245"/>
      <c r="K1675" s="245"/>
      <c r="L1675" s="76">
        <f t="shared" ref="L1675:L1738" si="260">IF(I1675=0,0,(K1675+J1675)/I1675)</f>
        <v>0</v>
      </c>
      <c r="M1675" s="246"/>
      <c r="N1675" s="247"/>
      <c r="O1675" s="248"/>
      <c r="P1675" s="246"/>
      <c r="Q1675" s="249"/>
      <c r="R1675" s="250"/>
      <c r="S1675" s="259"/>
      <c r="T1675" s="260"/>
      <c r="U1675" s="250"/>
      <c r="V1675" s="78">
        <f t="shared" ref="V1675:V1738" si="261">IF(U1675=0,0,((U1675*S1675)-AB1675-AL1675))</f>
        <v>0</v>
      </c>
      <c r="W1675" s="261">
        <f t="shared" ref="W1675:W1738" si="262">+S1675-I1675</f>
        <v>0</v>
      </c>
      <c r="X1675" s="133">
        <f t="shared" ref="X1675:X1738" si="263">(V1675-J1675)</f>
        <v>0</v>
      </c>
      <c r="Y1675" s="251"/>
      <c r="Z1675" s="1736"/>
      <c r="AA1675" s="1737"/>
      <c r="AB1675" s="77">
        <f t="shared" ref="AB1675:AB1738" si="264">(IF(I1675=0,0,M1675/H1675))*S1675</f>
        <v>0</v>
      </c>
      <c r="AC1675" s="134">
        <f t="shared" ref="AC1675:AC1738" si="265">+AB1675-P1675</f>
        <v>0</v>
      </c>
      <c r="AD1675" s="251"/>
      <c r="AE1675" s="1736"/>
      <c r="AF1675" s="1737"/>
      <c r="AG1675" s="77">
        <f t="shared" ref="AG1675:AG1738" si="266">(IF(H1675=0,0,N1675/H1675))*T1675</f>
        <v>0</v>
      </c>
      <c r="AH1675" s="136">
        <f t="shared" ref="AH1675:AH1738" si="267">+AG1675-Q1675</f>
        <v>0</v>
      </c>
      <c r="AI1675" s="251"/>
      <c r="AJ1675" s="1736"/>
      <c r="AK1675" s="1737"/>
      <c r="AL1675" s="79">
        <f t="shared" ref="AL1675:AL1738" si="268">+O1675*S1675</f>
        <v>0</v>
      </c>
      <c r="AM1675" s="137">
        <f t="shared" ref="AM1675:AM1738" si="269">+AL1675-R1675</f>
        <v>0</v>
      </c>
      <c r="AN1675" s="251"/>
      <c r="AO1675" s="1736"/>
      <c r="AP1675" s="1737"/>
    </row>
    <row r="1676" spans="1:42" s="85" customFormat="1" ht="13.5" thickBot="1">
      <c r="A1676" s="240"/>
      <c r="B1676" s="241"/>
      <c r="C1676" s="242"/>
      <c r="D1676" s="242"/>
      <c r="E1676" s="243"/>
      <c r="F1676" s="244"/>
      <c r="G1676" s="244"/>
      <c r="H1676" s="243"/>
      <c r="I1676" s="258"/>
      <c r="J1676" s="245"/>
      <c r="K1676" s="245"/>
      <c r="L1676" s="76">
        <f t="shared" si="260"/>
        <v>0</v>
      </c>
      <c r="M1676" s="246"/>
      <c r="N1676" s="247"/>
      <c r="O1676" s="248"/>
      <c r="P1676" s="246"/>
      <c r="Q1676" s="249"/>
      <c r="R1676" s="250"/>
      <c r="S1676" s="259"/>
      <c r="T1676" s="260"/>
      <c r="U1676" s="250"/>
      <c r="V1676" s="78">
        <f t="shared" si="261"/>
        <v>0</v>
      </c>
      <c r="W1676" s="261">
        <f t="shared" si="262"/>
        <v>0</v>
      </c>
      <c r="X1676" s="133">
        <f t="shared" si="263"/>
        <v>0</v>
      </c>
      <c r="Y1676" s="251"/>
      <c r="Z1676" s="1736"/>
      <c r="AA1676" s="1737"/>
      <c r="AB1676" s="77">
        <f t="shared" si="264"/>
        <v>0</v>
      </c>
      <c r="AC1676" s="134">
        <f t="shared" si="265"/>
        <v>0</v>
      </c>
      <c r="AD1676" s="251"/>
      <c r="AE1676" s="1736"/>
      <c r="AF1676" s="1737"/>
      <c r="AG1676" s="77">
        <f t="shared" si="266"/>
        <v>0</v>
      </c>
      <c r="AH1676" s="136">
        <f t="shared" si="267"/>
        <v>0</v>
      </c>
      <c r="AI1676" s="251"/>
      <c r="AJ1676" s="1736"/>
      <c r="AK1676" s="1737"/>
      <c r="AL1676" s="79">
        <f t="shared" si="268"/>
        <v>0</v>
      </c>
      <c r="AM1676" s="137">
        <f t="shared" si="269"/>
        <v>0</v>
      </c>
      <c r="AN1676" s="251"/>
      <c r="AO1676" s="1736"/>
      <c r="AP1676" s="1737"/>
    </row>
    <row r="1677" spans="1:42" s="85" customFormat="1" ht="13.5" thickBot="1">
      <c r="A1677" s="240"/>
      <c r="B1677" s="241"/>
      <c r="C1677" s="242"/>
      <c r="D1677" s="242"/>
      <c r="E1677" s="243"/>
      <c r="F1677" s="244"/>
      <c r="G1677" s="244"/>
      <c r="H1677" s="243"/>
      <c r="I1677" s="258"/>
      <c r="J1677" s="245"/>
      <c r="K1677" s="245"/>
      <c r="L1677" s="76">
        <f t="shared" si="260"/>
        <v>0</v>
      </c>
      <c r="M1677" s="246"/>
      <c r="N1677" s="247"/>
      <c r="O1677" s="248"/>
      <c r="P1677" s="246"/>
      <c r="Q1677" s="249"/>
      <c r="R1677" s="250"/>
      <c r="S1677" s="259"/>
      <c r="T1677" s="260"/>
      <c r="U1677" s="250"/>
      <c r="V1677" s="78">
        <f t="shared" si="261"/>
        <v>0</v>
      </c>
      <c r="W1677" s="261">
        <f t="shared" si="262"/>
        <v>0</v>
      </c>
      <c r="X1677" s="133">
        <f t="shared" si="263"/>
        <v>0</v>
      </c>
      <c r="Y1677" s="251"/>
      <c r="Z1677" s="1736"/>
      <c r="AA1677" s="1737"/>
      <c r="AB1677" s="77">
        <f t="shared" si="264"/>
        <v>0</v>
      </c>
      <c r="AC1677" s="134">
        <f t="shared" si="265"/>
        <v>0</v>
      </c>
      <c r="AD1677" s="251"/>
      <c r="AE1677" s="1736"/>
      <c r="AF1677" s="1737"/>
      <c r="AG1677" s="77">
        <f t="shared" si="266"/>
        <v>0</v>
      </c>
      <c r="AH1677" s="136">
        <f t="shared" si="267"/>
        <v>0</v>
      </c>
      <c r="AI1677" s="251"/>
      <c r="AJ1677" s="1736"/>
      <c r="AK1677" s="1737"/>
      <c r="AL1677" s="79">
        <f t="shared" si="268"/>
        <v>0</v>
      </c>
      <c r="AM1677" s="137">
        <f t="shared" si="269"/>
        <v>0</v>
      </c>
      <c r="AN1677" s="251"/>
      <c r="AO1677" s="1736"/>
      <c r="AP1677" s="1737"/>
    </row>
    <row r="1678" spans="1:42" s="85" customFormat="1" ht="13.5" thickBot="1">
      <c r="A1678" s="240"/>
      <c r="B1678" s="241"/>
      <c r="C1678" s="242"/>
      <c r="D1678" s="242"/>
      <c r="E1678" s="243"/>
      <c r="F1678" s="244"/>
      <c r="G1678" s="244"/>
      <c r="H1678" s="243"/>
      <c r="I1678" s="258"/>
      <c r="J1678" s="245"/>
      <c r="K1678" s="245"/>
      <c r="L1678" s="76">
        <f t="shared" si="260"/>
        <v>0</v>
      </c>
      <c r="M1678" s="246"/>
      <c r="N1678" s="247"/>
      <c r="O1678" s="248"/>
      <c r="P1678" s="246"/>
      <c r="Q1678" s="249"/>
      <c r="R1678" s="250"/>
      <c r="S1678" s="259"/>
      <c r="T1678" s="260"/>
      <c r="U1678" s="250"/>
      <c r="V1678" s="78">
        <f t="shared" si="261"/>
        <v>0</v>
      </c>
      <c r="W1678" s="261">
        <f t="shared" si="262"/>
        <v>0</v>
      </c>
      <c r="X1678" s="133">
        <f t="shared" si="263"/>
        <v>0</v>
      </c>
      <c r="Y1678" s="251"/>
      <c r="Z1678" s="1736"/>
      <c r="AA1678" s="1737"/>
      <c r="AB1678" s="77">
        <f t="shared" si="264"/>
        <v>0</v>
      </c>
      <c r="AC1678" s="134">
        <f t="shared" si="265"/>
        <v>0</v>
      </c>
      <c r="AD1678" s="251"/>
      <c r="AE1678" s="1736"/>
      <c r="AF1678" s="1737"/>
      <c r="AG1678" s="77">
        <f t="shared" si="266"/>
        <v>0</v>
      </c>
      <c r="AH1678" s="136">
        <f t="shared" si="267"/>
        <v>0</v>
      </c>
      <c r="AI1678" s="251"/>
      <c r="AJ1678" s="1736"/>
      <c r="AK1678" s="1737"/>
      <c r="AL1678" s="79">
        <f t="shared" si="268"/>
        <v>0</v>
      </c>
      <c r="AM1678" s="137">
        <f t="shared" si="269"/>
        <v>0</v>
      </c>
      <c r="AN1678" s="251"/>
      <c r="AO1678" s="1736"/>
      <c r="AP1678" s="1737"/>
    </row>
    <row r="1679" spans="1:42" s="85" customFormat="1" ht="13.5" thickBot="1">
      <c r="A1679" s="240"/>
      <c r="B1679" s="241"/>
      <c r="C1679" s="242"/>
      <c r="D1679" s="242"/>
      <c r="E1679" s="243"/>
      <c r="F1679" s="244"/>
      <c r="G1679" s="244"/>
      <c r="H1679" s="243"/>
      <c r="I1679" s="258"/>
      <c r="J1679" s="245"/>
      <c r="K1679" s="245"/>
      <c r="L1679" s="76">
        <f t="shared" si="260"/>
        <v>0</v>
      </c>
      <c r="M1679" s="246"/>
      <c r="N1679" s="247"/>
      <c r="O1679" s="248"/>
      <c r="P1679" s="246"/>
      <c r="Q1679" s="249"/>
      <c r="R1679" s="250"/>
      <c r="S1679" s="259"/>
      <c r="T1679" s="260"/>
      <c r="U1679" s="250"/>
      <c r="V1679" s="78">
        <f t="shared" si="261"/>
        <v>0</v>
      </c>
      <c r="W1679" s="261">
        <f t="shared" si="262"/>
        <v>0</v>
      </c>
      <c r="X1679" s="133">
        <f t="shared" si="263"/>
        <v>0</v>
      </c>
      <c r="Y1679" s="251"/>
      <c r="Z1679" s="1736"/>
      <c r="AA1679" s="1737"/>
      <c r="AB1679" s="77">
        <f t="shared" si="264"/>
        <v>0</v>
      </c>
      <c r="AC1679" s="134">
        <f t="shared" si="265"/>
        <v>0</v>
      </c>
      <c r="AD1679" s="251"/>
      <c r="AE1679" s="1736"/>
      <c r="AF1679" s="1737"/>
      <c r="AG1679" s="77">
        <f t="shared" si="266"/>
        <v>0</v>
      </c>
      <c r="AH1679" s="136">
        <f t="shared" si="267"/>
        <v>0</v>
      </c>
      <c r="AI1679" s="251"/>
      <c r="AJ1679" s="1736"/>
      <c r="AK1679" s="1737"/>
      <c r="AL1679" s="79">
        <f t="shared" si="268"/>
        <v>0</v>
      </c>
      <c r="AM1679" s="137">
        <f t="shared" si="269"/>
        <v>0</v>
      </c>
      <c r="AN1679" s="251"/>
      <c r="AO1679" s="1736"/>
      <c r="AP1679" s="1737"/>
    </row>
    <row r="1680" spans="1:42" s="85" customFormat="1" ht="13.5" thickBot="1">
      <c r="A1680" s="240"/>
      <c r="B1680" s="241"/>
      <c r="C1680" s="242"/>
      <c r="D1680" s="242"/>
      <c r="E1680" s="243"/>
      <c r="F1680" s="244"/>
      <c r="G1680" s="244"/>
      <c r="H1680" s="243"/>
      <c r="I1680" s="258"/>
      <c r="J1680" s="245"/>
      <c r="K1680" s="245"/>
      <c r="L1680" s="76">
        <f t="shared" si="260"/>
        <v>0</v>
      </c>
      <c r="M1680" s="246"/>
      <c r="N1680" s="247"/>
      <c r="O1680" s="248"/>
      <c r="P1680" s="246"/>
      <c r="Q1680" s="249"/>
      <c r="R1680" s="250"/>
      <c r="S1680" s="259"/>
      <c r="T1680" s="260"/>
      <c r="U1680" s="250"/>
      <c r="V1680" s="78">
        <f t="shared" si="261"/>
        <v>0</v>
      </c>
      <c r="W1680" s="261">
        <f t="shared" si="262"/>
        <v>0</v>
      </c>
      <c r="X1680" s="133">
        <f t="shared" si="263"/>
        <v>0</v>
      </c>
      <c r="Y1680" s="251"/>
      <c r="Z1680" s="1736"/>
      <c r="AA1680" s="1737"/>
      <c r="AB1680" s="77">
        <f t="shared" si="264"/>
        <v>0</v>
      </c>
      <c r="AC1680" s="134">
        <f t="shared" si="265"/>
        <v>0</v>
      </c>
      <c r="AD1680" s="251"/>
      <c r="AE1680" s="1736"/>
      <c r="AF1680" s="1737"/>
      <c r="AG1680" s="77">
        <f t="shared" si="266"/>
        <v>0</v>
      </c>
      <c r="AH1680" s="136">
        <f t="shared" si="267"/>
        <v>0</v>
      </c>
      <c r="AI1680" s="251"/>
      <c r="AJ1680" s="1736"/>
      <c r="AK1680" s="1737"/>
      <c r="AL1680" s="79">
        <f t="shared" si="268"/>
        <v>0</v>
      </c>
      <c r="AM1680" s="137">
        <f t="shared" si="269"/>
        <v>0</v>
      </c>
      <c r="AN1680" s="251"/>
      <c r="AO1680" s="1736"/>
      <c r="AP1680" s="1737"/>
    </row>
    <row r="1681" spans="1:42" s="85" customFormat="1" ht="13.5" thickBot="1">
      <c r="A1681" s="240"/>
      <c r="B1681" s="241"/>
      <c r="C1681" s="242"/>
      <c r="D1681" s="242"/>
      <c r="E1681" s="243"/>
      <c r="F1681" s="244"/>
      <c r="G1681" s="244"/>
      <c r="H1681" s="243"/>
      <c r="I1681" s="258"/>
      <c r="J1681" s="245"/>
      <c r="K1681" s="245"/>
      <c r="L1681" s="76">
        <f t="shared" si="260"/>
        <v>0</v>
      </c>
      <c r="M1681" s="246"/>
      <c r="N1681" s="247"/>
      <c r="O1681" s="248"/>
      <c r="P1681" s="246"/>
      <c r="Q1681" s="249"/>
      <c r="R1681" s="250"/>
      <c r="S1681" s="259"/>
      <c r="T1681" s="260"/>
      <c r="U1681" s="250"/>
      <c r="V1681" s="78">
        <f t="shared" si="261"/>
        <v>0</v>
      </c>
      <c r="W1681" s="261">
        <f t="shared" si="262"/>
        <v>0</v>
      </c>
      <c r="X1681" s="133">
        <f t="shared" si="263"/>
        <v>0</v>
      </c>
      <c r="Y1681" s="251"/>
      <c r="Z1681" s="1736"/>
      <c r="AA1681" s="1737"/>
      <c r="AB1681" s="77">
        <f t="shared" si="264"/>
        <v>0</v>
      </c>
      <c r="AC1681" s="134">
        <f t="shared" si="265"/>
        <v>0</v>
      </c>
      <c r="AD1681" s="251"/>
      <c r="AE1681" s="1736"/>
      <c r="AF1681" s="1737"/>
      <c r="AG1681" s="77">
        <f t="shared" si="266"/>
        <v>0</v>
      </c>
      <c r="AH1681" s="136">
        <f t="shared" si="267"/>
        <v>0</v>
      </c>
      <c r="AI1681" s="251"/>
      <c r="AJ1681" s="1736"/>
      <c r="AK1681" s="1737"/>
      <c r="AL1681" s="79">
        <f t="shared" si="268"/>
        <v>0</v>
      </c>
      <c r="AM1681" s="137">
        <f t="shared" si="269"/>
        <v>0</v>
      </c>
      <c r="AN1681" s="251"/>
      <c r="AO1681" s="1736"/>
      <c r="AP1681" s="1737"/>
    </row>
    <row r="1682" spans="1:42" s="85" customFormat="1" ht="13.5" thickBot="1">
      <c r="A1682" s="240"/>
      <c r="B1682" s="241"/>
      <c r="C1682" s="242"/>
      <c r="D1682" s="242"/>
      <c r="E1682" s="243"/>
      <c r="F1682" s="244"/>
      <c r="G1682" s="244"/>
      <c r="H1682" s="243"/>
      <c r="I1682" s="258"/>
      <c r="J1682" s="245"/>
      <c r="K1682" s="245"/>
      <c r="L1682" s="76">
        <f t="shared" si="260"/>
        <v>0</v>
      </c>
      <c r="M1682" s="246"/>
      <c r="N1682" s="247"/>
      <c r="O1682" s="248"/>
      <c r="P1682" s="246"/>
      <c r="Q1682" s="249"/>
      <c r="R1682" s="250"/>
      <c r="S1682" s="259"/>
      <c r="T1682" s="260"/>
      <c r="U1682" s="250"/>
      <c r="V1682" s="78">
        <f t="shared" si="261"/>
        <v>0</v>
      </c>
      <c r="W1682" s="261">
        <f t="shared" si="262"/>
        <v>0</v>
      </c>
      <c r="X1682" s="133">
        <f t="shared" si="263"/>
        <v>0</v>
      </c>
      <c r="Y1682" s="251"/>
      <c r="Z1682" s="1736"/>
      <c r="AA1682" s="1737"/>
      <c r="AB1682" s="77">
        <f t="shared" si="264"/>
        <v>0</v>
      </c>
      <c r="AC1682" s="134">
        <f t="shared" si="265"/>
        <v>0</v>
      </c>
      <c r="AD1682" s="251"/>
      <c r="AE1682" s="1736"/>
      <c r="AF1682" s="1737"/>
      <c r="AG1682" s="77">
        <f t="shared" si="266"/>
        <v>0</v>
      </c>
      <c r="AH1682" s="136">
        <f t="shared" si="267"/>
        <v>0</v>
      </c>
      <c r="AI1682" s="251"/>
      <c r="AJ1682" s="1736"/>
      <c r="AK1682" s="1737"/>
      <c r="AL1682" s="79">
        <f t="shared" si="268"/>
        <v>0</v>
      </c>
      <c r="AM1682" s="137">
        <f t="shared" si="269"/>
        <v>0</v>
      </c>
      <c r="AN1682" s="251"/>
      <c r="AO1682" s="1736"/>
      <c r="AP1682" s="1737"/>
    </row>
    <row r="1683" spans="1:42" s="85" customFormat="1" ht="13.5" thickBot="1">
      <c r="A1683" s="240"/>
      <c r="B1683" s="241"/>
      <c r="C1683" s="242"/>
      <c r="D1683" s="242"/>
      <c r="E1683" s="243"/>
      <c r="F1683" s="244"/>
      <c r="G1683" s="244"/>
      <c r="H1683" s="243"/>
      <c r="I1683" s="258"/>
      <c r="J1683" s="245"/>
      <c r="K1683" s="245"/>
      <c r="L1683" s="76">
        <f t="shared" si="260"/>
        <v>0</v>
      </c>
      <c r="M1683" s="246"/>
      <c r="N1683" s="247"/>
      <c r="O1683" s="248"/>
      <c r="P1683" s="246"/>
      <c r="Q1683" s="249"/>
      <c r="R1683" s="250"/>
      <c r="S1683" s="259"/>
      <c r="T1683" s="260"/>
      <c r="U1683" s="250"/>
      <c r="V1683" s="78">
        <f t="shared" si="261"/>
        <v>0</v>
      </c>
      <c r="W1683" s="261">
        <f t="shared" si="262"/>
        <v>0</v>
      </c>
      <c r="X1683" s="133">
        <f t="shared" si="263"/>
        <v>0</v>
      </c>
      <c r="Y1683" s="251"/>
      <c r="Z1683" s="1736"/>
      <c r="AA1683" s="1737"/>
      <c r="AB1683" s="77">
        <f t="shared" si="264"/>
        <v>0</v>
      </c>
      <c r="AC1683" s="134">
        <f t="shared" si="265"/>
        <v>0</v>
      </c>
      <c r="AD1683" s="251"/>
      <c r="AE1683" s="1736"/>
      <c r="AF1683" s="1737"/>
      <c r="AG1683" s="77">
        <f t="shared" si="266"/>
        <v>0</v>
      </c>
      <c r="AH1683" s="136">
        <f t="shared" si="267"/>
        <v>0</v>
      </c>
      <c r="AI1683" s="251"/>
      <c r="AJ1683" s="1736"/>
      <c r="AK1683" s="1737"/>
      <c r="AL1683" s="79">
        <f t="shared" si="268"/>
        <v>0</v>
      </c>
      <c r="AM1683" s="137">
        <f t="shared" si="269"/>
        <v>0</v>
      </c>
      <c r="AN1683" s="251"/>
      <c r="AO1683" s="1736"/>
      <c r="AP1683" s="1737"/>
    </row>
    <row r="1684" spans="1:42" s="85" customFormat="1" ht="13.5" thickBot="1">
      <c r="A1684" s="240"/>
      <c r="B1684" s="241"/>
      <c r="C1684" s="242"/>
      <c r="D1684" s="242"/>
      <c r="E1684" s="243"/>
      <c r="F1684" s="244"/>
      <c r="G1684" s="244"/>
      <c r="H1684" s="243"/>
      <c r="I1684" s="258"/>
      <c r="J1684" s="245"/>
      <c r="K1684" s="245"/>
      <c r="L1684" s="76">
        <f t="shared" si="260"/>
        <v>0</v>
      </c>
      <c r="M1684" s="246"/>
      <c r="N1684" s="247"/>
      <c r="O1684" s="248"/>
      <c r="P1684" s="246"/>
      <c r="Q1684" s="249"/>
      <c r="R1684" s="250"/>
      <c r="S1684" s="259"/>
      <c r="T1684" s="260"/>
      <c r="U1684" s="250"/>
      <c r="V1684" s="78">
        <f t="shared" si="261"/>
        <v>0</v>
      </c>
      <c r="W1684" s="261">
        <f t="shared" si="262"/>
        <v>0</v>
      </c>
      <c r="X1684" s="133">
        <f t="shared" si="263"/>
        <v>0</v>
      </c>
      <c r="Y1684" s="251"/>
      <c r="Z1684" s="1736"/>
      <c r="AA1684" s="1737"/>
      <c r="AB1684" s="77">
        <f t="shared" si="264"/>
        <v>0</v>
      </c>
      <c r="AC1684" s="134">
        <f t="shared" si="265"/>
        <v>0</v>
      </c>
      <c r="AD1684" s="251"/>
      <c r="AE1684" s="1736"/>
      <c r="AF1684" s="1737"/>
      <c r="AG1684" s="77">
        <f t="shared" si="266"/>
        <v>0</v>
      </c>
      <c r="AH1684" s="136">
        <f t="shared" si="267"/>
        <v>0</v>
      </c>
      <c r="AI1684" s="251"/>
      <c r="AJ1684" s="1736"/>
      <c r="AK1684" s="1737"/>
      <c r="AL1684" s="79">
        <f t="shared" si="268"/>
        <v>0</v>
      </c>
      <c r="AM1684" s="137">
        <f t="shared" si="269"/>
        <v>0</v>
      </c>
      <c r="AN1684" s="251"/>
      <c r="AO1684" s="1736"/>
      <c r="AP1684" s="1737"/>
    </row>
    <row r="1685" spans="1:42" s="85" customFormat="1" ht="13.5" thickBot="1">
      <c r="A1685" s="240"/>
      <c r="B1685" s="241"/>
      <c r="C1685" s="242"/>
      <c r="D1685" s="242"/>
      <c r="E1685" s="243"/>
      <c r="F1685" s="244"/>
      <c r="G1685" s="244"/>
      <c r="H1685" s="243"/>
      <c r="I1685" s="258"/>
      <c r="J1685" s="245"/>
      <c r="K1685" s="245"/>
      <c r="L1685" s="76">
        <f t="shared" si="260"/>
        <v>0</v>
      </c>
      <c r="M1685" s="246"/>
      <c r="N1685" s="247"/>
      <c r="O1685" s="248"/>
      <c r="P1685" s="246"/>
      <c r="Q1685" s="249"/>
      <c r="R1685" s="250"/>
      <c r="S1685" s="259"/>
      <c r="T1685" s="260"/>
      <c r="U1685" s="250"/>
      <c r="V1685" s="78">
        <f t="shared" si="261"/>
        <v>0</v>
      </c>
      <c r="W1685" s="261">
        <f t="shared" si="262"/>
        <v>0</v>
      </c>
      <c r="X1685" s="133">
        <f t="shared" si="263"/>
        <v>0</v>
      </c>
      <c r="Y1685" s="251"/>
      <c r="Z1685" s="1736"/>
      <c r="AA1685" s="1737"/>
      <c r="AB1685" s="77">
        <f t="shared" si="264"/>
        <v>0</v>
      </c>
      <c r="AC1685" s="134">
        <f t="shared" si="265"/>
        <v>0</v>
      </c>
      <c r="AD1685" s="251"/>
      <c r="AE1685" s="1736"/>
      <c r="AF1685" s="1737"/>
      <c r="AG1685" s="77">
        <f t="shared" si="266"/>
        <v>0</v>
      </c>
      <c r="AH1685" s="136">
        <f t="shared" si="267"/>
        <v>0</v>
      </c>
      <c r="AI1685" s="251"/>
      <c r="AJ1685" s="1736"/>
      <c r="AK1685" s="1737"/>
      <c r="AL1685" s="79">
        <f t="shared" si="268"/>
        <v>0</v>
      </c>
      <c r="AM1685" s="137">
        <f t="shared" si="269"/>
        <v>0</v>
      </c>
      <c r="AN1685" s="251"/>
      <c r="AO1685" s="1736"/>
      <c r="AP1685" s="1737"/>
    </row>
    <row r="1686" spans="1:42" s="85" customFormat="1" ht="13.5" thickBot="1">
      <c r="A1686" s="240"/>
      <c r="B1686" s="241"/>
      <c r="C1686" s="242"/>
      <c r="D1686" s="242"/>
      <c r="E1686" s="243"/>
      <c r="F1686" s="244"/>
      <c r="G1686" s="244"/>
      <c r="H1686" s="243"/>
      <c r="I1686" s="258"/>
      <c r="J1686" s="245"/>
      <c r="K1686" s="245"/>
      <c r="L1686" s="76">
        <f t="shared" si="260"/>
        <v>0</v>
      </c>
      <c r="M1686" s="246"/>
      <c r="N1686" s="247"/>
      <c r="O1686" s="248"/>
      <c r="P1686" s="246"/>
      <c r="Q1686" s="249"/>
      <c r="R1686" s="250"/>
      <c r="S1686" s="259"/>
      <c r="T1686" s="260"/>
      <c r="U1686" s="250"/>
      <c r="V1686" s="78">
        <f t="shared" si="261"/>
        <v>0</v>
      </c>
      <c r="W1686" s="261">
        <f t="shared" si="262"/>
        <v>0</v>
      </c>
      <c r="X1686" s="133">
        <f t="shared" si="263"/>
        <v>0</v>
      </c>
      <c r="Y1686" s="251"/>
      <c r="Z1686" s="1736"/>
      <c r="AA1686" s="1737"/>
      <c r="AB1686" s="77">
        <f t="shared" si="264"/>
        <v>0</v>
      </c>
      <c r="AC1686" s="134">
        <f t="shared" si="265"/>
        <v>0</v>
      </c>
      <c r="AD1686" s="251"/>
      <c r="AE1686" s="1736"/>
      <c r="AF1686" s="1737"/>
      <c r="AG1686" s="77">
        <f t="shared" si="266"/>
        <v>0</v>
      </c>
      <c r="AH1686" s="136">
        <f t="shared" si="267"/>
        <v>0</v>
      </c>
      <c r="AI1686" s="251"/>
      <c r="AJ1686" s="1736"/>
      <c r="AK1686" s="1737"/>
      <c r="AL1686" s="79">
        <f t="shared" si="268"/>
        <v>0</v>
      </c>
      <c r="AM1686" s="137">
        <f t="shared" si="269"/>
        <v>0</v>
      </c>
      <c r="AN1686" s="251"/>
      <c r="AO1686" s="1736"/>
      <c r="AP1686" s="1737"/>
    </row>
    <row r="1687" spans="1:42" s="85" customFormat="1" ht="13.5" thickBot="1">
      <c r="A1687" s="240"/>
      <c r="B1687" s="241"/>
      <c r="C1687" s="242"/>
      <c r="D1687" s="242"/>
      <c r="E1687" s="243"/>
      <c r="F1687" s="244"/>
      <c r="G1687" s="244"/>
      <c r="H1687" s="243"/>
      <c r="I1687" s="258"/>
      <c r="J1687" s="245"/>
      <c r="K1687" s="245"/>
      <c r="L1687" s="76">
        <f t="shared" si="260"/>
        <v>0</v>
      </c>
      <c r="M1687" s="246"/>
      <c r="N1687" s="247"/>
      <c r="O1687" s="248"/>
      <c r="P1687" s="246"/>
      <c r="Q1687" s="249"/>
      <c r="R1687" s="250"/>
      <c r="S1687" s="259"/>
      <c r="T1687" s="260"/>
      <c r="U1687" s="250"/>
      <c r="V1687" s="78">
        <f t="shared" si="261"/>
        <v>0</v>
      </c>
      <c r="W1687" s="261">
        <f t="shared" si="262"/>
        <v>0</v>
      </c>
      <c r="X1687" s="133">
        <f t="shared" si="263"/>
        <v>0</v>
      </c>
      <c r="Y1687" s="251"/>
      <c r="Z1687" s="1736"/>
      <c r="AA1687" s="1737"/>
      <c r="AB1687" s="77">
        <f t="shared" si="264"/>
        <v>0</v>
      </c>
      <c r="AC1687" s="134">
        <f t="shared" si="265"/>
        <v>0</v>
      </c>
      <c r="AD1687" s="251"/>
      <c r="AE1687" s="1736"/>
      <c r="AF1687" s="1737"/>
      <c r="AG1687" s="77">
        <f t="shared" si="266"/>
        <v>0</v>
      </c>
      <c r="AH1687" s="136">
        <f t="shared" si="267"/>
        <v>0</v>
      </c>
      <c r="AI1687" s="251"/>
      <c r="AJ1687" s="1736"/>
      <c r="AK1687" s="1737"/>
      <c r="AL1687" s="79">
        <f t="shared" si="268"/>
        <v>0</v>
      </c>
      <c r="AM1687" s="137">
        <f t="shared" si="269"/>
        <v>0</v>
      </c>
      <c r="AN1687" s="251"/>
      <c r="AO1687" s="1736"/>
      <c r="AP1687" s="1737"/>
    </row>
    <row r="1688" spans="1:42" s="85" customFormat="1" ht="13.5" thickBot="1">
      <c r="A1688" s="240"/>
      <c r="B1688" s="241"/>
      <c r="C1688" s="242"/>
      <c r="D1688" s="242"/>
      <c r="E1688" s="243"/>
      <c r="F1688" s="244"/>
      <c r="G1688" s="244"/>
      <c r="H1688" s="243"/>
      <c r="I1688" s="258"/>
      <c r="J1688" s="245"/>
      <c r="K1688" s="245"/>
      <c r="L1688" s="76">
        <f t="shared" si="260"/>
        <v>0</v>
      </c>
      <c r="M1688" s="246"/>
      <c r="N1688" s="247"/>
      <c r="O1688" s="248"/>
      <c r="P1688" s="246"/>
      <c r="Q1688" s="249"/>
      <c r="R1688" s="250"/>
      <c r="S1688" s="259"/>
      <c r="T1688" s="260"/>
      <c r="U1688" s="250"/>
      <c r="V1688" s="78">
        <f t="shared" si="261"/>
        <v>0</v>
      </c>
      <c r="W1688" s="261">
        <f t="shared" si="262"/>
        <v>0</v>
      </c>
      <c r="X1688" s="133">
        <f t="shared" si="263"/>
        <v>0</v>
      </c>
      <c r="Y1688" s="251"/>
      <c r="Z1688" s="1736"/>
      <c r="AA1688" s="1737"/>
      <c r="AB1688" s="77">
        <f t="shared" si="264"/>
        <v>0</v>
      </c>
      <c r="AC1688" s="134">
        <f t="shared" si="265"/>
        <v>0</v>
      </c>
      <c r="AD1688" s="251"/>
      <c r="AE1688" s="1736"/>
      <c r="AF1688" s="1737"/>
      <c r="AG1688" s="77">
        <f t="shared" si="266"/>
        <v>0</v>
      </c>
      <c r="AH1688" s="136">
        <f t="shared" si="267"/>
        <v>0</v>
      </c>
      <c r="AI1688" s="251"/>
      <c r="AJ1688" s="1736"/>
      <c r="AK1688" s="1737"/>
      <c r="AL1688" s="79">
        <f t="shared" si="268"/>
        <v>0</v>
      </c>
      <c r="AM1688" s="137">
        <f t="shared" si="269"/>
        <v>0</v>
      </c>
      <c r="AN1688" s="251"/>
      <c r="AO1688" s="1736"/>
      <c r="AP1688" s="1737"/>
    </row>
    <row r="1689" spans="1:42" s="85" customFormat="1" ht="13.5" thickBot="1">
      <c r="A1689" s="240"/>
      <c r="B1689" s="241"/>
      <c r="C1689" s="242"/>
      <c r="D1689" s="242"/>
      <c r="E1689" s="243"/>
      <c r="F1689" s="244"/>
      <c r="G1689" s="244"/>
      <c r="H1689" s="243"/>
      <c r="I1689" s="258"/>
      <c r="J1689" s="245"/>
      <c r="K1689" s="245"/>
      <c r="L1689" s="76">
        <f t="shared" si="260"/>
        <v>0</v>
      </c>
      <c r="M1689" s="246"/>
      <c r="N1689" s="247"/>
      <c r="O1689" s="248"/>
      <c r="P1689" s="246"/>
      <c r="Q1689" s="249"/>
      <c r="R1689" s="250"/>
      <c r="S1689" s="259"/>
      <c r="T1689" s="260"/>
      <c r="U1689" s="250"/>
      <c r="V1689" s="78">
        <f t="shared" si="261"/>
        <v>0</v>
      </c>
      <c r="W1689" s="261">
        <f t="shared" si="262"/>
        <v>0</v>
      </c>
      <c r="X1689" s="133">
        <f t="shared" si="263"/>
        <v>0</v>
      </c>
      <c r="Y1689" s="251"/>
      <c r="Z1689" s="1736"/>
      <c r="AA1689" s="1737"/>
      <c r="AB1689" s="77">
        <f t="shared" si="264"/>
        <v>0</v>
      </c>
      <c r="AC1689" s="134">
        <f t="shared" si="265"/>
        <v>0</v>
      </c>
      <c r="AD1689" s="251"/>
      <c r="AE1689" s="1736"/>
      <c r="AF1689" s="1737"/>
      <c r="AG1689" s="77">
        <f t="shared" si="266"/>
        <v>0</v>
      </c>
      <c r="AH1689" s="136">
        <f t="shared" si="267"/>
        <v>0</v>
      </c>
      <c r="AI1689" s="251"/>
      <c r="AJ1689" s="1736"/>
      <c r="AK1689" s="1737"/>
      <c r="AL1689" s="79">
        <f t="shared" si="268"/>
        <v>0</v>
      </c>
      <c r="AM1689" s="137">
        <f t="shared" si="269"/>
        <v>0</v>
      </c>
      <c r="AN1689" s="251"/>
      <c r="AO1689" s="1736"/>
      <c r="AP1689" s="1737"/>
    </row>
    <row r="1690" spans="1:42" s="85" customFormat="1" ht="13.5" thickBot="1">
      <c r="A1690" s="240"/>
      <c r="B1690" s="241"/>
      <c r="C1690" s="242"/>
      <c r="D1690" s="242"/>
      <c r="E1690" s="243"/>
      <c r="F1690" s="244"/>
      <c r="G1690" s="244"/>
      <c r="H1690" s="243"/>
      <c r="I1690" s="258"/>
      <c r="J1690" s="245"/>
      <c r="K1690" s="245"/>
      <c r="L1690" s="76">
        <f t="shared" si="260"/>
        <v>0</v>
      </c>
      <c r="M1690" s="246"/>
      <c r="N1690" s="247"/>
      <c r="O1690" s="248"/>
      <c r="P1690" s="246"/>
      <c r="Q1690" s="249"/>
      <c r="R1690" s="250"/>
      <c r="S1690" s="259"/>
      <c r="T1690" s="260"/>
      <c r="U1690" s="250"/>
      <c r="V1690" s="78">
        <f t="shared" si="261"/>
        <v>0</v>
      </c>
      <c r="W1690" s="261">
        <f t="shared" si="262"/>
        <v>0</v>
      </c>
      <c r="X1690" s="133">
        <f t="shared" si="263"/>
        <v>0</v>
      </c>
      <c r="Y1690" s="251"/>
      <c r="Z1690" s="1736"/>
      <c r="AA1690" s="1737"/>
      <c r="AB1690" s="77">
        <f t="shared" si="264"/>
        <v>0</v>
      </c>
      <c r="AC1690" s="134">
        <f t="shared" si="265"/>
        <v>0</v>
      </c>
      <c r="AD1690" s="251"/>
      <c r="AE1690" s="1736"/>
      <c r="AF1690" s="1737"/>
      <c r="AG1690" s="77">
        <f t="shared" si="266"/>
        <v>0</v>
      </c>
      <c r="AH1690" s="136">
        <f t="shared" si="267"/>
        <v>0</v>
      </c>
      <c r="AI1690" s="251"/>
      <c r="AJ1690" s="1736"/>
      <c r="AK1690" s="1737"/>
      <c r="AL1690" s="79">
        <f t="shared" si="268"/>
        <v>0</v>
      </c>
      <c r="AM1690" s="137">
        <f t="shared" si="269"/>
        <v>0</v>
      </c>
      <c r="AN1690" s="251"/>
      <c r="AO1690" s="1736"/>
      <c r="AP1690" s="1737"/>
    </row>
    <row r="1691" spans="1:42" s="85" customFormat="1" ht="13.5" thickBot="1">
      <c r="A1691" s="240"/>
      <c r="B1691" s="241"/>
      <c r="C1691" s="242"/>
      <c r="D1691" s="242"/>
      <c r="E1691" s="243"/>
      <c r="F1691" s="244"/>
      <c r="G1691" s="244"/>
      <c r="H1691" s="243"/>
      <c r="I1691" s="258"/>
      <c r="J1691" s="245"/>
      <c r="K1691" s="245"/>
      <c r="L1691" s="76">
        <f t="shared" si="260"/>
        <v>0</v>
      </c>
      <c r="M1691" s="246"/>
      <c r="N1691" s="247"/>
      <c r="O1691" s="248"/>
      <c r="P1691" s="246"/>
      <c r="Q1691" s="249"/>
      <c r="R1691" s="250"/>
      <c r="S1691" s="259"/>
      <c r="T1691" s="260"/>
      <c r="U1691" s="250"/>
      <c r="V1691" s="78">
        <f t="shared" si="261"/>
        <v>0</v>
      </c>
      <c r="W1691" s="261">
        <f t="shared" si="262"/>
        <v>0</v>
      </c>
      <c r="X1691" s="133">
        <f t="shared" si="263"/>
        <v>0</v>
      </c>
      <c r="Y1691" s="251"/>
      <c r="Z1691" s="1736"/>
      <c r="AA1691" s="1737"/>
      <c r="AB1691" s="77">
        <f t="shared" si="264"/>
        <v>0</v>
      </c>
      <c r="AC1691" s="134">
        <f t="shared" si="265"/>
        <v>0</v>
      </c>
      <c r="AD1691" s="251"/>
      <c r="AE1691" s="1736"/>
      <c r="AF1691" s="1737"/>
      <c r="AG1691" s="77">
        <f t="shared" si="266"/>
        <v>0</v>
      </c>
      <c r="AH1691" s="136">
        <f t="shared" si="267"/>
        <v>0</v>
      </c>
      <c r="AI1691" s="251"/>
      <c r="AJ1691" s="1736"/>
      <c r="AK1691" s="1737"/>
      <c r="AL1691" s="79">
        <f t="shared" si="268"/>
        <v>0</v>
      </c>
      <c r="AM1691" s="137">
        <f t="shared" si="269"/>
        <v>0</v>
      </c>
      <c r="AN1691" s="251"/>
      <c r="AO1691" s="1736"/>
      <c r="AP1691" s="1737"/>
    </row>
    <row r="1692" spans="1:42" s="85" customFormat="1" ht="13.5" thickBot="1">
      <c r="A1692" s="240"/>
      <c r="B1692" s="241"/>
      <c r="C1692" s="242"/>
      <c r="D1692" s="242"/>
      <c r="E1692" s="243"/>
      <c r="F1692" s="244"/>
      <c r="G1692" s="244"/>
      <c r="H1692" s="243"/>
      <c r="I1692" s="258"/>
      <c r="J1692" s="245"/>
      <c r="K1692" s="245"/>
      <c r="L1692" s="76">
        <f t="shared" si="260"/>
        <v>0</v>
      </c>
      <c r="M1692" s="246"/>
      <c r="N1692" s="247"/>
      <c r="O1692" s="248"/>
      <c r="P1692" s="246"/>
      <c r="Q1692" s="249"/>
      <c r="R1692" s="250"/>
      <c r="S1692" s="259"/>
      <c r="T1692" s="260"/>
      <c r="U1692" s="250"/>
      <c r="V1692" s="78">
        <f t="shared" si="261"/>
        <v>0</v>
      </c>
      <c r="W1692" s="261">
        <f t="shared" si="262"/>
        <v>0</v>
      </c>
      <c r="X1692" s="133">
        <f t="shared" si="263"/>
        <v>0</v>
      </c>
      <c r="Y1692" s="251"/>
      <c r="Z1692" s="1736"/>
      <c r="AA1692" s="1737"/>
      <c r="AB1692" s="77">
        <f t="shared" si="264"/>
        <v>0</v>
      </c>
      <c r="AC1692" s="134">
        <f t="shared" si="265"/>
        <v>0</v>
      </c>
      <c r="AD1692" s="251"/>
      <c r="AE1692" s="1736"/>
      <c r="AF1692" s="1737"/>
      <c r="AG1692" s="77">
        <f t="shared" si="266"/>
        <v>0</v>
      </c>
      <c r="AH1692" s="136">
        <f t="shared" si="267"/>
        <v>0</v>
      </c>
      <c r="AI1692" s="251"/>
      <c r="AJ1692" s="1736"/>
      <c r="AK1692" s="1737"/>
      <c r="AL1692" s="79">
        <f t="shared" si="268"/>
        <v>0</v>
      </c>
      <c r="AM1692" s="137">
        <f t="shared" si="269"/>
        <v>0</v>
      </c>
      <c r="AN1692" s="251"/>
      <c r="AO1692" s="1736"/>
      <c r="AP1692" s="1737"/>
    </row>
    <row r="1693" spans="1:42" s="85" customFormat="1" ht="13.5" thickBot="1">
      <c r="A1693" s="240"/>
      <c r="B1693" s="241"/>
      <c r="C1693" s="242"/>
      <c r="D1693" s="242"/>
      <c r="E1693" s="243"/>
      <c r="F1693" s="244"/>
      <c r="G1693" s="244"/>
      <c r="H1693" s="243"/>
      <c r="I1693" s="258"/>
      <c r="J1693" s="245"/>
      <c r="K1693" s="245"/>
      <c r="L1693" s="76">
        <f t="shared" si="260"/>
        <v>0</v>
      </c>
      <c r="M1693" s="246"/>
      <c r="N1693" s="247"/>
      <c r="O1693" s="248"/>
      <c r="P1693" s="246"/>
      <c r="Q1693" s="249"/>
      <c r="R1693" s="250"/>
      <c r="S1693" s="259"/>
      <c r="T1693" s="260"/>
      <c r="U1693" s="250"/>
      <c r="V1693" s="78">
        <f t="shared" si="261"/>
        <v>0</v>
      </c>
      <c r="W1693" s="261">
        <f t="shared" si="262"/>
        <v>0</v>
      </c>
      <c r="X1693" s="133">
        <f t="shared" si="263"/>
        <v>0</v>
      </c>
      <c r="Y1693" s="251"/>
      <c r="Z1693" s="1736"/>
      <c r="AA1693" s="1737"/>
      <c r="AB1693" s="77">
        <f t="shared" si="264"/>
        <v>0</v>
      </c>
      <c r="AC1693" s="134">
        <f t="shared" si="265"/>
        <v>0</v>
      </c>
      <c r="AD1693" s="251"/>
      <c r="AE1693" s="1736"/>
      <c r="AF1693" s="1737"/>
      <c r="AG1693" s="77">
        <f t="shared" si="266"/>
        <v>0</v>
      </c>
      <c r="AH1693" s="136">
        <f t="shared" si="267"/>
        <v>0</v>
      </c>
      <c r="AI1693" s="251"/>
      <c r="AJ1693" s="1736"/>
      <c r="AK1693" s="1737"/>
      <c r="AL1693" s="79">
        <f t="shared" si="268"/>
        <v>0</v>
      </c>
      <c r="AM1693" s="137">
        <f t="shared" si="269"/>
        <v>0</v>
      </c>
      <c r="AN1693" s="251"/>
      <c r="AO1693" s="1736"/>
      <c r="AP1693" s="1737"/>
    </row>
    <row r="1694" spans="1:42" s="85" customFormat="1" ht="13.5" thickBot="1">
      <c r="A1694" s="240"/>
      <c r="B1694" s="241"/>
      <c r="C1694" s="242"/>
      <c r="D1694" s="242"/>
      <c r="E1694" s="243"/>
      <c r="F1694" s="244"/>
      <c r="G1694" s="244"/>
      <c r="H1694" s="243"/>
      <c r="I1694" s="258"/>
      <c r="J1694" s="245"/>
      <c r="K1694" s="245"/>
      <c r="L1694" s="76">
        <f t="shared" si="260"/>
        <v>0</v>
      </c>
      <c r="M1694" s="246"/>
      <c r="N1694" s="247"/>
      <c r="O1694" s="248"/>
      <c r="P1694" s="246"/>
      <c r="Q1694" s="249"/>
      <c r="R1694" s="250"/>
      <c r="S1694" s="259"/>
      <c r="T1694" s="260"/>
      <c r="U1694" s="250"/>
      <c r="V1694" s="78">
        <f t="shared" si="261"/>
        <v>0</v>
      </c>
      <c r="W1694" s="261">
        <f t="shared" si="262"/>
        <v>0</v>
      </c>
      <c r="X1694" s="133">
        <f t="shared" si="263"/>
        <v>0</v>
      </c>
      <c r="Y1694" s="251"/>
      <c r="Z1694" s="1736"/>
      <c r="AA1694" s="1737"/>
      <c r="AB1694" s="77">
        <f t="shared" si="264"/>
        <v>0</v>
      </c>
      <c r="AC1694" s="134">
        <f t="shared" si="265"/>
        <v>0</v>
      </c>
      <c r="AD1694" s="251"/>
      <c r="AE1694" s="1736"/>
      <c r="AF1694" s="1737"/>
      <c r="AG1694" s="77">
        <f t="shared" si="266"/>
        <v>0</v>
      </c>
      <c r="AH1694" s="136">
        <f t="shared" si="267"/>
        <v>0</v>
      </c>
      <c r="AI1694" s="251"/>
      <c r="AJ1694" s="1736"/>
      <c r="AK1694" s="1737"/>
      <c r="AL1694" s="79">
        <f t="shared" si="268"/>
        <v>0</v>
      </c>
      <c r="AM1694" s="137">
        <f t="shared" si="269"/>
        <v>0</v>
      </c>
      <c r="AN1694" s="251"/>
      <c r="AO1694" s="1736"/>
      <c r="AP1694" s="1737"/>
    </row>
    <row r="1695" spans="1:42" s="85" customFormat="1" ht="13.5" thickBot="1">
      <c r="A1695" s="240"/>
      <c r="B1695" s="241"/>
      <c r="C1695" s="242"/>
      <c r="D1695" s="242"/>
      <c r="E1695" s="243"/>
      <c r="F1695" s="244"/>
      <c r="G1695" s="244"/>
      <c r="H1695" s="243"/>
      <c r="I1695" s="258"/>
      <c r="J1695" s="245"/>
      <c r="K1695" s="245"/>
      <c r="L1695" s="76">
        <f t="shared" si="260"/>
        <v>0</v>
      </c>
      <c r="M1695" s="246"/>
      <c r="N1695" s="247"/>
      <c r="O1695" s="248"/>
      <c r="P1695" s="246"/>
      <c r="Q1695" s="249"/>
      <c r="R1695" s="250"/>
      <c r="S1695" s="259"/>
      <c r="T1695" s="260"/>
      <c r="U1695" s="250"/>
      <c r="V1695" s="78">
        <f t="shared" si="261"/>
        <v>0</v>
      </c>
      <c r="W1695" s="261">
        <f t="shared" si="262"/>
        <v>0</v>
      </c>
      <c r="X1695" s="133">
        <f t="shared" si="263"/>
        <v>0</v>
      </c>
      <c r="Y1695" s="251"/>
      <c r="Z1695" s="1736"/>
      <c r="AA1695" s="1737"/>
      <c r="AB1695" s="77">
        <f t="shared" si="264"/>
        <v>0</v>
      </c>
      <c r="AC1695" s="134">
        <f t="shared" si="265"/>
        <v>0</v>
      </c>
      <c r="AD1695" s="251"/>
      <c r="AE1695" s="1736"/>
      <c r="AF1695" s="1737"/>
      <c r="AG1695" s="77">
        <f t="shared" si="266"/>
        <v>0</v>
      </c>
      <c r="AH1695" s="136">
        <f t="shared" si="267"/>
        <v>0</v>
      </c>
      <c r="AI1695" s="251"/>
      <c r="AJ1695" s="1736"/>
      <c r="AK1695" s="1737"/>
      <c r="AL1695" s="79">
        <f t="shared" si="268"/>
        <v>0</v>
      </c>
      <c r="AM1695" s="137">
        <f t="shared" si="269"/>
        <v>0</v>
      </c>
      <c r="AN1695" s="251"/>
      <c r="AO1695" s="1736"/>
      <c r="AP1695" s="1737"/>
    </row>
    <row r="1696" spans="1:42" s="85" customFormat="1" ht="13.5" thickBot="1">
      <c r="A1696" s="240"/>
      <c r="B1696" s="241"/>
      <c r="C1696" s="242"/>
      <c r="D1696" s="242"/>
      <c r="E1696" s="243"/>
      <c r="F1696" s="244"/>
      <c r="G1696" s="244"/>
      <c r="H1696" s="243"/>
      <c r="I1696" s="258"/>
      <c r="J1696" s="245"/>
      <c r="K1696" s="245"/>
      <c r="L1696" s="76">
        <f t="shared" si="260"/>
        <v>0</v>
      </c>
      <c r="M1696" s="246"/>
      <c r="N1696" s="247"/>
      <c r="O1696" s="248"/>
      <c r="P1696" s="246"/>
      <c r="Q1696" s="249"/>
      <c r="R1696" s="250"/>
      <c r="S1696" s="259"/>
      <c r="T1696" s="260"/>
      <c r="U1696" s="250"/>
      <c r="V1696" s="78">
        <f t="shared" si="261"/>
        <v>0</v>
      </c>
      <c r="W1696" s="261">
        <f t="shared" si="262"/>
        <v>0</v>
      </c>
      <c r="X1696" s="133">
        <f t="shared" si="263"/>
        <v>0</v>
      </c>
      <c r="Y1696" s="251"/>
      <c r="Z1696" s="1736"/>
      <c r="AA1696" s="1737"/>
      <c r="AB1696" s="77">
        <f t="shared" si="264"/>
        <v>0</v>
      </c>
      <c r="AC1696" s="134">
        <f t="shared" si="265"/>
        <v>0</v>
      </c>
      <c r="AD1696" s="251"/>
      <c r="AE1696" s="1736"/>
      <c r="AF1696" s="1737"/>
      <c r="AG1696" s="77">
        <f t="shared" si="266"/>
        <v>0</v>
      </c>
      <c r="AH1696" s="136">
        <f t="shared" si="267"/>
        <v>0</v>
      </c>
      <c r="AI1696" s="251"/>
      <c r="AJ1696" s="1736"/>
      <c r="AK1696" s="1737"/>
      <c r="AL1696" s="79">
        <f t="shared" si="268"/>
        <v>0</v>
      </c>
      <c r="AM1696" s="137">
        <f t="shared" si="269"/>
        <v>0</v>
      </c>
      <c r="AN1696" s="251"/>
      <c r="AO1696" s="1736"/>
      <c r="AP1696" s="1737"/>
    </row>
    <row r="1697" spans="1:42" s="85" customFormat="1" ht="13.5" thickBot="1">
      <c r="A1697" s="240"/>
      <c r="B1697" s="241"/>
      <c r="C1697" s="242"/>
      <c r="D1697" s="242"/>
      <c r="E1697" s="243"/>
      <c r="F1697" s="244"/>
      <c r="G1697" s="244"/>
      <c r="H1697" s="243"/>
      <c r="I1697" s="258"/>
      <c r="J1697" s="245"/>
      <c r="K1697" s="245"/>
      <c r="L1697" s="76">
        <f t="shared" si="260"/>
        <v>0</v>
      </c>
      <c r="M1697" s="246"/>
      <c r="N1697" s="247"/>
      <c r="O1697" s="248"/>
      <c r="P1697" s="246"/>
      <c r="Q1697" s="249"/>
      <c r="R1697" s="250"/>
      <c r="S1697" s="259"/>
      <c r="T1697" s="260"/>
      <c r="U1697" s="250"/>
      <c r="V1697" s="78">
        <f t="shared" si="261"/>
        <v>0</v>
      </c>
      <c r="W1697" s="261">
        <f t="shared" si="262"/>
        <v>0</v>
      </c>
      <c r="X1697" s="133">
        <f t="shared" si="263"/>
        <v>0</v>
      </c>
      <c r="Y1697" s="251"/>
      <c r="Z1697" s="1736"/>
      <c r="AA1697" s="1737"/>
      <c r="AB1697" s="77">
        <f t="shared" si="264"/>
        <v>0</v>
      </c>
      <c r="AC1697" s="134">
        <f t="shared" si="265"/>
        <v>0</v>
      </c>
      <c r="AD1697" s="251"/>
      <c r="AE1697" s="1736"/>
      <c r="AF1697" s="1737"/>
      <c r="AG1697" s="77">
        <f t="shared" si="266"/>
        <v>0</v>
      </c>
      <c r="AH1697" s="136">
        <f t="shared" si="267"/>
        <v>0</v>
      </c>
      <c r="AI1697" s="251"/>
      <c r="AJ1697" s="1736"/>
      <c r="AK1697" s="1737"/>
      <c r="AL1697" s="79">
        <f t="shared" si="268"/>
        <v>0</v>
      </c>
      <c r="AM1697" s="137">
        <f t="shared" si="269"/>
        <v>0</v>
      </c>
      <c r="AN1697" s="251"/>
      <c r="AO1697" s="1736"/>
      <c r="AP1697" s="1737"/>
    </row>
    <row r="1698" spans="1:42" s="85" customFormat="1" ht="13.5" thickBot="1">
      <c r="A1698" s="240"/>
      <c r="B1698" s="241"/>
      <c r="C1698" s="242"/>
      <c r="D1698" s="242"/>
      <c r="E1698" s="243"/>
      <c r="F1698" s="244"/>
      <c r="G1698" s="244"/>
      <c r="H1698" s="243"/>
      <c r="I1698" s="258"/>
      <c r="J1698" s="245"/>
      <c r="K1698" s="245"/>
      <c r="L1698" s="76">
        <f t="shared" si="260"/>
        <v>0</v>
      </c>
      <c r="M1698" s="246"/>
      <c r="N1698" s="247"/>
      <c r="O1698" s="248"/>
      <c r="P1698" s="246"/>
      <c r="Q1698" s="249"/>
      <c r="R1698" s="250"/>
      <c r="S1698" s="259"/>
      <c r="T1698" s="260"/>
      <c r="U1698" s="250"/>
      <c r="V1698" s="78">
        <f t="shared" si="261"/>
        <v>0</v>
      </c>
      <c r="W1698" s="261">
        <f t="shared" si="262"/>
        <v>0</v>
      </c>
      <c r="X1698" s="133">
        <f t="shared" si="263"/>
        <v>0</v>
      </c>
      <c r="Y1698" s="251"/>
      <c r="Z1698" s="1736"/>
      <c r="AA1698" s="1737"/>
      <c r="AB1698" s="77">
        <f t="shared" si="264"/>
        <v>0</v>
      </c>
      <c r="AC1698" s="134">
        <f t="shared" si="265"/>
        <v>0</v>
      </c>
      <c r="AD1698" s="251"/>
      <c r="AE1698" s="1736"/>
      <c r="AF1698" s="1737"/>
      <c r="AG1698" s="77">
        <f t="shared" si="266"/>
        <v>0</v>
      </c>
      <c r="AH1698" s="136">
        <f t="shared" si="267"/>
        <v>0</v>
      </c>
      <c r="AI1698" s="251"/>
      <c r="AJ1698" s="1736"/>
      <c r="AK1698" s="1737"/>
      <c r="AL1698" s="79">
        <f t="shared" si="268"/>
        <v>0</v>
      </c>
      <c r="AM1698" s="137">
        <f t="shared" si="269"/>
        <v>0</v>
      </c>
      <c r="AN1698" s="251"/>
      <c r="AO1698" s="1736"/>
      <c r="AP1698" s="1737"/>
    </row>
    <row r="1699" spans="1:42" s="85" customFormat="1" ht="13.5" thickBot="1">
      <c r="A1699" s="240"/>
      <c r="B1699" s="241"/>
      <c r="C1699" s="242"/>
      <c r="D1699" s="242"/>
      <c r="E1699" s="243"/>
      <c r="F1699" s="244"/>
      <c r="G1699" s="244"/>
      <c r="H1699" s="243"/>
      <c r="I1699" s="258"/>
      <c r="J1699" s="245"/>
      <c r="K1699" s="245"/>
      <c r="L1699" s="76">
        <f t="shared" si="260"/>
        <v>0</v>
      </c>
      <c r="M1699" s="246"/>
      <c r="N1699" s="247"/>
      <c r="O1699" s="248"/>
      <c r="P1699" s="246"/>
      <c r="Q1699" s="249"/>
      <c r="R1699" s="250"/>
      <c r="S1699" s="259"/>
      <c r="T1699" s="260"/>
      <c r="U1699" s="250"/>
      <c r="V1699" s="78">
        <f t="shared" si="261"/>
        <v>0</v>
      </c>
      <c r="W1699" s="261">
        <f t="shared" si="262"/>
        <v>0</v>
      </c>
      <c r="X1699" s="133">
        <f t="shared" si="263"/>
        <v>0</v>
      </c>
      <c r="Y1699" s="251"/>
      <c r="Z1699" s="1736"/>
      <c r="AA1699" s="1737"/>
      <c r="AB1699" s="77">
        <f t="shared" si="264"/>
        <v>0</v>
      </c>
      <c r="AC1699" s="134">
        <f t="shared" si="265"/>
        <v>0</v>
      </c>
      <c r="AD1699" s="251"/>
      <c r="AE1699" s="1736"/>
      <c r="AF1699" s="1737"/>
      <c r="AG1699" s="77">
        <f t="shared" si="266"/>
        <v>0</v>
      </c>
      <c r="AH1699" s="136">
        <f t="shared" si="267"/>
        <v>0</v>
      </c>
      <c r="AI1699" s="251"/>
      <c r="AJ1699" s="1736"/>
      <c r="AK1699" s="1737"/>
      <c r="AL1699" s="79">
        <f t="shared" si="268"/>
        <v>0</v>
      </c>
      <c r="AM1699" s="137">
        <f t="shared" si="269"/>
        <v>0</v>
      </c>
      <c r="AN1699" s="251"/>
      <c r="AO1699" s="1736"/>
      <c r="AP1699" s="1737"/>
    </row>
    <row r="1700" spans="1:42" s="85" customFormat="1" ht="13.5" thickBot="1">
      <c r="A1700" s="240"/>
      <c r="B1700" s="241"/>
      <c r="C1700" s="242"/>
      <c r="D1700" s="242"/>
      <c r="E1700" s="243"/>
      <c r="F1700" s="244"/>
      <c r="G1700" s="244"/>
      <c r="H1700" s="243"/>
      <c r="I1700" s="258"/>
      <c r="J1700" s="245"/>
      <c r="K1700" s="245"/>
      <c r="L1700" s="76">
        <f t="shared" si="260"/>
        <v>0</v>
      </c>
      <c r="M1700" s="246"/>
      <c r="N1700" s="247"/>
      <c r="O1700" s="248"/>
      <c r="P1700" s="246"/>
      <c r="Q1700" s="249"/>
      <c r="R1700" s="250"/>
      <c r="S1700" s="259"/>
      <c r="T1700" s="260"/>
      <c r="U1700" s="250"/>
      <c r="V1700" s="78">
        <f t="shared" si="261"/>
        <v>0</v>
      </c>
      <c r="W1700" s="261">
        <f t="shared" si="262"/>
        <v>0</v>
      </c>
      <c r="X1700" s="133">
        <f t="shared" si="263"/>
        <v>0</v>
      </c>
      <c r="Y1700" s="251"/>
      <c r="Z1700" s="1736"/>
      <c r="AA1700" s="1737"/>
      <c r="AB1700" s="77">
        <f t="shared" si="264"/>
        <v>0</v>
      </c>
      <c r="AC1700" s="134">
        <f t="shared" si="265"/>
        <v>0</v>
      </c>
      <c r="AD1700" s="251"/>
      <c r="AE1700" s="1736"/>
      <c r="AF1700" s="1737"/>
      <c r="AG1700" s="77">
        <f t="shared" si="266"/>
        <v>0</v>
      </c>
      <c r="AH1700" s="136">
        <f t="shared" si="267"/>
        <v>0</v>
      </c>
      <c r="AI1700" s="251"/>
      <c r="AJ1700" s="1736"/>
      <c r="AK1700" s="1737"/>
      <c r="AL1700" s="79">
        <f t="shared" si="268"/>
        <v>0</v>
      </c>
      <c r="AM1700" s="137">
        <f t="shared" si="269"/>
        <v>0</v>
      </c>
      <c r="AN1700" s="251"/>
      <c r="AO1700" s="1736"/>
      <c r="AP1700" s="1737"/>
    </row>
    <row r="1701" spans="1:42" s="85" customFormat="1" ht="13.5" thickBot="1">
      <c r="A1701" s="240"/>
      <c r="B1701" s="241"/>
      <c r="C1701" s="242"/>
      <c r="D1701" s="242"/>
      <c r="E1701" s="243"/>
      <c r="F1701" s="244"/>
      <c r="G1701" s="244"/>
      <c r="H1701" s="243"/>
      <c r="I1701" s="258"/>
      <c r="J1701" s="245"/>
      <c r="K1701" s="245"/>
      <c r="L1701" s="76">
        <f t="shared" si="260"/>
        <v>0</v>
      </c>
      <c r="M1701" s="246"/>
      <c r="N1701" s="247"/>
      <c r="O1701" s="248"/>
      <c r="P1701" s="246"/>
      <c r="Q1701" s="249"/>
      <c r="R1701" s="250"/>
      <c r="S1701" s="259"/>
      <c r="T1701" s="260"/>
      <c r="U1701" s="250"/>
      <c r="V1701" s="78">
        <f t="shared" si="261"/>
        <v>0</v>
      </c>
      <c r="W1701" s="261">
        <f t="shared" si="262"/>
        <v>0</v>
      </c>
      <c r="X1701" s="133">
        <f t="shared" si="263"/>
        <v>0</v>
      </c>
      <c r="Y1701" s="251"/>
      <c r="Z1701" s="1736"/>
      <c r="AA1701" s="1737"/>
      <c r="AB1701" s="77">
        <f t="shared" si="264"/>
        <v>0</v>
      </c>
      <c r="AC1701" s="134">
        <f t="shared" si="265"/>
        <v>0</v>
      </c>
      <c r="AD1701" s="251"/>
      <c r="AE1701" s="1736"/>
      <c r="AF1701" s="1737"/>
      <c r="AG1701" s="77">
        <f t="shared" si="266"/>
        <v>0</v>
      </c>
      <c r="AH1701" s="136">
        <f t="shared" si="267"/>
        <v>0</v>
      </c>
      <c r="AI1701" s="251"/>
      <c r="AJ1701" s="1736"/>
      <c r="AK1701" s="1737"/>
      <c r="AL1701" s="79">
        <f t="shared" si="268"/>
        <v>0</v>
      </c>
      <c r="AM1701" s="137">
        <f t="shared" si="269"/>
        <v>0</v>
      </c>
      <c r="AN1701" s="251"/>
      <c r="AO1701" s="1736"/>
      <c r="AP1701" s="1737"/>
    </row>
    <row r="1702" spans="1:42" s="85" customFormat="1" ht="13.5" thickBot="1">
      <c r="A1702" s="240"/>
      <c r="B1702" s="241"/>
      <c r="C1702" s="242"/>
      <c r="D1702" s="242"/>
      <c r="E1702" s="243"/>
      <c r="F1702" s="244"/>
      <c r="G1702" s="244"/>
      <c r="H1702" s="243"/>
      <c r="I1702" s="258"/>
      <c r="J1702" s="245"/>
      <c r="K1702" s="245"/>
      <c r="L1702" s="76">
        <f t="shared" si="260"/>
        <v>0</v>
      </c>
      <c r="M1702" s="246"/>
      <c r="N1702" s="247"/>
      <c r="O1702" s="248"/>
      <c r="P1702" s="246"/>
      <c r="Q1702" s="249"/>
      <c r="R1702" s="250"/>
      <c r="S1702" s="259"/>
      <c r="T1702" s="260"/>
      <c r="U1702" s="250"/>
      <c r="V1702" s="78">
        <f t="shared" si="261"/>
        <v>0</v>
      </c>
      <c r="W1702" s="261">
        <f t="shared" si="262"/>
        <v>0</v>
      </c>
      <c r="X1702" s="133">
        <f t="shared" si="263"/>
        <v>0</v>
      </c>
      <c r="Y1702" s="251"/>
      <c r="Z1702" s="1736"/>
      <c r="AA1702" s="1737"/>
      <c r="AB1702" s="77">
        <f t="shared" si="264"/>
        <v>0</v>
      </c>
      <c r="AC1702" s="134">
        <f t="shared" si="265"/>
        <v>0</v>
      </c>
      <c r="AD1702" s="251"/>
      <c r="AE1702" s="1736"/>
      <c r="AF1702" s="1737"/>
      <c r="AG1702" s="77">
        <f t="shared" si="266"/>
        <v>0</v>
      </c>
      <c r="AH1702" s="136">
        <f t="shared" si="267"/>
        <v>0</v>
      </c>
      <c r="AI1702" s="251"/>
      <c r="AJ1702" s="1736"/>
      <c r="AK1702" s="1737"/>
      <c r="AL1702" s="79">
        <f t="shared" si="268"/>
        <v>0</v>
      </c>
      <c r="AM1702" s="137">
        <f t="shared" si="269"/>
        <v>0</v>
      </c>
      <c r="AN1702" s="251"/>
      <c r="AO1702" s="1736"/>
      <c r="AP1702" s="1737"/>
    </row>
    <row r="1703" spans="1:42" s="85" customFormat="1" ht="13.5" thickBot="1">
      <c r="A1703" s="240"/>
      <c r="B1703" s="241"/>
      <c r="C1703" s="242"/>
      <c r="D1703" s="242"/>
      <c r="E1703" s="243"/>
      <c r="F1703" s="244"/>
      <c r="G1703" s="244"/>
      <c r="H1703" s="243"/>
      <c r="I1703" s="258"/>
      <c r="J1703" s="245"/>
      <c r="K1703" s="245"/>
      <c r="L1703" s="76">
        <f t="shared" si="260"/>
        <v>0</v>
      </c>
      <c r="M1703" s="246"/>
      <c r="N1703" s="247"/>
      <c r="O1703" s="248"/>
      <c r="P1703" s="246"/>
      <c r="Q1703" s="249"/>
      <c r="R1703" s="250"/>
      <c r="S1703" s="259"/>
      <c r="T1703" s="260"/>
      <c r="U1703" s="250"/>
      <c r="V1703" s="78">
        <f t="shared" si="261"/>
        <v>0</v>
      </c>
      <c r="W1703" s="261">
        <f t="shared" si="262"/>
        <v>0</v>
      </c>
      <c r="X1703" s="133">
        <f t="shared" si="263"/>
        <v>0</v>
      </c>
      <c r="Y1703" s="251"/>
      <c r="Z1703" s="1736"/>
      <c r="AA1703" s="1737"/>
      <c r="AB1703" s="77">
        <f t="shared" si="264"/>
        <v>0</v>
      </c>
      <c r="AC1703" s="134">
        <f t="shared" si="265"/>
        <v>0</v>
      </c>
      <c r="AD1703" s="251"/>
      <c r="AE1703" s="1736"/>
      <c r="AF1703" s="1737"/>
      <c r="AG1703" s="77">
        <f t="shared" si="266"/>
        <v>0</v>
      </c>
      <c r="AH1703" s="136">
        <f t="shared" si="267"/>
        <v>0</v>
      </c>
      <c r="AI1703" s="251"/>
      <c r="AJ1703" s="1736"/>
      <c r="AK1703" s="1737"/>
      <c r="AL1703" s="79">
        <f t="shared" si="268"/>
        <v>0</v>
      </c>
      <c r="AM1703" s="137">
        <f t="shared" si="269"/>
        <v>0</v>
      </c>
      <c r="AN1703" s="251"/>
      <c r="AO1703" s="1736"/>
      <c r="AP1703" s="1737"/>
    </row>
    <row r="1704" spans="1:42" s="85" customFormat="1" ht="13.5" thickBot="1">
      <c r="A1704" s="240"/>
      <c r="B1704" s="241"/>
      <c r="C1704" s="242"/>
      <c r="D1704" s="242"/>
      <c r="E1704" s="243"/>
      <c r="F1704" s="244"/>
      <c r="G1704" s="244"/>
      <c r="H1704" s="243"/>
      <c r="I1704" s="258"/>
      <c r="J1704" s="245"/>
      <c r="K1704" s="245"/>
      <c r="L1704" s="76">
        <f t="shared" si="260"/>
        <v>0</v>
      </c>
      <c r="M1704" s="246"/>
      <c r="N1704" s="247"/>
      <c r="O1704" s="248"/>
      <c r="P1704" s="246"/>
      <c r="Q1704" s="249"/>
      <c r="R1704" s="250"/>
      <c r="S1704" s="259"/>
      <c r="T1704" s="260"/>
      <c r="U1704" s="250"/>
      <c r="V1704" s="78">
        <f t="shared" si="261"/>
        <v>0</v>
      </c>
      <c r="W1704" s="261">
        <f t="shared" si="262"/>
        <v>0</v>
      </c>
      <c r="X1704" s="133">
        <f t="shared" si="263"/>
        <v>0</v>
      </c>
      <c r="Y1704" s="251"/>
      <c r="Z1704" s="1736"/>
      <c r="AA1704" s="1737"/>
      <c r="AB1704" s="77">
        <f t="shared" si="264"/>
        <v>0</v>
      </c>
      <c r="AC1704" s="134">
        <f t="shared" si="265"/>
        <v>0</v>
      </c>
      <c r="AD1704" s="251"/>
      <c r="AE1704" s="1736"/>
      <c r="AF1704" s="1737"/>
      <c r="AG1704" s="77">
        <f t="shared" si="266"/>
        <v>0</v>
      </c>
      <c r="AH1704" s="136">
        <f t="shared" si="267"/>
        <v>0</v>
      </c>
      <c r="AI1704" s="251"/>
      <c r="AJ1704" s="1736"/>
      <c r="AK1704" s="1737"/>
      <c r="AL1704" s="79">
        <f t="shared" si="268"/>
        <v>0</v>
      </c>
      <c r="AM1704" s="137">
        <f t="shared" si="269"/>
        <v>0</v>
      </c>
      <c r="AN1704" s="251"/>
      <c r="AO1704" s="1736"/>
      <c r="AP1704" s="1737"/>
    </row>
    <row r="1705" spans="1:42" s="85" customFormat="1" ht="13.5" thickBot="1">
      <c r="A1705" s="240"/>
      <c r="B1705" s="241"/>
      <c r="C1705" s="242"/>
      <c r="D1705" s="242"/>
      <c r="E1705" s="243"/>
      <c r="F1705" s="244"/>
      <c r="G1705" s="244"/>
      <c r="H1705" s="243"/>
      <c r="I1705" s="258"/>
      <c r="J1705" s="245"/>
      <c r="K1705" s="245"/>
      <c r="L1705" s="76">
        <f t="shared" si="260"/>
        <v>0</v>
      </c>
      <c r="M1705" s="246"/>
      <c r="N1705" s="247"/>
      <c r="O1705" s="248"/>
      <c r="P1705" s="246"/>
      <c r="Q1705" s="249"/>
      <c r="R1705" s="250"/>
      <c r="S1705" s="259"/>
      <c r="T1705" s="260"/>
      <c r="U1705" s="250"/>
      <c r="V1705" s="78">
        <f t="shared" si="261"/>
        <v>0</v>
      </c>
      <c r="W1705" s="261">
        <f t="shared" si="262"/>
        <v>0</v>
      </c>
      <c r="X1705" s="133">
        <f t="shared" si="263"/>
        <v>0</v>
      </c>
      <c r="Y1705" s="251"/>
      <c r="Z1705" s="1736"/>
      <c r="AA1705" s="1737"/>
      <c r="AB1705" s="77">
        <f t="shared" si="264"/>
        <v>0</v>
      </c>
      <c r="AC1705" s="134">
        <f t="shared" si="265"/>
        <v>0</v>
      </c>
      <c r="AD1705" s="251"/>
      <c r="AE1705" s="1736"/>
      <c r="AF1705" s="1737"/>
      <c r="AG1705" s="77">
        <f t="shared" si="266"/>
        <v>0</v>
      </c>
      <c r="AH1705" s="136">
        <f t="shared" si="267"/>
        <v>0</v>
      </c>
      <c r="AI1705" s="251"/>
      <c r="AJ1705" s="1736"/>
      <c r="AK1705" s="1737"/>
      <c r="AL1705" s="79">
        <f t="shared" si="268"/>
        <v>0</v>
      </c>
      <c r="AM1705" s="137">
        <f t="shared" si="269"/>
        <v>0</v>
      </c>
      <c r="AN1705" s="251"/>
      <c r="AO1705" s="1736"/>
      <c r="AP1705" s="1737"/>
    </row>
    <row r="1706" spans="1:42" s="85" customFormat="1" ht="13.5" thickBot="1">
      <c r="A1706" s="240"/>
      <c r="B1706" s="241"/>
      <c r="C1706" s="242"/>
      <c r="D1706" s="242"/>
      <c r="E1706" s="243"/>
      <c r="F1706" s="244"/>
      <c r="G1706" s="244"/>
      <c r="H1706" s="243"/>
      <c r="I1706" s="258"/>
      <c r="J1706" s="245"/>
      <c r="K1706" s="245"/>
      <c r="L1706" s="76">
        <f t="shared" si="260"/>
        <v>0</v>
      </c>
      <c r="M1706" s="246"/>
      <c r="N1706" s="247"/>
      <c r="O1706" s="248"/>
      <c r="P1706" s="246"/>
      <c r="Q1706" s="249"/>
      <c r="R1706" s="250"/>
      <c r="S1706" s="259"/>
      <c r="T1706" s="260"/>
      <c r="U1706" s="250"/>
      <c r="V1706" s="78">
        <f t="shared" si="261"/>
        <v>0</v>
      </c>
      <c r="W1706" s="261">
        <f t="shared" si="262"/>
        <v>0</v>
      </c>
      <c r="X1706" s="133">
        <f t="shared" si="263"/>
        <v>0</v>
      </c>
      <c r="Y1706" s="251"/>
      <c r="Z1706" s="1736"/>
      <c r="AA1706" s="1737"/>
      <c r="AB1706" s="77">
        <f t="shared" si="264"/>
        <v>0</v>
      </c>
      <c r="AC1706" s="134">
        <f t="shared" si="265"/>
        <v>0</v>
      </c>
      <c r="AD1706" s="251"/>
      <c r="AE1706" s="1736"/>
      <c r="AF1706" s="1737"/>
      <c r="AG1706" s="77">
        <f t="shared" si="266"/>
        <v>0</v>
      </c>
      <c r="AH1706" s="136">
        <f t="shared" si="267"/>
        <v>0</v>
      </c>
      <c r="AI1706" s="251"/>
      <c r="AJ1706" s="1736"/>
      <c r="AK1706" s="1737"/>
      <c r="AL1706" s="79">
        <f t="shared" si="268"/>
        <v>0</v>
      </c>
      <c r="AM1706" s="137">
        <f t="shared" si="269"/>
        <v>0</v>
      </c>
      <c r="AN1706" s="251"/>
      <c r="AO1706" s="1736"/>
      <c r="AP1706" s="1737"/>
    </row>
    <row r="1707" spans="1:42" s="85" customFormat="1" ht="13.5" thickBot="1">
      <c r="A1707" s="240"/>
      <c r="B1707" s="241"/>
      <c r="C1707" s="242"/>
      <c r="D1707" s="242"/>
      <c r="E1707" s="243"/>
      <c r="F1707" s="244"/>
      <c r="G1707" s="244"/>
      <c r="H1707" s="243"/>
      <c r="I1707" s="258"/>
      <c r="J1707" s="245"/>
      <c r="K1707" s="245"/>
      <c r="L1707" s="76">
        <f t="shared" si="260"/>
        <v>0</v>
      </c>
      <c r="M1707" s="246"/>
      <c r="N1707" s="247"/>
      <c r="O1707" s="248"/>
      <c r="P1707" s="246"/>
      <c r="Q1707" s="249"/>
      <c r="R1707" s="250"/>
      <c r="S1707" s="259"/>
      <c r="T1707" s="260"/>
      <c r="U1707" s="250"/>
      <c r="V1707" s="78">
        <f t="shared" si="261"/>
        <v>0</v>
      </c>
      <c r="W1707" s="261">
        <f t="shared" si="262"/>
        <v>0</v>
      </c>
      <c r="X1707" s="133">
        <f t="shared" si="263"/>
        <v>0</v>
      </c>
      <c r="Y1707" s="251"/>
      <c r="Z1707" s="1736"/>
      <c r="AA1707" s="1737"/>
      <c r="AB1707" s="77">
        <f t="shared" si="264"/>
        <v>0</v>
      </c>
      <c r="AC1707" s="134">
        <f t="shared" si="265"/>
        <v>0</v>
      </c>
      <c r="AD1707" s="251"/>
      <c r="AE1707" s="1736"/>
      <c r="AF1707" s="1737"/>
      <c r="AG1707" s="77">
        <f t="shared" si="266"/>
        <v>0</v>
      </c>
      <c r="AH1707" s="136">
        <f t="shared" si="267"/>
        <v>0</v>
      </c>
      <c r="AI1707" s="251"/>
      <c r="AJ1707" s="1736"/>
      <c r="AK1707" s="1737"/>
      <c r="AL1707" s="79">
        <f t="shared" si="268"/>
        <v>0</v>
      </c>
      <c r="AM1707" s="137">
        <f t="shared" si="269"/>
        <v>0</v>
      </c>
      <c r="AN1707" s="251"/>
      <c r="AO1707" s="1736"/>
      <c r="AP1707" s="1737"/>
    </row>
    <row r="1708" spans="1:42" s="85" customFormat="1" ht="13.5" thickBot="1">
      <c r="A1708" s="240"/>
      <c r="B1708" s="241"/>
      <c r="C1708" s="242"/>
      <c r="D1708" s="242"/>
      <c r="E1708" s="243"/>
      <c r="F1708" s="244"/>
      <c r="G1708" s="244"/>
      <c r="H1708" s="243"/>
      <c r="I1708" s="258"/>
      <c r="J1708" s="245"/>
      <c r="K1708" s="245"/>
      <c r="L1708" s="76">
        <f t="shared" si="260"/>
        <v>0</v>
      </c>
      <c r="M1708" s="246"/>
      <c r="N1708" s="247"/>
      <c r="O1708" s="248"/>
      <c r="P1708" s="246"/>
      <c r="Q1708" s="249"/>
      <c r="R1708" s="250"/>
      <c r="S1708" s="259"/>
      <c r="T1708" s="260"/>
      <c r="U1708" s="250"/>
      <c r="V1708" s="78">
        <f t="shared" si="261"/>
        <v>0</v>
      </c>
      <c r="W1708" s="261">
        <f t="shared" si="262"/>
        <v>0</v>
      </c>
      <c r="X1708" s="133">
        <f t="shared" si="263"/>
        <v>0</v>
      </c>
      <c r="Y1708" s="251"/>
      <c r="Z1708" s="1736"/>
      <c r="AA1708" s="1737"/>
      <c r="AB1708" s="77">
        <f t="shared" si="264"/>
        <v>0</v>
      </c>
      <c r="AC1708" s="134">
        <f t="shared" si="265"/>
        <v>0</v>
      </c>
      <c r="AD1708" s="251"/>
      <c r="AE1708" s="1736"/>
      <c r="AF1708" s="1737"/>
      <c r="AG1708" s="77">
        <f t="shared" si="266"/>
        <v>0</v>
      </c>
      <c r="AH1708" s="136">
        <f t="shared" si="267"/>
        <v>0</v>
      </c>
      <c r="AI1708" s="251"/>
      <c r="AJ1708" s="1736"/>
      <c r="AK1708" s="1737"/>
      <c r="AL1708" s="79">
        <f t="shared" si="268"/>
        <v>0</v>
      </c>
      <c r="AM1708" s="137">
        <f t="shared" si="269"/>
        <v>0</v>
      </c>
      <c r="AN1708" s="251"/>
      <c r="AO1708" s="1736"/>
      <c r="AP1708" s="1737"/>
    </row>
    <row r="1709" spans="1:42" s="85" customFormat="1" ht="13.5" thickBot="1">
      <c r="A1709" s="240"/>
      <c r="B1709" s="241"/>
      <c r="C1709" s="242"/>
      <c r="D1709" s="242"/>
      <c r="E1709" s="243"/>
      <c r="F1709" s="244"/>
      <c r="G1709" s="244"/>
      <c r="H1709" s="243"/>
      <c r="I1709" s="258"/>
      <c r="J1709" s="245"/>
      <c r="K1709" s="245"/>
      <c r="L1709" s="76">
        <f t="shared" si="260"/>
        <v>0</v>
      </c>
      <c r="M1709" s="246"/>
      <c r="N1709" s="247"/>
      <c r="O1709" s="248"/>
      <c r="P1709" s="246"/>
      <c r="Q1709" s="249"/>
      <c r="R1709" s="250"/>
      <c r="S1709" s="259"/>
      <c r="T1709" s="260"/>
      <c r="U1709" s="250"/>
      <c r="V1709" s="78">
        <f t="shared" si="261"/>
        <v>0</v>
      </c>
      <c r="W1709" s="261">
        <f t="shared" si="262"/>
        <v>0</v>
      </c>
      <c r="X1709" s="133">
        <f t="shared" si="263"/>
        <v>0</v>
      </c>
      <c r="Y1709" s="251"/>
      <c r="Z1709" s="1736"/>
      <c r="AA1709" s="1737"/>
      <c r="AB1709" s="77">
        <f t="shared" si="264"/>
        <v>0</v>
      </c>
      <c r="AC1709" s="134">
        <f t="shared" si="265"/>
        <v>0</v>
      </c>
      <c r="AD1709" s="251"/>
      <c r="AE1709" s="1736"/>
      <c r="AF1709" s="1737"/>
      <c r="AG1709" s="77">
        <f t="shared" si="266"/>
        <v>0</v>
      </c>
      <c r="AH1709" s="136">
        <f t="shared" si="267"/>
        <v>0</v>
      </c>
      <c r="AI1709" s="251"/>
      <c r="AJ1709" s="1736"/>
      <c r="AK1709" s="1737"/>
      <c r="AL1709" s="79">
        <f t="shared" si="268"/>
        <v>0</v>
      </c>
      <c r="AM1709" s="137">
        <f t="shared" si="269"/>
        <v>0</v>
      </c>
      <c r="AN1709" s="251"/>
      <c r="AO1709" s="1736"/>
      <c r="AP1709" s="1737"/>
    </row>
    <row r="1710" spans="1:42" s="85" customFormat="1" ht="13.5" thickBot="1">
      <c r="A1710" s="240"/>
      <c r="B1710" s="241"/>
      <c r="C1710" s="242"/>
      <c r="D1710" s="242"/>
      <c r="E1710" s="243"/>
      <c r="F1710" s="244"/>
      <c r="G1710" s="244"/>
      <c r="H1710" s="243"/>
      <c r="I1710" s="258"/>
      <c r="J1710" s="245"/>
      <c r="K1710" s="245"/>
      <c r="L1710" s="76">
        <f t="shared" si="260"/>
        <v>0</v>
      </c>
      <c r="M1710" s="246"/>
      <c r="N1710" s="247"/>
      <c r="O1710" s="248"/>
      <c r="P1710" s="246"/>
      <c r="Q1710" s="249"/>
      <c r="R1710" s="250"/>
      <c r="S1710" s="259"/>
      <c r="T1710" s="260"/>
      <c r="U1710" s="250"/>
      <c r="V1710" s="78">
        <f t="shared" si="261"/>
        <v>0</v>
      </c>
      <c r="W1710" s="261">
        <f t="shared" si="262"/>
        <v>0</v>
      </c>
      <c r="X1710" s="133">
        <f t="shared" si="263"/>
        <v>0</v>
      </c>
      <c r="Y1710" s="251"/>
      <c r="Z1710" s="1736"/>
      <c r="AA1710" s="1737"/>
      <c r="AB1710" s="77">
        <f t="shared" si="264"/>
        <v>0</v>
      </c>
      <c r="AC1710" s="134">
        <f t="shared" si="265"/>
        <v>0</v>
      </c>
      <c r="AD1710" s="251"/>
      <c r="AE1710" s="1736"/>
      <c r="AF1710" s="1737"/>
      <c r="AG1710" s="77">
        <f t="shared" si="266"/>
        <v>0</v>
      </c>
      <c r="AH1710" s="136">
        <f t="shared" si="267"/>
        <v>0</v>
      </c>
      <c r="AI1710" s="251"/>
      <c r="AJ1710" s="1736"/>
      <c r="AK1710" s="1737"/>
      <c r="AL1710" s="79">
        <f t="shared" si="268"/>
        <v>0</v>
      </c>
      <c r="AM1710" s="137">
        <f t="shared" si="269"/>
        <v>0</v>
      </c>
      <c r="AN1710" s="251"/>
      <c r="AO1710" s="1736"/>
      <c r="AP1710" s="1737"/>
    </row>
    <row r="1711" spans="1:42" s="85" customFormat="1" ht="13.5" thickBot="1">
      <c r="A1711" s="240"/>
      <c r="B1711" s="241"/>
      <c r="C1711" s="242"/>
      <c r="D1711" s="242"/>
      <c r="E1711" s="243"/>
      <c r="F1711" s="244"/>
      <c r="G1711" s="244"/>
      <c r="H1711" s="243"/>
      <c r="I1711" s="258"/>
      <c r="J1711" s="245"/>
      <c r="K1711" s="245"/>
      <c r="L1711" s="76">
        <f t="shared" si="260"/>
        <v>0</v>
      </c>
      <c r="M1711" s="246"/>
      <c r="N1711" s="247"/>
      <c r="O1711" s="248"/>
      <c r="P1711" s="246"/>
      <c r="Q1711" s="249"/>
      <c r="R1711" s="250"/>
      <c r="S1711" s="259"/>
      <c r="T1711" s="260"/>
      <c r="U1711" s="250"/>
      <c r="V1711" s="78">
        <f t="shared" si="261"/>
        <v>0</v>
      </c>
      <c r="W1711" s="261">
        <f t="shared" si="262"/>
        <v>0</v>
      </c>
      <c r="X1711" s="133">
        <f t="shared" si="263"/>
        <v>0</v>
      </c>
      <c r="Y1711" s="251"/>
      <c r="Z1711" s="1736"/>
      <c r="AA1711" s="1737"/>
      <c r="AB1711" s="77">
        <f t="shared" si="264"/>
        <v>0</v>
      </c>
      <c r="AC1711" s="134">
        <f t="shared" si="265"/>
        <v>0</v>
      </c>
      <c r="AD1711" s="251"/>
      <c r="AE1711" s="1736"/>
      <c r="AF1711" s="1737"/>
      <c r="AG1711" s="77">
        <f t="shared" si="266"/>
        <v>0</v>
      </c>
      <c r="AH1711" s="136">
        <f t="shared" si="267"/>
        <v>0</v>
      </c>
      <c r="AI1711" s="251"/>
      <c r="AJ1711" s="1736"/>
      <c r="AK1711" s="1737"/>
      <c r="AL1711" s="79">
        <f t="shared" si="268"/>
        <v>0</v>
      </c>
      <c r="AM1711" s="137">
        <f t="shared" si="269"/>
        <v>0</v>
      </c>
      <c r="AN1711" s="251"/>
      <c r="AO1711" s="1736"/>
      <c r="AP1711" s="1737"/>
    </row>
    <row r="1712" spans="1:42" s="85" customFormat="1" ht="13.5" thickBot="1">
      <c r="A1712" s="240"/>
      <c r="B1712" s="241"/>
      <c r="C1712" s="242"/>
      <c r="D1712" s="242"/>
      <c r="E1712" s="243"/>
      <c r="F1712" s="244"/>
      <c r="G1712" s="244"/>
      <c r="H1712" s="243"/>
      <c r="I1712" s="258"/>
      <c r="J1712" s="245"/>
      <c r="K1712" s="245"/>
      <c r="L1712" s="76">
        <f t="shared" si="260"/>
        <v>0</v>
      </c>
      <c r="M1712" s="246"/>
      <c r="N1712" s="247"/>
      <c r="O1712" s="248"/>
      <c r="P1712" s="246"/>
      <c r="Q1712" s="249"/>
      <c r="R1712" s="250"/>
      <c r="S1712" s="259"/>
      <c r="T1712" s="260"/>
      <c r="U1712" s="250"/>
      <c r="V1712" s="78">
        <f t="shared" si="261"/>
        <v>0</v>
      </c>
      <c r="W1712" s="261">
        <f t="shared" si="262"/>
        <v>0</v>
      </c>
      <c r="X1712" s="133">
        <f t="shared" si="263"/>
        <v>0</v>
      </c>
      <c r="Y1712" s="251"/>
      <c r="Z1712" s="1736"/>
      <c r="AA1712" s="1737"/>
      <c r="AB1712" s="77">
        <f t="shared" si="264"/>
        <v>0</v>
      </c>
      <c r="AC1712" s="134">
        <f t="shared" si="265"/>
        <v>0</v>
      </c>
      <c r="AD1712" s="251"/>
      <c r="AE1712" s="1736"/>
      <c r="AF1712" s="1737"/>
      <c r="AG1712" s="77">
        <f t="shared" si="266"/>
        <v>0</v>
      </c>
      <c r="AH1712" s="136">
        <f t="shared" si="267"/>
        <v>0</v>
      </c>
      <c r="AI1712" s="251"/>
      <c r="AJ1712" s="1736"/>
      <c r="AK1712" s="1737"/>
      <c r="AL1712" s="79">
        <f t="shared" si="268"/>
        <v>0</v>
      </c>
      <c r="AM1712" s="137">
        <f t="shared" si="269"/>
        <v>0</v>
      </c>
      <c r="AN1712" s="251"/>
      <c r="AO1712" s="1736"/>
      <c r="AP1712" s="1737"/>
    </row>
    <row r="1713" spans="1:42" s="85" customFormat="1" ht="13.5" thickBot="1">
      <c r="A1713" s="240"/>
      <c r="B1713" s="241"/>
      <c r="C1713" s="242"/>
      <c r="D1713" s="242"/>
      <c r="E1713" s="243"/>
      <c r="F1713" s="244"/>
      <c r="G1713" s="244"/>
      <c r="H1713" s="243"/>
      <c r="I1713" s="258"/>
      <c r="J1713" s="245"/>
      <c r="K1713" s="245"/>
      <c r="L1713" s="76">
        <f t="shared" si="260"/>
        <v>0</v>
      </c>
      <c r="M1713" s="246"/>
      <c r="N1713" s="247"/>
      <c r="O1713" s="248"/>
      <c r="P1713" s="246"/>
      <c r="Q1713" s="249"/>
      <c r="R1713" s="250"/>
      <c r="S1713" s="259"/>
      <c r="T1713" s="260"/>
      <c r="U1713" s="250"/>
      <c r="V1713" s="78">
        <f t="shared" si="261"/>
        <v>0</v>
      </c>
      <c r="W1713" s="261">
        <f t="shared" si="262"/>
        <v>0</v>
      </c>
      <c r="X1713" s="133">
        <f t="shared" si="263"/>
        <v>0</v>
      </c>
      <c r="Y1713" s="251"/>
      <c r="Z1713" s="1736"/>
      <c r="AA1713" s="1737"/>
      <c r="AB1713" s="77">
        <f t="shared" si="264"/>
        <v>0</v>
      </c>
      <c r="AC1713" s="134">
        <f t="shared" si="265"/>
        <v>0</v>
      </c>
      <c r="AD1713" s="251"/>
      <c r="AE1713" s="1736"/>
      <c r="AF1713" s="1737"/>
      <c r="AG1713" s="77">
        <f t="shared" si="266"/>
        <v>0</v>
      </c>
      <c r="AH1713" s="136">
        <f t="shared" si="267"/>
        <v>0</v>
      </c>
      <c r="AI1713" s="251"/>
      <c r="AJ1713" s="1736"/>
      <c r="AK1713" s="1737"/>
      <c r="AL1713" s="79">
        <f t="shared" si="268"/>
        <v>0</v>
      </c>
      <c r="AM1713" s="137">
        <f t="shared" si="269"/>
        <v>0</v>
      </c>
      <c r="AN1713" s="251"/>
      <c r="AO1713" s="1736"/>
      <c r="AP1713" s="1737"/>
    </row>
    <row r="1714" spans="1:42" s="85" customFormat="1" ht="13.5" thickBot="1">
      <c r="A1714" s="240"/>
      <c r="B1714" s="241"/>
      <c r="C1714" s="242"/>
      <c r="D1714" s="242"/>
      <c r="E1714" s="243"/>
      <c r="F1714" s="244"/>
      <c r="G1714" s="244"/>
      <c r="H1714" s="243"/>
      <c r="I1714" s="258"/>
      <c r="J1714" s="245"/>
      <c r="K1714" s="245"/>
      <c r="L1714" s="76">
        <f t="shared" si="260"/>
        <v>0</v>
      </c>
      <c r="M1714" s="246"/>
      <c r="N1714" s="247"/>
      <c r="O1714" s="248"/>
      <c r="P1714" s="246"/>
      <c r="Q1714" s="249"/>
      <c r="R1714" s="250"/>
      <c r="S1714" s="259"/>
      <c r="T1714" s="260"/>
      <c r="U1714" s="250"/>
      <c r="V1714" s="78">
        <f t="shared" si="261"/>
        <v>0</v>
      </c>
      <c r="W1714" s="261">
        <f t="shared" si="262"/>
        <v>0</v>
      </c>
      <c r="X1714" s="133">
        <f t="shared" si="263"/>
        <v>0</v>
      </c>
      <c r="Y1714" s="251"/>
      <c r="Z1714" s="1736"/>
      <c r="AA1714" s="1737"/>
      <c r="AB1714" s="77">
        <f t="shared" si="264"/>
        <v>0</v>
      </c>
      <c r="AC1714" s="134">
        <f t="shared" si="265"/>
        <v>0</v>
      </c>
      <c r="AD1714" s="251"/>
      <c r="AE1714" s="1736"/>
      <c r="AF1714" s="1737"/>
      <c r="AG1714" s="77">
        <f t="shared" si="266"/>
        <v>0</v>
      </c>
      <c r="AH1714" s="136">
        <f t="shared" si="267"/>
        <v>0</v>
      </c>
      <c r="AI1714" s="251"/>
      <c r="AJ1714" s="1736"/>
      <c r="AK1714" s="1737"/>
      <c r="AL1714" s="79">
        <f t="shared" si="268"/>
        <v>0</v>
      </c>
      <c r="AM1714" s="137">
        <f t="shared" si="269"/>
        <v>0</v>
      </c>
      <c r="AN1714" s="251"/>
      <c r="AO1714" s="1736"/>
      <c r="AP1714" s="1737"/>
    </row>
    <row r="1715" spans="1:42" s="85" customFormat="1" ht="13.5" thickBot="1">
      <c r="A1715" s="240"/>
      <c r="B1715" s="241"/>
      <c r="C1715" s="242"/>
      <c r="D1715" s="242"/>
      <c r="E1715" s="243"/>
      <c r="F1715" s="244"/>
      <c r="G1715" s="244"/>
      <c r="H1715" s="243"/>
      <c r="I1715" s="258"/>
      <c r="J1715" s="245"/>
      <c r="K1715" s="245"/>
      <c r="L1715" s="76">
        <f t="shared" si="260"/>
        <v>0</v>
      </c>
      <c r="M1715" s="246"/>
      <c r="N1715" s="247"/>
      <c r="O1715" s="248"/>
      <c r="P1715" s="246"/>
      <c r="Q1715" s="249"/>
      <c r="R1715" s="250"/>
      <c r="S1715" s="259"/>
      <c r="T1715" s="260"/>
      <c r="U1715" s="250"/>
      <c r="V1715" s="78">
        <f t="shared" si="261"/>
        <v>0</v>
      </c>
      <c r="W1715" s="261">
        <f t="shared" si="262"/>
        <v>0</v>
      </c>
      <c r="X1715" s="133">
        <f t="shared" si="263"/>
        <v>0</v>
      </c>
      <c r="Y1715" s="251"/>
      <c r="Z1715" s="1736"/>
      <c r="AA1715" s="1737"/>
      <c r="AB1715" s="77">
        <f t="shared" si="264"/>
        <v>0</v>
      </c>
      <c r="AC1715" s="134">
        <f t="shared" si="265"/>
        <v>0</v>
      </c>
      <c r="AD1715" s="251"/>
      <c r="AE1715" s="1736"/>
      <c r="AF1715" s="1737"/>
      <c r="AG1715" s="77">
        <f t="shared" si="266"/>
        <v>0</v>
      </c>
      <c r="AH1715" s="136">
        <f t="shared" si="267"/>
        <v>0</v>
      </c>
      <c r="AI1715" s="251"/>
      <c r="AJ1715" s="1736"/>
      <c r="AK1715" s="1737"/>
      <c r="AL1715" s="79">
        <f t="shared" si="268"/>
        <v>0</v>
      </c>
      <c r="AM1715" s="137">
        <f t="shared" si="269"/>
        <v>0</v>
      </c>
      <c r="AN1715" s="251"/>
      <c r="AO1715" s="1736"/>
      <c r="AP1715" s="1737"/>
    </row>
    <row r="1716" spans="1:42" s="85" customFormat="1" ht="13.5" thickBot="1">
      <c r="A1716" s="240"/>
      <c r="B1716" s="241"/>
      <c r="C1716" s="242"/>
      <c r="D1716" s="242"/>
      <c r="E1716" s="243"/>
      <c r="F1716" s="244"/>
      <c r="G1716" s="244"/>
      <c r="H1716" s="243"/>
      <c r="I1716" s="258"/>
      <c r="J1716" s="245"/>
      <c r="K1716" s="245"/>
      <c r="L1716" s="76">
        <f t="shared" si="260"/>
        <v>0</v>
      </c>
      <c r="M1716" s="246"/>
      <c r="N1716" s="247"/>
      <c r="O1716" s="248"/>
      <c r="P1716" s="246"/>
      <c r="Q1716" s="249"/>
      <c r="R1716" s="250"/>
      <c r="S1716" s="259"/>
      <c r="T1716" s="260"/>
      <c r="U1716" s="250"/>
      <c r="V1716" s="78">
        <f t="shared" si="261"/>
        <v>0</v>
      </c>
      <c r="W1716" s="261">
        <f t="shared" si="262"/>
        <v>0</v>
      </c>
      <c r="X1716" s="133">
        <f t="shared" si="263"/>
        <v>0</v>
      </c>
      <c r="Y1716" s="251"/>
      <c r="Z1716" s="1736"/>
      <c r="AA1716" s="1737"/>
      <c r="AB1716" s="77">
        <f t="shared" si="264"/>
        <v>0</v>
      </c>
      <c r="AC1716" s="134">
        <f t="shared" si="265"/>
        <v>0</v>
      </c>
      <c r="AD1716" s="251"/>
      <c r="AE1716" s="1736"/>
      <c r="AF1716" s="1737"/>
      <c r="AG1716" s="77">
        <f t="shared" si="266"/>
        <v>0</v>
      </c>
      <c r="AH1716" s="136">
        <f t="shared" si="267"/>
        <v>0</v>
      </c>
      <c r="AI1716" s="251"/>
      <c r="AJ1716" s="1736"/>
      <c r="AK1716" s="1737"/>
      <c r="AL1716" s="79">
        <f t="shared" si="268"/>
        <v>0</v>
      </c>
      <c r="AM1716" s="137">
        <f t="shared" si="269"/>
        <v>0</v>
      </c>
      <c r="AN1716" s="251"/>
      <c r="AO1716" s="1736"/>
      <c r="AP1716" s="1737"/>
    </row>
    <row r="1717" spans="1:42" s="85" customFormat="1" ht="13.5" thickBot="1">
      <c r="A1717" s="240"/>
      <c r="B1717" s="241"/>
      <c r="C1717" s="242"/>
      <c r="D1717" s="242"/>
      <c r="E1717" s="243"/>
      <c r="F1717" s="244"/>
      <c r="G1717" s="244"/>
      <c r="H1717" s="243"/>
      <c r="I1717" s="258"/>
      <c r="J1717" s="245"/>
      <c r="K1717" s="245"/>
      <c r="L1717" s="76">
        <f t="shared" si="260"/>
        <v>0</v>
      </c>
      <c r="M1717" s="246"/>
      <c r="N1717" s="247"/>
      <c r="O1717" s="248"/>
      <c r="P1717" s="246"/>
      <c r="Q1717" s="249"/>
      <c r="R1717" s="250"/>
      <c r="S1717" s="259"/>
      <c r="T1717" s="260"/>
      <c r="U1717" s="250"/>
      <c r="V1717" s="78">
        <f t="shared" si="261"/>
        <v>0</v>
      </c>
      <c r="W1717" s="261">
        <f t="shared" si="262"/>
        <v>0</v>
      </c>
      <c r="X1717" s="133">
        <f t="shared" si="263"/>
        <v>0</v>
      </c>
      <c r="Y1717" s="251"/>
      <c r="Z1717" s="1736"/>
      <c r="AA1717" s="1737"/>
      <c r="AB1717" s="77">
        <f t="shared" si="264"/>
        <v>0</v>
      </c>
      <c r="AC1717" s="134">
        <f t="shared" si="265"/>
        <v>0</v>
      </c>
      <c r="AD1717" s="251"/>
      <c r="AE1717" s="1736"/>
      <c r="AF1717" s="1737"/>
      <c r="AG1717" s="77">
        <f t="shared" si="266"/>
        <v>0</v>
      </c>
      <c r="AH1717" s="136">
        <f t="shared" si="267"/>
        <v>0</v>
      </c>
      <c r="AI1717" s="251"/>
      <c r="AJ1717" s="1736"/>
      <c r="AK1717" s="1737"/>
      <c r="AL1717" s="79">
        <f t="shared" si="268"/>
        <v>0</v>
      </c>
      <c r="AM1717" s="137">
        <f t="shared" si="269"/>
        <v>0</v>
      </c>
      <c r="AN1717" s="251"/>
      <c r="AO1717" s="1736"/>
      <c r="AP1717" s="1737"/>
    </row>
    <row r="1718" spans="1:42" s="85" customFormat="1" ht="13.5" thickBot="1">
      <c r="A1718" s="240"/>
      <c r="B1718" s="241"/>
      <c r="C1718" s="242"/>
      <c r="D1718" s="242"/>
      <c r="E1718" s="243"/>
      <c r="F1718" s="244"/>
      <c r="G1718" s="244"/>
      <c r="H1718" s="243"/>
      <c r="I1718" s="258"/>
      <c r="J1718" s="245"/>
      <c r="K1718" s="245"/>
      <c r="L1718" s="76">
        <f t="shared" si="260"/>
        <v>0</v>
      </c>
      <c r="M1718" s="246"/>
      <c r="N1718" s="247"/>
      <c r="O1718" s="248"/>
      <c r="P1718" s="246"/>
      <c r="Q1718" s="249"/>
      <c r="R1718" s="250"/>
      <c r="S1718" s="259"/>
      <c r="T1718" s="260"/>
      <c r="U1718" s="250"/>
      <c r="V1718" s="78">
        <f t="shared" si="261"/>
        <v>0</v>
      </c>
      <c r="W1718" s="261">
        <f t="shared" si="262"/>
        <v>0</v>
      </c>
      <c r="X1718" s="133">
        <f t="shared" si="263"/>
        <v>0</v>
      </c>
      <c r="Y1718" s="251"/>
      <c r="Z1718" s="1736"/>
      <c r="AA1718" s="1737"/>
      <c r="AB1718" s="77">
        <f t="shared" si="264"/>
        <v>0</v>
      </c>
      <c r="AC1718" s="134">
        <f t="shared" si="265"/>
        <v>0</v>
      </c>
      <c r="AD1718" s="251"/>
      <c r="AE1718" s="1736"/>
      <c r="AF1718" s="1737"/>
      <c r="AG1718" s="77">
        <f t="shared" si="266"/>
        <v>0</v>
      </c>
      <c r="AH1718" s="136">
        <f t="shared" si="267"/>
        <v>0</v>
      </c>
      <c r="AI1718" s="251"/>
      <c r="AJ1718" s="1736"/>
      <c r="AK1718" s="1737"/>
      <c r="AL1718" s="79">
        <f t="shared" si="268"/>
        <v>0</v>
      </c>
      <c r="AM1718" s="137">
        <f t="shared" si="269"/>
        <v>0</v>
      </c>
      <c r="AN1718" s="251"/>
      <c r="AO1718" s="1736"/>
      <c r="AP1718" s="1737"/>
    </row>
    <row r="1719" spans="1:42" s="85" customFormat="1" ht="13.5" thickBot="1">
      <c r="A1719" s="240"/>
      <c r="B1719" s="241"/>
      <c r="C1719" s="242"/>
      <c r="D1719" s="242"/>
      <c r="E1719" s="243"/>
      <c r="F1719" s="244"/>
      <c r="G1719" s="244"/>
      <c r="H1719" s="243"/>
      <c r="I1719" s="258"/>
      <c r="J1719" s="245"/>
      <c r="K1719" s="245"/>
      <c r="L1719" s="76">
        <f t="shared" si="260"/>
        <v>0</v>
      </c>
      <c r="M1719" s="246"/>
      <c r="N1719" s="247"/>
      <c r="O1719" s="248"/>
      <c r="P1719" s="246"/>
      <c r="Q1719" s="249"/>
      <c r="R1719" s="250"/>
      <c r="S1719" s="259"/>
      <c r="T1719" s="260"/>
      <c r="U1719" s="250"/>
      <c r="V1719" s="78">
        <f t="shared" si="261"/>
        <v>0</v>
      </c>
      <c r="W1719" s="261">
        <f t="shared" si="262"/>
        <v>0</v>
      </c>
      <c r="X1719" s="133">
        <f t="shared" si="263"/>
        <v>0</v>
      </c>
      <c r="Y1719" s="251"/>
      <c r="Z1719" s="1736"/>
      <c r="AA1719" s="1737"/>
      <c r="AB1719" s="77">
        <f t="shared" si="264"/>
        <v>0</v>
      </c>
      <c r="AC1719" s="134">
        <f t="shared" si="265"/>
        <v>0</v>
      </c>
      <c r="AD1719" s="251"/>
      <c r="AE1719" s="1736"/>
      <c r="AF1719" s="1737"/>
      <c r="AG1719" s="77">
        <f t="shared" si="266"/>
        <v>0</v>
      </c>
      <c r="AH1719" s="136">
        <f t="shared" si="267"/>
        <v>0</v>
      </c>
      <c r="AI1719" s="251"/>
      <c r="AJ1719" s="1736"/>
      <c r="AK1719" s="1737"/>
      <c r="AL1719" s="79">
        <f t="shared" si="268"/>
        <v>0</v>
      </c>
      <c r="AM1719" s="137">
        <f t="shared" si="269"/>
        <v>0</v>
      </c>
      <c r="AN1719" s="251"/>
      <c r="AO1719" s="1736"/>
      <c r="AP1719" s="1737"/>
    </row>
    <row r="1720" spans="1:42" s="85" customFormat="1" ht="13.5" thickBot="1">
      <c r="A1720" s="240"/>
      <c r="B1720" s="241"/>
      <c r="C1720" s="242"/>
      <c r="D1720" s="242"/>
      <c r="E1720" s="243"/>
      <c r="F1720" s="244"/>
      <c r="G1720" s="244"/>
      <c r="H1720" s="243"/>
      <c r="I1720" s="258"/>
      <c r="J1720" s="245"/>
      <c r="K1720" s="245"/>
      <c r="L1720" s="76">
        <f t="shared" si="260"/>
        <v>0</v>
      </c>
      <c r="M1720" s="246"/>
      <c r="N1720" s="247"/>
      <c r="O1720" s="248"/>
      <c r="P1720" s="246"/>
      <c r="Q1720" s="249"/>
      <c r="R1720" s="250"/>
      <c r="S1720" s="259"/>
      <c r="T1720" s="260"/>
      <c r="U1720" s="250"/>
      <c r="V1720" s="78">
        <f t="shared" si="261"/>
        <v>0</v>
      </c>
      <c r="W1720" s="261">
        <f t="shared" si="262"/>
        <v>0</v>
      </c>
      <c r="X1720" s="133">
        <f t="shared" si="263"/>
        <v>0</v>
      </c>
      <c r="Y1720" s="251"/>
      <c r="Z1720" s="1736"/>
      <c r="AA1720" s="1737"/>
      <c r="AB1720" s="77">
        <f t="shared" si="264"/>
        <v>0</v>
      </c>
      <c r="AC1720" s="134">
        <f t="shared" si="265"/>
        <v>0</v>
      </c>
      <c r="AD1720" s="251"/>
      <c r="AE1720" s="1736"/>
      <c r="AF1720" s="1737"/>
      <c r="AG1720" s="77">
        <f t="shared" si="266"/>
        <v>0</v>
      </c>
      <c r="AH1720" s="136">
        <f t="shared" si="267"/>
        <v>0</v>
      </c>
      <c r="AI1720" s="251"/>
      <c r="AJ1720" s="1736"/>
      <c r="AK1720" s="1737"/>
      <c r="AL1720" s="79">
        <f t="shared" si="268"/>
        <v>0</v>
      </c>
      <c r="AM1720" s="137">
        <f t="shared" si="269"/>
        <v>0</v>
      </c>
      <c r="AN1720" s="251"/>
      <c r="AO1720" s="1736"/>
      <c r="AP1720" s="1737"/>
    </row>
    <row r="1721" spans="1:42" s="85" customFormat="1" ht="13.5" thickBot="1">
      <c r="A1721" s="240"/>
      <c r="B1721" s="241"/>
      <c r="C1721" s="242"/>
      <c r="D1721" s="242"/>
      <c r="E1721" s="243"/>
      <c r="F1721" s="244"/>
      <c r="G1721" s="244"/>
      <c r="H1721" s="243"/>
      <c r="I1721" s="258"/>
      <c r="J1721" s="245"/>
      <c r="K1721" s="245"/>
      <c r="L1721" s="76">
        <f t="shared" si="260"/>
        <v>0</v>
      </c>
      <c r="M1721" s="246"/>
      <c r="N1721" s="247"/>
      <c r="O1721" s="248"/>
      <c r="P1721" s="246"/>
      <c r="Q1721" s="249"/>
      <c r="R1721" s="250"/>
      <c r="S1721" s="259"/>
      <c r="T1721" s="260"/>
      <c r="U1721" s="250"/>
      <c r="V1721" s="78">
        <f t="shared" si="261"/>
        <v>0</v>
      </c>
      <c r="W1721" s="261">
        <f t="shared" si="262"/>
        <v>0</v>
      </c>
      <c r="X1721" s="133">
        <f t="shared" si="263"/>
        <v>0</v>
      </c>
      <c r="Y1721" s="251"/>
      <c r="Z1721" s="1736"/>
      <c r="AA1721" s="1737"/>
      <c r="AB1721" s="77">
        <f t="shared" si="264"/>
        <v>0</v>
      </c>
      <c r="AC1721" s="134">
        <f t="shared" si="265"/>
        <v>0</v>
      </c>
      <c r="AD1721" s="251"/>
      <c r="AE1721" s="1736"/>
      <c r="AF1721" s="1737"/>
      <c r="AG1721" s="77">
        <f t="shared" si="266"/>
        <v>0</v>
      </c>
      <c r="AH1721" s="136">
        <f t="shared" si="267"/>
        <v>0</v>
      </c>
      <c r="AI1721" s="251"/>
      <c r="AJ1721" s="1736"/>
      <c r="AK1721" s="1737"/>
      <c r="AL1721" s="79">
        <f t="shared" si="268"/>
        <v>0</v>
      </c>
      <c r="AM1721" s="137">
        <f t="shared" si="269"/>
        <v>0</v>
      </c>
      <c r="AN1721" s="251"/>
      <c r="AO1721" s="1736"/>
      <c r="AP1721" s="1737"/>
    </row>
    <row r="1722" spans="1:42" s="85" customFormat="1" ht="13.5" thickBot="1">
      <c r="A1722" s="240"/>
      <c r="B1722" s="241"/>
      <c r="C1722" s="242"/>
      <c r="D1722" s="242"/>
      <c r="E1722" s="243"/>
      <c r="F1722" s="244"/>
      <c r="G1722" s="244"/>
      <c r="H1722" s="243"/>
      <c r="I1722" s="258"/>
      <c r="J1722" s="245"/>
      <c r="K1722" s="245"/>
      <c r="L1722" s="76">
        <f t="shared" si="260"/>
        <v>0</v>
      </c>
      <c r="M1722" s="246"/>
      <c r="N1722" s="247"/>
      <c r="O1722" s="248"/>
      <c r="P1722" s="246"/>
      <c r="Q1722" s="249"/>
      <c r="R1722" s="250"/>
      <c r="S1722" s="259"/>
      <c r="T1722" s="260"/>
      <c r="U1722" s="250"/>
      <c r="V1722" s="78">
        <f t="shared" si="261"/>
        <v>0</v>
      </c>
      <c r="W1722" s="261">
        <f t="shared" si="262"/>
        <v>0</v>
      </c>
      <c r="X1722" s="133">
        <f t="shared" si="263"/>
        <v>0</v>
      </c>
      <c r="Y1722" s="251"/>
      <c r="Z1722" s="1736"/>
      <c r="AA1722" s="1737"/>
      <c r="AB1722" s="77">
        <f t="shared" si="264"/>
        <v>0</v>
      </c>
      <c r="AC1722" s="134">
        <f t="shared" si="265"/>
        <v>0</v>
      </c>
      <c r="AD1722" s="251"/>
      <c r="AE1722" s="1736"/>
      <c r="AF1722" s="1737"/>
      <c r="AG1722" s="77">
        <f t="shared" si="266"/>
        <v>0</v>
      </c>
      <c r="AH1722" s="136">
        <f t="shared" si="267"/>
        <v>0</v>
      </c>
      <c r="AI1722" s="251"/>
      <c r="AJ1722" s="1736"/>
      <c r="AK1722" s="1737"/>
      <c r="AL1722" s="79">
        <f t="shared" si="268"/>
        <v>0</v>
      </c>
      <c r="AM1722" s="137">
        <f t="shared" si="269"/>
        <v>0</v>
      </c>
      <c r="AN1722" s="251"/>
      <c r="AO1722" s="1736"/>
      <c r="AP1722" s="1737"/>
    </row>
    <row r="1723" spans="1:42" s="85" customFormat="1" ht="13.5" thickBot="1">
      <c r="A1723" s="240"/>
      <c r="B1723" s="241"/>
      <c r="C1723" s="242"/>
      <c r="D1723" s="242"/>
      <c r="E1723" s="243"/>
      <c r="F1723" s="244"/>
      <c r="G1723" s="244"/>
      <c r="H1723" s="243"/>
      <c r="I1723" s="258"/>
      <c r="J1723" s="245"/>
      <c r="K1723" s="245"/>
      <c r="L1723" s="76">
        <f t="shared" si="260"/>
        <v>0</v>
      </c>
      <c r="M1723" s="246"/>
      <c r="N1723" s="247"/>
      <c r="O1723" s="248"/>
      <c r="P1723" s="246"/>
      <c r="Q1723" s="249"/>
      <c r="R1723" s="250"/>
      <c r="S1723" s="259"/>
      <c r="T1723" s="260"/>
      <c r="U1723" s="250"/>
      <c r="V1723" s="78">
        <f t="shared" si="261"/>
        <v>0</v>
      </c>
      <c r="W1723" s="261">
        <f t="shared" si="262"/>
        <v>0</v>
      </c>
      <c r="X1723" s="133">
        <f t="shared" si="263"/>
        <v>0</v>
      </c>
      <c r="Y1723" s="251"/>
      <c r="Z1723" s="1736"/>
      <c r="AA1723" s="1737"/>
      <c r="AB1723" s="77">
        <f t="shared" si="264"/>
        <v>0</v>
      </c>
      <c r="AC1723" s="134">
        <f t="shared" si="265"/>
        <v>0</v>
      </c>
      <c r="AD1723" s="251"/>
      <c r="AE1723" s="1736"/>
      <c r="AF1723" s="1737"/>
      <c r="AG1723" s="77">
        <f t="shared" si="266"/>
        <v>0</v>
      </c>
      <c r="AH1723" s="136">
        <f t="shared" si="267"/>
        <v>0</v>
      </c>
      <c r="AI1723" s="251"/>
      <c r="AJ1723" s="1736"/>
      <c r="AK1723" s="1737"/>
      <c r="AL1723" s="79">
        <f t="shared" si="268"/>
        <v>0</v>
      </c>
      <c r="AM1723" s="137">
        <f t="shared" si="269"/>
        <v>0</v>
      </c>
      <c r="AN1723" s="251"/>
      <c r="AO1723" s="1736"/>
      <c r="AP1723" s="1737"/>
    </row>
    <row r="1724" spans="1:42" s="85" customFormat="1" ht="13.5" thickBot="1">
      <c r="A1724" s="240"/>
      <c r="B1724" s="241"/>
      <c r="C1724" s="242"/>
      <c r="D1724" s="242"/>
      <c r="E1724" s="243"/>
      <c r="F1724" s="244"/>
      <c r="G1724" s="244"/>
      <c r="H1724" s="243"/>
      <c r="I1724" s="258"/>
      <c r="J1724" s="245"/>
      <c r="K1724" s="245"/>
      <c r="L1724" s="76">
        <f t="shared" si="260"/>
        <v>0</v>
      </c>
      <c r="M1724" s="246"/>
      <c r="N1724" s="247"/>
      <c r="O1724" s="248"/>
      <c r="P1724" s="246"/>
      <c r="Q1724" s="249"/>
      <c r="R1724" s="250"/>
      <c r="S1724" s="259"/>
      <c r="T1724" s="260"/>
      <c r="U1724" s="250"/>
      <c r="V1724" s="78">
        <f t="shared" si="261"/>
        <v>0</v>
      </c>
      <c r="W1724" s="261">
        <f t="shared" si="262"/>
        <v>0</v>
      </c>
      <c r="X1724" s="133">
        <f t="shared" si="263"/>
        <v>0</v>
      </c>
      <c r="Y1724" s="251"/>
      <c r="Z1724" s="1736"/>
      <c r="AA1724" s="1737"/>
      <c r="AB1724" s="77">
        <f t="shared" si="264"/>
        <v>0</v>
      </c>
      <c r="AC1724" s="134">
        <f t="shared" si="265"/>
        <v>0</v>
      </c>
      <c r="AD1724" s="251"/>
      <c r="AE1724" s="1736"/>
      <c r="AF1724" s="1737"/>
      <c r="AG1724" s="77">
        <f t="shared" si="266"/>
        <v>0</v>
      </c>
      <c r="AH1724" s="136">
        <f t="shared" si="267"/>
        <v>0</v>
      </c>
      <c r="AI1724" s="251"/>
      <c r="AJ1724" s="1736"/>
      <c r="AK1724" s="1737"/>
      <c r="AL1724" s="79">
        <f t="shared" si="268"/>
        <v>0</v>
      </c>
      <c r="AM1724" s="137">
        <f t="shared" si="269"/>
        <v>0</v>
      </c>
      <c r="AN1724" s="251"/>
      <c r="AO1724" s="1736"/>
      <c r="AP1724" s="1737"/>
    </row>
    <row r="1725" spans="1:42" s="85" customFormat="1" ht="13.5" thickBot="1">
      <c r="A1725" s="240"/>
      <c r="B1725" s="241"/>
      <c r="C1725" s="242"/>
      <c r="D1725" s="242"/>
      <c r="E1725" s="243"/>
      <c r="F1725" s="244"/>
      <c r="G1725" s="244"/>
      <c r="H1725" s="243"/>
      <c r="I1725" s="258"/>
      <c r="J1725" s="245"/>
      <c r="K1725" s="245"/>
      <c r="L1725" s="76">
        <f t="shared" si="260"/>
        <v>0</v>
      </c>
      <c r="M1725" s="246"/>
      <c r="N1725" s="247"/>
      <c r="O1725" s="248"/>
      <c r="P1725" s="246"/>
      <c r="Q1725" s="249"/>
      <c r="R1725" s="250"/>
      <c r="S1725" s="259"/>
      <c r="T1725" s="260"/>
      <c r="U1725" s="250"/>
      <c r="V1725" s="78">
        <f t="shared" si="261"/>
        <v>0</v>
      </c>
      <c r="W1725" s="261">
        <f t="shared" si="262"/>
        <v>0</v>
      </c>
      <c r="X1725" s="133">
        <f t="shared" si="263"/>
        <v>0</v>
      </c>
      <c r="Y1725" s="251"/>
      <c r="Z1725" s="1736"/>
      <c r="AA1725" s="1737"/>
      <c r="AB1725" s="77">
        <f t="shared" si="264"/>
        <v>0</v>
      </c>
      <c r="AC1725" s="134">
        <f t="shared" si="265"/>
        <v>0</v>
      </c>
      <c r="AD1725" s="251"/>
      <c r="AE1725" s="1736"/>
      <c r="AF1725" s="1737"/>
      <c r="AG1725" s="77">
        <f t="shared" si="266"/>
        <v>0</v>
      </c>
      <c r="AH1725" s="136">
        <f t="shared" si="267"/>
        <v>0</v>
      </c>
      <c r="AI1725" s="251"/>
      <c r="AJ1725" s="1736"/>
      <c r="AK1725" s="1737"/>
      <c r="AL1725" s="79">
        <f t="shared" si="268"/>
        <v>0</v>
      </c>
      <c r="AM1725" s="137">
        <f t="shared" si="269"/>
        <v>0</v>
      </c>
      <c r="AN1725" s="251"/>
      <c r="AO1725" s="1736"/>
      <c r="AP1725" s="1737"/>
    </row>
    <row r="1726" spans="1:42" s="85" customFormat="1" ht="13.5" thickBot="1">
      <c r="A1726" s="240"/>
      <c r="B1726" s="241"/>
      <c r="C1726" s="242"/>
      <c r="D1726" s="242"/>
      <c r="E1726" s="243"/>
      <c r="F1726" s="244"/>
      <c r="G1726" s="244"/>
      <c r="H1726" s="243"/>
      <c r="I1726" s="258"/>
      <c r="J1726" s="245"/>
      <c r="K1726" s="245"/>
      <c r="L1726" s="76">
        <f t="shared" si="260"/>
        <v>0</v>
      </c>
      <c r="M1726" s="246"/>
      <c r="N1726" s="247"/>
      <c r="O1726" s="248"/>
      <c r="P1726" s="246"/>
      <c r="Q1726" s="249"/>
      <c r="R1726" s="250"/>
      <c r="S1726" s="259"/>
      <c r="T1726" s="260"/>
      <c r="U1726" s="250"/>
      <c r="V1726" s="78">
        <f t="shared" si="261"/>
        <v>0</v>
      </c>
      <c r="W1726" s="261">
        <f t="shared" si="262"/>
        <v>0</v>
      </c>
      <c r="X1726" s="133">
        <f t="shared" si="263"/>
        <v>0</v>
      </c>
      <c r="Y1726" s="251"/>
      <c r="Z1726" s="1736"/>
      <c r="AA1726" s="1737"/>
      <c r="AB1726" s="77">
        <f t="shared" si="264"/>
        <v>0</v>
      </c>
      <c r="AC1726" s="134">
        <f t="shared" si="265"/>
        <v>0</v>
      </c>
      <c r="AD1726" s="251"/>
      <c r="AE1726" s="1736"/>
      <c r="AF1726" s="1737"/>
      <c r="AG1726" s="77">
        <f t="shared" si="266"/>
        <v>0</v>
      </c>
      <c r="AH1726" s="136">
        <f t="shared" si="267"/>
        <v>0</v>
      </c>
      <c r="AI1726" s="251"/>
      <c r="AJ1726" s="1736"/>
      <c r="AK1726" s="1737"/>
      <c r="AL1726" s="79">
        <f t="shared" si="268"/>
        <v>0</v>
      </c>
      <c r="AM1726" s="137">
        <f t="shared" si="269"/>
        <v>0</v>
      </c>
      <c r="AN1726" s="251"/>
      <c r="AO1726" s="1736"/>
      <c r="AP1726" s="1737"/>
    </row>
    <row r="1727" spans="1:42" s="85" customFormat="1" ht="13.5" thickBot="1">
      <c r="A1727" s="240"/>
      <c r="B1727" s="241"/>
      <c r="C1727" s="242"/>
      <c r="D1727" s="242"/>
      <c r="E1727" s="243"/>
      <c r="F1727" s="244"/>
      <c r="G1727" s="244"/>
      <c r="H1727" s="243"/>
      <c r="I1727" s="258"/>
      <c r="J1727" s="245"/>
      <c r="K1727" s="245"/>
      <c r="L1727" s="76">
        <f t="shared" si="260"/>
        <v>0</v>
      </c>
      <c r="M1727" s="246"/>
      <c r="N1727" s="247"/>
      <c r="O1727" s="248"/>
      <c r="P1727" s="246"/>
      <c r="Q1727" s="249"/>
      <c r="R1727" s="250"/>
      <c r="S1727" s="259"/>
      <c r="T1727" s="260"/>
      <c r="U1727" s="250"/>
      <c r="V1727" s="78">
        <f t="shared" si="261"/>
        <v>0</v>
      </c>
      <c r="W1727" s="261">
        <f t="shared" si="262"/>
        <v>0</v>
      </c>
      <c r="X1727" s="133">
        <f t="shared" si="263"/>
        <v>0</v>
      </c>
      <c r="Y1727" s="251"/>
      <c r="Z1727" s="1736"/>
      <c r="AA1727" s="1737"/>
      <c r="AB1727" s="77">
        <f t="shared" si="264"/>
        <v>0</v>
      </c>
      <c r="AC1727" s="134">
        <f t="shared" si="265"/>
        <v>0</v>
      </c>
      <c r="AD1727" s="251"/>
      <c r="AE1727" s="1736"/>
      <c r="AF1727" s="1737"/>
      <c r="AG1727" s="77">
        <f t="shared" si="266"/>
        <v>0</v>
      </c>
      <c r="AH1727" s="136">
        <f t="shared" si="267"/>
        <v>0</v>
      </c>
      <c r="AI1727" s="251"/>
      <c r="AJ1727" s="1736"/>
      <c r="AK1727" s="1737"/>
      <c r="AL1727" s="79">
        <f t="shared" si="268"/>
        <v>0</v>
      </c>
      <c r="AM1727" s="137">
        <f t="shared" si="269"/>
        <v>0</v>
      </c>
      <c r="AN1727" s="251"/>
      <c r="AO1727" s="1736"/>
      <c r="AP1727" s="1737"/>
    </row>
    <row r="1728" spans="1:42" s="85" customFormat="1" ht="13.5" thickBot="1">
      <c r="A1728" s="240"/>
      <c r="B1728" s="241"/>
      <c r="C1728" s="242"/>
      <c r="D1728" s="242"/>
      <c r="E1728" s="243"/>
      <c r="F1728" s="244"/>
      <c r="G1728" s="244"/>
      <c r="H1728" s="243"/>
      <c r="I1728" s="258"/>
      <c r="J1728" s="245"/>
      <c r="K1728" s="245"/>
      <c r="L1728" s="76">
        <f t="shared" si="260"/>
        <v>0</v>
      </c>
      <c r="M1728" s="246"/>
      <c r="N1728" s="247"/>
      <c r="O1728" s="248"/>
      <c r="P1728" s="246"/>
      <c r="Q1728" s="249"/>
      <c r="R1728" s="250"/>
      <c r="S1728" s="259"/>
      <c r="T1728" s="260"/>
      <c r="U1728" s="250"/>
      <c r="V1728" s="78">
        <f t="shared" si="261"/>
        <v>0</v>
      </c>
      <c r="W1728" s="261">
        <f t="shared" si="262"/>
        <v>0</v>
      </c>
      <c r="X1728" s="133">
        <f t="shared" si="263"/>
        <v>0</v>
      </c>
      <c r="Y1728" s="251"/>
      <c r="Z1728" s="1736"/>
      <c r="AA1728" s="1737"/>
      <c r="AB1728" s="77">
        <f t="shared" si="264"/>
        <v>0</v>
      </c>
      <c r="AC1728" s="134">
        <f t="shared" si="265"/>
        <v>0</v>
      </c>
      <c r="AD1728" s="251"/>
      <c r="AE1728" s="1736"/>
      <c r="AF1728" s="1737"/>
      <c r="AG1728" s="77">
        <f t="shared" si="266"/>
        <v>0</v>
      </c>
      <c r="AH1728" s="136">
        <f t="shared" si="267"/>
        <v>0</v>
      </c>
      <c r="AI1728" s="251"/>
      <c r="AJ1728" s="1736"/>
      <c r="AK1728" s="1737"/>
      <c r="AL1728" s="79">
        <f t="shared" si="268"/>
        <v>0</v>
      </c>
      <c r="AM1728" s="137">
        <f t="shared" si="269"/>
        <v>0</v>
      </c>
      <c r="AN1728" s="251"/>
      <c r="AO1728" s="1736"/>
      <c r="AP1728" s="1737"/>
    </row>
    <row r="1729" spans="1:42" s="85" customFormat="1" ht="13.5" thickBot="1">
      <c r="A1729" s="240"/>
      <c r="B1729" s="241"/>
      <c r="C1729" s="242"/>
      <c r="D1729" s="242"/>
      <c r="E1729" s="243"/>
      <c r="F1729" s="244"/>
      <c r="G1729" s="244"/>
      <c r="H1729" s="243"/>
      <c r="I1729" s="258"/>
      <c r="J1729" s="245"/>
      <c r="K1729" s="245"/>
      <c r="L1729" s="76">
        <f t="shared" si="260"/>
        <v>0</v>
      </c>
      <c r="M1729" s="246"/>
      <c r="N1729" s="247"/>
      <c r="O1729" s="248"/>
      <c r="P1729" s="246"/>
      <c r="Q1729" s="249"/>
      <c r="R1729" s="250"/>
      <c r="S1729" s="259"/>
      <c r="T1729" s="260"/>
      <c r="U1729" s="250"/>
      <c r="V1729" s="78">
        <f t="shared" si="261"/>
        <v>0</v>
      </c>
      <c r="W1729" s="261">
        <f t="shared" si="262"/>
        <v>0</v>
      </c>
      <c r="X1729" s="133">
        <f t="shared" si="263"/>
        <v>0</v>
      </c>
      <c r="Y1729" s="251"/>
      <c r="Z1729" s="1736"/>
      <c r="AA1729" s="1737"/>
      <c r="AB1729" s="77">
        <f t="shared" si="264"/>
        <v>0</v>
      </c>
      <c r="AC1729" s="134">
        <f t="shared" si="265"/>
        <v>0</v>
      </c>
      <c r="AD1729" s="251"/>
      <c r="AE1729" s="1736"/>
      <c r="AF1729" s="1737"/>
      <c r="AG1729" s="77">
        <f t="shared" si="266"/>
        <v>0</v>
      </c>
      <c r="AH1729" s="136">
        <f t="shared" si="267"/>
        <v>0</v>
      </c>
      <c r="AI1729" s="251"/>
      <c r="AJ1729" s="1736"/>
      <c r="AK1729" s="1737"/>
      <c r="AL1729" s="79">
        <f t="shared" si="268"/>
        <v>0</v>
      </c>
      <c r="AM1729" s="137">
        <f t="shared" si="269"/>
        <v>0</v>
      </c>
      <c r="AN1729" s="251"/>
      <c r="AO1729" s="1736"/>
      <c r="AP1729" s="1737"/>
    </row>
    <row r="1730" spans="1:42" s="85" customFormat="1" ht="13.5" thickBot="1">
      <c r="A1730" s="240"/>
      <c r="B1730" s="241"/>
      <c r="C1730" s="242"/>
      <c r="D1730" s="242"/>
      <c r="E1730" s="243"/>
      <c r="F1730" s="244"/>
      <c r="G1730" s="244"/>
      <c r="H1730" s="243"/>
      <c r="I1730" s="258"/>
      <c r="J1730" s="245"/>
      <c r="K1730" s="245"/>
      <c r="L1730" s="76">
        <f t="shared" si="260"/>
        <v>0</v>
      </c>
      <c r="M1730" s="246"/>
      <c r="N1730" s="247"/>
      <c r="O1730" s="248"/>
      <c r="P1730" s="246"/>
      <c r="Q1730" s="249"/>
      <c r="R1730" s="250"/>
      <c r="S1730" s="259"/>
      <c r="T1730" s="260"/>
      <c r="U1730" s="250"/>
      <c r="V1730" s="78">
        <f t="shared" si="261"/>
        <v>0</v>
      </c>
      <c r="W1730" s="261">
        <f t="shared" si="262"/>
        <v>0</v>
      </c>
      <c r="X1730" s="133">
        <f t="shared" si="263"/>
        <v>0</v>
      </c>
      <c r="Y1730" s="251"/>
      <c r="Z1730" s="1736"/>
      <c r="AA1730" s="1737"/>
      <c r="AB1730" s="77">
        <f t="shared" si="264"/>
        <v>0</v>
      </c>
      <c r="AC1730" s="134">
        <f t="shared" si="265"/>
        <v>0</v>
      </c>
      <c r="AD1730" s="251"/>
      <c r="AE1730" s="1736"/>
      <c r="AF1730" s="1737"/>
      <c r="AG1730" s="77">
        <f t="shared" si="266"/>
        <v>0</v>
      </c>
      <c r="AH1730" s="136">
        <f t="shared" si="267"/>
        <v>0</v>
      </c>
      <c r="AI1730" s="251"/>
      <c r="AJ1730" s="1736"/>
      <c r="AK1730" s="1737"/>
      <c r="AL1730" s="79">
        <f t="shared" si="268"/>
        <v>0</v>
      </c>
      <c r="AM1730" s="137">
        <f t="shared" si="269"/>
        <v>0</v>
      </c>
      <c r="AN1730" s="251"/>
      <c r="AO1730" s="1736"/>
      <c r="AP1730" s="1737"/>
    </row>
    <row r="1731" spans="1:42" s="85" customFormat="1" ht="13.5" thickBot="1">
      <c r="A1731" s="240"/>
      <c r="B1731" s="241"/>
      <c r="C1731" s="242"/>
      <c r="D1731" s="242"/>
      <c r="E1731" s="243"/>
      <c r="F1731" s="244"/>
      <c r="G1731" s="244"/>
      <c r="H1731" s="243"/>
      <c r="I1731" s="258"/>
      <c r="J1731" s="245"/>
      <c r="K1731" s="245"/>
      <c r="L1731" s="76">
        <f t="shared" si="260"/>
        <v>0</v>
      </c>
      <c r="M1731" s="246"/>
      <c r="N1731" s="247"/>
      <c r="O1731" s="248"/>
      <c r="P1731" s="246"/>
      <c r="Q1731" s="249"/>
      <c r="R1731" s="250"/>
      <c r="S1731" s="259"/>
      <c r="T1731" s="260"/>
      <c r="U1731" s="250"/>
      <c r="V1731" s="78">
        <f t="shared" si="261"/>
        <v>0</v>
      </c>
      <c r="W1731" s="261">
        <f t="shared" si="262"/>
        <v>0</v>
      </c>
      <c r="X1731" s="133">
        <f t="shared" si="263"/>
        <v>0</v>
      </c>
      <c r="Y1731" s="251"/>
      <c r="Z1731" s="1736"/>
      <c r="AA1731" s="1737"/>
      <c r="AB1731" s="77">
        <f t="shared" si="264"/>
        <v>0</v>
      </c>
      <c r="AC1731" s="134">
        <f t="shared" si="265"/>
        <v>0</v>
      </c>
      <c r="AD1731" s="251"/>
      <c r="AE1731" s="1736"/>
      <c r="AF1731" s="1737"/>
      <c r="AG1731" s="77">
        <f t="shared" si="266"/>
        <v>0</v>
      </c>
      <c r="AH1731" s="136">
        <f t="shared" si="267"/>
        <v>0</v>
      </c>
      <c r="AI1731" s="251"/>
      <c r="AJ1731" s="1736"/>
      <c r="AK1731" s="1737"/>
      <c r="AL1731" s="79">
        <f t="shared" si="268"/>
        <v>0</v>
      </c>
      <c r="AM1731" s="137">
        <f t="shared" si="269"/>
        <v>0</v>
      </c>
      <c r="AN1731" s="251"/>
      <c r="AO1731" s="1736"/>
      <c r="AP1731" s="1737"/>
    </row>
    <row r="1732" spans="1:42" s="85" customFormat="1" ht="13.5" thickBot="1">
      <c r="A1732" s="240"/>
      <c r="B1732" s="241"/>
      <c r="C1732" s="242"/>
      <c r="D1732" s="242"/>
      <c r="E1732" s="243"/>
      <c r="F1732" s="244"/>
      <c r="G1732" s="244"/>
      <c r="H1732" s="243"/>
      <c r="I1732" s="258"/>
      <c r="J1732" s="245"/>
      <c r="K1732" s="245"/>
      <c r="L1732" s="76">
        <f t="shared" si="260"/>
        <v>0</v>
      </c>
      <c r="M1732" s="246"/>
      <c r="N1732" s="247"/>
      <c r="O1732" s="248"/>
      <c r="P1732" s="246"/>
      <c r="Q1732" s="249"/>
      <c r="R1732" s="250"/>
      <c r="S1732" s="259"/>
      <c r="T1732" s="260"/>
      <c r="U1732" s="250"/>
      <c r="V1732" s="78">
        <f t="shared" si="261"/>
        <v>0</v>
      </c>
      <c r="W1732" s="261">
        <f t="shared" si="262"/>
        <v>0</v>
      </c>
      <c r="X1732" s="133">
        <f t="shared" si="263"/>
        <v>0</v>
      </c>
      <c r="Y1732" s="251"/>
      <c r="Z1732" s="1736"/>
      <c r="AA1732" s="1737"/>
      <c r="AB1732" s="77">
        <f t="shared" si="264"/>
        <v>0</v>
      </c>
      <c r="AC1732" s="134">
        <f t="shared" si="265"/>
        <v>0</v>
      </c>
      <c r="AD1732" s="251"/>
      <c r="AE1732" s="1736"/>
      <c r="AF1732" s="1737"/>
      <c r="AG1732" s="77">
        <f t="shared" si="266"/>
        <v>0</v>
      </c>
      <c r="AH1732" s="136">
        <f t="shared" si="267"/>
        <v>0</v>
      </c>
      <c r="AI1732" s="251"/>
      <c r="AJ1732" s="1736"/>
      <c r="AK1732" s="1737"/>
      <c r="AL1732" s="79">
        <f t="shared" si="268"/>
        <v>0</v>
      </c>
      <c r="AM1732" s="137">
        <f t="shared" si="269"/>
        <v>0</v>
      </c>
      <c r="AN1732" s="251"/>
      <c r="AO1732" s="1736"/>
      <c r="AP1732" s="1737"/>
    </row>
    <row r="1733" spans="1:42" s="85" customFormat="1" ht="13.5" thickBot="1">
      <c r="A1733" s="240"/>
      <c r="B1733" s="241"/>
      <c r="C1733" s="242"/>
      <c r="D1733" s="242"/>
      <c r="E1733" s="243"/>
      <c r="F1733" s="244"/>
      <c r="G1733" s="244"/>
      <c r="H1733" s="243"/>
      <c r="I1733" s="258"/>
      <c r="J1733" s="245"/>
      <c r="K1733" s="245"/>
      <c r="L1733" s="76">
        <f t="shared" si="260"/>
        <v>0</v>
      </c>
      <c r="M1733" s="246"/>
      <c r="N1733" s="247"/>
      <c r="O1733" s="248"/>
      <c r="P1733" s="246"/>
      <c r="Q1733" s="249"/>
      <c r="R1733" s="250"/>
      <c r="S1733" s="259"/>
      <c r="T1733" s="260"/>
      <c r="U1733" s="250"/>
      <c r="V1733" s="78">
        <f t="shared" si="261"/>
        <v>0</v>
      </c>
      <c r="W1733" s="261">
        <f t="shared" si="262"/>
        <v>0</v>
      </c>
      <c r="X1733" s="133">
        <f t="shared" si="263"/>
        <v>0</v>
      </c>
      <c r="Y1733" s="251"/>
      <c r="Z1733" s="1736"/>
      <c r="AA1733" s="1737"/>
      <c r="AB1733" s="77">
        <f t="shared" si="264"/>
        <v>0</v>
      </c>
      <c r="AC1733" s="134">
        <f t="shared" si="265"/>
        <v>0</v>
      </c>
      <c r="AD1733" s="251"/>
      <c r="AE1733" s="1736"/>
      <c r="AF1733" s="1737"/>
      <c r="AG1733" s="77">
        <f t="shared" si="266"/>
        <v>0</v>
      </c>
      <c r="AH1733" s="136">
        <f t="shared" si="267"/>
        <v>0</v>
      </c>
      <c r="AI1733" s="251"/>
      <c r="AJ1733" s="1736"/>
      <c r="AK1733" s="1737"/>
      <c r="AL1733" s="79">
        <f t="shared" si="268"/>
        <v>0</v>
      </c>
      <c r="AM1733" s="137">
        <f t="shared" si="269"/>
        <v>0</v>
      </c>
      <c r="AN1733" s="251"/>
      <c r="AO1733" s="1736"/>
      <c r="AP1733" s="1737"/>
    </row>
    <row r="1734" spans="1:42" s="85" customFormat="1" ht="13.5" thickBot="1">
      <c r="A1734" s="240"/>
      <c r="B1734" s="241"/>
      <c r="C1734" s="242"/>
      <c r="D1734" s="242"/>
      <c r="E1734" s="243"/>
      <c r="F1734" s="244"/>
      <c r="G1734" s="244"/>
      <c r="H1734" s="243"/>
      <c r="I1734" s="258"/>
      <c r="J1734" s="245"/>
      <c r="K1734" s="245"/>
      <c r="L1734" s="76">
        <f t="shared" si="260"/>
        <v>0</v>
      </c>
      <c r="M1734" s="246"/>
      <c r="N1734" s="247"/>
      <c r="O1734" s="248"/>
      <c r="P1734" s="246"/>
      <c r="Q1734" s="249"/>
      <c r="R1734" s="250"/>
      <c r="S1734" s="259"/>
      <c r="T1734" s="260"/>
      <c r="U1734" s="250"/>
      <c r="V1734" s="78">
        <f t="shared" si="261"/>
        <v>0</v>
      </c>
      <c r="W1734" s="261">
        <f t="shared" si="262"/>
        <v>0</v>
      </c>
      <c r="X1734" s="133">
        <f t="shared" si="263"/>
        <v>0</v>
      </c>
      <c r="Y1734" s="251"/>
      <c r="Z1734" s="1736"/>
      <c r="AA1734" s="1737"/>
      <c r="AB1734" s="77">
        <f t="shared" si="264"/>
        <v>0</v>
      </c>
      <c r="AC1734" s="134">
        <f t="shared" si="265"/>
        <v>0</v>
      </c>
      <c r="AD1734" s="251"/>
      <c r="AE1734" s="1736"/>
      <c r="AF1734" s="1737"/>
      <c r="AG1734" s="77">
        <f t="shared" si="266"/>
        <v>0</v>
      </c>
      <c r="AH1734" s="136">
        <f t="shared" si="267"/>
        <v>0</v>
      </c>
      <c r="AI1734" s="251"/>
      <c r="AJ1734" s="1736"/>
      <c r="AK1734" s="1737"/>
      <c r="AL1734" s="79">
        <f t="shared" si="268"/>
        <v>0</v>
      </c>
      <c r="AM1734" s="137">
        <f t="shared" si="269"/>
        <v>0</v>
      </c>
      <c r="AN1734" s="251"/>
      <c r="AO1734" s="1736"/>
      <c r="AP1734" s="1737"/>
    </row>
    <row r="1735" spans="1:42" s="85" customFormat="1" ht="13.5" thickBot="1">
      <c r="A1735" s="240"/>
      <c r="B1735" s="241"/>
      <c r="C1735" s="242"/>
      <c r="D1735" s="242"/>
      <c r="E1735" s="243"/>
      <c r="F1735" s="244"/>
      <c r="G1735" s="244"/>
      <c r="H1735" s="243"/>
      <c r="I1735" s="258"/>
      <c r="J1735" s="245"/>
      <c r="K1735" s="245"/>
      <c r="L1735" s="76">
        <f t="shared" si="260"/>
        <v>0</v>
      </c>
      <c r="M1735" s="246"/>
      <c r="N1735" s="247"/>
      <c r="O1735" s="248"/>
      <c r="P1735" s="246"/>
      <c r="Q1735" s="249"/>
      <c r="R1735" s="250"/>
      <c r="S1735" s="259"/>
      <c r="T1735" s="260"/>
      <c r="U1735" s="250"/>
      <c r="V1735" s="78">
        <f t="shared" si="261"/>
        <v>0</v>
      </c>
      <c r="W1735" s="261">
        <f t="shared" si="262"/>
        <v>0</v>
      </c>
      <c r="X1735" s="133">
        <f t="shared" si="263"/>
        <v>0</v>
      </c>
      <c r="Y1735" s="251"/>
      <c r="Z1735" s="1736"/>
      <c r="AA1735" s="1737"/>
      <c r="AB1735" s="77">
        <f t="shared" si="264"/>
        <v>0</v>
      </c>
      <c r="AC1735" s="134">
        <f t="shared" si="265"/>
        <v>0</v>
      </c>
      <c r="AD1735" s="251"/>
      <c r="AE1735" s="1736"/>
      <c r="AF1735" s="1737"/>
      <c r="AG1735" s="77">
        <f t="shared" si="266"/>
        <v>0</v>
      </c>
      <c r="AH1735" s="136">
        <f t="shared" si="267"/>
        <v>0</v>
      </c>
      <c r="AI1735" s="251"/>
      <c r="AJ1735" s="1736"/>
      <c r="AK1735" s="1737"/>
      <c r="AL1735" s="79">
        <f t="shared" si="268"/>
        <v>0</v>
      </c>
      <c r="AM1735" s="137">
        <f t="shared" si="269"/>
        <v>0</v>
      </c>
      <c r="AN1735" s="251"/>
      <c r="AO1735" s="1736"/>
      <c r="AP1735" s="1737"/>
    </row>
    <row r="1736" spans="1:42" s="85" customFormat="1" ht="13.5" thickBot="1">
      <c r="A1736" s="240"/>
      <c r="B1736" s="241"/>
      <c r="C1736" s="242"/>
      <c r="D1736" s="242"/>
      <c r="E1736" s="243"/>
      <c r="F1736" s="244"/>
      <c r="G1736" s="244"/>
      <c r="H1736" s="243"/>
      <c r="I1736" s="258"/>
      <c r="J1736" s="245"/>
      <c r="K1736" s="245"/>
      <c r="L1736" s="76">
        <f t="shared" si="260"/>
        <v>0</v>
      </c>
      <c r="M1736" s="246"/>
      <c r="N1736" s="247"/>
      <c r="O1736" s="248"/>
      <c r="P1736" s="246"/>
      <c r="Q1736" s="249"/>
      <c r="R1736" s="250"/>
      <c r="S1736" s="259"/>
      <c r="T1736" s="260"/>
      <c r="U1736" s="250"/>
      <c r="V1736" s="78">
        <f t="shared" si="261"/>
        <v>0</v>
      </c>
      <c r="W1736" s="261">
        <f t="shared" si="262"/>
        <v>0</v>
      </c>
      <c r="X1736" s="133">
        <f t="shared" si="263"/>
        <v>0</v>
      </c>
      <c r="Y1736" s="251"/>
      <c r="Z1736" s="1736"/>
      <c r="AA1736" s="1737"/>
      <c r="AB1736" s="77">
        <f t="shared" si="264"/>
        <v>0</v>
      </c>
      <c r="AC1736" s="134">
        <f t="shared" si="265"/>
        <v>0</v>
      </c>
      <c r="AD1736" s="251"/>
      <c r="AE1736" s="1736"/>
      <c r="AF1736" s="1737"/>
      <c r="AG1736" s="77">
        <f t="shared" si="266"/>
        <v>0</v>
      </c>
      <c r="AH1736" s="136">
        <f t="shared" si="267"/>
        <v>0</v>
      </c>
      <c r="AI1736" s="251"/>
      <c r="AJ1736" s="1736"/>
      <c r="AK1736" s="1737"/>
      <c r="AL1736" s="79">
        <f t="shared" si="268"/>
        <v>0</v>
      </c>
      <c r="AM1736" s="137">
        <f t="shared" si="269"/>
        <v>0</v>
      </c>
      <c r="AN1736" s="251"/>
      <c r="AO1736" s="1736"/>
      <c r="AP1736" s="1737"/>
    </row>
    <row r="1737" spans="1:42" s="85" customFormat="1" ht="13.5" thickBot="1">
      <c r="A1737" s="240"/>
      <c r="B1737" s="241"/>
      <c r="C1737" s="242"/>
      <c r="D1737" s="242"/>
      <c r="E1737" s="243"/>
      <c r="F1737" s="244"/>
      <c r="G1737" s="244"/>
      <c r="H1737" s="243"/>
      <c r="I1737" s="258"/>
      <c r="J1737" s="245"/>
      <c r="K1737" s="245"/>
      <c r="L1737" s="76">
        <f t="shared" si="260"/>
        <v>0</v>
      </c>
      <c r="M1737" s="246"/>
      <c r="N1737" s="247"/>
      <c r="O1737" s="248"/>
      <c r="P1737" s="246"/>
      <c r="Q1737" s="249"/>
      <c r="R1737" s="250"/>
      <c r="S1737" s="259"/>
      <c r="T1737" s="260"/>
      <c r="U1737" s="250"/>
      <c r="V1737" s="78">
        <f t="shared" si="261"/>
        <v>0</v>
      </c>
      <c r="W1737" s="261">
        <f t="shared" si="262"/>
        <v>0</v>
      </c>
      <c r="X1737" s="133">
        <f t="shared" si="263"/>
        <v>0</v>
      </c>
      <c r="Y1737" s="251"/>
      <c r="Z1737" s="1736"/>
      <c r="AA1737" s="1737"/>
      <c r="AB1737" s="77">
        <f t="shared" si="264"/>
        <v>0</v>
      </c>
      <c r="AC1737" s="134">
        <f t="shared" si="265"/>
        <v>0</v>
      </c>
      <c r="AD1737" s="251"/>
      <c r="AE1737" s="1736"/>
      <c r="AF1737" s="1737"/>
      <c r="AG1737" s="77">
        <f t="shared" si="266"/>
        <v>0</v>
      </c>
      <c r="AH1737" s="136">
        <f t="shared" si="267"/>
        <v>0</v>
      </c>
      <c r="AI1737" s="251"/>
      <c r="AJ1737" s="1736"/>
      <c r="AK1737" s="1737"/>
      <c r="AL1737" s="79">
        <f t="shared" si="268"/>
        <v>0</v>
      </c>
      <c r="AM1737" s="137">
        <f t="shared" si="269"/>
        <v>0</v>
      </c>
      <c r="AN1737" s="251"/>
      <c r="AO1737" s="1736"/>
      <c r="AP1737" s="1737"/>
    </row>
    <row r="1738" spans="1:42" s="85" customFormat="1" ht="13.5" thickBot="1">
      <c r="A1738" s="240"/>
      <c r="B1738" s="241"/>
      <c r="C1738" s="242"/>
      <c r="D1738" s="242"/>
      <c r="E1738" s="243"/>
      <c r="F1738" s="244"/>
      <c r="G1738" s="244"/>
      <c r="H1738" s="243"/>
      <c r="I1738" s="258"/>
      <c r="J1738" s="245"/>
      <c r="K1738" s="245"/>
      <c r="L1738" s="76">
        <f t="shared" si="260"/>
        <v>0</v>
      </c>
      <c r="M1738" s="246"/>
      <c r="N1738" s="247"/>
      <c r="O1738" s="248"/>
      <c r="P1738" s="246"/>
      <c r="Q1738" s="249"/>
      <c r="R1738" s="250"/>
      <c r="S1738" s="259"/>
      <c r="T1738" s="260"/>
      <c r="U1738" s="250"/>
      <c r="V1738" s="78">
        <f t="shared" si="261"/>
        <v>0</v>
      </c>
      <c r="W1738" s="261">
        <f t="shared" si="262"/>
        <v>0</v>
      </c>
      <c r="X1738" s="133">
        <f t="shared" si="263"/>
        <v>0</v>
      </c>
      <c r="Y1738" s="251"/>
      <c r="Z1738" s="1736"/>
      <c r="AA1738" s="1737"/>
      <c r="AB1738" s="77">
        <f t="shared" si="264"/>
        <v>0</v>
      </c>
      <c r="AC1738" s="134">
        <f t="shared" si="265"/>
        <v>0</v>
      </c>
      <c r="AD1738" s="251"/>
      <c r="AE1738" s="1736"/>
      <c r="AF1738" s="1737"/>
      <c r="AG1738" s="77">
        <f t="shared" si="266"/>
        <v>0</v>
      </c>
      <c r="AH1738" s="136">
        <f t="shared" si="267"/>
        <v>0</v>
      </c>
      <c r="AI1738" s="251"/>
      <c r="AJ1738" s="1736"/>
      <c r="AK1738" s="1737"/>
      <c r="AL1738" s="79">
        <f t="shared" si="268"/>
        <v>0</v>
      </c>
      <c r="AM1738" s="137">
        <f t="shared" si="269"/>
        <v>0</v>
      </c>
      <c r="AN1738" s="251"/>
      <c r="AO1738" s="1736"/>
      <c r="AP1738" s="1737"/>
    </row>
    <row r="1739" spans="1:42" s="85" customFormat="1" ht="13.5" thickBot="1">
      <c r="A1739" s="240"/>
      <c r="B1739" s="241"/>
      <c r="C1739" s="242"/>
      <c r="D1739" s="242"/>
      <c r="E1739" s="243"/>
      <c r="F1739" s="244"/>
      <c r="G1739" s="244"/>
      <c r="H1739" s="243"/>
      <c r="I1739" s="258"/>
      <c r="J1739" s="245"/>
      <c r="K1739" s="245"/>
      <c r="L1739" s="76">
        <f t="shared" ref="L1739:L1802" si="270">IF(I1739=0,0,(K1739+J1739)/I1739)</f>
        <v>0</v>
      </c>
      <c r="M1739" s="246"/>
      <c r="N1739" s="247"/>
      <c r="O1739" s="248"/>
      <c r="P1739" s="246"/>
      <c r="Q1739" s="249"/>
      <c r="R1739" s="250"/>
      <c r="S1739" s="259"/>
      <c r="T1739" s="260"/>
      <c r="U1739" s="250"/>
      <c r="V1739" s="78">
        <f t="shared" ref="V1739:V1802" si="271">IF(U1739=0,0,((U1739*S1739)-AB1739-AL1739))</f>
        <v>0</v>
      </c>
      <c r="W1739" s="261">
        <f t="shared" ref="W1739:W1802" si="272">+S1739-I1739</f>
        <v>0</v>
      </c>
      <c r="X1739" s="133">
        <f t="shared" ref="X1739:X1802" si="273">(V1739-J1739)</f>
        <v>0</v>
      </c>
      <c r="Y1739" s="251"/>
      <c r="Z1739" s="1736"/>
      <c r="AA1739" s="1737"/>
      <c r="AB1739" s="77">
        <f t="shared" ref="AB1739:AB1802" si="274">(IF(I1739=0,0,M1739/H1739))*S1739</f>
        <v>0</v>
      </c>
      <c r="AC1739" s="134">
        <f t="shared" ref="AC1739:AC1802" si="275">+AB1739-P1739</f>
        <v>0</v>
      </c>
      <c r="AD1739" s="251"/>
      <c r="AE1739" s="1736"/>
      <c r="AF1739" s="1737"/>
      <c r="AG1739" s="77">
        <f t="shared" ref="AG1739:AG1802" si="276">(IF(H1739=0,0,N1739/H1739))*T1739</f>
        <v>0</v>
      </c>
      <c r="AH1739" s="136">
        <f t="shared" ref="AH1739:AH1802" si="277">+AG1739-Q1739</f>
        <v>0</v>
      </c>
      <c r="AI1739" s="251"/>
      <c r="AJ1739" s="1736"/>
      <c r="AK1739" s="1737"/>
      <c r="AL1739" s="79">
        <f t="shared" ref="AL1739:AL1802" si="278">+O1739*S1739</f>
        <v>0</v>
      </c>
      <c r="AM1739" s="137">
        <f t="shared" ref="AM1739:AM1802" si="279">+AL1739-R1739</f>
        <v>0</v>
      </c>
      <c r="AN1739" s="251"/>
      <c r="AO1739" s="1736"/>
      <c r="AP1739" s="1737"/>
    </row>
    <row r="1740" spans="1:42" s="85" customFormat="1" ht="13.5" thickBot="1">
      <c r="A1740" s="240"/>
      <c r="B1740" s="241"/>
      <c r="C1740" s="242"/>
      <c r="D1740" s="242"/>
      <c r="E1740" s="243"/>
      <c r="F1740" s="244"/>
      <c r="G1740" s="244"/>
      <c r="H1740" s="243"/>
      <c r="I1740" s="258"/>
      <c r="J1740" s="245"/>
      <c r="K1740" s="245"/>
      <c r="L1740" s="76">
        <f t="shared" si="270"/>
        <v>0</v>
      </c>
      <c r="M1740" s="246"/>
      <c r="N1740" s="247"/>
      <c r="O1740" s="248"/>
      <c r="P1740" s="246"/>
      <c r="Q1740" s="249"/>
      <c r="R1740" s="250"/>
      <c r="S1740" s="259"/>
      <c r="T1740" s="260"/>
      <c r="U1740" s="250"/>
      <c r="V1740" s="78">
        <f t="shared" si="271"/>
        <v>0</v>
      </c>
      <c r="W1740" s="261">
        <f t="shared" si="272"/>
        <v>0</v>
      </c>
      <c r="X1740" s="133">
        <f t="shared" si="273"/>
        <v>0</v>
      </c>
      <c r="Y1740" s="251"/>
      <c r="Z1740" s="1736"/>
      <c r="AA1740" s="1737"/>
      <c r="AB1740" s="77">
        <f t="shared" si="274"/>
        <v>0</v>
      </c>
      <c r="AC1740" s="134">
        <f t="shared" si="275"/>
        <v>0</v>
      </c>
      <c r="AD1740" s="251"/>
      <c r="AE1740" s="1736"/>
      <c r="AF1740" s="1737"/>
      <c r="AG1740" s="77">
        <f t="shared" si="276"/>
        <v>0</v>
      </c>
      <c r="AH1740" s="136">
        <f t="shared" si="277"/>
        <v>0</v>
      </c>
      <c r="AI1740" s="251"/>
      <c r="AJ1740" s="1736"/>
      <c r="AK1740" s="1737"/>
      <c r="AL1740" s="79">
        <f t="shared" si="278"/>
        <v>0</v>
      </c>
      <c r="AM1740" s="137">
        <f t="shared" si="279"/>
        <v>0</v>
      </c>
      <c r="AN1740" s="251"/>
      <c r="AO1740" s="1736"/>
      <c r="AP1740" s="1737"/>
    </row>
    <row r="1741" spans="1:42" s="85" customFormat="1" ht="13.5" thickBot="1">
      <c r="A1741" s="240"/>
      <c r="B1741" s="241"/>
      <c r="C1741" s="242"/>
      <c r="D1741" s="242"/>
      <c r="E1741" s="243"/>
      <c r="F1741" s="244"/>
      <c r="G1741" s="244"/>
      <c r="H1741" s="243"/>
      <c r="I1741" s="258"/>
      <c r="J1741" s="245"/>
      <c r="K1741" s="245"/>
      <c r="L1741" s="76">
        <f t="shared" si="270"/>
        <v>0</v>
      </c>
      <c r="M1741" s="246"/>
      <c r="N1741" s="247"/>
      <c r="O1741" s="248"/>
      <c r="P1741" s="246"/>
      <c r="Q1741" s="249"/>
      <c r="R1741" s="250"/>
      <c r="S1741" s="259"/>
      <c r="T1741" s="260"/>
      <c r="U1741" s="250"/>
      <c r="V1741" s="78">
        <f t="shared" si="271"/>
        <v>0</v>
      </c>
      <c r="W1741" s="261">
        <f t="shared" si="272"/>
        <v>0</v>
      </c>
      <c r="X1741" s="133">
        <f t="shared" si="273"/>
        <v>0</v>
      </c>
      <c r="Y1741" s="251"/>
      <c r="Z1741" s="1736"/>
      <c r="AA1741" s="1737"/>
      <c r="AB1741" s="77">
        <f t="shared" si="274"/>
        <v>0</v>
      </c>
      <c r="AC1741" s="134">
        <f t="shared" si="275"/>
        <v>0</v>
      </c>
      <c r="AD1741" s="251"/>
      <c r="AE1741" s="1736"/>
      <c r="AF1741" s="1737"/>
      <c r="AG1741" s="77">
        <f t="shared" si="276"/>
        <v>0</v>
      </c>
      <c r="AH1741" s="136">
        <f t="shared" si="277"/>
        <v>0</v>
      </c>
      <c r="AI1741" s="251"/>
      <c r="AJ1741" s="1736"/>
      <c r="AK1741" s="1737"/>
      <c r="AL1741" s="79">
        <f t="shared" si="278"/>
        <v>0</v>
      </c>
      <c r="AM1741" s="137">
        <f t="shared" si="279"/>
        <v>0</v>
      </c>
      <c r="AN1741" s="251"/>
      <c r="AO1741" s="1736"/>
      <c r="AP1741" s="1737"/>
    </row>
    <row r="1742" spans="1:42" s="85" customFormat="1" ht="13.5" thickBot="1">
      <c r="A1742" s="240"/>
      <c r="B1742" s="241"/>
      <c r="C1742" s="242"/>
      <c r="D1742" s="242"/>
      <c r="E1742" s="243"/>
      <c r="F1742" s="244"/>
      <c r="G1742" s="244"/>
      <c r="H1742" s="243"/>
      <c r="I1742" s="258"/>
      <c r="J1742" s="245"/>
      <c r="K1742" s="245"/>
      <c r="L1742" s="76">
        <f t="shared" si="270"/>
        <v>0</v>
      </c>
      <c r="M1742" s="246"/>
      <c r="N1742" s="247"/>
      <c r="O1742" s="248"/>
      <c r="P1742" s="246"/>
      <c r="Q1742" s="249"/>
      <c r="R1742" s="250"/>
      <c r="S1742" s="259"/>
      <c r="T1742" s="260"/>
      <c r="U1742" s="250"/>
      <c r="V1742" s="78">
        <f t="shared" si="271"/>
        <v>0</v>
      </c>
      <c r="W1742" s="261">
        <f t="shared" si="272"/>
        <v>0</v>
      </c>
      <c r="X1742" s="133">
        <f t="shared" si="273"/>
        <v>0</v>
      </c>
      <c r="Y1742" s="251"/>
      <c r="Z1742" s="1736"/>
      <c r="AA1742" s="1737"/>
      <c r="AB1742" s="77">
        <f t="shared" si="274"/>
        <v>0</v>
      </c>
      <c r="AC1742" s="134">
        <f t="shared" si="275"/>
        <v>0</v>
      </c>
      <c r="AD1742" s="251"/>
      <c r="AE1742" s="1736"/>
      <c r="AF1742" s="1737"/>
      <c r="AG1742" s="77">
        <f t="shared" si="276"/>
        <v>0</v>
      </c>
      <c r="AH1742" s="136">
        <f t="shared" si="277"/>
        <v>0</v>
      </c>
      <c r="AI1742" s="251"/>
      <c r="AJ1742" s="1736"/>
      <c r="AK1742" s="1737"/>
      <c r="AL1742" s="79">
        <f t="shared" si="278"/>
        <v>0</v>
      </c>
      <c r="AM1742" s="137">
        <f t="shared" si="279"/>
        <v>0</v>
      </c>
      <c r="AN1742" s="251"/>
      <c r="AO1742" s="1736"/>
      <c r="AP1742" s="1737"/>
    </row>
    <row r="1743" spans="1:42" s="85" customFormat="1" ht="13.5" thickBot="1">
      <c r="A1743" s="240"/>
      <c r="B1743" s="241"/>
      <c r="C1743" s="242"/>
      <c r="D1743" s="242"/>
      <c r="E1743" s="243"/>
      <c r="F1743" s="244"/>
      <c r="G1743" s="244"/>
      <c r="H1743" s="243"/>
      <c r="I1743" s="258"/>
      <c r="J1743" s="245"/>
      <c r="K1743" s="245"/>
      <c r="L1743" s="76">
        <f t="shared" si="270"/>
        <v>0</v>
      </c>
      <c r="M1743" s="246"/>
      <c r="N1743" s="247"/>
      <c r="O1743" s="248"/>
      <c r="P1743" s="246"/>
      <c r="Q1743" s="249"/>
      <c r="R1743" s="250"/>
      <c r="S1743" s="259"/>
      <c r="T1743" s="260"/>
      <c r="U1743" s="250"/>
      <c r="V1743" s="78">
        <f t="shared" si="271"/>
        <v>0</v>
      </c>
      <c r="W1743" s="261">
        <f t="shared" si="272"/>
        <v>0</v>
      </c>
      <c r="X1743" s="133">
        <f t="shared" si="273"/>
        <v>0</v>
      </c>
      <c r="Y1743" s="251"/>
      <c r="Z1743" s="1736"/>
      <c r="AA1743" s="1737"/>
      <c r="AB1743" s="77">
        <f t="shared" si="274"/>
        <v>0</v>
      </c>
      <c r="AC1743" s="134">
        <f t="shared" si="275"/>
        <v>0</v>
      </c>
      <c r="AD1743" s="251"/>
      <c r="AE1743" s="1736"/>
      <c r="AF1743" s="1737"/>
      <c r="AG1743" s="77">
        <f t="shared" si="276"/>
        <v>0</v>
      </c>
      <c r="AH1743" s="136">
        <f t="shared" si="277"/>
        <v>0</v>
      </c>
      <c r="AI1743" s="251"/>
      <c r="AJ1743" s="1736"/>
      <c r="AK1743" s="1737"/>
      <c r="AL1743" s="79">
        <f t="shared" si="278"/>
        <v>0</v>
      </c>
      <c r="AM1743" s="137">
        <f t="shared" si="279"/>
        <v>0</v>
      </c>
      <c r="AN1743" s="251"/>
      <c r="AO1743" s="1736"/>
      <c r="AP1743" s="1737"/>
    </row>
    <row r="1744" spans="1:42" s="85" customFormat="1" ht="13.5" thickBot="1">
      <c r="A1744" s="240"/>
      <c r="B1744" s="241"/>
      <c r="C1744" s="242"/>
      <c r="D1744" s="242"/>
      <c r="E1744" s="243"/>
      <c r="F1744" s="244"/>
      <c r="G1744" s="244"/>
      <c r="H1744" s="243"/>
      <c r="I1744" s="258"/>
      <c r="J1744" s="245"/>
      <c r="K1744" s="245"/>
      <c r="L1744" s="76">
        <f t="shared" si="270"/>
        <v>0</v>
      </c>
      <c r="M1744" s="246"/>
      <c r="N1744" s="247"/>
      <c r="O1744" s="248"/>
      <c r="P1744" s="246"/>
      <c r="Q1744" s="249"/>
      <c r="R1744" s="250"/>
      <c r="S1744" s="259"/>
      <c r="T1744" s="260"/>
      <c r="U1744" s="250"/>
      <c r="V1744" s="78">
        <f t="shared" si="271"/>
        <v>0</v>
      </c>
      <c r="W1744" s="261">
        <f t="shared" si="272"/>
        <v>0</v>
      </c>
      <c r="X1744" s="133">
        <f t="shared" si="273"/>
        <v>0</v>
      </c>
      <c r="Y1744" s="251"/>
      <c r="Z1744" s="1736"/>
      <c r="AA1744" s="1737"/>
      <c r="AB1744" s="77">
        <f t="shared" si="274"/>
        <v>0</v>
      </c>
      <c r="AC1744" s="134">
        <f t="shared" si="275"/>
        <v>0</v>
      </c>
      <c r="AD1744" s="251"/>
      <c r="AE1744" s="1736"/>
      <c r="AF1744" s="1737"/>
      <c r="AG1744" s="77">
        <f t="shared" si="276"/>
        <v>0</v>
      </c>
      <c r="AH1744" s="136">
        <f t="shared" si="277"/>
        <v>0</v>
      </c>
      <c r="AI1744" s="251"/>
      <c r="AJ1744" s="1736"/>
      <c r="AK1744" s="1737"/>
      <c r="AL1744" s="79">
        <f t="shared" si="278"/>
        <v>0</v>
      </c>
      <c r="AM1744" s="137">
        <f t="shared" si="279"/>
        <v>0</v>
      </c>
      <c r="AN1744" s="251"/>
      <c r="AO1744" s="1736"/>
      <c r="AP1744" s="1737"/>
    </row>
    <row r="1745" spans="1:42" s="85" customFormat="1" ht="13.5" thickBot="1">
      <c r="A1745" s="240"/>
      <c r="B1745" s="241"/>
      <c r="C1745" s="242"/>
      <c r="D1745" s="242"/>
      <c r="E1745" s="243"/>
      <c r="F1745" s="244"/>
      <c r="G1745" s="244"/>
      <c r="H1745" s="243"/>
      <c r="I1745" s="258"/>
      <c r="J1745" s="245"/>
      <c r="K1745" s="245"/>
      <c r="L1745" s="76">
        <f t="shared" si="270"/>
        <v>0</v>
      </c>
      <c r="M1745" s="246"/>
      <c r="N1745" s="247"/>
      <c r="O1745" s="248"/>
      <c r="P1745" s="246"/>
      <c r="Q1745" s="249"/>
      <c r="R1745" s="250"/>
      <c r="S1745" s="259"/>
      <c r="T1745" s="260"/>
      <c r="U1745" s="250"/>
      <c r="V1745" s="78">
        <f t="shared" si="271"/>
        <v>0</v>
      </c>
      <c r="W1745" s="261">
        <f t="shared" si="272"/>
        <v>0</v>
      </c>
      <c r="X1745" s="133">
        <f t="shared" si="273"/>
        <v>0</v>
      </c>
      <c r="Y1745" s="251"/>
      <c r="Z1745" s="1736"/>
      <c r="AA1745" s="1737"/>
      <c r="AB1745" s="77">
        <f t="shared" si="274"/>
        <v>0</v>
      </c>
      <c r="AC1745" s="134">
        <f t="shared" si="275"/>
        <v>0</v>
      </c>
      <c r="AD1745" s="251"/>
      <c r="AE1745" s="1736"/>
      <c r="AF1745" s="1737"/>
      <c r="AG1745" s="77">
        <f t="shared" si="276"/>
        <v>0</v>
      </c>
      <c r="AH1745" s="136">
        <f t="shared" si="277"/>
        <v>0</v>
      </c>
      <c r="AI1745" s="251"/>
      <c r="AJ1745" s="1736"/>
      <c r="AK1745" s="1737"/>
      <c r="AL1745" s="79">
        <f t="shared" si="278"/>
        <v>0</v>
      </c>
      <c r="AM1745" s="137">
        <f t="shared" si="279"/>
        <v>0</v>
      </c>
      <c r="AN1745" s="251"/>
      <c r="AO1745" s="1736"/>
      <c r="AP1745" s="1737"/>
    </row>
    <row r="1746" spans="1:42" s="85" customFormat="1" ht="13.5" thickBot="1">
      <c r="A1746" s="240"/>
      <c r="B1746" s="241"/>
      <c r="C1746" s="242"/>
      <c r="D1746" s="242"/>
      <c r="E1746" s="243"/>
      <c r="F1746" s="244"/>
      <c r="G1746" s="244"/>
      <c r="H1746" s="243"/>
      <c r="I1746" s="258"/>
      <c r="J1746" s="245"/>
      <c r="K1746" s="245"/>
      <c r="L1746" s="76">
        <f t="shared" si="270"/>
        <v>0</v>
      </c>
      <c r="M1746" s="246"/>
      <c r="N1746" s="247"/>
      <c r="O1746" s="248"/>
      <c r="P1746" s="246"/>
      <c r="Q1746" s="249"/>
      <c r="R1746" s="250"/>
      <c r="S1746" s="259"/>
      <c r="T1746" s="260"/>
      <c r="U1746" s="250"/>
      <c r="V1746" s="78">
        <f t="shared" si="271"/>
        <v>0</v>
      </c>
      <c r="W1746" s="261">
        <f t="shared" si="272"/>
        <v>0</v>
      </c>
      <c r="X1746" s="133">
        <f t="shared" si="273"/>
        <v>0</v>
      </c>
      <c r="Y1746" s="251"/>
      <c r="Z1746" s="1736"/>
      <c r="AA1746" s="1737"/>
      <c r="AB1746" s="77">
        <f t="shared" si="274"/>
        <v>0</v>
      </c>
      <c r="AC1746" s="134">
        <f t="shared" si="275"/>
        <v>0</v>
      </c>
      <c r="AD1746" s="251"/>
      <c r="AE1746" s="1736"/>
      <c r="AF1746" s="1737"/>
      <c r="AG1746" s="77">
        <f t="shared" si="276"/>
        <v>0</v>
      </c>
      <c r="AH1746" s="136">
        <f t="shared" si="277"/>
        <v>0</v>
      </c>
      <c r="AI1746" s="251"/>
      <c r="AJ1746" s="1736"/>
      <c r="AK1746" s="1737"/>
      <c r="AL1746" s="79">
        <f t="shared" si="278"/>
        <v>0</v>
      </c>
      <c r="AM1746" s="137">
        <f t="shared" si="279"/>
        <v>0</v>
      </c>
      <c r="AN1746" s="251"/>
      <c r="AO1746" s="1736"/>
      <c r="AP1746" s="1737"/>
    </row>
    <row r="1747" spans="1:42" s="85" customFormat="1" ht="13.5" thickBot="1">
      <c r="A1747" s="240"/>
      <c r="B1747" s="241"/>
      <c r="C1747" s="242"/>
      <c r="D1747" s="242"/>
      <c r="E1747" s="243"/>
      <c r="F1747" s="244"/>
      <c r="G1747" s="244"/>
      <c r="H1747" s="243"/>
      <c r="I1747" s="258"/>
      <c r="J1747" s="245"/>
      <c r="K1747" s="245"/>
      <c r="L1747" s="76">
        <f t="shared" si="270"/>
        <v>0</v>
      </c>
      <c r="M1747" s="246"/>
      <c r="N1747" s="247"/>
      <c r="O1747" s="248"/>
      <c r="P1747" s="246"/>
      <c r="Q1747" s="249"/>
      <c r="R1747" s="250"/>
      <c r="S1747" s="259"/>
      <c r="T1747" s="260"/>
      <c r="U1747" s="250"/>
      <c r="V1747" s="78">
        <f t="shared" si="271"/>
        <v>0</v>
      </c>
      <c r="W1747" s="261">
        <f t="shared" si="272"/>
        <v>0</v>
      </c>
      <c r="X1747" s="133">
        <f t="shared" si="273"/>
        <v>0</v>
      </c>
      <c r="Y1747" s="251"/>
      <c r="Z1747" s="1736"/>
      <c r="AA1747" s="1737"/>
      <c r="AB1747" s="77">
        <f t="shared" si="274"/>
        <v>0</v>
      </c>
      <c r="AC1747" s="134">
        <f t="shared" si="275"/>
        <v>0</v>
      </c>
      <c r="AD1747" s="251"/>
      <c r="AE1747" s="1736"/>
      <c r="AF1747" s="1737"/>
      <c r="AG1747" s="77">
        <f t="shared" si="276"/>
        <v>0</v>
      </c>
      <c r="AH1747" s="136">
        <f t="shared" si="277"/>
        <v>0</v>
      </c>
      <c r="AI1747" s="251"/>
      <c r="AJ1747" s="1736"/>
      <c r="AK1747" s="1737"/>
      <c r="AL1747" s="79">
        <f t="shared" si="278"/>
        <v>0</v>
      </c>
      <c r="AM1747" s="137">
        <f t="shared" si="279"/>
        <v>0</v>
      </c>
      <c r="AN1747" s="251"/>
      <c r="AO1747" s="1736"/>
      <c r="AP1747" s="1737"/>
    </row>
    <row r="1748" spans="1:42" s="85" customFormat="1" ht="13.5" thickBot="1">
      <c r="A1748" s="240"/>
      <c r="B1748" s="241"/>
      <c r="C1748" s="242"/>
      <c r="D1748" s="242"/>
      <c r="E1748" s="243"/>
      <c r="F1748" s="244"/>
      <c r="G1748" s="244"/>
      <c r="H1748" s="243"/>
      <c r="I1748" s="258"/>
      <c r="J1748" s="245"/>
      <c r="K1748" s="245"/>
      <c r="L1748" s="76">
        <f t="shared" si="270"/>
        <v>0</v>
      </c>
      <c r="M1748" s="246"/>
      <c r="N1748" s="247"/>
      <c r="O1748" s="248"/>
      <c r="P1748" s="246"/>
      <c r="Q1748" s="249"/>
      <c r="R1748" s="250"/>
      <c r="S1748" s="259"/>
      <c r="T1748" s="260"/>
      <c r="U1748" s="250"/>
      <c r="V1748" s="78">
        <f t="shared" si="271"/>
        <v>0</v>
      </c>
      <c r="W1748" s="261">
        <f t="shared" si="272"/>
        <v>0</v>
      </c>
      <c r="X1748" s="133">
        <f t="shared" si="273"/>
        <v>0</v>
      </c>
      <c r="Y1748" s="251"/>
      <c r="Z1748" s="1736"/>
      <c r="AA1748" s="1737"/>
      <c r="AB1748" s="77">
        <f t="shared" si="274"/>
        <v>0</v>
      </c>
      <c r="AC1748" s="134">
        <f t="shared" si="275"/>
        <v>0</v>
      </c>
      <c r="AD1748" s="251"/>
      <c r="AE1748" s="1736"/>
      <c r="AF1748" s="1737"/>
      <c r="AG1748" s="77">
        <f t="shared" si="276"/>
        <v>0</v>
      </c>
      <c r="AH1748" s="136">
        <f t="shared" si="277"/>
        <v>0</v>
      </c>
      <c r="AI1748" s="251"/>
      <c r="AJ1748" s="1736"/>
      <c r="AK1748" s="1737"/>
      <c r="AL1748" s="79">
        <f t="shared" si="278"/>
        <v>0</v>
      </c>
      <c r="AM1748" s="137">
        <f t="shared" si="279"/>
        <v>0</v>
      </c>
      <c r="AN1748" s="251"/>
      <c r="AO1748" s="1736"/>
      <c r="AP1748" s="1737"/>
    </row>
    <row r="1749" spans="1:42" s="85" customFormat="1" ht="13.5" thickBot="1">
      <c r="A1749" s="240"/>
      <c r="B1749" s="241"/>
      <c r="C1749" s="242"/>
      <c r="D1749" s="242"/>
      <c r="E1749" s="243"/>
      <c r="F1749" s="244"/>
      <c r="G1749" s="244"/>
      <c r="H1749" s="243"/>
      <c r="I1749" s="258"/>
      <c r="J1749" s="245"/>
      <c r="K1749" s="245"/>
      <c r="L1749" s="76">
        <f t="shared" si="270"/>
        <v>0</v>
      </c>
      <c r="M1749" s="246"/>
      <c r="N1749" s="247"/>
      <c r="O1749" s="248"/>
      <c r="P1749" s="246"/>
      <c r="Q1749" s="249"/>
      <c r="R1749" s="250"/>
      <c r="S1749" s="259"/>
      <c r="T1749" s="260"/>
      <c r="U1749" s="250"/>
      <c r="V1749" s="78">
        <f t="shared" si="271"/>
        <v>0</v>
      </c>
      <c r="W1749" s="261">
        <f t="shared" si="272"/>
        <v>0</v>
      </c>
      <c r="X1749" s="133">
        <f t="shared" si="273"/>
        <v>0</v>
      </c>
      <c r="Y1749" s="251"/>
      <c r="Z1749" s="1736"/>
      <c r="AA1749" s="1737"/>
      <c r="AB1749" s="77">
        <f t="shared" si="274"/>
        <v>0</v>
      </c>
      <c r="AC1749" s="134">
        <f t="shared" si="275"/>
        <v>0</v>
      </c>
      <c r="AD1749" s="251"/>
      <c r="AE1749" s="1736"/>
      <c r="AF1749" s="1737"/>
      <c r="AG1749" s="77">
        <f t="shared" si="276"/>
        <v>0</v>
      </c>
      <c r="AH1749" s="136">
        <f t="shared" si="277"/>
        <v>0</v>
      </c>
      <c r="AI1749" s="251"/>
      <c r="AJ1749" s="1736"/>
      <c r="AK1749" s="1737"/>
      <c r="AL1749" s="79">
        <f t="shared" si="278"/>
        <v>0</v>
      </c>
      <c r="AM1749" s="137">
        <f t="shared" si="279"/>
        <v>0</v>
      </c>
      <c r="AN1749" s="251"/>
      <c r="AO1749" s="1736"/>
      <c r="AP1749" s="1737"/>
    </row>
    <row r="1750" spans="1:42" s="85" customFormat="1" ht="13.5" thickBot="1">
      <c r="A1750" s="240"/>
      <c r="B1750" s="241"/>
      <c r="C1750" s="242"/>
      <c r="D1750" s="242"/>
      <c r="E1750" s="243"/>
      <c r="F1750" s="244"/>
      <c r="G1750" s="244"/>
      <c r="H1750" s="243"/>
      <c r="I1750" s="258"/>
      <c r="J1750" s="245"/>
      <c r="K1750" s="245"/>
      <c r="L1750" s="76">
        <f t="shared" si="270"/>
        <v>0</v>
      </c>
      <c r="M1750" s="246"/>
      <c r="N1750" s="247"/>
      <c r="O1750" s="248"/>
      <c r="P1750" s="246"/>
      <c r="Q1750" s="249"/>
      <c r="R1750" s="250"/>
      <c r="S1750" s="259"/>
      <c r="T1750" s="260"/>
      <c r="U1750" s="250"/>
      <c r="V1750" s="78">
        <f t="shared" si="271"/>
        <v>0</v>
      </c>
      <c r="W1750" s="261">
        <f t="shared" si="272"/>
        <v>0</v>
      </c>
      <c r="X1750" s="133">
        <f t="shared" si="273"/>
        <v>0</v>
      </c>
      <c r="Y1750" s="251"/>
      <c r="Z1750" s="1736"/>
      <c r="AA1750" s="1737"/>
      <c r="AB1750" s="77">
        <f t="shared" si="274"/>
        <v>0</v>
      </c>
      <c r="AC1750" s="134">
        <f t="shared" si="275"/>
        <v>0</v>
      </c>
      <c r="AD1750" s="251"/>
      <c r="AE1750" s="1736"/>
      <c r="AF1750" s="1737"/>
      <c r="AG1750" s="77">
        <f t="shared" si="276"/>
        <v>0</v>
      </c>
      <c r="AH1750" s="136">
        <f t="shared" si="277"/>
        <v>0</v>
      </c>
      <c r="AI1750" s="251"/>
      <c r="AJ1750" s="1736"/>
      <c r="AK1750" s="1737"/>
      <c r="AL1750" s="79">
        <f t="shared" si="278"/>
        <v>0</v>
      </c>
      <c r="AM1750" s="137">
        <f t="shared" si="279"/>
        <v>0</v>
      </c>
      <c r="AN1750" s="251"/>
      <c r="AO1750" s="1736"/>
      <c r="AP1750" s="1737"/>
    </row>
    <row r="1751" spans="1:42" s="85" customFormat="1" ht="13.5" thickBot="1">
      <c r="A1751" s="240"/>
      <c r="B1751" s="241"/>
      <c r="C1751" s="242"/>
      <c r="D1751" s="242"/>
      <c r="E1751" s="243"/>
      <c r="F1751" s="244"/>
      <c r="G1751" s="244"/>
      <c r="H1751" s="243"/>
      <c r="I1751" s="258"/>
      <c r="J1751" s="245"/>
      <c r="K1751" s="245"/>
      <c r="L1751" s="76">
        <f t="shared" si="270"/>
        <v>0</v>
      </c>
      <c r="M1751" s="246"/>
      <c r="N1751" s="247"/>
      <c r="O1751" s="248"/>
      <c r="P1751" s="246"/>
      <c r="Q1751" s="249"/>
      <c r="R1751" s="250"/>
      <c r="S1751" s="259"/>
      <c r="T1751" s="260"/>
      <c r="U1751" s="250"/>
      <c r="V1751" s="78">
        <f t="shared" si="271"/>
        <v>0</v>
      </c>
      <c r="W1751" s="261">
        <f t="shared" si="272"/>
        <v>0</v>
      </c>
      <c r="X1751" s="133">
        <f t="shared" si="273"/>
        <v>0</v>
      </c>
      <c r="Y1751" s="251"/>
      <c r="Z1751" s="1736"/>
      <c r="AA1751" s="1737"/>
      <c r="AB1751" s="77">
        <f t="shared" si="274"/>
        <v>0</v>
      </c>
      <c r="AC1751" s="134">
        <f t="shared" si="275"/>
        <v>0</v>
      </c>
      <c r="AD1751" s="251"/>
      <c r="AE1751" s="1736"/>
      <c r="AF1751" s="1737"/>
      <c r="AG1751" s="77">
        <f t="shared" si="276"/>
        <v>0</v>
      </c>
      <c r="AH1751" s="136">
        <f t="shared" si="277"/>
        <v>0</v>
      </c>
      <c r="AI1751" s="251"/>
      <c r="AJ1751" s="1736"/>
      <c r="AK1751" s="1737"/>
      <c r="AL1751" s="79">
        <f t="shared" si="278"/>
        <v>0</v>
      </c>
      <c r="AM1751" s="137">
        <f t="shared" si="279"/>
        <v>0</v>
      </c>
      <c r="AN1751" s="251"/>
      <c r="AO1751" s="1736"/>
      <c r="AP1751" s="1737"/>
    </row>
    <row r="1752" spans="1:42" s="85" customFormat="1" ht="13.5" thickBot="1">
      <c r="A1752" s="240"/>
      <c r="B1752" s="241"/>
      <c r="C1752" s="242"/>
      <c r="D1752" s="242"/>
      <c r="E1752" s="243"/>
      <c r="F1752" s="244"/>
      <c r="G1752" s="244"/>
      <c r="H1752" s="243"/>
      <c r="I1752" s="258"/>
      <c r="J1752" s="245"/>
      <c r="K1752" s="245"/>
      <c r="L1752" s="76">
        <f t="shared" si="270"/>
        <v>0</v>
      </c>
      <c r="M1752" s="246"/>
      <c r="N1752" s="247"/>
      <c r="O1752" s="248"/>
      <c r="P1752" s="246"/>
      <c r="Q1752" s="249"/>
      <c r="R1752" s="250"/>
      <c r="S1752" s="259"/>
      <c r="T1752" s="260"/>
      <c r="U1752" s="250"/>
      <c r="V1752" s="78">
        <f t="shared" si="271"/>
        <v>0</v>
      </c>
      <c r="W1752" s="261">
        <f t="shared" si="272"/>
        <v>0</v>
      </c>
      <c r="X1752" s="133">
        <f t="shared" si="273"/>
        <v>0</v>
      </c>
      <c r="Y1752" s="251"/>
      <c r="Z1752" s="1736"/>
      <c r="AA1752" s="1737"/>
      <c r="AB1752" s="77">
        <f t="shared" si="274"/>
        <v>0</v>
      </c>
      <c r="AC1752" s="134">
        <f t="shared" si="275"/>
        <v>0</v>
      </c>
      <c r="AD1752" s="251"/>
      <c r="AE1752" s="1736"/>
      <c r="AF1752" s="1737"/>
      <c r="AG1752" s="77">
        <f t="shared" si="276"/>
        <v>0</v>
      </c>
      <c r="AH1752" s="136">
        <f t="shared" si="277"/>
        <v>0</v>
      </c>
      <c r="AI1752" s="251"/>
      <c r="AJ1752" s="1736"/>
      <c r="AK1752" s="1737"/>
      <c r="AL1752" s="79">
        <f t="shared" si="278"/>
        <v>0</v>
      </c>
      <c r="AM1752" s="137">
        <f t="shared" si="279"/>
        <v>0</v>
      </c>
      <c r="AN1752" s="251"/>
      <c r="AO1752" s="1736"/>
      <c r="AP1752" s="1737"/>
    </row>
    <row r="1753" spans="1:42" s="85" customFormat="1" ht="13.5" thickBot="1">
      <c r="A1753" s="240"/>
      <c r="B1753" s="241"/>
      <c r="C1753" s="242"/>
      <c r="D1753" s="242"/>
      <c r="E1753" s="243"/>
      <c r="F1753" s="244"/>
      <c r="G1753" s="244"/>
      <c r="H1753" s="243"/>
      <c r="I1753" s="258"/>
      <c r="J1753" s="245"/>
      <c r="K1753" s="245"/>
      <c r="L1753" s="76">
        <f t="shared" si="270"/>
        <v>0</v>
      </c>
      <c r="M1753" s="246"/>
      <c r="N1753" s="247"/>
      <c r="O1753" s="248"/>
      <c r="P1753" s="246"/>
      <c r="Q1753" s="249"/>
      <c r="R1753" s="250"/>
      <c r="S1753" s="259"/>
      <c r="T1753" s="260"/>
      <c r="U1753" s="250"/>
      <c r="V1753" s="78">
        <f t="shared" si="271"/>
        <v>0</v>
      </c>
      <c r="W1753" s="261">
        <f t="shared" si="272"/>
        <v>0</v>
      </c>
      <c r="X1753" s="133">
        <f t="shared" si="273"/>
        <v>0</v>
      </c>
      <c r="Y1753" s="251"/>
      <c r="Z1753" s="1736"/>
      <c r="AA1753" s="1737"/>
      <c r="AB1753" s="77">
        <f t="shared" si="274"/>
        <v>0</v>
      </c>
      <c r="AC1753" s="134">
        <f t="shared" si="275"/>
        <v>0</v>
      </c>
      <c r="AD1753" s="251"/>
      <c r="AE1753" s="1736"/>
      <c r="AF1753" s="1737"/>
      <c r="AG1753" s="77">
        <f t="shared" si="276"/>
        <v>0</v>
      </c>
      <c r="AH1753" s="136">
        <f t="shared" si="277"/>
        <v>0</v>
      </c>
      <c r="AI1753" s="251"/>
      <c r="AJ1753" s="1736"/>
      <c r="AK1753" s="1737"/>
      <c r="AL1753" s="79">
        <f t="shared" si="278"/>
        <v>0</v>
      </c>
      <c r="AM1753" s="137">
        <f t="shared" si="279"/>
        <v>0</v>
      </c>
      <c r="AN1753" s="251"/>
      <c r="AO1753" s="1736"/>
      <c r="AP1753" s="1737"/>
    </row>
    <row r="1754" spans="1:42" s="85" customFormat="1" ht="13.5" thickBot="1">
      <c r="A1754" s="240"/>
      <c r="B1754" s="241"/>
      <c r="C1754" s="242"/>
      <c r="D1754" s="242"/>
      <c r="E1754" s="243"/>
      <c r="F1754" s="244"/>
      <c r="G1754" s="244"/>
      <c r="H1754" s="243"/>
      <c r="I1754" s="258"/>
      <c r="J1754" s="245"/>
      <c r="K1754" s="245"/>
      <c r="L1754" s="76">
        <f t="shared" si="270"/>
        <v>0</v>
      </c>
      <c r="M1754" s="246"/>
      <c r="N1754" s="247"/>
      <c r="O1754" s="248"/>
      <c r="P1754" s="246"/>
      <c r="Q1754" s="249"/>
      <c r="R1754" s="250"/>
      <c r="S1754" s="259"/>
      <c r="T1754" s="260"/>
      <c r="U1754" s="250"/>
      <c r="V1754" s="78">
        <f t="shared" si="271"/>
        <v>0</v>
      </c>
      <c r="W1754" s="261">
        <f t="shared" si="272"/>
        <v>0</v>
      </c>
      <c r="X1754" s="133">
        <f t="shared" si="273"/>
        <v>0</v>
      </c>
      <c r="Y1754" s="251"/>
      <c r="Z1754" s="1736"/>
      <c r="AA1754" s="1737"/>
      <c r="AB1754" s="77">
        <f t="shared" si="274"/>
        <v>0</v>
      </c>
      <c r="AC1754" s="134">
        <f t="shared" si="275"/>
        <v>0</v>
      </c>
      <c r="AD1754" s="251"/>
      <c r="AE1754" s="1736"/>
      <c r="AF1754" s="1737"/>
      <c r="AG1754" s="77">
        <f t="shared" si="276"/>
        <v>0</v>
      </c>
      <c r="AH1754" s="136">
        <f t="shared" si="277"/>
        <v>0</v>
      </c>
      <c r="AI1754" s="251"/>
      <c r="AJ1754" s="1736"/>
      <c r="AK1754" s="1737"/>
      <c r="AL1754" s="79">
        <f t="shared" si="278"/>
        <v>0</v>
      </c>
      <c r="AM1754" s="137">
        <f t="shared" si="279"/>
        <v>0</v>
      </c>
      <c r="AN1754" s="251"/>
      <c r="AO1754" s="1736"/>
      <c r="AP1754" s="1737"/>
    </row>
    <row r="1755" spans="1:42" s="85" customFormat="1" ht="13.5" thickBot="1">
      <c r="A1755" s="240"/>
      <c r="B1755" s="241"/>
      <c r="C1755" s="242"/>
      <c r="D1755" s="242"/>
      <c r="E1755" s="243"/>
      <c r="F1755" s="244"/>
      <c r="G1755" s="244"/>
      <c r="H1755" s="243"/>
      <c r="I1755" s="258"/>
      <c r="J1755" s="245"/>
      <c r="K1755" s="245"/>
      <c r="L1755" s="76">
        <f t="shared" si="270"/>
        <v>0</v>
      </c>
      <c r="M1755" s="246"/>
      <c r="N1755" s="247"/>
      <c r="O1755" s="248"/>
      <c r="P1755" s="246"/>
      <c r="Q1755" s="249"/>
      <c r="R1755" s="250"/>
      <c r="S1755" s="259"/>
      <c r="T1755" s="260"/>
      <c r="U1755" s="250"/>
      <c r="V1755" s="78">
        <f t="shared" si="271"/>
        <v>0</v>
      </c>
      <c r="W1755" s="261">
        <f t="shared" si="272"/>
        <v>0</v>
      </c>
      <c r="X1755" s="133">
        <f t="shared" si="273"/>
        <v>0</v>
      </c>
      <c r="Y1755" s="251"/>
      <c r="Z1755" s="1736"/>
      <c r="AA1755" s="1737"/>
      <c r="AB1755" s="77">
        <f t="shared" si="274"/>
        <v>0</v>
      </c>
      <c r="AC1755" s="134">
        <f t="shared" si="275"/>
        <v>0</v>
      </c>
      <c r="AD1755" s="251"/>
      <c r="AE1755" s="1736"/>
      <c r="AF1755" s="1737"/>
      <c r="AG1755" s="77">
        <f t="shared" si="276"/>
        <v>0</v>
      </c>
      <c r="AH1755" s="136">
        <f t="shared" si="277"/>
        <v>0</v>
      </c>
      <c r="AI1755" s="251"/>
      <c r="AJ1755" s="1736"/>
      <c r="AK1755" s="1737"/>
      <c r="AL1755" s="79">
        <f t="shared" si="278"/>
        <v>0</v>
      </c>
      <c r="AM1755" s="137">
        <f t="shared" si="279"/>
        <v>0</v>
      </c>
      <c r="AN1755" s="251"/>
      <c r="AO1755" s="1736"/>
      <c r="AP1755" s="1737"/>
    </row>
    <row r="1756" spans="1:42" s="85" customFormat="1" ht="13.5" thickBot="1">
      <c r="A1756" s="240"/>
      <c r="B1756" s="241"/>
      <c r="C1756" s="242"/>
      <c r="D1756" s="242"/>
      <c r="E1756" s="243"/>
      <c r="F1756" s="244"/>
      <c r="G1756" s="244"/>
      <c r="H1756" s="243"/>
      <c r="I1756" s="258"/>
      <c r="J1756" s="245"/>
      <c r="K1756" s="245"/>
      <c r="L1756" s="76">
        <f t="shared" si="270"/>
        <v>0</v>
      </c>
      <c r="M1756" s="246"/>
      <c r="N1756" s="247"/>
      <c r="O1756" s="248"/>
      <c r="P1756" s="246"/>
      <c r="Q1756" s="249"/>
      <c r="R1756" s="250"/>
      <c r="S1756" s="259"/>
      <c r="T1756" s="260"/>
      <c r="U1756" s="250"/>
      <c r="V1756" s="78">
        <f t="shared" si="271"/>
        <v>0</v>
      </c>
      <c r="W1756" s="261">
        <f t="shared" si="272"/>
        <v>0</v>
      </c>
      <c r="X1756" s="133">
        <f t="shared" si="273"/>
        <v>0</v>
      </c>
      <c r="Y1756" s="251"/>
      <c r="Z1756" s="1736"/>
      <c r="AA1756" s="1737"/>
      <c r="AB1756" s="77">
        <f t="shared" si="274"/>
        <v>0</v>
      </c>
      <c r="AC1756" s="134">
        <f t="shared" si="275"/>
        <v>0</v>
      </c>
      <c r="AD1756" s="251"/>
      <c r="AE1756" s="1736"/>
      <c r="AF1756" s="1737"/>
      <c r="AG1756" s="77">
        <f t="shared" si="276"/>
        <v>0</v>
      </c>
      <c r="AH1756" s="136">
        <f t="shared" si="277"/>
        <v>0</v>
      </c>
      <c r="AI1756" s="251"/>
      <c r="AJ1756" s="1736"/>
      <c r="AK1756" s="1737"/>
      <c r="AL1756" s="79">
        <f t="shared" si="278"/>
        <v>0</v>
      </c>
      <c r="AM1756" s="137">
        <f t="shared" si="279"/>
        <v>0</v>
      </c>
      <c r="AN1756" s="251"/>
      <c r="AO1756" s="1736"/>
      <c r="AP1756" s="1737"/>
    </row>
    <row r="1757" spans="1:42" s="85" customFormat="1" ht="13.5" thickBot="1">
      <c r="A1757" s="240"/>
      <c r="B1757" s="241"/>
      <c r="C1757" s="242"/>
      <c r="D1757" s="242"/>
      <c r="E1757" s="243"/>
      <c r="F1757" s="244"/>
      <c r="G1757" s="244"/>
      <c r="H1757" s="243"/>
      <c r="I1757" s="258"/>
      <c r="J1757" s="245"/>
      <c r="K1757" s="245"/>
      <c r="L1757" s="76">
        <f t="shared" si="270"/>
        <v>0</v>
      </c>
      <c r="M1757" s="246"/>
      <c r="N1757" s="247"/>
      <c r="O1757" s="248"/>
      <c r="P1757" s="246"/>
      <c r="Q1757" s="249"/>
      <c r="R1757" s="250"/>
      <c r="S1757" s="259"/>
      <c r="T1757" s="260"/>
      <c r="U1757" s="250"/>
      <c r="V1757" s="78">
        <f t="shared" si="271"/>
        <v>0</v>
      </c>
      <c r="W1757" s="261">
        <f t="shared" si="272"/>
        <v>0</v>
      </c>
      <c r="X1757" s="133">
        <f t="shared" si="273"/>
        <v>0</v>
      </c>
      <c r="Y1757" s="251"/>
      <c r="Z1757" s="1736"/>
      <c r="AA1757" s="1737"/>
      <c r="AB1757" s="77">
        <f t="shared" si="274"/>
        <v>0</v>
      </c>
      <c r="AC1757" s="134">
        <f t="shared" si="275"/>
        <v>0</v>
      </c>
      <c r="AD1757" s="251"/>
      <c r="AE1757" s="1736"/>
      <c r="AF1757" s="1737"/>
      <c r="AG1757" s="77">
        <f t="shared" si="276"/>
        <v>0</v>
      </c>
      <c r="AH1757" s="136">
        <f t="shared" si="277"/>
        <v>0</v>
      </c>
      <c r="AI1757" s="251"/>
      <c r="AJ1757" s="1736"/>
      <c r="AK1757" s="1737"/>
      <c r="AL1757" s="79">
        <f t="shared" si="278"/>
        <v>0</v>
      </c>
      <c r="AM1757" s="137">
        <f t="shared" si="279"/>
        <v>0</v>
      </c>
      <c r="AN1757" s="251"/>
      <c r="AO1757" s="1736"/>
      <c r="AP1757" s="1737"/>
    </row>
    <row r="1758" spans="1:42" s="85" customFormat="1" ht="13.5" thickBot="1">
      <c r="A1758" s="240"/>
      <c r="B1758" s="241"/>
      <c r="C1758" s="242"/>
      <c r="D1758" s="242"/>
      <c r="E1758" s="243"/>
      <c r="F1758" s="244"/>
      <c r="G1758" s="244"/>
      <c r="H1758" s="243"/>
      <c r="I1758" s="258"/>
      <c r="J1758" s="245"/>
      <c r="K1758" s="245"/>
      <c r="L1758" s="76">
        <f t="shared" si="270"/>
        <v>0</v>
      </c>
      <c r="M1758" s="246"/>
      <c r="N1758" s="247"/>
      <c r="O1758" s="248"/>
      <c r="P1758" s="246"/>
      <c r="Q1758" s="249"/>
      <c r="R1758" s="250"/>
      <c r="S1758" s="259"/>
      <c r="T1758" s="260"/>
      <c r="U1758" s="250"/>
      <c r="V1758" s="78">
        <f t="shared" si="271"/>
        <v>0</v>
      </c>
      <c r="W1758" s="261">
        <f t="shared" si="272"/>
        <v>0</v>
      </c>
      <c r="X1758" s="133">
        <f t="shared" si="273"/>
        <v>0</v>
      </c>
      <c r="Y1758" s="251"/>
      <c r="Z1758" s="1736"/>
      <c r="AA1758" s="1737"/>
      <c r="AB1758" s="77">
        <f t="shared" si="274"/>
        <v>0</v>
      </c>
      <c r="AC1758" s="134">
        <f t="shared" si="275"/>
        <v>0</v>
      </c>
      <c r="AD1758" s="251"/>
      <c r="AE1758" s="1736"/>
      <c r="AF1758" s="1737"/>
      <c r="AG1758" s="77">
        <f t="shared" si="276"/>
        <v>0</v>
      </c>
      <c r="AH1758" s="136">
        <f t="shared" si="277"/>
        <v>0</v>
      </c>
      <c r="AI1758" s="251"/>
      <c r="AJ1758" s="1736"/>
      <c r="AK1758" s="1737"/>
      <c r="AL1758" s="79">
        <f t="shared" si="278"/>
        <v>0</v>
      </c>
      <c r="AM1758" s="137">
        <f t="shared" si="279"/>
        <v>0</v>
      </c>
      <c r="AN1758" s="251"/>
      <c r="AO1758" s="1736"/>
      <c r="AP1758" s="1737"/>
    </row>
    <row r="1759" spans="1:42" s="85" customFormat="1" ht="13.5" thickBot="1">
      <c r="A1759" s="240"/>
      <c r="B1759" s="241"/>
      <c r="C1759" s="242"/>
      <c r="D1759" s="242"/>
      <c r="E1759" s="243"/>
      <c r="F1759" s="244"/>
      <c r="G1759" s="244"/>
      <c r="H1759" s="243"/>
      <c r="I1759" s="258"/>
      <c r="J1759" s="245"/>
      <c r="K1759" s="245"/>
      <c r="L1759" s="76">
        <f t="shared" si="270"/>
        <v>0</v>
      </c>
      <c r="M1759" s="246"/>
      <c r="N1759" s="247"/>
      <c r="O1759" s="248"/>
      <c r="P1759" s="246"/>
      <c r="Q1759" s="249"/>
      <c r="R1759" s="250"/>
      <c r="S1759" s="259"/>
      <c r="T1759" s="260"/>
      <c r="U1759" s="250"/>
      <c r="V1759" s="78">
        <f t="shared" si="271"/>
        <v>0</v>
      </c>
      <c r="W1759" s="261">
        <f t="shared" si="272"/>
        <v>0</v>
      </c>
      <c r="X1759" s="133">
        <f t="shared" si="273"/>
        <v>0</v>
      </c>
      <c r="Y1759" s="251"/>
      <c r="Z1759" s="1736"/>
      <c r="AA1759" s="1737"/>
      <c r="AB1759" s="77">
        <f t="shared" si="274"/>
        <v>0</v>
      </c>
      <c r="AC1759" s="134">
        <f t="shared" si="275"/>
        <v>0</v>
      </c>
      <c r="AD1759" s="251"/>
      <c r="AE1759" s="1736"/>
      <c r="AF1759" s="1737"/>
      <c r="AG1759" s="77">
        <f t="shared" si="276"/>
        <v>0</v>
      </c>
      <c r="AH1759" s="136">
        <f t="shared" si="277"/>
        <v>0</v>
      </c>
      <c r="AI1759" s="251"/>
      <c r="AJ1759" s="1736"/>
      <c r="AK1759" s="1737"/>
      <c r="AL1759" s="79">
        <f t="shared" si="278"/>
        <v>0</v>
      </c>
      <c r="AM1759" s="137">
        <f t="shared" si="279"/>
        <v>0</v>
      </c>
      <c r="AN1759" s="251"/>
      <c r="AO1759" s="1736"/>
      <c r="AP1759" s="1737"/>
    </row>
    <row r="1760" spans="1:42" s="85" customFormat="1" ht="13.5" thickBot="1">
      <c r="A1760" s="240"/>
      <c r="B1760" s="241"/>
      <c r="C1760" s="242"/>
      <c r="D1760" s="242"/>
      <c r="E1760" s="243"/>
      <c r="F1760" s="244"/>
      <c r="G1760" s="244"/>
      <c r="H1760" s="243"/>
      <c r="I1760" s="258"/>
      <c r="J1760" s="245"/>
      <c r="K1760" s="245"/>
      <c r="L1760" s="76">
        <f t="shared" si="270"/>
        <v>0</v>
      </c>
      <c r="M1760" s="246"/>
      <c r="N1760" s="247"/>
      <c r="O1760" s="248"/>
      <c r="P1760" s="246"/>
      <c r="Q1760" s="249"/>
      <c r="R1760" s="250"/>
      <c r="S1760" s="259"/>
      <c r="T1760" s="260"/>
      <c r="U1760" s="250"/>
      <c r="V1760" s="78">
        <f t="shared" si="271"/>
        <v>0</v>
      </c>
      <c r="W1760" s="261">
        <f t="shared" si="272"/>
        <v>0</v>
      </c>
      <c r="X1760" s="133">
        <f t="shared" si="273"/>
        <v>0</v>
      </c>
      <c r="Y1760" s="251"/>
      <c r="Z1760" s="1736"/>
      <c r="AA1760" s="1737"/>
      <c r="AB1760" s="77">
        <f t="shared" si="274"/>
        <v>0</v>
      </c>
      <c r="AC1760" s="134">
        <f t="shared" si="275"/>
        <v>0</v>
      </c>
      <c r="AD1760" s="251"/>
      <c r="AE1760" s="1736"/>
      <c r="AF1760" s="1737"/>
      <c r="AG1760" s="77">
        <f t="shared" si="276"/>
        <v>0</v>
      </c>
      <c r="AH1760" s="136">
        <f t="shared" si="277"/>
        <v>0</v>
      </c>
      <c r="AI1760" s="251"/>
      <c r="AJ1760" s="1736"/>
      <c r="AK1760" s="1737"/>
      <c r="AL1760" s="79">
        <f t="shared" si="278"/>
        <v>0</v>
      </c>
      <c r="AM1760" s="137">
        <f t="shared" si="279"/>
        <v>0</v>
      </c>
      <c r="AN1760" s="251"/>
      <c r="AO1760" s="1736"/>
      <c r="AP1760" s="1737"/>
    </row>
    <row r="1761" spans="1:42" s="85" customFormat="1" ht="13.5" thickBot="1">
      <c r="A1761" s="240"/>
      <c r="B1761" s="241"/>
      <c r="C1761" s="242"/>
      <c r="D1761" s="242"/>
      <c r="E1761" s="243"/>
      <c r="F1761" s="244"/>
      <c r="G1761" s="244"/>
      <c r="H1761" s="243"/>
      <c r="I1761" s="258"/>
      <c r="J1761" s="245"/>
      <c r="K1761" s="245"/>
      <c r="L1761" s="76">
        <f t="shared" si="270"/>
        <v>0</v>
      </c>
      <c r="M1761" s="246"/>
      <c r="N1761" s="247"/>
      <c r="O1761" s="248"/>
      <c r="P1761" s="246"/>
      <c r="Q1761" s="249"/>
      <c r="R1761" s="250"/>
      <c r="S1761" s="259"/>
      <c r="T1761" s="260"/>
      <c r="U1761" s="250"/>
      <c r="V1761" s="78">
        <f t="shared" si="271"/>
        <v>0</v>
      </c>
      <c r="W1761" s="261">
        <f t="shared" si="272"/>
        <v>0</v>
      </c>
      <c r="X1761" s="133">
        <f t="shared" si="273"/>
        <v>0</v>
      </c>
      <c r="Y1761" s="251"/>
      <c r="Z1761" s="1736"/>
      <c r="AA1761" s="1737"/>
      <c r="AB1761" s="77">
        <f t="shared" si="274"/>
        <v>0</v>
      </c>
      <c r="AC1761" s="134">
        <f t="shared" si="275"/>
        <v>0</v>
      </c>
      <c r="AD1761" s="251"/>
      <c r="AE1761" s="1736"/>
      <c r="AF1761" s="1737"/>
      <c r="AG1761" s="77">
        <f t="shared" si="276"/>
        <v>0</v>
      </c>
      <c r="AH1761" s="136">
        <f t="shared" si="277"/>
        <v>0</v>
      </c>
      <c r="AI1761" s="251"/>
      <c r="AJ1761" s="1736"/>
      <c r="AK1761" s="1737"/>
      <c r="AL1761" s="79">
        <f t="shared" si="278"/>
        <v>0</v>
      </c>
      <c r="AM1761" s="137">
        <f t="shared" si="279"/>
        <v>0</v>
      </c>
      <c r="AN1761" s="251"/>
      <c r="AO1761" s="1736"/>
      <c r="AP1761" s="1737"/>
    </row>
    <row r="1762" spans="1:42" s="85" customFormat="1" ht="13.5" thickBot="1">
      <c r="A1762" s="240"/>
      <c r="B1762" s="241"/>
      <c r="C1762" s="242"/>
      <c r="D1762" s="242"/>
      <c r="E1762" s="243"/>
      <c r="F1762" s="244"/>
      <c r="G1762" s="244"/>
      <c r="H1762" s="243"/>
      <c r="I1762" s="258"/>
      <c r="J1762" s="245"/>
      <c r="K1762" s="245"/>
      <c r="L1762" s="76">
        <f t="shared" si="270"/>
        <v>0</v>
      </c>
      <c r="M1762" s="246"/>
      <c r="N1762" s="247"/>
      <c r="O1762" s="248"/>
      <c r="P1762" s="246"/>
      <c r="Q1762" s="249"/>
      <c r="R1762" s="250"/>
      <c r="S1762" s="259"/>
      <c r="T1762" s="260"/>
      <c r="U1762" s="250"/>
      <c r="V1762" s="78">
        <f t="shared" si="271"/>
        <v>0</v>
      </c>
      <c r="W1762" s="261">
        <f t="shared" si="272"/>
        <v>0</v>
      </c>
      <c r="X1762" s="133">
        <f t="shared" si="273"/>
        <v>0</v>
      </c>
      <c r="Y1762" s="251"/>
      <c r="Z1762" s="1736"/>
      <c r="AA1762" s="1737"/>
      <c r="AB1762" s="77">
        <f t="shared" si="274"/>
        <v>0</v>
      </c>
      <c r="AC1762" s="134">
        <f t="shared" si="275"/>
        <v>0</v>
      </c>
      <c r="AD1762" s="251"/>
      <c r="AE1762" s="1736"/>
      <c r="AF1762" s="1737"/>
      <c r="AG1762" s="77">
        <f t="shared" si="276"/>
        <v>0</v>
      </c>
      <c r="AH1762" s="136">
        <f t="shared" si="277"/>
        <v>0</v>
      </c>
      <c r="AI1762" s="251"/>
      <c r="AJ1762" s="1736"/>
      <c r="AK1762" s="1737"/>
      <c r="AL1762" s="79">
        <f t="shared" si="278"/>
        <v>0</v>
      </c>
      <c r="AM1762" s="137">
        <f t="shared" si="279"/>
        <v>0</v>
      </c>
      <c r="AN1762" s="251"/>
      <c r="AO1762" s="1736"/>
      <c r="AP1762" s="1737"/>
    </row>
    <row r="1763" spans="1:42" s="85" customFormat="1" ht="13.5" thickBot="1">
      <c r="A1763" s="240"/>
      <c r="B1763" s="241"/>
      <c r="C1763" s="242"/>
      <c r="D1763" s="242"/>
      <c r="E1763" s="243"/>
      <c r="F1763" s="244"/>
      <c r="G1763" s="244"/>
      <c r="H1763" s="243"/>
      <c r="I1763" s="258"/>
      <c r="J1763" s="245"/>
      <c r="K1763" s="245"/>
      <c r="L1763" s="76">
        <f t="shared" si="270"/>
        <v>0</v>
      </c>
      <c r="M1763" s="246"/>
      <c r="N1763" s="247"/>
      <c r="O1763" s="248"/>
      <c r="P1763" s="246"/>
      <c r="Q1763" s="249"/>
      <c r="R1763" s="250"/>
      <c r="S1763" s="259"/>
      <c r="T1763" s="260"/>
      <c r="U1763" s="250"/>
      <c r="V1763" s="78">
        <f t="shared" si="271"/>
        <v>0</v>
      </c>
      <c r="W1763" s="261">
        <f t="shared" si="272"/>
        <v>0</v>
      </c>
      <c r="X1763" s="133">
        <f t="shared" si="273"/>
        <v>0</v>
      </c>
      <c r="Y1763" s="251"/>
      <c r="Z1763" s="1736"/>
      <c r="AA1763" s="1737"/>
      <c r="AB1763" s="77">
        <f t="shared" si="274"/>
        <v>0</v>
      </c>
      <c r="AC1763" s="134">
        <f t="shared" si="275"/>
        <v>0</v>
      </c>
      <c r="AD1763" s="251"/>
      <c r="AE1763" s="1736"/>
      <c r="AF1763" s="1737"/>
      <c r="AG1763" s="77">
        <f t="shared" si="276"/>
        <v>0</v>
      </c>
      <c r="AH1763" s="136">
        <f t="shared" si="277"/>
        <v>0</v>
      </c>
      <c r="AI1763" s="251"/>
      <c r="AJ1763" s="1736"/>
      <c r="AK1763" s="1737"/>
      <c r="AL1763" s="79">
        <f t="shared" si="278"/>
        <v>0</v>
      </c>
      <c r="AM1763" s="137">
        <f t="shared" si="279"/>
        <v>0</v>
      </c>
      <c r="AN1763" s="251"/>
      <c r="AO1763" s="1736"/>
      <c r="AP1763" s="1737"/>
    </row>
    <row r="1764" spans="1:42" s="85" customFormat="1" ht="13.5" thickBot="1">
      <c r="A1764" s="240"/>
      <c r="B1764" s="241"/>
      <c r="C1764" s="242"/>
      <c r="D1764" s="242"/>
      <c r="E1764" s="243"/>
      <c r="F1764" s="244"/>
      <c r="G1764" s="244"/>
      <c r="H1764" s="243"/>
      <c r="I1764" s="258"/>
      <c r="J1764" s="245"/>
      <c r="K1764" s="245"/>
      <c r="L1764" s="76">
        <f t="shared" si="270"/>
        <v>0</v>
      </c>
      <c r="M1764" s="246"/>
      <c r="N1764" s="247"/>
      <c r="O1764" s="248"/>
      <c r="P1764" s="246"/>
      <c r="Q1764" s="249"/>
      <c r="R1764" s="250"/>
      <c r="S1764" s="259"/>
      <c r="T1764" s="260"/>
      <c r="U1764" s="250"/>
      <c r="V1764" s="78">
        <f t="shared" si="271"/>
        <v>0</v>
      </c>
      <c r="W1764" s="261">
        <f t="shared" si="272"/>
        <v>0</v>
      </c>
      <c r="X1764" s="133">
        <f t="shared" si="273"/>
        <v>0</v>
      </c>
      <c r="Y1764" s="251"/>
      <c r="Z1764" s="1736"/>
      <c r="AA1764" s="1737"/>
      <c r="AB1764" s="77">
        <f t="shared" si="274"/>
        <v>0</v>
      </c>
      <c r="AC1764" s="134">
        <f t="shared" si="275"/>
        <v>0</v>
      </c>
      <c r="AD1764" s="251"/>
      <c r="AE1764" s="1736"/>
      <c r="AF1764" s="1737"/>
      <c r="AG1764" s="77">
        <f t="shared" si="276"/>
        <v>0</v>
      </c>
      <c r="AH1764" s="136">
        <f t="shared" si="277"/>
        <v>0</v>
      </c>
      <c r="AI1764" s="251"/>
      <c r="AJ1764" s="1736"/>
      <c r="AK1764" s="1737"/>
      <c r="AL1764" s="79">
        <f t="shared" si="278"/>
        <v>0</v>
      </c>
      <c r="AM1764" s="137">
        <f t="shared" si="279"/>
        <v>0</v>
      </c>
      <c r="AN1764" s="251"/>
      <c r="AO1764" s="1736"/>
      <c r="AP1764" s="1737"/>
    </row>
    <row r="1765" spans="1:42" s="85" customFormat="1" ht="13.5" thickBot="1">
      <c r="A1765" s="240"/>
      <c r="B1765" s="241"/>
      <c r="C1765" s="242"/>
      <c r="D1765" s="242"/>
      <c r="E1765" s="243"/>
      <c r="F1765" s="244"/>
      <c r="G1765" s="244"/>
      <c r="H1765" s="243"/>
      <c r="I1765" s="258"/>
      <c r="J1765" s="245"/>
      <c r="K1765" s="245"/>
      <c r="L1765" s="76">
        <f t="shared" si="270"/>
        <v>0</v>
      </c>
      <c r="M1765" s="246"/>
      <c r="N1765" s="247"/>
      <c r="O1765" s="248"/>
      <c r="P1765" s="246"/>
      <c r="Q1765" s="249"/>
      <c r="R1765" s="250"/>
      <c r="S1765" s="259"/>
      <c r="T1765" s="260"/>
      <c r="U1765" s="250"/>
      <c r="V1765" s="78">
        <f t="shared" si="271"/>
        <v>0</v>
      </c>
      <c r="W1765" s="261">
        <f t="shared" si="272"/>
        <v>0</v>
      </c>
      <c r="X1765" s="133">
        <f t="shared" si="273"/>
        <v>0</v>
      </c>
      <c r="Y1765" s="251"/>
      <c r="Z1765" s="1736"/>
      <c r="AA1765" s="1737"/>
      <c r="AB1765" s="77">
        <f t="shared" si="274"/>
        <v>0</v>
      </c>
      <c r="AC1765" s="134">
        <f t="shared" si="275"/>
        <v>0</v>
      </c>
      <c r="AD1765" s="251"/>
      <c r="AE1765" s="1736"/>
      <c r="AF1765" s="1737"/>
      <c r="AG1765" s="77">
        <f t="shared" si="276"/>
        <v>0</v>
      </c>
      <c r="AH1765" s="136">
        <f t="shared" si="277"/>
        <v>0</v>
      </c>
      <c r="AI1765" s="251"/>
      <c r="AJ1765" s="1736"/>
      <c r="AK1765" s="1737"/>
      <c r="AL1765" s="79">
        <f t="shared" si="278"/>
        <v>0</v>
      </c>
      <c r="AM1765" s="137">
        <f t="shared" si="279"/>
        <v>0</v>
      </c>
      <c r="AN1765" s="251"/>
      <c r="AO1765" s="1736"/>
      <c r="AP1765" s="1737"/>
    </row>
    <row r="1766" spans="1:42" s="85" customFormat="1" ht="13.5" thickBot="1">
      <c r="A1766" s="240"/>
      <c r="B1766" s="241"/>
      <c r="C1766" s="242"/>
      <c r="D1766" s="242"/>
      <c r="E1766" s="243"/>
      <c r="F1766" s="244"/>
      <c r="G1766" s="244"/>
      <c r="H1766" s="243"/>
      <c r="I1766" s="258"/>
      <c r="J1766" s="245"/>
      <c r="K1766" s="245"/>
      <c r="L1766" s="76">
        <f t="shared" si="270"/>
        <v>0</v>
      </c>
      <c r="M1766" s="246"/>
      <c r="N1766" s="247"/>
      <c r="O1766" s="248"/>
      <c r="P1766" s="246"/>
      <c r="Q1766" s="249"/>
      <c r="R1766" s="250"/>
      <c r="S1766" s="259"/>
      <c r="T1766" s="260"/>
      <c r="U1766" s="250"/>
      <c r="V1766" s="78">
        <f t="shared" si="271"/>
        <v>0</v>
      </c>
      <c r="W1766" s="261">
        <f t="shared" si="272"/>
        <v>0</v>
      </c>
      <c r="X1766" s="133">
        <f t="shared" si="273"/>
        <v>0</v>
      </c>
      <c r="Y1766" s="251"/>
      <c r="Z1766" s="1736"/>
      <c r="AA1766" s="1737"/>
      <c r="AB1766" s="77">
        <f t="shared" si="274"/>
        <v>0</v>
      </c>
      <c r="AC1766" s="134">
        <f t="shared" si="275"/>
        <v>0</v>
      </c>
      <c r="AD1766" s="251"/>
      <c r="AE1766" s="1736"/>
      <c r="AF1766" s="1737"/>
      <c r="AG1766" s="77">
        <f t="shared" si="276"/>
        <v>0</v>
      </c>
      <c r="AH1766" s="136">
        <f t="shared" si="277"/>
        <v>0</v>
      </c>
      <c r="AI1766" s="251"/>
      <c r="AJ1766" s="1736"/>
      <c r="AK1766" s="1737"/>
      <c r="AL1766" s="79">
        <f t="shared" si="278"/>
        <v>0</v>
      </c>
      <c r="AM1766" s="137">
        <f t="shared" si="279"/>
        <v>0</v>
      </c>
      <c r="AN1766" s="251"/>
      <c r="AO1766" s="1736"/>
      <c r="AP1766" s="1737"/>
    </row>
    <row r="1767" spans="1:42" s="85" customFormat="1" ht="13.5" thickBot="1">
      <c r="A1767" s="240"/>
      <c r="B1767" s="241"/>
      <c r="C1767" s="242"/>
      <c r="D1767" s="242"/>
      <c r="E1767" s="243"/>
      <c r="F1767" s="244"/>
      <c r="G1767" s="244"/>
      <c r="H1767" s="243"/>
      <c r="I1767" s="258"/>
      <c r="J1767" s="245"/>
      <c r="K1767" s="245"/>
      <c r="L1767" s="76">
        <f t="shared" si="270"/>
        <v>0</v>
      </c>
      <c r="M1767" s="246"/>
      <c r="N1767" s="247"/>
      <c r="O1767" s="248"/>
      <c r="P1767" s="246"/>
      <c r="Q1767" s="249"/>
      <c r="R1767" s="250"/>
      <c r="S1767" s="259"/>
      <c r="T1767" s="260"/>
      <c r="U1767" s="250"/>
      <c r="V1767" s="78">
        <f t="shared" si="271"/>
        <v>0</v>
      </c>
      <c r="W1767" s="261">
        <f t="shared" si="272"/>
        <v>0</v>
      </c>
      <c r="X1767" s="133">
        <f t="shared" si="273"/>
        <v>0</v>
      </c>
      <c r="Y1767" s="251"/>
      <c r="Z1767" s="1736"/>
      <c r="AA1767" s="1737"/>
      <c r="AB1767" s="77">
        <f t="shared" si="274"/>
        <v>0</v>
      </c>
      <c r="AC1767" s="134">
        <f t="shared" si="275"/>
        <v>0</v>
      </c>
      <c r="AD1767" s="251"/>
      <c r="AE1767" s="1736"/>
      <c r="AF1767" s="1737"/>
      <c r="AG1767" s="77">
        <f t="shared" si="276"/>
        <v>0</v>
      </c>
      <c r="AH1767" s="136">
        <f t="shared" si="277"/>
        <v>0</v>
      </c>
      <c r="AI1767" s="251"/>
      <c r="AJ1767" s="1736"/>
      <c r="AK1767" s="1737"/>
      <c r="AL1767" s="79">
        <f t="shared" si="278"/>
        <v>0</v>
      </c>
      <c r="AM1767" s="137">
        <f t="shared" si="279"/>
        <v>0</v>
      </c>
      <c r="AN1767" s="251"/>
      <c r="AO1767" s="1736"/>
      <c r="AP1767" s="1737"/>
    </row>
    <row r="1768" spans="1:42" s="85" customFormat="1" ht="13.5" thickBot="1">
      <c r="A1768" s="240"/>
      <c r="B1768" s="241"/>
      <c r="C1768" s="242"/>
      <c r="D1768" s="242"/>
      <c r="E1768" s="243"/>
      <c r="F1768" s="244"/>
      <c r="G1768" s="244"/>
      <c r="H1768" s="243"/>
      <c r="I1768" s="258"/>
      <c r="J1768" s="245"/>
      <c r="K1768" s="245"/>
      <c r="L1768" s="76">
        <f t="shared" si="270"/>
        <v>0</v>
      </c>
      <c r="M1768" s="246"/>
      <c r="N1768" s="247"/>
      <c r="O1768" s="248"/>
      <c r="P1768" s="246"/>
      <c r="Q1768" s="249"/>
      <c r="R1768" s="250"/>
      <c r="S1768" s="259"/>
      <c r="T1768" s="260"/>
      <c r="U1768" s="250"/>
      <c r="V1768" s="78">
        <f t="shared" si="271"/>
        <v>0</v>
      </c>
      <c r="W1768" s="261">
        <f t="shared" si="272"/>
        <v>0</v>
      </c>
      <c r="X1768" s="133">
        <f t="shared" si="273"/>
        <v>0</v>
      </c>
      <c r="Y1768" s="251"/>
      <c r="Z1768" s="1736"/>
      <c r="AA1768" s="1737"/>
      <c r="AB1768" s="77">
        <f t="shared" si="274"/>
        <v>0</v>
      </c>
      <c r="AC1768" s="134">
        <f t="shared" si="275"/>
        <v>0</v>
      </c>
      <c r="AD1768" s="251"/>
      <c r="AE1768" s="1736"/>
      <c r="AF1768" s="1737"/>
      <c r="AG1768" s="77">
        <f t="shared" si="276"/>
        <v>0</v>
      </c>
      <c r="AH1768" s="136">
        <f t="shared" si="277"/>
        <v>0</v>
      </c>
      <c r="AI1768" s="251"/>
      <c r="AJ1768" s="1736"/>
      <c r="AK1768" s="1737"/>
      <c r="AL1768" s="79">
        <f t="shared" si="278"/>
        <v>0</v>
      </c>
      <c r="AM1768" s="137">
        <f t="shared" si="279"/>
        <v>0</v>
      </c>
      <c r="AN1768" s="251"/>
      <c r="AO1768" s="1736"/>
      <c r="AP1768" s="1737"/>
    </row>
    <row r="1769" spans="1:42" s="85" customFormat="1" ht="13.5" thickBot="1">
      <c r="A1769" s="240"/>
      <c r="B1769" s="241"/>
      <c r="C1769" s="242"/>
      <c r="D1769" s="242"/>
      <c r="E1769" s="243"/>
      <c r="F1769" s="244"/>
      <c r="G1769" s="244"/>
      <c r="H1769" s="243"/>
      <c r="I1769" s="258"/>
      <c r="J1769" s="245"/>
      <c r="K1769" s="245"/>
      <c r="L1769" s="76">
        <f t="shared" si="270"/>
        <v>0</v>
      </c>
      <c r="M1769" s="246"/>
      <c r="N1769" s="247"/>
      <c r="O1769" s="248"/>
      <c r="P1769" s="246"/>
      <c r="Q1769" s="249"/>
      <c r="R1769" s="250"/>
      <c r="S1769" s="259"/>
      <c r="T1769" s="260"/>
      <c r="U1769" s="250"/>
      <c r="V1769" s="78">
        <f t="shared" si="271"/>
        <v>0</v>
      </c>
      <c r="W1769" s="261">
        <f t="shared" si="272"/>
        <v>0</v>
      </c>
      <c r="X1769" s="133">
        <f t="shared" si="273"/>
        <v>0</v>
      </c>
      <c r="Y1769" s="251"/>
      <c r="Z1769" s="1736"/>
      <c r="AA1769" s="1737"/>
      <c r="AB1769" s="77">
        <f t="shared" si="274"/>
        <v>0</v>
      </c>
      <c r="AC1769" s="134">
        <f t="shared" si="275"/>
        <v>0</v>
      </c>
      <c r="AD1769" s="251"/>
      <c r="AE1769" s="1736"/>
      <c r="AF1769" s="1737"/>
      <c r="AG1769" s="77">
        <f t="shared" si="276"/>
        <v>0</v>
      </c>
      <c r="AH1769" s="136">
        <f t="shared" si="277"/>
        <v>0</v>
      </c>
      <c r="AI1769" s="251"/>
      <c r="AJ1769" s="1736"/>
      <c r="AK1769" s="1737"/>
      <c r="AL1769" s="79">
        <f t="shared" si="278"/>
        <v>0</v>
      </c>
      <c r="AM1769" s="137">
        <f t="shared" si="279"/>
        <v>0</v>
      </c>
      <c r="AN1769" s="251"/>
      <c r="AO1769" s="1736"/>
      <c r="AP1769" s="1737"/>
    </row>
    <row r="1770" spans="1:42" s="85" customFormat="1" ht="13.5" thickBot="1">
      <c r="A1770" s="240"/>
      <c r="B1770" s="241"/>
      <c r="C1770" s="242"/>
      <c r="D1770" s="242"/>
      <c r="E1770" s="243"/>
      <c r="F1770" s="244"/>
      <c r="G1770" s="244"/>
      <c r="H1770" s="243"/>
      <c r="I1770" s="258"/>
      <c r="J1770" s="245"/>
      <c r="K1770" s="245"/>
      <c r="L1770" s="76">
        <f t="shared" si="270"/>
        <v>0</v>
      </c>
      <c r="M1770" s="246"/>
      <c r="N1770" s="247"/>
      <c r="O1770" s="248"/>
      <c r="P1770" s="246"/>
      <c r="Q1770" s="249"/>
      <c r="R1770" s="250"/>
      <c r="S1770" s="259"/>
      <c r="T1770" s="260"/>
      <c r="U1770" s="250"/>
      <c r="V1770" s="78">
        <f t="shared" si="271"/>
        <v>0</v>
      </c>
      <c r="W1770" s="261">
        <f t="shared" si="272"/>
        <v>0</v>
      </c>
      <c r="X1770" s="133">
        <f t="shared" si="273"/>
        <v>0</v>
      </c>
      <c r="Y1770" s="251"/>
      <c r="Z1770" s="1736"/>
      <c r="AA1770" s="1737"/>
      <c r="AB1770" s="77">
        <f t="shared" si="274"/>
        <v>0</v>
      </c>
      <c r="AC1770" s="134">
        <f t="shared" si="275"/>
        <v>0</v>
      </c>
      <c r="AD1770" s="251"/>
      <c r="AE1770" s="1736"/>
      <c r="AF1770" s="1737"/>
      <c r="AG1770" s="77">
        <f t="shared" si="276"/>
        <v>0</v>
      </c>
      <c r="AH1770" s="136">
        <f t="shared" si="277"/>
        <v>0</v>
      </c>
      <c r="AI1770" s="251"/>
      <c r="AJ1770" s="1736"/>
      <c r="AK1770" s="1737"/>
      <c r="AL1770" s="79">
        <f t="shared" si="278"/>
        <v>0</v>
      </c>
      <c r="AM1770" s="137">
        <f t="shared" si="279"/>
        <v>0</v>
      </c>
      <c r="AN1770" s="251"/>
      <c r="AO1770" s="1736"/>
      <c r="AP1770" s="1737"/>
    </row>
    <row r="1771" spans="1:42" s="85" customFormat="1" ht="13.5" thickBot="1">
      <c r="A1771" s="240"/>
      <c r="B1771" s="241"/>
      <c r="C1771" s="242"/>
      <c r="D1771" s="242"/>
      <c r="E1771" s="243"/>
      <c r="F1771" s="244"/>
      <c r="G1771" s="244"/>
      <c r="H1771" s="243"/>
      <c r="I1771" s="258"/>
      <c r="J1771" s="245"/>
      <c r="K1771" s="245"/>
      <c r="L1771" s="76">
        <f t="shared" si="270"/>
        <v>0</v>
      </c>
      <c r="M1771" s="246"/>
      <c r="N1771" s="247"/>
      <c r="O1771" s="248"/>
      <c r="P1771" s="246"/>
      <c r="Q1771" s="249"/>
      <c r="R1771" s="250"/>
      <c r="S1771" s="259"/>
      <c r="T1771" s="260"/>
      <c r="U1771" s="250"/>
      <c r="V1771" s="78">
        <f t="shared" si="271"/>
        <v>0</v>
      </c>
      <c r="W1771" s="261">
        <f t="shared" si="272"/>
        <v>0</v>
      </c>
      <c r="X1771" s="133">
        <f t="shared" si="273"/>
        <v>0</v>
      </c>
      <c r="Y1771" s="251"/>
      <c r="Z1771" s="1736"/>
      <c r="AA1771" s="1737"/>
      <c r="AB1771" s="77">
        <f t="shared" si="274"/>
        <v>0</v>
      </c>
      <c r="AC1771" s="134">
        <f t="shared" si="275"/>
        <v>0</v>
      </c>
      <c r="AD1771" s="251"/>
      <c r="AE1771" s="1736"/>
      <c r="AF1771" s="1737"/>
      <c r="AG1771" s="77">
        <f t="shared" si="276"/>
        <v>0</v>
      </c>
      <c r="AH1771" s="136">
        <f t="shared" si="277"/>
        <v>0</v>
      </c>
      <c r="AI1771" s="251"/>
      <c r="AJ1771" s="1736"/>
      <c r="AK1771" s="1737"/>
      <c r="AL1771" s="79">
        <f t="shared" si="278"/>
        <v>0</v>
      </c>
      <c r="AM1771" s="137">
        <f t="shared" si="279"/>
        <v>0</v>
      </c>
      <c r="AN1771" s="251"/>
      <c r="AO1771" s="1736"/>
      <c r="AP1771" s="1737"/>
    </row>
    <row r="1772" spans="1:42" s="85" customFormat="1" ht="13.5" thickBot="1">
      <c r="A1772" s="240"/>
      <c r="B1772" s="241"/>
      <c r="C1772" s="242"/>
      <c r="D1772" s="242"/>
      <c r="E1772" s="243"/>
      <c r="F1772" s="244"/>
      <c r="G1772" s="244"/>
      <c r="H1772" s="243"/>
      <c r="I1772" s="258"/>
      <c r="J1772" s="245"/>
      <c r="K1772" s="245"/>
      <c r="L1772" s="76">
        <f t="shared" si="270"/>
        <v>0</v>
      </c>
      <c r="M1772" s="246"/>
      <c r="N1772" s="247"/>
      <c r="O1772" s="248"/>
      <c r="P1772" s="246"/>
      <c r="Q1772" s="249"/>
      <c r="R1772" s="250"/>
      <c r="S1772" s="259"/>
      <c r="T1772" s="260"/>
      <c r="U1772" s="250"/>
      <c r="V1772" s="78">
        <f t="shared" si="271"/>
        <v>0</v>
      </c>
      <c r="W1772" s="261">
        <f t="shared" si="272"/>
        <v>0</v>
      </c>
      <c r="X1772" s="133">
        <f t="shared" si="273"/>
        <v>0</v>
      </c>
      <c r="Y1772" s="251"/>
      <c r="Z1772" s="1736"/>
      <c r="AA1772" s="1737"/>
      <c r="AB1772" s="77">
        <f t="shared" si="274"/>
        <v>0</v>
      </c>
      <c r="AC1772" s="134">
        <f t="shared" si="275"/>
        <v>0</v>
      </c>
      <c r="AD1772" s="251"/>
      <c r="AE1772" s="1736"/>
      <c r="AF1772" s="1737"/>
      <c r="AG1772" s="77">
        <f t="shared" si="276"/>
        <v>0</v>
      </c>
      <c r="AH1772" s="136">
        <f t="shared" si="277"/>
        <v>0</v>
      </c>
      <c r="AI1772" s="251"/>
      <c r="AJ1772" s="1736"/>
      <c r="AK1772" s="1737"/>
      <c r="AL1772" s="79">
        <f t="shared" si="278"/>
        <v>0</v>
      </c>
      <c r="AM1772" s="137">
        <f t="shared" si="279"/>
        <v>0</v>
      </c>
      <c r="AN1772" s="251"/>
      <c r="AO1772" s="1736"/>
      <c r="AP1772" s="1737"/>
    </row>
    <row r="1773" spans="1:42" s="85" customFormat="1" ht="13.5" thickBot="1">
      <c r="A1773" s="240"/>
      <c r="B1773" s="241"/>
      <c r="C1773" s="242"/>
      <c r="D1773" s="242"/>
      <c r="E1773" s="243"/>
      <c r="F1773" s="244"/>
      <c r="G1773" s="244"/>
      <c r="H1773" s="243"/>
      <c r="I1773" s="258"/>
      <c r="J1773" s="245"/>
      <c r="K1773" s="245"/>
      <c r="L1773" s="76">
        <f t="shared" si="270"/>
        <v>0</v>
      </c>
      <c r="M1773" s="246"/>
      <c r="N1773" s="247"/>
      <c r="O1773" s="248"/>
      <c r="P1773" s="246"/>
      <c r="Q1773" s="249"/>
      <c r="R1773" s="250"/>
      <c r="S1773" s="259"/>
      <c r="T1773" s="260"/>
      <c r="U1773" s="250"/>
      <c r="V1773" s="78">
        <f t="shared" si="271"/>
        <v>0</v>
      </c>
      <c r="W1773" s="261">
        <f t="shared" si="272"/>
        <v>0</v>
      </c>
      <c r="X1773" s="133">
        <f t="shared" si="273"/>
        <v>0</v>
      </c>
      <c r="Y1773" s="251"/>
      <c r="Z1773" s="1736"/>
      <c r="AA1773" s="1737"/>
      <c r="AB1773" s="77">
        <f t="shared" si="274"/>
        <v>0</v>
      </c>
      <c r="AC1773" s="134">
        <f t="shared" si="275"/>
        <v>0</v>
      </c>
      <c r="AD1773" s="251"/>
      <c r="AE1773" s="1736"/>
      <c r="AF1773" s="1737"/>
      <c r="AG1773" s="77">
        <f t="shared" si="276"/>
        <v>0</v>
      </c>
      <c r="AH1773" s="136">
        <f t="shared" si="277"/>
        <v>0</v>
      </c>
      <c r="AI1773" s="251"/>
      <c r="AJ1773" s="1736"/>
      <c r="AK1773" s="1737"/>
      <c r="AL1773" s="79">
        <f t="shared" si="278"/>
        <v>0</v>
      </c>
      <c r="AM1773" s="137">
        <f t="shared" si="279"/>
        <v>0</v>
      </c>
      <c r="AN1773" s="251"/>
      <c r="AO1773" s="1736"/>
      <c r="AP1773" s="1737"/>
    </row>
    <row r="1774" spans="1:42" s="85" customFormat="1" ht="13.5" thickBot="1">
      <c r="A1774" s="240"/>
      <c r="B1774" s="241"/>
      <c r="C1774" s="242"/>
      <c r="D1774" s="242"/>
      <c r="E1774" s="243"/>
      <c r="F1774" s="244"/>
      <c r="G1774" s="244"/>
      <c r="H1774" s="243"/>
      <c r="I1774" s="258"/>
      <c r="J1774" s="245"/>
      <c r="K1774" s="245"/>
      <c r="L1774" s="76">
        <f t="shared" si="270"/>
        <v>0</v>
      </c>
      <c r="M1774" s="246"/>
      <c r="N1774" s="247"/>
      <c r="O1774" s="248"/>
      <c r="P1774" s="246"/>
      <c r="Q1774" s="249"/>
      <c r="R1774" s="250"/>
      <c r="S1774" s="259"/>
      <c r="T1774" s="260"/>
      <c r="U1774" s="250"/>
      <c r="V1774" s="78">
        <f t="shared" si="271"/>
        <v>0</v>
      </c>
      <c r="W1774" s="261">
        <f t="shared" si="272"/>
        <v>0</v>
      </c>
      <c r="X1774" s="133">
        <f t="shared" si="273"/>
        <v>0</v>
      </c>
      <c r="Y1774" s="251"/>
      <c r="Z1774" s="1736"/>
      <c r="AA1774" s="1737"/>
      <c r="AB1774" s="77">
        <f t="shared" si="274"/>
        <v>0</v>
      </c>
      <c r="AC1774" s="134">
        <f t="shared" si="275"/>
        <v>0</v>
      </c>
      <c r="AD1774" s="251"/>
      <c r="AE1774" s="1736"/>
      <c r="AF1774" s="1737"/>
      <c r="AG1774" s="77">
        <f t="shared" si="276"/>
        <v>0</v>
      </c>
      <c r="AH1774" s="136">
        <f t="shared" si="277"/>
        <v>0</v>
      </c>
      <c r="AI1774" s="251"/>
      <c r="AJ1774" s="1736"/>
      <c r="AK1774" s="1737"/>
      <c r="AL1774" s="79">
        <f t="shared" si="278"/>
        <v>0</v>
      </c>
      <c r="AM1774" s="137">
        <f t="shared" si="279"/>
        <v>0</v>
      </c>
      <c r="AN1774" s="251"/>
      <c r="AO1774" s="1736"/>
      <c r="AP1774" s="1737"/>
    </row>
    <row r="1775" spans="1:42" s="85" customFormat="1" ht="13.5" thickBot="1">
      <c r="A1775" s="240"/>
      <c r="B1775" s="241"/>
      <c r="C1775" s="242"/>
      <c r="D1775" s="242"/>
      <c r="E1775" s="243"/>
      <c r="F1775" s="244"/>
      <c r="G1775" s="244"/>
      <c r="H1775" s="243"/>
      <c r="I1775" s="258"/>
      <c r="J1775" s="245"/>
      <c r="K1775" s="245"/>
      <c r="L1775" s="76">
        <f t="shared" si="270"/>
        <v>0</v>
      </c>
      <c r="M1775" s="246"/>
      <c r="N1775" s="247"/>
      <c r="O1775" s="248"/>
      <c r="P1775" s="246"/>
      <c r="Q1775" s="249"/>
      <c r="R1775" s="250"/>
      <c r="S1775" s="259"/>
      <c r="T1775" s="260"/>
      <c r="U1775" s="250"/>
      <c r="V1775" s="78">
        <f t="shared" si="271"/>
        <v>0</v>
      </c>
      <c r="W1775" s="261">
        <f t="shared" si="272"/>
        <v>0</v>
      </c>
      <c r="X1775" s="133">
        <f t="shared" si="273"/>
        <v>0</v>
      </c>
      <c r="Y1775" s="251"/>
      <c r="Z1775" s="1736"/>
      <c r="AA1775" s="1737"/>
      <c r="AB1775" s="77">
        <f t="shared" si="274"/>
        <v>0</v>
      </c>
      <c r="AC1775" s="134">
        <f t="shared" si="275"/>
        <v>0</v>
      </c>
      <c r="AD1775" s="251"/>
      <c r="AE1775" s="1736"/>
      <c r="AF1775" s="1737"/>
      <c r="AG1775" s="77">
        <f t="shared" si="276"/>
        <v>0</v>
      </c>
      <c r="AH1775" s="136">
        <f t="shared" si="277"/>
        <v>0</v>
      </c>
      <c r="AI1775" s="251"/>
      <c r="AJ1775" s="1736"/>
      <c r="AK1775" s="1737"/>
      <c r="AL1775" s="79">
        <f t="shared" si="278"/>
        <v>0</v>
      </c>
      <c r="AM1775" s="137">
        <f t="shared" si="279"/>
        <v>0</v>
      </c>
      <c r="AN1775" s="251"/>
      <c r="AO1775" s="1736"/>
      <c r="AP1775" s="1737"/>
    </row>
    <row r="1776" spans="1:42" s="85" customFormat="1" ht="13.5" thickBot="1">
      <c r="A1776" s="240"/>
      <c r="B1776" s="241"/>
      <c r="C1776" s="242"/>
      <c r="D1776" s="242"/>
      <c r="E1776" s="243"/>
      <c r="F1776" s="244"/>
      <c r="G1776" s="244"/>
      <c r="H1776" s="243"/>
      <c r="I1776" s="258"/>
      <c r="J1776" s="245"/>
      <c r="K1776" s="245"/>
      <c r="L1776" s="76">
        <f t="shared" si="270"/>
        <v>0</v>
      </c>
      <c r="M1776" s="246"/>
      <c r="N1776" s="247"/>
      <c r="O1776" s="248"/>
      <c r="P1776" s="246"/>
      <c r="Q1776" s="249"/>
      <c r="R1776" s="250"/>
      <c r="S1776" s="259"/>
      <c r="T1776" s="260"/>
      <c r="U1776" s="250"/>
      <c r="V1776" s="78">
        <f t="shared" si="271"/>
        <v>0</v>
      </c>
      <c r="W1776" s="261">
        <f t="shared" si="272"/>
        <v>0</v>
      </c>
      <c r="X1776" s="133">
        <f t="shared" si="273"/>
        <v>0</v>
      </c>
      <c r="Y1776" s="251"/>
      <c r="Z1776" s="1736"/>
      <c r="AA1776" s="1737"/>
      <c r="AB1776" s="77">
        <f t="shared" si="274"/>
        <v>0</v>
      </c>
      <c r="AC1776" s="134">
        <f t="shared" si="275"/>
        <v>0</v>
      </c>
      <c r="AD1776" s="251"/>
      <c r="AE1776" s="1736"/>
      <c r="AF1776" s="1737"/>
      <c r="AG1776" s="77">
        <f t="shared" si="276"/>
        <v>0</v>
      </c>
      <c r="AH1776" s="136">
        <f t="shared" si="277"/>
        <v>0</v>
      </c>
      <c r="AI1776" s="251"/>
      <c r="AJ1776" s="1736"/>
      <c r="AK1776" s="1737"/>
      <c r="AL1776" s="79">
        <f t="shared" si="278"/>
        <v>0</v>
      </c>
      <c r="AM1776" s="137">
        <f t="shared" si="279"/>
        <v>0</v>
      </c>
      <c r="AN1776" s="251"/>
      <c r="AO1776" s="1736"/>
      <c r="AP1776" s="1737"/>
    </row>
    <row r="1777" spans="1:42" s="85" customFormat="1" ht="13.5" thickBot="1">
      <c r="A1777" s="240"/>
      <c r="B1777" s="241"/>
      <c r="C1777" s="242"/>
      <c r="D1777" s="242"/>
      <c r="E1777" s="243"/>
      <c r="F1777" s="244"/>
      <c r="G1777" s="244"/>
      <c r="H1777" s="243"/>
      <c r="I1777" s="258"/>
      <c r="J1777" s="245"/>
      <c r="K1777" s="245"/>
      <c r="L1777" s="76">
        <f t="shared" si="270"/>
        <v>0</v>
      </c>
      <c r="M1777" s="246"/>
      <c r="N1777" s="247"/>
      <c r="O1777" s="248"/>
      <c r="P1777" s="246"/>
      <c r="Q1777" s="249"/>
      <c r="R1777" s="250"/>
      <c r="S1777" s="259"/>
      <c r="T1777" s="260"/>
      <c r="U1777" s="250"/>
      <c r="V1777" s="78">
        <f t="shared" si="271"/>
        <v>0</v>
      </c>
      <c r="W1777" s="261">
        <f t="shared" si="272"/>
        <v>0</v>
      </c>
      <c r="X1777" s="133">
        <f t="shared" si="273"/>
        <v>0</v>
      </c>
      <c r="Y1777" s="251"/>
      <c r="Z1777" s="1736"/>
      <c r="AA1777" s="1737"/>
      <c r="AB1777" s="77">
        <f t="shared" si="274"/>
        <v>0</v>
      </c>
      <c r="AC1777" s="134">
        <f t="shared" si="275"/>
        <v>0</v>
      </c>
      <c r="AD1777" s="251"/>
      <c r="AE1777" s="1736"/>
      <c r="AF1777" s="1737"/>
      <c r="AG1777" s="77">
        <f t="shared" si="276"/>
        <v>0</v>
      </c>
      <c r="AH1777" s="136">
        <f t="shared" si="277"/>
        <v>0</v>
      </c>
      <c r="AI1777" s="251"/>
      <c r="AJ1777" s="1736"/>
      <c r="AK1777" s="1737"/>
      <c r="AL1777" s="79">
        <f t="shared" si="278"/>
        <v>0</v>
      </c>
      <c r="AM1777" s="137">
        <f t="shared" si="279"/>
        <v>0</v>
      </c>
      <c r="AN1777" s="251"/>
      <c r="AO1777" s="1736"/>
      <c r="AP1777" s="1737"/>
    </row>
    <row r="1778" spans="1:42" s="85" customFormat="1" ht="13.5" thickBot="1">
      <c r="A1778" s="240"/>
      <c r="B1778" s="241"/>
      <c r="C1778" s="242"/>
      <c r="D1778" s="242"/>
      <c r="E1778" s="243"/>
      <c r="F1778" s="244"/>
      <c r="G1778" s="244"/>
      <c r="H1778" s="243"/>
      <c r="I1778" s="258"/>
      <c r="J1778" s="245"/>
      <c r="K1778" s="245"/>
      <c r="L1778" s="76">
        <f t="shared" si="270"/>
        <v>0</v>
      </c>
      <c r="M1778" s="246"/>
      <c r="N1778" s="247"/>
      <c r="O1778" s="248"/>
      <c r="P1778" s="246"/>
      <c r="Q1778" s="249"/>
      <c r="R1778" s="250"/>
      <c r="S1778" s="259"/>
      <c r="T1778" s="260"/>
      <c r="U1778" s="250"/>
      <c r="V1778" s="78">
        <f t="shared" si="271"/>
        <v>0</v>
      </c>
      <c r="W1778" s="261">
        <f t="shared" si="272"/>
        <v>0</v>
      </c>
      <c r="X1778" s="133">
        <f t="shared" si="273"/>
        <v>0</v>
      </c>
      <c r="Y1778" s="251"/>
      <c r="Z1778" s="1736"/>
      <c r="AA1778" s="1737"/>
      <c r="AB1778" s="77">
        <f t="shared" si="274"/>
        <v>0</v>
      </c>
      <c r="AC1778" s="134">
        <f t="shared" si="275"/>
        <v>0</v>
      </c>
      <c r="AD1778" s="251"/>
      <c r="AE1778" s="1736"/>
      <c r="AF1778" s="1737"/>
      <c r="AG1778" s="77">
        <f t="shared" si="276"/>
        <v>0</v>
      </c>
      <c r="AH1778" s="136">
        <f t="shared" si="277"/>
        <v>0</v>
      </c>
      <c r="AI1778" s="251"/>
      <c r="AJ1778" s="1736"/>
      <c r="AK1778" s="1737"/>
      <c r="AL1778" s="79">
        <f t="shared" si="278"/>
        <v>0</v>
      </c>
      <c r="AM1778" s="137">
        <f t="shared" si="279"/>
        <v>0</v>
      </c>
      <c r="AN1778" s="251"/>
      <c r="AO1778" s="1736"/>
      <c r="AP1778" s="1737"/>
    </row>
    <row r="1779" spans="1:42" s="85" customFormat="1" ht="13.5" thickBot="1">
      <c r="A1779" s="240"/>
      <c r="B1779" s="241"/>
      <c r="C1779" s="242"/>
      <c r="D1779" s="242"/>
      <c r="E1779" s="243"/>
      <c r="F1779" s="244"/>
      <c r="G1779" s="244"/>
      <c r="H1779" s="243"/>
      <c r="I1779" s="258"/>
      <c r="J1779" s="245"/>
      <c r="K1779" s="245"/>
      <c r="L1779" s="76">
        <f t="shared" si="270"/>
        <v>0</v>
      </c>
      <c r="M1779" s="246"/>
      <c r="N1779" s="247"/>
      <c r="O1779" s="248"/>
      <c r="P1779" s="246"/>
      <c r="Q1779" s="249"/>
      <c r="R1779" s="250"/>
      <c r="S1779" s="259"/>
      <c r="T1779" s="260"/>
      <c r="U1779" s="250"/>
      <c r="V1779" s="78">
        <f t="shared" si="271"/>
        <v>0</v>
      </c>
      <c r="W1779" s="261">
        <f t="shared" si="272"/>
        <v>0</v>
      </c>
      <c r="X1779" s="133">
        <f t="shared" si="273"/>
        <v>0</v>
      </c>
      <c r="Y1779" s="251"/>
      <c r="Z1779" s="1736"/>
      <c r="AA1779" s="1737"/>
      <c r="AB1779" s="77">
        <f t="shared" si="274"/>
        <v>0</v>
      </c>
      <c r="AC1779" s="134">
        <f t="shared" si="275"/>
        <v>0</v>
      </c>
      <c r="AD1779" s="251"/>
      <c r="AE1779" s="1736"/>
      <c r="AF1779" s="1737"/>
      <c r="AG1779" s="77">
        <f t="shared" si="276"/>
        <v>0</v>
      </c>
      <c r="AH1779" s="136">
        <f t="shared" si="277"/>
        <v>0</v>
      </c>
      <c r="AI1779" s="251"/>
      <c r="AJ1779" s="1736"/>
      <c r="AK1779" s="1737"/>
      <c r="AL1779" s="79">
        <f t="shared" si="278"/>
        <v>0</v>
      </c>
      <c r="AM1779" s="137">
        <f t="shared" si="279"/>
        <v>0</v>
      </c>
      <c r="AN1779" s="251"/>
      <c r="AO1779" s="1736"/>
      <c r="AP1779" s="1737"/>
    </row>
    <row r="1780" spans="1:42" s="85" customFormat="1" ht="13.5" thickBot="1">
      <c r="A1780" s="240"/>
      <c r="B1780" s="241"/>
      <c r="C1780" s="242"/>
      <c r="D1780" s="242"/>
      <c r="E1780" s="243"/>
      <c r="F1780" s="244"/>
      <c r="G1780" s="244"/>
      <c r="H1780" s="243"/>
      <c r="I1780" s="258"/>
      <c r="J1780" s="245"/>
      <c r="K1780" s="245"/>
      <c r="L1780" s="76">
        <f t="shared" si="270"/>
        <v>0</v>
      </c>
      <c r="M1780" s="246"/>
      <c r="N1780" s="247"/>
      <c r="O1780" s="248"/>
      <c r="P1780" s="246"/>
      <c r="Q1780" s="249"/>
      <c r="R1780" s="250"/>
      <c r="S1780" s="259"/>
      <c r="T1780" s="260"/>
      <c r="U1780" s="250"/>
      <c r="V1780" s="78">
        <f t="shared" si="271"/>
        <v>0</v>
      </c>
      <c r="W1780" s="261">
        <f t="shared" si="272"/>
        <v>0</v>
      </c>
      <c r="X1780" s="133">
        <f t="shared" si="273"/>
        <v>0</v>
      </c>
      <c r="Y1780" s="251"/>
      <c r="Z1780" s="1736"/>
      <c r="AA1780" s="1737"/>
      <c r="AB1780" s="77">
        <f t="shared" si="274"/>
        <v>0</v>
      </c>
      <c r="AC1780" s="134">
        <f t="shared" si="275"/>
        <v>0</v>
      </c>
      <c r="AD1780" s="251"/>
      <c r="AE1780" s="1736"/>
      <c r="AF1780" s="1737"/>
      <c r="AG1780" s="77">
        <f t="shared" si="276"/>
        <v>0</v>
      </c>
      <c r="AH1780" s="136">
        <f t="shared" si="277"/>
        <v>0</v>
      </c>
      <c r="AI1780" s="251"/>
      <c r="AJ1780" s="1736"/>
      <c r="AK1780" s="1737"/>
      <c r="AL1780" s="79">
        <f t="shared" si="278"/>
        <v>0</v>
      </c>
      <c r="AM1780" s="137">
        <f t="shared" si="279"/>
        <v>0</v>
      </c>
      <c r="AN1780" s="251"/>
      <c r="AO1780" s="1736"/>
      <c r="AP1780" s="1737"/>
    </row>
    <row r="1781" spans="1:42" s="85" customFormat="1" ht="13.5" thickBot="1">
      <c r="A1781" s="240"/>
      <c r="B1781" s="241"/>
      <c r="C1781" s="242"/>
      <c r="D1781" s="242"/>
      <c r="E1781" s="243"/>
      <c r="F1781" s="244"/>
      <c r="G1781" s="244"/>
      <c r="H1781" s="243"/>
      <c r="I1781" s="258"/>
      <c r="J1781" s="245"/>
      <c r="K1781" s="245"/>
      <c r="L1781" s="76">
        <f t="shared" si="270"/>
        <v>0</v>
      </c>
      <c r="M1781" s="246"/>
      <c r="N1781" s="247"/>
      <c r="O1781" s="248"/>
      <c r="P1781" s="246"/>
      <c r="Q1781" s="249"/>
      <c r="R1781" s="250"/>
      <c r="S1781" s="259"/>
      <c r="T1781" s="260"/>
      <c r="U1781" s="250"/>
      <c r="V1781" s="78">
        <f t="shared" si="271"/>
        <v>0</v>
      </c>
      <c r="W1781" s="261">
        <f t="shared" si="272"/>
        <v>0</v>
      </c>
      <c r="X1781" s="133">
        <f t="shared" si="273"/>
        <v>0</v>
      </c>
      <c r="Y1781" s="251"/>
      <c r="Z1781" s="1736"/>
      <c r="AA1781" s="1737"/>
      <c r="AB1781" s="77">
        <f t="shared" si="274"/>
        <v>0</v>
      </c>
      <c r="AC1781" s="134">
        <f t="shared" si="275"/>
        <v>0</v>
      </c>
      <c r="AD1781" s="251"/>
      <c r="AE1781" s="1736"/>
      <c r="AF1781" s="1737"/>
      <c r="AG1781" s="77">
        <f t="shared" si="276"/>
        <v>0</v>
      </c>
      <c r="AH1781" s="136">
        <f t="shared" si="277"/>
        <v>0</v>
      </c>
      <c r="AI1781" s="251"/>
      <c r="AJ1781" s="1736"/>
      <c r="AK1781" s="1737"/>
      <c r="AL1781" s="79">
        <f t="shared" si="278"/>
        <v>0</v>
      </c>
      <c r="AM1781" s="137">
        <f t="shared" si="279"/>
        <v>0</v>
      </c>
      <c r="AN1781" s="251"/>
      <c r="AO1781" s="1736"/>
      <c r="AP1781" s="1737"/>
    </row>
    <row r="1782" spans="1:42" s="85" customFormat="1" ht="13.5" thickBot="1">
      <c r="A1782" s="240"/>
      <c r="B1782" s="241"/>
      <c r="C1782" s="242"/>
      <c r="D1782" s="242"/>
      <c r="E1782" s="243"/>
      <c r="F1782" s="244"/>
      <c r="G1782" s="244"/>
      <c r="H1782" s="243"/>
      <c r="I1782" s="258"/>
      <c r="J1782" s="245"/>
      <c r="K1782" s="245"/>
      <c r="L1782" s="76">
        <f t="shared" si="270"/>
        <v>0</v>
      </c>
      <c r="M1782" s="246"/>
      <c r="N1782" s="247"/>
      <c r="O1782" s="248"/>
      <c r="P1782" s="246"/>
      <c r="Q1782" s="249"/>
      <c r="R1782" s="250"/>
      <c r="S1782" s="259"/>
      <c r="T1782" s="260"/>
      <c r="U1782" s="250"/>
      <c r="V1782" s="78">
        <f t="shared" si="271"/>
        <v>0</v>
      </c>
      <c r="W1782" s="261">
        <f t="shared" si="272"/>
        <v>0</v>
      </c>
      <c r="X1782" s="133">
        <f t="shared" si="273"/>
        <v>0</v>
      </c>
      <c r="Y1782" s="251"/>
      <c r="Z1782" s="1736"/>
      <c r="AA1782" s="1737"/>
      <c r="AB1782" s="77">
        <f t="shared" si="274"/>
        <v>0</v>
      </c>
      <c r="AC1782" s="134">
        <f t="shared" si="275"/>
        <v>0</v>
      </c>
      <c r="AD1782" s="251"/>
      <c r="AE1782" s="1736"/>
      <c r="AF1782" s="1737"/>
      <c r="AG1782" s="77">
        <f t="shared" si="276"/>
        <v>0</v>
      </c>
      <c r="AH1782" s="136">
        <f t="shared" si="277"/>
        <v>0</v>
      </c>
      <c r="AI1782" s="251"/>
      <c r="AJ1782" s="1736"/>
      <c r="AK1782" s="1737"/>
      <c r="AL1782" s="79">
        <f t="shared" si="278"/>
        <v>0</v>
      </c>
      <c r="AM1782" s="137">
        <f t="shared" si="279"/>
        <v>0</v>
      </c>
      <c r="AN1782" s="251"/>
      <c r="AO1782" s="1736"/>
      <c r="AP1782" s="1737"/>
    </row>
    <row r="1783" spans="1:42" s="85" customFormat="1" ht="13.5" thickBot="1">
      <c r="A1783" s="240"/>
      <c r="B1783" s="241"/>
      <c r="C1783" s="242"/>
      <c r="D1783" s="242"/>
      <c r="E1783" s="243"/>
      <c r="F1783" s="244"/>
      <c r="G1783" s="244"/>
      <c r="H1783" s="243"/>
      <c r="I1783" s="258"/>
      <c r="J1783" s="245"/>
      <c r="K1783" s="245"/>
      <c r="L1783" s="76">
        <f t="shared" si="270"/>
        <v>0</v>
      </c>
      <c r="M1783" s="246"/>
      <c r="N1783" s="247"/>
      <c r="O1783" s="248"/>
      <c r="P1783" s="246"/>
      <c r="Q1783" s="249"/>
      <c r="R1783" s="250"/>
      <c r="S1783" s="259"/>
      <c r="T1783" s="260"/>
      <c r="U1783" s="250"/>
      <c r="V1783" s="78">
        <f t="shared" si="271"/>
        <v>0</v>
      </c>
      <c r="W1783" s="261">
        <f t="shared" si="272"/>
        <v>0</v>
      </c>
      <c r="X1783" s="133">
        <f t="shared" si="273"/>
        <v>0</v>
      </c>
      <c r="Y1783" s="251"/>
      <c r="Z1783" s="1736"/>
      <c r="AA1783" s="1737"/>
      <c r="AB1783" s="77">
        <f t="shared" si="274"/>
        <v>0</v>
      </c>
      <c r="AC1783" s="134">
        <f t="shared" si="275"/>
        <v>0</v>
      </c>
      <c r="AD1783" s="251"/>
      <c r="AE1783" s="1736"/>
      <c r="AF1783" s="1737"/>
      <c r="AG1783" s="77">
        <f t="shared" si="276"/>
        <v>0</v>
      </c>
      <c r="AH1783" s="136">
        <f t="shared" si="277"/>
        <v>0</v>
      </c>
      <c r="AI1783" s="251"/>
      <c r="AJ1783" s="1736"/>
      <c r="AK1783" s="1737"/>
      <c r="AL1783" s="79">
        <f t="shared" si="278"/>
        <v>0</v>
      </c>
      <c r="AM1783" s="137">
        <f t="shared" si="279"/>
        <v>0</v>
      </c>
      <c r="AN1783" s="251"/>
      <c r="AO1783" s="1736"/>
      <c r="AP1783" s="1737"/>
    </row>
    <row r="1784" spans="1:42" s="85" customFormat="1" ht="13.5" thickBot="1">
      <c r="A1784" s="240"/>
      <c r="B1784" s="241"/>
      <c r="C1784" s="242"/>
      <c r="D1784" s="242"/>
      <c r="E1784" s="243"/>
      <c r="F1784" s="244"/>
      <c r="G1784" s="244"/>
      <c r="H1784" s="243"/>
      <c r="I1784" s="258"/>
      <c r="J1784" s="245"/>
      <c r="K1784" s="245"/>
      <c r="L1784" s="76">
        <f t="shared" si="270"/>
        <v>0</v>
      </c>
      <c r="M1784" s="246"/>
      <c r="N1784" s="247"/>
      <c r="O1784" s="248"/>
      <c r="P1784" s="246"/>
      <c r="Q1784" s="249"/>
      <c r="R1784" s="250"/>
      <c r="S1784" s="259"/>
      <c r="T1784" s="260"/>
      <c r="U1784" s="250"/>
      <c r="V1784" s="78">
        <f t="shared" si="271"/>
        <v>0</v>
      </c>
      <c r="W1784" s="261">
        <f t="shared" si="272"/>
        <v>0</v>
      </c>
      <c r="X1784" s="133">
        <f t="shared" si="273"/>
        <v>0</v>
      </c>
      <c r="Y1784" s="251"/>
      <c r="Z1784" s="1736"/>
      <c r="AA1784" s="1737"/>
      <c r="AB1784" s="77">
        <f t="shared" si="274"/>
        <v>0</v>
      </c>
      <c r="AC1784" s="134">
        <f t="shared" si="275"/>
        <v>0</v>
      </c>
      <c r="AD1784" s="251"/>
      <c r="AE1784" s="1736"/>
      <c r="AF1784" s="1737"/>
      <c r="AG1784" s="77">
        <f t="shared" si="276"/>
        <v>0</v>
      </c>
      <c r="AH1784" s="136">
        <f t="shared" si="277"/>
        <v>0</v>
      </c>
      <c r="AI1784" s="251"/>
      <c r="AJ1784" s="1736"/>
      <c r="AK1784" s="1737"/>
      <c r="AL1784" s="79">
        <f t="shared" si="278"/>
        <v>0</v>
      </c>
      <c r="AM1784" s="137">
        <f t="shared" si="279"/>
        <v>0</v>
      </c>
      <c r="AN1784" s="251"/>
      <c r="AO1784" s="1736"/>
      <c r="AP1784" s="1737"/>
    </row>
    <row r="1785" spans="1:42" s="85" customFormat="1" ht="13.5" thickBot="1">
      <c r="A1785" s="240"/>
      <c r="B1785" s="241"/>
      <c r="C1785" s="242"/>
      <c r="D1785" s="242"/>
      <c r="E1785" s="243"/>
      <c r="F1785" s="244"/>
      <c r="G1785" s="244"/>
      <c r="H1785" s="243"/>
      <c r="I1785" s="258"/>
      <c r="J1785" s="245"/>
      <c r="K1785" s="245"/>
      <c r="L1785" s="76">
        <f t="shared" si="270"/>
        <v>0</v>
      </c>
      <c r="M1785" s="246"/>
      <c r="N1785" s="247"/>
      <c r="O1785" s="248"/>
      <c r="P1785" s="246"/>
      <c r="Q1785" s="249"/>
      <c r="R1785" s="250"/>
      <c r="S1785" s="259"/>
      <c r="T1785" s="260"/>
      <c r="U1785" s="250"/>
      <c r="V1785" s="78">
        <f t="shared" si="271"/>
        <v>0</v>
      </c>
      <c r="W1785" s="261">
        <f t="shared" si="272"/>
        <v>0</v>
      </c>
      <c r="X1785" s="133">
        <f t="shared" si="273"/>
        <v>0</v>
      </c>
      <c r="Y1785" s="251"/>
      <c r="Z1785" s="1736"/>
      <c r="AA1785" s="1737"/>
      <c r="AB1785" s="77">
        <f t="shared" si="274"/>
        <v>0</v>
      </c>
      <c r="AC1785" s="134">
        <f t="shared" si="275"/>
        <v>0</v>
      </c>
      <c r="AD1785" s="251"/>
      <c r="AE1785" s="1736"/>
      <c r="AF1785" s="1737"/>
      <c r="AG1785" s="77">
        <f t="shared" si="276"/>
        <v>0</v>
      </c>
      <c r="AH1785" s="136">
        <f t="shared" si="277"/>
        <v>0</v>
      </c>
      <c r="AI1785" s="251"/>
      <c r="AJ1785" s="1736"/>
      <c r="AK1785" s="1737"/>
      <c r="AL1785" s="79">
        <f t="shared" si="278"/>
        <v>0</v>
      </c>
      <c r="AM1785" s="137">
        <f t="shared" si="279"/>
        <v>0</v>
      </c>
      <c r="AN1785" s="251"/>
      <c r="AO1785" s="1736"/>
      <c r="AP1785" s="1737"/>
    </row>
    <row r="1786" spans="1:42" s="85" customFormat="1" ht="13.5" thickBot="1">
      <c r="A1786" s="240"/>
      <c r="B1786" s="241"/>
      <c r="C1786" s="242"/>
      <c r="D1786" s="242"/>
      <c r="E1786" s="243"/>
      <c r="F1786" s="244"/>
      <c r="G1786" s="244"/>
      <c r="H1786" s="243"/>
      <c r="I1786" s="258"/>
      <c r="J1786" s="245"/>
      <c r="K1786" s="245"/>
      <c r="L1786" s="76">
        <f t="shared" si="270"/>
        <v>0</v>
      </c>
      <c r="M1786" s="246"/>
      <c r="N1786" s="247"/>
      <c r="O1786" s="248"/>
      <c r="P1786" s="246"/>
      <c r="Q1786" s="249"/>
      <c r="R1786" s="250"/>
      <c r="S1786" s="259"/>
      <c r="T1786" s="260"/>
      <c r="U1786" s="250"/>
      <c r="V1786" s="78">
        <f t="shared" si="271"/>
        <v>0</v>
      </c>
      <c r="W1786" s="261">
        <f t="shared" si="272"/>
        <v>0</v>
      </c>
      <c r="X1786" s="133">
        <f t="shared" si="273"/>
        <v>0</v>
      </c>
      <c r="Y1786" s="251"/>
      <c r="Z1786" s="1736"/>
      <c r="AA1786" s="1737"/>
      <c r="AB1786" s="77">
        <f t="shared" si="274"/>
        <v>0</v>
      </c>
      <c r="AC1786" s="134">
        <f t="shared" si="275"/>
        <v>0</v>
      </c>
      <c r="AD1786" s="251"/>
      <c r="AE1786" s="1736"/>
      <c r="AF1786" s="1737"/>
      <c r="AG1786" s="77">
        <f t="shared" si="276"/>
        <v>0</v>
      </c>
      <c r="AH1786" s="136">
        <f t="shared" si="277"/>
        <v>0</v>
      </c>
      <c r="AI1786" s="251"/>
      <c r="AJ1786" s="1736"/>
      <c r="AK1786" s="1737"/>
      <c r="AL1786" s="79">
        <f t="shared" si="278"/>
        <v>0</v>
      </c>
      <c r="AM1786" s="137">
        <f t="shared" si="279"/>
        <v>0</v>
      </c>
      <c r="AN1786" s="251"/>
      <c r="AO1786" s="1736"/>
      <c r="AP1786" s="1737"/>
    </row>
    <row r="1787" spans="1:42" s="85" customFormat="1" ht="13.5" thickBot="1">
      <c r="A1787" s="240"/>
      <c r="B1787" s="241"/>
      <c r="C1787" s="242"/>
      <c r="D1787" s="242"/>
      <c r="E1787" s="243"/>
      <c r="F1787" s="244"/>
      <c r="G1787" s="244"/>
      <c r="H1787" s="243"/>
      <c r="I1787" s="258"/>
      <c r="J1787" s="245"/>
      <c r="K1787" s="245"/>
      <c r="L1787" s="76">
        <f t="shared" si="270"/>
        <v>0</v>
      </c>
      <c r="M1787" s="246"/>
      <c r="N1787" s="247"/>
      <c r="O1787" s="248"/>
      <c r="P1787" s="246"/>
      <c r="Q1787" s="249"/>
      <c r="R1787" s="250"/>
      <c r="S1787" s="259"/>
      <c r="T1787" s="260"/>
      <c r="U1787" s="250"/>
      <c r="V1787" s="78">
        <f t="shared" si="271"/>
        <v>0</v>
      </c>
      <c r="W1787" s="261">
        <f t="shared" si="272"/>
        <v>0</v>
      </c>
      <c r="X1787" s="133">
        <f t="shared" si="273"/>
        <v>0</v>
      </c>
      <c r="Y1787" s="251"/>
      <c r="Z1787" s="1736"/>
      <c r="AA1787" s="1737"/>
      <c r="AB1787" s="77">
        <f t="shared" si="274"/>
        <v>0</v>
      </c>
      <c r="AC1787" s="134">
        <f t="shared" si="275"/>
        <v>0</v>
      </c>
      <c r="AD1787" s="251"/>
      <c r="AE1787" s="1736"/>
      <c r="AF1787" s="1737"/>
      <c r="AG1787" s="77">
        <f t="shared" si="276"/>
        <v>0</v>
      </c>
      <c r="AH1787" s="136">
        <f t="shared" si="277"/>
        <v>0</v>
      </c>
      <c r="AI1787" s="251"/>
      <c r="AJ1787" s="1736"/>
      <c r="AK1787" s="1737"/>
      <c r="AL1787" s="79">
        <f t="shared" si="278"/>
        <v>0</v>
      </c>
      <c r="AM1787" s="137">
        <f t="shared" si="279"/>
        <v>0</v>
      </c>
      <c r="AN1787" s="251"/>
      <c r="AO1787" s="1736"/>
      <c r="AP1787" s="1737"/>
    </row>
    <row r="1788" spans="1:42" s="85" customFormat="1" ht="13.5" thickBot="1">
      <c r="A1788" s="240"/>
      <c r="B1788" s="241"/>
      <c r="C1788" s="242"/>
      <c r="D1788" s="242"/>
      <c r="E1788" s="243"/>
      <c r="F1788" s="244"/>
      <c r="G1788" s="244"/>
      <c r="H1788" s="243"/>
      <c r="I1788" s="258"/>
      <c r="J1788" s="245"/>
      <c r="K1788" s="245"/>
      <c r="L1788" s="76">
        <f t="shared" si="270"/>
        <v>0</v>
      </c>
      <c r="M1788" s="246"/>
      <c r="N1788" s="247"/>
      <c r="O1788" s="248"/>
      <c r="P1788" s="246"/>
      <c r="Q1788" s="249"/>
      <c r="R1788" s="250"/>
      <c r="S1788" s="259"/>
      <c r="T1788" s="260"/>
      <c r="U1788" s="250"/>
      <c r="V1788" s="78">
        <f t="shared" si="271"/>
        <v>0</v>
      </c>
      <c r="W1788" s="261">
        <f t="shared" si="272"/>
        <v>0</v>
      </c>
      <c r="X1788" s="133">
        <f t="shared" si="273"/>
        <v>0</v>
      </c>
      <c r="Y1788" s="251"/>
      <c r="Z1788" s="1736"/>
      <c r="AA1788" s="1737"/>
      <c r="AB1788" s="77">
        <f t="shared" si="274"/>
        <v>0</v>
      </c>
      <c r="AC1788" s="134">
        <f t="shared" si="275"/>
        <v>0</v>
      </c>
      <c r="AD1788" s="251"/>
      <c r="AE1788" s="1736"/>
      <c r="AF1788" s="1737"/>
      <c r="AG1788" s="77">
        <f t="shared" si="276"/>
        <v>0</v>
      </c>
      <c r="AH1788" s="136">
        <f t="shared" si="277"/>
        <v>0</v>
      </c>
      <c r="AI1788" s="251"/>
      <c r="AJ1788" s="1736"/>
      <c r="AK1788" s="1737"/>
      <c r="AL1788" s="79">
        <f t="shared" si="278"/>
        <v>0</v>
      </c>
      <c r="AM1788" s="137">
        <f t="shared" si="279"/>
        <v>0</v>
      </c>
      <c r="AN1788" s="251"/>
      <c r="AO1788" s="1736"/>
      <c r="AP1788" s="1737"/>
    </row>
    <row r="1789" spans="1:42" s="85" customFormat="1" ht="13.5" thickBot="1">
      <c r="A1789" s="240"/>
      <c r="B1789" s="241"/>
      <c r="C1789" s="242"/>
      <c r="D1789" s="242"/>
      <c r="E1789" s="243"/>
      <c r="F1789" s="244"/>
      <c r="G1789" s="244"/>
      <c r="H1789" s="243"/>
      <c r="I1789" s="258"/>
      <c r="J1789" s="245"/>
      <c r="K1789" s="245"/>
      <c r="L1789" s="76">
        <f t="shared" si="270"/>
        <v>0</v>
      </c>
      <c r="M1789" s="246"/>
      <c r="N1789" s="247"/>
      <c r="O1789" s="248"/>
      <c r="P1789" s="246"/>
      <c r="Q1789" s="249"/>
      <c r="R1789" s="250"/>
      <c r="S1789" s="259"/>
      <c r="T1789" s="260"/>
      <c r="U1789" s="250"/>
      <c r="V1789" s="78">
        <f t="shared" si="271"/>
        <v>0</v>
      </c>
      <c r="W1789" s="261">
        <f t="shared" si="272"/>
        <v>0</v>
      </c>
      <c r="X1789" s="133">
        <f t="shared" si="273"/>
        <v>0</v>
      </c>
      <c r="Y1789" s="251"/>
      <c r="Z1789" s="1736"/>
      <c r="AA1789" s="1737"/>
      <c r="AB1789" s="77">
        <f t="shared" si="274"/>
        <v>0</v>
      </c>
      <c r="AC1789" s="134">
        <f t="shared" si="275"/>
        <v>0</v>
      </c>
      <c r="AD1789" s="251"/>
      <c r="AE1789" s="1736"/>
      <c r="AF1789" s="1737"/>
      <c r="AG1789" s="77">
        <f t="shared" si="276"/>
        <v>0</v>
      </c>
      <c r="AH1789" s="136">
        <f t="shared" si="277"/>
        <v>0</v>
      </c>
      <c r="AI1789" s="251"/>
      <c r="AJ1789" s="1736"/>
      <c r="AK1789" s="1737"/>
      <c r="AL1789" s="79">
        <f t="shared" si="278"/>
        <v>0</v>
      </c>
      <c r="AM1789" s="137">
        <f t="shared" si="279"/>
        <v>0</v>
      </c>
      <c r="AN1789" s="251"/>
      <c r="AO1789" s="1736"/>
      <c r="AP1789" s="1737"/>
    </row>
    <row r="1790" spans="1:42" s="85" customFormat="1" ht="13.5" thickBot="1">
      <c r="A1790" s="240"/>
      <c r="B1790" s="241"/>
      <c r="C1790" s="242"/>
      <c r="D1790" s="242"/>
      <c r="E1790" s="243"/>
      <c r="F1790" s="244"/>
      <c r="G1790" s="244"/>
      <c r="H1790" s="243"/>
      <c r="I1790" s="258"/>
      <c r="J1790" s="245"/>
      <c r="K1790" s="245"/>
      <c r="L1790" s="76">
        <f t="shared" si="270"/>
        <v>0</v>
      </c>
      <c r="M1790" s="246"/>
      <c r="N1790" s="247"/>
      <c r="O1790" s="248"/>
      <c r="P1790" s="246"/>
      <c r="Q1790" s="249"/>
      <c r="R1790" s="250"/>
      <c r="S1790" s="259"/>
      <c r="T1790" s="260"/>
      <c r="U1790" s="250"/>
      <c r="V1790" s="78">
        <f t="shared" si="271"/>
        <v>0</v>
      </c>
      <c r="W1790" s="261">
        <f t="shared" si="272"/>
        <v>0</v>
      </c>
      <c r="X1790" s="133">
        <f t="shared" si="273"/>
        <v>0</v>
      </c>
      <c r="Y1790" s="251"/>
      <c r="Z1790" s="1736"/>
      <c r="AA1790" s="1737"/>
      <c r="AB1790" s="77">
        <f t="shared" si="274"/>
        <v>0</v>
      </c>
      <c r="AC1790" s="134">
        <f t="shared" si="275"/>
        <v>0</v>
      </c>
      <c r="AD1790" s="251"/>
      <c r="AE1790" s="1736"/>
      <c r="AF1790" s="1737"/>
      <c r="AG1790" s="77">
        <f t="shared" si="276"/>
        <v>0</v>
      </c>
      <c r="AH1790" s="136">
        <f t="shared" si="277"/>
        <v>0</v>
      </c>
      <c r="AI1790" s="251"/>
      <c r="AJ1790" s="1736"/>
      <c r="AK1790" s="1737"/>
      <c r="AL1790" s="79">
        <f t="shared" si="278"/>
        <v>0</v>
      </c>
      <c r="AM1790" s="137">
        <f t="shared" si="279"/>
        <v>0</v>
      </c>
      <c r="AN1790" s="251"/>
      <c r="AO1790" s="1736"/>
      <c r="AP1790" s="1737"/>
    </row>
    <row r="1791" spans="1:42" s="85" customFormat="1" ht="13.5" thickBot="1">
      <c r="A1791" s="240"/>
      <c r="B1791" s="241"/>
      <c r="C1791" s="242"/>
      <c r="D1791" s="242"/>
      <c r="E1791" s="243"/>
      <c r="F1791" s="244"/>
      <c r="G1791" s="244"/>
      <c r="H1791" s="243"/>
      <c r="I1791" s="258"/>
      <c r="J1791" s="245"/>
      <c r="K1791" s="245"/>
      <c r="L1791" s="76">
        <f t="shared" si="270"/>
        <v>0</v>
      </c>
      <c r="M1791" s="246"/>
      <c r="N1791" s="247"/>
      <c r="O1791" s="248"/>
      <c r="P1791" s="246"/>
      <c r="Q1791" s="249"/>
      <c r="R1791" s="250"/>
      <c r="S1791" s="259"/>
      <c r="T1791" s="260"/>
      <c r="U1791" s="250"/>
      <c r="V1791" s="78">
        <f t="shared" si="271"/>
        <v>0</v>
      </c>
      <c r="W1791" s="261">
        <f t="shared" si="272"/>
        <v>0</v>
      </c>
      <c r="X1791" s="133">
        <f t="shared" si="273"/>
        <v>0</v>
      </c>
      <c r="Y1791" s="251"/>
      <c r="Z1791" s="1736"/>
      <c r="AA1791" s="1737"/>
      <c r="AB1791" s="77">
        <f t="shared" si="274"/>
        <v>0</v>
      </c>
      <c r="AC1791" s="134">
        <f t="shared" si="275"/>
        <v>0</v>
      </c>
      <c r="AD1791" s="251"/>
      <c r="AE1791" s="1736"/>
      <c r="AF1791" s="1737"/>
      <c r="AG1791" s="77">
        <f t="shared" si="276"/>
        <v>0</v>
      </c>
      <c r="AH1791" s="136">
        <f t="shared" si="277"/>
        <v>0</v>
      </c>
      <c r="AI1791" s="251"/>
      <c r="AJ1791" s="1736"/>
      <c r="AK1791" s="1737"/>
      <c r="AL1791" s="79">
        <f t="shared" si="278"/>
        <v>0</v>
      </c>
      <c r="AM1791" s="137">
        <f t="shared" si="279"/>
        <v>0</v>
      </c>
      <c r="AN1791" s="251"/>
      <c r="AO1791" s="1736"/>
      <c r="AP1791" s="1737"/>
    </row>
    <row r="1792" spans="1:42" s="85" customFormat="1" ht="13.5" thickBot="1">
      <c r="A1792" s="240"/>
      <c r="B1792" s="241"/>
      <c r="C1792" s="242"/>
      <c r="D1792" s="242"/>
      <c r="E1792" s="243"/>
      <c r="F1792" s="244"/>
      <c r="G1792" s="244"/>
      <c r="H1792" s="243"/>
      <c r="I1792" s="258"/>
      <c r="J1792" s="245"/>
      <c r="K1792" s="245"/>
      <c r="L1792" s="76">
        <f t="shared" si="270"/>
        <v>0</v>
      </c>
      <c r="M1792" s="246"/>
      <c r="N1792" s="247"/>
      <c r="O1792" s="248"/>
      <c r="P1792" s="246"/>
      <c r="Q1792" s="249"/>
      <c r="R1792" s="250"/>
      <c r="S1792" s="259"/>
      <c r="T1792" s="260"/>
      <c r="U1792" s="250"/>
      <c r="V1792" s="78">
        <f t="shared" si="271"/>
        <v>0</v>
      </c>
      <c r="W1792" s="261">
        <f t="shared" si="272"/>
        <v>0</v>
      </c>
      <c r="X1792" s="133">
        <f t="shared" si="273"/>
        <v>0</v>
      </c>
      <c r="Y1792" s="251"/>
      <c r="Z1792" s="1736"/>
      <c r="AA1792" s="1737"/>
      <c r="AB1792" s="77">
        <f t="shared" si="274"/>
        <v>0</v>
      </c>
      <c r="AC1792" s="134">
        <f t="shared" si="275"/>
        <v>0</v>
      </c>
      <c r="AD1792" s="251"/>
      <c r="AE1792" s="1736"/>
      <c r="AF1792" s="1737"/>
      <c r="AG1792" s="77">
        <f t="shared" si="276"/>
        <v>0</v>
      </c>
      <c r="AH1792" s="136">
        <f t="shared" si="277"/>
        <v>0</v>
      </c>
      <c r="AI1792" s="251"/>
      <c r="AJ1792" s="1736"/>
      <c r="AK1792" s="1737"/>
      <c r="AL1792" s="79">
        <f t="shared" si="278"/>
        <v>0</v>
      </c>
      <c r="AM1792" s="137">
        <f t="shared" si="279"/>
        <v>0</v>
      </c>
      <c r="AN1792" s="251"/>
      <c r="AO1792" s="1736"/>
      <c r="AP1792" s="1737"/>
    </row>
    <row r="1793" spans="1:42" s="85" customFormat="1" ht="13.5" thickBot="1">
      <c r="A1793" s="240"/>
      <c r="B1793" s="241"/>
      <c r="C1793" s="242"/>
      <c r="D1793" s="242"/>
      <c r="E1793" s="243"/>
      <c r="F1793" s="244"/>
      <c r="G1793" s="244"/>
      <c r="H1793" s="243"/>
      <c r="I1793" s="258"/>
      <c r="J1793" s="245"/>
      <c r="K1793" s="245"/>
      <c r="L1793" s="76">
        <f t="shared" si="270"/>
        <v>0</v>
      </c>
      <c r="M1793" s="246"/>
      <c r="N1793" s="247"/>
      <c r="O1793" s="248"/>
      <c r="P1793" s="246"/>
      <c r="Q1793" s="249"/>
      <c r="R1793" s="250"/>
      <c r="S1793" s="259"/>
      <c r="T1793" s="260"/>
      <c r="U1793" s="250"/>
      <c r="V1793" s="78">
        <f t="shared" si="271"/>
        <v>0</v>
      </c>
      <c r="W1793" s="261">
        <f t="shared" si="272"/>
        <v>0</v>
      </c>
      <c r="X1793" s="133">
        <f t="shared" si="273"/>
        <v>0</v>
      </c>
      <c r="Y1793" s="251"/>
      <c r="Z1793" s="1736"/>
      <c r="AA1793" s="1737"/>
      <c r="AB1793" s="77">
        <f t="shared" si="274"/>
        <v>0</v>
      </c>
      <c r="AC1793" s="134">
        <f t="shared" si="275"/>
        <v>0</v>
      </c>
      <c r="AD1793" s="251"/>
      <c r="AE1793" s="1736"/>
      <c r="AF1793" s="1737"/>
      <c r="AG1793" s="77">
        <f t="shared" si="276"/>
        <v>0</v>
      </c>
      <c r="AH1793" s="136">
        <f t="shared" si="277"/>
        <v>0</v>
      </c>
      <c r="AI1793" s="251"/>
      <c r="AJ1793" s="1736"/>
      <c r="AK1793" s="1737"/>
      <c r="AL1793" s="79">
        <f t="shared" si="278"/>
        <v>0</v>
      </c>
      <c r="AM1793" s="137">
        <f t="shared" si="279"/>
        <v>0</v>
      </c>
      <c r="AN1793" s="251"/>
      <c r="AO1793" s="1736"/>
      <c r="AP1793" s="1737"/>
    </row>
    <row r="1794" spans="1:42" s="85" customFormat="1" ht="13.5" thickBot="1">
      <c r="A1794" s="240"/>
      <c r="B1794" s="241"/>
      <c r="C1794" s="242"/>
      <c r="D1794" s="242"/>
      <c r="E1794" s="243"/>
      <c r="F1794" s="244"/>
      <c r="G1794" s="244"/>
      <c r="H1794" s="243"/>
      <c r="I1794" s="258"/>
      <c r="J1794" s="245"/>
      <c r="K1794" s="245"/>
      <c r="L1794" s="76">
        <f t="shared" si="270"/>
        <v>0</v>
      </c>
      <c r="M1794" s="246"/>
      <c r="N1794" s="247"/>
      <c r="O1794" s="248"/>
      <c r="P1794" s="246"/>
      <c r="Q1794" s="249"/>
      <c r="R1794" s="250"/>
      <c r="S1794" s="259"/>
      <c r="T1794" s="260"/>
      <c r="U1794" s="250"/>
      <c r="V1794" s="78">
        <f t="shared" si="271"/>
        <v>0</v>
      </c>
      <c r="W1794" s="261">
        <f t="shared" si="272"/>
        <v>0</v>
      </c>
      <c r="X1794" s="133">
        <f t="shared" si="273"/>
        <v>0</v>
      </c>
      <c r="Y1794" s="251"/>
      <c r="Z1794" s="1736"/>
      <c r="AA1794" s="1737"/>
      <c r="AB1794" s="77">
        <f t="shared" si="274"/>
        <v>0</v>
      </c>
      <c r="AC1794" s="134">
        <f t="shared" si="275"/>
        <v>0</v>
      </c>
      <c r="AD1794" s="251"/>
      <c r="AE1794" s="1736"/>
      <c r="AF1794" s="1737"/>
      <c r="AG1794" s="77">
        <f t="shared" si="276"/>
        <v>0</v>
      </c>
      <c r="AH1794" s="136">
        <f t="shared" si="277"/>
        <v>0</v>
      </c>
      <c r="AI1794" s="251"/>
      <c r="AJ1794" s="1736"/>
      <c r="AK1794" s="1737"/>
      <c r="AL1794" s="79">
        <f t="shared" si="278"/>
        <v>0</v>
      </c>
      <c r="AM1794" s="137">
        <f t="shared" si="279"/>
        <v>0</v>
      </c>
      <c r="AN1794" s="251"/>
      <c r="AO1794" s="1736"/>
      <c r="AP1794" s="1737"/>
    </row>
    <row r="1795" spans="1:42" s="85" customFormat="1" ht="13.5" thickBot="1">
      <c r="A1795" s="240"/>
      <c r="B1795" s="241"/>
      <c r="C1795" s="242"/>
      <c r="D1795" s="242"/>
      <c r="E1795" s="243"/>
      <c r="F1795" s="244"/>
      <c r="G1795" s="244"/>
      <c r="H1795" s="243"/>
      <c r="I1795" s="258"/>
      <c r="J1795" s="245"/>
      <c r="K1795" s="245"/>
      <c r="L1795" s="76">
        <f t="shared" si="270"/>
        <v>0</v>
      </c>
      <c r="M1795" s="246"/>
      <c r="N1795" s="247"/>
      <c r="O1795" s="248"/>
      <c r="P1795" s="246"/>
      <c r="Q1795" s="249"/>
      <c r="R1795" s="250"/>
      <c r="S1795" s="259"/>
      <c r="T1795" s="260"/>
      <c r="U1795" s="250"/>
      <c r="V1795" s="78">
        <f t="shared" si="271"/>
        <v>0</v>
      </c>
      <c r="W1795" s="261">
        <f t="shared" si="272"/>
        <v>0</v>
      </c>
      <c r="X1795" s="133">
        <f t="shared" si="273"/>
        <v>0</v>
      </c>
      <c r="Y1795" s="251"/>
      <c r="Z1795" s="1736"/>
      <c r="AA1795" s="1737"/>
      <c r="AB1795" s="77">
        <f t="shared" si="274"/>
        <v>0</v>
      </c>
      <c r="AC1795" s="134">
        <f t="shared" si="275"/>
        <v>0</v>
      </c>
      <c r="AD1795" s="251"/>
      <c r="AE1795" s="1736"/>
      <c r="AF1795" s="1737"/>
      <c r="AG1795" s="77">
        <f t="shared" si="276"/>
        <v>0</v>
      </c>
      <c r="AH1795" s="136">
        <f t="shared" si="277"/>
        <v>0</v>
      </c>
      <c r="AI1795" s="251"/>
      <c r="AJ1795" s="1736"/>
      <c r="AK1795" s="1737"/>
      <c r="AL1795" s="79">
        <f t="shared" si="278"/>
        <v>0</v>
      </c>
      <c r="AM1795" s="137">
        <f t="shared" si="279"/>
        <v>0</v>
      </c>
      <c r="AN1795" s="251"/>
      <c r="AO1795" s="1736"/>
      <c r="AP1795" s="1737"/>
    </row>
    <row r="1796" spans="1:42" s="85" customFormat="1" ht="13.5" thickBot="1">
      <c r="A1796" s="240"/>
      <c r="B1796" s="241"/>
      <c r="C1796" s="242"/>
      <c r="D1796" s="242"/>
      <c r="E1796" s="243"/>
      <c r="F1796" s="244"/>
      <c r="G1796" s="244"/>
      <c r="H1796" s="243"/>
      <c r="I1796" s="258"/>
      <c r="J1796" s="245"/>
      <c r="K1796" s="245"/>
      <c r="L1796" s="76">
        <f t="shared" si="270"/>
        <v>0</v>
      </c>
      <c r="M1796" s="246"/>
      <c r="N1796" s="247"/>
      <c r="O1796" s="248"/>
      <c r="P1796" s="246"/>
      <c r="Q1796" s="249"/>
      <c r="R1796" s="250"/>
      <c r="S1796" s="259"/>
      <c r="T1796" s="260"/>
      <c r="U1796" s="250"/>
      <c r="V1796" s="78">
        <f t="shared" si="271"/>
        <v>0</v>
      </c>
      <c r="W1796" s="261">
        <f t="shared" si="272"/>
        <v>0</v>
      </c>
      <c r="X1796" s="133">
        <f t="shared" si="273"/>
        <v>0</v>
      </c>
      <c r="Y1796" s="251"/>
      <c r="Z1796" s="1736"/>
      <c r="AA1796" s="1737"/>
      <c r="AB1796" s="77">
        <f t="shared" si="274"/>
        <v>0</v>
      </c>
      <c r="AC1796" s="134">
        <f t="shared" si="275"/>
        <v>0</v>
      </c>
      <c r="AD1796" s="251"/>
      <c r="AE1796" s="1736"/>
      <c r="AF1796" s="1737"/>
      <c r="AG1796" s="77">
        <f t="shared" si="276"/>
        <v>0</v>
      </c>
      <c r="AH1796" s="136">
        <f t="shared" si="277"/>
        <v>0</v>
      </c>
      <c r="AI1796" s="251"/>
      <c r="AJ1796" s="1736"/>
      <c r="AK1796" s="1737"/>
      <c r="AL1796" s="79">
        <f t="shared" si="278"/>
        <v>0</v>
      </c>
      <c r="AM1796" s="137">
        <f t="shared" si="279"/>
        <v>0</v>
      </c>
      <c r="AN1796" s="251"/>
      <c r="AO1796" s="1736"/>
      <c r="AP1796" s="1737"/>
    </row>
    <row r="1797" spans="1:42" s="85" customFormat="1" ht="13.5" thickBot="1">
      <c r="A1797" s="240"/>
      <c r="B1797" s="241"/>
      <c r="C1797" s="242"/>
      <c r="D1797" s="242"/>
      <c r="E1797" s="243"/>
      <c r="F1797" s="244"/>
      <c r="G1797" s="244"/>
      <c r="H1797" s="243"/>
      <c r="I1797" s="258"/>
      <c r="J1797" s="245"/>
      <c r="K1797" s="245"/>
      <c r="L1797" s="76">
        <f t="shared" si="270"/>
        <v>0</v>
      </c>
      <c r="M1797" s="246"/>
      <c r="N1797" s="247"/>
      <c r="O1797" s="248"/>
      <c r="P1797" s="246"/>
      <c r="Q1797" s="249"/>
      <c r="R1797" s="250"/>
      <c r="S1797" s="259"/>
      <c r="T1797" s="260"/>
      <c r="U1797" s="250"/>
      <c r="V1797" s="78">
        <f t="shared" si="271"/>
        <v>0</v>
      </c>
      <c r="W1797" s="261">
        <f t="shared" si="272"/>
        <v>0</v>
      </c>
      <c r="X1797" s="133">
        <f t="shared" si="273"/>
        <v>0</v>
      </c>
      <c r="Y1797" s="251"/>
      <c r="Z1797" s="1736"/>
      <c r="AA1797" s="1737"/>
      <c r="AB1797" s="77">
        <f t="shared" si="274"/>
        <v>0</v>
      </c>
      <c r="AC1797" s="134">
        <f t="shared" si="275"/>
        <v>0</v>
      </c>
      <c r="AD1797" s="251"/>
      <c r="AE1797" s="1736"/>
      <c r="AF1797" s="1737"/>
      <c r="AG1797" s="77">
        <f t="shared" si="276"/>
        <v>0</v>
      </c>
      <c r="AH1797" s="136">
        <f t="shared" si="277"/>
        <v>0</v>
      </c>
      <c r="AI1797" s="251"/>
      <c r="AJ1797" s="1736"/>
      <c r="AK1797" s="1737"/>
      <c r="AL1797" s="79">
        <f t="shared" si="278"/>
        <v>0</v>
      </c>
      <c r="AM1797" s="137">
        <f t="shared" si="279"/>
        <v>0</v>
      </c>
      <c r="AN1797" s="251"/>
      <c r="AO1797" s="1736"/>
      <c r="AP1797" s="1737"/>
    </row>
    <row r="1798" spans="1:42" s="85" customFormat="1" ht="13.5" thickBot="1">
      <c r="A1798" s="240"/>
      <c r="B1798" s="241"/>
      <c r="C1798" s="242"/>
      <c r="D1798" s="242"/>
      <c r="E1798" s="243"/>
      <c r="F1798" s="244"/>
      <c r="G1798" s="244"/>
      <c r="H1798" s="243"/>
      <c r="I1798" s="258"/>
      <c r="J1798" s="245"/>
      <c r="K1798" s="245"/>
      <c r="L1798" s="76">
        <f t="shared" si="270"/>
        <v>0</v>
      </c>
      <c r="M1798" s="246"/>
      <c r="N1798" s="247"/>
      <c r="O1798" s="248"/>
      <c r="P1798" s="246"/>
      <c r="Q1798" s="249"/>
      <c r="R1798" s="250"/>
      <c r="S1798" s="259"/>
      <c r="T1798" s="260"/>
      <c r="U1798" s="250"/>
      <c r="V1798" s="78">
        <f t="shared" si="271"/>
        <v>0</v>
      </c>
      <c r="W1798" s="261">
        <f t="shared" si="272"/>
        <v>0</v>
      </c>
      <c r="X1798" s="133">
        <f t="shared" si="273"/>
        <v>0</v>
      </c>
      <c r="Y1798" s="251"/>
      <c r="Z1798" s="1736"/>
      <c r="AA1798" s="1737"/>
      <c r="AB1798" s="77">
        <f t="shared" si="274"/>
        <v>0</v>
      </c>
      <c r="AC1798" s="134">
        <f t="shared" si="275"/>
        <v>0</v>
      </c>
      <c r="AD1798" s="251"/>
      <c r="AE1798" s="1736"/>
      <c r="AF1798" s="1737"/>
      <c r="AG1798" s="77">
        <f t="shared" si="276"/>
        <v>0</v>
      </c>
      <c r="AH1798" s="136">
        <f t="shared" si="277"/>
        <v>0</v>
      </c>
      <c r="AI1798" s="251"/>
      <c r="AJ1798" s="1736"/>
      <c r="AK1798" s="1737"/>
      <c r="AL1798" s="79">
        <f t="shared" si="278"/>
        <v>0</v>
      </c>
      <c r="AM1798" s="137">
        <f t="shared" si="279"/>
        <v>0</v>
      </c>
      <c r="AN1798" s="251"/>
      <c r="AO1798" s="1736"/>
      <c r="AP1798" s="1737"/>
    </row>
    <row r="1799" spans="1:42" s="85" customFormat="1" ht="13.5" thickBot="1">
      <c r="A1799" s="240"/>
      <c r="B1799" s="241"/>
      <c r="C1799" s="242"/>
      <c r="D1799" s="242"/>
      <c r="E1799" s="243"/>
      <c r="F1799" s="244"/>
      <c r="G1799" s="244"/>
      <c r="H1799" s="243"/>
      <c r="I1799" s="258"/>
      <c r="J1799" s="245"/>
      <c r="K1799" s="245"/>
      <c r="L1799" s="76">
        <f t="shared" si="270"/>
        <v>0</v>
      </c>
      <c r="M1799" s="246"/>
      <c r="N1799" s="247"/>
      <c r="O1799" s="248"/>
      <c r="P1799" s="246"/>
      <c r="Q1799" s="249"/>
      <c r="R1799" s="250"/>
      <c r="S1799" s="259"/>
      <c r="T1799" s="260"/>
      <c r="U1799" s="250"/>
      <c r="V1799" s="78">
        <f t="shared" si="271"/>
        <v>0</v>
      </c>
      <c r="W1799" s="261">
        <f t="shared" si="272"/>
        <v>0</v>
      </c>
      <c r="X1799" s="133">
        <f t="shared" si="273"/>
        <v>0</v>
      </c>
      <c r="Y1799" s="251"/>
      <c r="Z1799" s="1736"/>
      <c r="AA1799" s="1737"/>
      <c r="AB1799" s="77">
        <f t="shared" si="274"/>
        <v>0</v>
      </c>
      <c r="AC1799" s="134">
        <f t="shared" si="275"/>
        <v>0</v>
      </c>
      <c r="AD1799" s="251"/>
      <c r="AE1799" s="1736"/>
      <c r="AF1799" s="1737"/>
      <c r="AG1799" s="77">
        <f t="shared" si="276"/>
        <v>0</v>
      </c>
      <c r="AH1799" s="136">
        <f t="shared" si="277"/>
        <v>0</v>
      </c>
      <c r="AI1799" s="251"/>
      <c r="AJ1799" s="1736"/>
      <c r="AK1799" s="1737"/>
      <c r="AL1799" s="79">
        <f t="shared" si="278"/>
        <v>0</v>
      </c>
      <c r="AM1799" s="137">
        <f t="shared" si="279"/>
        <v>0</v>
      </c>
      <c r="AN1799" s="251"/>
      <c r="AO1799" s="1736"/>
      <c r="AP1799" s="1737"/>
    </row>
    <row r="1800" spans="1:42" s="85" customFormat="1" ht="13.5" thickBot="1">
      <c r="A1800" s="240"/>
      <c r="B1800" s="241"/>
      <c r="C1800" s="242"/>
      <c r="D1800" s="242"/>
      <c r="E1800" s="243"/>
      <c r="F1800" s="244"/>
      <c r="G1800" s="244"/>
      <c r="H1800" s="243"/>
      <c r="I1800" s="258"/>
      <c r="J1800" s="245"/>
      <c r="K1800" s="245"/>
      <c r="L1800" s="76">
        <f t="shared" si="270"/>
        <v>0</v>
      </c>
      <c r="M1800" s="246"/>
      <c r="N1800" s="247"/>
      <c r="O1800" s="248"/>
      <c r="P1800" s="246"/>
      <c r="Q1800" s="249"/>
      <c r="R1800" s="250"/>
      <c r="S1800" s="259"/>
      <c r="T1800" s="260"/>
      <c r="U1800" s="250"/>
      <c r="V1800" s="78">
        <f t="shared" si="271"/>
        <v>0</v>
      </c>
      <c r="W1800" s="261">
        <f t="shared" si="272"/>
        <v>0</v>
      </c>
      <c r="X1800" s="133">
        <f t="shared" si="273"/>
        <v>0</v>
      </c>
      <c r="Y1800" s="251"/>
      <c r="Z1800" s="1736"/>
      <c r="AA1800" s="1737"/>
      <c r="AB1800" s="77">
        <f t="shared" si="274"/>
        <v>0</v>
      </c>
      <c r="AC1800" s="134">
        <f t="shared" si="275"/>
        <v>0</v>
      </c>
      <c r="AD1800" s="251"/>
      <c r="AE1800" s="1736"/>
      <c r="AF1800" s="1737"/>
      <c r="AG1800" s="77">
        <f t="shared" si="276"/>
        <v>0</v>
      </c>
      <c r="AH1800" s="136">
        <f t="shared" si="277"/>
        <v>0</v>
      </c>
      <c r="AI1800" s="251"/>
      <c r="AJ1800" s="1736"/>
      <c r="AK1800" s="1737"/>
      <c r="AL1800" s="79">
        <f t="shared" si="278"/>
        <v>0</v>
      </c>
      <c r="AM1800" s="137">
        <f t="shared" si="279"/>
        <v>0</v>
      </c>
      <c r="AN1800" s="251"/>
      <c r="AO1800" s="1736"/>
      <c r="AP1800" s="1737"/>
    </row>
    <row r="1801" spans="1:42" s="85" customFormat="1" ht="13.5" thickBot="1">
      <c r="A1801" s="240"/>
      <c r="B1801" s="241"/>
      <c r="C1801" s="242"/>
      <c r="D1801" s="242"/>
      <c r="E1801" s="243"/>
      <c r="F1801" s="244"/>
      <c r="G1801" s="244"/>
      <c r="H1801" s="243"/>
      <c r="I1801" s="258"/>
      <c r="J1801" s="245"/>
      <c r="K1801" s="245"/>
      <c r="L1801" s="76">
        <f t="shared" si="270"/>
        <v>0</v>
      </c>
      <c r="M1801" s="246"/>
      <c r="N1801" s="247"/>
      <c r="O1801" s="248"/>
      <c r="P1801" s="246"/>
      <c r="Q1801" s="249"/>
      <c r="R1801" s="250"/>
      <c r="S1801" s="259"/>
      <c r="T1801" s="260"/>
      <c r="U1801" s="250"/>
      <c r="V1801" s="78">
        <f t="shared" si="271"/>
        <v>0</v>
      </c>
      <c r="W1801" s="261">
        <f t="shared" si="272"/>
        <v>0</v>
      </c>
      <c r="X1801" s="133">
        <f t="shared" si="273"/>
        <v>0</v>
      </c>
      <c r="Y1801" s="251"/>
      <c r="Z1801" s="1736"/>
      <c r="AA1801" s="1737"/>
      <c r="AB1801" s="77">
        <f t="shared" si="274"/>
        <v>0</v>
      </c>
      <c r="AC1801" s="134">
        <f t="shared" si="275"/>
        <v>0</v>
      </c>
      <c r="AD1801" s="251"/>
      <c r="AE1801" s="1736"/>
      <c r="AF1801" s="1737"/>
      <c r="AG1801" s="77">
        <f t="shared" si="276"/>
        <v>0</v>
      </c>
      <c r="AH1801" s="136">
        <f t="shared" si="277"/>
        <v>0</v>
      </c>
      <c r="AI1801" s="251"/>
      <c r="AJ1801" s="1736"/>
      <c r="AK1801" s="1737"/>
      <c r="AL1801" s="79">
        <f t="shared" si="278"/>
        <v>0</v>
      </c>
      <c r="AM1801" s="137">
        <f t="shared" si="279"/>
        <v>0</v>
      </c>
      <c r="AN1801" s="251"/>
      <c r="AO1801" s="1736"/>
      <c r="AP1801" s="1737"/>
    </row>
    <row r="1802" spans="1:42" s="85" customFormat="1" ht="13.5" thickBot="1">
      <c r="A1802" s="240"/>
      <c r="B1802" s="241"/>
      <c r="C1802" s="242"/>
      <c r="D1802" s="242"/>
      <c r="E1802" s="243"/>
      <c r="F1802" s="244"/>
      <c r="G1802" s="244"/>
      <c r="H1802" s="243"/>
      <c r="I1802" s="258"/>
      <c r="J1802" s="245"/>
      <c r="K1802" s="245"/>
      <c r="L1802" s="76">
        <f t="shared" si="270"/>
        <v>0</v>
      </c>
      <c r="M1802" s="246"/>
      <c r="N1802" s="247"/>
      <c r="O1802" s="248"/>
      <c r="P1802" s="246"/>
      <c r="Q1802" s="249"/>
      <c r="R1802" s="250"/>
      <c r="S1802" s="259"/>
      <c r="T1802" s="260"/>
      <c r="U1802" s="250"/>
      <c r="V1802" s="78">
        <f t="shared" si="271"/>
        <v>0</v>
      </c>
      <c r="W1802" s="261">
        <f t="shared" si="272"/>
        <v>0</v>
      </c>
      <c r="X1802" s="133">
        <f t="shared" si="273"/>
        <v>0</v>
      </c>
      <c r="Y1802" s="251"/>
      <c r="Z1802" s="1736"/>
      <c r="AA1802" s="1737"/>
      <c r="AB1802" s="77">
        <f t="shared" si="274"/>
        <v>0</v>
      </c>
      <c r="AC1802" s="134">
        <f t="shared" si="275"/>
        <v>0</v>
      </c>
      <c r="AD1802" s="251"/>
      <c r="AE1802" s="1736"/>
      <c r="AF1802" s="1737"/>
      <c r="AG1802" s="77">
        <f t="shared" si="276"/>
        <v>0</v>
      </c>
      <c r="AH1802" s="136">
        <f t="shared" si="277"/>
        <v>0</v>
      </c>
      <c r="AI1802" s="251"/>
      <c r="AJ1802" s="1736"/>
      <c r="AK1802" s="1737"/>
      <c r="AL1802" s="79">
        <f t="shared" si="278"/>
        <v>0</v>
      </c>
      <c r="AM1802" s="137">
        <f t="shared" si="279"/>
        <v>0</v>
      </c>
      <c r="AN1802" s="251"/>
      <c r="AO1802" s="1736"/>
      <c r="AP1802" s="1737"/>
    </row>
    <row r="1803" spans="1:42" s="85" customFormat="1" ht="13.5" thickBot="1">
      <c r="A1803" s="240"/>
      <c r="B1803" s="241"/>
      <c r="C1803" s="242"/>
      <c r="D1803" s="242"/>
      <c r="E1803" s="243"/>
      <c r="F1803" s="244"/>
      <c r="G1803" s="244"/>
      <c r="H1803" s="243"/>
      <c r="I1803" s="258"/>
      <c r="J1803" s="245"/>
      <c r="K1803" s="245"/>
      <c r="L1803" s="76">
        <f t="shared" ref="L1803:L1811" si="280">IF(I1803=0,0,(K1803+J1803)/I1803)</f>
        <v>0</v>
      </c>
      <c r="M1803" s="246"/>
      <c r="N1803" s="247"/>
      <c r="O1803" s="248"/>
      <c r="P1803" s="246"/>
      <c r="Q1803" s="249"/>
      <c r="R1803" s="250"/>
      <c r="S1803" s="259"/>
      <c r="T1803" s="260"/>
      <c r="U1803" s="250"/>
      <c r="V1803" s="78">
        <f t="shared" ref="V1803:V1811" si="281">IF(U1803=0,0,((U1803*S1803)-AB1803-AL1803))</f>
        <v>0</v>
      </c>
      <c r="W1803" s="261">
        <f t="shared" ref="W1803:W1811" si="282">+S1803-I1803</f>
        <v>0</v>
      </c>
      <c r="X1803" s="133">
        <f t="shared" ref="X1803:X1811" si="283">(V1803-J1803)</f>
        <v>0</v>
      </c>
      <c r="Y1803" s="251"/>
      <c r="Z1803" s="1736"/>
      <c r="AA1803" s="1737"/>
      <c r="AB1803" s="77">
        <f t="shared" ref="AB1803:AB1811" si="284">(IF(I1803=0,0,M1803/H1803))*S1803</f>
        <v>0</v>
      </c>
      <c r="AC1803" s="134">
        <f t="shared" ref="AC1803:AC1811" si="285">+AB1803-P1803</f>
        <v>0</v>
      </c>
      <c r="AD1803" s="251"/>
      <c r="AE1803" s="1736"/>
      <c r="AF1803" s="1737"/>
      <c r="AG1803" s="77">
        <f t="shared" ref="AG1803:AG1811" si="286">(IF(H1803=0,0,N1803/H1803))*T1803</f>
        <v>0</v>
      </c>
      <c r="AH1803" s="136">
        <f t="shared" ref="AH1803:AH1811" si="287">+AG1803-Q1803</f>
        <v>0</v>
      </c>
      <c r="AI1803" s="251"/>
      <c r="AJ1803" s="1736"/>
      <c r="AK1803" s="1737"/>
      <c r="AL1803" s="79">
        <f t="shared" ref="AL1803:AL1811" si="288">+O1803*S1803</f>
        <v>0</v>
      </c>
      <c r="AM1803" s="137">
        <f t="shared" ref="AM1803:AM1811" si="289">+AL1803-R1803</f>
        <v>0</v>
      </c>
      <c r="AN1803" s="251"/>
      <c r="AO1803" s="1736"/>
      <c r="AP1803" s="1737"/>
    </row>
    <row r="1804" spans="1:42" s="85" customFormat="1" ht="13.5" thickBot="1">
      <c r="A1804" s="240"/>
      <c r="B1804" s="241"/>
      <c r="C1804" s="242"/>
      <c r="D1804" s="242"/>
      <c r="E1804" s="243"/>
      <c r="F1804" s="244"/>
      <c r="G1804" s="244"/>
      <c r="H1804" s="243"/>
      <c r="I1804" s="258"/>
      <c r="J1804" s="245"/>
      <c r="K1804" s="245"/>
      <c r="L1804" s="76">
        <f t="shared" si="280"/>
        <v>0</v>
      </c>
      <c r="M1804" s="246"/>
      <c r="N1804" s="247"/>
      <c r="O1804" s="248"/>
      <c r="P1804" s="246"/>
      <c r="Q1804" s="249"/>
      <c r="R1804" s="250"/>
      <c r="S1804" s="259"/>
      <c r="T1804" s="260"/>
      <c r="U1804" s="250"/>
      <c r="V1804" s="78">
        <f t="shared" si="281"/>
        <v>0</v>
      </c>
      <c r="W1804" s="261">
        <f t="shared" si="282"/>
        <v>0</v>
      </c>
      <c r="X1804" s="133">
        <f t="shared" si="283"/>
        <v>0</v>
      </c>
      <c r="Y1804" s="251"/>
      <c r="Z1804" s="1736"/>
      <c r="AA1804" s="1737"/>
      <c r="AB1804" s="77">
        <f t="shared" si="284"/>
        <v>0</v>
      </c>
      <c r="AC1804" s="134">
        <f t="shared" si="285"/>
        <v>0</v>
      </c>
      <c r="AD1804" s="251"/>
      <c r="AE1804" s="1736"/>
      <c r="AF1804" s="1737"/>
      <c r="AG1804" s="77">
        <f t="shared" si="286"/>
        <v>0</v>
      </c>
      <c r="AH1804" s="136">
        <f t="shared" si="287"/>
        <v>0</v>
      </c>
      <c r="AI1804" s="251"/>
      <c r="AJ1804" s="1736"/>
      <c r="AK1804" s="1737"/>
      <c r="AL1804" s="79">
        <f t="shared" si="288"/>
        <v>0</v>
      </c>
      <c r="AM1804" s="137">
        <f t="shared" si="289"/>
        <v>0</v>
      </c>
      <c r="AN1804" s="251"/>
      <c r="AO1804" s="1736"/>
      <c r="AP1804" s="1737"/>
    </row>
    <row r="1805" spans="1:42" s="85" customFormat="1" ht="13.5" thickBot="1">
      <c r="A1805" s="240"/>
      <c r="B1805" s="241"/>
      <c r="C1805" s="242"/>
      <c r="D1805" s="242"/>
      <c r="E1805" s="243"/>
      <c r="F1805" s="244"/>
      <c r="G1805" s="244"/>
      <c r="H1805" s="243"/>
      <c r="I1805" s="258"/>
      <c r="J1805" s="245"/>
      <c r="K1805" s="245"/>
      <c r="L1805" s="76">
        <f t="shared" si="280"/>
        <v>0</v>
      </c>
      <c r="M1805" s="246"/>
      <c r="N1805" s="247"/>
      <c r="O1805" s="248"/>
      <c r="P1805" s="246"/>
      <c r="Q1805" s="249"/>
      <c r="R1805" s="250"/>
      <c r="S1805" s="259"/>
      <c r="T1805" s="260"/>
      <c r="U1805" s="250"/>
      <c r="V1805" s="78">
        <f t="shared" si="281"/>
        <v>0</v>
      </c>
      <c r="W1805" s="261">
        <f t="shared" si="282"/>
        <v>0</v>
      </c>
      <c r="X1805" s="133">
        <f t="shared" si="283"/>
        <v>0</v>
      </c>
      <c r="Y1805" s="251"/>
      <c r="Z1805" s="1736"/>
      <c r="AA1805" s="1737"/>
      <c r="AB1805" s="77">
        <f t="shared" si="284"/>
        <v>0</v>
      </c>
      <c r="AC1805" s="134">
        <f t="shared" si="285"/>
        <v>0</v>
      </c>
      <c r="AD1805" s="251"/>
      <c r="AE1805" s="1736"/>
      <c r="AF1805" s="1737"/>
      <c r="AG1805" s="77">
        <f t="shared" si="286"/>
        <v>0</v>
      </c>
      <c r="AH1805" s="136">
        <f t="shared" si="287"/>
        <v>0</v>
      </c>
      <c r="AI1805" s="251"/>
      <c r="AJ1805" s="1736"/>
      <c r="AK1805" s="1737"/>
      <c r="AL1805" s="79">
        <f t="shared" si="288"/>
        <v>0</v>
      </c>
      <c r="AM1805" s="137">
        <f t="shared" si="289"/>
        <v>0</v>
      </c>
      <c r="AN1805" s="251"/>
      <c r="AO1805" s="1736"/>
      <c r="AP1805" s="1737"/>
    </row>
    <row r="1806" spans="1:42" s="85" customFormat="1" ht="13.5" thickBot="1">
      <c r="A1806" s="240"/>
      <c r="B1806" s="241"/>
      <c r="C1806" s="242"/>
      <c r="D1806" s="242"/>
      <c r="E1806" s="243"/>
      <c r="F1806" s="244"/>
      <c r="G1806" s="244"/>
      <c r="H1806" s="243"/>
      <c r="I1806" s="258"/>
      <c r="J1806" s="245"/>
      <c r="K1806" s="245"/>
      <c r="L1806" s="76">
        <f t="shared" si="280"/>
        <v>0</v>
      </c>
      <c r="M1806" s="246"/>
      <c r="N1806" s="247"/>
      <c r="O1806" s="248"/>
      <c r="P1806" s="246"/>
      <c r="Q1806" s="249"/>
      <c r="R1806" s="250"/>
      <c r="S1806" s="259"/>
      <c r="T1806" s="260"/>
      <c r="U1806" s="250"/>
      <c r="V1806" s="78">
        <f t="shared" si="281"/>
        <v>0</v>
      </c>
      <c r="W1806" s="261">
        <f t="shared" si="282"/>
        <v>0</v>
      </c>
      <c r="X1806" s="133">
        <f t="shared" si="283"/>
        <v>0</v>
      </c>
      <c r="Y1806" s="251"/>
      <c r="Z1806" s="1736"/>
      <c r="AA1806" s="1737"/>
      <c r="AB1806" s="77">
        <f t="shared" si="284"/>
        <v>0</v>
      </c>
      <c r="AC1806" s="134">
        <f t="shared" si="285"/>
        <v>0</v>
      </c>
      <c r="AD1806" s="251"/>
      <c r="AE1806" s="1736"/>
      <c r="AF1806" s="1737"/>
      <c r="AG1806" s="77">
        <f t="shared" si="286"/>
        <v>0</v>
      </c>
      <c r="AH1806" s="136">
        <f t="shared" si="287"/>
        <v>0</v>
      </c>
      <c r="AI1806" s="251"/>
      <c r="AJ1806" s="1736"/>
      <c r="AK1806" s="1737"/>
      <c r="AL1806" s="79">
        <f t="shared" si="288"/>
        <v>0</v>
      </c>
      <c r="AM1806" s="137">
        <f t="shared" si="289"/>
        <v>0</v>
      </c>
      <c r="AN1806" s="251"/>
      <c r="AO1806" s="1736"/>
      <c r="AP1806" s="1737"/>
    </row>
    <row r="1807" spans="1:42" s="85" customFormat="1" ht="13.5" thickBot="1">
      <c r="A1807" s="240"/>
      <c r="B1807" s="241"/>
      <c r="C1807" s="242"/>
      <c r="D1807" s="242"/>
      <c r="E1807" s="243"/>
      <c r="F1807" s="244"/>
      <c r="G1807" s="244"/>
      <c r="H1807" s="243"/>
      <c r="I1807" s="258"/>
      <c r="J1807" s="245"/>
      <c r="K1807" s="245"/>
      <c r="L1807" s="76">
        <f t="shared" si="280"/>
        <v>0</v>
      </c>
      <c r="M1807" s="246"/>
      <c r="N1807" s="247"/>
      <c r="O1807" s="248"/>
      <c r="P1807" s="246"/>
      <c r="Q1807" s="249"/>
      <c r="R1807" s="250"/>
      <c r="S1807" s="259"/>
      <c r="T1807" s="260"/>
      <c r="U1807" s="250"/>
      <c r="V1807" s="78">
        <f t="shared" si="281"/>
        <v>0</v>
      </c>
      <c r="W1807" s="261">
        <f t="shared" si="282"/>
        <v>0</v>
      </c>
      <c r="X1807" s="133">
        <f t="shared" si="283"/>
        <v>0</v>
      </c>
      <c r="Y1807" s="251"/>
      <c r="Z1807" s="1736"/>
      <c r="AA1807" s="1737"/>
      <c r="AB1807" s="77">
        <f t="shared" si="284"/>
        <v>0</v>
      </c>
      <c r="AC1807" s="134">
        <f t="shared" si="285"/>
        <v>0</v>
      </c>
      <c r="AD1807" s="251"/>
      <c r="AE1807" s="1736"/>
      <c r="AF1807" s="1737"/>
      <c r="AG1807" s="77">
        <f t="shared" si="286"/>
        <v>0</v>
      </c>
      <c r="AH1807" s="136">
        <f t="shared" si="287"/>
        <v>0</v>
      </c>
      <c r="AI1807" s="251"/>
      <c r="AJ1807" s="1736"/>
      <c r="AK1807" s="1737"/>
      <c r="AL1807" s="79">
        <f t="shared" si="288"/>
        <v>0</v>
      </c>
      <c r="AM1807" s="137">
        <f t="shared" si="289"/>
        <v>0</v>
      </c>
      <c r="AN1807" s="251"/>
      <c r="AO1807" s="1736"/>
      <c r="AP1807" s="1737"/>
    </row>
    <row r="1808" spans="1:42" s="85" customFormat="1" ht="13.5" thickBot="1">
      <c r="A1808" s="240"/>
      <c r="B1808" s="241"/>
      <c r="C1808" s="242"/>
      <c r="D1808" s="242"/>
      <c r="E1808" s="243"/>
      <c r="F1808" s="244"/>
      <c r="G1808" s="244"/>
      <c r="H1808" s="243"/>
      <c r="I1808" s="258"/>
      <c r="J1808" s="245"/>
      <c r="K1808" s="245"/>
      <c r="L1808" s="76">
        <f t="shared" si="280"/>
        <v>0</v>
      </c>
      <c r="M1808" s="246"/>
      <c r="N1808" s="247"/>
      <c r="O1808" s="248"/>
      <c r="P1808" s="246"/>
      <c r="Q1808" s="249"/>
      <c r="R1808" s="250"/>
      <c r="S1808" s="259"/>
      <c r="T1808" s="260"/>
      <c r="U1808" s="250"/>
      <c r="V1808" s="78">
        <f t="shared" si="281"/>
        <v>0</v>
      </c>
      <c r="W1808" s="261">
        <f t="shared" si="282"/>
        <v>0</v>
      </c>
      <c r="X1808" s="133">
        <f t="shared" si="283"/>
        <v>0</v>
      </c>
      <c r="Y1808" s="251"/>
      <c r="Z1808" s="1736"/>
      <c r="AA1808" s="1737"/>
      <c r="AB1808" s="77">
        <f t="shared" si="284"/>
        <v>0</v>
      </c>
      <c r="AC1808" s="134">
        <f t="shared" si="285"/>
        <v>0</v>
      </c>
      <c r="AD1808" s="251"/>
      <c r="AE1808" s="1736"/>
      <c r="AF1808" s="1737"/>
      <c r="AG1808" s="77">
        <f t="shared" si="286"/>
        <v>0</v>
      </c>
      <c r="AH1808" s="136">
        <f t="shared" si="287"/>
        <v>0</v>
      </c>
      <c r="AI1808" s="251"/>
      <c r="AJ1808" s="1736"/>
      <c r="AK1808" s="1737"/>
      <c r="AL1808" s="79">
        <f t="shared" si="288"/>
        <v>0</v>
      </c>
      <c r="AM1808" s="137">
        <f t="shared" si="289"/>
        <v>0</v>
      </c>
      <c r="AN1808" s="251"/>
      <c r="AO1808" s="1736"/>
      <c r="AP1808" s="1737"/>
    </row>
    <row r="1809" spans="1:42" s="85" customFormat="1" ht="13.5" thickBot="1">
      <c r="A1809" s="240"/>
      <c r="B1809" s="241"/>
      <c r="C1809" s="242"/>
      <c r="D1809" s="242"/>
      <c r="E1809" s="243"/>
      <c r="F1809" s="244"/>
      <c r="G1809" s="244"/>
      <c r="H1809" s="243"/>
      <c r="I1809" s="258"/>
      <c r="J1809" s="245"/>
      <c r="K1809" s="245"/>
      <c r="L1809" s="76">
        <f t="shared" si="280"/>
        <v>0</v>
      </c>
      <c r="M1809" s="246"/>
      <c r="N1809" s="247"/>
      <c r="O1809" s="248"/>
      <c r="P1809" s="246"/>
      <c r="Q1809" s="249"/>
      <c r="R1809" s="250"/>
      <c r="S1809" s="259"/>
      <c r="T1809" s="260"/>
      <c r="U1809" s="250"/>
      <c r="V1809" s="78">
        <f t="shared" si="281"/>
        <v>0</v>
      </c>
      <c r="W1809" s="261">
        <f t="shared" si="282"/>
        <v>0</v>
      </c>
      <c r="X1809" s="133">
        <f t="shared" si="283"/>
        <v>0</v>
      </c>
      <c r="Y1809" s="251"/>
      <c r="Z1809" s="1736"/>
      <c r="AA1809" s="1737"/>
      <c r="AB1809" s="77">
        <f t="shared" si="284"/>
        <v>0</v>
      </c>
      <c r="AC1809" s="134">
        <f t="shared" si="285"/>
        <v>0</v>
      </c>
      <c r="AD1809" s="251"/>
      <c r="AE1809" s="1736"/>
      <c r="AF1809" s="1737"/>
      <c r="AG1809" s="77">
        <f t="shared" si="286"/>
        <v>0</v>
      </c>
      <c r="AH1809" s="136">
        <f t="shared" si="287"/>
        <v>0</v>
      </c>
      <c r="AI1809" s="251"/>
      <c r="AJ1809" s="1736"/>
      <c r="AK1809" s="1737"/>
      <c r="AL1809" s="79">
        <f t="shared" si="288"/>
        <v>0</v>
      </c>
      <c r="AM1809" s="137">
        <f t="shared" si="289"/>
        <v>0</v>
      </c>
      <c r="AN1809" s="251"/>
      <c r="AO1809" s="1736"/>
      <c r="AP1809" s="1737"/>
    </row>
    <row r="1810" spans="1:42" s="85" customFormat="1" ht="13.5" thickBot="1">
      <c r="A1810" s="240"/>
      <c r="B1810" s="241"/>
      <c r="C1810" s="242"/>
      <c r="D1810" s="242"/>
      <c r="E1810" s="243"/>
      <c r="F1810" s="244"/>
      <c r="G1810" s="244"/>
      <c r="H1810" s="243"/>
      <c r="I1810" s="258"/>
      <c r="J1810" s="245"/>
      <c r="K1810" s="245"/>
      <c r="L1810" s="76">
        <f t="shared" si="280"/>
        <v>0</v>
      </c>
      <c r="M1810" s="246"/>
      <c r="N1810" s="247"/>
      <c r="O1810" s="248"/>
      <c r="P1810" s="246"/>
      <c r="Q1810" s="249"/>
      <c r="R1810" s="250"/>
      <c r="S1810" s="259"/>
      <c r="T1810" s="260"/>
      <c r="U1810" s="250"/>
      <c r="V1810" s="78">
        <f t="shared" si="281"/>
        <v>0</v>
      </c>
      <c r="W1810" s="261">
        <f t="shared" si="282"/>
        <v>0</v>
      </c>
      <c r="X1810" s="133">
        <f t="shared" si="283"/>
        <v>0</v>
      </c>
      <c r="Y1810" s="251"/>
      <c r="Z1810" s="1736"/>
      <c r="AA1810" s="1737"/>
      <c r="AB1810" s="77">
        <f t="shared" si="284"/>
        <v>0</v>
      </c>
      <c r="AC1810" s="134">
        <f t="shared" si="285"/>
        <v>0</v>
      </c>
      <c r="AD1810" s="251"/>
      <c r="AE1810" s="1736"/>
      <c r="AF1810" s="1737"/>
      <c r="AG1810" s="77">
        <f t="shared" si="286"/>
        <v>0</v>
      </c>
      <c r="AH1810" s="136">
        <f t="shared" si="287"/>
        <v>0</v>
      </c>
      <c r="AI1810" s="251"/>
      <c r="AJ1810" s="1736"/>
      <c r="AK1810" s="1737"/>
      <c r="AL1810" s="79">
        <f t="shared" si="288"/>
        <v>0</v>
      </c>
      <c r="AM1810" s="137">
        <f t="shared" si="289"/>
        <v>0</v>
      </c>
      <c r="AN1810" s="251"/>
      <c r="AO1810" s="1736"/>
      <c r="AP1810" s="1737"/>
    </row>
    <row r="1811" spans="1:42" s="85" customFormat="1">
      <c r="A1811" s="240"/>
      <c r="B1811" s="241"/>
      <c r="C1811" s="242"/>
      <c r="D1811" s="242"/>
      <c r="E1811" s="243"/>
      <c r="F1811" s="244"/>
      <c r="G1811" s="244"/>
      <c r="H1811" s="243"/>
      <c r="I1811" s="258"/>
      <c r="J1811" s="245"/>
      <c r="K1811" s="245"/>
      <c r="L1811" s="76">
        <f t="shared" si="280"/>
        <v>0</v>
      </c>
      <c r="M1811" s="246"/>
      <c r="N1811" s="247"/>
      <c r="O1811" s="248"/>
      <c r="P1811" s="246"/>
      <c r="Q1811" s="249"/>
      <c r="R1811" s="250"/>
      <c r="S1811" s="259"/>
      <c r="T1811" s="260"/>
      <c r="U1811" s="250"/>
      <c r="V1811" s="78">
        <f t="shared" si="281"/>
        <v>0</v>
      </c>
      <c r="W1811" s="261">
        <f t="shared" si="282"/>
        <v>0</v>
      </c>
      <c r="X1811" s="133">
        <f t="shared" si="283"/>
        <v>0</v>
      </c>
      <c r="Y1811" s="251"/>
      <c r="Z1811" s="1736"/>
      <c r="AA1811" s="1737"/>
      <c r="AB1811" s="77">
        <f t="shared" si="284"/>
        <v>0</v>
      </c>
      <c r="AC1811" s="134">
        <f t="shared" si="285"/>
        <v>0</v>
      </c>
      <c r="AD1811" s="251"/>
      <c r="AE1811" s="1736"/>
      <c r="AF1811" s="1737"/>
      <c r="AG1811" s="77">
        <f t="shared" si="286"/>
        <v>0</v>
      </c>
      <c r="AH1811" s="136">
        <f t="shared" si="287"/>
        <v>0</v>
      </c>
      <c r="AI1811" s="251"/>
      <c r="AJ1811" s="1736"/>
      <c r="AK1811" s="1737"/>
      <c r="AL1811" s="79">
        <f t="shared" si="288"/>
        <v>0</v>
      </c>
      <c r="AM1811" s="137">
        <f t="shared" si="289"/>
        <v>0</v>
      </c>
      <c r="AN1811" s="251"/>
      <c r="AO1811" s="1736"/>
      <c r="AP1811" s="1737"/>
    </row>
  </sheetData>
  <sheetProtection algorithmName="SHA-512" hashValue="odCTvR8tR/nWZdSclrzA3J5ASRmCgZAt/jQEf24Y5VLeeOu9c8tzSrZPyLkBZlc/97coDoL+W1cvVBy7Nywdig==" saltValue="wmP3vSsHNimXxZB2ZizRBw==" spinCount="100000" sheet="1" selectLockedCells="1"/>
  <customSheetViews>
    <customSheetView guid="{A81B7E59-6D30-48F0-895B-EADA4D6F68AC}" topLeftCell="A8">
      <selection activeCell="A10" sqref="A10"/>
      <pageMargins left="0.25" right="0.25" top="0.83" bottom="0.75" header="0.25" footer="0.25"/>
      <printOptions horizontalCentered="1"/>
      <pageSetup scale="67" fitToHeight="23" orientation="landscape" r:id="rId1"/>
      <headerFooter>
        <oddHeader>&amp;L&amp;"Arial,Regular"&amp;8Texas Department of Aging 
and Disability Services&amp;C&amp;"Arial,Bold"&amp;12RESIDENTIAL CARE (RC)
RC REIMBURSEMENT&amp;RForm TBD
Page &amp;P</oddHeader>
      </headerFooter>
    </customSheetView>
    <customSheetView guid="{B2091B36-14EA-49EC-93AF-D5AA205EF0C1}">
      <pane ySplit="9" topLeftCell="A10" activePane="bottomLeft" state="frozen"/>
      <selection pane="bottomLeft" activeCell="A10" sqref="A10"/>
      <pageMargins left="0.25" right="0.25" top="0.83" bottom="0.75" header="0.25" footer="0.25"/>
      <printOptions horizontalCentered="1"/>
      <pageSetup scale="67" fitToHeight="23" orientation="landscape" r:id="rId2"/>
      <headerFooter>
        <oddHeader>&amp;L&amp;"Arial,Regular"&amp;8Texas Department of Aging
and Disability Services&amp;C&amp;"Arial,Bold"&amp;12ASSISTED LIVING/RESIDENTIAL CARE (AL/RC) /
OUT OF HOME RESPITE (OHR)
 AL/RC REIMBURSEMENT&amp;RForm TBD
Page &amp;P</oddHeader>
      </headerFooter>
    </customSheetView>
    <customSheetView guid="{965C3FE4-50BF-43C0-B1D0-366B904E9BAB}">
      <selection activeCell="I10" sqref="I10"/>
      <pageMargins left="0.25" right="0.25" top="0.83" bottom="0.75" header="0.25" footer="0.25"/>
      <printOptions horizontalCentered="1"/>
      <pageSetup scale="67" fitToHeight="23" orientation="landscape" r:id="rId3"/>
      <headerFooter>
        <oddHeader>&amp;L&amp;"Arial,Regular"&amp;8Texas Department of Aging
and Disability Services&amp;C&amp;"Arial,Bold"&amp;12ASSISTED LIVING/RESIDENTIAL CARE (AL/RC) /
OUT OF HOME RESPITE (OHR)
 AL/RC REIMBURSEMENT&amp;RForm TBD
Page &amp;P</oddHeader>
      </headerFooter>
    </customSheetView>
    <customSheetView guid="{5C7A2EDE-CAF2-41B7-8EBC-2EB35225299B}">
      <selection activeCell="I10" sqref="I10"/>
      <pageMargins left="0.25" right="0.25" top="0.83" bottom="0.75" header="0.25" footer="0.25"/>
      <printOptions horizontalCentered="1"/>
      <pageSetup scale="67" fitToHeight="23" orientation="landscape" r:id="rId4"/>
      <headerFooter>
        <oddHeader>&amp;L&amp;"Arial,Regular"&amp;8Texas Department of Aging
and Disability Services&amp;C&amp;"Arial,Bold"&amp;12ASSISTED LIVING/RESIDENTIAL CARE (AL/RC) /
OUT OF HOME RESPITE (OHR)
 AL/RC REIMBURSEMENT&amp;RForm TBD
Page &amp;P</oddHeader>
      </headerFooter>
    </customSheetView>
    <customSheetView guid="{15DD4F60-D491-4D73-A014-FE6349F17583}">
      <selection activeCell="I10" sqref="I10"/>
      <pageMargins left="0.25" right="0.25" top="0.83" bottom="0.75" header="0.25" footer="0.25"/>
      <printOptions horizontalCentered="1"/>
      <pageSetup scale="67" fitToHeight="23" orientation="landscape" r:id="rId5"/>
      <headerFooter>
        <oddHeader>&amp;L&amp;"Arial,Regular"&amp;8Texas Department of Aging
and Disability Services&amp;C&amp;"Arial,Bold"&amp;12ASSISTED LIVING/RESIDENTIAL CARE (AL/RC) /
OUT OF HOME RESPITE (OHR)
 AL/RC REIMBURSEMENT&amp;RForm TBD
Page &amp;P</oddHeader>
      </headerFooter>
    </customSheetView>
    <customSheetView guid="{A9399441-FD69-4FCC-BF3B-6E447DD9FB6A}">
      <pane ySplit="9" topLeftCell="A10" activePane="bottomLeft" state="frozen"/>
      <selection pane="bottomLeft" activeCell="A10" sqref="A10"/>
      <pageMargins left="0.25" right="0.25" top="0.83" bottom="0.75" header="0.25" footer="0.25"/>
      <printOptions horizontalCentered="1"/>
      <pageSetup scale="67" fitToHeight="23" orientation="landscape" r:id="rId6"/>
      <headerFooter>
        <oddHeader>&amp;L&amp;"Arial,Regular"&amp;8Texas Department of Aging
and Disability Services&amp;C&amp;"Arial,Bold"&amp;12ASSISTED LIVING/RESIDENTIAL CARE (AL/RC) /
OUT OF HOME RESPITE (OHR)
 AL/RC REIMBURSEMENT&amp;RForm TBD
Page &amp;P</oddHeader>
      </headerFooter>
    </customSheetView>
  </customSheetViews>
  <mergeCells count="7269">
    <mergeCell ref="Z1810:AA1810"/>
    <mergeCell ref="AE1810:AF1810"/>
    <mergeCell ref="AJ1810:AK1810"/>
    <mergeCell ref="AO1810:AP1810"/>
    <mergeCell ref="Z1811:AA1811"/>
    <mergeCell ref="AE1811:AF1811"/>
    <mergeCell ref="AJ1811:AK1811"/>
    <mergeCell ref="AO1811:AP1811"/>
    <mergeCell ref="Z1807:AA1807"/>
    <mergeCell ref="AE1807:AF1807"/>
    <mergeCell ref="AJ1807:AK1807"/>
    <mergeCell ref="AO1807:AP1807"/>
    <mergeCell ref="Z1808:AA1808"/>
    <mergeCell ref="AE1808:AF1808"/>
    <mergeCell ref="AJ1808:AK1808"/>
    <mergeCell ref="AO1808:AP1808"/>
    <mergeCell ref="Z1809:AA1809"/>
    <mergeCell ref="AE1809:AF1809"/>
    <mergeCell ref="AJ1809:AK1809"/>
    <mergeCell ref="AO1809:AP1809"/>
    <mergeCell ref="Z1804:AA1804"/>
    <mergeCell ref="AE1804:AF1804"/>
    <mergeCell ref="AJ1804:AK1804"/>
    <mergeCell ref="AO1804:AP1804"/>
    <mergeCell ref="Z1805:AA1805"/>
    <mergeCell ref="AE1805:AF1805"/>
    <mergeCell ref="AJ1805:AK1805"/>
    <mergeCell ref="AO1805:AP1805"/>
    <mergeCell ref="Z1806:AA1806"/>
    <mergeCell ref="AE1806:AF1806"/>
    <mergeCell ref="AJ1806:AK1806"/>
    <mergeCell ref="AO1806:AP1806"/>
    <mergeCell ref="Z1801:AA1801"/>
    <mergeCell ref="AE1801:AF1801"/>
    <mergeCell ref="AJ1801:AK1801"/>
    <mergeCell ref="AO1801:AP1801"/>
    <mergeCell ref="Z1802:AA1802"/>
    <mergeCell ref="AE1802:AF1802"/>
    <mergeCell ref="AJ1802:AK1802"/>
    <mergeCell ref="AO1802:AP1802"/>
    <mergeCell ref="Z1803:AA1803"/>
    <mergeCell ref="AE1803:AF1803"/>
    <mergeCell ref="AJ1803:AK1803"/>
    <mergeCell ref="AO1803:AP1803"/>
    <mergeCell ref="Z1798:AA1798"/>
    <mergeCell ref="AE1798:AF1798"/>
    <mergeCell ref="AJ1798:AK1798"/>
    <mergeCell ref="AO1798:AP1798"/>
    <mergeCell ref="Z1799:AA1799"/>
    <mergeCell ref="AE1799:AF1799"/>
    <mergeCell ref="AJ1799:AK1799"/>
    <mergeCell ref="AO1799:AP1799"/>
    <mergeCell ref="Z1800:AA1800"/>
    <mergeCell ref="AE1800:AF1800"/>
    <mergeCell ref="AJ1800:AK1800"/>
    <mergeCell ref="AO1800:AP1800"/>
    <mergeCell ref="Z1795:AA1795"/>
    <mergeCell ref="AE1795:AF1795"/>
    <mergeCell ref="AJ1795:AK1795"/>
    <mergeCell ref="AO1795:AP1795"/>
    <mergeCell ref="Z1796:AA1796"/>
    <mergeCell ref="AE1796:AF1796"/>
    <mergeCell ref="AJ1796:AK1796"/>
    <mergeCell ref="AO1796:AP1796"/>
    <mergeCell ref="Z1797:AA1797"/>
    <mergeCell ref="AE1797:AF1797"/>
    <mergeCell ref="AJ1797:AK1797"/>
    <mergeCell ref="AO1797:AP1797"/>
    <mergeCell ref="Z1792:AA1792"/>
    <mergeCell ref="AE1792:AF1792"/>
    <mergeCell ref="AJ1792:AK1792"/>
    <mergeCell ref="AO1792:AP1792"/>
    <mergeCell ref="Z1793:AA1793"/>
    <mergeCell ref="AE1793:AF1793"/>
    <mergeCell ref="AJ1793:AK1793"/>
    <mergeCell ref="AO1793:AP1793"/>
    <mergeCell ref="Z1794:AA1794"/>
    <mergeCell ref="AE1794:AF1794"/>
    <mergeCell ref="AJ1794:AK1794"/>
    <mergeCell ref="AO1794:AP1794"/>
    <mergeCell ref="Z1789:AA1789"/>
    <mergeCell ref="AE1789:AF1789"/>
    <mergeCell ref="AJ1789:AK1789"/>
    <mergeCell ref="AO1789:AP1789"/>
    <mergeCell ref="Z1790:AA1790"/>
    <mergeCell ref="AE1790:AF1790"/>
    <mergeCell ref="AJ1790:AK1790"/>
    <mergeCell ref="AO1790:AP1790"/>
    <mergeCell ref="Z1791:AA1791"/>
    <mergeCell ref="AE1791:AF1791"/>
    <mergeCell ref="AJ1791:AK1791"/>
    <mergeCell ref="AO1791:AP1791"/>
    <mergeCell ref="Z1786:AA1786"/>
    <mergeCell ref="AE1786:AF1786"/>
    <mergeCell ref="AJ1786:AK1786"/>
    <mergeCell ref="AO1786:AP1786"/>
    <mergeCell ref="Z1787:AA1787"/>
    <mergeCell ref="AE1787:AF1787"/>
    <mergeCell ref="AJ1787:AK1787"/>
    <mergeCell ref="AO1787:AP1787"/>
    <mergeCell ref="Z1788:AA1788"/>
    <mergeCell ref="AE1788:AF1788"/>
    <mergeCell ref="AJ1788:AK1788"/>
    <mergeCell ref="AO1788:AP1788"/>
    <mergeCell ref="Z1783:AA1783"/>
    <mergeCell ref="AE1783:AF1783"/>
    <mergeCell ref="AJ1783:AK1783"/>
    <mergeCell ref="AO1783:AP1783"/>
    <mergeCell ref="Z1784:AA1784"/>
    <mergeCell ref="AE1784:AF1784"/>
    <mergeCell ref="AJ1784:AK1784"/>
    <mergeCell ref="AO1784:AP1784"/>
    <mergeCell ref="Z1785:AA1785"/>
    <mergeCell ref="AE1785:AF1785"/>
    <mergeCell ref="AJ1785:AK1785"/>
    <mergeCell ref="AO1785:AP1785"/>
    <mergeCell ref="Z1780:AA1780"/>
    <mergeCell ref="AE1780:AF1780"/>
    <mergeCell ref="AJ1780:AK1780"/>
    <mergeCell ref="AO1780:AP1780"/>
    <mergeCell ref="Z1781:AA1781"/>
    <mergeCell ref="AE1781:AF1781"/>
    <mergeCell ref="AJ1781:AK1781"/>
    <mergeCell ref="AO1781:AP1781"/>
    <mergeCell ref="Z1782:AA1782"/>
    <mergeCell ref="AE1782:AF1782"/>
    <mergeCell ref="AJ1782:AK1782"/>
    <mergeCell ref="AO1782:AP1782"/>
    <mergeCell ref="Z1777:AA1777"/>
    <mergeCell ref="AE1777:AF1777"/>
    <mergeCell ref="AJ1777:AK1777"/>
    <mergeCell ref="AO1777:AP1777"/>
    <mergeCell ref="Z1778:AA1778"/>
    <mergeCell ref="AE1778:AF1778"/>
    <mergeCell ref="AJ1778:AK1778"/>
    <mergeCell ref="AO1778:AP1778"/>
    <mergeCell ref="Z1779:AA1779"/>
    <mergeCell ref="AE1779:AF1779"/>
    <mergeCell ref="AJ1779:AK1779"/>
    <mergeCell ref="AO1779:AP1779"/>
    <mergeCell ref="Z1774:AA1774"/>
    <mergeCell ref="AE1774:AF1774"/>
    <mergeCell ref="AJ1774:AK1774"/>
    <mergeCell ref="AO1774:AP1774"/>
    <mergeCell ref="Z1775:AA1775"/>
    <mergeCell ref="AE1775:AF1775"/>
    <mergeCell ref="AJ1775:AK1775"/>
    <mergeCell ref="AO1775:AP1775"/>
    <mergeCell ref="Z1776:AA1776"/>
    <mergeCell ref="AE1776:AF1776"/>
    <mergeCell ref="AJ1776:AK1776"/>
    <mergeCell ref="AO1776:AP1776"/>
    <mergeCell ref="Z1771:AA1771"/>
    <mergeCell ref="AE1771:AF1771"/>
    <mergeCell ref="AJ1771:AK1771"/>
    <mergeCell ref="AO1771:AP1771"/>
    <mergeCell ref="Z1772:AA1772"/>
    <mergeCell ref="AE1772:AF1772"/>
    <mergeCell ref="AJ1772:AK1772"/>
    <mergeCell ref="AO1772:AP1772"/>
    <mergeCell ref="Z1773:AA1773"/>
    <mergeCell ref="AE1773:AF1773"/>
    <mergeCell ref="AJ1773:AK1773"/>
    <mergeCell ref="AO1773:AP1773"/>
    <mergeCell ref="Z1768:AA1768"/>
    <mergeCell ref="AE1768:AF1768"/>
    <mergeCell ref="AJ1768:AK1768"/>
    <mergeCell ref="AO1768:AP1768"/>
    <mergeCell ref="Z1769:AA1769"/>
    <mergeCell ref="AE1769:AF1769"/>
    <mergeCell ref="AJ1769:AK1769"/>
    <mergeCell ref="AO1769:AP1769"/>
    <mergeCell ref="Z1770:AA1770"/>
    <mergeCell ref="AE1770:AF1770"/>
    <mergeCell ref="AJ1770:AK1770"/>
    <mergeCell ref="AO1770:AP1770"/>
    <mergeCell ref="Z1765:AA1765"/>
    <mergeCell ref="AE1765:AF1765"/>
    <mergeCell ref="AJ1765:AK1765"/>
    <mergeCell ref="AO1765:AP1765"/>
    <mergeCell ref="Z1766:AA1766"/>
    <mergeCell ref="AE1766:AF1766"/>
    <mergeCell ref="AJ1766:AK1766"/>
    <mergeCell ref="AO1766:AP1766"/>
    <mergeCell ref="Z1767:AA1767"/>
    <mergeCell ref="AE1767:AF1767"/>
    <mergeCell ref="AJ1767:AK1767"/>
    <mergeCell ref="AO1767:AP1767"/>
    <mergeCell ref="Z1762:AA1762"/>
    <mergeCell ref="AE1762:AF1762"/>
    <mergeCell ref="AJ1762:AK1762"/>
    <mergeCell ref="AO1762:AP1762"/>
    <mergeCell ref="Z1763:AA1763"/>
    <mergeCell ref="AE1763:AF1763"/>
    <mergeCell ref="AJ1763:AK1763"/>
    <mergeCell ref="AO1763:AP1763"/>
    <mergeCell ref="Z1764:AA1764"/>
    <mergeCell ref="AE1764:AF1764"/>
    <mergeCell ref="AJ1764:AK1764"/>
    <mergeCell ref="AO1764:AP1764"/>
    <mergeCell ref="Z1759:AA1759"/>
    <mergeCell ref="AE1759:AF1759"/>
    <mergeCell ref="AJ1759:AK1759"/>
    <mergeCell ref="AO1759:AP1759"/>
    <mergeCell ref="Z1760:AA1760"/>
    <mergeCell ref="AE1760:AF1760"/>
    <mergeCell ref="AJ1760:AK1760"/>
    <mergeCell ref="AO1760:AP1760"/>
    <mergeCell ref="Z1761:AA1761"/>
    <mergeCell ref="AE1761:AF1761"/>
    <mergeCell ref="AJ1761:AK1761"/>
    <mergeCell ref="AO1761:AP1761"/>
    <mergeCell ref="Z1756:AA1756"/>
    <mergeCell ref="AE1756:AF1756"/>
    <mergeCell ref="AJ1756:AK1756"/>
    <mergeCell ref="AO1756:AP1756"/>
    <mergeCell ref="Z1757:AA1757"/>
    <mergeCell ref="AE1757:AF1757"/>
    <mergeCell ref="AJ1757:AK1757"/>
    <mergeCell ref="AO1757:AP1757"/>
    <mergeCell ref="Z1758:AA1758"/>
    <mergeCell ref="AE1758:AF1758"/>
    <mergeCell ref="AJ1758:AK1758"/>
    <mergeCell ref="AO1758:AP1758"/>
    <mergeCell ref="Z1753:AA1753"/>
    <mergeCell ref="AE1753:AF1753"/>
    <mergeCell ref="AJ1753:AK1753"/>
    <mergeCell ref="AO1753:AP1753"/>
    <mergeCell ref="Z1754:AA1754"/>
    <mergeCell ref="AE1754:AF1754"/>
    <mergeCell ref="AJ1754:AK1754"/>
    <mergeCell ref="AO1754:AP1754"/>
    <mergeCell ref="Z1755:AA1755"/>
    <mergeCell ref="AE1755:AF1755"/>
    <mergeCell ref="AJ1755:AK1755"/>
    <mergeCell ref="AO1755:AP1755"/>
    <mergeCell ref="Z1750:AA1750"/>
    <mergeCell ref="AE1750:AF1750"/>
    <mergeCell ref="AJ1750:AK1750"/>
    <mergeCell ref="AO1750:AP1750"/>
    <mergeCell ref="Z1751:AA1751"/>
    <mergeCell ref="AE1751:AF1751"/>
    <mergeCell ref="AJ1751:AK1751"/>
    <mergeCell ref="AO1751:AP1751"/>
    <mergeCell ref="Z1752:AA1752"/>
    <mergeCell ref="AE1752:AF1752"/>
    <mergeCell ref="AJ1752:AK1752"/>
    <mergeCell ref="AO1752:AP1752"/>
    <mergeCell ref="Z1747:AA1747"/>
    <mergeCell ref="AE1747:AF1747"/>
    <mergeCell ref="AJ1747:AK1747"/>
    <mergeCell ref="AO1747:AP1747"/>
    <mergeCell ref="Z1748:AA1748"/>
    <mergeCell ref="AE1748:AF1748"/>
    <mergeCell ref="AJ1748:AK1748"/>
    <mergeCell ref="AO1748:AP1748"/>
    <mergeCell ref="Z1749:AA1749"/>
    <mergeCell ref="AE1749:AF1749"/>
    <mergeCell ref="AJ1749:AK1749"/>
    <mergeCell ref="AO1749:AP1749"/>
    <mergeCell ref="Z1744:AA1744"/>
    <mergeCell ref="AE1744:AF1744"/>
    <mergeCell ref="AJ1744:AK1744"/>
    <mergeCell ref="AO1744:AP1744"/>
    <mergeCell ref="Z1745:AA1745"/>
    <mergeCell ref="AE1745:AF1745"/>
    <mergeCell ref="AJ1745:AK1745"/>
    <mergeCell ref="AO1745:AP1745"/>
    <mergeCell ref="Z1746:AA1746"/>
    <mergeCell ref="AE1746:AF1746"/>
    <mergeCell ref="AJ1746:AK1746"/>
    <mergeCell ref="AO1746:AP1746"/>
    <mergeCell ref="Z1741:AA1741"/>
    <mergeCell ref="AE1741:AF1741"/>
    <mergeCell ref="AJ1741:AK1741"/>
    <mergeCell ref="AO1741:AP1741"/>
    <mergeCell ref="Z1742:AA1742"/>
    <mergeCell ref="AE1742:AF1742"/>
    <mergeCell ref="AJ1742:AK1742"/>
    <mergeCell ref="AO1742:AP1742"/>
    <mergeCell ref="Z1743:AA1743"/>
    <mergeCell ref="AE1743:AF1743"/>
    <mergeCell ref="AJ1743:AK1743"/>
    <mergeCell ref="AO1743:AP1743"/>
    <mergeCell ref="Z1738:AA1738"/>
    <mergeCell ref="AE1738:AF1738"/>
    <mergeCell ref="AJ1738:AK1738"/>
    <mergeCell ref="AO1738:AP1738"/>
    <mergeCell ref="Z1739:AA1739"/>
    <mergeCell ref="AE1739:AF1739"/>
    <mergeCell ref="AJ1739:AK1739"/>
    <mergeCell ref="AO1739:AP1739"/>
    <mergeCell ref="Z1740:AA1740"/>
    <mergeCell ref="AE1740:AF1740"/>
    <mergeCell ref="AJ1740:AK1740"/>
    <mergeCell ref="AO1740:AP1740"/>
    <mergeCell ref="Z1735:AA1735"/>
    <mergeCell ref="AE1735:AF1735"/>
    <mergeCell ref="AJ1735:AK1735"/>
    <mergeCell ref="AO1735:AP1735"/>
    <mergeCell ref="Z1736:AA1736"/>
    <mergeCell ref="AE1736:AF1736"/>
    <mergeCell ref="AJ1736:AK1736"/>
    <mergeCell ref="AO1736:AP1736"/>
    <mergeCell ref="Z1737:AA1737"/>
    <mergeCell ref="AE1737:AF1737"/>
    <mergeCell ref="AJ1737:AK1737"/>
    <mergeCell ref="AO1737:AP1737"/>
    <mergeCell ref="Z1732:AA1732"/>
    <mergeCell ref="AE1732:AF1732"/>
    <mergeCell ref="AJ1732:AK1732"/>
    <mergeCell ref="AO1732:AP1732"/>
    <mergeCell ref="Z1733:AA1733"/>
    <mergeCell ref="AE1733:AF1733"/>
    <mergeCell ref="AJ1733:AK1733"/>
    <mergeCell ref="AO1733:AP1733"/>
    <mergeCell ref="Z1734:AA1734"/>
    <mergeCell ref="AE1734:AF1734"/>
    <mergeCell ref="AJ1734:AK1734"/>
    <mergeCell ref="AO1734:AP1734"/>
    <mergeCell ref="Z1729:AA1729"/>
    <mergeCell ref="AE1729:AF1729"/>
    <mergeCell ref="AJ1729:AK1729"/>
    <mergeCell ref="AO1729:AP1729"/>
    <mergeCell ref="Z1730:AA1730"/>
    <mergeCell ref="AE1730:AF1730"/>
    <mergeCell ref="AJ1730:AK1730"/>
    <mergeCell ref="AO1730:AP1730"/>
    <mergeCell ref="Z1731:AA1731"/>
    <mergeCell ref="AE1731:AF1731"/>
    <mergeCell ref="AJ1731:AK1731"/>
    <mergeCell ref="AO1731:AP1731"/>
    <mergeCell ref="Z1726:AA1726"/>
    <mergeCell ref="AE1726:AF1726"/>
    <mergeCell ref="AJ1726:AK1726"/>
    <mergeCell ref="AO1726:AP1726"/>
    <mergeCell ref="Z1727:AA1727"/>
    <mergeCell ref="AE1727:AF1727"/>
    <mergeCell ref="AJ1727:AK1727"/>
    <mergeCell ref="AO1727:AP1727"/>
    <mergeCell ref="Z1728:AA1728"/>
    <mergeCell ref="AE1728:AF1728"/>
    <mergeCell ref="AJ1728:AK1728"/>
    <mergeCell ref="AO1728:AP1728"/>
    <mergeCell ref="Z1723:AA1723"/>
    <mergeCell ref="AE1723:AF1723"/>
    <mergeCell ref="AJ1723:AK1723"/>
    <mergeCell ref="AO1723:AP1723"/>
    <mergeCell ref="Z1724:AA1724"/>
    <mergeCell ref="AE1724:AF1724"/>
    <mergeCell ref="AJ1724:AK1724"/>
    <mergeCell ref="AO1724:AP1724"/>
    <mergeCell ref="Z1725:AA1725"/>
    <mergeCell ref="AE1725:AF1725"/>
    <mergeCell ref="AJ1725:AK1725"/>
    <mergeCell ref="AO1725:AP1725"/>
    <mergeCell ref="Z1720:AA1720"/>
    <mergeCell ref="AE1720:AF1720"/>
    <mergeCell ref="AJ1720:AK1720"/>
    <mergeCell ref="AO1720:AP1720"/>
    <mergeCell ref="Z1721:AA1721"/>
    <mergeCell ref="AE1721:AF1721"/>
    <mergeCell ref="AJ1721:AK1721"/>
    <mergeCell ref="AO1721:AP1721"/>
    <mergeCell ref="Z1722:AA1722"/>
    <mergeCell ref="AE1722:AF1722"/>
    <mergeCell ref="AJ1722:AK1722"/>
    <mergeCell ref="AO1722:AP1722"/>
    <mergeCell ref="Z1717:AA1717"/>
    <mergeCell ref="AE1717:AF1717"/>
    <mergeCell ref="AJ1717:AK1717"/>
    <mergeCell ref="AO1717:AP1717"/>
    <mergeCell ref="Z1718:AA1718"/>
    <mergeCell ref="AE1718:AF1718"/>
    <mergeCell ref="AJ1718:AK1718"/>
    <mergeCell ref="AO1718:AP1718"/>
    <mergeCell ref="Z1719:AA1719"/>
    <mergeCell ref="AE1719:AF1719"/>
    <mergeCell ref="AJ1719:AK1719"/>
    <mergeCell ref="AO1719:AP1719"/>
    <mergeCell ref="Z1714:AA1714"/>
    <mergeCell ref="AE1714:AF1714"/>
    <mergeCell ref="AJ1714:AK1714"/>
    <mergeCell ref="AO1714:AP1714"/>
    <mergeCell ref="Z1715:AA1715"/>
    <mergeCell ref="AE1715:AF1715"/>
    <mergeCell ref="AJ1715:AK1715"/>
    <mergeCell ref="AO1715:AP1715"/>
    <mergeCell ref="Z1716:AA1716"/>
    <mergeCell ref="AE1716:AF1716"/>
    <mergeCell ref="AJ1716:AK1716"/>
    <mergeCell ref="AO1716:AP1716"/>
    <mergeCell ref="Z1711:AA1711"/>
    <mergeCell ref="AE1711:AF1711"/>
    <mergeCell ref="AJ1711:AK1711"/>
    <mergeCell ref="AO1711:AP1711"/>
    <mergeCell ref="Z1712:AA1712"/>
    <mergeCell ref="AE1712:AF1712"/>
    <mergeCell ref="AJ1712:AK1712"/>
    <mergeCell ref="AO1712:AP1712"/>
    <mergeCell ref="Z1713:AA1713"/>
    <mergeCell ref="AE1713:AF1713"/>
    <mergeCell ref="AJ1713:AK1713"/>
    <mergeCell ref="AO1713:AP1713"/>
    <mergeCell ref="Z1708:AA1708"/>
    <mergeCell ref="AE1708:AF1708"/>
    <mergeCell ref="AJ1708:AK1708"/>
    <mergeCell ref="AO1708:AP1708"/>
    <mergeCell ref="Z1709:AA1709"/>
    <mergeCell ref="AE1709:AF1709"/>
    <mergeCell ref="AJ1709:AK1709"/>
    <mergeCell ref="AO1709:AP1709"/>
    <mergeCell ref="Z1710:AA1710"/>
    <mergeCell ref="AE1710:AF1710"/>
    <mergeCell ref="AJ1710:AK1710"/>
    <mergeCell ref="AO1710:AP1710"/>
    <mergeCell ref="Z1705:AA1705"/>
    <mergeCell ref="AE1705:AF1705"/>
    <mergeCell ref="AJ1705:AK1705"/>
    <mergeCell ref="AO1705:AP1705"/>
    <mergeCell ref="Z1706:AA1706"/>
    <mergeCell ref="AE1706:AF1706"/>
    <mergeCell ref="AJ1706:AK1706"/>
    <mergeCell ref="AO1706:AP1706"/>
    <mergeCell ref="Z1707:AA1707"/>
    <mergeCell ref="AE1707:AF1707"/>
    <mergeCell ref="AJ1707:AK1707"/>
    <mergeCell ref="AO1707:AP1707"/>
    <mergeCell ref="Z1702:AA1702"/>
    <mergeCell ref="AE1702:AF1702"/>
    <mergeCell ref="AJ1702:AK1702"/>
    <mergeCell ref="AO1702:AP1702"/>
    <mergeCell ref="Z1703:AA1703"/>
    <mergeCell ref="AE1703:AF1703"/>
    <mergeCell ref="AJ1703:AK1703"/>
    <mergeCell ref="AO1703:AP1703"/>
    <mergeCell ref="Z1704:AA1704"/>
    <mergeCell ref="AE1704:AF1704"/>
    <mergeCell ref="AJ1704:AK1704"/>
    <mergeCell ref="AO1704:AP1704"/>
    <mergeCell ref="Z1699:AA1699"/>
    <mergeCell ref="AE1699:AF1699"/>
    <mergeCell ref="AJ1699:AK1699"/>
    <mergeCell ref="AO1699:AP1699"/>
    <mergeCell ref="Z1700:AA1700"/>
    <mergeCell ref="AE1700:AF1700"/>
    <mergeCell ref="AJ1700:AK1700"/>
    <mergeCell ref="AO1700:AP1700"/>
    <mergeCell ref="Z1701:AA1701"/>
    <mergeCell ref="AE1701:AF1701"/>
    <mergeCell ref="AJ1701:AK1701"/>
    <mergeCell ref="AO1701:AP1701"/>
    <mergeCell ref="Z1696:AA1696"/>
    <mergeCell ref="AE1696:AF1696"/>
    <mergeCell ref="AJ1696:AK1696"/>
    <mergeCell ref="AO1696:AP1696"/>
    <mergeCell ref="Z1697:AA1697"/>
    <mergeCell ref="AE1697:AF1697"/>
    <mergeCell ref="AJ1697:AK1697"/>
    <mergeCell ref="AO1697:AP1697"/>
    <mergeCell ref="Z1698:AA1698"/>
    <mergeCell ref="AE1698:AF1698"/>
    <mergeCell ref="AJ1698:AK1698"/>
    <mergeCell ref="AO1698:AP1698"/>
    <mergeCell ref="Z1693:AA1693"/>
    <mergeCell ref="AE1693:AF1693"/>
    <mergeCell ref="AJ1693:AK1693"/>
    <mergeCell ref="AO1693:AP1693"/>
    <mergeCell ref="Z1694:AA1694"/>
    <mergeCell ref="AE1694:AF1694"/>
    <mergeCell ref="AJ1694:AK1694"/>
    <mergeCell ref="AO1694:AP1694"/>
    <mergeCell ref="Z1695:AA1695"/>
    <mergeCell ref="AE1695:AF1695"/>
    <mergeCell ref="AJ1695:AK1695"/>
    <mergeCell ref="AO1695:AP1695"/>
    <mergeCell ref="Z1690:AA1690"/>
    <mergeCell ref="AE1690:AF1690"/>
    <mergeCell ref="AJ1690:AK1690"/>
    <mergeCell ref="AO1690:AP1690"/>
    <mergeCell ref="Z1691:AA1691"/>
    <mergeCell ref="AE1691:AF1691"/>
    <mergeCell ref="AJ1691:AK1691"/>
    <mergeCell ref="AO1691:AP1691"/>
    <mergeCell ref="Z1692:AA1692"/>
    <mergeCell ref="AE1692:AF1692"/>
    <mergeCell ref="AJ1692:AK1692"/>
    <mergeCell ref="AO1692:AP1692"/>
    <mergeCell ref="Z1687:AA1687"/>
    <mergeCell ref="AE1687:AF1687"/>
    <mergeCell ref="AJ1687:AK1687"/>
    <mergeCell ref="AO1687:AP1687"/>
    <mergeCell ref="Z1688:AA1688"/>
    <mergeCell ref="AE1688:AF1688"/>
    <mergeCell ref="AJ1688:AK1688"/>
    <mergeCell ref="AO1688:AP1688"/>
    <mergeCell ref="Z1689:AA1689"/>
    <mergeCell ref="AE1689:AF1689"/>
    <mergeCell ref="AJ1689:AK1689"/>
    <mergeCell ref="AO1689:AP1689"/>
    <mergeCell ref="Z1684:AA1684"/>
    <mergeCell ref="AE1684:AF1684"/>
    <mergeCell ref="AJ1684:AK1684"/>
    <mergeCell ref="AO1684:AP1684"/>
    <mergeCell ref="Z1685:AA1685"/>
    <mergeCell ref="AE1685:AF1685"/>
    <mergeCell ref="AJ1685:AK1685"/>
    <mergeCell ref="AO1685:AP1685"/>
    <mergeCell ref="Z1686:AA1686"/>
    <mergeCell ref="AE1686:AF1686"/>
    <mergeCell ref="AJ1686:AK1686"/>
    <mergeCell ref="AO1686:AP1686"/>
    <mergeCell ref="Z1681:AA1681"/>
    <mergeCell ref="AE1681:AF1681"/>
    <mergeCell ref="AJ1681:AK1681"/>
    <mergeCell ref="AO1681:AP1681"/>
    <mergeCell ref="Z1682:AA1682"/>
    <mergeCell ref="AE1682:AF1682"/>
    <mergeCell ref="AJ1682:AK1682"/>
    <mergeCell ref="AO1682:AP1682"/>
    <mergeCell ref="Z1683:AA1683"/>
    <mergeCell ref="AE1683:AF1683"/>
    <mergeCell ref="AJ1683:AK1683"/>
    <mergeCell ref="AO1683:AP1683"/>
    <mergeCell ref="Z1678:AA1678"/>
    <mergeCell ref="AE1678:AF1678"/>
    <mergeCell ref="AJ1678:AK1678"/>
    <mergeCell ref="AO1678:AP1678"/>
    <mergeCell ref="Z1679:AA1679"/>
    <mergeCell ref="AE1679:AF1679"/>
    <mergeCell ref="AJ1679:AK1679"/>
    <mergeCell ref="AO1679:AP1679"/>
    <mergeCell ref="Z1680:AA1680"/>
    <mergeCell ref="AE1680:AF1680"/>
    <mergeCell ref="AJ1680:AK1680"/>
    <mergeCell ref="AO1680:AP1680"/>
    <mergeCell ref="Z1675:AA1675"/>
    <mergeCell ref="AE1675:AF1675"/>
    <mergeCell ref="AJ1675:AK1675"/>
    <mergeCell ref="AO1675:AP1675"/>
    <mergeCell ref="Z1676:AA1676"/>
    <mergeCell ref="AE1676:AF1676"/>
    <mergeCell ref="AJ1676:AK1676"/>
    <mergeCell ref="AO1676:AP1676"/>
    <mergeCell ref="Z1677:AA1677"/>
    <mergeCell ref="AE1677:AF1677"/>
    <mergeCell ref="AJ1677:AK1677"/>
    <mergeCell ref="AO1677:AP1677"/>
    <mergeCell ref="Z1672:AA1672"/>
    <mergeCell ref="AE1672:AF1672"/>
    <mergeCell ref="AJ1672:AK1672"/>
    <mergeCell ref="AO1672:AP1672"/>
    <mergeCell ref="Z1673:AA1673"/>
    <mergeCell ref="AE1673:AF1673"/>
    <mergeCell ref="AJ1673:AK1673"/>
    <mergeCell ref="AO1673:AP1673"/>
    <mergeCell ref="Z1674:AA1674"/>
    <mergeCell ref="AE1674:AF1674"/>
    <mergeCell ref="AJ1674:AK1674"/>
    <mergeCell ref="AO1674:AP1674"/>
    <mergeCell ref="Z1669:AA1669"/>
    <mergeCell ref="AE1669:AF1669"/>
    <mergeCell ref="AJ1669:AK1669"/>
    <mergeCell ref="AO1669:AP1669"/>
    <mergeCell ref="Z1670:AA1670"/>
    <mergeCell ref="AE1670:AF1670"/>
    <mergeCell ref="AJ1670:AK1670"/>
    <mergeCell ref="AO1670:AP1670"/>
    <mergeCell ref="Z1671:AA1671"/>
    <mergeCell ref="AE1671:AF1671"/>
    <mergeCell ref="AJ1671:AK1671"/>
    <mergeCell ref="AO1671:AP1671"/>
    <mergeCell ref="Z1666:AA1666"/>
    <mergeCell ref="AE1666:AF1666"/>
    <mergeCell ref="AJ1666:AK1666"/>
    <mergeCell ref="AO1666:AP1666"/>
    <mergeCell ref="Z1667:AA1667"/>
    <mergeCell ref="AE1667:AF1667"/>
    <mergeCell ref="AJ1667:AK1667"/>
    <mergeCell ref="AO1667:AP1667"/>
    <mergeCell ref="Z1668:AA1668"/>
    <mergeCell ref="AE1668:AF1668"/>
    <mergeCell ref="AJ1668:AK1668"/>
    <mergeCell ref="AO1668:AP1668"/>
    <mergeCell ref="Z1663:AA1663"/>
    <mergeCell ref="AE1663:AF1663"/>
    <mergeCell ref="AJ1663:AK1663"/>
    <mergeCell ref="AO1663:AP1663"/>
    <mergeCell ref="Z1664:AA1664"/>
    <mergeCell ref="AE1664:AF1664"/>
    <mergeCell ref="AJ1664:AK1664"/>
    <mergeCell ref="AO1664:AP1664"/>
    <mergeCell ref="Z1665:AA1665"/>
    <mergeCell ref="AE1665:AF1665"/>
    <mergeCell ref="AJ1665:AK1665"/>
    <mergeCell ref="AO1665:AP1665"/>
    <mergeCell ref="Z1660:AA1660"/>
    <mergeCell ref="AE1660:AF1660"/>
    <mergeCell ref="AJ1660:AK1660"/>
    <mergeCell ref="AO1660:AP1660"/>
    <mergeCell ref="Z1661:AA1661"/>
    <mergeCell ref="AE1661:AF1661"/>
    <mergeCell ref="AJ1661:AK1661"/>
    <mergeCell ref="AO1661:AP1661"/>
    <mergeCell ref="Z1662:AA1662"/>
    <mergeCell ref="AE1662:AF1662"/>
    <mergeCell ref="AJ1662:AK1662"/>
    <mergeCell ref="AO1662:AP1662"/>
    <mergeCell ref="Z1657:AA1657"/>
    <mergeCell ref="AE1657:AF1657"/>
    <mergeCell ref="AJ1657:AK1657"/>
    <mergeCell ref="AO1657:AP1657"/>
    <mergeCell ref="Z1658:AA1658"/>
    <mergeCell ref="AE1658:AF1658"/>
    <mergeCell ref="AJ1658:AK1658"/>
    <mergeCell ref="AO1658:AP1658"/>
    <mergeCell ref="Z1659:AA1659"/>
    <mergeCell ref="AE1659:AF1659"/>
    <mergeCell ref="AJ1659:AK1659"/>
    <mergeCell ref="AO1659:AP1659"/>
    <mergeCell ref="Z1654:AA1654"/>
    <mergeCell ref="AE1654:AF1654"/>
    <mergeCell ref="AJ1654:AK1654"/>
    <mergeCell ref="AO1654:AP1654"/>
    <mergeCell ref="Z1655:AA1655"/>
    <mergeCell ref="AE1655:AF1655"/>
    <mergeCell ref="AJ1655:AK1655"/>
    <mergeCell ref="AO1655:AP1655"/>
    <mergeCell ref="Z1656:AA1656"/>
    <mergeCell ref="AE1656:AF1656"/>
    <mergeCell ref="AJ1656:AK1656"/>
    <mergeCell ref="AO1656:AP1656"/>
    <mergeCell ref="Z1651:AA1651"/>
    <mergeCell ref="AE1651:AF1651"/>
    <mergeCell ref="AJ1651:AK1651"/>
    <mergeCell ref="AO1651:AP1651"/>
    <mergeCell ref="Z1652:AA1652"/>
    <mergeCell ref="AE1652:AF1652"/>
    <mergeCell ref="AJ1652:AK1652"/>
    <mergeCell ref="AO1652:AP1652"/>
    <mergeCell ref="Z1653:AA1653"/>
    <mergeCell ref="AE1653:AF1653"/>
    <mergeCell ref="AJ1653:AK1653"/>
    <mergeCell ref="AO1653:AP1653"/>
    <mergeCell ref="Z1648:AA1648"/>
    <mergeCell ref="AE1648:AF1648"/>
    <mergeCell ref="AJ1648:AK1648"/>
    <mergeCell ref="AO1648:AP1648"/>
    <mergeCell ref="Z1649:AA1649"/>
    <mergeCell ref="AE1649:AF1649"/>
    <mergeCell ref="AJ1649:AK1649"/>
    <mergeCell ref="AO1649:AP1649"/>
    <mergeCell ref="Z1650:AA1650"/>
    <mergeCell ref="AE1650:AF1650"/>
    <mergeCell ref="AJ1650:AK1650"/>
    <mergeCell ref="AO1650:AP1650"/>
    <mergeCell ref="Z1645:AA1645"/>
    <mergeCell ref="AE1645:AF1645"/>
    <mergeCell ref="AJ1645:AK1645"/>
    <mergeCell ref="AO1645:AP1645"/>
    <mergeCell ref="Z1646:AA1646"/>
    <mergeCell ref="AE1646:AF1646"/>
    <mergeCell ref="AJ1646:AK1646"/>
    <mergeCell ref="AO1646:AP1646"/>
    <mergeCell ref="Z1647:AA1647"/>
    <mergeCell ref="AE1647:AF1647"/>
    <mergeCell ref="AJ1647:AK1647"/>
    <mergeCell ref="AO1647:AP1647"/>
    <mergeCell ref="Z1642:AA1642"/>
    <mergeCell ref="AE1642:AF1642"/>
    <mergeCell ref="AJ1642:AK1642"/>
    <mergeCell ref="AO1642:AP1642"/>
    <mergeCell ref="Z1643:AA1643"/>
    <mergeCell ref="AE1643:AF1643"/>
    <mergeCell ref="AJ1643:AK1643"/>
    <mergeCell ref="AO1643:AP1643"/>
    <mergeCell ref="Z1644:AA1644"/>
    <mergeCell ref="AE1644:AF1644"/>
    <mergeCell ref="AJ1644:AK1644"/>
    <mergeCell ref="AO1644:AP1644"/>
    <mergeCell ref="Z1639:AA1639"/>
    <mergeCell ref="AE1639:AF1639"/>
    <mergeCell ref="AJ1639:AK1639"/>
    <mergeCell ref="AO1639:AP1639"/>
    <mergeCell ref="Z1640:AA1640"/>
    <mergeCell ref="AE1640:AF1640"/>
    <mergeCell ref="AJ1640:AK1640"/>
    <mergeCell ref="AO1640:AP1640"/>
    <mergeCell ref="Z1641:AA1641"/>
    <mergeCell ref="AE1641:AF1641"/>
    <mergeCell ref="AJ1641:AK1641"/>
    <mergeCell ref="AO1641:AP1641"/>
    <mergeCell ref="Z1636:AA1636"/>
    <mergeCell ref="AE1636:AF1636"/>
    <mergeCell ref="AJ1636:AK1636"/>
    <mergeCell ref="AO1636:AP1636"/>
    <mergeCell ref="Z1637:AA1637"/>
    <mergeCell ref="AE1637:AF1637"/>
    <mergeCell ref="AJ1637:AK1637"/>
    <mergeCell ref="AO1637:AP1637"/>
    <mergeCell ref="Z1638:AA1638"/>
    <mergeCell ref="AE1638:AF1638"/>
    <mergeCell ref="AJ1638:AK1638"/>
    <mergeCell ref="AO1638:AP1638"/>
    <mergeCell ref="Z1633:AA1633"/>
    <mergeCell ref="AE1633:AF1633"/>
    <mergeCell ref="AJ1633:AK1633"/>
    <mergeCell ref="AO1633:AP1633"/>
    <mergeCell ref="Z1634:AA1634"/>
    <mergeCell ref="AE1634:AF1634"/>
    <mergeCell ref="AJ1634:AK1634"/>
    <mergeCell ref="AO1634:AP1634"/>
    <mergeCell ref="Z1635:AA1635"/>
    <mergeCell ref="AE1635:AF1635"/>
    <mergeCell ref="AJ1635:AK1635"/>
    <mergeCell ref="AO1635:AP1635"/>
    <mergeCell ref="Z1630:AA1630"/>
    <mergeCell ref="AE1630:AF1630"/>
    <mergeCell ref="AJ1630:AK1630"/>
    <mergeCell ref="AO1630:AP1630"/>
    <mergeCell ref="Z1631:AA1631"/>
    <mergeCell ref="AE1631:AF1631"/>
    <mergeCell ref="AJ1631:AK1631"/>
    <mergeCell ref="AO1631:AP1631"/>
    <mergeCell ref="Z1632:AA1632"/>
    <mergeCell ref="AE1632:AF1632"/>
    <mergeCell ref="AJ1632:AK1632"/>
    <mergeCell ref="AO1632:AP1632"/>
    <mergeCell ref="Z1627:AA1627"/>
    <mergeCell ref="AE1627:AF1627"/>
    <mergeCell ref="AJ1627:AK1627"/>
    <mergeCell ref="AO1627:AP1627"/>
    <mergeCell ref="Z1628:AA1628"/>
    <mergeCell ref="AE1628:AF1628"/>
    <mergeCell ref="AJ1628:AK1628"/>
    <mergeCell ref="AO1628:AP1628"/>
    <mergeCell ref="Z1629:AA1629"/>
    <mergeCell ref="AE1629:AF1629"/>
    <mergeCell ref="AJ1629:AK1629"/>
    <mergeCell ref="AO1629:AP1629"/>
    <mergeCell ref="Z1624:AA1624"/>
    <mergeCell ref="AE1624:AF1624"/>
    <mergeCell ref="AJ1624:AK1624"/>
    <mergeCell ref="AO1624:AP1624"/>
    <mergeCell ref="Z1625:AA1625"/>
    <mergeCell ref="AE1625:AF1625"/>
    <mergeCell ref="AJ1625:AK1625"/>
    <mergeCell ref="AO1625:AP1625"/>
    <mergeCell ref="Z1626:AA1626"/>
    <mergeCell ref="AE1626:AF1626"/>
    <mergeCell ref="AJ1626:AK1626"/>
    <mergeCell ref="AO1626:AP1626"/>
    <mergeCell ref="Z1621:AA1621"/>
    <mergeCell ref="AE1621:AF1621"/>
    <mergeCell ref="AJ1621:AK1621"/>
    <mergeCell ref="AO1621:AP1621"/>
    <mergeCell ref="Z1622:AA1622"/>
    <mergeCell ref="AE1622:AF1622"/>
    <mergeCell ref="AJ1622:AK1622"/>
    <mergeCell ref="AO1622:AP1622"/>
    <mergeCell ref="Z1623:AA1623"/>
    <mergeCell ref="AE1623:AF1623"/>
    <mergeCell ref="AJ1623:AK1623"/>
    <mergeCell ref="AO1623:AP1623"/>
    <mergeCell ref="Z1618:AA1618"/>
    <mergeCell ref="AE1618:AF1618"/>
    <mergeCell ref="AJ1618:AK1618"/>
    <mergeCell ref="AO1618:AP1618"/>
    <mergeCell ref="Z1619:AA1619"/>
    <mergeCell ref="AE1619:AF1619"/>
    <mergeCell ref="AJ1619:AK1619"/>
    <mergeCell ref="AO1619:AP1619"/>
    <mergeCell ref="Z1620:AA1620"/>
    <mergeCell ref="AE1620:AF1620"/>
    <mergeCell ref="AJ1620:AK1620"/>
    <mergeCell ref="AO1620:AP1620"/>
    <mergeCell ref="Z1615:AA1615"/>
    <mergeCell ref="AE1615:AF1615"/>
    <mergeCell ref="AJ1615:AK1615"/>
    <mergeCell ref="AO1615:AP1615"/>
    <mergeCell ref="Z1616:AA1616"/>
    <mergeCell ref="AE1616:AF1616"/>
    <mergeCell ref="AJ1616:AK1616"/>
    <mergeCell ref="AO1616:AP1616"/>
    <mergeCell ref="Z1617:AA1617"/>
    <mergeCell ref="AE1617:AF1617"/>
    <mergeCell ref="AJ1617:AK1617"/>
    <mergeCell ref="AO1617:AP1617"/>
    <mergeCell ref="Z1612:AA1612"/>
    <mergeCell ref="AE1612:AF1612"/>
    <mergeCell ref="AJ1612:AK1612"/>
    <mergeCell ref="AO1612:AP1612"/>
    <mergeCell ref="Z1613:AA1613"/>
    <mergeCell ref="AE1613:AF1613"/>
    <mergeCell ref="AJ1613:AK1613"/>
    <mergeCell ref="AO1613:AP1613"/>
    <mergeCell ref="Z1614:AA1614"/>
    <mergeCell ref="AE1614:AF1614"/>
    <mergeCell ref="AJ1614:AK1614"/>
    <mergeCell ref="AO1614:AP1614"/>
    <mergeCell ref="Z1609:AA1609"/>
    <mergeCell ref="AE1609:AF1609"/>
    <mergeCell ref="AJ1609:AK1609"/>
    <mergeCell ref="AO1609:AP1609"/>
    <mergeCell ref="Z1610:AA1610"/>
    <mergeCell ref="AE1610:AF1610"/>
    <mergeCell ref="AJ1610:AK1610"/>
    <mergeCell ref="AO1610:AP1610"/>
    <mergeCell ref="Z1611:AA1611"/>
    <mergeCell ref="AE1611:AF1611"/>
    <mergeCell ref="AJ1611:AK1611"/>
    <mergeCell ref="AO1611:AP1611"/>
    <mergeCell ref="Z1606:AA1606"/>
    <mergeCell ref="AE1606:AF1606"/>
    <mergeCell ref="AJ1606:AK1606"/>
    <mergeCell ref="AO1606:AP1606"/>
    <mergeCell ref="Z1607:AA1607"/>
    <mergeCell ref="AE1607:AF1607"/>
    <mergeCell ref="AJ1607:AK1607"/>
    <mergeCell ref="AO1607:AP1607"/>
    <mergeCell ref="Z1608:AA1608"/>
    <mergeCell ref="AE1608:AF1608"/>
    <mergeCell ref="AJ1608:AK1608"/>
    <mergeCell ref="AO1608:AP1608"/>
    <mergeCell ref="Z1603:AA1603"/>
    <mergeCell ref="AE1603:AF1603"/>
    <mergeCell ref="AJ1603:AK1603"/>
    <mergeCell ref="AO1603:AP1603"/>
    <mergeCell ref="Z1604:AA1604"/>
    <mergeCell ref="AE1604:AF1604"/>
    <mergeCell ref="AJ1604:AK1604"/>
    <mergeCell ref="AO1604:AP1604"/>
    <mergeCell ref="Z1605:AA1605"/>
    <mergeCell ref="AE1605:AF1605"/>
    <mergeCell ref="AJ1605:AK1605"/>
    <mergeCell ref="AO1605:AP1605"/>
    <mergeCell ref="Z1600:AA1600"/>
    <mergeCell ref="AE1600:AF1600"/>
    <mergeCell ref="AJ1600:AK1600"/>
    <mergeCell ref="AO1600:AP1600"/>
    <mergeCell ref="Z1601:AA1601"/>
    <mergeCell ref="AE1601:AF1601"/>
    <mergeCell ref="AJ1601:AK1601"/>
    <mergeCell ref="AO1601:AP1601"/>
    <mergeCell ref="Z1602:AA1602"/>
    <mergeCell ref="AE1602:AF1602"/>
    <mergeCell ref="AJ1602:AK1602"/>
    <mergeCell ref="AO1602:AP1602"/>
    <mergeCell ref="Z1597:AA1597"/>
    <mergeCell ref="AE1597:AF1597"/>
    <mergeCell ref="AJ1597:AK1597"/>
    <mergeCell ref="AO1597:AP1597"/>
    <mergeCell ref="Z1598:AA1598"/>
    <mergeCell ref="AE1598:AF1598"/>
    <mergeCell ref="AJ1598:AK1598"/>
    <mergeCell ref="AO1598:AP1598"/>
    <mergeCell ref="Z1599:AA1599"/>
    <mergeCell ref="AE1599:AF1599"/>
    <mergeCell ref="AJ1599:AK1599"/>
    <mergeCell ref="AO1599:AP1599"/>
    <mergeCell ref="Z1594:AA1594"/>
    <mergeCell ref="AE1594:AF1594"/>
    <mergeCell ref="AJ1594:AK1594"/>
    <mergeCell ref="AO1594:AP1594"/>
    <mergeCell ref="Z1595:AA1595"/>
    <mergeCell ref="AE1595:AF1595"/>
    <mergeCell ref="AJ1595:AK1595"/>
    <mergeCell ref="AO1595:AP1595"/>
    <mergeCell ref="Z1596:AA1596"/>
    <mergeCell ref="AE1596:AF1596"/>
    <mergeCell ref="AJ1596:AK1596"/>
    <mergeCell ref="AO1596:AP1596"/>
    <mergeCell ref="Z1591:AA1591"/>
    <mergeCell ref="AE1591:AF1591"/>
    <mergeCell ref="AJ1591:AK1591"/>
    <mergeCell ref="AO1591:AP1591"/>
    <mergeCell ref="Z1592:AA1592"/>
    <mergeCell ref="AE1592:AF1592"/>
    <mergeCell ref="AJ1592:AK1592"/>
    <mergeCell ref="AO1592:AP1592"/>
    <mergeCell ref="Z1593:AA1593"/>
    <mergeCell ref="AE1593:AF1593"/>
    <mergeCell ref="AJ1593:AK1593"/>
    <mergeCell ref="AO1593:AP1593"/>
    <mergeCell ref="Z1588:AA1588"/>
    <mergeCell ref="AE1588:AF1588"/>
    <mergeCell ref="AJ1588:AK1588"/>
    <mergeCell ref="AO1588:AP1588"/>
    <mergeCell ref="Z1589:AA1589"/>
    <mergeCell ref="AE1589:AF1589"/>
    <mergeCell ref="AJ1589:AK1589"/>
    <mergeCell ref="AO1589:AP1589"/>
    <mergeCell ref="Z1590:AA1590"/>
    <mergeCell ref="AE1590:AF1590"/>
    <mergeCell ref="AJ1590:AK1590"/>
    <mergeCell ref="AO1590:AP1590"/>
    <mergeCell ref="Z1585:AA1585"/>
    <mergeCell ref="AE1585:AF1585"/>
    <mergeCell ref="AJ1585:AK1585"/>
    <mergeCell ref="AO1585:AP1585"/>
    <mergeCell ref="Z1586:AA1586"/>
    <mergeCell ref="AE1586:AF1586"/>
    <mergeCell ref="AJ1586:AK1586"/>
    <mergeCell ref="AO1586:AP1586"/>
    <mergeCell ref="Z1587:AA1587"/>
    <mergeCell ref="AE1587:AF1587"/>
    <mergeCell ref="AJ1587:AK1587"/>
    <mergeCell ref="AO1587:AP1587"/>
    <mergeCell ref="Z1582:AA1582"/>
    <mergeCell ref="AE1582:AF1582"/>
    <mergeCell ref="AJ1582:AK1582"/>
    <mergeCell ref="AO1582:AP1582"/>
    <mergeCell ref="Z1583:AA1583"/>
    <mergeCell ref="AE1583:AF1583"/>
    <mergeCell ref="AJ1583:AK1583"/>
    <mergeCell ref="AO1583:AP1583"/>
    <mergeCell ref="Z1584:AA1584"/>
    <mergeCell ref="AE1584:AF1584"/>
    <mergeCell ref="AJ1584:AK1584"/>
    <mergeCell ref="AO1584:AP1584"/>
    <mergeCell ref="Z1579:AA1579"/>
    <mergeCell ref="AE1579:AF1579"/>
    <mergeCell ref="AJ1579:AK1579"/>
    <mergeCell ref="AO1579:AP1579"/>
    <mergeCell ref="Z1580:AA1580"/>
    <mergeCell ref="AE1580:AF1580"/>
    <mergeCell ref="AJ1580:AK1580"/>
    <mergeCell ref="AO1580:AP1580"/>
    <mergeCell ref="Z1581:AA1581"/>
    <mergeCell ref="AE1581:AF1581"/>
    <mergeCell ref="AJ1581:AK1581"/>
    <mergeCell ref="AO1581:AP1581"/>
    <mergeCell ref="Z1576:AA1576"/>
    <mergeCell ref="AE1576:AF1576"/>
    <mergeCell ref="AJ1576:AK1576"/>
    <mergeCell ref="AO1576:AP1576"/>
    <mergeCell ref="Z1577:AA1577"/>
    <mergeCell ref="AE1577:AF1577"/>
    <mergeCell ref="AJ1577:AK1577"/>
    <mergeCell ref="AO1577:AP1577"/>
    <mergeCell ref="Z1578:AA1578"/>
    <mergeCell ref="AE1578:AF1578"/>
    <mergeCell ref="AJ1578:AK1578"/>
    <mergeCell ref="AO1578:AP1578"/>
    <mergeCell ref="Z1573:AA1573"/>
    <mergeCell ref="AE1573:AF1573"/>
    <mergeCell ref="AJ1573:AK1573"/>
    <mergeCell ref="AO1573:AP1573"/>
    <mergeCell ref="Z1574:AA1574"/>
    <mergeCell ref="AE1574:AF1574"/>
    <mergeCell ref="AJ1574:AK1574"/>
    <mergeCell ref="AO1574:AP1574"/>
    <mergeCell ref="Z1575:AA1575"/>
    <mergeCell ref="AE1575:AF1575"/>
    <mergeCell ref="AJ1575:AK1575"/>
    <mergeCell ref="AO1575:AP1575"/>
    <mergeCell ref="Z1570:AA1570"/>
    <mergeCell ref="AE1570:AF1570"/>
    <mergeCell ref="AJ1570:AK1570"/>
    <mergeCell ref="AO1570:AP1570"/>
    <mergeCell ref="Z1571:AA1571"/>
    <mergeCell ref="AE1571:AF1571"/>
    <mergeCell ref="AJ1571:AK1571"/>
    <mergeCell ref="AO1571:AP1571"/>
    <mergeCell ref="Z1572:AA1572"/>
    <mergeCell ref="AE1572:AF1572"/>
    <mergeCell ref="AJ1572:AK1572"/>
    <mergeCell ref="AO1572:AP1572"/>
    <mergeCell ref="Z1567:AA1567"/>
    <mergeCell ref="AE1567:AF1567"/>
    <mergeCell ref="AJ1567:AK1567"/>
    <mergeCell ref="AO1567:AP1567"/>
    <mergeCell ref="Z1568:AA1568"/>
    <mergeCell ref="AE1568:AF1568"/>
    <mergeCell ref="AJ1568:AK1568"/>
    <mergeCell ref="AO1568:AP1568"/>
    <mergeCell ref="Z1569:AA1569"/>
    <mergeCell ref="AE1569:AF1569"/>
    <mergeCell ref="AJ1569:AK1569"/>
    <mergeCell ref="AO1569:AP1569"/>
    <mergeCell ref="Z1564:AA1564"/>
    <mergeCell ref="AE1564:AF1564"/>
    <mergeCell ref="AJ1564:AK1564"/>
    <mergeCell ref="AO1564:AP1564"/>
    <mergeCell ref="Z1565:AA1565"/>
    <mergeCell ref="AE1565:AF1565"/>
    <mergeCell ref="AJ1565:AK1565"/>
    <mergeCell ref="AO1565:AP1565"/>
    <mergeCell ref="Z1566:AA1566"/>
    <mergeCell ref="AE1566:AF1566"/>
    <mergeCell ref="AJ1566:AK1566"/>
    <mergeCell ref="AO1566:AP1566"/>
    <mergeCell ref="Z1561:AA1561"/>
    <mergeCell ref="AE1561:AF1561"/>
    <mergeCell ref="AJ1561:AK1561"/>
    <mergeCell ref="AO1561:AP1561"/>
    <mergeCell ref="Z1562:AA1562"/>
    <mergeCell ref="AE1562:AF1562"/>
    <mergeCell ref="AJ1562:AK1562"/>
    <mergeCell ref="AO1562:AP1562"/>
    <mergeCell ref="Z1563:AA1563"/>
    <mergeCell ref="AE1563:AF1563"/>
    <mergeCell ref="AJ1563:AK1563"/>
    <mergeCell ref="AO1563:AP1563"/>
    <mergeCell ref="Z1558:AA1558"/>
    <mergeCell ref="AE1558:AF1558"/>
    <mergeCell ref="AJ1558:AK1558"/>
    <mergeCell ref="AO1558:AP1558"/>
    <mergeCell ref="Z1559:AA1559"/>
    <mergeCell ref="AE1559:AF1559"/>
    <mergeCell ref="AJ1559:AK1559"/>
    <mergeCell ref="AO1559:AP1559"/>
    <mergeCell ref="Z1560:AA1560"/>
    <mergeCell ref="AE1560:AF1560"/>
    <mergeCell ref="AJ1560:AK1560"/>
    <mergeCell ref="AO1560:AP1560"/>
    <mergeCell ref="Z1555:AA1555"/>
    <mergeCell ref="AE1555:AF1555"/>
    <mergeCell ref="AJ1555:AK1555"/>
    <mergeCell ref="AO1555:AP1555"/>
    <mergeCell ref="Z1556:AA1556"/>
    <mergeCell ref="AE1556:AF1556"/>
    <mergeCell ref="AJ1556:AK1556"/>
    <mergeCell ref="AO1556:AP1556"/>
    <mergeCell ref="Z1557:AA1557"/>
    <mergeCell ref="AE1557:AF1557"/>
    <mergeCell ref="AJ1557:AK1557"/>
    <mergeCell ref="AO1557:AP1557"/>
    <mergeCell ref="Z1552:AA1552"/>
    <mergeCell ref="AE1552:AF1552"/>
    <mergeCell ref="AJ1552:AK1552"/>
    <mergeCell ref="AO1552:AP1552"/>
    <mergeCell ref="Z1553:AA1553"/>
    <mergeCell ref="AE1553:AF1553"/>
    <mergeCell ref="AJ1553:AK1553"/>
    <mergeCell ref="AO1553:AP1553"/>
    <mergeCell ref="Z1554:AA1554"/>
    <mergeCell ref="AE1554:AF1554"/>
    <mergeCell ref="AJ1554:AK1554"/>
    <mergeCell ref="AO1554:AP1554"/>
    <mergeCell ref="Z1549:AA1549"/>
    <mergeCell ref="AE1549:AF1549"/>
    <mergeCell ref="AJ1549:AK1549"/>
    <mergeCell ref="AO1549:AP1549"/>
    <mergeCell ref="Z1550:AA1550"/>
    <mergeCell ref="AE1550:AF1550"/>
    <mergeCell ref="AJ1550:AK1550"/>
    <mergeCell ref="AO1550:AP1550"/>
    <mergeCell ref="Z1551:AA1551"/>
    <mergeCell ref="AE1551:AF1551"/>
    <mergeCell ref="AJ1551:AK1551"/>
    <mergeCell ref="AO1551:AP1551"/>
    <mergeCell ref="Z1546:AA1546"/>
    <mergeCell ref="AE1546:AF1546"/>
    <mergeCell ref="AJ1546:AK1546"/>
    <mergeCell ref="AO1546:AP1546"/>
    <mergeCell ref="Z1547:AA1547"/>
    <mergeCell ref="AE1547:AF1547"/>
    <mergeCell ref="AJ1547:AK1547"/>
    <mergeCell ref="AO1547:AP1547"/>
    <mergeCell ref="Z1548:AA1548"/>
    <mergeCell ref="AE1548:AF1548"/>
    <mergeCell ref="AJ1548:AK1548"/>
    <mergeCell ref="AO1548:AP1548"/>
    <mergeCell ref="Z1543:AA1543"/>
    <mergeCell ref="AE1543:AF1543"/>
    <mergeCell ref="AJ1543:AK1543"/>
    <mergeCell ref="AO1543:AP1543"/>
    <mergeCell ref="Z1544:AA1544"/>
    <mergeCell ref="AE1544:AF1544"/>
    <mergeCell ref="AJ1544:AK1544"/>
    <mergeCell ref="AO1544:AP1544"/>
    <mergeCell ref="Z1545:AA1545"/>
    <mergeCell ref="AE1545:AF1545"/>
    <mergeCell ref="AJ1545:AK1545"/>
    <mergeCell ref="AO1545:AP1545"/>
    <mergeCell ref="Z1540:AA1540"/>
    <mergeCell ref="AE1540:AF1540"/>
    <mergeCell ref="AJ1540:AK1540"/>
    <mergeCell ref="AO1540:AP1540"/>
    <mergeCell ref="Z1541:AA1541"/>
    <mergeCell ref="AE1541:AF1541"/>
    <mergeCell ref="AJ1541:AK1541"/>
    <mergeCell ref="AO1541:AP1541"/>
    <mergeCell ref="Z1542:AA1542"/>
    <mergeCell ref="AE1542:AF1542"/>
    <mergeCell ref="AJ1542:AK1542"/>
    <mergeCell ref="AO1542:AP1542"/>
    <mergeCell ref="Z1537:AA1537"/>
    <mergeCell ref="AE1537:AF1537"/>
    <mergeCell ref="AJ1537:AK1537"/>
    <mergeCell ref="AO1537:AP1537"/>
    <mergeCell ref="Z1538:AA1538"/>
    <mergeCell ref="AE1538:AF1538"/>
    <mergeCell ref="AJ1538:AK1538"/>
    <mergeCell ref="AO1538:AP1538"/>
    <mergeCell ref="Z1539:AA1539"/>
    <mergeCell ref="AE1539:AF1539"/>
    <mergeCell ref="AJ1539:AK1539"/>
    <mergeCell ref="AO1539:AP1539"/>
    <mergeCell ref="Z1534:AA1534"/>
    <mergeCell ref="AE1534:AF1534"/>
    <mergeCell ref="AJ1534:AK1534"/>
    <mergeCell ref="AO1534:AP1534"/>
    <mergeCell ref="Z1535:AA1535"/>
    <mergeCell ref="AE1535:AF1535"/>
    <mergeCell ref="AJ1535:AK1535"/>
    <mergeCell ref="AO1535:AP1535"/>
    <mergeCell ref="Z1536:AA1536"/>
    <mergeCell ref="AE1536:AF1536"/>
    <mergeCell ref="AJ1536:AK1536"/>
    <mergeCell ref="AO1536:AP1536"/>
    <mergeCell ref="Z1531:AA1531"/>
    <mergeCell ref="AE1531:AF1531"/>
    <mergeCell ref="AJ1531:AK1531"/>
    <mergeCell ref="AO1531:AP1531"/>
    <mergeCell ref="Z1532:AA1532"/>
    <mergeCell ref="AE1532:AF1532"/>
    <mergeCell ref="AJ1532:AK1532"/>
    <mergeCell ref="AO1532:AP1532"/>
    <mergeCell ref="Z1533:AA1533"/>
    <mergeCell ref="AE1533:AF1533"/>
    <mergeCell ref="AJ1533:AK1533"/>
    <mergeCell ref="AO1533:AP1533"/>
    <mergeCell ref="Z1528:AA1528"/>
    <mergeCell ref="AE1528:AF1528"/>
    <mergeCell ref="AJ1528:AK1528"/>
    <mergeCell ref="AO1528:AP1528"/>
    <mergeCell ref="Z1529:AA1529"/>
    <mergeCell ref="AE1529:AF1529"/>
    <mergeCell ref="AJ1529:AK1529"/>
    <mergeCell ref="AO1529:AP1529"/>
    <mergeCell ref="Z1530:AA1530"/>
    <mergeCell ref="AE1530:AF1530"/>
    <mergeCell ref="AJ1530:AK1530"/>
    <mergeCell ref="AO1530:AP1530"/>
    <mergeCell ref="Z1525:AA1525"/>
    <mergeCell ref="AE1525:AF1525"/>
    <mergeCell ref="AJ1525:AK1525"/>
    <mergeCell ref="AO1525:AP1525"/>
    <mergeCell ref="Z1526:AA1526"/>
    <mergeCell ref="AE1526:AF1526"/>
    <mergeCell ref="AJ1526:AK1526"/>
    <mergeCell ref="AO1526:AP1526"/>
    <mergeCell ref="Z1527:AA1527"/>
    <mergeCell ref="AE1527:AF1527"/>
    <mergeCell ref="AJ1527:AK1527"/>
    <mergeCell ref="AO1527:AP1527"/>
    <mergeCell ref="Z1522:AA1522"/>
    <mergeCell ref="AE1522:AF1522"/>
    <mergeCell ref="AJ1522:AK1522"/>
    <mergeCell ref="AO1522:AP1522"/>
    <mergeCell ref="Z1523:AA1523"/>
    <mergeCell ref="AE1523:AF1523"/>
    <mergeCell ref="AJ1523:AK1523"/>
    <mergeCell ref="AO1523:AP1523"/>
    <mergeCell ref="Z1524:AA1524"/>
    <mergeCell ref="AE1524:AF1524"/>
    <mergeCell ref="AJ1524:AK1524"/>
    <mergeCell ref="AO1524:AP1524"/>
    <mergeCell ref="Z1519:AA1519"/>
    <mergeCell ref="AE1519:AF1519"/>
    <mergeCell ref="AJ1519:AK1519"/>
    <mergeCell ref="AO1519:AP1519"/>
    <mergeCell ref="Z1520:AA1520"/>
    <mergeCell ref="AE1520:AF1520"/>
    <mergeCell ref="AJ1520:AK1520"/>
    <mergeCell ref="AO1520:AP1520"/>
    <mergeCell ref="Z1521:AA1521"/>
    <mergeCell ref="AE1521:AF1521"/>
    <mergeCell ref="AJ1521:AK1521"/>
    <mergeCell ref="AO1521:AP1521"/>
    <mergeCell ref="Z1516:AA1516"/>
    <mergeCell ref="AE1516:AF1516"/>
    <mergeCell ref="AJ1516:AK1516"/>
    <mergeCell ref="AO1516:AP1516"/>
    <mergeCell ref="Z1517:AA1517"/>
    <mergeCell ref="AE1517:AF1517"/>
    <mergeCell ref="AJ1517:AK1517"/>
    <mergeCell ref="AO1517:AP1517"/>
    <mergeCell ref="Z1518:AA1518"/>
    <mergeCell ref="AE1518:AF1518"/>
    <mergeCell ref="AJ1518:AK1518"/>
    <mergeCell ref="AO1518:AP1518"/>
    <mergeCell ref="Z1513:AA1513"/>
    <mergeCell ref="AE1513:AF1513"/>
    <mergeCell ref="AJ1513:AK1513"/>
    <mergeCell ref="AO1513:AP1513"/>
    <mergeCell ref="Z1514:AA1514"/>
    <mergeCell ref="AE1514:AF1514"/>
    <mergeCell ref="AJ1514:AK1514"/>
    <mergeCell ref="AO1514:AP1514"/>
    <mergeCell ref="Z1515:AA1515"/>
    <mergeCell ref="AE1515:AF1515"/>
    <mergeCell ref="AJ1515:AK1515"/>
    <mergeCell ref="AO1515:AP1515"/>
    <mergeCell ref="Z1510:AA1510"/>
    <mergeCell ref="AE1510:AF1510"/>
    <mergeCell ref="AJ1510:AK1510"/>
    <mergeCell ref="AO1510:AP1510"/>
    <mergeCell ref="Z1511:AA1511"/>
    <mergeCell ref="AE1511:AF1511"/>
    <mergeCell ref="AJ1511:AK1511"/>
    <mergeCell ref="AO1511:AP1511"/>
    <mergeCell ref="Z1512:AA1512"/>
    <mergeCell ref="AE1512:AF1512"/>
    <mergeCell ref="AJ1512:AK1512"/>
    <mergeCell ref="AO1512:AP1512"/>
    <mergeCell ref="Z1507:AA1507"/>
    <mergeCell ref="AE1507:AF1507"/>
    <mergeCell ref="AJ1507:AK1507"/>
    <mergeCell ref="AO1507:AP1507"/>
    <mergeCell ref="Z1508:AA1508"/>
    <mergeCell ref="AE1508:AF1508"/>
    <mergeCell ref="AJ1508:AK1508"/>
    <mergeCell ref="AO1508:AP1508"/>
    <mergeCell ref="Z1509:AA1509"/>
    <mergeCell ref="AE1509:AF1509"/>
    <mergeCell ref="AJ1509:AK1509"/>
    <mergeCell ref="AO1509:AP1509"/>
    <mergeCell ref="Z1504:AA1504"/>
    <mergeCell ref="AE1504:AF1504"/>
    <mergeCell ref="AJ1504:AK1504"/>
    <mergeCell ref="AO1504:AP1504"/>
    <mergeCell ref="Z1505:AA1505"/>
    <mergeCell ref="AE1505:AF1505"/>
    <mergeCell ref="AJ1505:AK1505"/>
    <mergeCell ref="AO1505:AP1505"/>
    <mergeCell ref="Z1506:AA1506"/>
    <mergeCell ref="AE1506:AF1506"/>
    <mergeCell ref="AJ1506:AK1506"/>
    <mergeCell ref="AO1506:AP1506"/>
    <mergeCell ref="Z1501:AA1501"/>
    <mergeCell ref="AE1501:AF1501"/>
    <mergeCell ref="AJ1501:AK1501"/>
    <mergeCell ref="AO1501:AP1501"/>
    <mergeCell ref="Z1502:AA1502"/>
    <mergeCell ref="AE1502:AF1502"/>
    <mergeCell ref="AJ1502:AK1502"/>
    <mergeCell ref="AO1502:AP1502"/>
    <mergeCell ref="Z1503:AA1503"/>
    <mergeCell ref="AE1503:AF1503"/>
    <mergeCell ref="AJ1503:AK1503"/>
    <mergeCell ref="AO1503:AP1503"/>
    <mergeCell ref="Z1498:AA1498"/>
    <mergeCell ref="AE1498:AF1498"/>
    <mergeCell ref="AJ1498:AK1498"/>
    <mergeCell ref="AO1498:AP1498"/>
    <mergeCell ref="Z1499:AA1499"/>
    <mergeCell ref="AE1499:AF1499"/>
    <mergeCell ref="AJ1499:AK1499"/>
    <mergeCell ref="AO1499:AP1499"/>
    <mergeCell ref="Z1500:AA1500"/>
    <mergeCell ref="AE1500:AF1500"/>
    <mergeCell ref="AJ1500:AK1500"/>
    <mergeCell ref="AO1500:AP1500"/>
    <mergeCell ref="Z1495:AA1495"/>
    <mergeCell ref="AE1495:AF1495"/>
    <mergeCell ref="AJ1495:AK1495"/>
    <mergeCell ref="AO1495:AP1495"/>
    <mergeCell ref="Z1496:AA1496"/>
    <mergeCell ref="AE1496:AF1496"/>
    <mergeCell ref="AJ1496:AK1496"/>
    <mergeCell ref="AO1496:AP1496"/>
    <mergeCell ref="Z1497:AA1497"/>
    <mergeCell ref="AE1497:AF1497"/>
    <mergeCell ref="AJ1497:AK1497"/>
    <mergeCell ref="AO1497:AP1497"/>
    <mergeCell ref="Z1492:AA1492"/>
    <mergeCell ref="AE1492:AF1492"/>
    <mergeCell ref="AJ1492:AK1492"/>
    <mergeCell ref="AO1492:AP1492"/>
    <mergeCell ref="Z1493:AA1493"/>
    <mergeCell ref="AE1493:AF1493"/>
    <mergeCell ref="AJ1493:AK1493"/>
    <mergeCell ref="AO1493:AP1493"/>
    <mergeCell ref="Z1494:AA1494"/>
    <mergeCell ref="AE1494:AF1494"/>
    <mergeCell ref="AJ1494:AK1494"/>
    <mergeCell ref="AO1494:AP1494"/>
    <mergeCell ref="Z1489:AA1489"/>
    <mergeCell ref="AE1489:AF1489"/>
    <mergeCell ref="AJ1489:AK1489"/>
    <mergeCell ref="AO1489:AP1489"/>
    <mergeCell ref="Z1490:AA1490"/>
    <mergeCell ref="AE1490:AF1490"/>
    <mergeCell ref="AJ1490:AK1490"/>
    <mergeCell ref="AO1490:AP1490"/>
    <mergeCell ref="Z1491:AA1491"/>
    <mergeCell ref="AE1491:AF1491"/>
    <mergeCell ref="AJ1491:AK1491"/>
    <mergeCell ref="AO1491:AP1491"/>
    <mergeCell ref="Z1486:AA1486"/>
    <mergeCell ref="AE1486:AF1486"/>
    <mergeCell ref="AJ1486:AK1486"/>
    <mergeCell ref="AO1486:AP1486"/>
    <mergeCell ref="Z1487:AA1487"/>
    <mergeCell ref="AE1487:AF1487"/>
    <mergeCell ref="AJ1487:AK1487"/>
    <mergeCell ref="AO1487:AP1487"/>
    <mergeCell ref="Z1488:AA1488"/>
    <mergeCell ref="AE1488:AF1488"/>
    <mergeCell ref="AJ1488:AK1488"/>
    <mergeCell ref="AO1488:AP1488"/>
    <mergeCell ref="Z1483:AA1483"/>
    <mergeCell ref="AE1483:AF1483"/>
    <mergeCell ref="AJ1483:AK1483"/>
    <mergeCell ref="AO1483:AP1483"/>
    <mergeCell ref="Z1484:AA1484"/>
    <mergeCell ref="AE1484:AF1484"/>
    <mergeCell ref="AJ1484:AK1484"/>
    <mergeCell ref="AO1484:AP1484"/>
    <mergeCell ref="Z1485:AA1485"/>
    <mergeCell ref="AE1485:AF1485"/>
    <mergeCell ref="AJ1485:AK1485"/>
    <mergeCell ref="AO1485:AP1485"/>
    <mergeCell ref="Z1480:AA1480"/>
    <mergeCell ref="AE1480:AF1480"/>
    <mergeCell ref="AJ1480:AK1480"/>
    <mergeCell ref="AO1480:AP1480"/>
    <mergeCell ref="Z1481:AA1481"/>
    <mergeCell ref="AE1481:AF1481"/>
    <mergeCell ref="AJ1481:AK1481"/>
    <mergeCell ref="AO1481:AP1481"/>
    <mergeCell ref="Z1482:AA1482"/>
    <mergeCell ref="AE1482:AF1482"/>
    <mergeCell ref="AJ1482:AK1482"/>
    <mergeCell ref="AO1482:AP1482"/>
    <mergeCell ref="Z1477:AA1477"/>
    <mergeCell ref="AE1477:AF1477"/>
    <mergeCell ref="AJ1477:AK1477"/>
    <mergeCell ref="AO1477:AP1477"/>
    <mergeCell ref="Z1478:AA1478"/>
    <mergeCell ref="AE1478:AF1478"/>
    <mergeCell ref="AJ1478:AK1478"/>
    <mergeCell ref="AO1478:AP1478"/>
    <mergeCell ref="Z1479:AA1479"/>
    <mergeCell ref="AE1479:AF1479"/>
    <mergeCell ref="AJ1479:AK1479"/>
    <mergeCell ref="AO1479:AP1479"/>
    <mergeCell ref="Z1474:AA1474"/>
    <mergeCell ref="AE1474:AF1474"/>
    <mergeCell ref="AJ1474:AK1474"/>
    <mergeCell ref="AO1474:AP1474"/>
    <mergeCell ref="Z1475:AA1475"/>
    <mergeCell ref="AE1475:AF1475"/>
    <mergeCell ref="AJ1475:AK1475"/>
    <mergeCell ref="AO1475:AP1475"/>
    <mergeCell ref="Z1476:AA1476"/>
    <mergeCell ref="AE1476:AF1476"/>
    <mergeCell ref="AJ1476:AK1476"/>
    <mergeCell ref="AO1476:AP1476"/>
    <mergeCell ref="Z1471:AA1471"/>
    <mergeCell ref="AE1471:AF1471"/>
    <mergeCell ref="AJ1471:AK1471"/>
    <mergeCell ref="AO1471:AP1471"/>
    <mergeCell ref="Z1472:AA1472"/>
    <mergeCell ref="AE1472:AF1472"/>
    <mergeCell ref="AJ1472:AK1472"/>
    <mergeCell ref="AO1472:AP1472"/>
    <mergeCell ref="Z1473:AA1473"/>
    <mergeCell ref="AE1473:AF1473"/>
    <mergeCell ref="AJ1473:AK1473"/>
    <mergeCell ref="AO1473:AP1473"/>
    <mergeCell ref="Z1468:AA1468"/>
    <mergeCell ref="AE1468:AF1468"/>
    <mergeCell ref="AJ1468:AK1468"/>
    <mergeCell ref="AO1468:AP1468"/>
    <mergeCell ref="Z1469:AA1469"/>
    <mergeCell ref="AE1469:AF1469"/>
    <mergeCell ref="AJ1469:AK1469"/>
    <mergeCell ref="AO1469:AP1469"/>
    <mergeCell ref="Z1470:AA1470"/>
    <mergeCell ref="AE1470:AF1470"/>
    <mergeCell ref="AJ1470:AK1470"/>
    <mergeCell ref="AO1470:AP1470"/>
    <mergeCell ref="Z1465:AA1465"/>
    <mergeCell ref="AE1465:AF1465"/>
    <mergeCell ref="AJ1465:AK1465"/>
    <mergeCell ref="AO1465:AP1465"/>
    <mergeCell ref="Z1466:AA1466"/>
    <mergeCell ref="AE1466:AF1466"/>
    <mergeCell ref="AJ1466:AK1466"/>
    <mergeCell ref="AO1466:AP1466"/>
    <mergeCell ref="Z1467:AA1467"/>
    <mergeCell ref="AE1467:AF1467"/>
    <mergeCell ref="AJ1467:AK1467"/>
    <mergeCell ref="AO1467:AP1467"/>
    <mergeCell ref="Z1462:AA1462"/>
    <mergeCell ref="AE1462:AF1462"/>
    <mergeCell ref="AJ1462:AK1462"/>
    <mergeCell ref="AO1462:AP1462"/>
    <mergeCell ref="Z1463:AA1463"/>
    <mergeCell ref="AE1463:AF1463"/>
    <mergeCell ref="AJ1463:AK1463"/>
    <mergeCell ref="AO1463:AP1463"/>
    <mergeCell ref="Z1464:AA1464"/>
    <mergeCell ref="AE1464:AF1464"/>
    <mergeCell ref="AJ1464:AK1464"/>
    <mergeCell ref="AO1464:AP1464"/>
    <mergeCell ref="Z1459:AA1459"/>
    <mergeCell ref="AE1459:AF1459"/>
    <mergeCell ref="AJ1459:AK1459"/>
    <mergeCell ref="AO1459:AP1459"/>
    <mergeCell ref="Z1460:AA1460"/>
    <mergeCell ref="AE1460:AF1460"/>
    <mergeCell ref="AJ1460:AK1460"/>
    <mergeCell ref="AO1460:AP1460"/>
    <mergeCell ref="Z1461:AA1461"/>
    <mergeCell ref="AE1461:AF1461"/>
    <mergeCell ref="AJ1461:AK1461"/>
    <mergeCell ref="AO1461:AP1461"/>
    <mergeCell ref="Z1456:AA1456"/>
    <mergeCell ref="AE1456:AF1456"/>
    <mergeCell ref="AJ1456:AK1456"/>
    <mergeCell ref="AO1456:AP1456"/>
    <mergeCell ref="Z1457:AA1457"/>
    <mergeCell ref="AE1457:AF1457"/>
    <mergeCell ref="AJ1457:AK1457"/>
    <mergeCell ref="AO1457:AP1457"/>
    <mergeCell ref="Z1458:AA1458"/>
    <mergeCell ref="AE1458:AF1458"/>
    <mergeCell ref="AJ1458:AK1458"/>
    <mergeCell ref="AO1458:AP1458"/>
    <mergeCell ref="Z1453:AA1453"/>
    <mergeCell ref="AE1453:AF1453"/>
    <mergeCell ref="AJ1453:AK1453"/>
    <mergeCell ref="AO1453:AP1453"/>
    <mergeCell ref="Z1454:AA1454"/>
    <mergeCell ref="AE1454:AF1454"/>
    <mergeCell ref="AJ1454:AK1454"/>
    <mergeCell ref="AO1454:AP1454"/>
    <mergeCell ref="Z1455:AA1455"/>
    <mergeCell ref="AE1455:AF1455"/>
    <mergeCell ref="AJ1455:AK1455"/>
    <mergeCell ref="AO1455:AP1455"/>
    <mergeCell ref="Z1450:AA1450"/>
    <mergeCell ref="AE1450:AF1450"/>
    <mergeCell ref="AJ1450:AK1450"/>
    <mergeCell ref="AO1450:AP1450"/>
    <mergeCell ref="Z1451:AA1451"/>
    <mergeCell ref="AE1451:AF1451"/>
    <mergeCell ref="AJ1451:AK1451"/>
    <mergeCell ref="AO1451:AP1451"/>
    <mergeCell ref="Z1452:AA1452"/>
    <mergeCell ref="AE1452:AF1452"/>
    <mergeCell ref="AJ1452:AK1452"/>
    <mergeCell ref="AO1452:AP1452"/>
    <mergeCell ref="Z1447:AA1447"/>
    <mergeCell ref="AE1447:AF1447"/>
    <mergeCell ref="AJ1447:AK1447"/>
    <mergeCell ref="AO1447:AP1447"/>
    <mergeCell ref="Z1448:AA1448"/>
    <mergeCell ref="AE1448:AF1448"/>
    <mergeCell ref="AJ1448:AK1448"/>
    <mergeCell ref="AO1448:AP1448"/>
    <mergeCell ref="Z1449:AA1449"/>
    <mergeCell ref="AE1449:AF1449"/>
    <mergeCell ref="AJ1449:AK1449"/>
    <mergeCell ref="AO1449:AP1449"/>
    <mergeCell ref="Z1444:AA1444"/>
    <mergeCell ref="AE1444:AF1444"/>
    <mergeCell ref="AJ1444:AK1444"/>
    <mergeCell ref="AO1444:AP1444"/>
    <mergeCell ref="Z1445:AA1445"/>
    <mergeCell ref="AE1445:AF1445"/>
    <mergeCell ref="AJ1445:AK1445"/>
    <mergeCell ref="AO1445:AP1445"/>
    <mergeCell ref="Z1446:AA1446"/>
    <mergeCell ref="AE1446:AF1446"/>
    <mergeCell ref="AJ1446:AK1446"/>
    <mergeCell ref="AO1446:AP1446"/>
    <mergeCell ref="Z1441:AA1441"/>
    <mergeCell ref="AE1441:AF1441"/>
    <mergeCell ref="AJ1441:AK1441"/>
    <mergeCell ref="AO1441:AP1441"/>
    <mergeCell ref="Z1442:AA1442"/>
    <mergeCell ref="AE1442:AF1442"/>
    <mergeCell ref="AJ1442:AK1442"/>
    <mergeCell ref="AO1442:AP1442"/>
    <mergeCell ref="Z1443:AA1443"/>
    <mergeCell ref="AE1443:AF1443"/>
    <mergeCell ref="AJ1443:AK1443"/>
    <mergeCell ref="AO1443:AP1443"/>
    <mergeCell ref="Z1438:AA1438"/>
    <mergeCell ref="AE1438:AF1438"/>
    <mergeCell ref="AJ1438:AK1438"/>
    <mergeCell ref="AO1438:AP1438"/>
    <mergeCell ref="Z1439:AA1439"/>
    <mergeCell ref="AE1439:AF1439"/>
    <mergeCell ref="AJ1439:AK1439"/>
    <mergeCell ref="AO1439:AP1439"/>
    <mergeCell ref="Z1440:AA1440"/>
    <mergeCell ref="AE1440:AF1440"/>
    <mergeCell ref="AJ1440:AK1440"/>
    <mergeCell ref="AO1440:AP1440"/>
    <mergeCell ref="Z1435:AA1435"/>
    <mergeCell ref="AE1435:AF1435"/>
    <mergeCell ref="AJ1435:AK1435"/>
    <mergeCell ref="AO1435:AP1435"/>
    <mergeCell ref="Z1436:AA1436"/>
    <mergeCell ref="AE1436:AF1436"/>
    <mergeCell ref="AJ1436:AK1436"/>
    <mergeCell ref="AO1436:AP1436"/>
    <mergeCell ref="Z1437:AA1437"/>
    <mergeCell ref="AE1437:AF1437"/>
    <mergeCell ref="AJ1437:AK1437"/>
    <mergeCell ref="AO1437:AP1437"/>
    <mergeCell ref="Z1432:AA1432"/>
    <mergeCell ref="AE1432:AF1432"/>
    <mergeCell ref="AJ1432:AK1432"/>
    <mergeCell ref="AO1432:AP1432"/>
    <mergeCell ref="Z1433:AA1433"/>
    <mergeCell ref="AE1433:AF1433"/>
    <mergeCell ref="AJ1433:AK1433"/>
    <mergeCell ref="AO1433:AP1433"/>
    <mergeCell ref="Z1434:AA1434"/>
    <mergeCell ref="AE1434:AF1434"/>
    <mergeCell ref="AJ1434:AK1434"/>
    <mergeCell ref="AO1434:AP1434"/>
    <mergeCell ref="Z1429:AA1429"/>
    <mergeCell ref="AE1429:AF1429"/>
    <mergeCell ref="AJ1429:AK1429"/>
    <mergeCell ref="AO1429:AP1429"/>
    <mergeCell ref="Z1430:AA1430"/>
    <mergeCell ref="AE1430:AF1430"/>
    <mergeCell ref="AJ1430:AK1430"/>
    <mergeCell ref="AO1430:AP1430"/>
    <mergeCell ref="Z1431:AA1431"/>
    <mergeCell ref="AE1431:AF1431"/>
    <mergeCell ref="AJ1431:AK1431"/>
    <mergeCell ref="AO1431:AP1431"/>
    <mergeCell ref="Z1426:AA1426"/>
    <mergeCell ref="AE1426:AF1426"/>
    <mergeCell ref="AJ1426:AK1426"/>
    <mergeCell ref="AO1426:AP1426"/>
    <mergeCell ref="Z1427:AA1427"/>
    <mergeCell ref="AE1427:AF1427"/>
    <mergeCell ref="AJ1427:AK1427"/>
    <mergeCell ref="AO1427:AP1427"/>
    <mergeCell ref="Z1428:AA1428"/>
    <mergeCell ref="AE1428:AF1428"/>
    <mergeCell ref="AJ1428:AK1428"/>
    <mergeCell ref="AO1428:AP1428"/>
    <mergeCell ref="Z1423:AA1423"/>
    <mergeCell ref="AE1423:AF1423"/>
    <mergeCell ref="AJ1423:AK1423"/>
    <mergeCell ref="AO1423:AP1423"/>
    <mergeCell ref="Z1424:AA1424"/>
    <mergeCell ref="AE1424:AF1424"/>
    <mergeCell ref="AJ1424:AK1424"/>
    <mergeCell ref="AO1424:AP1424"/>
    <mergeCell ref="Z1425:AA1425"/>
    <mergeCell ref="AE1425:AF1425"/>
    <mergeCell ref="AJ1425:AK1425"/>
    <mergeCell ref="AO1425:AP1425"/>
    <mergeCell ref="Z1420:AA1420"/>
    <mergeCell ref="AE1420:AF1420"/>
    <mergeCell ref="AJ1420:AK1420"/>
    <mergeCell ref="AO1420:AP1420"/>
    <mergeCell ref="Z1421:AA1421"/>
    <mergeCell ref="AE1421:AF1421"/>
    <mergeCell ref="AJ1421:AK1421"/>
    <mergeCell ref="AO1421:AP1421"/>
    <mergeCell ref="Z1422:AA1422"/>
    <mergeCell ref="AE1422:AF1422"/>
    <mergeCell ref="AJ1422:AK1422"/>
    <mergeCell ref="AO1422:AP1422"/>
    <mergeCell ref="Z1417:AA1417"/>
    <mergeCell ref="AE1417:AF1417"/>
    <mergeCell ref="AJ1417:AK1417"/>
    <mergeCell ref="AO1417:AP1417"/>
    <mergeCell ref="Z1418:AA1418"/>
    <mergeCell ref="AE1418:AF1418"/>
    <mergeCell ref="AJ1418:AK1418"/>
    <mergeCell ref="AO1418:AP1418"/>
    <mergeCell ref="Z1419:AA1419"/>
    <mergeCell ref="AE1419:AF1419"/>
    <mergeCell ref="AJ1419:AK1419"/>
    <mergeCell ref="AO1419:AP1419"/>
    <mergeCell ref="Z1414:AA1414"/>
    <mergeCell ref="AE1414:AF1414"/>
    <mergeCell ref="AJ1414:AK1414"/>
    <mergeCell ref="AO1414:AP1414"/>
    <mergeCell ref="Z1415:AA1415"/>
    <mergeCell ref="AE1415:AF1415"/>
    <mergeCell ref="AJ1415:AK1415"/>
    <mergeCell ref="AO1415:AP1415"/>
    <mergeCell ref="Z1416:AA1416"/>
    <mergeCell ref="AE1416:AF1416"/>
    <mergeCell ref="AJ1416:AK1416"/>
    <mergeCell ref="AO1416:AP1416"/>
    <mergeCell ref="Z1411:AA1411"/>
    <mergeCell ref="AE1411:AF1411"/>
    <mergeCell ref="AJ1411:AK1411"/>
    <mergeCell ref="AO1411:AP1411"/>
    <mergeCell ref="Z1412:AA1412"/>
    <mergeCell ref="AE1412:AF1412"/>
    <mergeCell ref="AJ1412:AK1412"/>
    <mergeCell ref="AO1412:AP1412"/>
    <mergeCell ref="Z1413:AA1413"/>
    <mergeCell ref="AE1413:AF1413"/>
    <mergeCell ref="AJ1413:AK1413"/>
    <mergeCell ref="AO1413:AP1413"/>
    <mergeCell ref="Z1408:AA1408"/>
    <mergeCell ref="AE1408:AF1408"/>
    <mergeCell ref="AJ1408:AK1408"/>
    <mergeCell ref="AO1408:AP1408"/>
    <mergeCell ref="Z1409:AA1409"/>
    <mergeCell ref="AE1409:AF1409"/>
    <mergeCell ref="AJ1409:AK1409"/>
    <mergeCell ref="AO1409:AP1409"/>
    <mergeCell ref="Z1410:AA1410"/>
    <mergeCell ref="AE1410:AF1410"/>
    <mergeCell ref="AJ1410:AK1410"/>
    <mergeCell ref="AO1410:AP1410"/>
    <mergeCell ref="Z1405:AA1405"/>
    <mergeCell ref="AE1405:AF1405"/>
    <mergeCell ref="AJ1405:AK1405"/>
    <mergeCell ref="AO1405:AP1405"/>
    <mergeCell ref="Z1406:AA1406"/>
    <mergeCell ref="AE1406:AF1406"/>
    <mergeCell ref="AJ1406:AK1406"/>
    <mergeCell ref="AO1406:AP1406"/>
    <mergeCell ref="Z1407:AA1407"/>
    <mergeCell ref="AE1407:AF1407"/>
    <mergeCell ref="AJ1407:AK1407"/>
    <mergeCell ref="AO1407:AP1407"/>
    <mergeCell ref="Z1402:AA1402"/>
    <mergeCell ref="AE1402:AF1402"/>
    <mergeCell ref="AJ1402:AK1402"/>
    <mergeCell ref="AO1402:AP1402"/>
    <mergeCell ref="Z1403:AA1403"/>
    <mergeCell ref="AE1403:AF1403"/>
    <mergeCell ref="AJ1403:AK1403"/>
    <mergeCell ref="AO1403:AP1403"/>
    <mergeCell ref="Z1404:AA1404"/>
    <mergeCell ref="AE1404:AF1404"/>
    <mergeCell ref="AJ1404:AK1404"/>
    <mergeCell ref="AO1404:AP1404"/>
    <mergeCell ref="Z1399:AA1399"/>
    <mergeCell ref="AE1399:AF1399"/>
    <mergeCell ref="AJ1399:AK1399"/>
    <mergeCell ref="AO1399:AP1399"/>
    <mergeCell ref="Z1400:AA1400"/>
    <mergeCell ref="AE1400:AF1400"/>
    <mergeCell ref="AJ1400:AK1400"/>
    <mergeCell ref="AO1400:AP1400"/>
    <mergeCell ref="Z1401:AA1401"/>
    <mergeCell ref="AE1401:AF1401"/>
    <mergeCell ref="AJ1401:AK1401"/>
    <mergeCell ref="AO1401:AP1401"/>
    <mergeCell ref="Z1396:AA1396"/>
    <mergeCell ref="AE1396:AF1396"/>
    <mergeCell ref="AJ1396:AK1396"/>
    <mergeCell ref="AO1396:AP1396"/>
    <mergeCell ref="Z1397:AA1397"/>
    <mergeCell ref="AE1397:AF1397"/>
    <mergeCell ref="AJ1397:AK1397"/>
    <mergeCell ref="AO1397:AP1397"/>
    <mergeCell ref="Z1398:AA1398"/>
    <mergeCell ref="AE1398:AF1398"/>
    <mergeCell ref="AJ1398:AK1398"/>
    <mergeCell ref="AO1398:AP1398"/>
    <mergeCell ref="Z1393:AA1393"/>
    <mergeCell ref="AE1393:AF1393"/>
    <mergeCell ref="AJ1393:AK1393"/>
    <mergeCell ref="AO1393:AP1393"/>
    <mergeCell ref="Z1394:AA1394"/>
    <mergeCell ref="AE1394:AF1394"/>
    <mergeCell ref="AJ1394:AK1394"/>
    <mergeCell ref="AO1394:AP1394"/>
    <mergeCell ref="Z1395:AA1395"/>
    <mergeCell ref="AE1395:AF1395"/>
    <mergeCell ref="AJ1395:AK1395"/>
    <mergeCell ref="AO1395:AP1395"/>
    <mergeCell ref="Z1390:AA1390"/>
    <mergeCell ref="AE1390:AF1390"/>
    <mergeCell ref="AJ1390:AK1390"/>
    <mergeCell ref="AO1390:AP1390"/>
    <mergeCell ref="Z1391:AA1391"/>
    <mergeCell ref="AE1391:AF1391"/>
    <mergeCell ref="AJ1391:AK1391"/>
    <mergeCell ref="AO1391:AP1391"/>
    <mergeCell ref="Z1392:AA1392"/>
    <mergeCell ref="AE1392:AF1392"/>
    <mergeCell ref="AJ1392:AK1392"/>
    <mergeCell ref="AO1392:AP1392"/>
    <mergeCell ref="Z1387:AA1387"/>
    <mergeCell ref="AE1387:AF1387"/>
    <mergeCell ref="AJ1387:AK1387"/>
    <mergeCell ref="AO1387:AP1387"/>
    <mergeCell ref="Z1388:AA1388"/>
    <mergeCell ref="AE1388:AF1388"/>
    <mergeCell ref="AJ1388:AK1388"/>
    <mergeCell ref="AO1388:AP1388"/>
    <mergeCell ref="Z1389:AA1389"/>
    <mergeCell ref="AE1389:AF1389"/>
    <mergeCell ref="AJ1389:AK1389"/>
    <mergeCell ref="AO1389:AP1389"/>
    <mergeCell ref="Z1384:AA1384"/>
    <mergeCell ref="AE1384:AF1384"/>
    <mergeCell ref="AJ1384:AK1384"/>
    <mergeCell ref="AO1384:AP1384"/>
    <mergeCell ref="Z1385:AA1385"/>
    <mergeCell ref="AE1385:AF1385"/>
    <mergeCell ref="AJ1385:AK1385"/>
    <mergeCell ref="AO1385:AP1385"/>
    <mergeCell ref="Z1386:AA1386"/>
    <mergeCell ref="AE1386:AF1386"/>
    <mergeCell ref="AJ1386:AK1386"/>
    <mergeCell ref="AO1386:AP1386"/>
    <mergeCell ref="Z1381:AA1381"/>
    <mergeCell ref="AE1381:AF1381"/>
    <mergeCell ref="AJ1381:AK1381"/>
    <mergeCell ref="AO1381:AP1381"/>
    <mergeCell ref="Z1382:AA1382"/>
    <mergeCell ref="AE1382:AF1382"/>
    <mergeCell ref="AJ1382:AK1382"/>
    <mergeCell ref="AO1382:AP1382"/>
    <mergeCell ref="Z1383:AA1383"/>
    <mergeCell ref="AE1383:AF1383"/>
    <mergeCell ref="AJ1383:AK1383"/>
    <mergeCell ref="AO1383:AP1383"/>
    <mergeCell ref="Z1378:AA1378"/>
    <mergeCell ref="AE1378:AF1378"/>
    <mergeCell ref="AJ1378:AK1378"/>
    <mergeCell ref="AO1378:AP1378"/>
    <mergeCell ref="Z1379:AA1379"/>
    <mergeCell ref="AE1379:AF1379"/>
    <mergeCell ref="AJ1379:AK1379"/>
    <mergeCell ref="AO1379:AP1379"/>
    <mergeCell ref="Z1380:AA1380"/>
    <mergeCell ref="AE1380:AF1380"/>
    <mergeCell ref="AJ1380:AK1380"/>
    <mergeCell ref="AO1380:AP1380"/>
    <mergeCell ref="Z1375:AA1375"/>
    <mergeCell ref="AE1375:AF1375"/>
    <mergeCell ref="AJ1375:AK1375"/>
    <mergeCell ref="AO1375:AP1375"/>
    <mergeCell ref="Z1376:AA1376"/>
    <mergeCell ref="AE1376:AF1376"/>
    <mergeCell ref="AJ1376:AK1376"/>
    <mergeCell ref="AO1376:AP1376"/>
    <mergeCell ref="Z1377:AA1377"/>
    <mergeCell ref="AE1377:AF1377"/>
    <mergeCell ref="AJ1377:AK1377"/>
    <mergeCell ref="AO1377:AP1377"/>
    <mergeCell ref="Z1372:AA1372"/>
    <mergeCell ref="AE1372:AF1372"/>
    <mergeCell ref="AJ1372:AK1372"/>
    <mergeCell ref="AO1372:AP1372"/>
    <mergeCell ref="Z1373:AA1373"/>
    <mergeCell ref="AE1373:AF1373"/>
    <mergeCell ref="AJ1373:AK1373"/>
    <mergeCell ref="AO1373:AP1373"/>
    <mergeCell ref="Z1374:AA1374"/>
    <mergeCell ref="AE1374:AF1374"/>
    <mergeCell ref="AJ1374:AK1374"/>
    <mergeCell ref="AO1374:AP1374"/>
    <mergeCell ref="Z1369:AA1369"/>
    <mergeCell ref="AE1369:AF1369"/>
    <mergeCell ref="AJ1369:AK1369"/>
    <mergeCell ref="AO1369:AP1369"/>
    <mergeCell ref="Z1370:AA1370"/>
    <mergeCell ref="AE1370:AF1370"/>
    <mergeCell ref="AJ1370:AK1370"/>
    <mergeCell ref="AO1370:AP1370"/>
    <mergeCell ref="Z1371:AA1371"/>
    <mergeCell ref="AE1371:AF1371"/>
    <mergeCell ref="AJ1371:AK1371"/>
    <mergeCell ref="AO1371:AP1371"/>
    <mergeCell ref="Z1366:AA1366"/>
    <mergeCell ref="AE1366:AF1366"/>
    <mergeCell ref="AJ1366:AK1366"/>
    <mergeCell ref="AO1366:AP1366"/>
    <mergeCell ref="Z1367:AA1367"/>
    <mergeCell ref="AE1367:AF1367"/>
    <mergeCell ref="AJ1367:AK1367"/>
    <mergeCell ref="AO1367:AP1367"/>
    <mergeCell ref="Z1368:AA1368"/>
    <mergeCell ref="AE1368:AF1368"/>
    <mergeCell ref="AJ1368:AK1368"/>
    <mergeCell ref="AO1368:AP1368"/>
    <mergeCell ref="Z1363:AA1363"/>
    <mergeCell ref="AE1363:AF1363"/>
    <mergeCell ref="AJ1363:AK1363"/>
    <mergeCell ref="AO1363:AP1363"/>
    <mergeCell ref="Z1364:AA1364"/>
    <mergeCell ref="AE1364:AF1364"/>
    <mergeCell ref="AJ1364:AK1364"/>
    <mergeCell ref="AO1364:AP1364"/>
    <mergeCell ref="Z1365:AA1365"/>
    <mergeCell ref="AE1365:AF1365"/>
    <mergeCell ref="AJ1365:AK1365"/>
    <mergeCell ref="AO1365:AP1365"/>
    <mergeCell ref="Z1360:AA1360"/>
    <mergeCell ref="AE1360:AF1360"/>
    <mergeCell ref="AJ1360:AK1360"/>
    <mergeCell ref="AO1360:AP1360"/>
    <mergeCell ref="Z1361:AA1361"/>
    <mergeCell ref="AE1361:AF1361"/>
    <mergeCell ref="AJ1361:AK1361"/>
    <mergeCell ref="AO1361:AP1361"/>
    <mergeCell ref="Z1362:AA1362"/>
    <mergeCell ref="AE1362:AF1362"/>
    <mergeCell ref="AJ1362:AK1362"/>
    <mergeCell ref="AO1362:AP1362"/>
    <mergeCell ref="Z1357:AA1357"/>
    <mergeCell ref="AE1357:AF1357"/>
    <mergeCell ref="AJ1357:AK1357"/>
    <mergeCell ref="AO1357:AP1357"/>
    <mergeCell ref="Z1358:AA1358"/>
    <mergeCell ref="AE1358:AF1358"/>
    <mergeCell ref="AJ1358:AK1358"/>
    <mergeCell ref="AO1358:AP1358"/>
    <mergeCell ref="Z1359:AA1359"/>
    <mergeCell ref="AE1359:AF1359"/>
    <mergeCell ref="AJ1359:AK1359"/>
    <mergeCell ref="AO1359:AP1359"/>
    <mergeCell ref="Z1354:AA1354"/>
    <mergeCell ref="AE1354:AF1354"/>
    <mergeCell ref="AJ1354:AK1354"/>
    <mergeCell ref="AO1354:AP1354"/>
    <mergeCell ref="Z1355:AA1355"/>
    <mergeCell ref="AE1355:AF1355"/>
    <mergeCell ref="AJ1355:AK1355"/>
    <mergeCell ref="AO1355:AP1355"/>
    <mergeCell ref="Z1356:AA1356"/>
    <mergeCell ref="AE1356:AF1356"/>
    <mergeCell ref="AJ1356:AK1356"/>
    <mergeCell ref="AO1356:AP1356"/>
    <mergeCell ref="Z1351:AA1351"/>
    <mergeCell ref="AE1351:AF1351"/>
    <mergeCell ref="AJ1351:AK1351"/>
    <mergeCell ref="AO1351:AP1351"/>
    <mergeCell ref="Z1352:AA1352"/>
    <mergeCell ref="AE1352:AF1352"/>
    <mergeCell ref="AJ1352:AK1352"/>
    <mergeCell ref="AO1352:AP1352"/>
    <mergeCell ref="Z1353:AA1353"/>
    <mergeCell ref="AE1353:AF1353"/>
    <mergeCell ref="AJ1353:AK1353"/>
    <mergeCell ref="AO1353:AP1353"/>
    <mergeCell ref="Z1348:AA1348"/>
    <mergeCell ref="AE1348:AF1348"/>
    <mergeCell ref="AJ1348:AK1348"/>
    <mergeCell ref="AO1348:AP1348"/>
    <mergeCell ref="Z1349:AA1349"/>
    <mergeCell ref="AE1349:AF1349"/>
    <mergeCell ref="AJ1349:AK1349"/>
    <mergeCell ref="AO1349:AP1349"/>
    <mergeCell ref="Z1350:AA1350"/>
    <mergeCell ref="AE1350:AF1350"/>
    <mergeCell ref="AJ1350:AK1350"/>
    <mergeCell ref="AO1350:AP1350"/>
    <mergeCell ref="Z1345:AA1345"/>
    <mergeCell ref="AE1345:AF1345"/>
    <mergeCell ref="AJ1345:AK1345"/>
    <mergeCell ref="AO1345:AP1345"/>
    <mergeCell ref="Z1346:AA1346"/>
    <mergeCell ref="AE1346:AF1346"/>
    <mergeCell ref="AJ1346:AK1346"/>
    <mergeCell ref="AO1346:AP1346"/>
    <mergeCell ref="Z1347:AA1347"/>
    <mergeCell ref="AE1347:AF1347"/>
    <mergeCell ref="AJ1347:AK1347"/>
    <mergeCell ref="AO1347:AP1347"/>
    <mergeCell ref="Z1342:AA1342"/>
    <mergeCell ref="AE1342:AF1342"/>
    <mergeCell ref="AJ1342:AK1342"/>
    <mergeCell ref="AO1342:AP1342"/>
    <mergeCell ref="Z1343:AA1343"/>
    <mergeCell ref="AE1343:AF1343"/>
    <mergeCell ref="AJ1343:AK1343"/>
    <mergeCell ref="AO1343:AP1343"/>
    <mergeCell ref="Z1344:AA1344"/>
    <mergeCell ref="AE1344:AF1344"/>
    <mergeCell ref="AJ1344:AK1344"/>
    <mergeCell ref="AO1344:AP1344"/>
    <mergeCell ref="Z1339:AA1339"/>
    <mergeCell ref="AE1339:AF1339"/>
    <mergeCell ref="AJ1339:AK1339"/>
    <mergeCell ref="AO1339:AP1339"/>
    <mergeCell ref="Z1340:AA1340"/>
    <mergeCell ref="AE1340:AF1340"/>
    <mergeCell ref="AJ1340:AK1340"/>
    <mergeCell ref="AO1340:AP1340"/>
    <mergeCell ref="Z1341:AA1341"/>
    <mergeCell ref="AE1341:AF1341"/>
    <mergeCell ref="AJ1341:AK1341"/>
    <mergeCell ref="AO1341:AP1341"/>
    <mergeCell ref="Z1336:AA1336"/>
    <mergeCell ref="AE1336:AF1336"/>
    <mergeCell ref="AJ1336:AK1336"/>
    <mergeCell ref="AO1336:AP1336"/>
    <mergeCell ref="Z1337:AA1337"/>
    <mergeCell ref="AE1337:AF1337"/>
    <mergeCell ref="AJ1337:AK1337"/>
    <mergeCell ref="AO1337:AP1337"/>
    <mergeCell ref="Z1338:AA1338"/>
    <mergeCell ref="AE1338:AF1338"/>
    <mergeCell ref="AJ1338:AK1338"/>
    <mergeCell ref="AO1338:AP1338"/>
    <mergeCell ref="Z1333:AA1333"/>
    <mergeCell ref="AE1333:AF1333"/>
    <mergeCell ref="AJ1333:AK1333"/>
    <mergeCell ref="AO1333:AP1333"/>
    <mergeCell ref="Z1334:AA1334"/>
    <mergeCell ref="AE1334:AF1334"/>
    <mergeCell ref="AJ1334:AK1334"/>
    <mergeCell ref="AO1334:AP1334"/>
    <mergeCell ref="Z1335:AA1335"/>
    <mergeCell ref="AE1335:AF1335"/>
    <mergeCell ref="AJ1335:AK1335"/>
    <mergeCell ref="AO1335:AP1335"/>
    <mergeCell ref="Z1330:AA1330"/>
    <mergeCell ref="AE1330:AF1330"/>
    <mergeCell ref="AJ1330:AK1330"/>
    <mergeCell ref="AO1330:AP1330"/>
    <mergeCell ref="Z1331:AA1331"/>
    <mergeCell ref="AE1331:AF1331"/>
    <mergeCell ref="AJ1331:AK1331"/>
    <mergeCell ref="AO1331:AP1331"/>
    <mergeCell ref="Z1332:AA1332"/>
    <mergeCell ref="AE1332:AF1332"/>
    <mergeCell ref="AJ1332:AK1332"/>
    <mergeCell ref="AO1332:AP1332"/>
    <mergeCell ref="Z1327:AA1327"/>
    <mergeCell ref="AE1327:AF1327"/>
    <mergeCell ref="AJ1327:AK1327"/>
    <mergeCell ref="AO1327:AP1327"/>
    <mergeCell ref="Z1328:AA1328"/>
    <mergeCell ref="AE1328:AF1328"/>
    <mergeCell ref="AJ1328:AK1328"/>
    <mergeCell ref="AO1328:AP1328"/>
    <mergeCell ref="Z1329:AA1329"/>
    <mergeCell ref="AE1329:AF1329"/>
    <mergeCell ref="AJ1329:AK1329"/>
    <mergeCell ref="AO1329:AP1329"/>
    <mergeCell ref="Z1324:AA1324"/>
    <mergeCell ref="AE1324:AF1324"/>
    <mergeCell ref="AJ1324:AK1324"/>
    <mergeCell ref="AO1324:AP1324"/>
    <mergeCell ref="Z1325:AA1325"/>
    <mergeCell ref="AE1325:AF1325"/>
    <mergeCell ref="AJ1325:AK1325"/>
    <mergeCell ref="AO1325:AP1325"/>
    <mergeCell ref="Z1326:AA1326"/>
    <mergeCell ref="AE1326:AF1326"/>
    <mergeCell ref="AJ1326:AK1326"/>
    <mergeCell ref="AO1326:AP1326"/>
    <mergeCell ref="Z1321:AA1321"/>
    <mergeCell ref="AE1321:AF1321"/>
    <mergeCell ref="AJ1321:AK1321"/>
    <mergeCell ref="AO1321:AP1321"/>
    <mergeCell ref="Z1322:AA1322"/>
    <mergeCell ref="AE1322:AF1322"/>
    <mergeCell ref="AJ1322:AK1322"/>
    <mergeCell ref="AO1322:AP1322"/>
    <mergeCell ref="Z1323:AA1323"/>
    <mergeCell ref="AE1323:AF1323"/>
    <mergeCell ref="AJ1323:AK1323"/>
    <mergeCell ref="AO1323:AP1323"/>
    <mergeCell ref="Z1318:AA1318"/>
    <mergeCell ref="AE1318:AF1318"/>
    <mergeCell ref="AJ1318:AK1318"/>
    <mergeCell ref="AO1318:AP1318"/>
    <mergeCell ref="Z1319:AA1319"/>
    <mergeCell ref="AE1319:AF1319"/>
    <mergeCell ref="AJ1319:AK1319"/>
    <mergeCell ref="AO1319:AP1319"/>
    <mergeCell ref="Z1320:AA1320"/>
    <mergeCell ref="AE1320:AF1320"/>
    <mergeCell ref="AJ1320:AK1320"/>
    <mergeCell ref="AO1320:AP1320"/>
    <mergeCell ref="Z1315:AA1315"/>
    <mergeCell ref="AE1315:AF1315"/>
    <mergeCell ref="AJ1315:AK1315"/>
    <mergeCell ref="AO1315:AP1315"/>
    <mergeCell ref="Z1316:AA1316"/>
    <mergeCell ref="AE1316:AF1316"/>
    <mergeCell ref="AJ1316:AK1316"/>
    <mergeCell ref="AO1316:AP1316"/>
    <mergeCell ref="Z1317:AA1317"/>
    <mergeCell ref="AE1317:AF1317"/>
    <mergeCell ref="AJ1317:AK1317"/>
    <mergeCell ref="AO1317:AP1317"/>
    <mergeCell ref="Z1312:AA1312"/>
    <mergeCell ref="AE1312:AF1312"/>
    <mergeCell ref="AJ1312:AK1312"/>
    <mergeCell ref="AO1312:AP1312"/>
    <mergeCell ref="Z1313:AA1313"/>
    <mergeCell ref="AE1313:AF1313"/>
    <mergeCell ref="AJ1313:AK1313"/>
    <mergeCell ref="AO1313:AP1313"/>
    <mergeCell ref="Z1314:AA1314"/>
    <mergeCell ref="AE1314:AF1314"/>
    <mergeCell ref="AJ1314:AK1314"/>
    <mergeCell ref="AO1314:AP1314"/>
    <mergeCell ref="Z1309:AA1309"/>
    <mergeCell ref="AE1309:AF1309"/>
    <mergeCell ref="AJ1309:AK1309"/>
    <mergeCell ref="AO1309:AP1309"/>
    <mergeCell ref="Z1310:AA1310"/>
    <mergeCell ref="AE1310:AF1310"/>
    <mergeCell ref="AJ1310:AK1310"/>
    <mergeCell ref="AO1310:AP1310"/>
    <mergeCell ref="Z1311:AA1311"/>
    <mergeCell ref="AE1311:AF1311"/>
    <mergeCell ref="AJ1311:AK1311"/>
    <mergeCell ref="AO1311:AP1311"/>
    <mergeCell ref="Z1306:AA1306"/>
    <mergeCell ref="AE1306:AF1306"/>
    <mergeCell ref="AJ1306:AK1306"/>
    <mergeCell ref="AO1306:AP1306"/>
    <mergeCell ref="Z1307:AA1307"/>
    <mergeCell ref="AE1307:AF1307"/>
    <mergeCell ref="AJ1307:AK1307"/>
    <mergeCell ref="AO1307:AP1307"/>
    <mergeCell ref="Z1308:AA1308"/>
    <mergeCell ref="AE1308:AF1308"/>
    <mergeCell ref="AJ1308:AK1308"/>
    <mergeCell ref="AO1308:AP1308"/>
    <mergeCell ref="Z1303:AA1303"/>
    <mergeCell ref="AE1303:AF1303"/>
    <mergeCell ref="AJ1303:AK1303"/>
    <mergeCell ref="AO1303:AP1303"/>
    <mergeCell ref="Z1304:AA1304"/>
    <mergeCell ref="AE1304:AF1304"/>
    <mergeCell ref="AJ1304:AK1304"/>
    <mergeCell ref="AO1304:AP1304"/>
    <mergeCell ref="Z1305:AA1305"/>
    <mergeCell ref="AE1305:AF1305"/>
    <mergeCell ref="AJ1305:AK1305"/>
    <mergeCell ref="AO1305:AP1305"/>
    <mergeCell ref="Z1300:AA1300"/>
    <mergeCell ref="AE1300:AF1300"/>
    <mergeCell ref="AJ1300:AK1300"/>
    <mergeCell ref="AO1300:AP1300"/>
    <mergeCell ref="Z1301:AA1301"/>
    <mergeCell ref="AE1301:AF1301"/>
    <mergeCell ref="AJ1301:AK1301"/>
    <mergeCell ref="AO1301:AP1301"/>
    <mergeCell ref="Z1302:AA1302"/>
    <mergeCell ref="AE1302:AF1302"/>
    <mergeCell ref="AJ1302:AK1302"/>
    <mergeCell ref="AO1302:AP1302"/>
    <mergeCell ref="Z1297:AA1297"/>
    <mergeCell ref="AE1297:AF1297"/>
    <mergeCell ref="AJ1297:AK1297"/>
    <mergeCell ref="AO1297:AP1297"/>
    <mergeCell ref="Z1298:AA1298"/>
    <mergeCell ref="AE1298:AF1298"/>
    <mergeCell ref="AJ1298:AK1298"/>
    <mergeCell ref="AO1298:AP1298"/>
    <mergeCell ref="Z1299:AA1299"/>
    <mergeCell ref="AE1299:AF1299"/>
    <mergeCell ref="AJ1299:AK1299"/>
    <mergeCell ref="AO1299:AP1299"/>
    <mergeCell ref="Z1294:AA1294"/>
    <mergeCell ref="AE1294:AF1294"/>
    <mergeCell ref="AJ1294:AK1294"/>
    <mergeCell ref="AO1294:AP1294"/>
    <mergeCell ref="Z1295:AA1295"/>
    <mergeCell ref="AE1295:AF1295"/>
    <mergeCell ref="AJ1295:AK1295"/>
    <mergeCell ref="AO1295:AP1295"/>
    <mergeCell ref="Z1296:AA1296"/>
    <mergeCell ref="AE1296:AF1296"/>
    <mergeCell ref="AJ1296:AK1296"/>
    <mergeCell ref="AO1296:AP1296"/>
    <mergeCell ref="Z1291:AA1291"/>
    <mergeCell ref="AE1291:AF1291"/>
    <mergeCell ref="AJ1291:AK1291"/>
    <mergeCell ref="AO1291:AP1291"/>
    <mergeCell ref="Z1292:AA1292"/>
    <mergeCell ref="AE1292:AF1292"/>
    <mergeCell ref="AJ1292:AK1292"/>
    <mergeCell ref="AO1292:AP1292"/>
    <mergeCell ref="Z1293:AA1293"/>
    <mergeCell ref="AE1293:AF1293"/>
    <mergeCell ref="AJ1293:AK1293"/>
    <mergeCell ref="AO1293:AP1293"/>
    <mergeCell ref="Z1288:AA1288"/>
    <mergeCell ref="AE1288:AF1288"/>
    <mergeCell ref="AJ1288:AK1288"/>
    <mergeCell ref="AO1288:AP1288"/>
    <mergeCell ref="Z1289:AA1289"/>
    <mergeCell ref="AE1289:AF1289"/>
    <mergeCell ref="AJ1289:AK1289"/>
    <mergeCell ref="AO1289:AP1289"/>
    <mergeCell ref="Z1290:AA1290"/>
    <mergeCell ref="AE1290:AF1290"/>
    <mergeCell ref="AJ1290:AK1290"/>
    <mergeCell ref="AO1290:AP1290"/>
    <mergeCell ref="Z1285:AA1285"/>
    <mergeCell ref="AE1285:AF1285"/>
    <mergeCell ref="AJ1285:AK1285"/>
    <mergeCell ref="AO1285:AP1285"/>
    <mergeCell ref="Z1286:AA1286"/>
    <mergeCell ref="AE1286:AF1286"/>
    <mergeCell ref="AJ1286:AK1286"/>
    <mergeCell ref="AO1286:AP1286"/>
    <mergeCell ref="Z1287:AA1287"/>
    <mergeCell ref="AE1287:AF1287"/>
    <mergeCell ref="AJ1287:AK1287"/>
    <mergeCell ref="AO1287:AP1287"/>
    <mergeCell ref="Z1282:AA1282"/>
    <mergeCell ref="AE1282:AF1282"/>
    <mergeCell ref="AJ1282:AK1282"/>
    <mergeCell ref="AO1282:AP1282"/>
    <mergeCell ref="Z1283:AA1283"/>
    <mergeCell ref="AE1283:AF1283"/>
    <mergeCell ref="AJ1283:AK1283"/>
    <mergeCell ref="AO1283:AP1283"/>
    <mergeCell ref="Z1284:AA1284"/>
    <mergeCell ref="AE1284:AF1284"/>
    <mergeCell ref="AJ1284:AK1284"/>
    <mergeCell ref="AO1284:AP1284"/>
    <mergeCell ref="Z1279:AA1279"/>
    <mergeCell ref="AE1279:AF1279"/>
    <mergeCell ref="AJ1279:AK1279"/>
    <mergeCell ref="AO1279:AP1279"/>
    <mergeCell ref="Z1280:AA1280"/>
    <mergeCell ref="AE1280:AF1280"/>
    <mergeCell ref="AJ1280:AK1280"/>
    <mergeCell ref="AO1280:AP1280"/>
    <mergeCell ref="Z1281:AA1281"/>
    <mergeCell ref="AE1281:AF1281"/>
    <mergeCell ref="AJ1281:AK1281"/>
    <mergeCell ref="AO1281:AP1281"/>
    <mergeCell ref="Z1276:AA1276"/>
    <mergeCell ref="AE1276:AF1276"/>
    <mergeCell ref="AJ1276:AK1276"/>
    <mergeCell ref="AO1276:AP1276"/>
    <mergeCell ref="Z1277:AA1277"/>
    <mergeCell ref="AE1277:AF1277"/>
    <mergeCell ref="AJ1277:AK1277"/>
    <mergeCell ref="AO1277:AP1277"/>
    <mergeCell ref="Z1278:AA1278"/>
    <mergeCell ref="AE1278:AF1278"/>
    <mergeCell ref="AJ1278:AK1278"/>
    <mergeCell ref="AO1278:AP1278"/>
    <mergeCell ref="Z1273:AA1273"/>
    <mergeCell ref="AE1273:AF1273"/>
    <mergeCell ref="AJ1273:AK1273"/>
    <mergeCell ref="AO1273:AP1273"/>
    <mergeCell ref="Z1274:AA1274"/>
    <mergeCell ref="AE1274:AF1274"/>
    <mergeCell ref="AJ1274:AK1274"/>
    <mergeCell ref="AO1274:AP1274"/>
    <mergeCell ref="Z1275:AA1275"/>
    <mergeCell ref="AE1275:AF1275"/>
    <mergeCell ref="AJ1275:AK1275"/>
    <mergeCell ref="AO1275:AP1275"/>
    <mergeCell ref="Z1270:AA1270"/>
    <mergeCell ref="AE1270:AF1270"/>
    <mergeCell ref="AJ1270:AK1270"/>
    <mergeCell ref="AO1270:AP1270"/>
    <mergeCell ref="Z1271:AA1271"/>
    <mergeCell ref="AE1271:AF1271"/>
    <mergeCell ref="AJ1271:AK1271"/>
    <mergeCell ref="AO1271:AP1271"/>
    <mergeCell ref="Z1272:AA1272"/>
    <mergeCell ref="AE1272:AF1272"/>
    <mergeCell ref="AJ1272:AK1272"/>
    <mergeCell ref="AO1272:AP1272"/>
    <mergeCell ref="Z1267:AA1267"/>
    <mergeCell ref="AE1267:AF1267"/>
    <mergeCell ref="AJ1267:AK1267"/>
    <mergeCell ref="AO1267:AP1267"/>
    <mergeCell ref="Z1268:AA1268"/>
    <mergeCell ref="AE1268:AF1268"/>
    <mergeCell ref="AJ1268:AK1268"/>
    <mergeCell ref="AO1268:AP1268"/>
    <mergeCell ref="Z1269:AA1269"/>
    <mergeCell ref="AE1269:AF1269"/>
    <mergeCell ref="AJ1269:AK1269"/>
    <mergeCell ref="AO1269:AP1269"/>
    <mergeCell ref="Z1264:AA1264"/>
    <mergeCell ref="AE1264:AF1264"/>
    <mergeCell ref="AJ1264:AK1264"/>
    <mergeCell ref="AO1264:AP1264"/>
    <mergeCell ref="Z1265:AA1265"/>
    <mergeCell ref="AE1265:AF1265"/>
    <mergeCell ref="AJ1265:AK1265"/>
    <mergeCell ref="AO1265:AP1265"/>
    <mergeCell ref="Z1266:AA1266"/>
    <mergeCell ref="AE1266:AF1266"/>
    <mergeCell ref="AJ1266:AK1266"/>
    <mergeCell ref="AO1266:AP1266"/>
    <mergeCell ref="Z1261:AA1261"/>
    <mergeCell ref="AE1261:AF1261"/>
    <mergeCell ref="AJ1261:AK1261"/>
    <mergeCell ref="AO1261:AP1261"/>
    <mergeCell ref="Z1262:AA1262"/>
    <mergeCell ref="AE1262:AF1262"/>
    <mergeCell ref="AJ1262:AK1262"/>
    <mergeCell ref="AO1262:AP1262"/>
    <mergeCell ref="Z1263:AA1263"/>
    <mergeCell ref="AE1263:AF1263"/>
    <mergeCell ref="AJ1263:AK1263"/>
    <mergeCell ref="AO1263:AP1263"/>
    <mergeCell ref="Z1258:AA1258"/>
    <mergeCell ref="AE1258:AF1258"/>
    <mergeCell ref="AJ1258:AK1258"/>
    <mergeCell ref="AO1258:AP1258"/>
    <mergeCell ref="Z1259:AA1259"/>
    <mergeCell ref="AE1259:AF1259"/>
    <mergeCell ref="AJ1259:AK1259"/>
    <mergeCell ref="AO1259:AP1259"/>
    <mergeCell ref="Z1260:AA1260"/>
    <mergeCell ref="AE1260:AF1260"/>
    <mergeCell ref="AJ1260:AK1260"/>
    <mergeCell ref="AO1260:AP1260"/>
    <mergeCell ref="Z1255:AA1255"/>
    <mergeCell ref="AE1255:AF1255"/>
    <mergeCell ref="AJ1255:AK1255"/>
    <mergeCell ref="AO1255:AP1255"/>
    <mergeCell ref="Z1256:AA1256"/>
    <mergeCell ref="AE1256:AF1256"/>
    <mergeCell ref="AJ1256:AK1256"/>
    <mergeCell ref="AO1256:AP1256"/>
    <mergeCell ref="Z1257:AA1257"/>
    <mergeCell ref="AE1257:AF1257"/>
    <mergeCell ref="AJ1257:AK1257"/>
    <mergeCell ref="AO1257:AP1257"/>
    <mergeCell ref="Z1252:AA1252"/>
    <mergeCell ref="AE1252:AF1252"/>
    <mergeCell ref="AJ1252:AK1252"/>
    <mergeCell ref="AO1252:AP1252"/>
    <mergeCell ref="Z1253:AA1253"/>
    <mergeCell ref="AE1253:AF1253"/>
    <mergeCell ref="AJ1253:AK1253"/>
    <mergeCell ref="AO1253:AP1253"/>
    <mergeCell ref="Z1254:AA1254"/>
    <mergeCell ref="AE1254:AF1254"/>
    <mergeCell ref="AJ1254:AK1254"/>
    <mergeCell ref="AO1254:AP1254"/>
    <mergeCell ref="Z1249:AA1249"/>
    <mergeCell ref="AE1249:AF1249"/>
    <mergeCell ref="AJ1249:AK1249"/>
    <mergeCell ref="AO1249:AP1249"/>
    <mergeCell ref="Z1250:AA1250"/>
    <mergeCell ref="AE1250:AF1250"/>
    <mergeCell ref="AJ1250:AK1250"/>
    <mergeCell ref="AO1250:AP1250"/>
    <mergeCell ref="Z1251:AA1251"/>
    <mergeCell ref="AE1251:AF1251"/>
    <mergeCell ref="AJ1251:AK1251"/>
    <mergeCell ref="AO1251:AP1251"/>
    <mergeCell ref="Z1246:AA1246"/>
    <mergeCell ref="AE1246:AF1246"/>
    <mergeCell ref="AJ1246:AK1246"/>
    <mergeCell ref="AO1246:AP1246"/>
    <mergeCell ref="Z1247:AA1247"/>
    <mergeCell ref="AE1247:AF1247"/>
    <mergeCell ref="AJ1247:AK1247"/>
    <mergeCell ref="AO1247:AP1247"/>
    <mergeCell ref="Z1248:AA1248"/>
    <mergeCell ref="AE1248:AF1248"/>
    <mergeCell ref="AJ1248:AK1248"/>
    <mergeCell ref="AO1248:AP1248"/>
    <mergeCell ref="Z1243:AA1243"/>
    <mergeCell ref="AE1243:AF1243"/>
    <mergeCell ref="AJ1243:AK1243"/>
    <mergeCell ref="AO1243:AP1243"/>
    <mergeCell ref="Z1244:AA1244"/>
    <mergeCell ref="AE1244:AF1244"/>
    <mergeCell ref="AJ1244:AK1244"/>
    <mergeCell ref="AO1244:AP1244"/>
    <mergeCell ref="Z1245:AA1245"/>
    <mergeCell ref="AE1245:AF1245"/>
    <mergeCell ref="AJ1245:AK1245"/>
    <mergeCell ref="AO1245:AP1245"/>
    <mergeCell ref="Z1240:AA1240"/>
    <mergeCell ref="AE1240:AF1240"/>
    <mergeCell ref="AJ1240:AK1240"/>
    <mergeCell ref="AO1240:AP1240"/>
    <mergeCell ref="Z1241:AA1241"/>
    <mergeCell ref="AE1241:AF1241"/>
    <mergeCell ref="AJ1241:AK1241"/>
    <mergeCell ref="AO1241:AP1241"/>
    <mergeCell ref="Z1242:AA1242"/>
    <mergeCell ref="AE1242:AF1242"/>
    <mergeCell ref="AJ1242:AK1242"/>
    <mergeCell ref="AO1242:AP1242"/>
    <mergeCell ref="Z1237:AA1237"/>
    <mergeCell ref="AE1237:AF1237"/>
    <mergeCell ref="AJ1237:AK1237"/>
    <mergeCell ref="AO1237:AP1237"/>
    <mergeCell ref="Z1238:AA1238"/>
    <mergeCell ref="AE1238:AF1238"/>
    <mergeCell ref="AJ1238:AK1238"/>
    <mergeCell ref="AO1238:AP1238"/>
    <mergeCell ref="Z1239:AA1239"/>
    <mergeCell ref="AE1239:AF1239"/>
    <mergeCell ref="AJ1239:AK1239"/>
    <mergeCell ref="AO1239:AP1239"/>
    <mergeCell ref="Z1234:AA1234"/>
    <mergeCell ref="AE1234:AF1234"/>
    <mergeCell ref="AJ1234:AK1234"/>
    <mergeCell ref="AO1234:AP1234"/>
    <mergeCell ref="Z1235:AA1235"/>
    <mergeCell ref="AE1235:AF1235"/>
    <mergeCell ref="AJ1235:AK1235"/>
    <mergeCell ref="AO1235:AP1235"/>
    <mergeCell ref="Z1236:AA1236"/>
    <mergeCell ref="AE1236:AF1236"/>
    <mergeCell ref="AJ1236:AK1236"/>
    <mergeCell ref="AO1236:AP1236"/>
    <mergeCell ref="Z1231:AA1231"/>
    <mergeCell ref="AE1231:AF1231"/>
    <mergeCell ref="AJ1231:AK1231"/>
    <mergeCell ref="AO1231:AP1231"/>
    <mergeCell ref="Z1232:AA1232"/>
    <mergeCell ref="AE1232:AF1232"/>
    <mergeCell ref="AJ1232:AK1232"/>
    <mergeCell ref="AO1232:AP1232"/>
    <mergeCell ref="Z1233:AA1233"/>
    <mergeCell ref="AE1233:AF1233"/>
    <mergeCell ref="AJ1233:AK1233"/>
    <mergeCell ref="AO1233:AP1233"/>
    <mergeCell ref="Z1228:AA1228"/>
    <mergeCell ref="AE1228:AF1228"/>
    <mergeCell ref="AJ1228:AK1228"/>
    <mergeCell ref="AO1228:AP1228"/>
    <mergeCell ref="Z1229:AA1229"/>
    <mergeCell ref="AE1229:AF1229"/>
    <mergeCell ref="AJ1229:AK1229"/>
    <mergeCell ref="AO1229:AP1229"/>
    <mergeCell ref="Z1230:AA1230"/>
    <mergeCell ref="AE1230:AF1230"/>
    <mergeCell ref="AJ1230:AK1230"/>
    <mergeCell ref="AO1230:AP1230"/>
    <mergeCell ref="Z1225:AA1225"/>
    <mergeCell ref="AE1225:AF1225"/>
    <mergeCell ref="AJ1225:AK1225"/>
    <mergeCell ref="AO1225:AP1225"/>
    <mergeCell ref="Z1226:AA1226"/>
    <mergeCell ref="AE1226:AF1226"/>
    <mergeCell ref="AJ1226:AK1226"/>
    <mergeCell ref="AO1226:AP1226"/>
    <mergeCell ref="Z1227:AA1227"/>
    <mergeCell ref="AE1227:AF1227"/>
    <mergeCell ref="AJ1227:AK1227"/>
    <mergeCell ref="AO1227:AP1227"/>
    <mergeCell ref="Z1222:AA1222"/>
    <mergeCell ref="AE1222:AF1222"/>
    <mergeCell ref="AJ1222:AK1222"/>
    <mergeCell ref="AO1222:AP1222"/>
    <mergeCell ref="Z1223:AA1223"/>
    <mergeCell ref="AE1223:AF1223"/>
    <mergeCell ref="AJ1223:AK1223"/>
    <mergeCell ref="AO1223:AP1223"/>
    <mergeCell ref="Z1224:AA1224"/>
    <mergeCell ref="AE1224:AF1224"/>
    <mergeCell ref="AJ1224:AK1224"/>
    <mergeCell ref="AO1224:AP1224"/>
    <mergeCell ref="Z1219:AA1219"/>
    <mergeCell ref="AE1219:AF1219"/>
    <mergeCell ref="AJ1219:AK1219"/>
    <mergeCell ref="AO1219:AP1219"/>
    <mergeCell ref="Z1220:AA1220"/>
    <mergeCell ref="AE1220:AF1220"/>
    <mergeCell ref="AJ1220:AK1220"/>
    <mergeCell ref="AO1220:AP1220"/>
    <mergeCell ref="Z1221:AA1221"/>
    <mergeCell ref="AE1221:AF1221"/>
    <mergeCell ref="AJ1221:AK1221"/>
    <mergeCell ref="AO1221:AP1221"/>
    <mergeCell ref="Z1216:AA1216"/>
    <mergeCell ref="AE1216:AF1216"/>
    <mergeCell ref="AJ1216:AK1216"/>
    <mergeCell ref="AO1216:AP1216"/>
    <mergeCell ref="Z1217:AA1217"/>
    <mergeCell ref="AE1217:AF1217"/>
    <mergeCell ref="AJ1217:AK1217"/>
    <mergeCell ref="AO1217:AP1217"/>
    <mergeCell ref="Z1218:AA1218"/>
    <mergeCell ref="AE1218:AF1218"/>
    <mergeCell ref="AJ1218:AK1218"/>
    <mergeCell ref="AO1218:AP1218"/>
    <mergeCell ref="Z1213:AA1213"/>
    <mergeCell ref="AE1213:AF1213"/>
    <mergeCell ref="AJ1213:AK1213"/>
    <mergeCell ref="AO1213:AP1213"/>
    <mergeCell ref="Z1214:AA1214"/>
    <mergeCell ref="AE1214:AF1214"/>
    <mergeCell ref="AJ1214:AK1214"/>
    <mergeCell ref="AO1214:AP1214"/>
    <mergeCell ref="Z1215:AA1215"/>
    <mergeCell ref="AE1215:AF1215"/>
    <mergeCell ref="AJ1215:AK1215"/>
    <mergeCell ref="AO1215:AP1215"/>
    <mergeCell ref="Z1210:AA1210"/>
    <mergeCell ref="AE1210:AF1210"/>
    <mergeCell ref="AJ1210:AK1210"/>
    <mergeCell ref="AO1210:AP1210"/>
    <mergeCell ref="Z1211:AA1211"/>
    <mergeCell ref="AE1211:AF1211"/>
    <mergeCell ref="AJ1211:AK1211"/>
    <mergeCell ref="AO1211:AP1211"/>
    <mergeCell ref="Z1212:AA1212"/>
    <mergeCell ref="AE1212:AF1212"/>
    <mergeCell ref="AJ1212:AK1212"/>
    <mergeCell ref="AO1212:AP1212"/>
    <mergeCell ref="Z1207:AA1207"/>
    <mergeCell ref="AE1207:AF1207"/>
    <mergeCell ref="AJ1207:AK1207"/>
    <mergeCell ref="AO1207:AP1207"/>
    <mergeCell ref="Z1208:AA1208"/>
    <mergeCell ref="AE1208:AF1208"/>
    <mergeCell ref="AJ1208:AK1208"/>
    <mergeCell ref="AO1208:AP1208"/>
    <mergeCell ref="Z1209:AA1209"/>
    <mergeCell ref="AE1209:AF1209"/>
    <mergeCell ref="AJ1209:AK1209"/>
    <mergeCell ref="AO1209:AP1209"/>
    <mergeCell ref="Z1204:AA1204"/>
    <mergeCell ref="AE1204:AF1204"/>
    <mergeCell ref="AJ1204:AK1204"/>
    <mergeCell ref="AO1204:AP1204"/>
    <mergeCell ref="Z1205:AA1205"/>
    <mergeCell ref="AE1205:AF1205"/>
    <mergeCell ref="AJ1205:AK1205"/>
    <mergeCell ref="AO1205:AP1205"/>
    <mergeCell ref="Z1206:AA1206"/>
    <mergeCell ref="AE1206:AF1206"/>
    <mergeCell ref="AJ1206:AK1206"/>
    <mergeCell ref="AO1206:AP1206"/>
    <mergeCell ref="Z1201:AA1201"/>
    <mergeCell ref="AE1201:AF1201"/>
    <mergeCell ref="AJ1201:AK1201"/>
    <mergeCell ref="AO1201:AP1201"/>
    <mergeCell ref="Z1202:AA1202"/>
    <mergeCell ref="AE1202:AF1202"/>
    <mergeCell ref="AJ1202:AK1202"/>
    <mergeCell ref="AO1202:AP1202"/>
    <mergeCell ref="Z1203:AA1203"/>
    <mergeCell ref="AE1203:AF1203"/>
    <mergeCell ref="AJ1203:AK1203"/>
    <mergeCell ref="AO1203:AP1203"/>
    <mergeCell ref="Z1198:AA1198"/>
    <mergeCell ref="AE1198:AF1198"/>
    <mergeCell ref="AJ1198:AK1198"/>
    <mergeCell ref="AO1198:AP1198"/>
    <mergeCell ref="Z1199:AA1199"/>
    <mergeCell ref="AE1199:AF1199"/>
    <mergeCell ref="AJ1199:AK1199"/>
    <mergeCell ref="AO1199:AP1199"/>
    <mergeCell ref="Z1200:AA1200"/>
    <mergeCell ref="AE1200:AF1200"/>
    <mergeCell ref="AJ1200:AK1200"/>
    <mergeCell ref="AO1200:AP1200"/>
    <mergeCell ref="Z1195:AA1195"/>
    <mergeCell ref="AE1195:AF1195"/>
    <mergeCell ref="AJ1195:AK1195"/>
    <mergeCell ref="AO1195:AP1195"/>
    <mergeCell ref="Z1196:AA1196"/>
    <mergeCell ref="AE1196:AF1196"/>
    <mergeCell ref="AJ1196:AK1196"/>
    <mergeCell ref="AO1196:AP1196"/>
    <mergeCell ref="Z1197:AA1197"/>
    <mergeCell ref="AE1197:AF1197"/>
    <mergeCell ref="AJ1197:AK1197"/>
    <mergeCell ref="AO1197:AP1197"/>
    <mergeCell ref="Z1192:AA1192"/>
    <mergeCell ref="AE1192:AF1192"/>
    <mergeCell ref="AJ1192:AK1192"/>
    <mergeCell ref="AO1192:AP1192"/>
    <mergeCell ref="Z1193:AA1193"/>
    <mergeCell ref="AE1193:AF1193"/>
    <mergeCell ref="AJ1193:AK1193"/>
    <mergeCell ref="AO1193:AP1193"/>
    <mergeCell ref="Z1194:AA1194"/>
    <mergeCell ref="AE1194:AF1194"/>
    <mergeCell ref="AJ1194:AK1194"/>
    <mergeCell ref="AO1194:AP1194"/>
    <mergeCell ref="Z1189:AA1189"/>
    <mergeCell ref="AE1189:AF1189"/>
    <mergeCell ref="AJ1189:AK1189"/>
    <mergeCell ref="AO1189:AP1189"/>
    <mergeCell ref="Z1190:AA1190"/>
    <mergeCell ref="AE1190:AF1190"/>
    <mergeCell ref="AJ1190:AK1190"/>
    <mergeCell ref="AO1190:AP1190"/>
    <mergeCell ref="Z1191:AA1191"/>
    <mergeCell ref="AE1191:AF1191"/>
    <mergeCell ref="AJ1191:AK1191"/>
    <mergeCell ref="AO1191:AP1191"/>
    <mergeCell ref="Z1186:AA1186"/>
    <mergeCell ref="AE1186:AF1186"/>
    <mergeCell ref="AJ1186:AK1186"/>
    <mergeCell ref="AO1186:AP1186"/>
    <mergeCell ref="Z1187:AA1187"/>
    <mergeCell ref="AE1187:AF1187"/>
    <mergeCell ref="AJ1187:AK1187"/>
    <mergeCell ref="AO1187:AP1187"/>
    <mergeCell ref="Z1188:AA1188"/>
    <mergeCell ref="AE1188:AF1188"/>
    <mergeCell ref="AJ1188:AK1188"/>
    <mergeCell ref="AO1188:AP1188"/>
    <mergeCell ref="Z1183:AA1183"/>
    <mergeCell ref="AE1183:AF1183"/>
    <mergeCell ref="AJ1183:AK1183"/>
    <mergeCell ref="AO1183:AP1183"/>
    <mergeCell ref="Z1184:AA1184"/>
    <mergeCell ref="AE1184:AF1184"/>
    <mergeCell ref="AJ1184:AK1184"/>
    <mergeCell ref="AO1184:AP1184"/>
    <mergeCell ref="Z1185:AA1185"/>
    <mergeCell ref="AE1185:AF1185"/>
    <mergeCell ref="AJ1185:AK1185"/>
    <mergeCell ref="AO1185:AP1185"/>
    <mergeCell ref="Z1180:AA1180"/>
    <mergeCell ref="AE1180:AF1180"/>
    <mergeCell ref="AJ1180:AK1180"/>
    <mergeCell ref="AO1180:AP1180"/>
    <mergeCell ref="Z1181:AA1181"/>
    <mergeCell ref="AE1181:AF1181"/>
    <mergeCell ref="AJ1181:AK1181"/>
    <mergeCell ref="AO1181:AP1181"/>
    <mergeCell ref="Z1182:AA1182"/>
    <mergeCell ref="AE1182:AF1182"/>
    <mergeCell ref="AJ1182:AK1182"/>
    <mergeCell ref="AO1182:AP1182"/>
    <mergeCell ref="Z1177:AA1177"/>
    <mergeCell ref="AE1177:AF1177"/>
    <mergeCell ref="AJ1177:AK1177"/>
    <mergeCell ref="AO1177:AP1177"/>
    <mergeCell ref="Z1178:AA1178"/>
    <mergeCell ref="AE1178:AF1178"/>
    <mergeCell ref="AJ1178:AK1178"/>
    <mergeCell ref="AO1178:AP1178"/>
    <mergeCell ref="Z1179:AA1179"/>
    <mergeCell ref="AE1179:AF1179"/>
    <mergeCell ref="AJ1179:AK1179"/>
    <mergeCell ref="AO1179:AP1179"/>
    <mergeCell ref="Z1174:AA1174"/>
    <mergeCell ref="AE1174:AF1174"/>
    <mergeCell ref="AJ1174:AK1174"/>
    <mergeCell ref="AO1174:AP1174"/>
    <mergeCell ref="Z1175:AA1175"/>
    <mergeCell ref="AE1175:AF1175"/>
    <mergeCell ref="AJ1175:AK1175"/>
    <mergeCell ref="AO1175:AP1175"/>
    <mergeCell ref="Z1176:AA1176"/>
    <mergeCell ref="AE1176:AF1176"/>
    <mergeCell ref="AJ1176:AK1176"/>
    <mergeCell ref="AO1176:AP1176"/>
    <mergeCell ref="Z1171:AA1171"/>
    <mergeCell ref="AE1171:AF1171"/>
    <mergeCell ref="AJ1171:AK1171"/>
    <mergeCell ref="AO1171:AP1171"/>
    <mergeCell ref="Z1172:AA1172"/>
    <mergeCell ref="AE1172:AF1172"/>
    <mergeCell ref="AJ1172:AK1172"/>
    <mergeCell ref="AO1172:AP1172"/>
    <mergeCell ref="Z1173:AA1173"/>
    <mergeCell ref="AE1173:AF1173"/>
    <mergeCell ref="AJ1173:AK1173"/>
    <mergeCell ref="AO1173:AP1173"/>
    <mergeCell ref="Z1168:AA1168"/>
    <mergeCell ref="AE1168:AF1168"/>
    <mergeCell ref="AJ1168:AK1168"/>
    <mergeCell ref="AO1168:AP1168"/>
    <mergeCell ref="Z1169:AA1169"/>
    <mergeCell ref="AE1169:AF1169"/>
    <mergeCell ref="AJ1169:AK1169"/>
    <mergeCell ref="AO1169:AP1169"/>
    <mergeCell ref="Z1170:AA1170"/>
    <mergeCell ref="AE1170:AF1170"/>
    <mergeCell ref="AJ1170:AK1170"/>
    <mergeCell ref="AO1170:AP1170"/>
    <mergeCell ref="Z1165:AA1165"/>
    <mergeCell ref="AE1165:AF1165"/>
    <mergeCell ref="AJ1165:AK1165"/>
    <mergeCell ref="AO1165:AP1165"/>
    <mergeCell ref="Z1166:AA1166"/>
    <mergeCell ref="AE1166:AF1166"/>
    <mergeCell ref="AJ1166:AK1166"/>
    <mergeCell ref="AO1166:AP1166"/>
    <mergeCell ref="Z1167:AA1167"/>
    <mergeCell ref="AE1167:AF1167"/>
    <mergeCell ref="AJ1167:AK1167"/>
    <mergeCell ref="AO1167:AP1167"/>
    <mergeCell ref="Z1162:AA1162"/>
    <mergeCell ref="AE1162:AF1162"/>
    <mergeCell ref="AJ1162:AK1162"/>
    <mergeCell ref="AO1162:AP1162"/>
    <mergeCell ref="Z1163:AA1163"/>
    <mergeCell ref="AE1163:AF1163"/>
    <mergeCell ref="AJ1163:AK1163"/>
    <mergeCell ref="AO1163:AP1163"/>
    <mergeCell ref="Z1164:AA1164"/>
    <mergeCell ref="AE1164:AF1164"/>
    <mergeCell ref="AJ1164:AK1164"/>
    <mergeCell ref="AO1164:AP1164"/>
    <mergeCell ref="Z1159:AA1159"/>
    <mergeCell ref="AE1159:AF1159"/>
    <mergeCell ref="AJ1159:AK1159"/>
    <mergeCell ref="AO1159:AP1159"/>
    <mergeCell ref="Z1160:AA1160"/>
    <mergeCell ref="AE1160:AF1160"/>
    <mergeCell ref="AJ1160:AK1160"/>
    <mergeCell ref="AO1160:AP1160"/>
    <mergeCell ref="Z1161:AA1161"/>
    <mergeCell ref="AE1161:AF1161"/>
    <mergeCell ref="AJ1161:AK1161"/>
    <mergeCell ref="AO1161:AP1161"/>
    <mergeCell ref="Z1156:AA1156"/>
    <mergeCell ref="AE1156:AF1156"/>
    <mergeCell ref="AJ1156:AK1156"/>
    <mergeCell ref="AO1156:AP1156"/>
    <mergeCell ref="Z1157:AA1157"/>
    <mergeCell ref="AE1157:AF1157"/>
    <mergeCell ref="AJ1157:AK1157"/>
    <mergeCell ref="AO1157:AP1157"/>
    <mergeCell ref="Z1158:AA1158"/>
    <mergeCell ref="AE1158:AF1158"/>
    <mergeCell ref="AJ1158:AK1158"/>
    <mergeCell ref="AO1158:AP1158"/>
    <mergeCell ref="Z1153:AA1153"/>
    <mergeCell ref="AE1153:AF1153"/>
    <mergeCell ref="AJ1153:AK1153"/>
    <mergeCell ref="AO1153:AP1153"/>
    <mergeCell ref="Z1154:AA1154"/>
    <mergeCell ref="AE1154:AF1154"/>
    <mergeCell ref="AJ1154:AK1154"/>
    <mergeCell ref="AO1154:AP1154"/>
    <mergeCell ref="Z1155:AA1155"/>
    <mergeCell ref="AE1155:AF1155"/>
    <mergeCell ref="AJ1155:AK1155"/>
    <mergeCell ref="AO1155:AP1155"/>
    <mergeCell ref="Z1150:AA1150"/>
    <mergeCell ref="AE1150:AF1150"/>
    <mergeCell ref="AJ1150:AK1150"/>
    <mergeCell ref="AO1150:AP1150"/>
    <mergeCell ref="Z1151:AA1151"/>
    <mergeCell ref="AE1151:AF1151"/>
    <mergeCell ref="AJ1151:AK1151"/>
    <mergeCell ref="AO1151:AP1151"/>
    <mergeCell ref="Z1152:AA1152"/>
    <mergeCell ref="AE1152:AF1152"/>
    <mergeCell ref="AJ1152:AK1152"/>
    <mergeCell ref="AO1152:AP1152"/>
    <mergeCell ref="Z1147:AA1147"/>
    <mergeCell ref="AE1147:AF1147"/>
    <mergeCell ref="AJ1147:AK1147"/>
    <mergeCell ref="AO1147:AP1147"/>
    <mergeCell ref="Z1148:AA1148"/>
    <mergeCell ref="AE1148:AF1148"/>
    <mergeCell ref="AJ1148:AK1148"/>
    <mergeCell ref="AO1148:AP1148"/>
    <mergeCell ref="Z1149:AA1149"/>
    <mergeCell ref="AE1149:AF1149"/>
    <mergeCell ref="AJ1149:AK1149"/>
    <mergeCell ref="AO1149:AP1149"/>
    <mergeCell ref="Z1144:AA1144"/>
    <mergeCell ref="AE1144:AF1144"/>
    <mergeCell ref="AJ1144:AK1144"/>
    <mergeCell ref="AO1144:AP1144"/>
    <mergeCell ref="Z1145:AA1145"/>
    <mergeCell ref="AE1145:AF1145"/>
    <mergeCell ref="AJ1145:AK1145"/>
    <mergeCell ref="AO1145:AP1145"/>
    <mergeCell ref="Z1146:AA1146"/>
    <mergeCell ref="AE1146:AF1146"/>
    <mergeCell ref="AJ1146:AK1146"/>
    <mergeCell ref="AO1146:AP1146"/>
    <mergeCell ref="Z1141:AA1141"/>
    <mergeCell ref="AE1141:AF1141"/>
    <mergeCell ref="AJ1141:AK1141"/>
    <mergeCell ref="AO1141:AP1141"/>
    <mergeCell ref="Z1142:AA1142"/>
    <mergeCell ref="AE1142:AF1142"/>
    <mergeCell ref="AJ1142:AK1142"/>
    <mergeCell ref="AO1142:AP1142"/>
    <mergeCell ref="Z1143:AA1143"/>
    <mergeCell ref="AE1143:AF1143"/>
    <mergeCell ref="AJ1143:AK1143"/>
    <mergeCell ref="AO1143:AP1143"/>
    <mergeCell ref="Z1138:AA1138"/>
    <mergeCell ref="AE1138:AF1138"/>
    <mergeCell ref="AJ1138:AK1138"/>
    <mergeCell ref="AO1138:AP1138"/>
    <mergeCell ref="Z1139:AA1139"/>
    <mergeCell ref="AE1139:AF1139"/>
    <mergeCell ref="AJ1139:AK1139"/>
    <mergeCell ref="AO1139:AP1139"/>
    <mergeCell ref="Z1140:AA1140"/>
    <mergeCell ref="AE1140:AF1140"/>
    <mergeCell ref="AJ1140:AK1140"/>
    <mergeCell ref="AO1140:AP1140"/>
    <mergeCell ref="Z1135:AA1135"/>
    <mergeCell ref="AE1135:AF1135"/>
    <mergeCell ref="AJ1135:AK1135"/>
    <mergeCell ref="AO1135:AP1135"/>
    <mergeCell ref="Z1136:AA1136"/>
    <mergeCell ref="AE1136:AF1136"/>
    <mergeCell ref="AJ1136:AK1136"/>
    <mergeCell ref="AO1136:AP1136"/>
    <mergeCell ref="Z1137:AA1137"/>
    <mergeCell ref="AE1137:AF1137"/>
    <mergeCell ref="AJ1137:AK1137"/>
    <mergeCell ref="AO1137:AP1137"/>
    <mergeCell ref="Z1132:AA1132"/>
    <mergeCell ref="AE1132:AF1132"/>
    <mergeCell ref="AJ1132:AK1132"/>
    <mergeCell ref="AO1132:AP1132"/>
    <mergeCell ref="Z1133:AA1133"/>
    <mergeCell ref="AE1133:AF1133"/>
    <mergeCell ref="AJ1133:AK1133"/>
    <mergeCell ref="AO1133:AP1133"/>
    <mergeCell ref="Z1134:AA1134"/>
    <mergeCell ref="AE1134:AF1134"/>
    <mergeCell ref="AJ1134:AK1134"/>
    <mergeCell ref="AO1134:AP1134"/>
    <mergeCell ref="Z1129:AA1129"/>
    <mergeCell ref="AE1129:AF1129"/>
    <mergeCell ref="AJ1129:AK1129"/>
    <mergeCell ref="AO1129:AP1129"/>
    <mergeCell ref="Z1130:AA1130"/>
    <mergeCell ref="AE1130:AF1130"/>
    <mergeCell ref="AJ1130:AK1130"/>
    <mergeCell ref="AO1130:AP1130"/>
    <mergeCell ref="Z1131:AA1131"/>
    <mergeCell ref="AE1131:AF1131"/>
    <mergeCell ref="AJ1131:AK1131"/>
    <mergeCell ref="AO1131:AP1131"/>
    <mergeCell ref="Z1126:AA1126"/>
    <mergeCell ref="AE1126:AF1126"/>
    <mergeCell ref="AJ1126:AK1126"/>
    <mergeCell ref="AO1126:AP1126"/>
    <mergeCell ref="Z1127:AA1127"/>
    <mergeCell ref="AE1127:AF1127"/>
    <mergeCell ref="AJ1127:AK1127"/>
    <mergeCell ref="AO1127:AP1127"/>
    <mergeCell ref="Z1128:AA1128"/>
    <mergeCell ref="AE1128:AF1128"/>
    <mergeCell ref="AJ1128:AK1128"/>
    <mergeCell ref="AO1128:AP1128"/>
    <mergeCell ref="Z1123:AA1123"/>
    <mergeCell ref="AE1123:AF1123"/>
    <mergeCell ref="AJ1123:AK1123"/>
    <mergeCell ref="AO1123:AP1123"/>
    <mergeCell ref="Z1124:AA1124"/>
    <mergeCell ref="AE1124:AF1124"/>
    <mergeCell ref="AJ1124:AK1124"/>
    <mergeCell ref="AO1124:AP1124"/>
    <mergeCell ref="Z1125:AA1125"/>
    <mergeCell ref="AE1125:AF1125"/>
    <mergeCell ref="AJ1125:AK1125"/>
    <mergeCell ref="AO1125:AP1125"/>
    <mergeCell ref="Z1120:AA1120"/>
    <mergeCell ref="AE1120:AF1120"/>
    <mergeCell ref="AJ1120:AK1120"/>
    <mergeCell ref="AO1120:AP1120"/>
    <mergeCell ref="Z1121:AA1121"/>
    <mergeCell ref="AE1121:AF1121"/>
    <mergeCell ref="AJ1121:AK1121"/>
    <mergeCell ref="AO1121:AP1121"/>
    <mergeCell ref="Z1122:AA1122"/>
    <mergeCell ref="AE1122:AF1122"/>
    <mergeCell ref="AJ1122:AK1122"/>
    <mergeCell ref="AO1122:AP1122"/>
    <mergeCell ref="Z1117:AA1117"/>
    <mergeCell ref="AE1117:AF1117"/>
    <mergeCell ref="AJ1117:AK1117"/>
    <mergeCell ref="AO1117:AP1117"/>
    <mergeCell ref="Z1118:AA1118"/>
    <mergeCell ref="AE1118:AF1118"/>
    <mergeCell ref="AJ1118:AK1118"/>
    <mergeCell ref="AO1118:AP1118"/>
    <mergeCell ref="Z1119:AA1119"/>
    <mergeCell ref="AE1119:AF1119"/>
    <mergeCell ref="AJ1119:AK1119"/>
    <mergeCell ref="AO1119:AP1119"/>
    <mergeCell ref="Z1114:AA1114"/>
    <mergeCell ref="AE1114:AF1114"/>
    <mergeCell ref="AJ1114:AK1114"/>
    <mergeCell ref="AO1114:AP1114"/>
    <mergeCell ref="Z1115:AA1115"/>
    <mergeCell ref="AE1115:AF1115"/>
    <mergeCell ref="AJ1115:AK1115"/>
    <mergeCell ref="AO1115:AP1115"/>
    <mergeCell ref="Z1116:AA1116"/>
    <mergeCell ref="AE1116:AF1116"/>
    <mergeCell ref="AJ1116:AK1116"/>
    <mergeCell ref="AO1116:AP1116"/>
    <mergeCell ref="Z1111:AA1111"/>
    <mergeCell ref="AE1111:AF1111"/>
    <mergeCell ref="AJ1111:AK1111"/>
    <mergeCell ref="AO1111:AP1111"/>
    <mergeCell ref="Z1112:AA1112"/>
    <mergeCell ref="AE1112:AF1112"/>
    <mergeCell ref="AJ1112:AK1112"/>
    <mergeCell ref="AO1112:AP1112"/>
    <mergeCell ref="Z1113:AA1113"/>
    <mergeCell ref="AE1113:AF1113"/>
    <mergeCell ref="AJ1113:AK1113"/>
    <mergeCell ref="AO1113:AP1113"/>
    <mergeCell ref="Z1108:AA1108"/>
    <mergeCell ref="AE1108:AF1108"/>
    <mergeCell ref="AJ1108:AK1108"/>
    <mergeCell ref="AO1108:AP1108"/>
    <mergeCell ref="Z1109:AA1109"/>
    <mergeCell ref="AE1109:AF1109"/>
    <mergeCell ref="AJ1109:AK1109"/>
    <mergeCell ref="AO1109:AP1109"/>
    <mergeCell ref="Z1110:AA1110"/>
    <mergeCell ref="AE1110:AF1110"/>
    <mergeCell ref="AJ1110:AK1110"/>
    <mergeCell ref="AO1110:AP1110"/>
    <mergeCell ref="Z1105:AA1105"/>
    <mergeCell ref="AE1105:AF1105"/>
    <mergeCell ref="AJ1105:AK1105"/>
    <mergeCell ref="AO1105:AP1105"/>
    <mergeCell ref="Z1106:AA1106"/>
    <mergeCell ref="AE1106:AF1106"/>
    <mergeCell ref="AJ1106:AK1106"/>
    <mergeCell ref="AO1106:AP1106"/>
    <mergeCell ref="Z1107:AA1107"/>
    <mergeCell ref="AE1107:AF1107"/>
    <mergeCell ref="AJ1107:AK1107"/>
    <mergeCell ref="AO1107:AP1107"/>
    <mergeCell ref="Z1102:AA1102"/>
    <mergeCell ref="AE1102:AF1102"/>
    <mergeCell ref="AJ1102:AK1102"/>
    <mergeCell ref="AO1102:AP1102"/>
    <mergeCell ref="Z1103:AA1103"/>
    <mergeCell ref="AE1103:AF1103"/>
    <mergeCell ref="AJ1103:AK1103"/>
    <mergeCell ref="AO1103:AP1103"/>
    <mergeCell ref="Z1104:AA1104"/>
    <mergeCell ref="AE1104:AF1104"/>
    <mergeCell ref="AJ1104:AK1104"/>
    <mergeCell ref="AO1104:AP1104"/>
    <mergeCell ref="Z1099:AA1099"/>
    <mergeCell ref="AE1099:AF1099"/>
    <mergeCell ref="AJ1099:AK1099"/>
    <mergeCell ref="AO1099:AP1099"/>
    <mergeCell ref="Z1100:AA1100"/>
    <mergeCell ref="AE1100:AF1100"/>
    <mergeCell ref="AJ1100:AK1100"/>
    <mergeCell ref="AO1100:AP1100"/>
    <mergeCell ref="Z1101:AA1101"/>
    <mergeCell ref="AE1101:AF1101"/>
    <mergeCell ref="AJ1101:AK1101"/>
    <mergeCell ref="AO1101:AP1101"/>
    <mergeCell ref="Z1096:AA1096"/>
    <mergeCell ref="AE1096:AF1096"/>
    <mergeCell ref="AJ1096:AK1096"/>
    <mergeCell ref="AO1096:AP1096"/>
    <mergeCell ref="Z1097:AA1097"/>
    <mergeCell ref="AE1097:AF1097"/>
    <mergeCell ref="AJ1097:AK1097"/>
    <mergeCell ref="AO1097:AP1097"/>
    <mergeCell ref="Z1098:AA1098"/>
    <mergeCell ref="AE1098:AF1098"/>
    <mergeCell ref="AJ1098:AK1098"/>
    <mergeCell ref="AO1098:AP1098"/>
    <mergeCell ref="Z1093:AA1093"/>
    <mergeCell ref="AE1093:AF1093"/>
    <mergeCell ref="AJ1093:AK1093"/>
    <mergeCell ref="AO1093:AP1093"/>
    <mergeCell ref="Z1094:AA1094"/>
    <mergeCell ref="AE1094:AF1094"/>
    <mergeCell ref="AJ1094:AK1094"/>
    <mergeCell ref="AO1094:AP1094"/>
    <mergeCell ref="Z1095:AA1095"/>
    <mergeCell ref="AE1095:AF1095"/>
    <mergeCell ref="AJ1095:AK1095"/>
    <mergeCell ref="AO1095:AP1095"/>
    <mergeCell ref="Z1090:AA1090"/>
    <mergeCell ref="AE1090:AF1090"/>
    <mergeCell ref="AJ1090:AK1090"/>
    <mergeCell ref="AO1090:AP1090"/>
    <mergeCell ref="Z1091:AA1091"/>
    <mergeCell ref="AE1091:AF1091"/>
    <mergeCell ref="AJ1091:AK1091"/>
    <mergeCell ref="AO1091:AP1091"/>
    <mergeCell ref="Z1092:AA1092"/>
    <mergeCell ref="AE1092:AF1092"/>
    <mergeCell ref="AJ1092:AK1092"/>
    <mergeCell ref="AO1092:AP1092"/>
    <mergeCell ref="Z1087:AA1087"/>
    <mergeCell ref="AE1087:AF1087"/>
    <mergeCell ref="AJ1087:AK1087"/>
    <mergeCell ref="AO1087:AP1087"/>
    <mergeCell ref="Z1088:AA1088"/>
    <mergeCell ref="AE1088:AF1088"/>
    <mergeCell ref="AJ1088:AK1088"/>
    <mergeCell ref="AO1088:AP1088"/>
    <mergeCell ref="Z1089:AA1089"/>
    <mergeCell ref="AE1089:AF1089"/>
    <mergeCell ref="AJ1089:AK1089"/>
    <mergeCell ref="AO1089:AP1089"/>
    <mergeCell ref="Z1084:AA1084"/>
    <mergeCell ref="AE1084:AF1084"/>
    <mergeCell ref="AJ1084:AK1084"/>
    <mergeCell ref="AO1084:AP1084"/>
    <mergeCell ref="Z1085:AA1085"/>
    <mergeCell ref="AE1085:AF1085"/>
    <mergeCell ref="AJ1085:AK1085"/>
    <mergeCell ref="AO1085:AP1085"/>
    <mergeCell ref="Z1086:AA1086"/>
    <mergeCell ref="AE1086:AF1086"/>
    <mergeCell ref="AJ1086:AK1086"/>
    <mergeCell ref="AO1086:AP1086"/>
    <mergeCell ref="Z1081:AA1081"/>
    <mergeCell ref="AE1081:AF1081"/>
    <mergeCell ref="AJ1081:AK1081"/>
    <mergeCell ref="AO1081:AP1081"/>
    <mergeCell ref="Z1082:AA1082"/>
    <mergeCell ref="AE1082:AF1082"/>
    <mergeCell ref="AJ1082:AK1082"/>
    <mergeCell ref="AO1082:AP1082"/>
    <mergeCell ref="Z1083:AA1083"/>
    <mergeCell ref="AE1083:AF1083"/>
    <mergeCell ref="AJ1083:AK1083"/>
    <mergeCell ref="AO1083:AP1083"/>
    <mergeCell ref="Z1078:AA1078"/>
    <mergeCell ref="AE1078:AF1078"/>
    <mergeCell ref="AJ1078:AK1078"/>
    <mergeCell ref="AO1078:AP1078"/>
    <mergeCell ref="Z1079:AA1079"/>
    <mergeCell ref="AE1079:AF1079"/>
    <mergeCell ref="AJ1079:AK1079"/>
    <mergeCell ref="AO1079:AP1079"/>
    <mergeCell ref="Z1080:AA1080"/>
    <mergeCell ref="AE1080:AF1080"/>
    <mergeCell ref="AJ1080:AK1080"/>
    <mergeCell ref="AO1080:AP1080"/>
    <mergeCell ref="Z1075:AA1075"/>
    <mergeCell ref="AE1075:AF1075"/>
    <mergeCell ref="AJ1075:AK1075"/>
    <mergeCell ref="AO1075:AP1075"/>
    <mergeCell ref="Z1076:AA1076"/>
    <mergeCell ref="AE1076:AF1076"/>
    <mergeCell ref="AJ1076:AK1076"/>
    <mergeCell ref="AO1076:AP1076"/>
    <mergeCell ref="Z1077:AA1077"/>
    <mergeCell ref="AE1077:AF1077"/>
    <mergeCell ref="AJ1077:AK1077"/>
    <mergeCell ref="AO1077:AP1077"/>
    <mergeCell ref="Z1072:AA1072"/>
    <mergeCell ref="AE1072:AF1072"/>
    <mergeCell ref="AJ1072:AK1072"/>
    <mergeCell ref="AO1072:AP1072"/>
    <mergeCell ref="Z1073:AA1073"/>
    <mergeCell ref="AE1073:AF1073"/>
    <mergeCell ref="AJ1073:AK1073"/>
    <mergeCell ref="AO1073:AP1073"/>
    <mergeCell ref="Z1074:AA1074"/>
    <mergeCell ref="AE1074:AF1074"/>
    <mergeCell ref="AJ1074:AK1074"/>
    <mergeCell ref="AO1074:AP1074"/>
    <mergeCell ref="Z1069:AA1069"/>
    <mergeCell ref="AE1069:AF1069"/>
    <mergeCell ref="AJ1069:AK1069"/>
    <mergeCell ref="AO1069:AP1069"/>
    <mergeCell ref="Z1070:AA1070"/>
    <mergeCell ref="AE1070:AF1070"/>
    <mergeCell ref="AJ1070:AK1070"/>
    <mergeCell ref="AO1070:AP1070"/>
    <mergeCell ref="Z1071:AA1071"/>
    <mergeCell ref="AE1071:AF1071"/>
    <mergeCell ref="AJ1071:AK1071"/>
    <mergeCell ref="AO1071:AP1071"/>
    <mergeCell ref="Z1066:AA1066"/>
    <mergeCell ref="AE1066:AF1066"/>
    <mergeCell ref="AJ1066:AK1066"/>
    <mergeCell ref="AO1066:AP1066"/>
    <mergeCell ref="Z1067:AA1067"/>
    <mergeCell ref="AE1067:AF1067"/>
    <mergeCell ref="AJ1067:AK1067"/>
    <mergeCell ref="AO1067:AP1067"/>
    <mergeCell ref="Z1068:AA1068"/>
    <mergeCell ref="AE1068:AF1068"/>
    <mergeCell ref="AJ1068:AK1068"/>
    <mergeCell ref="AO1068:AP1068"/>
    <mergeCell ref="Z1063:AA1063"/>
    <mergeCell ref="AE1063:AF1063"/>
    <mergeCell ref="AJ1063:AK1063"/>
    <mergeCell ref="AO1063:AP1063"/>
    <mergeCell ref="Z1064:AA1064"/>
    <mergeCell ref="AE1064:AF1064"/>
    <mergeCell ref="AJ1064:AK1064"/>
    <mergeCell ref="AO1064:AP1064"/>
    <mergeCell ref="Z1065:AA1065"/>
    <mergeCell ref="AE1065:AF1065"/>
    <mergeCell ref="AJ1065:AK1065"/>
    <mergeCell ref="AO1065:AP1065"/>
    <mergeCell ref="Z1060:AA1060"/>
    <mergeCell ref="AE1060:AF1060"/>
    <mergeCell ref="AJ1060:AK1060"/>
    <mergeCell ref="AO1060:AP1060"/>
    <mergeCell ref="Z1061:AA1061"/>
    <mergeCell ref="AE1061:AF1061"/>
    <mergeCell ref="AJ1061:AK1061"/>
    <mergeCell ref="AO1061:AP1061"/>
    <mergeCell ref="Z1062:AA1062"/>
    <mergeCell ref="AE1062:AF1062"/>
    <mergeCell ref="AJ1062:AK1062"/>
    <mergeCell ref="AO1062:AP1062"/>
    <mergeCell ref="Z1057:AA1057"/>
    <mergeCell ref="AE1057:AF1057"/>
    <mergeCell ref="AJ1057:AK1057"/>
    <mergeCell ref="AO1057:AP1057"/>
    <mergeCell ref="Z1058:AA1058"/>
    <mergeCell ref="AE1058:AF1058"/>
    <mergeCell ref="AJ1058:AK1058"/>
    <mergeCell ref="AO1058:AP1058"/>
    <mergeCell ref="Z1059:AA1059"/>
    <mergeCell ref="AE1059:AF1059"/>
    <mergeCell ref="AJ1059:AK1059"/>
    <mergeCell ref="AO1059:AP1059"/>
    <mergeCell ref="Z1054:AA1054"/>
    <mergeCell ref="AE1054:AF1054"/>
    <mergeCell ref="AJ1054:AK1054"/>
    <mergeCell ref="AO1054:AP1054"/>
    <mergeCell ref="Z1055:AA1055"/>
    <mergeCell ref="AE1055:AF1055"/>
    <mergeCell ref="AJ1055:AK1055"/>
    <mergeCell ref="AO1055:AP1055"/>
    <mergeCell ref="Z1056:AA1056"/>
    <mergeCell ref="AE1056:AF1056"/>
    <mergeCell ref="AJ1056:AK1056"/>
    <mergeCell ref="AO1056:AP1056"/>
    <mergeCell ref="Z1051:AA1051"/>
    <mergeCell ref="AE1051:AF1051"/>
    <mergeCell ref="AJ1051:AK1051"/>
    <mergeCell ref="AO1051:AP1051"/>
    <mergeCell ref="Z1052:AA1052"/>
    <mergeCell ref="AE1052:AF1052"/>
    <mergeCell ref="AJ1052:AK1052"/>
    <mergeCell ref="AO1052:AP1052"/>
    <mergeCell ref="Z1053:AA1053"/>
    <mergeCell ref="AE1053:AF1053"/>
    <mergeCell ref="AJ1053:AK1053"/>
    <mergeCell ref="AO1053:AP1053"/>
    <mergeCell ref="Z1048:AA1048"/>
    <mergeCell ref="AE1048:AF1048"/>
    <mergeCell ref="AJ1048:AK1048"/>
    <mergeCell ref="AO1048:AP1048"/>
    <mergeCell ref="Z1049:AA1049"/>
    <mergeCell ref="AE1049:AF1049"/>
    <mergeCell ref="AJ1049:AK1049"/>
    <mergeCell ref="AO1049:AP1049"/>
    <mergeCell ref="Z1050:AA1050"/>
    <mergeCell ref="AE1050:AF1050"/>
    <mergeCell ref="AJ1050:AK1050"/>
    <mergeCell ref="AO1050:AP1050"/>
    <mergeCell ref="Z1045:AA1045"/>
    <mergeCell ref="AE1045:AF1045"/>
    <mergeCell ref="AJ1045:AK1045"/>
    <mergeCell ref="AO1045:AP1045"/>
    <mergeCell ref="Z1046:AA1046"/>
    <mergeCell ref="AE1046:AF1046"/>
    <mergeCell ref="AJ1046:AK1046"/>
    <mergeCell ref="AO1046:AP1046"/>
    <mergeCell ref="Z1047:AA1047"/>
    <mergeCell ref="AE1047:AF1047"/>
    <mergeCell ref="AJ1047:AK1047"/>
    <mergeCell ref="AO1047:AP1047"/>
    <mergeCell ref="Z1042:AA1042"/>
    <mergeCell ref="AE1042:AF1042"/>
    <mergeCell ref="AJ1042:AK1042"/>
    <mergeCell ref="AO1042:AP1042"/>
    <mergeCell ref="Z1043:AA1043"/>
    <mergeCell ref="AE1043:AF1043"/>
    <mergeCell ref="AJ1043:AK1043"/>
    <mergeCell ref="AO1043:AP1043"/>
    <mergeCell ref="Z1044:AA1044"/>
    <mergeCell ref="AE1044:AF1044"/>
    <mergeCell ref="AJ1044:AK1044"/>
    <mergeCell ref="AO1044:AP1044"/>
    <mergeCell ref="Z1039:AA1039"/>
    <mergeCell ref="AE1039:AF1039"/>
    <mergeCell ref="AJ1039:AK1039"/>
    <mergeCell ref="AO1039:AP1039"/>
    <mergeCell ref="Z1040:AA1040"/>
    <mergeCell ref="AE1040:AF1040"/>
    <mergeCell ref="AJ1040:AK1040"/>
    <mergeCell ref="AO1040:AP1040"/>
    <mergeCell ref="Z1041:AA1041"/>
    <mergeCell ref="AE1041:AF1041"/>
    <mergeCell ref="AJ1041:AK1041"/>
    <mergeCell ref="AO1041:AP1041"/>
    <mergeCell ref="Z1036:AA1036"/>
    <mergeCell ref="AE1036:AF1036"/>
    <mergeCell ref="AJ1036:AK1036"/>
    <mergeCell ref="AO1036:AP1036"/>
    <mergeCell ref="Z1037:AA1037"/>
    <mergeCell ref="AE1037:AF1037"/>
    <mergeCell ref="AJ1037:AK1037"/>
    <mergeCell ref="AO1037:AP1037"/>
    <mergeCell ref="Z1038:AA1038"/>
    <mergeCell ref="AE1038:AF1038"/>
    <mergeCell ref="AJ1038:AK1038"/>
    <mergeCell ref="AO1038:AP1038"/>
    <mergeCell ref="Z1033:AA1033"/>
    <mergeCell ref="AE1033:AF1033"/>
    <mergeCell ref="AJ1033:AK1033"/>
    <mergeCell ref="AO1033:AP1033"/>
    <mergeCell ref="Z1034:AA1034"/>
    <mergeCell ref="AE1034:AF1034"/>
    <mergeCell ref="AJ1034:AK1034"/>
    <mergeCell ref="AO1034:AP1034"/>
    <mergeCell ref="Z1035:AA1035"/>
    <mergeCell ref="AE1035:AF1035"/>
    <mergeCell ref="AJ1035:AK1035"/>
    <mergeCell ref="AO1035:AP1035"/>
    <mergeCell ref="Z1030:AA1030"/>
    <mergeCell ref="AE1030:AF1030"/>
    <mergeCell ref="AJ1030:AK1030"/>
    <mergeCell ref="AO1030:AP1030"/>
    <mergeCell ref="Z1031:AA1031"/>
    <mergeCell ref="AE1031:AF1031"/>
    <mergeCell ref="AJ1031:AK1031"/>
    <mergeCell ref="AO1031:AP1031"/>
    <mergeCell ref="Z1032:AA1032"/>
    <mergeCell ref="AE1032:AF1032"/>
    <mergeCell ref="AJ1032:AK1032"/>
    <mergeCell ref="AO1032:AP1032"/>
    <mergeCell ref="Z1027:AA1027"/>
    <mergeCell ref="AE1027:AF1027"/>
    <mergeCell ref="AJ1027:AK1027"/>
    <mergeCell ref="AO1027:AP1027"/>
    <mergeCell ref="Z1028:AA1028"/>
    <mergeCell ref="AE1028:AF1028"/>
    <mergeCell ref="AJ1028:AK1028"/>
    <mergeCell ref="AO1028:AP1028"/>
    <mergeCell ref="Z1029:AA1029"/>
    <mergeCell ref="AE1029:AF1029"/>
    <mergeCell ref="AJ1029:AK1029"/>
    <mergeCell ref="AO1029:AP1029"/>
    <mergeCell ref="Z1024:AA1024"/>
    <mergeCell ref="AE1024:AF1024"/>
    <mergeCell ref="AJ1024:AK1024"/>
    <mergeCell ref="AO1024:AP1024"/>
    <mergeCell ref="Z1025:AA1025"/>
    <mergeCell ref="AE1025:AF1025"/>
    <mergeCell ref="AJ1025:AK1025"/>
    <mergeCell ref="AO1025:AP1025"/>
    <mergeCell ref="Z1026:AA1026"/>
    <mergeCell ref="AE1026:AF1026"/>
    <mergeCell ref="AJ1026:AK1026"/>
    <mergeCell ref="AO1026:AP1026"/>
    <mergeCell ref="Z1021:AA1021"/>
    <mergeCell ref="AE1021:AF1021"/>
    <mergeCell ref="AJ1021:AK1021"/>
    <mergeCell ref="AO1021:AP1021"/>
    <mergeCell ref="Z1022:AA1022"/>
    <mergeCell ref="AE1022:AF1022"/>
    <mergeCell ref="AJ1022:AK1022"/>
    <mergeCell ref="AO1022:AP1022"/>
    <mergeCell ref="Z1023:AA1023"/>
    <mergeCell ref="AE1023:AF1023"/>
    <mergeCell ref="AJ1023:AK1023"/>
    <mergeCell ref="AO1023:AP1023"/>
    <mergeCell ref="Z1018:AA1018"/>
    <mergeCell ref="AE1018:AF1018"/>
    <mergeCell ref="AJ1018:AK1018"/>
    <mergeCell ref="AO1018:AP1018"/>
    <mergeCell ref="Z1019:AA1019"/>
    <mergeCell ref="AE1019:AF1019"/>
    <mergeCell ref="AJ1019:AK1019"/>
    <mergeCell ref="AO1019:AP1019"/>
    <mergeCell ref="Z1020:AA1020"/>
    <mergeCell ref="AE1020:AF1020"/>
    <mergeCell ref="AJ1020:AK1020"/>
    <mergeCell ref="AO1020:AP1020"/>
    <mergeCell ref="Z1015:AA1015"/>
    <mergeCell ref="AE1015:AF1015"/>
    <mergeCell ref="AJ1015:AK1015"/>
    <mergeCell ref="AO1015:AP1015"/>
    <mergeCell ref="Z1016:AA1016"/>
    <mergeCell ref="AE1016:AF1016"/>
    <mergeCell ref="AJ1016:AK1016"/>
    <mergeCell ref="AO1016:AP1016"/>
    <mergeCell ref="Z1017:AA1017"/>
    <mergeCell ref="AE1017:AF1017"/>
    <mergeCell ref="AJ1017:AK1017"/>
    <mergeCell ref="AO1017:AP1017"/>
    <mergeCell ref="Z1012:AA1012"/>
    <mergeCell ref="AE1012:AF1012"/>
    <mergeCell ref="AJ1012:AK1012"/>
    <mergeCell ref="AO1012:AP1012"/>
    <mergeCell ref="Z1013:AA1013"/>
    <mergeCell ref="AE1013:AF1013"/>
    <mergeCell ref="AJ1013:AK1013"/>
    <mergeCell ref="AO1013:AP1013"/>
    <mergeCell ref="Z1014:AA1014"/>
    <mergeCell ref="AE1014:AF1014"/>
    <mergeCell ref="AJ1014:AK1014"/>
    <mergeCell ref="AO1014:AP1014"/>
    <mergeCell ref="Z1009:AA1009"/>
    <mergeCell ref="AE1009:AF1009"/>
    <mergeCell ref="AJ1009:AK1009"/>
    <mergeCell ref="AO1009:AP1009"/>
    <mergeCell ref="Z1010:AA1010"/>
    <mergeCell ref="AE1010:AF1010"/>
    <mergeCell ref="AJ1010:AK1010"/>
    <mergeCell ref="AO1010:AP1010"/>
    <mergeCell ref="Z1011:AA1011"/>
    <mergeCell ref="AE1011:AF1011"/>
    <mergeCell ref="AJ1011:AK1011"/>
    <mergeCell ref="AO1011:AP1011"/>
    <mergeCell ref="Z1006:AA1006"/>
    <mergeCell ref="AE1006:AF1006"/>
    <mergeCell ref="AJ1006:AK1006"/>
    <mergeCell ref="AO1006:AP1006"/>
    <mergeCell ref="Z1007:AA1007"/>
    <mergeCell ref="AE1007:AF1007"/>
    <mergeCell ref="AJ1007:AK1007"/>
    <mergeCell ref="AO1007:AP1007"/>
    <mergeCell ref="Z1008:AA1008"/>
    <mergeCell ref="AE1008:AF1008"/>
    <mergeCell ref="AJ1008:AK1008"/>
    <mergeCell ref="AO1008:AP1008"/>
    <mergeCell ref="Z1003:AA1003"/>
    <mergeCell ref="AE1003:AF1003"/>
    <mergeCell ref="AJ1003:AK1003"/>
    <mergeCell ref="AO1003:AP1003"/>
    <mergeCell ref="Z1004:AA1004"/>
    <mergeCell ref="AE1004:AF1004"/>
    <mergeCell ref="AJ1004:AK1004"/>
    <mergeCell ref="AO1004:AP1004"/>
    <mergeCell ref="Z1005:AA1005"/>
    <mergeCell ref="AE1005:AF1005"/>
    <mergeCell ref="AJ1005:AK1005"/>
    <mergeCell ref="AO1005:AP1005"/>
    <mergeCell ref="Z1000:AA1000"/>
    <mergeCell ref="AE1000:AF1000"/>
    <mergeCell ref="AJ1000:AK1000"/>
    <mergeCell ref="AO1000:AP1000"/>
    <mergeCell ref="Z1001:AA1001"/>
    <mergeCell ref="AE1001:AF1001"/>
    <mergeCell ref="AJ1001:AK1001"/>
    <mergeCell ref="AO1001:AP1001"/>
    <mergeCell ref="Z1002:AA1002"/>
    <mergeCell ref="AE1002:AF1002"/>
    <mergeCell ref="AJ1002:AK1002"/>
    <mergeCell ref="AO1002:AP1002"/>
    <mergeCell ref="Z997:AA997"/>
    <mergeCell ref="AE997:AF997"/>
    <mergeCell ref="AJ997:AK997"/>
    <mergeCell ref="AO997:AP997"/>
    <mergeCell ref="Z998:AA998"/>
    <mergeCell ref="AE998:AF998"/>
    <mergeCell ref="AJ998:AK998"/>
    <mergeCell ref="AO998:AP998"/>
    <mergeCell ref="Z999:AA999"/>
    <mergeCell ref="AE999:AF999"/>
    <mergeCell ref="AJ999:AK999"/>
    <mergeCell ref="AO999:AP999"/>
    <mergeCell ref="Z994:AA994"/>
    <mergeCell ref="AE994:AF994"/>
    <mergeCell ref="AJ994:AK994"/>
    <mergeCell ref="AO994:AP994"/>
    <mergeCell ref="Z995:AA995"/>
    <mergeCell ref="AE995:AF995"/>
    <mergeCell ref="AJ995:AK995"/>
    <mergeCell ref="AO995:AP995"/>
    <mergeCell ref="Z996:AA996"/>
    <mergeCell ref="AE996:AF996"/>
    <mergeCell ref="AJ996:AK996"/>
    <mergeCell ref="AO996:AP996"/>
    <mergeCell ref="Z991:AA991"/>
    <mergeCell ref="AE991:AF991"/>
    <mergeCell ref="AJ991:AK991"/>
    <mergeCell ref="AO991:AP991"/>
    <mergeCell ref="Z992:AA992"/>
    <mergeCell ref="AE992:AF992"/>
    <mergeCell ref="AJ992:AK992"/>
    <mergeCell ref="AO992:AP992"/>
    <mergeCell ref="Z993:AA993"/>
    <mergeCell ref="AE993:AF993"/>
    <mergeCell ref="AJ993:AK993"/>
    <mergeCell ref="AO993:AP993"/>
    <mergeCell ref="Z988:AA988"/>
    <mergeCell ref="AE988:AF988"/>
    <mergeCell ref="AJ988:AK988"/>
    <mergeCell ref="AO988:AP988"/>
    <mergeCell ref="Z989:AA989"/>
    <mergeCell ref="AE989:AF989"/>
    <mergeCell ref="AJ989:AK989"/>
    <mergeCell ref="AO989:AP989"/>
    <mergeCell ref="Z990:AA990"/>
    <mergeCell ref="AE990:AF990"/>
    <mergeCell ref="AJ990:AK990"/>
    <mergeCell ref="AO990:AP990"/>
    <mergeCell ref="Z985:AA985"/>
    <mergeCell ref="AE985:AF985"/>
    <mergeCell ref="AJ985:AK985"/>
    <mergeCell ref="AO985:AP985"/>
    <mergeCell ref="Z986:AA986"/>
    <mergeCell ref="AE986:AF986"/>
    <mergeCell ref="AJ986:AK986"/>
    <mergeCell ref="AO986:AP986"/>
    <mergeCell ref="Z987:AA987"/>
    <mergeCell ref="AE987:AF987"/>
    <mergeCell ref="AJ987:AK987"/>
    <mergeCell ref="AO987:AP987"/>
    <mergeCell ref="Z982:AA982"/>
    <mergeCell ref="AE982:AF982"/>
    <mergeCell ref="AJ982:AK982"/>
    <mergeCell ref="AO982:AP982"/>
    <mergeCell ref="Z983:AA983"/>
    <mergeCell ref="AE983:AF983"/>
    <mergeCell ref="AJ983:AK983"/>
    <mergeCell ref="AO983:AP983"/>
    <mergeCell ref="Z984:AA984"/>
    <mergeCell ref="AE984:AF984"/>
    <mergeCell ref="AJ984:AK984"/>
    <mergeCell ref="AO984:AP984"/>
    <mergeCell ref="Z979:AA979"/>
    <mergeCell ref="AE979:AF979"/>
    <mergeCell ref="AJ979:AK979"/>
    <mergeCell ref="AO979:AP979"/>
    <mergeCell ref="Z980:AA980"/>
    <mergeCell ref="AE980:AF980"/>
    <mergeCell ref="AJ980:AK980"/>
    <mergeCell ref="AO980:AP980"/>
    <mergeCell ref="Z981:AA981"/>
    <mergeCell ref="AE981:AF981"/>
    <mergeCell ref="AJ981:AK981"/>
    <mergeCell ref="AO981:AP981"/>
    <mergeCell ref="Z976:AA976"/>
    <mergeCell ref="AE976:AF976"/>
    <mergeCell ref="AJ976:AK976"/>
    <mergeCell ref="AO976:AP976"/>
    <mergeCell ref="Z977:AA977"/>
    <mergeCell ref="AE977:AF977"/>
    <mergeCell ref="AJ977:AK977"/>
    <mergeCell ref="AO977:AP977"/>
    <mergeCell ref="Z978:AA978"/>
    <mergeCell ref="AE978:AF978"/>
    <mergeCell ref="AJ978:AK978"/>
    <mergeCell ref="AO978:AP978"/>
    <mergeCell ref="Z973:AA973"/>
    <mergeCell ref="AE973:AF973"/>
    <mergeCell ref="AJ973:AK973"/>
    <mergeCell ref="AO973:AP973"/>
    <mergeCell ref="Z974:AA974"/>
    <mergeCell ref="AE974:AF974"/>
    <mergeCell ref="AJ974:AK974"/>
    <mergeCell ref="AO974:AP974"/>
    <mergeCell ref="Z975:AA975"/>
    <mergeCell ref="AE975:AF975"/>
    <mergeCell ref="AJ975:AK975"/>
    <mergeCell ref="AO975:AP975"/>
    <mergeCell ref="Z970:AA970"/>
    <mergeCell ref="AE970:AF970"/>
    <mergeCell ref="AJ970:AK970"/>
    <mergeCell ref="AO970:AP970"/>
    <mergeCell ref="Z971:AA971"/>
    <mergeCell ref="AE971:AF971"/>
    <mergeCell ref="AJ971:AK971"/>
    <mergeCell ref="AO971:AP971"/>
    <mergeCell ref="Z972:AA972"/>
    <mergeCell ref="AE972:AF972"/>
    <mergeCell ref="AJ972:AK972"/>
    <mergeCell ref="AO972:AP972"/>
    <mergeCell ref="Z967:AA967"/>
    <mergeCell ref="AE967:AF967"/>
    <mergeCell ref="AJ967:AK967"/>
    <mergeCell ref="AO967:AP967"/>
    <mergeCell ref="Z968:AA968"/>
    <mergeCell ref="AE968:AF968"/>
    <mergeCell ref="AJ968:AK968"/>
    <mergeCell ref="AO968:AP968"/>
    <mergeCell ref="Z969:AA969"/>
    <mergeCell ref="AE969:AF969"/>
    <mergeCell ref="AJ969:AK969"/>
    <mergeCell ref="AO969:AP969"/>
    <mergeCell ref="Z964:AA964"/>
    <mergeCell ref="AE964:AF964"/>
    <mergeCell ref="AJ964:AK964"/>
    <mergeCell ref="AO964:AP964"/>
    <mergeCell ref="Z965:AA965"/>
    <mergeCell ref="AE965:AF965"/>
    <mergeCell ref="AJ965:AK965"/>
    <mergeCell ref="AO965:AP965"/>
    <mergeCell ref="Z966:AA966"/>
    <mergeCell ref="AE966:AF966"/>
    <mergeCell ref="AJ966:AK966"/>
    <mergeCell ref="AO966:AP966"/>
    <mergeCell ref="Z961:AA961"/>
    <mergeCell ref="AE961:AF961"/>
    <mergeCell ref="AJ961:AK961"/>
    <mergeCell ref="AO961:AP961"/>
    <mergeCell ref="Z962:AA962"/>
    <mergeCell ref="AE962:AF962"/>
    <mergeCell ref="AJ962:AK962"/>
    <mergeCell ref="AO962:AP962"/>
    <mergeCell ref="Z963:AA963"/>
    <mergeCell ref="AE963:AF963"/>
    <mergeCell ref="AJ963:AK963"/>
    <mergeCell ref="AO963:AP963"/>
    <mergeCell ref="Z958:AA958"/>
    <mergeCell ref="AE958:AF958"/>
    <mergeCell ref="AJ958:AK958"/>
    <mergeCell ref="AO958:AP958"/>
    <mergeCell ref="Z959:AA959"/>
    <mergeCell ref="AE959:AF959"/>
    <mergeCell ref="AJ959:AK959"/>
    <mergeCell ref="AO959:AP959"/>
    <mergeCell ref="Z960:AA960"/>
    <mergeCell ref="AE960:AF960"/>
    <mergeCell ref="AJ960:AK960"/>
    <mergeCell ref="AO960:AP960"/>
    <mergeCell ref="Z955:AA955"/>
    <mergeCell ref="AE955:AF955"/>
    <mergeCell ref="AJ955:AK955"/>
    <mergeCell ref="AO955:AP955"/>
    <mergeCell ref="Z956:AA956"/>
    <mergeCell ref="AE956:AF956"/>
    <mergeCell ref="AJ956:AK956"/>
    <mergeCell ref="AO956:AP956"/>
    <mergeCell ref="Z957:AA957"/>
    <mergeCell ref="AE957:AF957"/>
    <mergeCell ref="AJ957:AK957"/>
    <mergeCell ref="AO957:AP957"/>
    <mergeCell ref="Z952:AA952"/>
    <mergeCell ref="AE952:AF952"/>
    <mergeCell ref="AJ952:AK952"/>
    <mergeCell ref="AO952:AP952"/>
    <mergeCell ref="Z953:AA953"/>
    <mergeCell ref="AE953:AF953"/>
    <mergeCell ref="AJ953:AK953"/>
    <mergeCell ref="AO953:AP953"/>
    <mergeCell ref="Z954:AA954"/>
    <mergeCell ref="AE954:AF954"/>
    <mergeCell ref="AJ954:AK954"/>
    <mergeCell ref="AO954:AP954"/>
    <mergeCell ref="Z949:AA949"/>
    <mergeCell ref="AE949:AF949"/>
    <mergeCell ref="AJ949:AK949"/>
    <mergeCell ref="AO949:AP949"/>
    <mergeCell ref="Z950:AA950"/>
    <mergeCell ref="AE950:AF950"/>
    <mergeCell ref="AJ950:AK950"/>
    <mergeCell ref="AO950:AP950"/>
    <mergeCell ref="Z951:AA951"/>
    <mergeCell ref="AE951:AF951"/>
    <mergeCell ref="AJ951:AK951"/>
    <mergeCell ref="AO951:AP951"/>
    <mergeCell ref="Z946:AA946"/>
    <mergeCell ref="AE946:AF946"/>
    <mergeCell ref="AJ946:AK946"/>
    <mergeCell ref="AO946:AP946"/>
    <mergeCell ref="Z947:AA947"/>
    <mergeCell ref="AE947:AF947"/>
    <mergeCell ref="AJ947:AK947"/>
    <mergeCell ref="AO947:AP947"/>
    <mergeCell ref="Z948:AA948"/>
    <mergeCell ref="AE948:AF948"/>
    <mergeCell ref="AJ948:AK948"/>
    <mergeCell ref="AO948:AP948"/>
    <mergeCell ref="Z943:AA943"/>
    <mergeCell ref="AE943:AF943"/>
    <mergeCell ref="AJ943:AK943"/>
    <mergeCell ref="AO943:AP943"/>
    <mergeCell ref="Z944:AA944"/>
    <mergeCell ref="AE944:AF944"/>
    <mergeCell ref="AJ944:AK944"/>
    <mergeCell ref="AO944:AP944"/>
    <mergeCell ref="Z945:AA945"/>
    <mergeCell ref="AE945:AF945"/>
    <mergeCell ref="AJ945:AK945"/>
    <mergeCell ref="AO945:AP945"/>
    <mergeCell ref="Z940:AA940"/>
    <mergeCell ref="AE940:AF940"/>
    <mergeCell ref="AJ940:AK940"/>
    <mergeCell ref="AO940:AP940"/>
    <mergeCell ref="Z941:AA941"/>
    <mergeCell ref="AE941:AF941"/>
    <mergeCell ref="AJ941:AK941"/>
    <mergeCell ref="AO941:AP941"/>
    <mergeCell ref="Z942:AA942"/>
    <mergeCell ref="AE942:AF942"/>
    <mergeCell ref="AJ942:AK942"/>
    <mergeCell ref="AO942:AP942"/>
    <mergeCell ref="Z937:AA937"/>
    <mergeCell ref="AE937:AF937"/>
    <mergeCell ref="AJ937:AK937"/>
    <mergeCell ref="AO937:AP937"/>
    <mergeCell ref="Z938:AA938"/>
    <mergeCell ref="AE938:AF938"/>
    <mergeCell ref="AJ938:AK938"/>
    <mergeCell ref="AO938:AP938"/>
    <mergeCell ref="Z939:AA939"/>
    <mergeCell ref="AE939:AF939"/>
    <mergeCell ref="AJ939:AK939"/>
    <mergeCell ref="AO939:AP939"/>
    <mergeCell ref="Z934:AA934"/>
    <mergeCell ref="AE934:AF934"/>
    <mergeCell ref="AJ934:AK934"/>
    <mergeCell ref="AO934:AP934"/>
    <mergeCell ref="Z935:AA935"/>
    <mergeCell ref="AE935:AF935"/>
    <mergeCell ref="AJ935:AK935"/>
    <mergeCell ref="AO935:AP935"/>
    <mergeCell ref="Z936:AA936"/>
    <mergeCell ref="AE936:AF936"/>
    <mergeCell ref="AJ936:AK936"/>
    <mergeCell ref="AO936:AP936"/>
    <mergeCell ref="Z931:AA931"/>
    <mergeCell ref="AE931:AF931"/>
    <mergeCell ref="AJ931:AK931"/>
    <mergeCell ref="AO931:AP931"/>
    <mergeCell ref="Z932:AA932"/>
    <mergeCell ref="AE932:AF932"/>
    <mergeCell ref="AJ932:AK932"/>
    <mergeCell ref="AO932:AP932"/>
    <mergeCell ref="Z933:AA933"/>
    <mergeCell ref="AE933:AF933"/>
    <mergeCell ref="AJ933:AK933"/>
    <mergeCell ref="AO933:AP933"/>
    <mergeCell ref="Z928:AA928"/>
    <mergeCell ref="AE928:AF928"/>
    <mergeCell ref="AJ928:AK928"/>
    <mergeCell ref="AO928:AP928"/>
    <mergeCell ref="Z929:AA929"/>
    <mergeCell ref="AE929:AF929"/>
    <mergeCell ref="AJ929:AK929"/>
    <mergeCell ref="AO929:AP929"/>
    <mergeCell ref="Z930:AA930"/>
    <mergeCell ref="AE930:AF930"/>
    <mergeCell ref="AJ930:AK930"/>
    <mergeCell ref="AO930:AP930"/>
    <mergeCell ref="Z925:AA925"/>
    <mergeCell ref="AE925:AF925"/>
    <mergeCell ref="AJ925:AK925"/>
    <mergeCell ref="AO925:AP925"/>
    <mergeCell ref="Z926:AA926"/>
    <mergeCell ref="AE926:AF926"/>
    <mergeCell ref="AJ926:AK926"/>
    <mergeCell ref="AO926:AP926"/>
    <mergeCell ref="Z927:AA927"/>
    <mergeCell ref="AE927:AF927"/>
    <mergeCell ref="AJ927:AK927"/>
    <mergeCell ref="AO927:AP927"/>
    <mergeCell ref="Z922:AA922"/>
    <mergeCell ref="AE922:AF922"/>
    <mergeCell ref="AJ922:AK922"/>
    <mergeCell ref="AO922:AP922"/>
    <mergeCell ref="Z923:AA923"/>
    <mergeCell ref="AE923:AF923"/>
    <mergeCell ref="AJ923:AK923"/>
    <mergeCell ref="AO923:AP923"/>
    <mergeCell ref="Z924:AA924"/>
    <mergeCell ref="AE924:AF924"/>
    <mergeCell ref="AJ924:AK924"/>
    <mergeCell ref="AO924:AP924"/>
    <mergeCell ref="Z919:AA919"/>
    <mergeCell ref="AE919:AF919"/>
    <mergeCell ref="AJ919:AK919"/>
    <mergeCell ref="AO919:AP919"/>
    <mergeCell ref="Z920:AA920"/>
    <mergeCell ref="AE920:AF920"/>
    <mergeCell ref="AJ920:AK920"/>
    <mergeCell ref="AO920:AP920"/>
    <mergeCell ref="Z921:AA921"/>
    <mergeCell ref="AE921:AF921"/>
    <mergeCell ref="AJ921:AK921"/>
    <mergeCell ref="AO921:AP921"/>
    <mergeCell ref="Z916:AA916"/>
    <mergeCell ref="AE916:AF916"/>
    <mergeCell ref="AJ916:AK916"/>
    <mergeCell ref="AO916:AP916"/>
    <mergeCell ref="Z917:AA917"/>
    <mergeCell ref="AE917:AF917"/>
    <mergeCell ref="AJ917:AK917"/>
    <mergeCell ref="AO917:AP917"/>
    <mergeCell ref="Z918:AA918"/>
    <mergeCell ref="AE918:AF918"/>
    <mergeCell ref="AJ918:AK918"/>
    <mergeCell ref="AO918:AP918"/>
    <mergeCell ref="Z913:AA913"/>
    <mergeCell ref="AE913:AF913"/>
    <mergeCell ref="AJ913:AK913"/>
    <mergeCell ref="AO913:AP913"/>
    <mergeCell ref="Z914:AA914"/>
    <mergeCell ref="AE914:AF914"/>
    <mergeCell ref="AJ914:AK914"/>
    <mergeCell ref="AO914:AP914"/>
    <mergeCell ref="Z915:AA915"/>
    <mergeCell ref="AE915:AF915"/>
    <mergeCell ref="AJ915:AK915"/>
    <mergeCell ref="AO915:AP915"/>
    <mergeCell ref="Z910:AA910"/>
    <mergeCell ref="AE910:AF910"/>
    <mergeCell ref="AJ910:AK910"/>
    <mergeCell ref="AO910:AP910"/>
    <mergeCell ref="Z911:AA911"/>
    <mergeCell ref="AE911:AF911"/>
    <mergeCell ref="AJ911:AK911"/>
    <mergeCell ref="AO911:AP911"/>
    <mergeCell ref="Z912:AA912"/>
    <mergeCell ref="AE912:AF912"/>
    <mergeCell ref="AJ912:AK912"/>
    <mergeCell ref="AO912:AP912"/>
    <mergeCell ref="Z907:AA907"/>
    <mergeCell ref="AE907:AF907"/>
    <mergeCell ref="AJ907:AK907"/>
    <mergeCell ref="AO907:AP907"/>
    <mergeCell ref="Z908:AA908"/>
    <mergeCell ref="AE908:AF908"/>
    <mergeCell ref="AJ908:AK908"/>
    <mergeCell ref="AO908:AP908"/>
    <mergeCell ref="Z909:AA909"/>
    <mergeCell ref="AE909:AF909"/>
    <mergeCell ref="AJ909:AK909"/>
    <mergeCell ref="AO909:AP909"/>
    <mergeCell ref="Z904:AA904"/>
    <mergeCell ref="AE904:AF904"/>
    <mergeCell ref="AJ904:AK904"/>
    <mergeCell ref="AO904:AP904"/>
    <mergeCell ref="Z905:AA905"/>
    <mergeCell ref="AE905:AF905"/>
    <mergeCell ref="AJ905:AK905"/>
    <mergeCell ref="AO905:AP905"/>
    <mergeCell ref="Z906:AA906"/>
    <mergeCell ref="AE906:AF906"/>
    <mergeCell ref="AJ906:AK906"/>
    <mergeCell ref="AO906:AP906"/>
    <mergeCell ref="Z901:AA901"/>
    <mergeCell ref="AE901:AF901"/>
    <mergeCell ref="AJ901:AK901"/>
    <mergeCell ref="AO901:AP901"/>
    <mergeCell ref="Z902:AA902"/>
    <mergeCell ref="AE902:AF902"/>
    <mergeCell ref="AJ902:AK902"/>
    <mergeCell ref="AO902:AP902"/>
    <mergeCell ref="Z903:AA903"/>
    <mergeCell ref="AE903:AF903"/>
    <mergeCell ref="AJ903:AK903"/>
    <mergeCell ref="AO903:AP903"/>
    <mergeCell ref="Z898:AA898"/>
    <mergeCell ref="AE898:AF898"/>
    <mergeCell ref="AJ898:AK898"/>
    <mergeCell ref="AO898:AP898"/>
    <mergeCell ref="Z899:AA899"/>
    <mergeCell ref="AE899:AF899"/>
    <mergeCell ref="AJ899:AK899"/>
    <mergeCell ref="AO899:AP899"/>
    <mergeCell ref="Z900:AA900"/>
    <mergeCell ref="AE900:AF900"/>
    <mergeCell ref="AJ900:AK900"/>
    <mergeCell ref="AO900:AP900"/>
    <mergeCell ref="Z895:AA895"/>
    <mergeCell ref="AE895:AF895"/>
    <mergeCell ref="AJ895:AK895"/>
    <mergeCell ref="AO895:AP895"/>
    <mergeCell ref="Z896:AA896"/>
    <mergeCell ref="AE896:AF896"/>
    <mergeCell ref="AJ896:AK896"/>
    <mergeCell ref="AO896:AP896"/>
    <mergeCell ref="Z897:AA897"/>
    <mergeCell ref="AE897:AF897"/>
    <mergeCell ref="AJ897:AK897"/>
    <mergeCell ref="AO897:AP897"/>
    <mergeCell ref="Z892:AA892"/>
    <mergeCell ref="AE892:AF892"/>
    <mergeCell ref="AJ892:AK892"/>
    <mergeCell ref="AO892:AP892"/>
    <mergeCell ref="Z893:AA893"/>
    <mergeCell ref="AE893:AF893"/>
    <mergeCell ref="AJ893:AK893"/>
    <mergeCell ref="AO893:AP893"/>
    <mergeCell ref="Z894:AA894"/>
    <mergeCell ref="AE894:AF894"/>
    <mergeCell ref="AJ894:AK894"/>
    <mergeCell ref="AO894:AP894"/>
    <mergeCell ref="Z889:AA889"/>
    <mergeCell ref="AE889:AF889"/>
    <mergeCell ref="AJ889:AK889"/>
    <mergeCell ref="AO889:AP889"/>
    <mergeCell ref="Z890:AA890"/>
    <mergeCell ref="AE890:AF890"/>
    <mergeCell ref="AJ890:AK890"/>
    <mergeCell ref="AO890:AP890"/>
    <mergeCell ref="Z891:AA891"/>
    <mergeCell ref="AE891:AF891"/>
    <mergeCell ref="AJ891:AK891"/>
    <mergeCell ref="AO891:AP891"/>
    <mergeCell ref="Z886:AA886"/>
    <mergeCell ref="AE886:AF886"/>
    <mergeCell ref="AJ886:AK886"/>
    <mergeCell ref="AO886:AP886"/>
    <mergeCell ref="Z887:AA887"/>
    <mergeCell ref="AE887:AF887"/>
    <mergeCell ref="AJ887:AK887"/>
    <mergeCell ref="AO887:AP887"/>
    <mergeCell ref="Z888:AA888"/>
    <mergeCell ref="AE888:AF888"/>
    <mergeCell ref="AJ888:AK888"/>
    <mergeCell ref="AO888:AP888"/>
    <mergeCell ref="Z883:AA883"/>
    <mergeCell ref="AE883:AF883"/>
    <mergeCell ref="AJ883:AK883"/>
    <mergeCell ref="AO883:AP883"/>
    <mergeCell ref="Z884:AA884"/>
    <mergeCell ref="AE884:AF884"/>
    <mergeCell ref="AJ884:AK884"/>
    <mergeCell ref="AO884:AP884"/>
    <mergeCell ref="Z885:AA885"/>
    <mergeCell ref="AE885:AF885"/>
    <mergeCell ref="AJ885:AK885"/>
    <mergeCell ref="AO885:AP885"/>
    <mergeCell ref="Z880:AA880"/>
    <mergeCell ref="AE880:AF880"/>
    <mergeCell ref="AJ880:AK880"/>
    <mergeCell ref="AO880:AP880"/>
    <mergeCell ref="Z881:AA881"/>
    <mergeCell ref="AE881:AF881"/>
    <mergeCell ref="AJ881:AK881"/>
    <mergeCell ref="AO881:AP881"/>
    <mergeCell ref="Z882:AA882"/>
    <mergeCell ref="AE882:AF882"/>
    <mergeCell ref="AJ882:AK882"/>
    <mergeCell ref="AO882:AP882"/>
    <mergeCell ref="Z877:AA877"/>
    <mergeCell ref="AE877:AF877"/>
    <mergeCell ref="AJ877:AK877"/>
    <mergeCell ref="AO877:AP877"/>
    <mergeCell ref="Z878:AA878"/>
    <mergeCell ref="AE878:AF878"/>
    <mergeCell ref="AJ878:AK878"/>
    <mergeCell ref="AO878:AP878"/>
    <mergeCell ref="Z879:AA879"/>
    <mergeCell ref="AE879:AF879"/>
    <mergeCell ref="AJ879:AK879"/>
    <mergeCell ref="AO879:AP879"/>
    <mergeCell ref="Z874:AA874"/>
    <mergeCell ref="AE874:AF874"/>
    <mergeCell ref="AJ874:AK874"/>
    <mergeCell ref="AO874:AP874"/>
    <mergeCell ref="Z875:AA875"/>
    <mergeCell ref="AE875:AF875"/>
    <mergeCell ref="AJ875:AK875"/>
    <mergeCell ref="AO875:AP875"/>
    <mergeCell ref="Z876:AA876"/>
    <mergeCell ref="AE876:AF876"/>
    <mergeCell ref="AJ876:AK876"/>
    <mergeCell ref="AO876:AP876"/>
    <mergeCell ref="Z871:AA871"/>
    <mergeCell ref="AE871:AF871"/>
    <mergeCell ref="AJ871:AK871"/>
    <mergeCell ref="AO871:AP871"/>
    <mergeCell ref="Z872:AA872"/>
    <mergeCell ref="AE872:AF872"/>
    <mergeCell ref="AJ872:AK872"/>
    <mergeCell ref="AO872:AP872"/>
    <mergeCell ref="Z873:AA873"/>
    <mergeCell ref="AE873:AF873"/>
    <mergeCell ref="AJ873:AK873"/>
    <mergeCell ref="AO873:AP873"/>
    <mergeCell ref="Z868:AA868"/>
    <mergeCell ref="AE868:AF868"/>
    <mergeCell ref="AJ868:AK868"/>
    <mergeCell ref="AO868:AP868"/>
    <mergeCell ref="Z869:AA869"/>
    <mergeCell ref="AE869:AF869"/>
    <mergeCell ref="AJ869:AK869"/>
    <mergeCell ref="AO869:AP869"/>
    <mergeCell ref="Z870:AA870"/>
    <mergeCell ref="AE870:AF870"/>
    <mergeCell ref="AJ870:AK870"/>
    <mergeCell ref="AO870:AP870"/>
    <mergeCell ref="Z865:AA865"/>
    <mergeCell ref="AE865:AF865"/>
    <mergeCell ref="AJ865:AK865"/>
    <mergeCell ref="AO865:AP865"/>
    <mergeCell ref="Z866:AA866"/>
    <mergeCell ref="AE866:AF866"/>
    <mergeCell ref="AJ866:AK866"/>
    <mergeCell ref="AO866:AP866"/>
    <mergeCell ref="Z867:AA867"/>
    <mergeCell ref="AE867:AF867"/>
    <mergeCell ref="AJ867:AK867"/>
    <mergeCell ref="AO867:AP867"/>
    <mergeCell ref="Z862:AA862"/>
    <mergeCell ref="AE862:AF862"/>
    <mergeCell ref="AJ862:AK862"/>
    <mergeCell ref="AO862:AP862"/>
    <mergeCell ref="Z863:AA863"/>
    <mergeCell ref="AE863:AF863"/>
    <mergeCell ref="AJ863:AK863"/>
    <mergeCell ref="AO863:AP863"/>
    <mergeCell ref="Z864:AA864"/>
    <mergeCell ref="AE864:AF864"/>
    <mergeCell ref="AJ864:AK864"/>
    <mergeCell ref="AO864:AP864"/>
    <mergeCell ref="Z859:AA859"/>
    <mergeCell ref="AE859:AF859"/>
    <mergeCell ref="AJ859:AK859"/>
    <mergeCell ref="AO859:AP859"/>
    <mergeCell ref="Z860:AA860"/>
    <mergeCell ref="AE860:AF860"/>
    <mergeCell ref="AJ860:AK860"/>
    <mergeCell ref="AO860:AP860"/>
    <mergeCell ref="Z861:AA861"/>
    <mergeCell ref="AE861:AF861"/>
    <mergeCell ref="AJ861:AK861"/>
    <mergeCell ref="AO861:AP861"/>
    <mergeCell ref="Z856:AA856"/>
    <mergeCell ref="AE856:AF856"/>
    <mergeCell ref="AJ856:AK856"/>
    <mergeCell ref="AO856:AP856"/>
    <mergeCell ref="Z857:AA857"/>
    <mergeCell ref="AE857:AF857"/>
    <mergeCell ref="AJ857:AK857"/>
    <mergeCell ref="AO857:AP857"/>
    <mergeCell ref="Z858:AA858"/>
    <mergeCell ref="AE858:AF858"/>
    <mergeCell ref="AJ858:AK858"/>
    <mergeCell ref="AO858:AP858"/>
    <mergeCell ref="Z853:AA853"/>
    <mergeCell ref="AE853:AF853"/>
    <mergeCell ref="AJ853:AK853"/>
    <mergeCell ref="AO853:AP853"/>
    <mergeCell ref="Z854:AA854"/>
    <mergeCell ref="AE854:AF854"/>
    <mergeCell ref="AJ854:AK854"/>
    <mergeCell ref="AO854:AP854"/>
    <mergeCell ref="Z855:AA855"/>
    <mergeCell ref="AE855:AF855"/>
    <mergeCell ref="AJ855:AK855"/>
    <mergeCell ref="AO855:AP855"/>
    <mergeCell ref="Z850:AA850"/>
    <mergeCell ref="AE850:AF850"/>
    <mergeCell ref="AJ850:AK850"/>
    <mergeCell ref="AO850:AP850"/>
    <mergeCell ref="Z851:AA851"/>
    <mergeCell ref="AE851:AF851"/>
    <mergeCell ref="AJ851:AK851"/>
    <mergeCell ref="AO851:AP851"/>
    <mergeCell ref="Z852:AA852"/>
    <mergeCell ref="AE852:AF852"/>
    <mergeCell ref="AJ852:AK852"/>
    <mergeCell ref="AO852:AP852"/>
    <mergeCell ref="Z847:AA847"/>
    <mergeCell ref="AE847:AF847"/>
    <mergeCell ref="AJ847:AK847"/>
    <mergeCell ref="AO847:AP847"/>
    <mergeCell ref="Z848:AA848"/>
    <mergeCell ref="AE848:AF848"/>
    <mergeCell ref="AJ848:AK848"/>
    <mergeCell ref="AO848:AP848"/>
    <mergeCell ref="Z849:AA849"/>
    <mergeCell ref="AE849:AF849"/>
    <mergeCell ref="AJ849:AK849"/>
    <mergeCell ref="AO849:AP849"/>
    <mergeCell ref="Z844:AA844"/>
    <mergeCell ref="AE844:AF844"/>
    <mergeCell ref="AJ844:AK844"/>
    <mergeCell ref="AO844:AP844"/>
    <mergeCell ref="Z845:AA845"/>
    <mergeCell ref="AE845:AF845"/>
    <mergeCell ref="AJ845:AK845"/>
    <mergeCell ref="AO845:AP845"/>
    <mergeCell ref="Z846:AA846"/>
    <mergeCell ref="AE846:AF846"/>
    <mergeCell ref="AJ846:AK846"/>
    <mergeCell ref="AO846:AP846"/>
    <mergeCell ref="Z841:AA841"/>
    <mergeCell ref="AE841:AF841"/>
    <mergeCell ref="AJ841:AK841"/>
    <mergeCell ref="AO841:AP841"/>
    <mergeCell ref="Z842:AA842"/>
    <mergeCell ref="AE842:AF842"/>
    <mergeCell ref="AJ842:AK842"/>
    <mergeCell ref="AO842:AP842"/>
    <mergeCell ref="Z843:AA843"/>
    <mergeCell ref="AE843:AF843"/>
    <mergeCell ref="AJ843:AK843"/>
    <mergeCell ref="AO843:AP843"/>
    <mergeCell ref="Z838:AA838"/>
    <mergeCell ref="AE838:AF838"/>
    <mergeCell ref="AJ838:AK838"/>
    <mergeCell ref="AO838:AP838"/>
    <mergeCell ref="Z839:AA839"/>
    <mergeCell ref="AE839:AF839"/>
    <mergeCell ref="AJ839:AK839"/>
    <mergeCell ref="AO839:AP839"/>
    <mergeCell ref="Z840:AA840"/>
    <mergeCell ref="AE840:AF840"/>
    <mergeCell ref="AJ840:AK840"/>
    <mergeCell ref="AO840:AP840"/>
    <mergeCell ref="Z835:AA835"/>
    <mergeCell ref="AE835:AF835"/>
    <mergeCell ref="AJ835:AK835"/>
    <mergeCell ref="AO835:AP835"/>
    <mergeCell ref="Z836:AA836"/>
    <mergeCell ref="AE836:AF836"/>
    <mergeCell ref="AJ836:AK836"/>
    <mergeCell ref="AO836:AP836"/>
    <mergeCell ref="Z837:AA837"/>
    <mergeCell ref="AE837:AF837"/>
    <mergeCell ref="AJ837:AK837"/>
    <mergeCell ref="AO837:AP837"/>
    <mergeCell ref="Z832:AA832"/>
    <mergeCell ref="AE832:AF832"/>
    <mergeCell ref="AJ832:AK832"/>
    <mergeCell ref="AO832:AP832"/>
    <mergeCell ref="Z833:AA833"/>
    <mergeCell ref="AE833:AF833"/>
    <mergeCell ref="AJ833:AK833"/>
    <mergeCell ref="AO833:AP833"/>
    <mergeCell ref="Z834:AA834"/>
    <mergeCell ref="AE834:AF834"/>
    <mergeCell ref="AJ834:AK834"/>
    <mergeCell ref="AO834:AP834"/>
    <mergeCell ref="Z829:AA829"/>
    <mergeCell ref="AE829:AF829"/>
    <mergeCell ref="AJ829:AK829"/>
    <mergeCell ref="AO829:AP829"/>
    <mergeCell ref="Z830:AA830"/>
    <mergeCell ref="AE830:AF830"/>
    <mergeCell ref="AJ830:AK830"/>
    <mergeCell ref="AO830:AP830"/>
    <mergeCell ref="Z831:AA831"/>
    <mergeCell ref="AE831:AF831"/>
    <mergeCell ref="AJ831:AK831"/>
    <mergeCell ref="AO831:AP831"/>
    <mergeCell ref="Z826:AA826"/>
    <mergeCell ref="AE826:AF826"/>
    <mergeCell ref="AJ826:AK826"/>
    <mergeCell ref="AO826:AP826"/>
    <mergeCell ref="Z827:AA827"/>
    <mergeCell ref="AE827:AF827"/>
    <mergeCell ref="AJ827:AK827"/>
    <mergeCell ref="AO827:AP827"/>
    <mergeCell ref="Z828:AA828"/>
    <mergeCell ref="AE828:AF828"/>
    <mergeCell ref="AJ828:AK828"/>
    <mergeCell ref="AO828:AP828"/>
    <mergeCell ref="Z823:AA823"/>
    <mergeCell ref="AE823:AF823"/>
    <mergeCell ref="AJ823:AK823"/>
    <mergeCell ref="AO823:AP823"/>
    <mergeCell ref="Z824:AA824"/>
    <mergeCell ref="AE824:AF824"/>
    <mergeCell ref="AJ824:AK824"/>
    <mergeCell ref="AO824:AP824"/>
    <mergeCell ref="Z825:AA825"/>
    <mergeCell ref="AE825:AF825"/>
    <mergeCell ref="AJ825:AK825"/>
    <mergeCell ref="AO825:AP825"/>
    <mergeCell ref="Z820:AA820"/>
    <mergeCell ref="AE820:AF820"/>
    <mergeCell ref="AJ820:AK820"/>
    <mergeCell ref="AO820:AP820"/>
    <mergeCell ref="Z821:AA821"/>
    <mergeCell ref="AE821:AF821"/>
    <mergeCell ref="AJ821:AK821"/>
    <mergeCell ref="AO821:AP821"/>
    <mergeCell ref="Z822:AA822"/>
    <mergeCell ref="AE822:AF822"/>
    <mergeCell ref="AJ822:AK822"/>
    <mergeCell ref="AO822:AP822"/>
    <mergeCell ref="Z817:AA817"/>
    <mergeCell ref="AE817:AF817"/>
    <mergeCell ref="AJ817:AK817"/>
    <mergeCell ref="AO817:AP817"/>
    <mergeCell ref="Z818:AA818"/>
    <mergeCell ref="AE818:AF818"/>
    <mergeCell ref="AJ818:AK818"/>
    <mergeCell ref="AO818:AP818"/>
    <mergeCell ref="Z819:AA819"/>
    <mergeCell ref="AE819:AF819"/>
    <mergeCell ref="AJ819:AK819"/>
    <mergeCell ref="AO819:AP819"/>
    <mergeCell ref="Z814:AA814"/>
    <mergeCell ref="AE814:AF814"/>
    <mergeCell ref="AJ814:AK814"/>
    <mergeCell ref="AO814:AP814"/>
    <mergeCell ref="Z815:AA815"/>
    <mergeCell ref="AE815:AF815"/>
    <mergeCell ref="AJ815:AK815"/>
    <mergeCell ref="AO815:AP815"/>
    <mergeCell ref="Z816:AA816"/>
    <mergeCell ref="AE816:AF816"/>
    <mergeCell ref="AJ816:AK816"/>
    <mergeCell ref="AO816:AP816"/>
    <mergeCell ref="Z811:AA811"/>
    <mergeCell ref="AE811:AF811"/>
    <mergeCell ref="AJ811:AK811"/>
    <mergeCell ref="AO811:AP811"/>
    <mergeCell ref="Z812:AA812"/>
    <mergeCell ref="AE812:AF812"/>
    <mergeCell ref="AJ812:AK812"/>
    <mergeCell ref="AO812:AP812"/>
    <mergeCell ref="Z813:AA813"/>
    <mergeCell ref="AE813:AF813"/>
    <mergeCell ref="AJ813:AK813"/>
    <mergeCell ref="AO813:AP813"/>
    <mergeCell ref="Z808:AA808"/>
    <mergeCell ref="AE808:AF808"/>
    <mergeCell ref="AJ808:AK808"/>
    <mergeCell ref="AO808:AP808"/>
    <mergeCell ref="Z809:AA809"/>
    <mergeCell ref="AE809:AF809"/>
    <mergeCell ref="AJ809:AK809"/>
    <mergeCell ref="AO809:AP809"/>
    <mergeCell ref="Z810:AA810"/>
    <mergeCell ref="AE810:AF810"/>
    <mergeCell ref="AJ810:AK810"/>
    <mergeCell ref="AO810:AP810"/>
    <mergeCell ref="Z805:AA805"/>
    <mergeCell ref="AE805:AF805"/>
    <mergeCell ref="AJ805:AK805"/>
    <mergeCell ref="AO805:AP805"/>
    <mergeCell ref="Z806:AA806"/>
    <mergeCell ref="AE806:AF806"/>
    <mergeCell ref="AJ806:AK806"/>
    <mergeCell ref="AO806:AP806"/>
    <mergeCell ref="Z807:AA807"/>
    <mergeCell ref="AE807:AF807"/>
    <mergeCell ref="AJ807:AK807"/>
    <mergeCell ref="AO807:AP807"/>
    <mergeCell ref="Z802:AA802"/>
    <mergeCell ref="AE802:AF802"/>
    <mergeCell ref="AJ802:AK802"/>
    <mergeCell ref="AO802:AP802"/>
    <mergeCell ref="Z803:AA803"/>
    <mergeCell ref="AE803:AF803"/>
    <mergeCell ref="AJ803:AK803"/>
    <mergeCell ref="AO803:AP803"/>
    <mergeCell ref="Z804:AA804"/>
    <mergeCell ref="AE804:AF804"/>
    <mergeCell ref="AJ804:AK804"/>
    <mergeCell ref="AO804:AP804"/>
    <mergeCell ref="Z799:AA799"/>
    <mergeCell ref="AE799:AF799"/>
    <mergeCell ref="AJ799:AK799"/>
    <mergeCell ref="AO799:AP799"/>
    <mergeCell ref="Z800:AA800"/>
    <mergeCell ref="AE800:AF800"/>
    <mergeCell ref="AJ800:AK800"/>
    <mergeCell ref="AO800:AP800"/>
    <mergeCell ref="Z801:AA801"/>
    <mergeCell ref="AE801:AF801"/>
    <mergeCell ref="AJ801:AK801"/>
    <mergeCell ref="AO801:AP801"/>
    <mergeCell ref="Z796:AA796"/>
    <mergeCell ref="AE796:AF796"/>
    <mergeCell ref="AJ796:AK796"/>
    <mergeCell ref="AO796:AP796"/>
    <mergeCell ref="Z797:AA797"/>
    <mergeCell ref="AE797:AF797"/>
    <mergeCell ref="AJ797:AK797"/>
    <mergeCell ref="AO797:AP797"/>
    <mergeCell ref="Z798:AA798"/>
    <mergeCell ref="AE798:AF798"/>
    <mergeCell ref="AJ798:AK798"/>
    <mergeCell ref="AO798:AP798"/>
    <mergeCell ref="Z793:AA793"/>
    <mergeCell ref="AE793:AF793"/>
    <mergeCell ref="AJ793:AK793"/>
    <mergeCell ref="AO793:AP793"/>
    <mergeCell ref="Z794:AA794"/>
    <mergeCell ref="AE794:AF794"/>
    <mergeCell ref="AJ794:AK794"/>
    <mergeCell ref="AO794:AP794"/>
    <mergeCell ref="Z795:AA795"/>
    <mergeCell ref="AE795:AF795"/>
    <mergeCell ref="AJ795:AK795"/>
    <mergeCell ref="AO795:AP795"/>
    <mergeCell ref="Z790:AA790"/>
    <mergeCell ref="AE790:AF790"/>
    <mergeCell ref="AJ790:AK790"/>
    <mergeCell ref="AO790:AP790"/>
    <mergeCell ref="Z791:AA791"/>
    <mergeCell ref="AE791:AF791"/>
    <mergeCell ref="AJ791:AK791"/>
    <mergeCell ref="AO791:AP791"/>
    <mergeCell ref="Z792:AA792"/>
    <mergeCell ref="AE792:AF792"/>
    <mergeCell ref="AJ792:AK792"/>
    <mergeCell ref="AO792:AP792"/>
    <mergeCell ref="Z787:AA787"/>
    <mergeCell ref="AE787:AF787"/>
    <mergeCell ref="AJ787:AK787"/>
    <mergeCell ref="AO787:AP787"/>
    <mergeCell ref="Z788:AA788"/>
    <mergeCell ref="AE788:AF788"/>
    <mergeCell ref="AJ788:AK788"/>
    <mergeCell ref="AO788:AP788"/>
    <mergeCell ref="Z789:AA789"/>
    <mergeCell ref="AE789:AF789"/>
    <mergeCell ref="AJ789:AK789"/>
    <mergeCell ref="AO789:AP789"/>
    <mergeCell ref="Z784:AA784"/>
    <mergeCell ref="AE784:AF784"/>
    <mergeCell ref="AJ784:AK784"/>
    <mergeCell ref="AO784:AP784"/>
    <mergeCell ref="Z785:AA785"/>
    <mergeCell ref="AE785:AF785"/>
    <mergeCell ref="AJ785:AK785"/>
    <mergeCell ref="AO785:AP785"/>
    <mergeCell ref="Z786:AA786"/>
    <mergeCell ref="AE786:AF786"/>
    <mergeCell ref="AJ786:AK786"/>
    <mergeCell ref="AO786:AP786"/>
    <mergeCell ref="Z781:AA781"/>
    <mergeCell ref="AE781:AF781"/>
    <mergeCell ref="AJ781:AK781"/>
    <mergeCell ref="AO781:AP781"/>
    <mergeCell ref="Z782:AA782"/>
    <mergeCell ref="AE782:AF782"/>
    <mergeCell ref="AJ782:AK782"/>
    <mergeCell ref="AO782:AP782"/>
    <mergeCell ref="Z783:AA783"/>
    <mergeCell ref="AE783:AF783"/>
    <mergeCell ref="AJ783:AK783"/>
    <mergeCell ref="AO783:AP783"/>
    <mergeCell ref="Z778:AA778"/>
    <mergeCell ref="AE778:AF778"/>
    <mergeCell ref="AJ778:AK778"/>
    <mergeCell ref="AO778:AP778"/>
    <mergeCell ref="Z779:AA779"/>
    <mergeCell ref="AE779:AF779"/>
    <mergeCell ref="AJ779:AK779"/>
    <mergeCell ref="AO779:AP779"/>
    <mergeCell ref="Z780:AA780"/>
    <mergeCell ref="AE780:AF780"/>
    <mergeCell ref="AJ780:AK780"/>
    <mergeCell ref="AO780:AP780"/>
    <mergeCell ref="Z775:AA775"/>
    <mergeCell ref="AE775:AF775"/>
    <mergeCell ref="AJ775:AK775"/>
    <mergeCell ref="AO775:AP775"/>
    <mergeCell ref="Z776:AA776"/>
    <mergeCell ref="AE776:AF776"/>
    <mergeCell ref="AJ776:AK776"/>
    <mergeCell ref="AO776:AP776"/>
    <mergeCell ref="Z777:AA777"/>
    <mergeCell ref="AE777:AF777"/>
    <mergeCell ref="AJ777:AK777"/>
    <mergeCell ref="AO777:AP777"/>
    <mergeCell ref="Z772:AA772"/>
    <mergeCell ref="AE772:AF772"/>
    <mergeCell ref="AJ772:AK772"/>
    <mergeCell ref="AO772:AP772"/>
    <mergeCell ref="Z773:AA773"/>
    <mergeCell ref="AE773:AF773"/>
    <mergeCell ref="AJ773:AK773"/>
    <mergeCell ref="AO773:AP773"/>
    <mergeCell ref="Z774:AA774"/>
    <mergeCell ref="AE774:AF774"/>
    <mergeCell ref="AJ774:AK774"/>
    <mergeCell ref="AO774:AP774"/>
    <mergeCell ref="Z769:AA769"/>
    <mergeCell ref="AE769:AF769"/>
    <mergeCell ref="AJ769:AK769"/>
    <mergeCell ref="AO769:AP769"/>
    <mergeCell ref="Z770:AA770"/>
    <mergeCell ref="AE770:AF770"/>
    <mergeCell ref="AJ770:AK770"/>
    <mergeCell ref="AO770:AP770"/>
    <mergeCell ref="Z771:AA771"/>
    <mergeCell ref="AE771:AF771"/>
    <mergeCell ref="AJ771:AK771"/>
    <mergeCell ref="AO771:AP771"/>
    <mergeCell ref="Z766:AA766"/>
    <mergeCell ref="AE766:AF766"/>
    <mergeCell ref="AJ766:AK766"/>
    <mergeCell ref="AO766:AP766"/>
    <mergeCell ref="Z767:AA767"/>
    <mergeCell ref="AE767:AF767"/>
    <mergeCell ref="AJ767:AK767"/>
    <mergeCell ref="AO767:AP767"/>
    <mergeCell ref="Z768:AA768"/>
    <mergeCell ref="AE768:AF768"/>
    <mergeCell ref="AJ768:AK768"/>
    <mergeCell ref="AO768:AP768"/>
    <mergeCell ref="Z763:AA763"/>
    <mergeCell ref="AE763:AF763"/>
    <mergeCell ref="AJ763:AK763"/>
    <mergeCell ref="AO763:AP763"/>
    <mergeCell ref="Z764:AA764"/>
    <mergeCell ref="AE764:AF764"/>
    <mergeCell ref="AJ764:AK764"/>
    <mergeCell ref="AO764:AP764"/>
    <mergeCell ref="Z765:AA765"/>
    <mergeCell ref="AE765:AF765"/>
    <mergeCell ref="AJ765:AK765"/>
    <mergeCell ref="AO765:AP765"/>
    <mergeCell ref="Z760:AA760"/>
    <mergeCell ref="AE760:AF760"/>
    <mergeCell ref="AJ760:AK760"/>
    <mergeCell ref="AO760:AP760"/>
    <mergeCell ref="Z761:AA761"/>
    <mergeCell ref="AE761:AF761"/>
    <mergeCell ref="AJ761:AK761"/>
    <mergeCell ref="AO761:AP761"/>
    <mergeCell ref="Z762:AA762"/>
    <mergeCell ref="AE762:AF762"/>
    <mergeCell ref="AJ762:AK762"/>
    <mergeCell ref="AO762:AP762"/>
    <mergeCell ref="Z757:AA757"/>
    <mergeCell ref="AE757:AF757"/>
    <mergeCell ref="AJ757:AK757"/>
    <mergeCell ref="AO757:AP757"/>
    <mergeCell ref="Z758:AA758"/>
    <mergeCell ref="AE758:AF758"/>
    <mergeCell ref="AJ758:AK758"/>
    <mergeCell ref="AO758:AP758"/>
    <mergeCell ref="Z759:AA759"/>
    <mergeCell ref="AE759:AF759"/>
    <mergeCell ref="AJ759:AK759"/>
    <mergeCell ref="AO759:AP759"/>
    <mergeCell ref="Z754:AA754"/>
    <mergeCell ref="AE754:AF754"/>
    <mergeCell ref="AJ754:AK754"/>
    <mergeCell ref="AO754:AP754"/>
    <mergeCell ref="Z755:AA755"/>
    <mergeCell ref="AE755:AF755"/>
    <mergeCell ref="AJ755:AK755"/>
    <mergeCell ref="AO755:AP755"/>
    <mergeCell ref="Z756:AA756"/>
    <mergeCell ref="AE756:AF756"/>
    <mergeCell ref="AJ756:AK756"/>
    <mergeCell ref="AO756:AP756"/>
    <mergeCell ref="Z751:AA751"/>
    <mergeCell ref="AE751:AF751"/>
    <mergeCell ref="AJ751:AK751"/>
    <mergeCell ref="AO751:AP751"/>
    <mergeCell ref="Z752:AA752"/>
    <mergeCell ref="AE752:AF752"/>
    <mergeCell ref="AJ752:AK752"/>
    <mergeCell ref="AO752:AP752"/>
    <mergeCell ref="Z753:AA753"/>
    <mergeCell ref="AE753:AF753"/>
    <mergeCell ref="AJ753:AK753"/>
    <mergeCell ref="AO753:AP753"/>
    <mergeCell ref="Z748:AA748"/>
    <mergeCell ref="AE748:AF748"/>
    <mergeCell ref="AJ748:AK748"/>
    <mergeCell ref="AO748:AP748"/>
    <mergeCell ref="Z749:AA749"/>
    <mergeCell ref="AE749:AF749"/>
    <mergeCell ref="AJ749:AK749"/>
    <mergeCell ref="AO749:AP749"/>
    <mergeCell ref="Z750:AA750"/>
    <mergeCell ref="AE750:AF750"/>
    <mergeCell ref="AJ750:AK750"/>
    <mergeCell ref="AO750:AP750"/>
    <mergeCell ref="Z745:AA745"/>
    <mergeCell ref="AE745:AF745"/>
    <mergeCell ref="AJ745:AK745"/>
    <mergeCell ref="AO745:AP745"/>
    <mergeCell ref="Z746:AA746"/>
    <mergeCell ref="AE746:AF746"/>
    <mergeCell ref="AJ746:AK746"/>
    <mergeCell ref="AO746:AP746"/>
    <mergeCell ref="Z747:AA747"/>
    <mergeCell ref="AE747:AF747"/>
    <mergeCell ref="AJ747:AK747"/>
    <mergeCell ref="AO747:AP747"/>
    <mergeCell ref="Z742:AA742"/>
    <mergeCell ref="AE742:AF742"/>
    <mergeCell ref="AJ742:AK742"/>
    <mergeCell ref="AO742:AP742"/>
    <mergeCell ref="Z743:AA743"/>
    <mergeCell ref="AE743:AF743"/>
    <mergeCell ref="AJ743:AK743"/>
    <mergeCell ref="AO743:AP743"/>
    <mergeCell ref="Z744:AA744"/>
    <mergeCell ref="AE744:AF744"/>
    <mergeCell ref="AJ744:AK744"/>
    <mergeCell ref="AO744:AP744"/>
    <mergeCell ref="Z739:AA739"/>
    <mergeCell ref="AE739:AF739"/>
    <mergeCell ref="AJ739:AK739"/>
    <mergeCell ref="AO739:AP739"/>
    <mergeCell ref="Z740:AA740"/>
    <mergeCell ref="AE740:AF740"/>
    <mergeCell ref="AJ740:AK740"/>
    <mergeCell ref="AO740:AP740"/>
    <mergeCell ref="Z741:AA741"/>
    <mergeCell ref="AE741:AF741"/>
    <mergeCell ref="AJ741:AK741"/>
    <mergeCell ref="AO741:AP741"/>
    <mergeCell ref="Z736:AA736"/>
    <mergeCell ref="AE736:AF736"/>
    <mergeCell ref="AJ736:AK736"/>
    <mergeCell ref="AO736:AP736"/>
    <mergeCell ref="Z737:AA737"/>
    <mergeCell ref="AE737:AF737"/>
    <mergeCell ref="AJ737:AK737"/>
    <mergeCell ref="AO737:AP737"/>
    <mergeCell ref="Z738:AA738"/>
    <mergeCell ref="AE738:AF738"/>
    <mergeCell ref="AJ738:AK738"/>
    <mergeCell ref="AO738:AP738"/>
    <mergeCell ref="Z733:AA733"/>
    <mergeCell ref="AE733:AF733"/>
    <mergeCell ref="AJ733:AK733"/>
    <mergeCell ref="AO733:AP733"/>
    <mergeCell ref="Z734:AA734"/>
    <mergeCell ref="AE734:AF734"/>
    <mergeCell ref="AJ734:AK734"/>
    <mergeCell ref="AO734:AP734"/>
    <mergeCell ref="Z735:AA735"/>
    <mergeCell ref="AE735:AF735"/>
    <mergeCell ref="AJ735:AK735"/>
    <mergeCell ref="AO735:AP735"/>
    <mergeCell ref="Z730:AA730"/>
    <mergeCell ref="AE730:AF730"/>
    <mergeCell ref="AJ730:AK730"/>
    <mergeCell ref="AO730:AP730"/>
    <mergeCell ref="Z731:AA731"/>
    <mergeCell ref="AE731:AF731"/>
    <mergeCell ref="AJ731:AK731"/>
    <mergeCell ref="AO731:AP731"/>
    <mergeCell ref="Z732:AA732"/>
    <mergeCell ref="AE732:AF732"/>
    <mergeCell ref="AJ732:AK732"/>
    <mergeCell ref="AO732:AP732"/>
    <mergeCell ref="Z727:AA727"/>
    <mergeCell ref="AE727:AF727"/>
    <mergeCell ref="AJ727:AK727"/>
    <mergeCell ref="AO727:AP727"/>
    <mergeCell ref="Z728:AA728"/>
    <mergeCell ref="AE728:AF728"/>
    <mergeCell ref="AJ728:AK728"/>
    <mergeCell ref="AO728:AP728"/>
    <mergeCell ref="Z729:AA729"/>
    <mergeCell ref="AE729:AF729"/>
    <mergeCell ref="AJ729:AK729"/>
    <mergeCell ref="AO729:AP729"/>
    <mergeCell ref="Z724:AA724"/>
    <mergeCell ref="AE724:AF724"/>
    <mergeCell ref="AJ724:AK724"/>
    <mergeCell ref="AO724:AP724"/>
    <mergeCell ref="Z725:AA725"/>
    <mergeCell ref="AE725:AF725"/>
    <mergeCell ref="AJ725:AK725"/>
    <mergeCell ref="AO725:AP725"/>
    <mergeCell ref="Z726:AA726"/>
    <mergeCell ref="AE726:AF726"/>
    <mergeCell ref="AJ726:AK726"/>
    <mergeCell ref="AO726:AP726"/>
    <mergeCell ref="Z721:AA721"/>
    <mergeCell ref="AE721:AF721"/>
    <mergeCell ref="AJ721:AK721"/>
    <mergeCell ref="AO721:AP721"/>
    <mergeCell ref="Z722:AA722"/>
    <mergeCell ref="AE722:AF722"/>
    <mergeCell ref="AJ722:AK722"/>
    <mergeCell ref="AO722:AP722"/>
    <mergeCell ref="Z723:AA723"/>
    <mergeCell ref="AE723:AF723"/>
    <mergeCell ref="AJ723:AK723"/>
    <mergeCell ref="AO723:AP723"/>
    <mergeCell ref="Z718:AA718"/>
    <mergeCell ref="AE718:AF718"/>
    <mergeCell ref="AJ718:AK718"/>
    <mergeCell ref="AO718:AP718"/>
    <mergeCell ref="Z719:AA719"/>
    <mergeCell ref="AE719:AF719"/>
    <mergeCell ref="AJ719:AK719"/>
    <mergeCell ref="AO719:AP719"/>
    <mergeCell ref="Z720:AA720"/>
    <mergeCell ref="AE720:AF720"/>
    <mergeCell ref="AJ720:AK720"/>
    <mergeCell ref="AO720:AP720"/>
    <mergeCell ref="Z715:AA715"/>
    <mergeCell ref="AE715:AF715"/>
    <mergeCell ref="AJ715:AK715"/>
    <mergeCell ref="AO715:AP715"/>
    <mergeCell ref="Z716:AA716"/>
    <mergeCell ref="AE716:AF716"/>
    <mergeCell ref="AJ716:AK716"/>
    <mergeCell ref="AO716:AP716"/>
    <mergeCell ref="Z717:AA717"/>
    <mergeCell ref="AE717:AF717"/>
    <mergeCell ref="AJ717:AK717"/>
    <mergeCell ref="AO717:AP717"/>
    <mergeCell ref="Z712:AA712"/>
    <mergeCell ref="AE712:AF712"/>
    <mergeCell ref="AJ712:AK712"/>
    <mergeCell ref="AO712:AP712"/>
    <mergeCell ref="Z713:AA713"/>
    <mergeCell ref="AE713:AF713"/>
    <mergeCell ref="AJ713:AK713"/>
    <mergeCell ref="AO713:AP713"/>
    <mergeCell ref="Z714:AA714"/>
    <mergeCell ref="AE714:AF714"/>
    <mergeCell ref="AJ714:AK714"/>
    <mergeCell ref="AO714:AP714"/>
    <mergeCell ref="Z709:AA709"/>
    <mergeCell ref="AE709:AF709"/>
    <mergeCell ref="AJ709:AK709"/>
    <mergeCell ref="AO709:AP709"/>
    <mergeCell ref="Z710:AA710"/>
    <mergeCell ref="AE710:AF710"/>
    <mergeCell ref="AJ710:AK710"/>
    <mergeCell ref="AO710:AP710"/>
    <mergeCell ref="Z711:AA711"/>
    <mergeCell ref="AE711:AF711"/>
    <mergeCell ref="AJ711:AK711"/>
    <mergeCell ref="AO711:AP711"/>
    <mergeCell ref="Z706:AA706"/>
    <mergeCell ref="AE706:AF706"/>
    <mergeCell ref="AJ706:AK706"/>
    <mergeCell ref="AO706:AP706"/>
    <mergeCell ref="Z707:AA707"/>
    <mergeCell ref="AE707:AF707"/>
    <mergeCell ref="AJ707:AK707"/>
    <mergeCell ref="AO707:AP707"/>
    <mergeCell ref="Z708:AA708"/>
    <mergeCell ref="AE708:AF708"/>
    <mergeCell ref="AJ708:AK708"/>
    <mergeCell ref="AO708:AP708"/>
    <mergeCell ref="Z703:AA703"/>
    <mergeCell ref="AE703:AF703"/>
    <mergeCell ref="AJ703:AK703"/>
    <mergeCell ref="AO703:AP703"/>
    <mergeCell ref="Z704:AA704"/>
    <mergeCell ref="AE704:AF704"/>
    <mergeCell ref="AJ704:AK704"/>
    <mergeCell ref="AO704:AP704"/>
    <mergeCell ref="Z705:AA705"/>
    <mergeCell ref="AE705:AF705"/>
    <mergeCell ref="AJ705:AK705"/>
    <mergeCell ref="AO705:AP705"/>
    <mergeCell ref="Z700:AA700"/>
    <mergeCell ref="AE700:AF700"/>
    <mergeCell ref="AJ700:AK700"/>
    <mergeCell ref="AO700:AP700"/>
    <mergeCell ref="Z701:AA701"/>
    <mergeCell ref="AE701:AF701"/>
    <mergeCell ref="AJ701:AK701"/>
    <mergeCell ref="AO701:AP701"/>
    <mergeCell ref="Z702:AA702"/>
    <mergeCell ref="AE702:AF702"/>
    <mergeCell ref="AJ702:AK702"/>
    <mergeCell ref="AO702:AP702"/>
    <mergeCell ref="Z697:AA697"/>
    <mergeCell ref="AE697:AF697"/>
    <mergeCell ref="AJ697:AK697"/>
    <mergeCell ref="AO697:AP697"/>
    <mergeCell ref="Z698:AA698"/>
    <mergeCell ref="AE698:AF698"/>
    <mergeCell ref="AJ698:AK698"/>
    <mergeCell ref="AO698:AP698"/>
    <mergeCell ref="Z699:AA699"/>
    <mergeCell ref="AE699:AF699"/>
    <mergeCell ref="AJ699:AK699"/>
    <mergeCell ref="AO699:AP699"/>
    <mergeCell ref="Z694:AA694"/>
    <mergeCell ref="AE694:AF694"/>
    <mergeCell ref="AJ694:AK694"/>
    <mergeCell ref="AO694:AP694"/>
    <mergeCell ref="Z695:AA695"/>
    <mergeCell ref="AE695:AF695"/>
    <mergeCell ref="AJ695:AK695"/>
    <mergeCell ref="AO695:AP695"/>
    <mergeCell ref="Z696:AA696"/>
    <mergeCell ref="AE696:AF696"/>
    <mergeCell ref="AJ696:AK696"/>
    <mergeCell ref="AO696:AP696"/>
    <mergeCell ref="Z691:AA691"/>
    <mergeCell ref="AE691:AF691"/>
    <mergeCell ref="AJ691:AK691"/>
    <mergeCell ref="AO691:AP691"/>
    <mergeCell ref="Z692:AA692"/>
    <mergeCell ref="AE692:AF692"/>
    <mergeCell ref="AJ692:AK692"/>
    <mergeCell ref="AO692:AP692"/>
    <mergeCell ref="Z693:AA693"/>
    <mergeCell ref="AE693:AF693"/>
    <mergeCell ref="AJ693:AK693"/>
    <mergeCell ref="AO693:AP693"/>
    <mergeCell ref="Z688:AA688"/>
    <mergeCell ref="AE688:AF688"/>
    <mergeCell ref="AJ688:AK688"/>
    <mergeCell ref="AO688:AP688"/>
    <mergeCell ref="Z689:AA689"/>
    <mergeCell ref="AE689:AF689"/>
    <mergeCell ref="AJ689:AK689"/>
    <mergeCell ref="AO689:AP689"/>
    <mergeCell ref="Z690:AA690"/>
    <mergeCell ref="AE690:AF690"/>
    <mergeCell ref="AJ690:AK690"/>
    <mergeCell ref="AO690:AP690"/>
    <mergeCell ref="Z685:AA685"/>
    <mergeCell ref="AE685:AF685"/>
    <mergeCell ref="AJ685:AK685"/>
    <mergeCell ref="AO685:AP685"/>
    <mergeCell ref="Z686:AA686"/>
    <mergeCell ref="AE686:AF686"/>
    <mergeCell ref="AJ686:AK686"/>
    <mergeCell ref="AO686:AP686"/>
    <mergeCell ref="Z687:AA687"/>
    <mergeCell ref="AE687:AF687"/>
    <mergeCell ref="AJ687:AK687"/>
    <mergeCell ref="AO687:AP687"/>
    <mergeCell ref="Z682:AA682"/>
    <mergeCell ref="AE682:AF682"/>
    <mergeCell ref="AJ682:AK682"/>
    <mergeCell ref="AO682:AP682"/>
    <mergeCell ref="Z683:AA683"/>
    <mergeCell ref="AE683:AF683"/>
    <mergeCell ref="AJ683:AK683"/>
    <mergeCell ref="AO683:AP683"/>
    <mergeCell ref="Z684:AA684"/>
    <mergeCell ref="AE684:AF684"/>
    <mergeCell ref="AJ684:AK684"/>
    <mergeCell ref="AO684:AP684"/>
    <mergeCell ref="Z679:AA679"/>
    <mergeCell ref="AE679:AF679"/>
    <mergeCell ref="AJ679:AK679"/>
    <mergeCell ref="AO679:AP679"/>
    <mergeCell ref="Z680:AA680"/>
    <mergeCell ref="AE680:AF680"/>
    <mergeCell ref="AJ680:AK680"/>
    <mergeCell ref="AO680:AP680"/>
    <mergeCell ref="Z681:AA681"/>
    <mergeCell ref="AE681:AF681"/>
    <mergeCell ref="AJ681:AK681"/>
    <mergeCell ref="AO681:AP681"/>
    <mergeCell ref="Z676:AA676"/>
    <mergeCell ref="AE676:AF676"/>
    <mergeCell ref="AJ676:AK676"/>
    <mergeCell ref="AO676:AP676"/>
    <mergeCell ref="Z677:AA677"/>
    <mergeCell ref="AE677:AF677"/>
    <mergeCell ref="AJ677:AK677"/>
    <mergeCell ref="AO677:AP677"/>
    <mergeCell ref="Z678:AA678"/>
    <mergeCell ref="AE678:AF678"/>
    <mergeCell ref="AJ678:AK678"/>
    <mergeCell ref="AO678:AP678"/>
    <mergeCell ref="Z673:AA673"/>
    <mergeCell ref="AE673:AF673"/>
    <mergeCell ref="AJ673:AK673"/>
    <mergeCell ref="AO673:AP673"/>
    <mergeCell ref="Z674:AA674"/>
    <mergeCell ref="AE674:AF674"/>
    <mergeCell ref="AJ674:AK674"/>
    <mergeCell ref="AO674:AP674"/>
    <mergeCell ref="Z675:AA675"/>
    <mergeCell ref="AE675:AF675"/>
    <mergeCell ref="AJ675:AK675"/>
    <mergeCell ref="AO675:AP675"/>
    <mergeCell ref="Z670:AA670"/>
    <mergeCell ref="AE670:AF670"/>
    <mergeCell ref="AJ670:AK670"/>
    <mergeCell ref="AO670:AP670"/>
    <mergeCell ref="Z671:AA671"/>
    <mergeCell ref="AE671:AF671"/>
    <mergeCell ref="AJ671:AK671"/>
    <mergeCell ref="AO671:AP671"/>
    <mergeCell ref="Z672:AA672"/>
    <mergeCell ref="AE672:AF672"/>
    <mergeCell ref="AJ672:AK672"/>
    <mergeCell ref="AO672:AP672"/>
    <mergeCell ref="Z667:AA667"/>
    <mergeCell ref="AE667:AF667"/>
    <mergeCell ref="AJ667:AK667"/>
    <mergeCell ref="AO667:AP667"/>
    <mergeCell ref="Z668:AA668"/>
    <mergeCell ref="AE668:AF668"/>
    <mergeCell ref="AJ668:AK668"/>
    <mergeCell ref="AO668:AP668"/>
    <mergeCell ref="Z669:AA669"/>
    <mergeCell ref="AE669:AF669"/>
    <mergeCell ref="AJ669:AK669"/>
    <mergeCell ref="AO669:AP669"/>
    <mergeCell ref="Z664:AA664"/>
    <mergeCell ref="AE664:AF664"/>
    <mergeCell ref="AJ664:AK664"/>
    <mergeCell ref="AO664:AP664"/>
    <mergeCell ref="Z665:AA665"/>
    <mergeCell ref="AE665:AF665"/>
    <mergeCell ref="AJ665:AK665"/>
    <mergeCell ref="AO665:AP665"/>
    <mergeCell ref="Z666:AA666"/>
    <mergeCell ref="AE666:AF666"/>
    <mergeCell ref="AJ666:AK666"/>
    <mergeCell ref="AO666:AP666"/>
    <mergeCell ref="Z661:AA661"/>
    <mergeCell ref="AE661:AF661"/>
    <mergeCell ref="AJ661:AK661"/>
    <mergeCell ref="AO661:AP661"/>
    <mergeCell ref="Z662:AA662"/>
    <mergeCell ref="AE662:AF662"/>
    <mergeCell ref="AJ662:AK662"/>
    <mergeCell ref="AO662:AP662"/>
    <mergeCell ref="Z663:AA663"/>
    <mergeCell ref="AE663:AF663"/>
    <mergeCell ref="AJ663:AK663"/>
    <mergeCell ref="AO663:AP663"/>
    <mergeCell ref="Z658:AA658"/>
    <mergeCell ref="AE658:AF658"/>
    <mergeCell ref="AJ658:AK658"/>
    <mergeCell ref="AO658:AP658"/>
    <mergeCell ref="Z659:AA659"/>
    <mergeCell ref="AE659:AF659"/>
    <mergeCell ref="AJ659:AK659"/>
    <mergeCell ref="AO659:AP659"/>
    <mergeCell ref="Z660:AA660"/>
    <mergeCell ref="AE660:AF660"/>
    <mergeCell ref="AJ660:AK660"/>
    <mergeCell ref="AO660:AP660"/>
    <mergeCell ref="Z655:AA655"/>
    <mergeCell ref="AE655:AF655"/>
    <mergeCell ref="AJ655:AK655"/>
    <mergeCell ref="AO655:AP655"/>
    <mergeCell ref="Z656:AA656"/>
    <mergeCell ref="AE656:AF656"/>
    <mergeCell ref="AJ656:AK656"/>
    <mergeCell ref="AO656:AP656"/>
    <mergeCell ref="Z657:AA657"/>
    <mergeCell ref="AE657:AF657"/>
    <mergeCell ref="AJ657:AK657"/>
    <mergeCell ref="AO657:AP657"/>
    <mergeCell ref="Z652:AA652"/>
    <mergeCell ref="AE652:AF652"/>
    <mergeCell ref="AJ652:AK652"/>
    <mergeCell ref="AO652:AP652"/>
    <mergeCell ref="Z653:AA653"/>
    <mergeCell ref="AE653:AF653"/>
    <mergeCell ref="AJ653:AK653"/>
    <mergeCell ref="AO653:AP653"/>
    <mergeCell ref="Z654:AA654"/>
    <mergeCell ref="AE654:AF654"/>
    <mergeCell ref="AJ654:AK654"/>
    <mergeCell ref="AO654:AP654"/>
    <mergeCell ref="Z649:AA649"/>
    <mergeCell ref="AE649:AF649"/>
    <mergeCell ref="AJ649:AK649"/>
    <mergeCell ref="AO649:AP649"/>
    <mergeCell ref="Z650:AA650"/>
    <mergeCell ref="AE650:AF650"/>
    <mergeCell ref="AJ650:AK650"/>
    <mergeCell ref="AO650:AP650"/>
    <mergeCell ref="Z651:AA651"/>
    <mergeCell ref="AE651:AF651"/>
    <mergeCell ref="AJ651:AK651"/>
    <mergeCell ref="AO651:AP651"/>
    <mergeCell ref="Z646:AA646"/>
    <mergeCell ref="AE646:AF646"/>
    <mergeCell ref="AJ646:AK646"/>
    <mergeCell ref="AO646:AP646"/>
    <mergeCell ref="Z647:AA647"/>
    <mergeCell ref="AE647:AF647"/>
    <mergeCell ref="AJ647:AK647"/>
    <mergeCell ref="AO647:AP647"/>
    <mergeCell ref="Z648:AA648"/>
    <mergeCell ref="AE648:AF648"/>
    <mergeCell ref="AJ648:AK648"/>
    <mergeCell ref="AO648:AP648"/>
    <mergeCell ref="Z643:AA643"/>
    <mergeCell ref="AE643:AF643"/>
    <mergeCell ref="AJ643:AK643"/>
    <mergeCell ref="AO643:AP643"/>
    <mergeCell ref="Z644:AA644"/>
    <mergeCell ref="AE644:AF644"/>
    <mergeCell ref="AJ644:AK644"/>
    <mergeCell ref="AO644:AP644"/>
    <mergeCell ref="Z645:AA645"/>
    <mergeCell ref="AE645:AF645"/>
    <mergeCell ref="AJ645:AK645"/>
    <mergeCell ref="AO645:AP645"/>
    <mergeCell ref="Z640:AA640"/>
    <mergeCell ref="AE640:AF640"/>
    <mergeCell ref="AJ640:AK640"/>
    <mergeCell ref="AO640:AP640"/>
    <mergeCell ref="Z641:AA641"/>
    <mergeCell ref="AE641:AF641"/>
    <mergeCell ref="AJ641:AK641"/>
    <mergeCell ref="AO641:AP641"/>
    <mergeCell ref="Z642:AA642"/>
    <mergeCell ref="AE642:AF642"/>
    <mergeCell ref="AJ642:AK642"/>
    <mergeCell ref="AO642:AP642"/>
    <mergeCell ref="Z637:AA637"/>
    <mergeCell ref="AE637:AF637"/>
    <mergeCell ref="AJ637:AK637"/>
    <mergeCell ref="AO637:AP637"/>
    <mergeCell ref="Z638:AA638"/>
    <mergeCell ref="AE638:AF638"/>
    <mergeCell ref="AJ638:AK638"/>
    <mergeCell ref="AO638:AP638"/>
    <mergeCell ref="Z639:AA639"/>
    <mergeCell ref="AE639:AF639"/>
    <mergeCell ref="AJ639:AK639"/>
    <mergeCell ref="AO639:AP639"/>
    <mergeCell ref="Z634:AA634"/>
    <mergeCell ref="AE634:AF634"/>
    <mergeCell ref="AJ634:AK634"/>
    <mergeCell ref="AO634:AP634"/>
    <mergeCell ref="Z635:AA635"/>
    <mergeCell ref="AE635:AF635"/>
    <mergeCell ref="AJ635:AK635"/>
    <mergeCell ref="AO635:AP635"/>
    <mergeCell ref="Z636:AA636"/>
    <mergeCell ref="AE636:AF636"/>
    <mergeCell ref="AJ636:AK636"/>
    <mergeCell ref="AO636:AP636"/>
    <mergeCell ref="Z631:AA631"/>
    <mergeCell ref="AE631:AF631"/>
    <mergeCell ref="AJ631:AK631"/>
    <mergeCell ref="AO631:AP631"/>
    <mergeCell ref="Z632:AA632"/>
    <mergeCell ref="AE632:AF632"/>
    <mergeCell ref="AJ632:AK632"/>
    <mergeCell ref="AO632:AP632"/>
    <mergeCell ref="Z633:AA633"/>
    <mergeCell ref="AE633:AF633"/>
    <mergeCell ref="AJ633:AK633"/>
    <mergeCell ref="AO633:AP633"/>
    <mergeCell ref="Z628:AA628"/>
    <mergeCell ref="AE628:AF628"/>
    <mergeCell ref="AJ628:AK628"/>
    <mergeCell ref="AO628:AP628"/>
    <mergeCell ref="Z629:AA629"/>
    <mergeCell ref="AE629:AF629"/>
    <mergeCell ref="AJ629:AK629"/>
    <mergeCell ref="AO629:AP629"/>
    <mergeCell ref="Z630:AA630"/>
    <mergeCell ref="AE630:AF630"/>
    <mergeCell ref="AJ630:AK630"/>
    <mergeCell ref="AO630:AP630"/>
    <mergeCell ref="Z625:AA625"/>
    <mergeCell ref="AE625:AF625"/>
    <mergeCell ref="AJ625:AK625"/>
    <mergeCell ref="AO625:AP625"/>
    <mergeCell ref="Z626:AA626"/>
    <mergeCell ref="AE626:AF626"/>
    <mergeCell ref="AJ626:AK626"/>
    <mergeCell ref="AO626:AP626"/>
    <mergeCell ref="Z627:AA627"/>
    <mergeCell ref="AE627:AF627"/>
    <mergeCell ref="AJ627:AK627"/>
    <mergeCell ref="AO627:AP627"/>
    <mergeCell ref="Z622:AA622"/>
    <mergeCell ref="AE622:AF622"/>
    <mergeCell ref="AJ622:AK622"/>
    <mergeCell ref="AO622:AP622"/>
    <mergeCell ref="Z623:AA623"/>
    <mergeCell ref="AE623:AF623"/>
    <mergeCell ref="AJ623:AK623"/>
    <mergeCell ref="AO623:AP623"/>
    <mergeCell ref="Z624:AA624"/>
    <mergeCell ref="AE624:AF624"/>
    <mergeCell ref="AJ624:AK624"/>
    <mergeCell ref="AO624:AP624"/>
    <mergeCell ref="Z619:AA619"/>
    <mergeCell ref="AE619:AF619"/>
    <mergeCell ref="AJ619:AK619"/>
    <mergeCell ref="AO619:AP619"/>
    <mergeCell ref="Z620:AA620"/>
    <mergeCell ref="AE620:AF620"/>
    <mergeCell ref="AJ620:AK620"/>
    <mergeCell ref="AO620:AP620"/>
    <mergeCell ref="Z621:AA621"/>
    <mergeCell ref="AE621:AF621"/>
    <mergeCell ref="AJ621:AK621"/>
    <mergeCell ref="AO621:AP621"/>
    <mergeCell ref="Z616:AA616"/>
    <mergeCell ref="AE616:AF616"/>
    <mergeCell ref="AJ616:AK616"/>
    <mergeCell ref="AO616:AP616"/>
    <mergeCell ref="Z617:AA617"/>
    <mergeCell ref="AE617:AF617"/>
    <mergeCell ref="AJ617:AK617"/>
    <mergeCell ref="AO617:AP617"/>
    <mergeCell ref="Z618:AA618"/>
    <mergeCell ref="AE618:AF618"/>
    <mergeCell ref="AJ618:AK618"/>
    <mergeCell ref="AO618:AP618"/>
    <mergeCell ref="Z613:AA613"/>
    <mergeCell ref="AE613:AF613"/>
    <mergeCell ref="AJ613:AK613"/>
    <mergeCell ref="AO613:AP613"/>
    <mergeCell ref="Z614:AA614"/>
    <mergeCell ref="AE614:AF614"/>
    <mergeCell ref="AJ614:AK614"/>
    <mergeCell ref="AO614:AP614"/>
    <mergeCell ref="Z615:AA615"/>
    <mergeCell ref="AE615:AF615"/>
    <mergeCell ref="AJ615:AK615"/>
    <mergeCell ref="AO615:AP615"/>
    <mergeCell ref="Z610:AA610"/>
    <mergeCell ref="AE610:AF610"/>
    <mergeCell ref="AJ610:AK610"/>
    <mergeCell ref="AO610:AP610"/>
    <mergeCell ref="Z611:AA611"/>
    <mergeCell ref="AE611:AF611"/>
    <mergeCell ref="AJ611:AK611"/>
    <mergeCell ref="AO611:AP611"/>
    <mergeCell ref="Z612:AA612"/>
    <mergeCell ref="AE612:AF612"/>
    <mergeCell ref="AJ612:AK612"/>
    <mergeCell ref="AO612:AP612"/>
    <mergeCell ref="Z607:AA607"/>
    <mergeCell ref="AE607:AF607"/>
    <mergeCell ref="AJ607:AK607"/>
    <mergeCell ref="AO607:AP607"/>
    <mergeCell ref="Z608:AA608"/>
    <mergeCell ref="AE608:AF608"/>
    <mergeCell ref="AJ608:AK608"/>
    <mergeCell ref="AO608:AP608"/>
    <mergeCell ref="Z609:AA609"/>
    <mergeCell ref="AE609:AF609"/>
    <mergeCell ref="AJ609:AK609"/>
    <mergeCell ref="AO609:AP609"/>
    <mergeCell ref="Z604:AA604"/>
    <mergeCell ref="AE604:AF604"/>
    <mergeCell ref="AJ604:AK604"/>
    <mergeCell ref="AO604:AP604"/>
    <mergeCell ref="Z605:AA605"/>
    <mergeCell ref="AE605:AF605"/>
    <mergeCell ref="AJ605:AK605"/>
    <mergeCell ref="AO605:AP605"/>
    <mergeCell ref="Z606:AA606"/>
    <mergeCell ref="AE606:AF606"/>
    <mergeCell ref="AJ606:AK606"/>
    <mergeCell ref="AO606:AP606"/>
    <mergeCell ref="Z601:AA601"/>
    <mergeCell ref="AE601:AF601"/>
    <mergeCell ref="AJ601:AK601"/>
    <mergeCell ref="AO601:AP601"/>
    <mergeCell ref="Z602:AA602"/>
    <mergeCell ref="AE602:AF602"/>
    <mergeCell ref="AJ602:AK602"/>
    <mergeCell ref="AO602:AP602"/>
    <mergeCell ref="Z603:AA603"/>
    <mergeCell ref="AE603:AF603"/>
    <mergeCell ref="AJ603:AK603"/>
    <mergeCell ref="AO603:AP603"/>
    <mergeCell ref="Z598:AA598"/>
    <mergeCell ref="AE598:AF598"/>
    <mergeCell ref="AJ598:AK598"/>
    <mergeCell ref="AO598:AP598"/>
    <mergeCell ref="Z599:AA599"/>
    <mergeCell ref="AE599:AF599"/>
    <mergeCell ref="AJ599:AK599"/>
    <mergeCell ref="AO599:AP599"/>
    <mergeCell ref="Z600:AA600"/>
    <mergeCell ref="AE600:AF600"/>
    <mergeCell ref="AJ600:AK600"/>
    <mergeCell ref="AO600:AP600"/>
    <mergeCell ref="Z595:AA595"/>
    <mergeCell ref="AE595:AF595"/>
    <mergeCell ref="AJ595:AK595"/>
    <mergeCell ref="AO595:AP595"/>
    <mergeCell ref="Z596:AA596"/>
    <mergeCell ref="AE596:AF596"/>
    <mergeCell ref="AJ596:AK596"/>
    <mergeCell ref="AO596:AP596"/>
    <mergeCell ref="Z597:AA597"/>
    <mergeCell ref="AE597:AF597"/>
    <mergeCell ref="AJ597:AK597"/>
    <mergeCell ref="AO597:AP597"/>
    <mergeCell ref="Z592:AA592"/>
    <mergeCell ref="AE592:AF592"/>
    <mergeCell ref="AJ592:AK592"/>
    <mergeCell ref="AO592:AP592"/>
    <mergeCell ref="Z593:AA593"/>
    <mergeCell ref="AE593:AF593"/>
    <mergeCell ref="AJ593:AK593"/>
    <mergeCell ref="AO593:AP593"/>
    <mergeCell ref="Z594:AA594"/>
    <mergeCell ref="AE594:AF594"/>
    <mergeCell ref="AJ594:AK594"/>
    <mergeCell ref="AO594:AP594"/>
    <mergeCell ref="Z589:AA589"/>
    <mergeCell ref="AE589:AF589"/>
    <mergeCell ref="AJ589:AK589"/>
    <mergeCell ref="AO589:AP589"/>
    <mergeCell ref="Z590:AA590"/>
    <mergeCell ref="AE590:AF590"/>
    <mergeCell ref="AJ590:AK590"/>
    <mergeCell ref="AO590:AP590"/>
    <mergeCell ref="Z591:AA591"/>
    <mergeCell ref="AE591:AF591"/>
    <mergeCell ref="AJ591:AK591"/>
    <mergeCell ref="AO591:AP591"/>
    <mergeCell ref="Z586:AA586"/>
    <mergeCell ref="AE586:AF586"/>
    <mergeCell ref="AJ586:AK586"/>
    <mergeCell ref="AO586:AP586"/>
    <mergeCell ref="Z587:AA587"/>
    <mergeCell ref="AE587:AF587"/>
    <mergeCell ref="AJ587:AK587"/>
    <mergeCell ref="AO587:AP587"/>
    <mergeCell ref="Z588:AA588"/>
    <mergeCell ref="AE588:AF588"/>
    <mergeCell ref="AJ588:AK588"/>
    <mergeCell ref="AO588:AP588"/>
    <mergeCell ref="Z583:AA583"/>
    <mergeCell ref="AE583:AF583"/>
    <mergeCell ref="AJ583:AK583"/>
    <mergeCell ref="AO583:AP583"/>
    <mergeCell ref="Z584:AA584"/>
    <mergeCell ref="AE584:AF584"/>
    <mergeCell ref="AJ584:AK584"/>
    <mergeCell ref="AO584:AP584"/>
    <mergeCell ref="Z585:AA585"/>
    <mergeCell ref="AE585:AF585"/>
    <mergeCell ref="AJ585:AK585"/>
    <mergeCell ref="AO585:AP585"/>
    <mergeCell ref="Z580:AA580"/>
    <mergeCell ref="AE580:AF580"/>
    <mergeCell ref="AJ580:AK580"/>
    <mergeCell ref="AO580:AP580"/>
    <mergeCell ref="Z581:AA581"/>
    <mergeCell ref="AE581:AF581"/>
    <mergeCell ref="AJ581:AK581"/>
    <mergeCell ref="AO581:AP581"/>
    <mergeCell ref="Z582:AA582"/>
    <mergeCell ref="AE582:AF582"/>
    <mergeCell ref="AJ582:AK582"/>
    <mergeCell ref="AO582:AP582"/>
    <mergeCell ref="Z577:AA577"/>
    <mergeCell ref="AE577:AF577"/>
    <mergeCell ref="AJ577:AK577"/>
    <mergeCell ref="AO577:AP577"/>
    <mergeCell ref="Z578:AA578"/>
    <mergeCell ref="AE578:AF578"/>
    <mergeCell ref="AJ578:AK578"/>
    <mergeCell ref="AO578:AP578"/>
    <mergeCell ref="Z579:AA579"/>
    <mergeCell ref="AE579:AF579"/>
    <mergeCell ref="AJ579:AK579"/>
    <mergeCell ref="AO579:AP579"/>
    <mergeCell ref="Z574:AA574"/>
    <mergeCell ref="AE574:AF574"/>
    <mergeCell ref="AJ574:AK574"/>
    <mergeCell ref="AO574:AP574"/>
    <mergeCell ref="Z575:AA575"/>
    <mergeCell ref="AE575:AF575"/>
    <mergeCell ref="AJ575:AK575"/>
    <mergeCell ref="AO575:AP575"/>
    <mergeCell ref="Z576:AA576"/>
    <mergeCell ref="AE576:AF576"/>
    <mergeCell ref="AJ576:AK576"/>
    <mergeCell ref="AO576:AP576"/>
    <mergeCell ref="Z571:AA571"/>
    <mergeCell ref="AE571:AF571"/>
    <mergeCell ref="AJ571:AK571"/>
    <mergeCell ref="AO571:AP571"/>
    <mergeCell ref="Z572:AA572"/>
    <mergeCell ref="AE572:AF572"/>
    <mergeCell ref="AJ572:AK572"/>
    <mergeCell ref="AO572:AP572"/>
    <mergeCell ref="Z573:AA573"/>
    <mergeCell ref="AE573:AF573"/>
    <mergeCell ref="AJ573:AK573"/>
    <mergeCell ref="AO573:AP573"/>
    <mergeCell ref="Z568:AA568"/>
    <mergeCell ref="AE568:AF568"/>
    <mergeCell ref="AJ568:AK568"/>
    <mergeCell ref="AO568:AP568"/>
    <mergeCell ref="Z569:AA569"/>
    <mergeCell ref="AE569:AF569"/>
    <mergeCell ref="AJ569:AK569"/>
    <mergeCell ref="AO569:AP569"/>
    <mergeCell ref="Z570:AA570"/>
    <mergeCell ref="AE570:AF570"/>
    <mergeCell ref="AJ570:AK570"/>
    <mergeCell ref="AO570:AP570"/>
    <mergeCell ref="Z565:AA565"/>
    <mergeCell ref="AE565:AF565"/>
    <mergeCell ref="AJ565:AK565"/>
    <mergeCell ref="AO565:AP565"/>
    <mergeCell ref="Z566:AA566"/>
    <mergeCell ref="AE566:AF566"/>
    <mergeCell ref="AJ566:AK566"/>
    <mergeCell ref="AO566:AP566"/>
    <mergeCell ref="Z567:AA567"/>
    <mergeCell ref="AE567:AF567"/>
    <mergeCell ref="AJ567:AK567"/>
    <mergeCell ref="AO567:AP567"/>
    <mergeCell ref="Z562:AA562"/>
    <mergeCell ref="AE562:AF562"/>
    <mergeCell ref="AJ562:AK562"/>
    <mergeCell ref="AO562:AP562"/>
    <mergeCell ref="Z563:AA563"/>
    <mergeCell ref="AE563:AF563"/>
    <mergeCell ref="AJ563:AK563"/>
    <mergeCell ref="AO563:AP563"/>
    <mergeCell ref="Z564:AA564"/>
    <mergeCell ref="AE564:AF564"/>
    <mergeCell ref="AJ564:AK564"/>
    <mergeCell ref="AO564:AP564"/>
    <mergeCell ref="Z559:AA559"/>
    <mergeCell ref="AE559:AF559"/>
    <mergeCell ref="AJ559:AK559"/>
    <mergeCell ref="AO559:AP559"/>
    <mergeCell ref="Z560:AA560"/>
    <mergeCell ref="AE560:AF560"/>
    <mergeCell ref="AJ560:AK560"/>
    <mergeCell ref="AO560:AP560"/>
    <mergeCell ref="Z561:AA561"/>
    <mergeCell ref="AE561:AF561"/>
    <mergeCell ref="AJ561:AK561"/>
    <mergeCell ref="AO561:AP561"/>
    <mergeCell ref="Z556:AA556"/>
    <mergeCell ref="AE556:AF556"/>
    <mergeCell ref="AJ556:AK556"/>
    <mergeCell ref="AO556:AP556"/>
    <mergeCell ref="Z557:AA557"/>
    <mergeCell ref="AE557:AF557"/>
    <mergeCell ref="AJ557:AK557"/>
    <mergeCell ref="AO557:AP557"/>
    <mergeCell ref="Z558:AA558"/>
    <mergeCell ref="AE558:AF558"/>
    <mergeCell ref="AJ558:AK558"/>
    <mergeCell ref="AO558:AP558"/>
    <mergeCell ref="Z553:AA553"/>
    <mergeCell ref="AE553:AF553"/>
    <mergeCell ref="AJ553:AK553"/>
    <mergeCell ref="AO553:AP553"/>
    <mergeCell ref="Z554:AA554"/>
    <mergeCell ref="AE554:AF554"/>
    <mergeCell ref="AJ554:AK554"/>
    <mergeCell ref="AO554:AP554"/>
    <mergeCell ref="Z555:AA555"/>
    <mergeCell ref="AE555:AF555"/>
    <mergeCell ref="AJ555:AK555"/>
    <mergeCell ref="AO555:AP555"/>
    <mergeCell ref="Z550:AA550"/>
    <mergeCell ref="AE550:AF550"/>
    <mergeCell ref="AJ550:AK550"/>
    <mergeCell ref="AO550:AP550"/>
    <mergeCell ref="Z551:AA551"/>
    <mergeCell ref="AE551:AF551"/>
    <mergeCell ref="AJ551:AK551"/>
    <mergeCell ref="AO551:AP551"/>
    <mergeCell ref="Z552:AA552"/>
    <mergeCell ref="AE552:AF552"/>
    <mergeCell ref="AJ552:AK552"/>
    <mergeCell ref="AO552:AP552"/>
    <mergeCell ref="Z547:AA547"/>
    <mergeCell ref="AE547:AF547"/>
    <mergeCell ref="AJ547:AK547"/>
    <mergeCell ref="AO547:AP547"/>
    <mergeCell ref="Z548:AA548"/>
    <mergeCell ref="AE548:AF548"/>
    <mergeCell ref="AJ548:AK548"/>
    <mergeCell ref="AO548:AP548"/>
    <mergeCell ref="Z549:AA549"/>
    <mergeCell ref="AE549:AF549"/>
    <mergeCell ref="AJ549:AK549"/>
    <mergeCell ref="AO549:AP549"/>
    <mergeCell ref="Z544:AA544"/>
    <mergeCell ref="AE544:AF544"/>
    <mergeCell ref="AJ544:AK544"/>
    <mergeCell ref="AO544:AP544"/>
    <mergeCell ref="Z545:AA545"/>
    <mergeCell ref="AE545:AF545"/>
    <mergeCell ref="AJ545:AK545"/>
    <mergeCell ref="AO545:AP545"/>
    <mergeCell ref="Z546:AA546"/>
    <mergeCell ref="AE546:AF546"/>
    <mergeCell ref="AJ546:AK546"/>
    <mergeCell ref="AO546:AP546"/>
    <mergeCell ref="Z541:AA541"/>
    <mergeCell ref="AE541:AF541"/>
    <mergeCell ref="AJ541:AK541"/>
    <mergeCell ref="AO541:AP541"/>
    <mergeCell ref="Z542:AA542"/>
    <mergeCell ref="AE542:AF542"/>
    <mergeCell ref="AJ542:AK542"/>
    <mergeCell ref="AO542:AP542"/>
    <mergeCell ref="Z543:AA543"/>
    <mergeCell ref="AE543:AF543"/>
    <mergeCell ref="AJ543:AK543"/>
    <mergeCell ref="AO543:AP543"/>
    <mergeCell ref="Z538:AA538"/>
    <mergeCell ref="AE538:AF538"/>
    <mergeCell ref="AJ538:AK538"/>
    <mergeCell ref="AO538:AP538"/>
    <mergeCell ref="Z539:AA539"/>
    <mergeCell ref="AE539:AF539"/>
    <mergeCell ref="AJ539:AK539"/>
    <mergeCell ref="AO539:AP539"/>
    <mergeCell ref="Z540:AA540"/>
    <mergeCell ref="AE540:AF540"/>
    <mergeCell ref="AJ540:AK540"/>
    <mergeCell ref="AO540:AP540"/>
    <mergeCell ref="Z535:AA535"/>
    <mergeCell ref="AE535:AF535"/>
    <mergeCell ref="AJ535:AK535"/>
    <mergeCell ref="AO535:AP535"/>
    <mergeCell ref="Z536:AA536"/>
    <mergeCell ref="AE536:AF536"/>
    <mergeCell ref="AJ536:AK536"/>
    <mergeCell ref="AO536:AP536"/>
    <mergeCell ref="Z537:AA537"/>
    <mergeCell ref="AE537:AF537"/>
    <mergeCell ref="AJ537:AK537"/>
    <mergeCell ref="AO537:AP537"/>
    <mergeCell ref="Z532:AA532"/>
    <mergeCell ref="AE532:AF532"/>
    <mergeCell ref="AJ532:AK532"/>
    <mergeCell ref="AO532:AP532"/>
    <mergeCell ref="Z533:AA533"/>
    <mergeCell ref="AE533:AF533"/>
    <mergeCell ref="AJ533:AK533"/>
    <mergeCell ref="AO533:AP533"/>
    <mergeCell ref="Z534:AA534"/>
    <mergeCell ref="AE534:AF534"/>
    <mergeCell ref="AJ534:AK534"/>
    <mergeCell ref="AO534:AP534"/>
    <mergeCell ref="Z529:AA529"/>
    <mergeCell ref="AE529:AF529"/>
    <mergeCell ref="AJ529:AK529"/>
    <mergeCell ref="AO529:AP529"/>
    <mergeCell ref="Z530:AA530"/>
    <mergeCell ref="AE530:AF530"/>
    <mergeCell ref="AJ530:AK530"/>
    <mergeCell ref="AO530:AP530"/>
    <mergeCell ref="Z531:AA531"/>
    <mergeCell ref="AE531:AF531"/>
    <mergeCell ref="AJ531:AK531"/>
    <mergeCell ref="AO531:AP531"/>
    <mergeCell ref="Z526:AA526"/>
    <mergeCell ref="AE526:AF526"/>
    <mergeCell ref="AJ526:AK526"/>
    <mergeCell ref="AO526:AP526"/>
    <mergeCell ref="Z527:AA527"/>
    <mergeCell ref="AE527:AF527"/>
    <mergeCell ref="AJ527:AK527"/>
    <mergeCell ref="AO527:AP527"/>
    <mergeCell ref="Z528:AA528"/>
    <mergeCell ref="AE528:AF528"/>
    <mergeCell ref="AJ528:AK528"/>
    <mergeCell ref="AO528:AP528"/>
    <mergeCell ref="Z523:AA523"/>
    <mergeCell ref="AE523:AF523"/>
    <mergeCell ref="AJ523:AK523"/>
    <mergeCell ref="AO523:AP523"/>
    <mergeCell ref="Z524:AA524"/>
    <mergeCell ref="AE524:AF524"/>
    <mergeCell ref="AJ524:AK524"/>
    <mergeCell ref="AO524:AP524"/>
    <mergeCell ref="Z525:AA525"/>
    <mergeCell ref="AE525:AF525"/>
    <mergeCell ref="AJ525:AK525"/>
    <mergeCell ref="AO525:AP525"/>
    <mergeCell ref="Z520:AA520"/>
    <mergeCell ref="AE520:AF520"/>
    <mergeCell ref="AJ520:AK520"/>
    <mergeCell ref="AO520:AP520"/>
    <mergeCell ref="Z521:AA521"/>
    <mergeCell ref="AE521:AF521"/>
    <mergeCell ref="AJ521:AK521"/>
    <mergeCell ref="AO521:AP521"/>
    <mergeCell ref="Z522:AA522"/>
    <mergeCell ref="AE522:AF522"/>
    <mergeCell ref="AJ522:AK522"/>
    <mergeCell ref="AO522:AP522"/>
    <mergeCell ref="Z517:AA517"/>
    <mergeCell ref="AE517:AF517"/>
    <mergeCell ref="AJ517:AK517"/>
    <mergeCell ref="AO517:AP517"/>
    <mergeCell ref="Z518:AA518"/>
    <mergeCell ref="AE518:AF518"/>
    <mergeCell ref="AJ518:AK518"/>
    <mergeCell ref="AO518:AP518"/>
    <mergeCell ref="Z519:AA519"/>
    <mergeCell ref="AE519:AF519"/>
    <mergeCell ref="AJ519:AK519"/>
    <mergeCell ref="AO519:AP519"/>
    <mergeCell ref="Z514:AA514"/>
    <mergeCell ref="AE514:AF514"/>
    <mergeCell ref="AJ514:AK514"/>
    <mergeCell ref="AO514:AP514"/>
    <mergeCell ref="Z515:AA515"/>
    <mergeCell ref="AE515:AF515"/>
    <mergeCell ref="AJ515:AK515"/>
    <mergeCell ref="AO515:AP515"/>
    <mergeCell ref="Z516:AA516"/>
    <mergeCell ref="AE516:AF516"/>
    <mergeCell ref="AJ516:AK516"/>
    <mergeCell ref="AO516:AP516"/>
    <mergeCell ref="Z511:AA511"/>
    <mergeCell ref="AE511:AF511"/>
    <mergeCell ref="AJ511:AK511"/>
    <mergeCell ref="AO511:AP511"/>
    <mergeCell ref="Z512:AA512"/>
    <mergeCell ref="AE512:AF512"/>
    <mergeCell ref="AJ512:AK512"/>
    <mergeCell ref="AO512:AP512"/>
    <mergeCell ref="Z513:AA513"/>
    <mergeCell ref="AE513:AF513"/>
    <mergeCell ref="AJ513:AK513"/>
    <mergeCell ref="AO513:AP513"/>
    <mergeCell ref="Z508:AA508"/>
    <mergeCell ref="AE508:AF508"/>
    <mergeCell ref="AJ508:AK508"/>
    <mergeCell ref="AO508:AP508"/>
    <mergeCell ref="Z509:AA509"/>
    <mergeCell ref="AE509:AF509"/>
    <mergeCell ref="AJ509:AK509"/>
    <mergeCell ref="AO509:AP509"/>
    <mergeCell ref="Z510:AA510"/>
    <mergeCell ref="AE510:AF510"/>
    <mergeCell ref="AJ510:AK510"/>
    <mergeCell ref="AO510:AP510"/>
    <mergeCell ref="Z505:AA505"/>
    <mergeCell ref="AE505:AF505"/>
    <mergeCell ref="AJ505:AK505"/>
    <mergeCell ref="AO505:AP505"/>
    <mergeCell ref="Z506:AA506"/>
    <mergeCell ref="AE506:AF506"/>
    <mergeCell ref="AJ506:AK506"/>
    <mergeCell ref="AO506:AP506"/>
    <mergeCell ref="Z507:AA507"/>
    <mergeCell ref="AE507:AF507"/>
    <mergeCell ref="AJ507:AK507"/>
    <mergeCell ref="AO507:AP507"/>
    <mergeCell ref="Z502:AA502"/>
    <mergeCell ref="AE502:AF502"/>
    <mergeCell ref="AJ502:AK502"/>
    <mergeCell ref="AO502:AP502"/>
    <mergeCell ref="Z503:AA503"/>
    <mergeCell ref="AE503:AF503"/>
    <mergeCell ref="AJ503:AK503"/>
    <mergeCell ref="AO503:AP503"/>
    <mergeCell ref="Z504:AA504"/>
    <mergeCell ref="AE504:AF504"/>
    <mergeCell ref="AJ504:AK504"/>
    <mergeCell ref="AO504:AP504"/>
    <mergeCell ref="Z499:AA499"/>
    <mergeCell ref="AE499:AF499"/>
    <mergeCell ref="AJ499:AK499"/>
    <mergeCell ref="AO499:AP499"/>
    <mergeCell ref="Z500:AA500"/>
    <mergeCell ref="AE500:AF500"/>
    <mergeCell ref="AJ500:AK500"/>
    <mergeCell ref="AO500:AP500"/>
    <mergeCell ref="Z501:AA501"/>
    <mergeCell ref="AE501:AF501"/>
    <mergeCell ref="AJ501:AK501"/>
    <mergeCell ref="AO501:AP501"/>
    <mergeCell ref="Z496:AA496"/>
    <mergeCell ref="AE496:AF496"/>
    <mergeCell ref="AJ496:AK496"/>
    <mergeCell ref="AO496:AP496"/>
    <mergeCell ref="Z497:AA497"/>
    <mergeCell ref="AE497:AF497"/>
    <mergeCell ref="AJ497:AK497"/>
    <mergeCell ref="AO497:AP497"/>
    <mergeCell ref="Z498:AA498"/>
    <mergeCell ref="AE498:AF498"/>
    <mergeCell ref="AJ498:AK498"/>
    <mergeCell ref="AO498:AP498"/>
    <mergeCell ref="Z493:AA493"/>
    <mergeCell ref="AE493:AF493"/>
    <mergeCell ref="AJ493:AK493"/>
    <mergeCell ref="AO493:AP493"/>
    <mergeCell ref="Z494:AA494"/>
    <mergeCell ref="AE494:AF494"/>
    <mergeCell ref="AJ494:AK494"/>
    <mergeCell ref="AO494:AP494"/>
    <mergeCell ref="Z495:AA495"/>
    <mergeCell ref="AE495:AF495"/>
    <mergeCell ref="AJ495:AK495"/>
    <mergeCell ref="AO495:AP495"/>
    <mergeCell ref="Z490:AA490"/>
    <mergeCell ref="AE490:AF490"/>
    <mergeCell ref="AJ490:AK490"/>
    <mergeCell ref="AO490:AP490"/>
    <mergeCell ref="Z491:AA491"/>
    <mergeCell ref="AE491:AF491"/>
    <mergeCell ref="AJ491:AK491"/>
    <mergeCell ref="AO491:AP491"/>
    <mergeCell ref="Z492:AA492"/>
    <mergeCell ref="AE492:AF492"/>
    <mergeCell ref="AJ492:AK492"/>
    <mergeCell ref="AO492:AP492"/>
    <mergeCell ref="Z487:AA487"/>
    <mergeCell ref="AE487:AF487"/>
    <mergeCell ref="AJ487:AK487"/>
    <mergeCell ref="AO487:AP487"/>
    <mergeCell ref="Z488:AA488"/>
    <mergeCell ref="AE488:AF488"/>
    <mergeCell ref="AJ488:AK488"/>
    <mergeCell ref="AO488:AP488"/>
    <mergeCell ref="Z489:AA489"/>
    <mergeCell ref="AE489:AF489"/>
    <mergeCell ref="AJ489:AK489"/>
    <mergeCell ref="AO489:AP489"/>
    <mergeCell ref="Z484:AA484"/>
    <mergeCell ref="AE484:AF484"/>
    <mergeCell ref="AJ484:AK484"/>
    <mergeCell ref="AO484:AP484"/>
    <mergeCell ref="Z485:AA485"/>
    <mergeCell ref="AE485:AF485"/>
    <mergeCell ref="AJ485:AK485"/>
    <mergeCell ref="AO485:AP485"/>
    <mergeCell ref="Z486:AA486"/>
    <mergeCell ref="AE486:AF486"/>
    <mergeCell ref="AJ486:AK486"/>
    <mergeCell ref="AO486:AP486"/>
    <mergeCell ref="Z481:AA481"/>
    <mergeCell ref="AE481:AF481"/>
    <mergeCell ref="AJ481:AK481"/>
    <mergeCell ref="AO481:AP481"/>
    <mergeCell ref="Z482:AA482"/>
    <mergeCell ref="AE482:AF482"/>
    <mergeCell ref="AJ482:AK482"/>
    <mergeCell ref="AO482:AP482"/>
    <mergeCell ref="Z483:AA483"/>
    <mergeCell ref="AE483:AF483"/>
    <mergeCell ref="AJ483:AK483"/>
    <mergeCell ref="AO483:AP483"/>
    <mergeCell ref="Z478:AA478"/>
    <mergeCell ref="AE478:AF478"/>
    <mergeCell ref="AJ478:AK478"/>
    <mergeCell ref="AO478:AP478"/>
    <mergeCell ref="Z479:AA479"/>
    <mergeCell ref="AE479:AF479"/>
    <mergeCell ref="AJ479:AK479"/>
    <mergeCell ref="AO479:AP479"/>
    <mergeCell ref="Z480:AA480"/>
    <mergeCell ref="AE480:AF480"/>
    <mergeCell ref="AJ480:AK480"/>
    <mergeCell ref="AO480:AP480"/>
    <mergeCell ref="Z475:AA475"/>
    <mergeCell ref="AE475:AF475"/>
    <mergeCell ref="AJ475:AK475"/>
    <mergeCell ref="AO475:AP475"/>
    <mergeCell ref="Z476:AA476"/>
    <mergeCell ref="AE476:AF476"/>
    <mergeCell ref="AJ476:AK476"/>
    <mergeCell ref="AO476:AP476"/>
    <mergeCell ref="Z477:AA477"/>
    <mergeCell ref="AE477:AF477"/>
    <mergeCell ref="AJ477:AK477"/>
    <mergeCell ref="AO477:AP477"/>
    <mergeCell ref="Z472:AA472"/>
    <mergeCell ref="AE472:AF472"/>
    <mergeCell ref="AJ472:AK472"/>
    <mergeCell ref="AO472:AP472"/>
    <mergeCell ref="Z473:AA473"/>
    <mergeCell ref="AE473:AF473"/>
    <mergeCell ref="AJ473:AK473"/>
    <mergeCell ref="AO473:AP473"/>
    <mergeCell ref="Z474:AA474"/>
    <mergeCell ref="AE474:AF474"/>
    <mergeCell ref="AJ474:AK474"/>
    <mergeCell ref="AO474:AP474"/>
    <mergeCell ref="Z469:AA469"/>
    <mergeCell ref="AE469:AF469"/>
    <mergeCell ref="AJ469:AK469"/>
    <mergeCell ref="AO469:AP469"/>
    <mergeCell ref="Z470:AA470"/>
    <mergeCell ref="AE470:AF470"/>
    <mergeCell ref="AJ470:AK470"/>
    <mergeCell ref="AO470:AP470"/>
    <mergeCell ref="Z471:AA471"/>
    <mergeCell ref="AE471:AF471"/>
    <mergeCell ref="AJ471:AK471"/>
    <mergeCell ref="AO471:AP471"/>
    <mergeCell ref="Z466:AA466"/>
    <mergeCell ref="AE466:AF466"/>
    <mergeCell ref="AJ466:AK466"/>
    <mergeCell ref="AO466:AP466"/>
    <mergeCell ref="Z467:AA467"/>
    <mergeCell ref="AE467:AF467"/>
    <mergeCell ref="AJ467:AK467"/>
    <mergeCell ref="AO467:AP467"/>
    <mergeCell ref="Z468:AA468"/>
    <mergeCell ref="AE468:AF468"/>
    <mergeCell ref="AJ468:AK468"/>
    <mergeCell ref="AO468:AP468"/>
    <mergeCell ref="Z463:AA463"/>
    <mergeCell ref="AE463:AF463"/>
    <mergeCell ref="AJ463:AK463"/>
    <mergeCell ref="AO463:AP463"/>
    <mergeCell ref="Z464:AA464"/>
    <mergeCell ref="AE464:AF464"/>
    <mergeCell ref="AJ464:AK464"/>
    <mergeCell ref="AO464:AP464"/>
    <mergeCell ref="Z465:AA465"/>
    <mergeCell ref="AE465:AF465"/>
    <mergeCell ref="AJ465:AK465"/>
    <mergeCell ref="AO465:AP465"/>
    <mergeCell ref="Z460:AA460"/>
    <mergeCell ref="AE460:AF460"/>
    <mergeCell ref="AJ460:AK460"/>
    <mergeCell ref="AO460:AP460"/>
    <mergeCell ref="Z461:AA461"/>
    <mergeCell ref="AE461:AF461"/>
    <mergeCell ref="AJ461:AK461"/>
    <mergeCell ref="AO461:AP461"/>
    <mergeCell ref="Z462:AA462"/>
    <mergeCell ref="AE462:AF462"/>
    <mergeCell ref="AJ462:AK462"/>
    <mergeCell ref="AO462:AP462"/>
    <mergeCell ref="Z457:AA457"/>
    <mergeCell ref="AE457:AF457"/>
    <mergeCell ref="AJ457:AK457"/>
    <mergeCell ref="AO457:AP457"/>
    <mergeCell ref="Z458:AA458"/>
    <mergeCell ref="AE458:AF458"/>
    <mergeCell ref="AJ458:AK458"/>
    <mergeCell ref="AO458:AP458"/>
    <mergeCell ref="Z459:AA459"/>
    <mergeCell ref="AE459:AF459"/>
    <mergeCell ref="AJ459:AK459"/>
    <mergeCell ref="AO459:AP459"/>
    <mergeCell ref="Z454:AA454"/>
    <mergeCell ref="AE454:AF454"/>
    <mergeCell ref="AJ454:AK454"/>
    <mergeCell ref="AO454:AP454"/>
    <mergeCell ref="Z455:AA455"/>
    <mergeCell ref="AE455:AF455"/>
    <mergeCell ref="AJ455:AK455"/>
    <mergeCell ref="AO455:AP455"/>
    <mergeCell ref="Z456:AA456"/>
    <mergeCell ref="AE456:AF456"/>
    <mergeCell ref="AJ456:AK456"/>
    <mergeCell ref="AO456:AP456"/>
    <mergeCell ref="Z451:AA451"/>
    <mergeCell ref="AE451:AF451"/>
    <mergeCell ref="AJ451:AK451"/>
    <mergeCell ref="AO451:AP451"/>
    <mergeCell ref="Z452:AA452"/>
    <mergeCell ref="AE452:AF452"/>
    <mergeCell ref="AJ452:AK452"/>
    <mergeCell ref="AO452:AP452"/>
    <mergeCell ref="Z453:AA453"/>
    <mergeCell ref="AE453:AF453"/>
    <mergeCell ref="AJ453:AK453"/>
    <mergeCell ref="AO453:AP453"/>
    <mergeCell ref="Z448:AA448"/>
    <mergeCell ref="AE448:AF448"/>
    <mergeCell ref="AJ448:AK448"/>
    <mergeCell ref="AO448:AP448"/>
    <mergeCell ref="Z449:AA449"/>
    <mergeCell ref="AE449:AF449"/>
    <mergeCell ref="AJ449:AK449"/>
    <mergeCell ref="AO449:AP449"/>
    <mergeCell ref="Z450:AA450"/>
    <mergeCell ref="AE450:AF450"/>
    <mergeCell ref="AJ450:AK450"/>
    <mergeCell ref="AO450:AP450"/>
    <mergeCell ref="Z445:AA445"/>
    <mergeCell ref="AE445:AF445"/>
    <mergeCell ref="AJ445:AK445"/>
    <mergeCell ref="AO445:AP445"/>
    <mergeCell ref="Z446:AA446"/>
    <mergeCell ref="AE446:AF446"/>
    <mergeCell ref="AJ446:AK446"/>
    <mergeCell ref="AO446:AP446"/>
    <mergeCell ref="Z447:AA447"/>
    <mergeCell ref="AE447:AF447"/>
    <mergeCell ref="AJ447:AK447"/>
    <mergeCell ref="AO447:AP447"/>
    <mergeCell ref="Z442:AA442"/>
    <mergeCell ref="AE442:AF442"/>
    <mergeCell ref="AJ442:AK442"/>
    <mergeCell ref="AO442:AP442"/>
    <mergeCell ref="Z443:AA443"/>
    <mergeCell ref="AE443:AF443"/>
    <mergeCell ref="AJ443:AK443"/>
    <mergeCell ref="AO443:AP443"/>
    <mergeCell ref="Z444:AA444"/>
    <mergeCell ref="AE444:AF444"/>
    <mergeCell ref="AJ444:AK444"/>
    <mergeCell ref="AO444:AP444"/>
    <mergeCell ref="Z439:AA439"/>
    <mergeCell ref="AE439:AF439"/>
    <mergeCell ref="AJ439:AK439"/>
    <mergeCell ref="AO439:AP439"/>
    <mergeCell ref="Z440:AA440"/>
    <mergeCell ref="AE440:AF440"/>
    <mergeCell ref="AJ440:AK440"/>
    <mergeCell ref="AO440:AP440"/>
    <mergeCell ref="Z441:AA441"/>
    <mergeCell ref="AE441:AF441"/>
    <mergeCell ref="AJ441:AK441"/>
    <mergeCell ref="AO441:AP441"/>
    <mergeCell ref="Z436:AA436"/>
    <mergeCell ref="AE436:AF436"/>
    <mergeCell ref="AJ436:AK436"/>
    <mergeCell ref="AO436:AP436"/>
    <mergeCell ref="Z437:AA437"/>
    <mergeCell ref="AE437:AF437"/>
    <mergeCell ref="AJ437:AK437"/>
    <mergeCell ref="AO437:AP437"/>
    <mergeCell ref="Z438:AA438"/>
    <mergeCell ref="AE438:AF438"/>
    <mergeCell ref="AJ438:AK438"/>
    <mergeCell ref="AO438:AP438"/>
    <mergeCell ref="Z433:AA433"/>
    <mergeCell ref="AE433:AF433"/>
    <mergeCell ref="AJ433:AK433"/>
    <mergeCell ref="AO433:AP433"/>
    <mergeCell ref="Z434:AA434"/>
    <mergeCell ref="AE434:AF434"/>
    <mergeCell ref="AJ434:AK434"/>
    <mergeCell ref="AO434:AP434"/>
    <mergeCell ref="Z435:AA435"/>
    <mergeCell ref="AE435:AF435"/>
    <mergeCell ref="AJ435:AK435"/>
    <mergeCell ref="AO435:AP435"/>
    <mergeCell ref="Z430:AA430"/>
    <mergeCell ref="AE430:AF430"/>
    <mergeCell ref="AJ430:AK430"/>
    <mergeCell ref="AO430:AP430"/>
    <mergeCell ref="Z431:AA431"/>
    <mergeCell ref="AE431:AF431"/>
    <mergeCell ref="AJ431:AK431"/>
    <mergeCell ref="AO431:AP431"/>
    <mergeCell ref="Z432:AA432"/>
    <mergeCell ref="AE432:AF432"/>
    <mergeCell ref="AJ432:AK432"/>
    <mergeCell ref="AO432:AP432"/>
    <mergeCell ref="Z427:AA427"/>
    <mergeCell ref="AE427:AF427"/>
    <mergeCell ref="AJ427:AK427"/>
    <mergeCell ref="AO427:AP427"/>
    <mergeCell ref="Z428:AA428"/>
    <mergeCell ref="AE428:AF428"/>
    <mergeCell ref="AJ428:AK428"/>
    <mergeCell ref="AO428:AP428"/>
    <mergeCell ref="Z429:AA429"/>
    <mergeCell ref="AE429:AF429"/>
    <mergeCell ref="AJ429:AK429"/>
    <mergeCell ref="AO429:AP429"/>
    <mergeCell ref="Z424:AA424"/>
    <mergeCell ref="AE424:AF424"/>
    <mergeCell ref="AJ424:AK424"/>
    <mergeCell ref="AO424:AP424"/>
    <mergeCell ref="Z425:AA425"/>
    <mergeCell ref="AE425:AF425"/>
    <mergeCell ref="AJ425:AK425"/>
    <mergeCell ref="AO425:AP425"/>
    <mergeCell ref="Z426:AA426"/>
    <mergeCell ref="AE426:AF426"/>
    <mergeCell ref="AJ426:AK426"/>
    <mergeCell ref="AO426:AP426"/>
    <mergeCell ref="Z421:AA421"/>
    <mergeCell ref="AE421:AF421"/>
    <mergeCell ref="AJ421:AK421"/>
    <mergeCell ref="AO421:AP421"/>
    <mergeCell ref="Z422:AA422"/>
    <mergeCell ref="AE422:AF422"/>
    <mergeCell ref="AJ422:AK422"/>
    <mergeCell ref="AO422:AP422"/>
    <mergeCell ref="Z423:AA423"/>
    <mergeCell ref="AE423:AF423"/>
    <mergeCell ref="AJ423:AK423"/>
    <mergeCell ref="AO423:AP423"/>
    <mergeCell ref="Z418:AA418"/>
    <mergeCell ref="AE418:AF418"/>
    <mergeCell ref="AJ418:AK418"/>
    <mergeCell ref="AO418:AP418"/>
    <mergeCell ref="Z419:AA419"/>
    <mergeCell ref="AE419:AF419"/>
    <mergeCell ref="AJ419:AK419"/>
    <mergeCell ref="AO419:AP419"/>
    <mergeCell ref="Z420:AA420"/>
    <mergeCell ref="AE420:AF420"/>
    <mergeCell ref="AJ420:AK420"/>
    <mergeCell ref="AO420:AP420"/>
    <mergeCell ref="Z415:AA415"/>
    <mergeCell ref="AE415:AF415"/>
    <mergeCell ref="AJ415:AK415"/>
    <mergeCell ref="AO415:AP415"/>
    <mergeCell ref="Z416:AA416"/>
    <mergeCell ref="AE416:AF416"/>
    <mergeCell ref="AJ416:AK416"/>
    <mergeCell ref="AO416:AP416"/>
    <mergeCell ref="Z417:AA417"/>
    <mergeCell ref="AE417:AF417"/>
    <mergeCell ref="AJ417:AK417"/>
    <mergeCell ref="AO417:AP417"/>
    <mergeCell ref="Z412:AA412"/>
    <mergeCell ref="AE412:AF412"/>
    <mergeCell ref="AJ412:AK412"/>
    <mergeCell ref="AO412:AP412"/>
    <mergeCell ref="Z413:AA413"/>
    <mergeCell ref="AE413:AF413"/>
    <mergeCell ref="AJ413:AK413"/>
    <mergeCell ref="AO413:AP413"/>
    <mergeCell ref="Z414:AA414"/>
    <mergeCell ref="AE414:AF414"/>
    <mergeCell ref="AJ414:AK414"/>
    <mergeCell ref="AO414:AP414"/>
    <mergeCell ref="Z409:AA409"/>
    <mergeCell ref="AE409:AF409"/>
    <mergeCell ref="AJ409:AK409"/>
    <mergeCell ref="AO409:AP409"/>
    <mergeCell ref="Z410:AA410"/>
    <mergeCell ref="AE410:AF410"/>
    <mergeCell ref="AJ410:AK410"/>
    <mergeCell ref="AO410:AP410"/>
    <mergeCell ref="Z411:AA411"/>
    <mergeCell ref="AE411:AF411"/>
    <mergeCell ref="AJ411:AK411"/>
    <mergeCell ref="AO411:AP411"/>
    <mergeCell ref="Z406:AA406"/>
    <mergeCell ref="AE406:AF406"/>
    <mergeCell ref="AJ406:AK406"/>
    <mergeCell ref="AO406:AP406"/>
    <mergeCell ref="Z407:AA407"/>
    <mergeCell ref="AE407:AF407"/>
    <mergeCell ref="AJ407:AK407"/>
    <mergeCell ref="AO407:AP407"/>
    <mergeCell ref="Z408:AA408"/>
    <mergeCell ref="AE408:AF408"/>
    <mergeCell ref="AJ408:AK408"/>
    <mergeCell ref="AO408:AP408"/>
    <mergeCell ref="Z403:AA403"/>
    <mergeCell ref="AE403:AF403"/>
    <mergeCell ref="AJ403:AK403"/>
    <mergeCell ref="AO403:AP403"/>
    <mergeCell ref="Z404:AA404"/>
    <mergeCell ref="AE404:AF404"/>
    <mergeCell ref="AJ404:AK404"/>
    <mergeCell ref="AO404:AP404"/>
    <mergeCell ref="Z405:AA405"/>
    <mergeCell ref="AE405:AF405"/>
    <mergeCell ref="AJ405:AK405"/>
    <mergeCell ref="AO405:AP405"/>
    <mergeCell ref="Z400:AA400"/>
    <mergeCell ref="AE400:AF400"/>
    <mergeCell ref="AJ400:AK400"/>
    <mergeCell ref="AO400:AP400"/>
    <mergeCell ref="Z401:AA401"/>
    <mergeCell ref="AE401:AF401"/>
    <mergeCell ref="AJ401:AK401"/>
    <mergeCell ref="AO401:AP401"/>
    <mergeCell ref="Z402:AA402"/>
    <mergeCell ref="AE402:AF402"/>
    <mergeCell ref="AJ402:AK402"/>
    <mergeCell ref="AO402:AP402"/>
    <mergeCell ref="Z397:AA397"/>
    <mergeCell ref="AE397:AF397"/>
    <mergeCell ref="AJ397:AK397"/>
    <mergeCell ref="AO397:AP397"/>
    <mergeCell ref="Z398:AA398"/>
    <mergeCell ref="AE398:AF398"/>
    <mergeCell ref="AJ398:AK398"/>
    <mergeCell ref="AO398:AP398"/>
    <mergeCell ref="Z399:AA399"/>
    <mergeCell ref="AE399:AF399"/>
    <mergeCell ref="AJ399:AK399"/>
    <mergeCell ref="AO399:AP399"/>
    <mergeCell ref="Z394:AA394"/>
    <mergeCell ref="AE394:AF394"/>
    <mergeCell ref="AJ394:AK394"/>
    <mergeCell ref="AO394:AP394"/>
    <mergeCell ref="Z395:AA395"/>
    <mergeCell ref="AE395:AF395"/>
    <mergeCell ref="AJ395:AK395"/>
    <mergeCell ref="AO395:AP395"/>
    <mergeCell ref="Z396:AA396"/>
    <mergeCell ref="AE396:AF396"/>
    <mergeCell ref="AJ396:AK396"/>
    <mergeCell ref="AO396:AP396"/>
    <mergeCell ref="Z391:AA391"/>
    <mergeCell ref="AE391:AF391"/>
    <mergeCell ref="AJ391:AK391"/>
    <mergeCell ref="AO391:AP391"/>
    <mergeCell ref="Z392:AA392"/>
    <mergeCell ref="AE392:AF392"/>
    <mergeCell ref="AJ392:AK392"/>
    <mergeCell ref="AO392:AP392"/>
    <mergeCell ref="Z393:AA393"/>
    <mergeCell ref="AE393:AF393"/>
    <mergeCell ref="AJ393:AK393"/>
    <mergeCell ref="AO393:AP393"/>
    <mergeCell ref="Z388:AA388"/>
    <mergeCell ref="AE388:AF388"/>
    <mergeCell ref="AJ388:AK388"/>
    <mergeCell ref="AO388:AP388"/>
    <mergeCell ref="Z389:AA389"/>
    <mergeCell ref="AE389:AF389"/>
    <mergeCell ref="AJ389:AK389"/>
    <mergeCell ref="AO389:AP389"/>
    <mergeCell ref="Z390:AA390"/>
    <mergeCell ref="AE390:AF390"/>
    <mergeCell ref="AJ390:AK390"/>
    <mergeCell ref="AO390:AP390"/>
    <mergeCell ref="Z385:AA385"/>
    <mergeCell ref="AE385:AF385"/>
    <mergeCell ref="AJ385:AK385"/>
    <mergeCell ref="AO385:AP385"/>
    <mergeCell ref="Z386:AA386"/>
    <mergeCell ref="AE386:AF386"/>
    <mergeCell ref="AJ386:AK386"/>
    <mergeCell ref="AO386:AP386"/>
    <mergeCell ref="Z387:AA387"/>
    <mergeCell ref="AE387:AF387"/>
    <mergeCell ref="AJ387:AK387"/>
    <mergeCell ref="AO387:AP387"/>
    <mergeCell ref="Z382:AA382"/>
    <mergeCell ref="AE382:AF382"/>
    <mergeCell ref="AJ382:AK382"/>
    <mergeCell ref="AO382:AP382"/>
    <mergeCell ref="Z383:AA383"/>
    <mergeCell ref="AE383:AF383"/>
    <mergeCell ref="AJ383:AK383"/>
    <mergeCell ref="AO383:AP383"/>
    <mergeCell ref="Z384:AA384"/>
    <mergeCell ref="AE384:AF384"/>
    <mergeCell ref="AJ384:AK384"/>
    <mergeCell ref="AO384:AP384"/>
    <mergeCell ref="Z379:AA379"/>
    <mergeCell ref="AE379:AF379"/>
    <mergeCell ref="AJ379:AK379"/>
    <mergeCell ref="AO379:AP379"/>
    <mergeCell ref="Z380:AA380"/>
    <mergeCell ref="AE380:AF380"/>
    <mergeCell ref="AJ380:AK380"/>
    <mergeCell ref="AO380:AP380"/>
    <mergeCell ref="Z381:AA381"/>
    <mergeCell ref="AE381:AF381"/>
    <mergeCell ref="AJ381:AK381"/>
    <mergeCell ref="AO381:AP381"/>
    <mergeCell ref="Z376:AA376"/>
    <mergeCell ref="AE376:AF376"/>
    <mergeCell ref="AJ376:AK376"/>
    <mergeCell ref="AO376:AP376"/>
    <mergeCell ref="Z377:AA377"/>
    <mergeCell ref="AE377:AF377"/>
    <mergeCell ref="AJ377:AK377"/>
    <mergeCell ref="AO377:AP377"/>
    <mergeCell ref="Z378:AA378"/>
    <mergeCell ref="AE378:AF378"/>
    <mergeCell ref="AJ378:AK378"/>
    <mergeCell ref="AO378:AP378"/>
    <mergeCell ref="Z373:AA373"/>
    <mergeCell ref="AE373:AF373"/>
    <mergeCell ref="AJ373:AK373"/>
    <mergeCell ref="AO373:AP373"/>
    <mergeCell ref="Z374:AA374"/>
    <mergeCell ref="AE374:AF374"/>
    <mergeCell ref="AJ374:AK374"/>
    <mergeCell ref="AO374:AP374"/>
    <mergeCell ref="Z375:AA375"/>
    <mergeCell ref="AE375:AF375"/>
    <mergeCell ref="AJ375:AK375"/>
    <mergeCell ref="AO375:AP375"/>
    <mergeCell ref="Z370:AA370"/>
    <mergeCell ref="AE370:AF370"/>
    <mergeCell ref="AJ370:AK370"/>
    <mergeCell ref="AO370:AP370"/>
    <mergeCell ref="Z371:AA371"/>
    <mergeCell ref="AE371:AF371"/>
    <mergeCell ref="AJ371:AK371"/>
    <mergeCell ref="AO371:AP371"/>
    <mergeCell ref="Z372:AA372"/>
    <mergeCell ref="AE372:AF372"/>
    <mergeCell ref="AJ372:AK372"/>
    <mergeCell ref="AO372:AP372"/>
    <mergeCell ref="Z367:AA367"/>
    <mergeCell ref="AE367:AF367"/>
    <mergeCell ref="AJ367:AK367"/>
    <mergeCell ref="AO367:AP367"/>
    <mergeCell ref="Z368:AA368"/>
    <mergeCell ref="AE368:AF368"/>
    <mergeCell ref="AJ368:AK368"/>
    <mergeCell ref="AO368:AP368"/>
    <mergeCell ref="Z369:AA369"/>
    <mergeCell ref="AE369:AF369"/>
    <mergeCell ref="AJ369:AK369"/>
    <mergeCell ref="AO369:AP369"/>
    <mergeCell ref="Z364:AA364"/>
    <mergeCell ref="AE364:AF364"/>
    <mergeCell ref="AJ364:AK364"/>
    <mergeCell ref="AO364:AP364"/>
    <mergeCell ref="Z365:AA365"/>
    <mergeCell ref="AE365:AF365"/>
    <mergeCell ref="AJ365:AK365"/>
    <mergeCell ref="AO365:AP365"/>
    <mergeCell ref="Z366:AA366"/>
    <mergeCell ref="AE366:AF366"/>
    <mergeCell ref="AJ366:AK366"/>
    <mergeCell ref="AO366:AP366"/>
    <mergeCell ref="Z361:AA361"/>
    <mergeCell ref="AE361:AF361"/>
    <mergeCell ref="AJ361:AK361"/>
    <mergeCell ref="AO361:AP361"/>
    <mergeCell ref="Z362:AA362"/>
    <mergeCell ref="AE362:AF362"/>
    <mergeCell ref="AJ362:AK362"/>
    <mergeCell ref="AO362:AP362"/>
    <mergeCell ref="Z363:AA363"/>
    <mergeCell ref="AE363:AF363"/>
    <mergeCell ref="AJ363:AK363"/>
    <mergeCell ref="AO363:AP363"/>
    <mergeCell ref="Z358:AA358"/>
    <mergeCell ref="AE358:AF358"/>
    <mergeCell ref="AJ358:AK358"/>
    <mergeCell ref="AO358:AP358"/>
    <mergeCell ref="Z359:AA359"/>
    <mergeCell ref="AE359:AF359"/>
    <mergeCell ref="AJ359:AK359"/>
    <mergeCell ref="AO359:AP359"/>
    <mergeCell ref="Z360:AA360"/>
    <mergeCell ref="AE360:AF360"/>
    <mergeCell ref="AJ360:AK360"/>
    <mergeCell ref="AO360:AP360"/>
    <mergeCell ref="Z355:AA355"/>
    <mergeCell ref="AE355:AF355"/>
    <mergeCell ref="AJ355:AK355"/>
    <mergeCell ref="AO355:AP355"/>
    <mergeCell ref="Z356:AA356"/>
    <mergeCell ref="AE356:AF356"/>
    <mergeCell ref="AJ356:AK356"/>
    <mergeCell ref="AO356:AP356"/>
    <mergeCell ref="Z357:AA357"/>
    <mergeCell ref="AE357:AF357"/>
    <mergeCell ref="AJ357:AK357"/>
    <mergeCell ref="AO357:AP357"/>
    <mergeCell ref="Z352:AA352"/>
    <mergeCell ref="AE352:AF352"/>
    <mergeCell ref="AJ352:AK352"/>
    <mergeCell ref="AO352:AP352"/>
    <mergeCell ref="Z353:AA353"/>
    <mergeCell ref="AE353:AF353"/>
    <mergeCell ref="AJ353:AK353"/>
    <mergeCell ref="AO353:AP353"/>
    <mergeCell ref="Z354:AA354"/>
    <mergeCell ref="AE354:AF354"/>
    <mergeCell ref="AJ354:AK354"/>
    <mergeCell ref="AO354:AP354"/>
    <mergeCell ref="Z349:AA349"/>
    <mergeCell ref="AE349:AF349"/>
    <mergeCell ref="AJ349:AK349"/>
    <mergeCell ref="AO349:AP349"/>
    <mergeCell ref="Z350:AA350"/>
    <mergeCell ref="AE350:AF350"/>
    <mergeCell ref="AJ350:AK350"/>
    <mergeCell ref="AO350:AP350"/>
    <mergeCell ref="Z351:AA351"/>
    <mergeCell ref="AE351:AF351"/>
    <mergeCell ref="AJ351:AK351"/>
    <mergeCell ref="AO351:AP351"/>
    <mergeCell ref="Z346:AA346"/>
    <mergeCell ref="AE346:AF346"/>
    <mergeCell ref="AJ346:AK346"/>
    <mergeCell ref="AO346:AP346"/>
    <mergeCell ref="Z347:AA347"/>
    <mergeCell ref="AE347:AF347"/>
    <mergeCell ref="AJ347:AK347"/>
    <mergeCell ref="AO347:AP347"/>
    <mergeCell ref="Z348:AA348"/>
    <mergeCell ref="AE348:AF348"/>
    <mergeCell ref="AJ348:AK348"/>
    <mergeCell ref="AO348:AP348"/>
    <mergeCell ref="Z343:AA343"/>
    <mergeCell ref="AE343:AF343"/>
    <mergeCell ref="AJ343:AK343"/>
    <mergeCell ref="AO343:AP343"/>
    <mergeCell ref="Z344:AA344"/>
    <mergeCell ref="AE344:AF344"/>
    <mergeCell ref="AJ344:AK344"/>
    <mergeCell ref="AO344:AP344"/>
    <mergeCell ref="Z345:AA345"/>
    <mergeCell ref="AE345:AF345"/>
    <mergeCell ref="AJ345:AK345"/>
    <mergeCell ref="AO345:AP345"/>
    <mergeCell ref="Z340:AA340"/>
    <mergeCell ref="AE340:AF340"/>
    <mergeCell ref="AJ340:AK340"/>
    <mergeCell ref="AO340:AP340"/>
    <mergeCell ref="Z341:AA341"/>
    <mergeCell ref="AE341:AF341"/>
    <mergeCell ref="AJ341:AK341"/>
    <mergeCell ref="AO341:AP341"/>
    <mergeCell ref="Z342:AA342"/>
    <mergeCell ref="AE342:AF342"/>
    <mergeCell ref="AJ342:AK342"/>
    <mergeCell ref="AO342:AP342"/>
    <mergeCell ref="Z337:AA337"/>
    <mergeCell ref="AE337:AF337"/>
    <mergeCell ref="AJ337:AK337"/>
    <mergeCell ref="AO337:AP337"/>
    <mergeCell ref="Z338:AA338"/>
    <mergeCell ref="AE338:AF338"/>
    <mergeCell ref="AJ338:AK338"/>
    <mergeCell ref="AO338:AP338"/>
    <mergeCell ref="Z339:AA339"/>
    <mergeCell ref="AE339:AF339"/>
    <mergeCell ref="AJ339:AK339"/>
    <mergeCell ref="AO339:AP339"/>
    <mergeCell ref="Z334:AA334"/>
    <mergeCell ref="AE334:AF334"/>
    <mergeCell ref="AJ334:AK334"/>
    <mergeCell ref="AO334:AP334"/>
    <mergeCell ref="Z335:AA335"/>
    <mergeCell ref="AE335:AF335"/>
    <mergeCell ref="AJ335:AK335"/>
    <mergeCell ref="AO335:AP335"/>
    <mergeCell ref="Z336:AA336"/>
    <mergeCell ref="AE336:AF336"/>
    <mergeCell ref="AJ336:AK336"/>
    <mergeCell ref="AO336:AP336"/>
    <mergeCell ref="Z331:AA331"/>
    <mergeCell ref="AE331:AF331"/>
    <mergeCell ref="AJ331:AK331"/>
    <mergeCell ref="AO331:AP331"/>
    <mergeCell ref="Z332:AA332"/>
    <mergeCell ref="AE332:AF332"/>
    <mergeCell ref="AJ332:AK332"/>
    <mergeCell ref="AO332:AP332"/>
    <mergeCell ref="Z333:AA333"/>
    <mergeCell ref="AE333:AF333"/>
    <mergeCell ref="AJ333:AK333"/>
    <mergeCell ref="AO333:AP333"/>
    <mergeCell ref="Z328:AA328"/>
    <mergeCell ref="AE328:AF328"/>
    <mergeCell ref="AJ328:AK328"/>
    <mergeCell ref="AO328:AP328"/>
    <mergeCell ref="Z329:AA329"/>
    <mergeCell ref="AE329:AF329"/>
    <mergeCell ref="AJ329:AK329"/>
    <mergeCell ref="AO329:AP329"/>
    <mergeCell ref="Z330:AA330"/>
    <mergeCell ref="AE330:AF330"/>
    <mergeCell ref="AJ330:AK330"/>
    <mergeCell ref="AO330:AP330"/>
    <mergeCell ref="Z325:AA325"/>
    <mergeCell ref="AE325:AF325"/>
    <mergeCell ref="AJ325:AK325"/>
    <mergeCell ref="AO325:AP325"/>
    <mergeCell ref="Z326:AA326"/>
    <mergeCell ref="AE326:AF326"/>
    <mergeCell ref="AJ326:AK326"/>
    <mergeCell ref="AO326:AP326"/>
    <mergeCell ref="Z327:AA327"/>
    <mergeCell ref="AE327:AF327"/>
    <mergeCell ref="AJ327:AK327"/>
    <mergeCell ref="AO327:AP327"/>
    <mergeCell ref="Z322:AA322"/>
    <mergeCell ref="AE322:AF322"/>
    <mergeCell ref="AJ322:AK322"/>
    <mergeCell ref="AO322:AP322"/>
    <mergeCell ref="Z323:AA323"/>
    <mergeCell ref="AE323:AF323"/>
    <mergeCell ref="AJ323:AK323"/>
    <mergeCell ref="AO323:AP323"/>
    <mergeCell ref="Z324:AA324"/>
    <mergeCell ref="AE324:AF324"/>
    <mergeCell ref="AJ324:AK324"/>
    <mergeCell ref="AO324:AP324"/>
    <mergeCell ref="Z319:AA319"/>
    <mergeCell ref="AE319:AF319"/>
    <mergeCell ref="AJ319:AK319"/>
    <mergeCell ref="AO319:AP319"/>
    <mergeCell ref="Z320:AA320"/>
    <mergeCell ref="AE320:AF320"/>
    <mergeCell ref="AJ320:AK320"/>
    <mergeCell ref="AO320:AP320"/>
    <mergeCell ref="Z321:AA321"/>
    <mergeCell ref="AE321:AF321"/>
    <mergeCell ref="AJ321:AK321"/>
    <mergeCell ref="AO321:AP321"/>
    <mergeCell ref="Z316:AA316"/>
    <mergeCell ref="AE316:AF316"/>
    <mergeCell ref="AJ316:AK316"/>
    <mergeCell ref="AO316:AP316"/>
    <mergeCell ref="Z317:AA317"/>
    <mergeCell ref="AE317:AF317"/>
    <mergeCell ref="AJ317:AK317"/>
    <mergeCell ref="AO317:AP317"/>
    <mergeCell ref="Z318:AA318"/>
    <mergeCell ref="AE318:AF318"/>
    <mergeCell ref="AJ318:AK318"/>
    <mergeCell ref="AO318:AP318"/>
    <mergeCell ref="Z313:AA313"/>
    <mergeCell ref="AE313:AF313"/>
    <mergeCell ref="AJ313:AK313"/>
    <mergeCell ref="AO313:AP313"/>
    <mergeCell ref="Z314:AA314"/>
    <mergeCell ref="AE314:AF314"/>
    <mergeCell ref="AJ314:AK314"/>
    <mergeCell ref="AO314:AP314"/>
    <mergeCell ref="Z315:AA315"/>
    <mergeCell ref="AE315:AF315"/>
    <mergeCell ref="AJ315:AK315"/>
    <mergeCell ref="AO315:AP315"/>
    <mergeCell ref="Z310:AA310"/>
    <mergeCell ref="AE310:AF310"/>
    <mergeCell ref="AJ310:AK310"/>
    <mergeCell ref="AO310:AP310"/>
    <mergeCell ref="Z311:AA311"/>
    <mergeCell ref="AE311:AF311"/>
    <mergeCell ref="AJ311:AK311"/>
    <mergeCell ref="AO311:AP311"/>
    <mergeCell ref="Z312:AA312"/>
    <mergeCell ref="AE312:AF312"/>
    <mergeCell ref="AJ312:AK312"/>
    <mergeCell ref="AO312:AP312"/>
    <mergeCell ref="Z307:AA307"/>
    <mergeCell ref="AE307:AF307"/>
    <mergeCell ref="AJ307:AK307"/>
    <mergeCell ref="AO307:AP307"/>
    <mergeCell ref="Z308:AA308"/>
    <mergeCell ref="AE308:AF308"/>
    <mergeCell ref="AJ308:AK308"/>
    <mergeCell ref="AO308:AP308"/>
    <mergeCell ref="Z309:AA309"/>
    <mergeCell ref="AE309:AF309"/>
    <mergeCell ref="AJ309:AK309"/>
    <mergeCell ref="AO309:AP309"/>
    <mergeCell ref="Z304:AA304"/>
    <mergeCell ref="AE304:AF304"/>
    <mergeCell ref="AJ304:AK304"/>
    <mergeCell ref="AO304:AP304"/>
    <mergeCell ref="Z305:AA305"/>
    <mergeCell ref="AE305:AF305"/>
    <mergeCell ref="AJ305:AK305"/>
    <mergeCell ref="AO305:AP305"/>
    <mergeCell ref="Z306:AA306"/>
    <mergeCell ref="AE306:AF306"/>
    <mergeCell ref="AJ306:AK306"/>
    <mergeCell ref="AO306:AP306"/>
    <mergeCell ref="Z301:AA301"/>
    <mergeCell ref="AE301:AF301"/>
    <mergeCell ref="AJ301:AK301"/>
    <mergeCell ref="AO301:AP301"/>
    <mergeCell ref="Z302:AA302"/>
    <mergeCell ref="AE302:AF302"/>
    <mergeCell ref="AJ302:AK302"/>
    <mergeCell ref="AO302:AP302"/>
    <mergeCell ref="Z303:AA303"/>
    <mergeCell ref="AE303:AF303"/>
    <mergeCell ref="AJ303:AK303"/>
    <mergeCell ref="AO303:AP303"/>
    <mergeCell ref="Z298:AA298"/>
    <mergeCell ref="AE298:AF298"/>
    <mergeCell ref="AJ298:AK298"/>
    <mergeCell ref="AO298:AP298"/>
    <mergeCell ref="Z299:AA299"/>
    <mergeCell ref="AE299:AF299"/>
    <mergeCell ref="AJ299:AK299"/>
    <mergeCell ref="AO299:AP299"/>
    <mergeCell ref="Z300:AA300"/>
    <mergeCell ref="AE300:AF300"/>
    <mergeCell ref="AJ300:AK300"/>
    <mergeCell ref="AO300:AP300"/>
    <mergeCell ref="Z295:AA295"/>
    <mergeCell ref="AE295:AF295"/>
    <mergeCell ref="AJ295:AK295"/>
    <mergeCell ref="AO295:AP295"/>
    <mergeCell ref="Z296:AA296"/>
    <mergeCell ref="AE296:AF296"/>
    <mergeCell ref="AJ296:AK296"/>
    <mergeCell ref="AO296:AP296"/>
    <mergeCell ref="Z297:AA297"/>
    <mergeCell ref="AE297:AF297"/>
    <mergeCell ref="AJ297:AK297"/>
    <mergeCell ref="AO297:AP297"/>
    <mergeCell ref="Z292:AA292"/>
    <mergeCell ref="AE292:AF292"/>
    <mergeCell ref="AJ292:AK292"/>
    <mergeCell ref="AO292:AP292"/>
    <mergeCell ref="Z293:AA293"/>
    <mergeCell ref="AE293:AF293"/>
    <mergeCell ref="AJ293:AK293"/>
    <mergeCell ref="AO293:AP293"/>
    <mergeCell ref="Z294:AA294"/>
    <mergeCell ref="AE294:AF294"/>
    <mergeCell ref="AJ294:AK294"/>
    <mergeCell ref="AO294:AP294"/>
    <mergeCell ref="Z289:AA289"/>
    <mergeCell ref="AE289:AF289"/>
    <mergeCell ref="AJ289:AK289"/>
    <mergeCell ref="AO289:AP289"/>
    <mergeCell ref="Z290:AA290"/>
    <mergeCell ref="AE290:AF290"/>
    <mergeCell ref="AJ290:AK290"/>
    <mergeCell ref="AO290:AP290"/>
    <mergeCell ref="Z291:AA291"/>
    <mergeCell ref="AE291:AF291"/>
    <mergeCell ref="AJ291:AK291"/>
    <mergeCell ref="AO291:AP291"/>
    <mergeCell ref="Z286:AA286"/>
    <mergeCell ref="AE286:AF286"/>
    <mergeCell ref="AJ286:AK286"/>
    <mergeCell ref="AO286:AP286"/>
    <mergeCell ref="Z287:AA287"/>
    <mergeCell ref="AE287:AF287"/>
    <mergeCell ref="AJ287:AK287"/>
    <mergeCell ref="AO287:AP287"/>
    <mergeCell ref="Z288:AA288"/>
    <mergeCell ref="AE288:AF288"/>
    <mergeCell ref="AJ288:AK288"/>
    <mergeCell ref="AO288:AP288"/>
    <mergeCell ref="Z283:AA283"/>
    <mergeCell ref="AE283:AF283"/>
    <mergeCell ref="AJ283:AK283"/>
    <mergeCell ref="AO283:AP283"/>
    <mergeCell ref="Z284:AA284"/>
    <mergeCell ref="AE284:AF284"/>
    <mergeCell ref="AJ284:AK284"/>
    <mergeCell ref="AO284:AP284"/>
    <mergeCell ref="Z285:AA285"/>
    <mergeCell ref="AE285:AF285"/>
    <mergeCell ref="AJ285:AK285"/>
    <mergeCell ref="AO285:AP285"/>
    <mergeCell ref="Z280:AA280"/>
    <mergeCell ref="AE280:AF280"/>
    <mergeCell ref="AJ280:AK280"/>
    <mergeCell ref="AO280:AP280"/>
    <mergeCell ref="Z281:AA281"/>
    <mergeCell ref="AE281:AF281"/>
    <mergeCell ref="AJ281:AK281"/>
    <mergeCell ref="AO281:AP281"/>
    <mergeCell ref="Z282:AA282"/>
    <mergeCell ref="AE282:AF282"/>
    <mergeCell ref="AJ282:AK282"/>
    <mergeCell ref="AO282:AP282"/>
    <mergeCell ref="Z277:AA277"/>
    <mergeCell ref="AE277:AF277"/>
    <mergeCell ref="AJ277:AK277"/>
    <mergeCell ref="AO277:AP277"/>
    <mergeCell ref="Z278:AA278"/>
    <mergeCell ref="AE278:AF278"/>
    <mergeCell ref="AJ278:AK278"/>
    <mergeCell ref="AO278:AP278"/>
    <mergeCell ref="Z279:AA279"/>
    <mergeCell ref="AE279:AF279"/>
    <mergeCell ref="AJ279:AK279"/>
    <mergeCell ref="AO279:AP279"/>
    <mergeCell ref="Z274:AA274"/>
    <mergeCell ref="AE274:AF274"/>
    <mergeCell ref="AJ274:AK274"/>
    <mergeCell ref="AO274:AP274"/>
    <mergeCell ref="Z275:AA275"/>
    <mergeCell ref="AE275:AF275"/>
    <mergeCell ref="AJ275:AK275"/>
    <mergeCell ref="AO275:AP275"/>
    <mergeCell ref="Z276:AA276"/>
    <mergeCell ref="AE276:AF276"/>
    <mergeCell ref="AJ276:AK276"/>
    <mergeCell ref="AO276:AP276"/>
    <mergeCell ref="Z271:AA271"/>
    <mergeCell ref="AE271:AF271"/>
    <mergeCell ref="AJ271:AK271"/>
    <mergeCell ref="AO271:AP271"/>
    <mergeCell ref="Z272:AA272"/>
    <mergeCell ref="AE272:AF272"/>
    <mergeCell ref="AJ272:AK272"/>
    <mergeCell ref="AO272:AP272"/>
    <mergeCell ref="Z273:AA273"/>
    <mergeCell ref="AE273:AF273"/>
    <mergeCell ref="AJ273:AK273"/>
    <mergeCell ref="AO273:AP273"/>
    <mergeCell ref="Z268:AA268"/>
    <mergeCell ref="AE268:AF268"/>
    <mergeCell ref="AJ268:AK268"/>
    <mergeCell ref="AO268:AP268"/>
    <mergeCell ref="Z269:AA269"/>
    <mergeCell ref="AE269:AF269"/>
    <mergeCell ref="AJ269:AK269"/>
    <mergeCell ref="AO269:AP269"/>
    <mergeCell ref="Z270:AA270"/>
    <mergeCell ref="AE270:AF270"/>
    <mergeCell ref="AJ270:AK270"/>
    <mergeCell ref="AO270:AP270"/>
    <mergeCell ref="Z265:AA265"/>
    <mergeCell ref="AE265:AF265"/>
    <mergeCell ref="AJ265:AK265"/>
    <mergeCell ref="AO265:AP265"/>
    <mergeCell ref="Z266:AA266"/>
    <mergeCell ref="AE266:AF266"/>
    <mergeCell ref="AJ266:AK266"/>
    <mergeCell ref="AO266:AP266"/>
    <mergeCell ref="Z267:AA267"/>
    <mergeCell ref="AE267:AF267"/>
    <mergeCell ref="AJ267:AK267"/>
    <mergeCell ref="AO267:AP267"/>
    <mergeCell ref="Z262:AA262"/>
    <mergeCell ref="AE262:AF262"/>
    <mergeCell ref="AJ262:AK262"/>
    <mergeCell ref="AO262:AP262"/>
    <mergeCell ref="Z263:AA263"/>
    <mergeCell ref="AE263:AF263"/>
    <mergeCell ref="AJ263:AK263"/>
    <mergeCell ref="AO263:AP263"/>
    <mergeCell ref="Z264:AA264"/>
    <mergeCell ref="AE264:AF264"/>
    <mergeCell ref="AJ264:AK264"/>
    <mergeCell ref="AO264:AP264"/>
    <mergeCell ref="Z259:AA259"/>
    <mergeCell ref="AE259:AF259"/>
    <mergeCell ref="AJ259:AK259"/>
    <mergeCell ref="AO259:AP259"/>
    <mergeCell ref="Z260:AA260"/>
    <mergeCell ref="AE260:AF260"/>
    <mergeCell ref="AJ260:AK260"/>
    <mergeCell ref="AO260:AP260"/>
    <mergeCell ref="Z261:AA261"/>
    <mergeCell ref="AE261:AF261"/>
    <mergeCell ref="AJ261:AK261"/>
    <mergeCell ref="AO261:AP261"/>
    <mergeCell ref="Z256:AA256"/>
    <mergeCell ref="AE256:AF256"/>
    <mergeCell ref="AJ256:AK256"/>
    <mergeCell ref="AO256:AP256"/>
    <mergeCell ref="Z257:AA257"/>
    <mergeCell ref="AE257:AF257"/>
    <mergeCell ref="AJ257:AK257"/>
    <mergeCell ref="AO257:AP257"/>
    <mergeCell ref="Z258:AA258"/>
    <mergeCell ref="AE258:AF258"/>
    <mergeCell ref="AJ258:AK258"/>
    <mergeCell ref="AO258:AP258"/>
    <mergeCell ref="Z253:AA253"/>
    <mergeCell ref="AE253:AF253"/>
    <mergeCell ref="AJ253:AK253"/>
    <mergeCell ref="AO253:AP253"/>
    <mergeCell ref="Z254:AA254"/>
    <mergeCell ref="AE254:AF254"/>
    <mergeCell ref="AJ254:AK254"/>
    <mergeCell ref="AO254:AP254"/>
    <mergeCell ref="Z255:AA255"/>
    <mergeCell ref="AE255:AF255"/>
    <mergeCell ref="AJ255:AK255"/>
    <mergeCell ref="AO255:AP255"/>
    <mergeCell ref="Z250:AA250"/>
    <mergeCell ref="AE250:AF250"/>
    <mergeCell ref="AJ250:AK250"/>
    <mergeCell ref="AO250:AP250"/>
    <mergeCell ref="Z251:AA251"/>
    <mergeCell ref="AE251:AF251"/>
    <mergeCell ref="AJ251:AK251"/>
    <mergeCell ref="AO251:AP251"/>
    <mergeCell ref="Z252:AA252"/>
    <mergeCell ref="AE252:AF252"/>
    <mergeCell ref="AJ252:AK252"/>
    <mergeCell ref="AO252:AP252"/>
    <mergeCell ref="Z247:AA247"/>
    <mergeCell ref="AE247:AF247"/>
    <mergeCell ref="AJ247:AK247"/>
    <mergeCell ref="AO247:AP247"/>
    <mergeCell ref="Z248:AA248"/>
    <mergeCell ref="AE248:AF248"/>
    <mergeCell ref="AJ248:AK248"/>
    <mergeCell ref="AO248:AP248"/>
    <mergeCell ref="Z249:AA249"/>
    <mergeCell ref="AE249:AF249"/>
    <mergeCell ref="AJ249:AK249"/>
    <mergeCell ref="AO249:AP249"/>
    <mergeCell ref="Z244:AA244"/>
    <mergeCell ref="AE244:AF244"/>
    <mergeCell ref="AJ244:AK244"/>
    <mergeCell ref="AO244:AP244"/>
    <mergeCell ref="Z245:AA245"/>
    <mergeCell ref="AE245:AF245"/>
    <mergeCell ref="AJ245:AK245"/>
    <mergeCell ref="AO245:AP245"/>
    <mergeCell ref="Z246:AA246"/>
    <mergeCell ref="AE246:AF246"/>
    <mergeCell ref="AJ246:AK246"/>
    <mergeCell ref="AO246:AP246"/>
    <mergeCell ref="Z241:AA241"/>
    <mergeCell ref="AE241:AF241"/>
    <mergeCell ref="AJ241:AK241"/>
    <mergeCell ref="AO241:AP241"/>
    <mergeCell ref="Z242:AA242"/>
    <mergeCell ref="AE242:AF242"/>
    <mergeCell ref="AJ242:AK242"/>
    <mergeCell ref="AO242:AP242"/>
    <mergeCell ref="Z243:AA243"/>
    <mergeCell ref="AE243:AF243"/>
    <mergeCell ref="AJ243:AK243"/>
    <mergeCell ref="AO243:AP243"/>
    <mergeCell ref="Z238:AA238"/>
    <mergeCell ref="AE238:AF238"/>
    <mergeCell ref="AJ238:AK238"/>
    <mergeCell ref="AO238:AP238"/>
    <mergeCell ref="Z239:AA239"/>
    <mergeCell ref="AE239:AF239"/>
    <mergeCell ref="AJ239:AK239"/>
    <mergeCell ref="AO239:AP239"/>
    <mergeCell ref="Z240:AA240"/>
    <mergeCell ref="AE240:AF240"/>
    <mergeCell ref="AJ240:AK240"/>
    <mergeCell ref="AO240:AP240"/>
    <mergeCell ref="Z235:AA235"/>
    <mergeCell ref="AE235:AF235"/>
    <mergeCell ref="AJ235:AK235"/>
    <mergeCell ref="AO235:AP235"/>
    <mergeCell ref="Z236:AA236"/>
    <mergeCell ref="AE236:AF236"/>
    <mergeCell ref="AJ236:AK236"/>
    <mergeCell ref="AO236:AP236"/>
    <mergeCell ref="Z237:AA237"/>
    <mergeCell ref="AE237:AF237"/>
    <mergeCell ref="AJ237:AK237"/>
    <mergeCell ref="AO237:AP237"/>
    <mergeCell ref="Z232:AA232"/>
    <mergeCell ref="AE232:AF232"/>
    <mergeCell ref="AJ232:AK232"/>
    <mergeCell ref="AO232:AP232"/>
    <mergeCell ref="Z233:AA233"/>
    <mergeCell ref="AE233:AF233"/>
    <mergeCell ref="AJ233:AK233"/>
    <mergeCell ref="AO233:AP233"/>
    <mergeCell ref="Z234:AA234"/>
    <mergeCell ref="AE234:AF234"/>
    <mergeCell ref="AJ234:AK234"/>
    <mergeCell ref="AO234:AP234"/>
    <mergeCell ref="Z229:AA229"/>
    <mergeCell ref="AE229:AF229"/>
    <mergeCell ref="AJ229:AK229"/>
    <mergeCell ref="AO229:AP229"/>
    <mergeCell ref="Z230:AA230"/>
    <mergeCell ref="AE230:AF230"/>
    <mergeCell ref="AJ230:AK230"/>
    <mergeCell ref="AO230:AP230"/>
    <mergeCell ref="Z231:AA231"/>
    <mergeCell ref="AE231:AF231"/>
    <mergeCell ref="AJ231:AK231"/>
    <mergeCell ref="AO231:AP231"/>
    <mergeCell ref="Z226:AA226"/>
    <mergeCell ref="AE226:AF226"/>
    <mergeCell ref="AJ226:AK226"/>
    <mergeCell ref="AO226:AP226"/>
    <mergeCell ref="Z227:AA227"/>
    <mergeCell ref="AE227:AF227"/>
    <mergeCell ref="AJ227:AK227"/>
    <mergeCell ref="AO227:AP227"/>
    <mergeCell ref="Z228:AA228"/>
    <mergeCell ref="AE228:AF228"/>
    <mergeCell ref="AJ228:AK228"/>
    <mergeCell ref="AO228:AP228"/>
    <mergeCell ref="Z223:AA223"/>
    <mergeCell ref="AE223:AF223"/>
    <mergeCell ref="AJ223:AK223"/>
    <mergeCell ref="AO223:AP223"/>
    <mergeCell ref="Z224:AA224"/>
    <mergeCell ref="AE224:AF224"/>
    <mergeCell ref="AJ224:AK224"/>
    <mergeCell ref="AO224:AP224"/>
    <mergeCell ref="Z225:AA225"/>
    <mergeCell ref="AE225:AF225"/>
    <mergeCell ref="AJ225:AK225"/>
    <mergeCell ref="AO225:AP225"/>
    <mergeCell ref="Z220:AA220"/>
    <mergeCell ref="AE220:AF220"/>
    <mergeCell ref="AJ220:AK220"/>
    <mergeCell ref="AO220:AP220"/>
    <mergeCell ref="Z221:AA221"/>
    <mergeCell ref="AE221:AF221"/>
    <mergeCell ref="AJ221:AK221"/>
    <mergeCell ref="AO221:AP221"/>
    <mergeCell ref="Z222:AA222"/>
    <mergeCell ref="AE222:AF222"/>
    <mergeCell ref="AJ222:AK222"/>
    <mergeCell ref="AO222:AP222"/>
    <mergeCell ref="Z217:AA217"/>
    <mergeCell ref="AE217:AF217"/>
    <mergeCell ref="AJ217:AK217"/>
    <mergeCell ref="AO217:AP217"/>
    <mergeCell ref="Z218:AA218"/>
    <mergeCell ref="AE218:AF218"/>
    <mergeCell ref="AJ218:AK218"/>
    <mergeCell ref="AO218:AP218"/>
    <mergeCell ref="Z219:AA219"/>
    <mergeCell ref="AE219:AF219"/>
    <mergeCell ref="AJ219:AK219"/>
    <mergeCell ref="AO219:AP219"/>
    <mergeCell ref="Z214:AA214"/>
    <mergeCell ref="AE214:AF214"/>
    <mergeCell ref="AJ214:AK214"/>
    <mergeCell ref="AO214:AP214"/>
    <mergeCell ref="Z215:AA215"/>
    <mergeCell ref="AE215:AF215"/>
    <mergeCell ref="AJ215:AK215"/>
    <mergeCell ref="AO215:AP215"/>
    <mergeCell ref="Z216:AA216"/>
    <mergeCell ref="AE216:AF216"/>
    <mergeCell ref="AJ216:AK216"/>
    <mergeCell ref="AO216:AP216"/>
    <mergeCell ref="Z211:AA211"/>
    <mergeCell ref="AE211:AF211"/>
    <mergeCell ref="AJ211:AK211"/>
    <mergeCell ref="AO211:AP211"/>
    <mergeCell ref="Z212:AA212"/>
    <mergeCell ref="AE212:AF212"/>
    <mergeCell ref="AJ212:AK212"/>
    <mergeCell ref="AO212:AP212"/>
    <mergeCell ref="Z213:AA213"/>
    <mergeCell ref="AE213:AF213"/>
    <mergeCell ref="AJ213:AK213"/>
    <mergeCell ref="AO213:AP213"/>
    <mergeCell ref="Z208:AA208"/>
    <mergeCell ref="AE208:AF208"/>
    <mergeCell ref="AJ208:AK208"/>
    <mergeCell ref="AO208:AP208"/>
    <mergeCell ref="Z209:AA209"/>
    <mergeCell ref="AE209:AF209"/>
    <mergeCell ref="AJ209:AK209"/>
    <mergeCell ref="AO209:AP209"/>
    <mergeCell ref="Z210:AA210"/>
    <mergeCell ref="AE210:AF210"/>
    <mergeCell ref="AJ210:AK210"/>
    <mergeCell ref="AO210:AP210"/>
    <mergeCell ref="Z205:AA205"/>
    <mergeCell ref="AE205:AF205"/>
    <mergeCell ref="AJ205:AK205"/>
    <mergeCell ref="AO205:AP205"/>
    <mergeCell ref="Z206:AA206"/>
    <mergeCell ref="AE206:AF206"/>
    <mergeCell ref="AJ206:AK206"/>
    <mergeCell ref="AO206:AP206"/>
    <mergeCell ref="Z207:AA207"/>
    <mergeCell ref="AE207:AF207"/>
    <mergeCell ref="AJ207:AK207"/>
    <mergeCell ref="AO207:AP207"/>
    <mergeCell ref="Z202:AA202"/>
    <mergeCell ref="AE202:AF202"/>
    <mergeCell ref="AJ202:AK202"/>
    <mergeCell ref="AO202:AP202"/>
    <mergeCell ref="Z203:AA203"/>
    <mergeCell ref="AE203:AF203"/>
    <mergeCell ref="AJ203:AK203"/>
    <mergeCell ref="AO203:AP203"/>
    <mergeCell ref="Z204:AA204"/>
    <mergeCell ref="AE204:AF204"/>
    <mergeCell ref="AJ204:AK204"/>
    <mergeCell ref="AO204:AP204"/>
    <mergeCell ref="Z199:AA199"/>
    <mergeCell ref="AE199:AF199"/>
    <mergeCell ref="AJ199:AK199"/>
    <mergeCell ref="AO199:AP199"/>
    <mergeCell ref="Z200:AA200"/>
    <mergeCell ref="AE200:AF200"/>
    <mergeCell ref="AJ200:AK200"/>
    <mergeCell ref="AO200:AP200"/>
    <mergeCell ref="Z201:AA201"/>
    <mergeCell ref="AE201:AF201"/>
    <mergeCell ref="AJ201:AK201"/>
    <mergeCell ref="AO201:AP201"/>
    <mergeCell ref="Z196:AA196"/>
    <mergeCell ref="AE196:AF196"/>
    <mergeCell ref="AJ196:AK196"/>
    <mergeCell ref="AO196:AP196"/>
    <mergeCell ref="Z197:AA197"/>
    <mergeCell ref="AE197:AF197"/>
    <mergeCell ref="AJ197:AK197"/>
    <mergeCell ref="AO197:AP197"/>
    <mergeCell ref="Z198:AA198"/>
    <mergeCell ref="AE198:AF198"/>
    <mergeCell ref="AJ198:AK198"/>
    <mergeCell ref="AO198:AP198"/>
    <mergeCell ref="Z193:AA193"/>
    <mergeCell ref="AE193:AF193"/>
    <mergeCell ref="AJ193:AK193"/>
    <mergeCell ref="AO193:AP193"/>
    <mergeCell ref="Z194:AA194"/>
    <mergeCell ref="AE194:AF194"/>
    <mergeCell ref="AJ194:AK194"/>
    <mergeCell ref="AO194:AP194"/>
    <mergeCell ref="Z195:AA195"/>
    <mergeCell ref="AE195:AF195"/>
    <mergeCell ref="AJ195:AK195"/>
    <mergeCell ref="AO195:AP195"/>
    <mergeCell ref="Z190:AA190"/>
    <mergeCell ref="AE190:AF190"/>
    <mergeCell ref="AJ190:AK190"/>
    <mergeCell ref="AO190:AP190"/>
    <mergeCell ref="Z191:AA191"/>
    <mergeCell ref="AE191:AF191"/>
    <mergeCell ref="AJ191:AK191"/>
    <mergeCell ref="AO191:AP191"/>
    <mergeCell ref="Z192:AA192"/>
    <mergeCell ref="AE192:AF192"/>
    <mergeCell ref="AJ192:AK192"/>
    <mergeCell ref="AO192:AP192"/>
    <mergeCell ref="Z187:AA187"/>
    <mergeCell ref="AE187:AF187"/>
    <mergeCell ref="AJ187:AK187"/>
    <mergeCell ref="AO187:AP187"/>
    <mergeCell ref="Z188:AA188"/>
    <mergeCell ref="AE188:AF188"/>
    <mergeCell ref="AJ188:AK188"/>
    <mergeCell ref="AO188:AP188"/>
    <mergeCell ref="Z189:AA189"/>
    <mergeCell ref="AE189:AF189"/>
    <mergeCell ref="AJ189:AK189"/>
    <mergeCell ref="AO189:AP189"/>
    <mergeCell ref="Z184:AA184"/>
    <mergeCell ref="AE184:AF184"/>
    <mergeCell ref="AJ184:AK184"/>
    <mergeCell ref="AO184:AP184"/>
    <mergeCell ref="Z185:AA185"/>
    <mergeCell ref="AE185:AF185"/>
    <mergeCell ref="AJ185:AK185"/>
    <mergeCell ref="AO185:AP185"/>
    <mergeCell ref="Z186:AA186"/>
    <mergeCell ref="AE186:AF186"/>
    <mergeCell ref="AJ186:AK186"/>
    <mergeCell ref="AO186:AP186"/>
    <mergeCell ref="Z181:AA181"/>
    <mergeCell ref="AE181:AF181"/>
    <mergeCell ref="AJ181:AK181"/>
    <mergeCell ref="AO181:AP181"/>
    <mergeCell ref="Z182:AA182"/>
    <mergeCell ref="AE182:AF182"/>
    <mergeCell ref="AJ182:AK182"/>
    <mergeCell ref="AO182:AP182"/>
    <mergeCell ref="Z183:AA183"/>
    <mergeCell ref="AE183:AF183"/>
    <mergeCell ref="AJ183:AK183"/>
    <mergeCell ref="AO183:AP183"/>
    <mergeCell ref="Z178:AA178"/>
    <mergeCell ref="AE178:AF178"/>
    <mergeCell ref="AJ178:AK178"/>
    <mergeCell ref="AO178:AP178"/>
    <mergeCell ref="Z179:AA179"/>
    <mergeCell ref="AE179:AF179"/>
    <mergeCell ref="AJ179:AK179"/>
    <mergeCell ref="AO179:AP179"/>
    <mergeCell ref="Z180:AA180"/>
    <mergeCell ref="AE180:AF180"/>
    <mergeCell ref="AJ180:AK180"/>
    <mergeCell ref="AO180:AP180"/>
    <mergeCell ref="Z175:AA175"/>
    <mergeCell ref="AE175:AF175"/>
    <mergeCell ref="AJ175:AK175"/>
    <mergeCell ref="AO175:AP175"/>
    <mergeCell ref="Z176:AA176"/>
    <mergeCell ref="AE176:AF176"/>
    <mergeCell ref="AJ176:AK176"/>
    <mergeCell ref="AO176:AP176"/>
    <mergeCell ref="Z177:AA177"/>
    <mergeCell ref="AE177:AF177"/>
    <mergeCell ref="AJ177:AK177"/>
    <mergeCell ref="AO177:AP177"/>
    <mergeCell ref="Z172:AA172"/>
    <mergeCell ref="AE172:AF172"/>
    <mergeCell ref="AJ172:AK172"/>
    <mergeCell ref="AO172:AP172"/>
    <mergeCell ref="Z173:AA173"/>
    <mergeCell ref="AE173:AF173"/>
    <mergeCell ref="AJ173:AK173"/>
    <mergeCell ref="AO173:AP173"/>
    <mergeCell ref="Z174:AA174"/>
    <mergeCell ref="AE174:AF174"/>
    <mergeCell ref="AJ174:AK174"/>
    <mergeCell ref="AO174:AP174"/>
    <mergeCell ref="Z169:AA169"/>
    <mergeCell ref="AE169:AF169"/>
    <mergeCell ref="AJ169:AK169"/>
    <mergeCell ref="AO169:AP169"/>
    <mergeCell ref="Z170:AA170"/>
    <mergeCell ref="AE170:AF170"/>
    <mergeCell ref="AJ170:AK170"/>
    <mergeCell ref="AO170:AP170"/>
    <mergeCell ref="Z171:AA171"/>
    <mergeCell ref="AE171:AF171"/>
    <mergeCell ref="AJ171:AK171"/>
    <mergeCell ref="AO171:AP171"/>
    <mergeCell ref="Z166:AA166"/>
    <mergeCell ref="AE166:AF166"/>
    <mergeCell ref="AJ166:AK166"/>
    <mergeCell ref="AO166:AP166"/>
    <mergeCell ref="Z167:AA167"/>
    <mergeCell ref="AE167:AF167"/>
    <mergeCell ref="AJ167:AK167"/>
    <mergeCell ref="AO167:AP167"/>
    <mergeCell ref="Z168:AA168"/>
    <mergeCell ref="AE168:AF168"/>
    <mergeCell ref="AJ168:AK168"/>
    <mergeCell ref="AO168:AP168"/>
    <mergeCell ref="Z163:AA163"/>
    <mergeCell ref="AE163:AF163"/>
    <mergeCell ref="AJ163:AK163"/>
    <mergeCell ref="AO163:AP163"/>
    <mergeCell ref="Z164:AA164"/>
    <mergeCell ref="AE164:AF164"/>
    <mergeCell ref="AJ164:AK164"/>
    <mergeCell ref="AO164:AP164"/>
    <mergeCell ref="Z165:AA165"/>
    <mergeCell ref="AE165:AF165"/>
    <mergeCell ref="AJ165:AK165"/>
    <mergeCell ref="AO165:AP165"/>
    <mergeCell ref="Z160:AA160"/>
    <mergeCell ref="AE160:AF160"/>
    <mergeCell ref="AJ160:AK160"/>
    <mergeCell ref="AO160:AP160"/>
    <mergeCell ref="Z161:AA161"/>
    <mergeCell ref="AE161:AF161"/>
    <mergeCell ref="AJ161:AK161"/>
    <mergeCell ref="AO161:AP161"/>
    <mergeCell ref="Z162:AA162"/>
    <mergeCell ref="AE162:AF162"/>
    <mergeCell ref="AJ162:AK162"/>
    <mergeCell ref="AO162:AP162"/>
    <mergeCell ref="Z157:AA157"/>
    <mergeCell ref="AE157:AF157"/>
    <mergeCell ref="AJ157:AK157"/>
    <mergeCell ref="AO157:AP157"/>
    <mergeCell ref="Z158:AA158"/>
    <mergeCell ref="AE158:AF158"/>
    <mergeCell ref="AJ158:AK158"/>
    <mergeCell ref="AO158:AP158"/>
    <mergeCell ref="Z159:AA159"/>
    <mergeCell ref="AE159:AF159"/>
    <mergeCell ref="AJ159:AK159"/>
    <mergeCell ref="AO159:AP159"/>
    <mergeCell ref="Z154:AA154"/>
    <mergeCell ref="AE154:AF154"/>
    <mergeCell ref="AJ154:AK154"/>
    <mergeCell ref="AO154:AP154"/>
    <mergeCell ref="Z155:AA155"/>
    <mergeCell ref="AE155:AF155"/>
    <mergeCell ref="AJ155:AK155"/>
    <mergeCell ref="AO155:AP155"/>
    <mergeCell ref="Z156:AA156"/>
    <mergeCell ref="AE156:AF156"/>
    <mergeCell ref="AJ156:AK156"/>
    <mergeCell ref="AO156:AP156"/>
    <mergeCell ref="Z151:AA151"/>
    <mergeCell ref="AE151:AF151"/>
    <mergeCell ref="AJ151:AK151"/>
    <mergeCell ref="AO151:AP151"/>
    <mergeCell ref="Z152:AA152"/>
    <mergeCell ref="AE152:AF152"/>
    <mergeCell ref="AJ152:AK152"/>
    <mergeCell ref="AO152:AP152"/>
    <mergeCell ref="Z153:AA153"/>
    <mergeCell ref="AE153:AF153"/>
    <mergeCell ref="AJ153:AK153"/>
    <mergeCell ref="AO153:AP153"/>
    <mergeCell ref="Z148:AA148"/>
    <mergeCell ref="AE148:AF148"/>
    <mergeCell ref="AJ148:AK148"/>
    <mergeCell ref="AO148:AP148"/>
    <mergeCell ref="Z149:AA149"/>
    <mergeCell ref="AE149:AF149"/>
    <mergeCell ref="AJ149:AK149"/>
    <mergeCell ref="AO149:AP149"/>
    <mergeCell ref="Z150:AA150"/>
    <mergeCell ref="AE150:AF150"/>
    <mergeCell ref="AJ150:AK150"/>
    <mergeCell ref="AO150:AP150"/>
    <mergeCell ref="Z145:AA145"/>
    <mergeCell ref="AE145:AF145"/>
    <mergeCell ref="AJ145:AK145"/>
    <mergeCell ref="AO145:AP145"/>
    <mergeCell ref="Z146:AA146"/>
    <mergeCell ref="AE146:AF146"/>
    <mergeCell ref="AJ146:AK146"/>
    <mergeCell ref="AO146:AP146"/>
    <mergeCell ref="Z147:AA147"/>
    <mergeCell ref="AE147:AF147"/>
    <mergeCell ref="AJ147:AK147"/>
    <mergeCell ref="AO147:AP147"/>
    <mergeCell ref="Z142:AA142"/>
    <mergeCell ref="AE142:AF142"/>
    <mergeCell ref="AJ142:AK142"/>
    <mergeCell ref="AO142:AP142"/>
    <mergeCell ref="Z143:AA143"/>
    <mergeCell ref="AE143:AF143"/>
    <mergeCell ref="AJ143:AK143"/>
    <mergeCell ref="AO143:AP143"/>
    <mergeCell ref="Z144:AA144"/>
    <mergeCell ref="AE144:AF144"/>
    <mergeCell ref="AJ144:AK144"/>
    <mergeCell ref="AO144:AP144"/>
    <mergeCell ref="Z139:AA139"/>
    <mergeCell ref="AE139:AF139"/>
    <mergeCell ref="AJ139:AK139"/>
    <mergeCell ref="AO139:AP139"/>
    <mergeCell ref="Z140:AA140"/>
    <mergeCell ref="AE140:AF140"/>
    <mergeCell ref="AJ140:AK140"/>
    <mergeCell ref="AO140:AP140"/>
    <mergeCell ref="Z141:AA141"/>
    <mergeCell ref="AE141:AF141"/>
    <mergeCell ref="AJ141:AK141"/>
    <mergeCell ref="AO141:AP141"/>
    <mergeCell ref="Z136:AA136"/>
    <mergeCell ref="AE136:AF136"/>
    <mergeCell ref="AJ136:AK136"/>
    <mergeCell ref="AO136:AP136"/>
    <mergeCell ref="Z137:AA137"/>
    <mergeCell ref="AE137:AF137"/>
    <mergeCell ref="AJ137:AK137"/>
    <mergeCell ref="AO137:AP137"/>
    <mergeCell ref="Z138:AA138"/>
    <mergeCell ref="AE138:AF138"/>
    <mergeCell ref="AJ138:AK138"/>
    <mergeCell ref="AO138:AP138"/>
    <mergeCell ref="Z133:AA133"/>
    <mergeCell ref="AE133:AF133"/>
    <mergeCell ref="AJ133:AK133"/>
    <mergeCell ref="AO133:AP133"/>
    <mergeCell ref="Z134:AA134"/>
    <mergeCell ref="AE134:AF134"/>
    <mergeCell ref="AJ134:AK134"/>
    <mergeCell ref="AO134:AP134"/>
    <mergeCell ref="Z135:AA135"/>
    <mergeCell ref="AE135:AF135"/>
    <mergeCell ref="AJ135:AK135"/>
    <mergeCell ref="AO135:AP135"/>
    <mergeCell ref="Z130:AA130"/>
    <mergeCell ref="AE130:AF130"/>
    <mergeCell ref="AJ130:AK130"/>
    <mergeCell ref="AO130:AP130"/>
    <mergeCell ref="Z131:AA131"/>
    <mergeCell ref="AE131:AF131"/>
    <mergeCell ref="AJ131:AK131"/>
    <mergeCell ref="AO131:AP131"/>
    <mergeCell ref="Z132:AA132"/>
    <mergeCell ref="AE132:AF132"/>
    <mergeCell ref="AJ132:AK132"/>
    <mergeCell ref="AO132:AP132"/>
    <mergeCell ref="Z127:AA127"/>
    <mergeCell ref="AE127:AF127"/>
    <mergeCell ref="AJ127:AK127"/>
    <mergeCell ref="AO127:AP127"/>
    <mergeCell ref="Z128:AA128"/>
    <mergeCell ref="AE128:AF128"/>
    <mergeCell ref="AJ128:AK128"/>
    <mergeCell ref="AO128:AP128"/>
    <mergeCell ref="Z129:AA129"/>
    <mergeCell ref="AE129:AF129"/>
    <mergeCell ref="AJ129:AK129"/>
    <mergeCell ref="AO129:AP129"/>
    <mergeCell ref="Z124:AA124"/>
    <mergeCell ref="AE124:AF124"/>
    <mergeCell ref="AJ124:AK124"/>
    <mergeCell ref="AO124:AP124"/>
    <mergeCell ref="Z125:AA125"/>
    <mergeCell ref="AE125:AF125"/>
    <mergeCell ref="AJ125:AK125"/>
    <mergeCell ref="AO125:AP125"/>
    <mergeCell ref="Z126:AA126"/>
    <mergeCell ref="AE126:AF126"/>
    <mergeCell ref="AJ126:AK126"/>
    <mergeCell ref="AO126:AP126"/>
    <mergeCell ref="Z121:AA121"/>
    <mergeCell ref="AE121:AF121"/>
    <mergeCell ref="AJ121:AK121"/>
    <mergeCell ref="AO121:AP121"/>
    <mergeCell ref="Z122:AA122"/>
    <mergeCell ref="AE122:AF122"/>
    <mergeCell ref="AJ122:AK122"/>
    <mergeCell ref="AO122:AP122"/>
    <mergeCell ref="Z123:AA123"/>
    <mergeCell ref="AE123:AF123"/>
    <mergeCell ref="AJ123:AK123"/>
    <mergeCell ref="AO123:AP123"/>
    <mergeCell ref="Z118:AA118"/>
    <mergeCell ref="AE118:AF118"/>
    <mergeCell ref="AJ118:AK118"/>
    <mergeCell ref="AO118:AP118"/>
    <mergeCell ref="Z119:AA119"/>
    <mergeCell ref="AE119:AF119"/>
    <mergeCell ref="AJ119:AK119"/>
    <mergeCell ref="AO119:AP119"/>
    <mergeCell ref="Z120:AA120"/>
    <mergeCell ref="AE120:AF120"/>
    <mergeCell ref="AJ120:AK120"/>
    <mergeCell ref="AO120:AP120"/>
    <mergeCell ref="Z115:AA115"/>
    <mergeCell ref="AE115:AF115"/>
    <mergeCell ref="AJ115:AK115"/>
    <mergeCell ref="AO115:AP115"/>
    <mergeCell ref="Z116:AA116"/>
    <mergeCell ref="AE116:AF116"/>
    <mergeCell ref="AJ116:AK116"/>
    <mergeCell ref="AO116:AP116"/>
    <mergeCell ref="Z117:AA117"/>
    <mergeCell ref="AE117:AF117"/>
    <mergeCell ref="AJ117:AK117"/>
    <mergeCell ref="AO117:AP117"/>
    <mergeCell ref="Z112:AA112"/>
    <mergeCell ref="AE112:AF112"/>
    <mergeCell ref="AJ112:AK112"/>
    <mergeCell ref="AO112:AP112"/>
    <mergeCell ref="Z113:AA113"/>
    <mergeCell ref="AE113:AF113"/>
    <mergeCell ref="AJ113:AK113"/>
    <mergeCell ref="AO113:AP113"/>
    <mergeCell ref="Z114:AA114"/>
    <mergeCell ref="AE114:AF114"/>
    <mergeCell ref="AJ114:AK114"/>
    <mergeCell ref="AO114:AP114"/>
    <mergeCell ref="Z109:AA109"/>
    <mergeCell ref="AE109:AF109"/>
    <mergeCell ref="AJ109:AK109"/>
    <mergeCell ref="AO109:AP109"/>
    <mergeCell ref="Z110:AA110"/>
    <mergeCell ref="AE110:AF110"/>
    <mergeCell ref="AJ110:AK110"/>
    <mergeCell ref="AO110:AP110"/>
    <mergeCell ref="Z111:AA111"/>
    <mergeCell ref="AE111:AF111"/>
    <mergeCell ref="AJ111:AK111"/>
    <mergeCell ref="AO111:AP111"/>
    <mergeCell ref="Z106:AA106"/>
    <mergeCell ref="AE106:AF106"/>
    <mergeCell ref="AJ106:AK106"/>
    <mergeCell ref="AO106:AP106"/>
    <mergeCell ref="Z107:AA107"/>
    <mergeCell ref="AE107:AF107"/>
    <mergeCell ref="AJ107:AK107"/>
    <mergeCell ref="AO107:AP107"/>
    <mergeCell ref="Z108:AA108"/>
    <mergeCell ref="AE108:AF108"/>
    <mergeCell ref="AJ108:AK108"/>
    <mergeCell ref="AO108:AP108"/>
    <mergeCell ref="Z103:AA103"/>
    <mergeCell ref="AE103:AF103"/>
    <mergeCell ref="AJ103:AK103"/>
    <mergeCell ref="AO103:AP103"/>
    <mergeCell ref="Z104:AA104"/>
    <mergeCell ref="AE104:AF104"/>
    <mergeCell ref="AJ104:AK104"/>
    <mergeCell ref="AO104:AP104"/>
    <mergeCell ref="Z105:AA105"/>
    <mergeCell ref="AE105:AF105"/>
    <mergeCell ref="AJ105:AK105"/>
    <mergeCell ref="AO105:AP105"/>
    <mergeCell ref="Z100:AA100"/>
    <mergeCell ref="AE100:AF100"/>
    <mergeCell ref="AJ100:AK100"/>
    <mergeCell ref="AO100:AP100"/>
    <mergeCell ref="Z101:AA101"/>
    <mergeCell ref="AE101:AF101"/>
    <mergeCell ref="AJ101:AK101"/>
    <mergeCell ref="AO101:AP101"/>
    <mergeCell ref="Z102:AA102"/>
    <mergeCell ref="AE102:AF102"/>
    <mergeCell ref="AJ102:AK102"/>
    <mergeCell ref="AO102:AP102"/>
    <mergeCell ref="Z97:AA97"/>
    <mergeCell ref="AE97:AF97"/>
    <mergeCell ref="AJ97:AK97"/>
    <mergeCell ref="AO97:AP97"/>
    <mergeCell ref="Z98:AA98"/>
    <mergeCell ref="AE98:AF98"/>
    <mergeCell ref="AJ98:AK98"/>
    <mergeCell ref="AO98:AP98"/>
    <mergeCell ref="Z99:AA99"/>
    <mergeCell ref="AE99:AF99"/>
    <mergeCell ref="AJ99:AK99"/>
    <mergeCell ref="AO99:AP99"/>
    <mergeCell ref="Z94:AA94"/>
    <mergeCell ref="AE94:AF94"/>
    <mergeCell ref="AJ94:AK94"/>
    <mergeCell ref="AO94:AP94"/>
    <mergeCell ref="Z95:AA95"/>
    <mergeCell ref="AE95:AF95"/>
    <mergeCell ref="AJ95:AK95"/>
    <mergeCell ref="AO95:AP95"/>
    <mergeCell ref="Z96:AA96"/>
    <mergeCell ref="AE96:AF96"/>
    <mergeCell ref="AJ96:AK96"/>
    <mergeCell ref="AO96:AP96"/>
    <mergeCell ref="Z91:AA91"/>
    <mergeCell ref="AE91:AF91"/>
    <mergeCell ref="AJ91:AK91"/>
    <mergeCell ref="AO91:AP91"/>
    <mergeCell ref="Z92:AA92"/>
    <mergeCell ref="AE92:AF92"/>
    <mergeCell ref="AJ92:AK92"/>
    <mergeCell ref="AO92:AP92"/>
    <mergeCell ref="Z93:AA93"/>
    <mergeCell ref="AE93:AF93"/>
    <mergeCell ref="AJ93:AK93"/>
    <mergeCell ref="AO93:AP93"/>
    <mergeCell ref="Z88:AA88"/>
    <mergeCell ref="AE88:AF88"/>
    <mergeCell ref="AJ88:AK88"/>
    <mergeCell ref="AO88:AP88"/>
    <mergeCell ref="Z89:AA89"/>
    <mergeCell ref="AE89:AF89"/>
    <mergeCell ref="AJ89:AK89"/>
    <mergeCell ref="AO89:AP89"/>
    <mergeCell ref="Z90:AA90"/>
    <mergeCell ref="AE90:AF90"/>
    <mergeCell ref="AJ90:AK90"/>
    <mergeCell ref="AO90:AP90"/>
    <mergeCell ref="Z85:AA85"/>
    <mergeCell ref="AE85:AF85"/>
    <mergeCell ref="AJ85:AK85"/>
    <mergeCell ref="AO85:AP85"/>
    <mergeCell ref="Z86:AA86"/>
    <mergeCell ref="AE86:AF86"/>
    <mergeCell ref="AJ86:AK86"/>
    <mergeCell ref="AO86:AP86"/>
    <mergeCell ref="Z87:AA87"/>
    <mergeCell ref="AE87:AF87"/>
    <mergeCell ref="AJ87:AK87"/>
    <mergeCell ref="AO87:AP87"/>
    <mergeCell ref="Z82:AA82"/>
    <mergeCell ref="AE82:AF82"/>
    <mergeCell ref="AJ82:AK82"/>
    <mergeCell ref="AO82:AP82"/>
    <mergeCell ref="Z83:AA83"/>
    <mergeCell ref="AE83:AF83"/>
    <mergeCell ref="AJ83:AK83"/>
    <mergeCell ref="AO83:AP83"/>
    <mergeCell ref="Z84:AA84"/>
    <mergeCell ref="AE84:AF84"/>
    <mergeCell ref="AJ84:AK84"/>
    <mergeCell ref="AO84:AP84"/>
    <mergeCell ref="Z79:AA79"/>
    <mergeCell ref="AE79:AF79"/>
    <mergeCell ref="AJ79:AK79"/>
    <mergeCell ref="AO79:AP79"/>
    <mergeCell ref="Z80:AA80"/>
    <mergeCell ref="AE80:AF80"/>
    <mergeCell ref="AJ80:AK80"/>
    <mergeCell ref="AO80:AP80"/>
    <mergeCell ref="Z81:AA81"/>
    <mergeCell ref="AE81:AF81"/>
    <mergeCell ref="AJ81:AK81"/>
    <mergeCell ref="AO81:AP81"/>
    <mergeCell ref="Z76:AA76"/>
    <mergeCell ref="AE76:AF76"/>
    <mergeCell ref="AJ76:AK76"/>
    <mergeCell ref="AO76:AP76"/>
    <mergeCell ref="Z77:AA77"/>
    <mergeCell ref="AE77:AF77"/>
    <mergeCell ref="AJ77:AK77"/>
    <mergeCell ref="AO77:AP77"/>
    <mergeCell ref="Z78:AA78"/>
    <mergeCell ref="AE78:AF78"/>
    <mergeCell ref="AJ78:AK78"/>
    <mergeCell ref="AO78:AP78"/>
    <mergeCell ref="Z73:AA73"/>
    <mergeCell ref="AE73:AF73"/>
    <mergeCell ref="AJ73:AK73"/>
    <mergeCell ref="AO73:AP73"/>
    <mergeCell ref="Z74:AA74"/>
    <mergeCell ref="AE74:AF74"/>
    <mergeCell ref="AJ74:AK74"/>
    <mergeCell ref="AO74:AP74"/>
    <mergeCell ref="Z75:AA75"/>
    <mergeCell ref="AE75:AF75"/>
    <mergeCell ref="AJ75:AK75"/>
    <mergeCell ref="AO75:AP75"/>
    <mergeCell ref="Z70:AA70"/>
    <mergeCell ref="AE70:AF70"/>
    <mergeCell ref="AJ70:AK70"/>
    <mergeCell ref="AO70:AP70"/>
    <mergeCell ref="Z71:AA71"/>
    <mergeCell ref="AE71:AF71"/>
    <mergeCell ref="AJ71:AK71"/>
    <mergeCell ref="AO71:AP71"/>
    <mergeCell ref="Z72:AA72"/>
    <mergeCell ref="AE72:AF72"/>
    <mergeCell ref="AJ72:AK72"/>
    <mergeCell ref="AO72:AP72"/>
    <mergeCell ref="Z67:AA67"/>
    <mergeCell ref="AE67:AF67"/>
    <mergeCell ref="AJ67:AK67"/>
    <mergeCell ref="AO67:AP67"/>
    <mergeCell ref="Z68:AA68"/>
    <mergeCell ref="AE68:AF68"/>
    <mergeCell ref="AJ68:AK68"/>
    <mergeCell ref="AO68:AP68"/>
    <mergeCell ref="Z69:AA69"/>
    <mergeCell ref="AE69:AF69"/>
    <mergeCell ref="AJ69:AK69"/>
    <mergeCell ref="AO69:AP69"/>
    <mergeCell ref="Z64:AA64"/>
    <mergeCell ref="AE64:AF64"/>
    <mergeCell ref="AJ64:AK64"/>
    <mergeCell ref="AO64:AP64"/>
    <mergeCell ref="Z65:AA65"/>
    <mergeCell ref="AE65:AF65"/>
    <mergeCell ref="AJ65:AK65"/>
    <mergeCell ref="AO65:AP65"/>
    <mergeCell ref="Z66:AA66"/>
    <mergeCell ref="AE66:AF66"/>
    <mergeCell ref="AJ66:AK66"/>
    <mergeCell ref="AO66:AP66"/>
    <mergeCell ref="Z61:AA61"/>
    <mergeCell ref="AE61:AF61"/>
    <mergeCell ref="AJ61:AK61"/>
    <mergeCell ref="AO61:AP61"/>
    <mergeCell ref="Z62:AA62"/>
    <mergeCell ref="AE62:AF62"/>
    <mergeCell ref="AJ62:AK62"/>
    <mergeCell ref="AO62:AP62"/>
    <mergeCell ref="Z63:AA63"/>
    <mergeCell ref="AE63:AF63"/>
    <mergeCell ref="AJ63:AK63"/>
    <mergeCell ref="AO63:AP63"/>
    <mergeCell ref="Z58:AA58"/>
    <mergeCell ref="AE58:AF58"/>
    <mergeCell ref="AJ58:AK58"/>
    <mergeCell ref="AO58:AP58"/>
    <mergeCell ref="Z59:AA59"/>
    <mergeCell ref="AE59:AF59"/>
    <mergeCell ref="AJ59:AK59"/>
    <mergeCell ref="AO59:AP59"/>
    <mergeCell ref="Z60:AA60"/>
    <mergeCell ref="AE60:AF60"/>
    <mergeCell ref="AJ60:AK60"/>
    <mergeCell ref="AO60:AP60"/>
    <mergeCell ref="Z55:AA55"/>
    <mergeCell ref="AE55:AF55"/>
    <mergeCell ref="AJ55:AK55"/>
    <mergeCell ref="AO55:AP55"/>
    <mergeCell ref="Z56:AA56"/>
    <mergeCell ref="AE56:AF56"/>
    <mergeCell ref="AJ56:AK56"/>
    <mergeCell ref="AO56:AP56"/>
    <mergeCell ref="Z57:AA57"/>
    <mergeCell ref="AE57:AF57"/>
    <mergeCell ref="AJ57:AK57"/>
    <mergeCell ref="AO57:AP57"/>
    <mergeCell ref="Z52:AA52"/>
    <mergeCell ref="AE52:AF52"/>
    <mergeCell ref="AJ52:AK52"/>
    <mergeCell ref="AO52:AP52"/>
    <mergeCell ref="Z53:AA53"/>
    <mergeCell ref="AE53:AF53"/>
    <mergeCell ref="AJ53:AK53"/>
    <mergeCell ref="AO53:AP53"/>
    <mergeCell ref="Z54:AA54"/>
    <mergeCell ref="AE54:AF54"/>
    <mergeCell ref="AJ54:AK54"/>
    <mergeCell ref="AO54:AP54"/>
    <mergeCell ref="Z49:AA49"/>
    <mergeCell ref="AE49:AF49"/>
    <mergeCell ref="AJ49:AK49"/>
    <mergeCell ref="AO49:AP49"/>
    <mergeCell ref="Z50:AA50"/>
    <mergeCell ref="AE50:AF50"/>
    <mergeCell ref="AJ50:AK50"/>
    <mergeCell ref="AO50:AP50"/>
    <mergeCell ref="Z51:AA51"/>
    <mergeCell ref="AE51:AF51"/>
    <mergeCell ref="AJ51:AK51"/>
    <mergeCell ref="AO51:AP51"/>
    <mergeCell ref="Z46:AA46"/>
    <mergeCell ref="AE46:AF46"/>
    <mergeCell ref="AJ46:AK46"/>
    <mergeCell ref="AO46:AP46"/>
    <mergeCell ref="Z47:AA47"/>
    <mergeCell ref="AE47:AF47"/>
    <mergeCell ref="AJ47:AK47"/>
    <mergeCell ref="AO47:AP47"/>
    <mergeCell ref="Z48:AA48"/>
    <mergeCell ref="AE48:AF48"/>
    <mergeCell ref="AJ48:AK48"/>
    <mergeCell ref="AO48:AP48"/>
    <mergeCell ref="Z43:AA43"/>
    <mergeCell ref="AE43:AF43"/>
    <mergeCell ref="AJ43:AK43"/>
    <mergeCell ref="AO43:AP43"/>
    <mergeCell ref="Z44:AA44"/>
    <mergeCell ref="AE44:AF44"/>
    <mergeCell ref="AJ44:AK44"/>
    <mergeCell ref="AO44:AP44"/>
    <mergeCell ref="Z45:AA45"/>
    <mergeCell ref="AE45:AF45"/>
    <mergeCell ref="AJ45:AK45"/>
    <mergeCell ref="AO45:AP45"/>
    <mergeCell ref="Z40:AA40"/>
    <mergeCell ref="AE40:AF40"/>
    <mergeCell ref="AJ40:AK40"/>
    <mergeCell ref="AO40:AP40"/>
    <mergeCell ref="Z41:AA41"/>
    <mergeCell ref="AE41:AF41"/>
    <mergeCell ref="AJ41:AK41"/>
    <mergeCell ref="AO41:AP41"/>
    <mergeCell ref="Z42:AA42"/>
    <mergeCell ref="AE42:AF42"/>
    <mergeCell ref="AJ42:AK42"/>
    <mergeCell ref="AO42:AP42"/>
    <mergeCell ref="Z37:AA37"/>
    <mergeCell ref="AE37:AF37"/>
    <mergeCell ref="AJ37:AK37"/>
    <mergeCell ref="AO37:AP37"/>
    <mergeCell ref="Z38:AA38"/>
    <mergeCell ref="AE38:AF38"/>
    <mergeCell ref="AJ38:AK38"/>
    <mergeCell ref="AO38:AP38"/>
    <mergeCell ref="Z39:AA39"/>
    <mergeCell ref="AE39:AF39"/>
    <mergeCell ref="AJ39:AK39"/>
    <mergeCell ref="AO39:AP39"/>
    <mergeCell ref="Z34:AA34"/>
    <mergeCell ref="AE34:AF34"/>
    <mergeCell ref="AJ34:AK34"/>
    <mergeCell ref="AO34:AP34"/>
    <mergeCell ref="Z35:AA35"/>
    <mergeCell ref="AE35:AF35"/>
    <mergeCell ref="AJ35:AK35"/>
    <mergeCell ref="AO35:AP35"/>
    <mergeCell ref="Z36:AA36"/>
    <mergeCell ref="AE36:AF36"/>
    <mergeCell ref="AJ36:AK36"/>
    <mergeCell ref="AO36:AP36"/>
    <mergeCell ref="Z31:AA31"/>
    <mergeCell ref="AE31:AF31"/>
    <mergeCell ref="AJ31:AK31"/>
    <mergeCell ref="AO31:AP31"/>
    <mergeCell ref="Z32:AA32"/>
    <mergeCell ref="AE32:AF32"/>
    <mergeCell ref="AJ32:AK32"/>
    <mergeCell ref="AO32:AP32"/>
    <mergeCell ref="Z33:AA33"/>
    <mergeCell ref="AE33:AF33"/>
    <mergeCell ref="AJ33:AK33"/>
    <mergeCell ref="AO33:AP33"/>
    <mergeCell ref="Z28:AA28"/>
    <mergeCell ref="AE28:AF28"/>
    <mergeCell ref="AJ28:AK28"/>
    <mergeCell ref="AO28:AP28"/>
    <mergeCell ref="Z29:AA29"/>
    <mergeCell ref="AE29:AF29"/>
    <mergeCell ref="AJ29:AK29"/>
    <mergeCell ref="AO29:AP29"/>
    <mergeCell ref="Z30:AA30"/>
    <mergeCell ref="AE30:AF30"/>
    <mergeCell ref="AJ30:AK30"/>
    <mergeCell ref="AO30:AP30"/>
    <mergeCell ref="Z25:AA25"/>
    <mergeCell ref="AE25:AF25"/>
    <mergeCell ref="AJ25:AK25"/>
    <mergeCell ref="AO25:AP25"/>
    <mergeCell ref="Z26:AA26"/>
    <mergeCell ref="AE26:AF26"/>
    <mergeCell ref="AJ26:AK26"/>
    <mergeCell ref="AO26:AP26"/>
    <mergeCell ref="Z27:AA27"/>
    <mergeCell ref="AE27:AF27"/>
    <mergeCell ref="AJ27:AK27"/>
    <mergeCell ref="AO27:AP27"/>
    <mergeCell ref="Z22:AA22"/>
    <mergeCell ref="AE22:AF22"/>
    <mergeCell ref="AJ22:AK22"/>
    <mergeCell ref="AO22:AP22"/>
    <mergeCell ref="Z23:AA23"/>
    <mergeCell ref="AE23:AF23"/>
    <mergeCell ref="AJ23:AK23"/>
    <mergeCell ref="AO23:AP23"/>
    <mergeCell ref="Z24:AA24"/>
    <mergeCell ref="AE24:AF24"/>
    <mergeCell ref="AJ24:AK24"/>
    <mergeCell ref="AO24:AP24"/>
    <mergeCell ref="Z19:AA19"/>
    <mergeCell ref="AE19:AF19"/>
    <mergeCell ref="AJ19:AK19"/>
    <mergeCell ref="AO19:AP19"/>
    <mergeCell ref="Z20:AA20"/>
    <mergeCell ref="AE20:AF20"/>
    <mergeCell ref="AJ20:AK20"/>
    <mergeCell ref="AO20:AP20"/>
    <mergeCell ref="Z21:AA21"/>
    <mergeCell ref="AE21:AF21"/>
    <mergeCell ref="AJ21:AK21"/>
    <mergeCell ref="AO21:AP21"/>
    <mergeCell ref="Z17:AA17"/>
    <mergeCell ref="AE17:AF17"/>
    <mergeCell ref="AJ17:AK17"/>
    <mergeCell ref="AO17:AP17"/>
    <mergeCell ref="Z18:AA18"/>
    <mergeCell ref="AE18:AF18"/>
    <mergeCell ref="AJ18:AK18"/>
    <mergeCell ref="AO18:AP18"/>
    <mergeCell ref="Z13:AA13"/>
    <mergeCell ref="AE13:AF13"/>
    <mergeCell ref="AJ13:AK13"/>
    <mergeCell ref="AO13:AP13"/>
    <mergeCell ref="Z14:AA14"/>
    <mergeCell ref="AE14:AF14"/>
    <mergeCell ref="AJ14:AK14"/>
    <mergeCell ref="AO14:AP14"/>
    <mergeCell ref="Z15:AA15"/>
    <mergeCell ref="AE15:AF15"/>
    <mergeCell ref="AJ15:AK15"/>
    <mergeCell ref="AO15:AP15"/>
    <mergeCell ref="AO10:AP10"/>
    <mergeCell ref="Z11:AA11"/>
    <mergeCell ref="AE11:AF11"/>
    <mergeCell ref="AJ11:AK11"/>
    <mergeCell ref="AO11:AP11"/>
    <mergeCell ref="Z12:AA12"/>
    <mergeCell ref="AE12:AF12"/>
    <mergeCell ref="AJ12:AK12"/>
    <mergeCell ref="AO12:AP12"/>
    <mergeCell ref="AL6:AP6"/>
    <mergeCell ref="Z16:AA16"/>
    <mergeCell ref="AE16:AF16"/>
    <mergeCell ref="AJ16:AK16"/>
    <mergeCell ref="AO16:AP16"/>
    <mergeCell ref="AL8:AL9"/>
    <mergeCell ref="AB6:AF6"/>
    <mergeCell ref="Y7:AA7"/>
    <mergeCell ref="Z9:AA9"/>
    <mergeCell ref="V6:AA6"/>
    <mergeCell ref="AG6:AK6"/>
    <mergeCell ref="AG8:AG9"/>
    <mergeCell ref="AH8:AH9"/>
    <mergeCell ref="AN7:AP7"/>
    <mergeCell ref="AN8:AP8"/>
    <mergeCell ref="AO9:AP9"/>
    <mergeCell ref="AM8:AM9"/>
    <mergeCell ref="AI7:AK7"/>
    <mergeCell ref="AI8:AK8"/>
    <mergeCell ref="AJ9:AK9"/>
    <mergeCell ref="W8:W9"/>
    <mergeCell ref="Z10:AA10"/>
    <mergeCell ref="AE10:AF10"/>
    <mergeCell ref="AJ10:AK10"/>
    <mergeCell ref="C8:D8"/>
    <mergeCell ref="B8:B9"/>
    <mergeCell ref="F7:G7"/>
    <mergeCell ref="A7:D7"/>
    <mergeCell ref="J8:J9"/>
    <mergeCell ref="X8:X9"/>
    <mergeCell ref="I8:I9"/>
    <mergeCell ref="AB8:AB9"/>
    <mergeCell ref="AC8:AC9"/>
    <mergeCell ref="AD8:AF8"/>
    <mergeCell ref="P9:R9"/>
    <mergeCell ref="S9:T9"/>
    <mergeCell ref="L8:L9"/>
    <mergeCell ref="U8:U9"/>
    <mergeCell ref="AE9:AF9"/>
    <mergeCell ref="S6:U6"/>
    <mergeCell ref="A3:B3"/>
    <mergeCell ref="C3:D3"/>
    <mergeCell ref="C4:D4"/>
    <mergeCell ref="C5:D5"/>
    <mergeCell ref="E3:F3"/>
    <mergeCell ref="E4:F4"/>
    <mergeCell ref="E5:F5"/>
    <mergeCell ref="G3:H3"/>
    <mergeCell ref="G4:H4"/>
    <mergeCell ref="G5:H5"/>
    <mergeCell ref="I3:J3"/>
    <mergeCell ref="V8:V9"/>
    <mergeCell ref="Y8:AA8"/>
    <mergeCell ref="AD7:AF7"/>
    <mergeCell ref="A1:D1"/>
    <mergeCell ref="E1:F1"/>
    <mergeCell ref="G1:H1"/>
    <mergeCell ref="A2:D2"/>
    <mergeCell ref="E2:F2"/>
    <mergeCell ref="G2:H2"/>
    <mergeCell ref="M9:O9"/>
    <mergeCell ref="A6:L6"/>
    <mergeCell ref="H8:H9"/>
    <mergeCell ref="E8:E9"/>
    <mergeCell ref="F8:G8"/>
    <mergeCell ref="K8:K9"/>
    <mergeCell ref="M6:O6"/>
    <mergeCell ref="P6:R6"/>
  </mergeCells>
  <dataValidations xWindow="58" yWindow="477" count="30">
    <dataValidation allowBlank="1" showInputMessage="1" showErrorMessage="1" prompt="Refer to Individual Work Paper, XI.2 Billing, if all of the elements within the individual's authorized residential setting codes are met enter the gross rate. If all of the elements are not met enter &quot;0&quot; in column &quot;P&quot; " sqref="JP65465 TL65465 ADH65465 AND65465 AWZ65465 BGV65465 BQR65465 CAN65465 CKJ65465 CUF65465 DEB65465 DNX65465 DXT65465 EHP65465 ERL65465 FBH65465 FLD65465 FUZ65465 GEV65465 GOR65465 GYN65465 HIJ65465 HSF65465 ICB65465 ILX65465 IVT65465 JFP65465 JPL65465 JZH65465 KJD65465 KSZ65465 LCV65465 LMR65465 LWN65465 MGJ65465 MQF65465 NAB65465 NJX65465 NTT65465 ODP65465 ONL65465 OXH65465 PHD65465 PQZ65465 QAV65465 QKR65465 QUN65465 REJ65465 ROF65465 RYB65465 SHX65465 SRT65465 TBP65465 TLL65465 TVH65465 UFD65465 UOZ65465 UYV65465 VIR65465 VSN65465 WCJ65465 WMF65465 WWB65465 T131030 JP131001 TL131001 ADH131001 AND131001 AWZ131001 BGV131001 BQR131001 CAN131001 CKJ131001 CUF131001 DEB131001 DNX131001 DXT131001 EHP131001 ERL131001 FBH131001 FLD131001 FUZ131001 GEV131001 GOR131001 GYN131001 HIJ131001 HSF131001 ICB131001 ILX131001 IVT131001 JFP131001 JPL131001 JZH131001 KJD131001 KSZ131001 LCV131001 LMR131001 LWN131001 MGJ131001 MQF131001 NAB131001 NJX131001 NTT131001 ODP131001 ONL131001 OXH131001 PHD131001 PQZ131001 QAV131001 QKR131001 QUN131001 REJ131001 ROF131001 RYB131001 SHX131001 SRT131001 TBP131001 TLL131001 TVH131001 UFD131001 UOZ131001 UYV131001 VIR131001 VSN131001 WCJ131001 WMF131001 WWB131001 T196566 JP196537 TL196537 ADH196537 AND196537 AWZ196537 BGV196537 BQR196537 CAN196537 CKJ196537 CUF196537 DEB196537 DNX196537 DXT196537 EHP196537 ERL196537 FBH196537 FLD196537 FUZ196537 GEV196537 GOR196537 GYN196537 HIJ196537 HSF196537 ICB196537 ILX196537 IVT196537 JFP196537 JPL196537 JZH196537 KJD196537 KSZ196537 LCV196537 LMR196537 LWN196537 MGJ196537 MQF196537 NAB196537 NJX196537 NTT196537 ODP196537 ONL196537 OXH196537 PHD196537 PQZ196537 QAV196537 QKR196537 QUN196537 REJ196537 ROF196537 RYB196537 SHX196537 SRT196537 TBP196537 TLL196537 TVH196537 UFD196537 UOZ196537 UYV196537 VIR196537 VSN196537 WCJ196537 WMF196537 WWB196537 T262102 JP262073 TL262073 ADH262073 AND262073 AWZ262073 BGV262073 BQR262073 CAN262073 CKJ262073 CUF262073 DEB262073 DNX262073 DXT262073 EHP262073 ERL262073 FBH262073 FLD262073 FUZ262073 GEV262073 GOR262073 GYN262073 HIJ262073 HSF262073 ICB262073 ILX262073 IVT262073 JFP262073 JPL262073 JZH262073 KJD262073 KSZ262073 LCV262073 LMR262073 LWN262073 MGJ262073 MQF262073 NAB262073 NJX262073 NTT262073 ODP262073 ONL262073 OXH262073 PHD262073 PQZ262073 QAV262073 QKR262073 QUN262073 REJ262073 ROF262073 RYB262073 SHX262073 SRT262073 TBP262073 TLL262073 TVH262073 UFD262073 UOZ262073 UYV262073 VIR262073 VSN262073 WCJ262073 WMF262073 WWB262073 T327638 JP327609 TL327609 ADH327609 AND327609 AWZ327609 BGV327609 BQR327609 CAN327609 CKJ327609 CUF327609 DEB327609 DNX327609 DXT327609 EHP327609 ERL327609 FBH327609 FLD327609 FUZ327609 GEV327609 GOR327609 GYN327609 HIJ327609 HSF327609 ICB327609 ILX327609 IVT327609 JFP327609 JPL327609 JZH327609 KJD327609 KSZ327609 LCV327609 LMR327609 LWN327609 MGJ327609 MQF327609 NAB327609 NJX327609 NTT327609 ODP327609 ONL327609 OXH327609 PHD327609 PQZ327609 QAV327609 QKR327609 QUN327609 REJ327609 ROF327609 RYB327609 SHX327609 SRT327609 TBP327609 TLL327609 TVH327609 UFD327609 UOZ327609 UYV327609 VIR327609 VSN327609 WCJ327609 WMF327609 WWB327609 T393174 JP393145 TL393145 ADH393145 AND393145 AWZ393145 BGV393145 BQR393145 CAN393145 CKJ393145 CUF393145 DEB393145 DNX393145 DXT393145 EHP393145 ERL393145 FBH393145 FLD393145 FUZ393145 GEV393145 GOR393145 GYN393145 HIJ393145 HSF393145 ICB393145 ILX393145 IVT393145 JFP393145 JPL393145 JZH393145 KJD393145 KSZ393145 LCV393145 LMR393145 LWN393145 MGJ393145 MQF393145 NAB393145 NJX393145 NTT393145 ODP393145 ONL393145 OXH393145 PHD393145 PQZ393145 QAV393145 QKR393145 QUN393145 REJ393145 ROF393145 RYB393145 SHX393145 SRT393145 TBP393145 TLL393145 TVH393145 UFD393145 UOZ393145 UYV393145 VIR393145 VSN393145 WCJ393145 WMF393145 WWB393145 T458710 JP458681 TL458681 ADH458681 AND458681 AWZ458681 BGV458681 BQR458681 CAN458681 CKJ458681 CUF458681 DEB458681 DNX458681 DXT458681 EHP458681 ERL458681 FBH458681 FLD458681 FUZ458681 GEV458681 GOR458681 GYN458681 HIJ458681 HSF458681 ICB458681 ILX458681 IVT458681 JFP458681 JPL458681 JZH458681 KJD458681 KSZ458681 LCV458681 LMR458681 LWN458681 MGJ458681 MQF458681 NAB458681 NJX458681 NTT458681 ODP458681 ONL458681 OXH458681 PHD458681 PQZ458681 QAV458681 QKR458681 QUN458681 REJ458681 ROF458681 RYB458681 SHX458681 SRT458681 TBP458681 TLL458681 TVH458681 UFD458681 UOZ458681 UYV458681 VIR458681 VSN458681 WCJ458681 WMF458681 WWB458681 T524246 JP524217 TL524217 ADH524217 AND524217 AWZ524217 BGV524217 BQR524217 CAN524217 CKJ524217 CUF524217 DEB524217 DNX524217 DXT524217 EHP524217 ERL524217 FBH524217 FLD524217 FUZ524217 GEV524217 GOR524217 GYN524217 HIJ524217 HSF524217 ICB524217 ILX524217 IVT524217 JFP524217 JPL524217 JZH524217 KJD524217 KSZ524217 LCV524217 LMR524217 LWN524217 MGJ524217 MQF524217 NAB524217 NJX524217 NTT524217 ODP524217 ONL524217 OXH524217 PHD524217 PQZ524217 QAV524217 QKR524217 QUN524217 REJ524217 ROF524217 RYB524217 SHX524217 SRT524217 TBP524217 TLL524217 TVH524217 UFD524217 UOZ524217 UYV524217 VIR524217 VSN524217 WCJ524217 WMF524217 WWB524217 T589782 JP589753 TL589753 ADH589753 AND589753 AWZ589753 BGV589753 BQR589753 CAN589753 CKJ589753 CUF589753 DEB589753 DNX589753 DXT589753 EHP589753 ERL589753 FBH589753 FLD589753 FUZ589753 GEV589753 GOR589753 GYN589753 HIJ589753 HSF589753 ICB589753 ILX589753 IVT589753 JFP589753 JPL589753 JZH589753 KJD589753 KSZ589753 LCV589753 LMR589753 LWN589753 MGJ589753 MQF589753 NAB589753 NJX589753 NTT589753 ODP589753 ONL589753 OXH589753 PHD589753 PQZ589753 QAV589753 QKR589753 QUN589753 REJ589753 ROF589753 RYB589753 SHX589753 SRT589753 TBP589753 TLL589753 TVH589753 UFD589753 UOZ589753 UYV589753 VIR589753 VSN589753 WCJ589753 WMF589753 WWB589753 T655318 JP655289 TL655289 ADH655289 AND655289 AWZ655289 BGV655289 BQR655289 CAN655289 CKJ655289 CUF655289 DEB655289 DNX655289 DXT655289 EHP655289 ERL655289 FBH655289 FLD655289 FUZ655289 GEV655289 GOR655289 GYN655289 HIJ655289 HSF655289 ICB655289 ILX655289 IVT655289 JFP655289 JPL655289 JZH655289 KJD655289 KSZ655289 LCV655289 LMR655289 LWN655289 MGJ655289 MQF655289 NAB655289 NJX655289 NTT655289 ODP655289 ONL655289 OXH655289 PHD655289 PQZ655289 QAV655289 QKR655289 QUN655289 REJ655289 ROF655289 RYB655289 SHX655289 SRT655289 TBP655289 TLL655289 TVH655289 UFD655289 UOZ655289 UYV655289 VIR655289 VSN655289 WCJ655289 WMF655289 WWB655289 T720854 JP720825 TL720825 ADH720825 AND720825 AWZ720825 BGV720825 BQR720825 CAN720825 CKJ720825 CUF720825 DEB720825 DNX720825 DXT720825 EHP720825 ERL720825 FBH720825 FLD720825 FUZ720825 GEV720825 GOR720825 GYN720825 HIJ720825 HSF720825 ICB720825 ILX720825 IVT720825 JFP720825 JPL720825 JZH720825 KJD720825 KSZ720825 LCV720825 LMR720825 LWN720825 MGJ720825 MQF720825 NAB720825 NJX720825 NTT720825 ODP720825 ONL720825 OXH720825 PHD720825 PQZ720825 QAV720825 QKR720825 QUN720825 REJ720825 ROF720825 RYB720825 SHX720825 SRT720825 TBP720825 TLL720825 TVH720825 UFD720825 UOZ720825 UYV720825 VIR720825 VSN720825 WCJ720825 WMF720825 WWB720825 T786390 JP786361 TL786361 ADH786361 AND786361 AWZ786361 BGV786361 BQR786361 CAN786361 CKJ786361 CUF786361 DEB786361 DNX786361 DXT786361 EHP786361 ERL786361 FBH786361 FLD786361 FUZ786361 GEV786361 GOR786361 GYN786361 HIJ786361 HSF786361 ICB786361 ILX786361 IVT786361 JFP786361 JPL786361 JZH786361 KJD786361 KSZ786361 LCV786361 LMR786361 LWN786361 MGJ786361 MQF786361 NAB786361 NJX786361 NTT786361 ODP786361 ONL786361 OXH786361 PHD786361 PQZ786361 QAV786361 QKR786361 QUN786361 REJ786361 ROF786361 RYB786361 SHX786361 SRT786361 TBP786361 TLL786361 TVH786361 UFD786361 UOZ786361 UYV786361 VIR786361 VSN786361 WCJ786361 WMF786361 WWB786361 T851926 JP851897 TL851897 ADH851897 AND851897 AWZ851897 BGV851897 BQR851897 CAN851897 CKJ851897 CUF851897 DEB851897 DNX851897 DXT851897 EHP851897 ERL851897 FBH851897 FLD851897 FUZ851897 GEV851897 GOR851897 GYN851897 HIJ851897 HSF851897 ICB851897 ILX851897 IVT851897 JFP851897 JPL851897 JZH851897 KJD851897 KSZ851897 LCV851897 LMR851897 LWN851897 MGJ851897 MQF851897 NAB851897 NJX851897 NTT851897 ODP851897 ONL851897 OXH851897 PHD851897 PQZ851897 QAV851897 QKR851897 QUN851897 REJ851897 ROF851897 RYB851897 SHX851897 SRT851897 TBP851897 TLL851897 TVH851897 UFD851897 UOZ851897 UYV851897 VIR851897 VSN851897 WCJ851897 WMF851897 WWB851897 T917462 JP917433 TL917433 ADH917433 AND917433 AWZ917433 BGV917433 BQR917433 CAN917433 CKJ917433 CUF917433 DEB917433 DNX917433 DXT917433 EHP917433 ERL917433 FBH917433 FLD917433 FUZ917433 GEV917433 GOR917433 GYN917433 HIJ917433 HSF917433 ICB917433 ILX917433 IVT917433 JFP917433 JPL917433 JZH917433 KJD917433 KSZ917433 LCV917433 LMR917433 LWN917433 MGJ917433 MQF917433 NAB917433 NJX917433 NTT917433 ODP917433 ONL917433 OXH917433 PHD917433 PQZ917433 QAV917433 QKR917433 QUN917433 REJ917433 ROF917433 RYB917433 SHX917433 SRT917433 TBP917433 TLL917433 TVH917433 UFD917433 UOZ917433 UYV917433 VIR917433 VSN917433 WCJ917433 WMF917433 WWB917433 T982998 JP982969 TL982969 ADH982969 AND982969 AWZ982969 BGV982969 BQR982969 CAN982969 CKJ982969 CUF982969 DEB982969 DNX982969 DXT982969 EHP982969 ERL982969 FBH982969 FLD982969 FUZ982969 GEV982969 GOR982969 GYN982969 HIJ982969 HSF982969 ICB982969 ILX982969 IVT982969 JFP982969 JPL982969 JZH982969 KJD982969 KSZ982969 LCV982969 LMR982969 LWN982969 MGJ982969 MQF982969 NAB982969 NJX982969 NTT982969 ODP982969 ONL982969 OXH982969 PHD982969 PQZ982969 QAV982969 QKR982969 QUN982969 REJ982969 ROF982969 RYB982969 SHX982969 SRT982969 TBP982969 TLL982969 TVH982969 UFD982969 UOZ982969 UYV982969 VIR982969 VSN982969 WCJ982969 WMF982969 WWB982969 T65494" xr:uid="{00000000-0002-0000-2300-000000000000}"/>
    <dataValidation allowBlank="1" showInputMessage="1" showErrorMessage="1" prompt="Enter the authorized base monthly co-pay. For CBA refer to F2065B , for CCAD refer to F2065A, for CWP refer to  F2200, for ICM refer to  F2065." sqref="JH65465:JH65489 TD65465:TD65489 ACZ65465:ACZ65489 AMV65465:AMV65489 AWR65465:AWR65489 BGN65465:BGN65489 BQJ65465:BQJ65489 CAF65465:CAF65489 CKB65465:CKB65489 CTX65465:CTX65489 DDT65465:DDT65489 DNP65465:DNP65489 DXL65465:DXL65489 EHH65465:EHH65489 ERD65465:ERD65489 FAZ65465:FAZ65489 FKV65465:FKV65489 FUR65465:FUR65489 GEN65465:GEN65489 GOJ65465:GOJ65489 GYF65465:GYF65489 HIB65465:HIB65489 HRX65465:HRX65489 IBT65465:IBT65489 ILP65465:ILP65489 IVL65465:IVL65489 JFH65465:JFH65489 JPD65465:JPD65489 JYZ65465:JYZ65489 KIV65465:KIV65489 KSR65465:KSR65489 LCN65465:LCN65489 LMJ65465:LMJ65489 LWF65465:LWF65489 MGB65465:MGB65489 MPX65465:MPX65489 MZT65465:MZT65489 NJP65465:NJP65489 NTL65465:NTL65489 ODH65465:ODH65489 OND65465:OND65489 OWZ65465:OWZ65489 PGV65465:PGV65489 PQR65465:PQR65489 QAN65465:QAN65489 QKJ65465:QKJ65489 QUF65465:QUF65489 REB65465:REB65489 RNX65465:RNX65489 RXT65465:RXT65489 SHP65465:SHP65489 SRL65465:SRL65489 TBH65465:TBH65489 TLD65465:TLD65489 TUZ65465:TUZ65489 UEV65465:UEV65489 UOR65465:UOR65489 UYN65465:UYN65489 VIJ65465:VIJ65489 VSF65465:VSF65489 WCB65465:WCB65489 WLX65465:WLX65489 WVT65465:WVT65489 L131059:L131083 JH131001:JH131025 TD131001:TD131025 ACZ131001:ACZ131025 AMV131001:AMV131025 AWR131001:AWR131025 BGN131001:BGN131025 BQJ131001:BQJ131025 CAF131001:CAF131025 CKB131001:CKB131025 CTX131001:CTX131025 DDT131001:DDT131025 DNP131001:DNP131025 DXL131001:DXL131025 EHH131001:EHH131025 ERD131001:ERD131025 FAZ131001:FAZ131025 FKV131001:FKV131025 FUR131001:FUR131025 GEN131001:GEN131025 GOJ131001:GOJ131025 GYF131001:GYF131025 HIB131001:HIB131025 HRX131001:HRX131025 IBT131001:IBT131025 ILP131001:ILP131025 IVL131001:IVL131025 JFH131001:JFH131025 JPD131001:JPD131025 JYZ131001:JYZ131025 KIV131001:KIV131025 KSR131001:KSR131025 LCN131001:LCN131025 LMJ131001:LMJ131025 LWF131001:LWF131025 MGB131001:MGB131025 MPX131001:MPX131025 MZT131001:MZT131025 NJP131001:NJP131025 NTL131001:NTL131025 ODH131001:ODH131025 OND131001:OND131025 OWZ131001:OWZ131025 PGV131001:PGV131025 PQR131001:PQR131025 QAN131001:QAN131025 QKJ131001:QKJ131025 QUF131001:QUF131025 REB131001:REB131025 RNX131001:RNX131025 RXT131001:RXT131025 SHP131001:SHP131025 SRL131001:SRL131025 TBH131001:TBH131025 TLD131001:TLD131025 TUZ131001:TUZ131025 UEV131001:UEV131025 UOR131001:UOR131025 UYN131001:UYN131025 VIJ131001:VIJ131025 VSF131001:VSF131025 WCB131001:WCB131025 WLX131001:WLX131025 WVT131001:WVT131025 L196595:L196619 JH196537:JH196561 TD196537:TD196561 ACZ196537:ACZ196561 AMV196537:AMV196561 AWR196537:AWR196561 BGN196537:BGN196561 BQJ196537:BQJ196561 CAF196537:CAF196561 CKB196537:CKB196561 CTX196537:CTX196561 DDT196537:DDT196561 DNP196537:DNP196561 DXL196537:DXL196561 EHH196537:EHH196561 ERD196537:ERD196561 FAZ196537:FAZ196561 FKV196537:FKV196561 FUR196537:FUR196561 GEN196537:GEN196561 GOJ196537:GOJ196561 GYF196537:GYF196561 HIB196537:HIB196561 HRX196537:HRX196561 IBT196537:IBT196561 ILP196537:ILP196561 IVL196537:IVL196561 JFH196537:JFH196561 JPD196537:JPD196561 JYZ196537:JYZ196561 KIV196537:KIV196561 KSR196537:KSR196561 LCN196537:LCN196561 LMJ196537:LMJ196561 LWF196537:LWF196561 MGB196537:MGB196561 MPX196537:MPX196561 MZT196537:MZT196561 NJP196537:NJP196561 NTL196537:NTL196561 ODH196537:ODH196561 OND196537:OND196561 OWZ196537:OWZ196561 PGV196537:PGV196561 PQR196537:PQR196561 QAN196537:QAN196561 QKJ196537:QKJ196561 QUF196537:QUF196561 REB196537:REB196561 RNX196537:RNX196561 RXT196537:RXT196561 SHP196537:SHP196561 SRL196537:SRL196561 TBH196537:TBH196561 TLD196537:TLD196561 TUZ196537:TUZ196561 UEV196537:UEV196561 UOR196537:UOR196561 UYN196537:UYN196561 VIJ196537:VIJ196561 VSF196537:VSF196561 WCB196537:WCB196561 WLX196537:WLX196561 WVT196537:WVT196561 L262131:L262155 JH262073:JH262097 TD262073:TD262097 ACZ262073:ACZ262097 AMV262073:AMV262097 AWR262073:AWR262097 BGN262073:BGN262097 BQJ262073:BQJ262097 CAF262073:CAF262097 CKB262073:CKB262097 CTX262073:CTX262097 DDT262073:DDT262097 DNP262073:DNP262097 DXL262073:DXL262097 EHH262073:EHH262097 ERD262073:ERD262097 FAZ262073:FAZ262097 FKV262073:FKV262097 FUR262073:FUR262097 GEN262073:GEN262097 GOJ262073:GOJ262097 GYF262073:GYF262097 HIB262073:HIB262097 HRX262073:HRX262097 IBT262073:IBT262097 ILP262073:ILP262097 IVL262073:IVL262097 JFH262073:JFH262097 JPD262073:JPD262097 JYZ262073:JYZ262097 KIV262073:KIV262097 KSR262073:KSR262097 LCN262073:LCN262097 LMJ262073:LMJ262097 LWF262073:LWF262097 MGB262073:MGB262097 MPX262073:MPX262097 MZT262073:MZT262097 NJP262073:NJP262097 NTL262073:NTL262097 ODH262073:ODH262097 OND262073:OND262097 OWZ262073:OWZ262097 PGV262073:PGV262097 PQR262073:PQR262097 QAN262073:QAN262097 QKJ262073:QKJ262097 QUF262073:QUF262097 REB262073:REB262097 RNX262073:RNX262097 RXT262073:RXT262097 SHP262073:SHP262097 SRL262073:SRL262097 TBH262073:TBH262097 TLD262073:TLD262097 TUZ262073:TUZ262097 UEV262073:UEV262097 UOR262073:UOR262097 UYN262073:UYN262097 VIJ262073:VIJ262097 VSF262073:VSF262097 WCB262073:WCB262097 WLX262073:WLX262097 WVT262073:WVT262097 L327667:L327691 JH327609:JH327633 TD327609:TD327633 ACZ327609:ACZ327633 AMV327609:AMV327633 AWR327609:AWR327633 BGN327609:BGN327633 BQJ327609:BQJ327633 CAF327609:CAF327633 CKB327609:CKB327633 CTX327609:CTX327633 DDT327609:DDT327633 DNP327609:DNP327633 DXL327609:DXL327633 EHH327609:EHH327633 ERD327609:ERD327633 FAZ327609:FAZ327633 FKV327609:FKV327633 FUR327609:FUR327633 GEN327609:GEN327633 GOJ327609:GOJ327633 GYF327609:GYF327633 HIB327609:HIB327633 HRX327609:HRX327633 IBT327609:IBT327633 ILP327609:ILP327633 IVL327609:IVL327633 JFH327609:JFH327633 JPD327609:JPD327633 JYZ327609:JYZ327633 KIV327609:KIV327633 KSR327609:KSR327633 LCN327609:LCN327633 LMJ327609:LMJ327633 LWF327609:LWF327633 MGB327609:MGB327633 MPX327609:MPX327633 MZT327609:MZT327633 NJP327609:NJP327633 NTL327609:NTL327633 ODH327609:ODH327633 OND327609:OND327633 OWZ327609:OWZ327633 PGV327609:PGV327633 PQR327609:PQR327633 QAN327609:QAN327633 QKJ327609:QKJ327633 QUF327609:QUF327633 REB327609:REB327633 RNX327609:RNX327633 RXT327609:RXT327633 SHP327609:SHP327633 SRL327609:SRL327633 TBH327609:TBH327633 TLD327609:TLD327633 TUZ327609:TUZ327633 UEV327609:UEV327633 UOR327609:UOR327633 UYN327609:UYN327633 VIJ327609:VIJ327633 VSF327609:VSF327633 WCB327609:WCB327633 WLX327609:WLX327633 WVT327609:WVT327633 L393203:L393227 JH393145:JH393169 TD393145:TD393169 ACZ393145:ACZ393169 AMV393145:AMV393169 AWR393145:AWR393169 BGN393145:BGN393169 BQJ393145:BQJ393169 CAF393145:CAF393169 CKB393145:CKB393169 CTX393145:CTX393169 DDT393145:DDT393169 DNP393145:DNP393169 DXL393145:DXL393169 EHH393145:EHH393169 ERD393145:ERD393169 FAZ393145:FAZ393169 FKV393145:FKV393169 FUR393145:FUR393169 GEN393145:GEN393169 GOJ393145:GOJ393169 GYF393145:GYF393169 HIB393145:HIB393169 HRX393145:HRX393169 IBT393145:IBT393169 ILP393145:ILP393169 IVL393145:IVL393169 JFH393145:JFH393169 JPD393145:JPD393169 JYZ393145:JYZ393169 KIV393145:KIV393169 KSR393145:KSR393169 LCN393145:LCN393169 LMJ393145:LMJ393169 LWF393145:LWF393169 MGB393145:MGB393169 MPX393145:MPX393169 MZT393145:MZT393169 NJP393145:NJP393169 NTL393145:NTL393169 ODH393145:ODH393169 OND393145:OND393169 OWZ393145:OWZ393169 PGV393145:PGV393169 PQR393145:PQR393169 QAN393145:QAN393169 QKJ393145:QKJ393169 QUF393145:QUF393169 REB393145:REB393169 RNX393145:RNX393169 RXT393145:RXT393169 SHP393145:SHP393169 SRL393145:SRL393169 TBH393145:TBH393169 TLD393145:TLD393169 TUZ393145:TUZ393169 UEV393145:UEV393169 UOR393145:UOR393169 UYN393145:UYN393169 VIJ393145:VIJ393169 VSF393145:VSF393169 WCB393145:WCB393169 WLX393145:WLX393169 WVT393145:WVT393169 L458739:L458763 JH458681:JH458705 TD458681:TD458705 ACZ458681:ACZ458705 AMV458681:AMV458705 AWR458681:AWR458705 BGN458681:BGN458705 BQJ458681:BQJ458705 CAF458681:CAF458705 CKB458681:CKB458705 CTX458681:CTX458705 DDT458681:DDT458705 DNP458681:DNP458705 DXL458681:DXL458705 EHH458681:EHH458705 ERD458681:ERD458705 FAZ458681:FAZ458705 FKV458681:FKV458705 FUR458681:FUR458705 GEN458681:GEN458705 GOJ458681:GOJ458705 GYF458681:GYF458705 HIB458681:HIB458705 HRX458681:HRX458705 IBT458681:IBT458705 ILP458681:ILP458705 IVL458681:IVL458705 JFH458681:JFH458705 JPD458681:JPD458705 JYZ458681:JYZ458705 KIV458681:KIV458705 KSR458681:KSR458705 LCN458681:LCN458705 LMJ458681:LMJ458705 LWF458681:LWF458705 MGB458681:MGB458705 MPX458681:MPX458705 MZT458681:MZT458705 NJP458681:NJP458705 NTL458681:NTL458705 ODH458681:ODH458705 OND458681:OND458705 OWZ458681:OWZ458705 PGV458681:PGV458705 PQR458681:PQR458705 QAN458681:QAN458705 QKJ458681:QKJ458705 QUF458681:QUF458705 REB458681:REB458705 RNX458681:RNX458705 RXT458681:RXT458705 SHP458681:SHP458705 SRL458681:SRL458705 TBH458681:TBH458705 TLD458681:TLD458705 TUZ458681:TUZ458705 UEV458681:UEV458705 UOR458681:UOR458705 UYN458681:UYN458705 VIJ458681:VIJ458705 VSF458681:VSF458705 WCB458681:WCB458705 WLX458681:WLX458705 WVT458681:WVT458705 L524275:L524299 JH524217:JH524241 TD524217:TD524241 ACZ524217:ACZ524241 AMV524217:AMV524241 AWR524217:AWR524241 BGN524217:BGN524241 BQJ524217:BQJ524241 CAF524217:CAF524241 CKB524217:CKB524241 CTX524217:CTX524241 DDT524217:DDT524241 DNP524217:DNP524241 DXL524217:DXL524241 EHH524217:EHH524241 ERD524217:ERD524241 FAZ524217:FAZ524241 FKV524217:FKV524241 FUR524217:FUR524241 GEN524217:GEN524241 GOJ524217:GOJ524241 GYF524217:GYF524241 HIB524217:HIB524241 HRX524217:HRX524241 IBT524217:IBT524241 ILP524217:ILP524241 IVL524217:IVL524241 JFH524217:JFH524241 JPD524217:JPD524241 JYZ524217:JYZ524241 KIV524217:KIV524241 KSR524217:KSR524241 LCN524217:LCN524241 LMJ524217:LMJ524241 LWF524217:LWF524241 MGB524217:MGB524241 MPX524217:MPX524241 MZT524217:MZT524241 NJP524217:NJP524241 NTL524217:NTL524241 ODH524217:ODH524241 OND524217:OND524241 OWZ524217:OWZ524241 PGV524217:PGV524241 PQR524217:PQR524241 QAN524217:QAN524241 QKJ524217:QKJ524241 QUF524217:QUF524241 REB524217:REB524241 RNX524217:RNX524241 RXT524217:RXT524241 SHP524217:SHP524241 SRL524217:SRL524241 TBH524217:TBH524241 TLD524217:TLD524241 TUZ524217:TUZ524241 UEV524217:UEV524241 UOR524217:UOR524241 UYN524217:UYN524241 VIJ524217:VIJ524241 VSF524217:VSF524241 WCB524217:WCB524241 WLX524217:WLX524241 WVT524217:WVT524241 L589811:L589835 JH589753:JH589777 TD589753:TD589777 ACZ589753:ACZ589777 AMV589753:AMV589777 AWR589753:AWR589777 BGN589753:BGN589777 BQJ589753:BQJ589777 CAF589753:CAF589777 CKB589753:CKB589777 CTX589753:CTX589777 DDT589753:DDT589777 DNP589753:DNP589777 DXL589753:DXL589777 EHH589753:EHH589777 ERD589753:ERD589777 FAZ589753:FAZ589777 FKV589753:FKV589777 FUR589753:FUR589777 GEN589753:GEN589777 GOJ589753:GOJ589777 GYF589753:GYF589777 HIB589753:HIB589777 HRX589753:HRX589777 IBT589753:IBT589777 ILP589753:ILP589777 IVL589753:IVL589777 JFH589753:JFH589777 JPD589753:JPD589777 JYZ589753:JYZ589777 KIV589753:KIV589777 KSR589753:KSR589777 LCN589753:LCN589777 LMJ589753:LMJ589777 LWF589753:LWF589777 MGB589753:MGB589777 MPX589753:MPX589777 MZT589753:MZT589777 NJP589753:NJP589777 NTL589753:NTL589777 ODH589753:ODH589777 OND589753:OND589777 OWZ589753:OWZ589777 PGV589753:PGV589777 PQR589753:PQR589777 QAN589753:QAN589777 QKJ589753:QKJ589777 QUF589753:QUF589777 REB589753:REB589777 RNX589753:RNX589777 RXT589753:RXT589777 SHP589753:SHP589777 SRL589753:SRL589777 TBH589753:TBH589777 TLD589753:TLD589777 TUZ589753:TUZ589777 UEV589753:UEV589777 UOR589753:UOR589777 UYN589753:UYN589777 VIJ589753:VIJ589777 VSF589753:VSF589777 WCB589753:WCB589777 WLX589753:WLX589777 WVT589753:WVT589777 L655347:L655371 JH655289:JH655313 TD655289:TD655313 ACZ655289:ACZ655313 AMV655289:AMV655313 AWR655289:AWR655313 BGN655289:BGN655313 BQJ655289:BQJ655313 CAF655289:CAF655313 CKB655289:CKB655313 CTX655289:CTX655313 DDT655289:DDT655313 DNP655289:DNP655313 DXL655289:DXL655313 EHH655289:EHH655313 ERD655289:ERD655313 FAZ655289:FAZ655313 FKV655289:FKV655313 FUR655289:FUR655313 GEN655289:GEN655313 GOJ655289:GOJ655313 GYF655289:GYF655313 HIB655289:HIB655313 HRX655289:HRX655313 IBT655289:IBT655313 ILP655289:ILP655313 IVL655289:IVL655313 JFH655289:JFH655313 JPD655289:JPD655313 JYZ655289:JYZ655313 KIV655289:KIV655313 KSR655289:KSR655313 LCN655289:LCN655313 LMJ655289:LMJ655313 LWF655289:LWF655313 MGB655289:MGB655313 MPX655289:MPX655313 MZT655289:MZT655313 NJP655289:NJP655313 NTL655289:NTL655313 ODH655289:ODH655313 OND655289:OND655313 OWZ655289:OWZ655313 PGV655289:PGV655313 PQR655289:PQR655313 QAN655289:QAN655313 QKJ655289:QKJ655313 QUF655289:QUF655313 REB655289:REB655313 RNX655289:RNX655313 RXT655289:RXT655313 SHP655289:SHP655313 SRL655289:SRL655313 TBH655289:TBH655313 TLD655289:TLD655313 TUZ655289:TUZ655313 UEV655289:UEV655313 UOR655289:UOR655313 UYN655289:UYN655313 VIJ655289:VIJ655313 VSF655289:VSF655313 WCB655289:WCB655313 WLX655289:WLX655313 WVT655289:WVT655313 L720883:L720907 JH720825:JH720849 TD720825:TD720849 ACZ720825:ACZ720849 AMV720825:AMV720849 AWR720825:AWR720849 BGN720825:BGN720849 BQJ720825:BQJ720849 CAF720825:CAF720849 CKB720825:CKB720849 CTX720825:CTX720849 DDT720825:DDT720849 DNP720825:DNP720849 DXL720825:DXL720849 EHH720825:EHH720849 ERD720825:ERD720849 FAZ720825:FAZ720849 FKV720825:FKV720849 FUR720825:FUR720849 GEN720825:GEN720849 GOJ720825:GOJ720849 GYF720825:GYF720849 HIB720825:HIB720849 HRX720825:HRX720849 IBT720825:IBT720849 ILP720825:ILP720849 IVL720825:IVL720849 JFH720825:JFH720849 JPD720825:JPD720849 JYZ720825:JYZ720849 KIV720825:KIV720849 KSR720825:KSR720849 LCN720825:LCN720849 LMJ720825:LMJ720849 LWF720825:LWF720849 MGB720825:MGB720849 MPX720825:MPX720849 MZT720825:MZT720849 NJP720825:NJP720849 NTL720825:NTL720849 ODH720825:ODH720849 OND720825:OND720849 OWZ720825:OWZ720849 PGV720825:PGV720849 PQR720825:PQR720849 QAN720825:QAN720849 QKJ720825:QKJ720849 QUF720825:QUF720849 REB720825:REB720849 RNX720825:RNX720849 RXT720825:RXT720849 SHP720825:SHP720849 SRL720825:SRL720849 TBH720825:TBH720849 TLD720825:TLD720849 TUZ720825:TUZ720849 UEV720825:UEV720849 UOR720825:UOR720849 UYN720825:UYN720849 VIJ720825:VIJ720849 VSF720825:VSF720849 WCB720825:WCB720849 WLX720825:WLX720849 WVT720825:WVT720849 L786419:L786443 JH786361:JH786385 TD786361:TD786385 ACZ786361:ACZ786385 AMV786361:AMV786385 AWR786361:AWR786385 BGN786361:BGN786385 BQJ786361:BQJ786385 CAF786361:CAF786385 CKB786361:CKB786385 CTX786361:CTX786385 DDT786361:DDT786385 DNP786361:DNP786385 DXL786361:DXL786385 EHH786361:EHH786385 ERD786361:ERD786385 FAZ786361:FAZ786385 FKV786361:FKV786385 FUR786361:FUR786385 GEN786361:GEN786385 GOJ786361:GOJ786385 GYF786361:GYF786385 HIB786361:HIB786385 HRX786361:HRX786385 IBT786361:IBT786385 ILP786361:ILP786385 IVL786361:IVL786385 JFH786361:JFH786385 JPD786361:JPD786385 JYZ786361:JYZ786385 KIV786361:KIV786385 KSR786361:KSR786385 LCN786361:LCN786385 LMJ786361:LMJ786385 LWF786361:LWF786385 MGB786361:MGB786385 MPX786361:MPX786385 MZT786361:MZT786385 NJP786361:NJP786385 NTL786361:NTL786385 ODH786361:ODH786385 OND786361:OND786385 OWZ786361:OWZ786385 PGV786361:PGV786385 PQR786361:PQR786385 QAN786361:QAN786385 QKJ786361:QKJ786385 QUF786361:QUF786385 REB786361:REB786385 RNX786361:RNX786385 RXT786361:RXT786385 SHP786361:SHP786385 SRL786361:SRL786385 TBH786361:TBH786385 TLD786361:TLD786385 TUZ786361:TUZ786385 UEV786361:UEV786385 UOR786361:UOR786385 UYN786361:UYN786385 VIJ786361:VIJ786385 VSF786361:VSF786385 WCB786361:WCB786385 WLX786361:WLX786385 WVT786361:WVT786385 L851955:L851979 JH851897:JH851921 TD851897:TD851921 ACZ851897:ACZ851921 AMV851897:AMV851921 AWR851897:AWR851921 BGN851897:BGN851921 BQJ851897:BQJ851921 CAF851897:CAF851921 CKB851897:CKB851921 CTX851897:CTX851921 DDT851897:DDT851921 DNP851897:DNP851921 DXL851897:DXL851921 EHH851897:EHH851921 ERD851897:ERD851921 FAZ851897:FAZ851921 FKV851897:FKV851921 FUR851897:FUR851921 GEN851897:GEN851921 GOJ851897:GOJ851921 GYF851897:GYF851921 HIB851897:HIB851921 HRX851897:HRX851921 IBT851897:IBT851921 ILP851897:ILP851921 IVL851897:IVL851921 JFH851897:JFH851921 JPD851897:JPD851921 JYZ851897:JYZ851921 KIV851897:KIV851921 KSR851897:KSR851921 LCN851897:LCN851921 LMJ851897:LMJ851921 LWF851897:LWF851921 MGB851897:MGB851921 MPX851897:MPX851921 MZT851897:MZT851921 NJP851897:NJP851921 NTL851897:NTL851921 ODH851897:ODH851921 OND851897:OND851921 OWZ851897:OWZ851921 PGV851897:PGV851921 PQR851897:PQR851921 QAN851897:QAN851921 QKJ851897:QKJ851921 QUF851897:QUF851921 REB851897:REB851921 RNX851897:RNX851921 RXT851897:RXT851921 SHP851897:SHP851921 SRL851897:SRL851921 TBH851897:TBH851921 TLD851897:TLD851921 TUZ851897:TUZ851921 UEV851897:UEV851921 UOR851897:UOR851921 UYN851897:UYN851921 VIJ851897:VIJ851921 VSF851897:VSF851921 WCB851897:WCB851921 WLX851897:WLX851921 WVT851897:WVT851921 L917491:L917515 JH917433:JH917457 TD917433:TD917457 ACZ917433:ACZ917457 AMV917433:AMV917457 AWR917433:AWR917457 BGN917433:BGN917457 BQJ917433:BQJ917457 CAF917433:CAF917457 CKB917433:CKB917457 CTX917433:CTX917457 DDT917433:DDT917457 DNP917433:DNP917457 DXL917433:DXL917457 EHH917433:EHH917457 ERD917433:ERD917457 FAZ917433:FAZ917457 FKV917433:FKV917457 FUR917433:FUR917457 GEN917433:GEN917457 GOJ917433:GOJ917457 GYF917433:GYF917457 HIB917433:HIB917457 HRX917433:HRX917457 IBT917433:IBT917457 ILP917433:ILP917457 IVL917433:IVL917457 JFH917433:JFH917457 JPD917433:JPD917457 JYZ917433:JYZ917457 KIV917433:KIV917457 KSR917433:KSR917457 LCN917433:LCN917457 LMJ917433:LMJ917457 LWF917433:LWF917457 MGB917433:MGB917457 MPX917433:MPX917457 MZT917433:MZT917457 NJP917433:NJP917457 NTL917433:NTL917457 ODH917433:ODH917457 OND917433:OND917457 OWZ917433:OWZ917457 PGV917433:PGV917457 PQR917433:PQR917457 QAN917433:QAN917457 QKJ917433:QKJ917457 QUF917433:QUF917457 REB917433:REB917457 RNX917433:RNX917457 RXT917433:RXT917457 SHP917433:SHP917457 SRL917433:SRL917457 TBH917433:TBH917457 TLD917433:TLD917457 TUZ917433:TUZ917457 UEV917433:UEV917457 UOR917433:UOR917457 UYN917433:UYN917457 VIJ917433:VIJ917457 VSF917433:VSF917457 WCB917433:WCB917457 WLX917433:WLX917457 WVT917433:WVT917457 L983027:L983051 JH982969:JH982993 TD982969:TD982993 ACZ982969:ACZ982993 AMV982969:AMV982993 AWR982969:AWR982993 BGN982969:BGN982993 BQJ982969:BQJ982993 CAF982969:CAF982993 CKB982969:CKB982993 CTX982969:CTX982993 DDT982969:DDT982993 DNP982969:DNP982993 DXL982969:DXL982993 EHH982969:EHH982993 ERD982969:ERD982993 FAZ982969:FAZ982993 FKV982969:FKV982993 FUR982969:FUR982993 GEN982969:GEN982993 GOJ982969:GOJ982993 GYF982969:GYF982993 HIB982969:HIB982993 HRX982969:HRX982993 IBT982969:IBT982993 ILP982969:ILP982993 IVL982969:IVL982993 JFH982969:JFH982993 JPD982969:JPD982993 JYZ982969:JYZ982993 KIV982969:KIV982993 KSR982969:KSR982993 LCN982969:LCN982993 LMJ982969:LMJ982993 LWF982969:LWF982993 MGB982969:MGB982993 MPX982969:MPX982993 MZT982969:MZT982993 NJP982969:NJP982993 NTL982969:NTL982993 ODH982969:ODH982993 OND982969:OND982993 OWZ982969:OWZ982993 PGV982969:PGV982993 PQR982969:PQR982993 QAN982969:QAN982993 QKJ982969:QKJ982993 QUF982969:QUF982993 REB982969:REB982993 RNX982969:RNX982993 RXT982969:RXT982993 SHP982969:SHP982993 SRL982969:SRL982993 TBH982969:TBH982993 TLD982969:TLD982993 TUZ982969:TUZ982993 UEV982969:UEV982993 UOR982969:UOR982993 UYN982969:UYN982993 VIJ982969:VIJ982993 VSF982969:VSF982993 WCB982969:WCB982993 WLX982969:WLX982993 WVT982969:WVT982993 L65523:L65547 WVU10:WVU1811 WLY10:WLY1811 WCC10:WCC1811 VSG10:VSG1811 VIK10:VIK1811 UYO10:UYO1811 UOS10:UOS1811 UEW10:UEW1811 TVA10:TVA1811 TLE10:TLE1811 TBI10:TBI1811 SRM10:SRM1811 SHQ10:SHQ1811 RXU10:RXU1811 RNY10:RNY1811 REC10:REC1811 QUG10:QUG1811 QKK10:QKK1811 QAO10:QAO1811 PQS10:PQS1811 PGW10:PGW1811 OXA10:OXA1811 ONE10:ONE1811 ODI10:ODI1811 NTM10:NTM1811 NJQ10:NJQ1811 MZU10:MZU1811 MPY10:MPY1811 MGC10:MGC1811 LWG10:LWG1811 LMK10:LMK1811 LCO10:LCO1811 KSS10:KSS1811 KIW10:KIW1811 JZA10:JZA1811 JPE10:JPE1811 JFI10:JFI1811 IVM10:IVM1811 ILQ10:ILQ1811 IBU10:IBU1811 HRY10:HRY1811 HIC10:HIC1811 GYG10:GYG1811 GOK10:GOK1811 GEO10:GEO1811 FUS10:FUS1811 FKW10:FKW1811 FBA10:FBA1811 ERE10:ERE1811 EHI10:EHI1811 DXM10:DXM1811 DNQ10:DNQ1811 DDU10:DDU1811 CTY10:CTY1811 CKC10:CKC1811 CAG10:CAG1811 BQK10:BQK1811 BGO10:BGO1811 AWS10:AWS1811 AMW10:AMW1811 ADA10:ADA1811 TE10:TE1811 JI10:JI1811" xr:uid="{00000000-0002-0000-2300-000001000000}"/>
    <dataValidation allowBlank="1" showInputMessage="1" showErrorMessage="1" prompt="Enter the authorized R&amp;B monthly amount. For CBA refer to F2065B, for CCAD refer to F2065A, for CWP refer to F2200, for ICM refer to F2065_x000a_" sqref="JI65465:JJ65489 TE65465:TF65489 ADA65465:ADB65489 AMW65465:AMX65489 AWS65465:AWT65489 BGO65465:BGP65489 BQK65465:BQL65489 CAG65465:CAH65489 CKC65465:CKD65489 CTY65465:CTZ65489 DDU65465:DDV65489 DNQ65465:DNR65489 DXM65465:DXN65489 EHI65465:EHJ65489 ERE65465:ERF65489 FBA65465:FBB65489 FKW65465:FKX65489 FUS65465:FUT65489 GEO65465:GEP65489 GOK65465:GOL65489 GYG65465:GYH65489 HIC65465:HID65489 HRY65465:HRZ65489 IBU65465:IBV65489 ILQ65465:ILR65489 IVM65465:IVN65489 JFI65465:JFJ65489 JPE65465:JPF65489 JZA65465:JZB65489 KIW65465:KIX65489 KSS65465:KST65489 LCO65465:LCP65489 LMK65465:LML65489 LWG65465:LWH65489 MGC65465:MGD65489 MPY65465:MPZ65489 MZU65465:MZV65489 NJQ65465:NJR65489 NTM65465:NTN65489 ODI65465:ODJ65489 ONE65465:ONF65489 OXA65465:OXB65489 PGW65465:PGX65489 PQS65465:PQT65489 QAO65465:QAP65489 QKK65465:QKL65489 QUG65465:QUH65489 REC65465:RED65489 RNY65465:RNZ65489 RXU65465:RXV65489 SHQ65465:SHR65489 SRM65465:SRN65489 TBI65465:TBJ65489 TLE65465:TLF65489 TVA65465:TVB65489 UEW65465:UEX65489 UOS65465:UOT65489 UYO65465:UYP65489 VIK65465:VIL65489 VSG65465:VSH65489 WCC65465:WCD65489 WLY65465:WLZ65489 WVU65465:WVV65489 M131059:N131083 JI131001:JJ131025 TE131001:TF131025 ADA131001:ADB131025 AMW131001:AMX131025 AWS131001:AWT131025 BGO131001:BGP131025 BQK131001:BQL131025 CAG131001:CAH131025 CKC131001:CKD131025 CTY131001:CTZ131025 DDU131001:DDV131025 DNQ131001:DNR131025 DXM131001:DXN131025 EHI131001:EHJ131025 ERE131001:ERF131025 FBA131001:FBB131025 FKW131001:FKX131025 FUS131001:FUT131025 GEO131001:GEP131025 GOK131001:GOL131025 GYG131001:GYH131025 HIC131001:HID131025 HRY131001:HRZ131025 IBU131001:IBV131025 ILQ131001:ILR131025 IVM131001:IVN131025 JFI131001:JFJ131025 JPE131001:JPF131025 JZA131001:JZB131025 KIW131001:KIX131025 KSS131001:KST131025 LCO131001:LCP131025 LMK131001:LML131025 LWG131001:LWH131025 MGC131001:MGD131025 MPY131001:MPZ131025 MZU131001:MZV131025 NJQ131001:NJR131025 NTM131001:NTN131025 ODI131001:ODJ131025 ONE131001:ONF131025 OXA131001:OXB131025 PGW131001:PGX131025 PQS131001:PQT131025 QAO131001:QAP131025 QKK131001:QKL131025 QUG131001:QUH131025 REC131001:RED131025 RNY131001:RNZ131025 RXU131001:RXV131025 SHQ131001:SHR131025 SRM131001:SRN131025 TBI131001:TBJ131025 TLE131001:TLF131025 TVA131001:TVB131025 UEW131001:UEX131025 UOS131001:UOT131025 UYO131001:UYP131025 VIK131001:VIL131025 VSG131001:VSH131025 WCC131001:WCD131025 WLY131001:WLZ131025 WVU131001:WVV131025 M196595:N196619 JI196537:JJ196561 TE196537:TF196561 ADA196537:ADB196561 AMW196537:AMX196561 AWS196537:AWT196561 BGO196537:BGP196561 BQK196537:BQL196561 CAG196537:CAH196561 CKC196537:CKD196561 CTY196537:CTZ196561 DDU196537:DDV196561 DNQ196537:DNR196561 DXM196537:DXN196561 EHI196537:EHJ196561 ERE196537:ERF196561 FBA196537:FBB196561 FKW196537:FKX196561 FUS196537:FUT196561 GEO196537:GEP196561 GOK196537:GOL196561 GYG196537:GYH196561 HIC196537:HID196561 HRY196537:HRZ196561 IBU196537:IBV196561 ILQ196537:ILR196561 IVM196537:IVN196561 JFI196537:JFJ196561 JPE196537:JPF196561 JZA196537:JZB196561 KIW196537:KIX196561 KSS196537:KST196561 LCO196537:LCP196561 LMK196537:LML196561 LWG196537:LWH196561 MGC196537:MGD196561 MPY196537:MPZ196561 MZU196537:MZV196561 NJQ196537:NJR196561 NTM196537:NTN196561 ODI196537:ODJ196561 ONE196537:ONF196561 OXA196537:OXB196561 PGW196537:PGX196561 PQS196537:PQT196561 QAO196537:QAP196561 QKK196537:QKL196561 QUG196537:QUH196561 REC196537:RED196561 RNY196537:RNZ196561 RXU196537:RXV196561 SHQ196537:SHR196561 SRM196537:SRN196561 TBI196537:TBJ196561 TLE196537:TLF196561 TVA196537:TVB196561 UEW196537:UEX196561 UOS196537:UOT196561 UYO196537:UYP196561 VIK196537:VIL196561 VSG196537:VSH196561 WCC196537:WCD196561 WLY196537:WLZ196561 WVU196537:WVV196561 M262131:N262155 JI262073:JJ262097 TE262073:TF262097 ADA262073:ADB262097 AMW262073:AMX262097 AWS262073:AWT262097 BGO262073:BGP262097 BQK262073:BQL262097 CAG262073:CAH262097 CKC262073:CKD262097 CTY262073:CTZ262097 DDU262073:DDV262097 DNQ262073:DNR262097 DXM262073:DXN262097 EHI262073:EHJ262097 ERE262073:ERF262097 FBA262073:FBB262097 FKW262073:FKX262097 FUS262073:FUT262097 GEO262073:GEP262097 GOK262073:GOL262097 GYG262073:GYH262097 HIC262073:HID262097 HRY262073:HRZ262097 IBU262073:IBV262097 ILQ262073:ILR262097 IVM262073:IVN262097 JFI262073:JFJ262097 JPE262073:JPF262097 JZA262073:JZB262097 KIW262073:KIX262097 KSS262073:KST262097 LCO262073:LCP262097 LMK262073:LML262097 LWG262073:LWH262097 MGC262073:MGD262097 MPY262073:MPZ262097 MZU262073:MZV262097 NJQ262073:NJR262097 NTM262073:NTN262097 ODI262073:ODJ262097 ONE262073:ONF262097 OXA262073:OXB262097 PGW262073:PGX262097 PQS262073:PQT262097 QAO262073:QAP262097 QKK262073:QKL262097 QUG262073:QUH262097 REC262073:RED262097 RNY262073:RNZ262097 RXU262073:RXV262097 SHQ262073:SHR262097 SRM262073:SRN262097 TBI262073:TBJ262097 TLE262073:TLF262097 TVA262073:TVB262097 UEW262073:UEX262097 UOS262073:UOT262097 UYO262073:UYP262097 VIK262073:VIL262097 VSG262073:VSH262097 WCC262073:WCD262097 WLY262073:WLZ262097 WVU262073:WVV262097 M327667:N327691 JI327609:JJ327633 TE327609:TF327633 ADA327609:ADB327633 AMW327609:AMX327633 AWS327609:AWT327633 BGO327609:BGP327633 BQK327609:BQL327633 CAG327609:CAH327633 CKC327609:CKD327633 CTY327609:CTZ327633 DDU327609:DDV327633 DNQ327609:DNR327633 DXM327609:DXN327633 EHI327609:EHJ327633 ERE327609:ERF327633 FBA327609:FBB327633 FKW327609:FKX327633 FUS327609:FUT327633 GEO327609:GEP327633 GOK327609:GOL327633 GYG327609:GYH327633 HIC327609:HID327633 HRY327609:HRZ327633 IBU327609:IBV327633 ILQ327609:ILR327633 IVM327609:IVN327633 JFI327609:JFJ327633 JPE327609:JPF327633 JZA327609:JZB327633 KIW327609:KIX327633 KSS327609:KST327633 LCO327609:LCP327633 LMK327609:LML327633 LWG327609:LWH327633 MGC327609:MGD327633 MPY327609:MPZ327633 MZU327609:MZV327633 NJQ327609:NJR327633 NTM327609:NTN327633 ODI327609:ODJ327633 ONE327609:ONF327633 OXA327609:OXB327633 PGW327609:PGX327633 PQS327609:PQT327633 QAO327609:QAP327633 QKK327609:QKL327633 QUG327609:QUH327633 REC327609:RED327633 RNY327609:RNZ327633 RXU327609:RXV327633 SHQ327609:SHR327633 SRM327609:SRN327633 TBI327609:TBJ327633 TLE327609:TLF327633 TVA327609:TVB327633 UEW327609:UEX327633 UOS327609:UOT327633 UYO327609:UYP327633 VIK327609:VIL327633 VSG327609:VSH327633 WCC327609:WCD327633 WLY327609:WLZ327633 WVU327609:WVV327633 M393203:N393227 JI393145:JJ393169 TE393145:TF393169 ADA393145:ADB393169 AMW393145:AMX393169 AWS393145:AWT393169 BGO393145:BGP393169 BQK393145:BQL393169 CAG393145:CAH393169 CKC393145:CKD393169 CTY393145:CTZ393169 DDU393145:DDV393169 DNQ393145:DNR393169 DXM393145:DXN393169 EHI393145:EHJ393169 ERE393145:ERF393169 FBA393145:FBB393169 FKW393145:FKX393169 FUS393145:FUT393169 GEO393145:GEP393169 GOK393145:GOL393169 GYG393145:GYH393169 HIC393145:HID393169 HRY393145:HRZ393169 IBU393145:IBV393169 ILQ393145:ILR393169 IVM393145:IVN393169 JFI393145:JFJ393169 JPE393145:JPF393169 JZA393145:JZB393169 KIW393145:KIX393169 KSS393145:KST393169 LCO393145:LCP393169 LMK393145:LML393169 LWG393145:LWH393169 MGC393145:MGD393169 MPY393145:MPZ393169 MZU393145:MZV393169 NJQ393145:NJR393169 NTM393145:NTN393169 ODI393145:ODJ393169 ONE393145:ONF393169 OXA393145:OXB393169 PGW393145:PGX393169 PQS393145:PQT393169 QAO393145:QAP393169 QKK393145:QKL393169 QUG393145:QUH393169 REC393145:RED393169 RNY393145:RNZ393169 RXU393145:RXV393169 SHQ393145:SHR393169 SRM393145:SRN393169 TBI393145:TBJ393169 TLE393145:TLF393169 TVA393145:TVB393169 UEW393145:UEX393169 UOS393145:UOT393169 UYO393145:UYP393169 VIK393145:VIL393169 VSG393145:VSH393169 WCC393145:WCD393169 WLY393145:WLZ393169 WVU393145:WVV393169 M458739:N458763 JI458681:JJ458705 TE458681:TF458705 ADA458681:ADB458705 AMW458681:AMX458705 AWS458681:AWT458705 BGO458681:BGP458705 BQK458681:BQL458705 CAG458681:CAH458705 CKC458681:CKD458705 CTY458681:CTZ458705 DDU458681:DDV458705 DNQ458681:DNR458705 DXM458681:DXN458705 EHI458681:EHJ458705 ERE458681:ERF458705 FBA458681:FBB458705 FKW458681:FKX458705 FUS458681:FUT458705 GEO458681:GEP458705 GOK458681:GOL458705 GYG458681:GYH458705 HIC458681:HID458705 HRY458681:HRZ458705 IBU458681:IBV458705 ILQ458681:ILR458705 IVM458681:IVN458705 JFI458681:JFJ458705 JPE458681:JPF458705 JZA458681:JZB458705 KIW458681:KIX458705 KSS458681:KST458705 LCO458681:LCP458705 LMK458681:LML458705 LWG458681:LWH458705 MGC458681:MGD458705 MPY458681:MPZ458705 MZU458681:MZV458705 NJQ458681:NJR458705 NTM458681:NTN458705 ODI458681:ODJ458705 ONE458681:ONF458705 OXA458681:OXB458705 PGW458681:PGX458705 PQS458681:PQT458705 QAO458681:QAP458705 QKK458681:QKL458705 QUG458681:QUH458705 REC458681:RED458705 RNY458681:RNZ458705 RXU458681:RXV458705 SHQ458681:SHR458705 SRM458681:SRN458705 TBI458681:TBJ458705 TLE458681:TLF458705 TVA458681:TVB458705 UEW458681:UEX458705 UOS458681:UOT458705 UYO458681:UYP458705 VIK458681:VIL458705 VSG458681:VSH458705 WCC458681:WCD458705 WLY458681:WLZ458705 WVU458681:WVV458705 M524275:N524299 JI524217:JJ524241 TE524217:TF524241 ADA524217:ADB524241 AMW524217:AMX524241 AWS524217:AWT524241 BGO524217:BGP524241 BQK524217:BQL524241 CAG524217:CAH524241 CKC524217:CKD524241 CTY524217:CTZ524241 DDU524217:DDV524241 DNQ524217:DNR524241 DXM524217:DXN524241 EHI524217:EHJ524241 ERE524217:ERF524241 FBA524217:FBB524241 FKW524217:FKX524241 FUS524217:FUT524241 GEO524217:GEP524241 GOK524217:GOL524241 GYG524217:GYH524241 HIC524217:HID524241 HRY524217:HRZ524241 IBU524217:IBV524241 ILQ524217:ILR524241 IVM524217:IVN524241 JFI524217:JFJ524241 JPE524217:JPF524241 JZA524217:JZB524241 KIW524217:KIX524241 KSS524217:KST524241 LCO524217:LCP524241 LMK524217:LML524241 LWG524217:LWH524241 MGC524217:MGD524241 MPY524217:MPZ524241 MZU524217:MZV524241 NJQ524217:NJR524241 NTM524217:NTN524241 ODI524217:ODJ524241 ONE524217:ONF524241 OXA524217:OXB524241 PGW524217:PGX524241 PQS524217:PQT524241 QAO524217:QAP524241 QKK524217:QKL524241 QUG524217:QUH524241 REC524217:RED524241 RNY524217:RNZ524241 RXU524217:RXV524241 SHQ524217:SHR524241 SRM524217:SRN524241 TBI524217:TBJ524241 TLE524217:TLF524241 TVA524217:TVB524241 UEW524217:UEX524241 UOS524217:UOT524241 UYO524217:UYP524241 VIK524217:VIL524241 VSG524217:VSH524241 WCC524217:WCD524241 WLY524217:WLZ524241 WVU524217:WVV524241 M589811:N589835 JI589753:JJ589777 TE589753:TF589777 ADA589753:ADB589777 AMW589753:AMX589777 AWS589753:AWT589777 BGO589753:BGP589777 BQK589753:BQL589777 CAG589753:CAH589777 CKC589753:CKD589777 CTY589753:CTZ589777 DDU589753:DDV589777 DNQ589753:DNR589777 DXM589753:DXN589777 EHI589753:EHJ589777 ERE589753:ERF589777 FBA589753:FBB589777 FKW589753:FKX589777 FUS589753:FUT589777 GEO589753:GEP589777 GOK589753:GOL589777 GYG589753:GYH589777 HIC589753:HID589777 HRY589753:HRZ589777 IBU589753:IBV589777 ILQ589753:ILR589777 IVM589753:IVN589777 JFI589753:JFJ589777 JPE589753:JPF589777 JZA589753:JZB589777 KIW589753:KIX589777 KSS589753:KST589777 LCO589753:LCP589777 LMK589753:LML589777 LWG589753:LWH589777 MGC589753:MGD589777 MPY589753:MPZ589777 MZU589753:MZV589777 NJQ589753:NJR589777 NTM589753:NTN589777 ODI589753:ODJ589777 ONE589753:ONF589777 OXA589753:OXB589777 PGW589753:PGX589777 PQS589753:PQT589777 QAO589753:QAP589777 QKK589753:QKL589777 QUG589753:QUH589777 REC589753:RED589777 RNY589753:RNZ589777 RXU589753:RXV589777 SHQ589753:SHR589777 SRM589753:SRN589777 TBI589753:TBJ589777 TLE589753:TLF589777 TVA589753:TVB589777 UEW589753:UEX589777 UOS589753:UOT589777 UYO589753:UYP589777 VIK589753:VIL589777 VSG589753:VSH589777 WCC589753:WCD589777 WLY589753:WLZ589777 WVU589753:WVV589777 M655347:N655371 JI655289:JJ655313 TE655289:TF655313 ADA655289:ADB655313 AMW655289:AMX655313 AWS655289:AWT655313 BGO655289:BGP655313 BQK655289:BQL655313 CAG655289:CAH655313 CKC655289:CKD655313 CTY655289:CTZ655313 DDU655289:DDV655313 DNQ655289:DNR655313 DXM655289:DXN655313 EHI655289:EHJ655313 ERE655289:ERF655313 FBA655289:FBB655313 FKW655289:FKX655313 FUS655289:FUT655313 GEO655289:GEP655313 GOK655289:GOL655313 GYG655289:GYH655313 HIC655289:HID655313 HRY655289:HRZ655313 IBU655289:IBV655313 ILQ655289:ILR655313 IVM655289:IVN655313 JFI655289:JFJ655313 JPE655289:JPF655313 JZA655289:JZB655313 KIW655289:KIX655313 KSS655289:KST655313 LCO655289:LCP655313 LMK655289:LML655313 LWG655289:LWH655313 MGC655289:MGD655313 MPY655289:MPZ655313 MZU655289:MZV655313 NJQ655289:NJR655313 NTM655289:NTN655313 ODI655289:ODJ655313 ONE655289:ONF655313 OXA655289:OXB655313 PGW655289:PGX655313 PQS655289:PQT655313 QAO655289:QAP655313 QKK655289:QKL655313 QUG655289:QUH655313 REC655289:RED655313 RNY655289:RNZ655313 RXU655289:RXV655313 SHQ655289:SHR655313 SRM655289:SRN655313 TBI655289:TBJ655313 TLE655289:TLF655313 TVA655289:TVB655313 UEW655289:UEX655313 UOS655289:UOT655313 UYO655289:UYP655313 VIK655289:VIL655313 VSG655289:VSH655313 WCC655289:WCD655313 WLY655289:WLZ655313 WVU655289:WVV655313 M720883:N720907 JI720825:JJ720849 TE720825:TF720849 ADA720825:ADB720849 AMW720825:AMX720849 AWS720825:AWT720849 BGO720825:BGP720849 BQK720825:BQL720849 CAG720825:CAH720849 CKC720825:CKD720849 CTY720825:CTZ720849 DDU720825:DDV720849 DNQ720825:DNR720849 DXM720825:DXN720849 EHI720825:EHJ720849 ERE720825:ERF720849 FBA720825:FBB720849 FKW720825:FKX720849 FUS720825:FUT720849 GEO720825:GEP720849 GOK720825:GOL720849 GYG720825:GYH720849 HIC720825:HID720849 HRY720825:HRZ720849 IBU720825:IBV720849 ILQ720825:ILR720849 IVM720825:IVN720849 JFI720825:JFJ720849 JPE720825:JPF720849 JZA720825:JZB720849 KIW720825:KIX720849 KSS720825:KST720849 LCO720825:LCP720849 LMK720825:LML720849 LWG720825:LWH720849 MGC720825:MGD720849 MPY720825:MPZ720849 MZU720825:MZV720849 NJQ720825:NJR720849 NTM720825:NTN720849 ODI720825:ODJ720849 ONE720825:ONF720849 OXA720825:OXB720849 PGW720825:PGX720849 PQS720825:PQT720849 QAO720825:QAP720849 QKK720825:QKL720849 QUG720825:QUH720849 REC720825:RED720849 RNY720825:RNZ720849 RXU720825:RXV720849 SHQ720825:SHR720849 SRM720825:SRN720849 TBI720825:TBJ720849 TLE720825:TLF720849 TVA720825:TVB720849 UEW720825:UEX720849 UOS720825:UOT720849 UYO720825:UYP720849 VIK720825:VIL720849 VSG720825:VSH720849 WCC720825:WCD720849 WLY720825:WLZ720849 WVU720825:WVV720849 M786419:N786443 JI786361:JJ786385 TE786361:TF786385 ADA786361:ADB786385 AMW786361:AMX786385 AWS786361:AWT786385 BGO786361:BGP786385 BQK786361:BQL786385 CAG786361:CAH786385 CKC786361:CKD786385 CTY786361:CTZ786385 DDU786361:DDV786385 DNQ786361:DNR786385 DXM786361:DXN786385 EHI786361:EHJ786385 ERE786361:ERF786385 FBA786361:FBB786385 FKW786361:FKX786385 FUS786361:FUT786385 GEO786361:GEP786385 GOK786361:GOL786385 GYG786361:GYH786385 HIC786361:HID786385 HRY786361:HRZ786385 IBU786361:IBV786385 ILQ786361:ILR786385 IVM786361:IVN786385 JFI786361:JFJ786385 JPE786361:JPF786385 JZA786361:JZB786385 KIW786361:KIX786385 KSS786361:KST786385 LCO786361:LCP786385 LMK786361:LML786385 LWG786361:LWH786385 MGC786361:MGD786385 MPY786361:MPZ786385 MZU786361:MZV786385 NJQ786361:NJR786385 NTM786361:NTN786385 ODI786361:ODJ786385 ONE786361:ONF786385 OXA786361:OXB786385 PGW786361:PGX786385 PQS786361:PQT786385 QAO786361:QAP786385 QKK786361:QKL786385 QUG786361:QUH786385 REC786361:RED786385 RNY786361:RNZ786385 RXU786361:RXV786385 SHQ786361:SHR786385 SRM786361:SRN786385 TBI786361:TBJ786385 TLE786361:TLF786385 TVA786361:TVB786385 UEW786361:UEX786385 UOS786361:UOT786385 UYO786361:UYP786385 VIK786361:VIL786385 VSG786361:VSH786385 WCC786361:WCD786385 WLY786361:WLZ786385 WVU786361:WVV786385 M851955:N851979 JI851897:JJ851921 TE851897:TF851921 ADA851897:ADB851921 AMW851897:AMX851921 AWS851897:AWT851921 BGO851897:BGP851921 BQK851897:BQL851921 CAG851897:CAH851921 CKC851897:CKD851921 CTY851897:CTZ851921 DDU851897:DDV851921 DNQ851897:DNR851921 DXM851897:DXN851921 EHI851897:EHJ851921 ERE851897:ERF851921 FBA851897:FBB851921 FKW851897:FKX851921 FUS851897:FUT851921 GEO851897:GEP851921 GOK851897:GOL851921 GYG851897:GYH851921 HIC851897:HID851921 HRY851897:HRZ851921 IBU851897:IBV851921 ILQ851897:ILR851921 IVM851897:IVN851921 JFI851897:JFJ851921 JPE851897:JPF851921 JZA851897:JZB851921 KIW851897:KIX851921 KSS851897:KST851921 LCO851897:LCP851921 LMK851897:LML851921 LWG851897:LWH851921 MGC851897:MGD851921 MPY851897:MPZ851921 MZU851897:MZV851921 NJQ851897:NJR851921 NTM851897:NTN851921 ODI851897:ODJ851921 ONE851897:ONF851921 OXA851897:OXB851921 PGW851897:PGX851921 PQS851897:PQT851921 QAO851897:QAP851921 QKK851897:QKL851921 QUG851897:QUH851921 REC851897:RED851921 RNY851897:RNZ851921 RXU851897:RXV851921 SHQ851897:SHR851921 SRM851897:SRN851921 TBI851897:TBJ851921 TLE851897:TLF851921 TVA851897:TVB851921 UEW851897:UEX851921 UOS851897:UOT851921 UYO851897:UYP851921 VIK851897:VIL851921 VSG851897:VSH851921 WCC851897:WCD851921 WLY851897:WLZ851921 WVU851897:WVV851921 M917491:N917515 JI917433:JJ917457 TE917433:TF917457 ADA917433:ADB917457 AMW917433:AMX917457 AWS917433:AWT917457 BGO917433:BGP917457 BQK917433:BQL917457 CAG917433:CAH917457 CKC917433:CKD917457 CTY917433:CTZ917457 DDU917433:DDV917457 DNQ917433:DNR917457 DXM917433:DXN917457 EHI917433:EHJ917457 ERE917433:ERF917457 FBA917433:FBB917457 FKW917433:FKX917457 FUS917433:FUT917457 GEO917433:GEP917457 GOK917433:GOL917457 GYG917433:GYH917457 HIC917433:HID917457 HRY917433:HRZ917457 IBU917433:IBV917457 ILQ917433:ILR917457 IVM917433:IVN917457 JFI917433:JFJ917457 JPE917433:JPF917457 JZA917433:JZB917457 KIW917433:KIX917457 KSS917433:KST917457 LCO917433:LCP917457 LMK917433:LML917457 LWG917433:LWH917457 MGC917433:MGD917457 MPY917433:MPZ917457 MZU917433:MZV917457 NJQ917433:NJR917457 NTM917433:NTN917457 ODI917433:ODJ917457 ONE917433:ONF917457 OXA917433:OXB917457 PGW917433:PGX917457 PQS917433:PQT917457 QAO917433:QAP917457 QKK917433:QKL917457 QUG917433:QUH917457 REC917433:RED917457 RNY917433:RNZ917457 RXU917433:RXV917457 SHQ917433:SHR917457 SRM917433:SRN917457 TBI917433:TBJ917457 TLE917433:TLF917457 TVA917433:TVB917457 UEW917433:UEX917457 UOS917433:UOT917457 UYO917433:UYP917457 VIK917433:VIL917457 VSG917433:VSH917457 WCC917433:WCD917457 WLY917433:WLZ917457 WVU917433:WVV917457 M983027:N983051 JI982969:JJ982993 TE982969:TF982993 ADA982969:ADB982993 AMW982969:AMX982993 AWS982969:AWT982993 BGO982969:BGP982993 BQK982969:BQL982993 CAG982969:CAH982993 CKC982969:CKD982993 CTY982969:CTZ982993 DDU982969:DDV982993 DNQ982969:DNR982993 DXM982969:DXN982993 EHI982969:EHJ982993 ERE982969:ERF982993 FBA982969:FBB982993 FKW982969:FKX982993 FUS982969:FUT982993 GEO982969:GEP982993 GOK982969:GOL982993 GYG982969:GYH982993 HIC982969:HID982993 HRY982969:HRZ982993 IBU982969:IBV982993 ILQ982969:ILR982993 IVM982969:IVN982993 JFI982969:JFJ982993 JPE982969:JPF982993 JZA982969:JZB982993 KIW982969:KIX982993 KSS982969:KST982993 LCO982969:LCP982993 LMK982969:LML982993 LWG982969:LWH982993 MGC982969:MGD982993 MPY982969:MPZ982993 MZU982969:MZV982993 NJQ982969:NJR982993 NTM982969:NTN982993 ODI982969:ODJ982993 ONE982969:ONF982993 OXA982969:OXB982993 PGW982969:PGX982993 PQS982969:PQT982993 QAO982969:QAP982993 QKK982969:QKL982993 QUG982969:QUH982993 REC982969:RED982993 RNY982969:RNZ982993 RXU982969:RXV982993 SHQ982969:SHR982993 SRM982969:SRN982993 TBI982969:TBJ982993 TLE982969:TLF982993 TVA982969:TVB982993 UEW982969:UEX982993 UOS982969:UOT982993 UYO982969:UYP982993 VIK982969:VIL982993 VSG982969:VSH982993 WCC982969:WCD982993 WLY982969:WLZ982993 WVU982969:WVV982993 M65523:N65547 WVV10:WVW1811 WLZ10:WMA1811 WCD10:WCE1811 VSH10:VSI1811 VIL10:VIM1811 UYP10:UYQ1811 UOT10:UOU1811 UEX10:UEY1811 TVB10:TVC1811 TLF10:TLG1811 TBJ10:TBK1811 SRN10:SRO1811 SHR10:SHS1811 RXV10:RXW1811 RNZ10:ROA1811 RED10:REE1811 QUH10:QUI1811 QKL10:QKM1811 QAP10:QAQ1811 PQT10:PQU1811 PGX10:PGY1811 OXB10:OXC1811 ONF10:ONG1811 ODJ10:ODK1811 NTN10:NTO1811 NJR10:NJS1811 MZV10:MZW1811 MPZ10:MQA1811 MGD10:MGE1811 LWH10:LWI1811 LML10:LMM1811 LCP10:LCQ1811 KST10:KSU1811 KIX10:KIY1811 JZB10:JZC1811 JPF10:JPG1811 JFJ10:JFK1811 IVN10:IVO1811 ILR10:ILS1811 IBV10:IBW1811 HRZ10:HSA1811 HID10:HIE1811 GYH10:GYI1811 GOL10:GOM1811 GEP10:GEQ1811 FUT10:FUU1811 FKX10:FKY1811 FBB10:FBC1811 ERF10:ERG1811 EHJ10:EHK1811 DXN10:DXO1811 DNR10:DNS1811 DDV10:DDW1811 CTZ10:CUA1811 CKD10:CKE1811 CAH10:CAI1811 BQL10:BQM1811 BGP10:BGQ1811 AWT10:AWU1811 AMX10:AMY1811 ADB10:ADC1811 TF10:TG1811 JJ10:JK1811" xr:uid="{00000000-0002-0000-2300-000002000000}"/>
    <dataValidation allowBlank="1" showInputMessage="1" showErrorMessage="1" prompt="Enter the co-pay amount the individual paid the contractor for the month in review" sqref="JK65465:JK65489 TG65465:TG65489 ADC65465:ADC65489 AMY65465:AMY65489 AWU65465:AWU65489 BGQ65465:BGQ65489 BQM65465:BQM65489 CAI65465:CAI65489 CKE65465:CKE65489 CUA65465:CUA65489 DDW65465:DDW65489 DNS65465:DNS65489 DXO65465:DXO65489 EHK65465:EHK65489 ERG65465:ERG65489 FBC65465:FBC65489 FKY65465:FKY65489 FUU65465:FUU65489 GEQ65465:GEQ65489 GOM65465:GOM65489 GYI65465:GYI65489 HIE65465:HIE65489 HSA65465:HSA65489 IBW65465:IBW65489 ILS65465:ILS65489 IVO65465:IVO65489 JFK65465:JFK65489 JPG65465:JPG65489 JZC65465:JZC65489 KIY65465:KIY65489 KSU65465:KSU65489 LCQ65465:LCQ65489 LMM65465:LMM65489 LWI65465:LWI65489 MGE65465:MGE65489 MQA65465:MQA65489 MZW65465:MZW65489 NJS65465:NJS65489 NTO65465:NTO65489 ODK65465:ODK65489 ONG65465:ONG65489 OXC65465:OXC65489 PGY65465:PGY65489 PQU65465:PQU65489 QAQ65465:QAQ65489 QKM65465:QKM65489 QUI65465:QUI65489 REE65465:REE65489 ROA65465:ROA65489 RXW65465:RXW65489 SHS65465:SHS65489 SRO65465:SRO65489 TBK65465:TBK65489 TLG65465:TLG65489 TVC65465:TVC65489 UEY65465:UEY65489 UOU65465:UOU65489 UYQ65465:UYQ65489 VIM65465:VIM65489 VSI65465:VSI65489 WCE65465:WCE65489 WMA65465:WMA65489 WVW65465:WVW65489 O131059:O131083 JK131001:JK131025 TG131001:TG131025 ADC131001:ADC131025 AMY131001:AMY131025 AWU131001:AWU131025 BGQ131001:BGQ131025 BQM131001:BQM131025 CAI131001:CAI131025 CKE131001:CKE131025 CUA131001:CUA131025 DDW131001:DDW131025 DNS131001:DNS131025 DXO131001:DXO131025 EHK131001:EHK131025 ERG131001:ERG131025 FBC131001:FBC131025 FKY131001:FKY131025 FUU131001:FUU131025 GEQ131001:GEQ131025 GOM131001:GOM131025 GYI131001:GYI131025 HIE131001:HIE131025 HSA131001:HSA131025 IBW131001:IBW131025 ILS131001:ILS131025 IVO131001:IVO131025 JFK131001:JFK131025 JPG131001:JPG131025 JZC131001:JZC131025 KIY131001:KIY131025 KSU131001:KSU131025 LCQ131001:LCQ131025 LMM131001:LMM131025 LWI131001:LWI131025 MGE131001:MGE131025 MQA131001:MQA131025 MZW131001:MZW131025 NJS131001:NJS131025 NTO131001:NTO131025 ODK131001:ODK131025 ONG131001:ONG131025 OXC131001:OXC131025 PGY131001:PGY131025 PQU131001:PQU131025 QAQ131001:QAQ131025 QKM131001:QKM131025 QUI131001:QUI131025 REE131001:REE131025 ROA131001:ROA131025 RXW131001:RXW131025 SHS131001:SHS131025 SRO131001:SRO131025 TBK131001:TBK131025 TLG131001:TLG131025 TVC131001:TVC131025 UEY131001:UEY131025 UOU131001:UOU131025 UYQ131001:UYQ131025 VIM131001:VIM131025 VSI131001:VSI131025 WCE131001:WCE131025 WMA131001:WMA131025 WVW131001:WVW131025 O196595:O196619 JK196537:JK196561 TG196537:TG196561 ADC196537:ADC196561 AMY196537:AMY196561 AWU196537:AWU196561 BGQ196537:BGQ196561 BQM196537:BQM196561 CAI196537:CAI196561 CKE196537:CKE196561 CUA196537:CUA196561 DDW196537:DDW196561 DNS196537:DNS196561 DXO196537:DXO196561 EHK196537:EHK196561 ERG196537:ERG196561 FBC196537:FBC196561 FKY196537:FKY196561 FUU196537:FUU196561 GEQ196537:GEQ196561 GOM196537:GOM196561 GYI196537:GYI196561 HIE196537:HIE196561 HSA196537:HSA196561 IBW196537:IBW196561 ILS196537:ILS196561 IVO196537:IVO196561 JFK196537:JFK196561 JPG196537:JPG196561 JZC196537:JZC196561 KIY196537:KIY196561 KSU196537:KSU196561 LCQ196537:LCQ196561 LMM196537:LMM196561 LWI196537:LWI196561 MGE196537:MGE196561 MQA196537:MQA196561 MZW196537:MZW196561 NJS196537:NJS196561 NTO196537:NTO196561 ODK196537:ODK196561 ONG196537:ONG196561 OXC196537:OXC196561 PGY196537:PGY196561 PQU196537:PQU196561 QAQ196537:QAQ196561 QKM196537:QKM196561 QUI196537:QUI196561 REE196537:REE196561 ROA196537:ROA196561 RXW196537:RXW196561 SHS196537:SHS196561 SRO196537:SRO196561 TBK196537:TBK196561 TLG196537:TLG196561 TVC196537:TVC196561 UEY196537:UEY196561 UOU196537:UOU196561 UYQ196537:UYQ196561 VIM196537:VIM196561 VSI196537:VSI196561 WCE196537:WCE196561 WMA196537:WMA196561 WVW196537:WVW196561 O262131:O262155 JK262073:JK262097 TG262073:TG262097 ADC262073:ADC262097 AMY262073:AMY262097 AWU262073:AWU262097 BGQ262073:BGQ262097 BQM262073:BQM262097 CAI262073:CAI262097 CKE262073:CKE262097 CUA262073:CUA262097 DDW262073:DDW262097 DNS262073:DNS262097 DXO262073:DXO262097 EHK262073:EHK262097 ERG262073:ERG262097 FBC262073:FBC262097 FKY262073:FKY262097 FUU262073:FUU262097 GEQ262073:GEQ262097 GOM262073:GOM262097 GYI262073:GYI262097 HIE262073:HIE262097 HSA262073:HSA262097 IBW262073:IBW262097 ILS262073:ILS262097 IVO262073:IVO262097 JFK262073:JFK262097 JPG262073:JPG262097 JZC262073:JZC262097 KIY262073:KIY262097 KSU262073:KSU262097 LCQ262073:LCQ262097 LMM262073:LMM262097 LWI262073:LWI262097 MGE262073:MGE262097 MQA262073:MQA262097 MZW262073:MZW262097 NJS262073:NJS262097 NTO262073:NTO262097 ODK262073:ODK262097 ONG262073:ONG262097 OXC262073:OXC262097 PGY262073:PGY262097 PQU262073:PQU262097 QAQ262073:QAQ262097 QKM262073:QKM262097 QUI262073:QUI262097 REE262073:REE262097 ROA262073:ROA262097 RXW262073:RXW262097 SHS262073:SHS262097 SRO262073:SRO262097 TBK262073:TBK262097 TLG262073:TLG262097 TVC262073:TVC262097 UEY262073:UEY262097 UOU262073:UOU262097 UYQ262073:UYQ262097 VIM262073:VIM262097 VSI262073:VSI262097 WCE262073:WCE262097 WMA262073:WMA262097 WVW262073:WVW262097 O327667:O327691 JK327609:JK327633 TG327609:TG327633 ADC327609:ADC327633 AMY327609:AMY327633 AWU327609:AWU327633 BGQ327609:BGQ327633 BQM327609:BQM327633 CAI327609:CAI327633 CKE327609:CKE327633 CUA327609:CUA327633 DDW327609:DDW327633 DNS327609:DNS327633 DXO327609:DXO327633 EHK327609:EHK327633 ERG327609:ERG327633 FBC327609:FBC327633 FKY327609:FKY327633 FUU327609:FUU327633 GEQ327609:GEQ327633 GOM327609:GOM327633 GYI327609:GYI327633 HIE327609:HIE327633 HSA327609:HSA327633 IBW327609:IBW327633 ILS327609:ILS327633 IVO327609:IVO327633 JFK327609:JFK327633 JPG327609:JPG327633 JZC327609:JZC327633 KIY327609:KIY327633 KSU327609:KSU327633 LCQ327609:LCQ327633 LMM327609:LMM327633 LWI327609:LWI327633 MGE327609:MGE327633 MQA327609:MQA327633 MZW327609:MZW327633 NJS327609:NJS327633 NTO327609:NTO327633 ODK327609:ODK327633 ONG327609:ONG327633 OXC327609:OXC327633 PGY327609:PGY327633 PQU327609:PQU327633 QAQ327609:QAQ327633 QKM327609:QKM327633 QUI327609:QUI327633 REE327609:REE327633 ROA327609:ROA327633 RXW327609:RXW327633 SHS327609:SHS327633 SRO327609:SRO327633 TBK327609:TBK327633 TLG327609:TLG327633 TVC327609:TVC327633 UEY327609:UEY327633 UOU327609:UOU327633 UYQ327609:UYQ327633 VIM327609:VIM327633 VSI327609:VSI327633 WCE327609:WCE327633 WMA327609:WMA327633 WVW327609:WVW327633 O393203:O393227 JK393145:JK393169 TG393145:TG393169 ADC393145:ADC393169 AMY393145:AMY393169 AWU393145:AWU393169 BGQ393145:BGQ393169 BQM393145:BQM393169 CAI393145:CAI393169 CKE393145:CKE393169 CUA393145:CUA393169 DDW393145:DDW393169 DNS393145:DNS393169 DXO393145:DXO393169 EHK393145:EHK393169 ERG393145:ERG393169 FBC393145:FBC393169 FKY393145:FKY393169 FUU393145:FUU393169 GEQ393145:GEQ393169 GOM393145:GOM393169 GYI393145:GYI393169 HIE393145:HIE393169 HSA393145:HSA393169 IBW393145:IBW393169 ILS393145:ILS393169 IVO393145:IVO393169 JFK393145:JFK393169 JPG393145:JPG393169 JZC393145:JZC393169 KIY393145:KIY393169 KSU393145:KSU393169 LCQ393145:LCQ393169 LMM393145:LMM393169 LWI393145:LWI393169 MGE393145:MGE393169 MQA393145:MQA393169 MZW393145:MZW393169 NJS393145:NJS393169 NTO393145:NTO393169 ODK393145:ODK393169 ONG393145:ONG393169 OXC393145:OXC393169 PGY393145:PGY393169 PQU393145:PQU393169 QAQ393145:QAQ393169 QKM393145:QKM393169 QUI393145:QUI393169 REE393145:REE393169 ROA393145:ROA393169 RXW393145:RXW393169 SHS393145:SHS393169 SRO393145:SRO393169 TBK393145:TBK393169 TLG393145:TLG393169 TVC393145:TVC393169 UEY393145:UEY393169 UOU393145:UOU393169 UYQ393145:UYQ393169 VIM393145:VIM393169 VSI393145:VSI393169 WCE393145:WCE393169 WMA393145:WMA393169 WVW393145:WVW393169 O458739:O458763 JK458681:JK458705 TG458681:TG458705 ADC458681:ADC458705 AMY458681:AMY458705 AWU458681:AWU458705 BGQ458681:BGQ458705 BQM458681:BQM458705 CAI458681:CAI458705 CKE458681:CKE458705 CUA458681:CUA458705 DDW458681:DDW458705 DNS458681:DNS458705 DXO458681:DXO458705 EHK458681:EHK458705 ERG458681:ERG458705 FBC458681:FBC458705 FKY458681:FKY458705 FUU458681:FUU458705 GEQ458681:GEQ458705 GOM458681:GOM458705 GYI458681:GYI458705 HIE458681:HIE458705 HSA458681:HSA458705 IBW458681:IBW458705 ILS458681:ILS458705 IVO458681:IVO458705 JFK458681:JFK458705 JPG458681:JPG458705 JZC458681:JZC458705 KIY458681:KIY458705 KSU458681:KSU458705 LCQ458681:LCQ458705 LMM458681:LMM458705 LWI458681:LWI458705 MGE458681:MGE458705 MQA458681:MQA458705 MZW458681:MZW458705 NJS458681:NJS458705 NTO458681:NTO458705 ODK458681:ODK458705 ONG458681:ONG458705 OXC458681:OXC458705 PGY458681:PGY458705 PQU458681:PQU458705 QAQ458681:QAQ458705 QKM458681:QKM458705 QUI458681:QUI458705 REE458681:REE458705 ROA458681:ROA458705 RXW458681:RXW458705 SHS458681:SHS458705 SRO458681:SRO458705 TBK458681:TBK458705 TLG458681:TLG458705 TVC458681:TVC458705 UEY458681:UEY458705 UOU458681:UOU458705 UYQ458681:UYQ458705 VIM458681:VIM458705 VSI458681:VSI458705 WCE458681:WCE458705 WMA458681:WMA458705 WVW458681:WVW458705 O524275:O524299 JK524217:JK524241 TG524217:TG524241 ADC524217:ADC524241 AMY524217:AMY524241 AWU524217:AWU524241 BGQ524217:BGQ524241 BQM524217:BQM524241 CAI524217:CAI524241 CKE524217:CKE524241 CUA524217:CUA524241 DDW524217:DDW524241 DNS524217:DNS524241 DXO524217:DXO524241 EHK524217:EHK524241 ERG524217:ERG524241 FBC524217:FBC524241 FKY524217:FKY524241 FUU524217:FUU524241 GEQ524217:GEQ524241 GOM524217:GOM524241 GYI524217:GYI524241 HIE524217:HIE524241 HSA524217:HSA524241 IBW524217:IBW524241 ILS524217:ILS524241 IVO524217:IVO524241 JFK524217:JFK524241 JPG524217:JPG524241 JZC524217:JZC524241 KIY524217:KIY524241 KSU524217:KSU524241 LCQ524217:LCQ524241 LMM524217:LMM524241 LWI524217:LWI524241 MGE524217:MGE524241 MQA524217:MQA524241 MZW524217:MZW524241 NJS524217:NJS524241 NTO524217:NTO524241 ODK524217:ODK524241 ONG524217:ONG524241 OXC524217:OXC524241 PGY524217:PGY524241 PQU524217:PQU524241 QAQ524217:QAQ524241 QKM524217:QKM524241 QUI524217:QUI524241 REE524217:REE524241 ROA524217:ROA524241 RXW524217:RXW524241 SHS524217:SHS524241 SRO524217:SRO524241 TBK524217:TBK524241 TLG524217:TLG524241 TVC524217:TVC524241 UEY524217:UEY524241 UOU524217:UOU524241 UYQ524217:UYQ524241 VIM524217:VIM524241 VSI524217:VSI524241 WCE524217:WCE524241 WMA524217:WMA524241 WVW524217:WVW524241 O589811:O589835 JK589753:JK589777 TG589753:TG589777 ADC589753:ADC589777 AMY589753:AMY589777 AWU589753:AWU589777 BGQ589753:BGQ589777 BQM589753:BQM589777 CAI589753:CAI589777 CKE589753:CKE589777 CUA589753:CUA589777 DDW589753:DDW589777 DNS589753:DNS589777 DXO589753:DXO589777 EHK589753:EHK589777 ERG589753:ERG589777 FBC589753:FBC589777 FKY589753:FKY589777 FUU589753:FUU589777 GEQ589753:GEQ589777 GOM589753:GOM589777 GYI589753:GYI589777 HIE589753:HIE589777 HSA589753:HSA589777 IBW589753:IBW589777 ILS589753:ILS589777 IVO589753:IVO589777 JFK589753:JFK589777 JPG589753:JPG589777 JZC589753:JZC589777 KIY589753:KIY589777 KSU589753:KSU589777 LCQ589753:LCQ589777 LMM589753:LMM589777 LWI589753:LWI589777 MGE589753:MGE589777 MQA589753:MQA589777 MZW589753:MZW589777 NJS589753:NJS589777 NTO589753:NTO589777 ODK589753:ODK589777 ONG589753:ONG589777 OXC589753:OXC589777 PGY589753:PGY589777 PQU589753:PQU589777 QAQ589753:QAQ589777 QKM589753:QKM589777 QUI589753:QUI589777 REE589753:REE589777 ROA589753:ROA589777 RXW589753:RXW589777 SHS589753:SHS589777 SRO589753:SRO589777 TBK589753:TBK589777 TLG589753:TLG589777 TVC589753:TVC589777 UEY589753:UEY589777 UOU589753:UOU589777 UYQ589753:UYQ589777 VIM589753:VIM589777 VSI589753:VSI589777 WCE589753:WCE589777 WMA589753:WMA589777 WVW589753:WVW589777 O655347:O655371 JK655289:JK655313 TG655289:TG655313 ADC655289:ADC655313 AMY655289:AMY655313 AWU655289:AWU655313 BGQ655289:BGQ655313 BQM655289:BQM655313 CAI655289:CAI655313 CKE655289:CKE655313 CUA655289:CUA655313 DDW655289:DDW655313 DNS655289:DNS655313 DXO655289:DXO655313 EHK655289:EHK655313 ERG655289:ERG655313 FBC655289:FBC655313 FKY655289:FKY655313 FUU655289:FUU655313 GEQ655289:GEQ655313 GOM655289:GOM655313 GYI655289:GYI655313 HIE655289:HIE655313 HSA655289:HSA655313 IBW655289:IBW655313 ILS655289:ILS655313 IVO655289:IVO655313 JFK655289:JFK655313 JPG655289:JPG655313 JZC655289:JZC655313 KIY655289:KIY655313 KSU655289:KSU655313 LCQ655289:LCQ655313 LMM655289:LMM655313 LWI655289:LWI655313 MGE655289:MGE655313 MQA655289:MQA655313 MZW655289:MZW655313 NJS655289:NJS655313 NTO655289:NTO655313 ODK655289:ODK655313 ONG655289:ONG655313 OXC655289:OXC655313 PGY655289:PGY655313 PQU655289:PQU655313 QAQ655289:QAQ655313 QKM655289:QKM655313 QUI655289:QUI655313 REE655289:REE655313 ROA655289:ROA655313 RXW655289:RXW655313 SHS655289:SHS655313 SRO655289:SRO655313 TBK655289:TBK655313 TLG655289:TLG655313 TVC655289:TVC655313 UEY655289:UEY655313 UOU655289:UOU655313 UYQ655289:UYQ655313 VIM655289:VIM655313 VSI655289:VSI655313 WCE655289:WCE655313 WMA655289:WMA655313 WVW655289:WVW655313 O720883:O720907 JK720825:JK720849 TG720825:TG720849 ADC720825:ADC720849 AMY720825:AMY720849 AWU720825:AWU720849 BGQ720825:BGQ720849 BQM720825:BQM720849 CAI720825:CAI720849 CKE720825:CKE720849 CUA720825:CUA720849 DDW720825:DDW720849 DNS720825:DNS720849 DXO720825:DXO720849 EHK720825:EHK720849 ERG720825:ERG720849 FBC720825:FBC720849 FKY720825:FKY720849 FUU720825:FUU720849 GEQ720825:GEQ720849 GOM720825:GOM720849 GYI720825:GYI720849 HIE720825:HIE720849 HSA720825:HSA720849 IBW720825:IBW720849 ILS720825:ILS720849 IVO720825:IVO720849 JFK720825:JFK720849 JPG720825:JPG720849 JZC720825:JZC720849 KIY720825:KIY720849 KSU720825:KSU720849 LCQ720825:LCQ720849 LMM720825:LMM720849 LWI720825:LWI720849 MGE720825:MGE720849 MQA720825:MQA720849 MZW720825:MZW720849 NJS720825:NJS720849 NTO720825:NTO720849 ODK720825:ODK720849 ONG720825:ONG720849 OXC720825:OXC720849 PGY720825:PGY720849 PQU720825:PQU720849 QAQ720825:QAQ720849 QKM720825:QKM720849 QUI720825:QUI720849 REE720825:REE720849 ROA720825:ROA720849 RXW720825:RXW720849 SHS720825:SHS720849 SRO720825:SRO720849 TBK720825:TBK720849 TLG720825:TLG720849 TVC720825:TVC720849 UEY720825:UEY720849 UOU720825:UOU720849 UYQ720825:UYQ720849 VIM720825:VIM720849 VSI720825:VSI720849 WCE720825:WCE720849 WMA720825:WMA720849 WVW720825:WVW720849 O786419:O786443 JK786361:JK786385 TG786361:TG786385 ADC786361:ADC786385 AMY786361:AMY786385 AWU786361:AWU786385 BGQ786361:BGQ786385 BQM786361:BQM786385 CAI786361:CAI786385 CKE786361:CKE786385 CUA786361:CUA786385 DDW786361:DDW786385 DNS786361:DNS786385 DXO786361:DXO786385 EHK786361:EHK786385 ERG786361:ERG786385 FBC786361:FBC786385 FKY786361:FKY786385 FUU786361:FUU786385 GEQ786361:GEQ786385 GOM786361:GOM786385 GYI786361:GYI786385 HIE786361:HIE786385 HSA786361:HSA786385 IBW786361:IBW786385 ILS786361:ILS786385 IVO786361:IVO786385 JFK786361:JFK786385 JPG786361:JPG786385 JZC786361:JZC786385 KIY786361:KIY786385 KSU786361:KSU786385 LCQ786361:LCQ786385 LMM786361:LMM786385 LWI786361:LWI786385 MGE786361:MGE786385 MQA786361:MQA786385 MZW786361:MZW786385 NJS786361:NJS786385 NTO786361:NTO786385 ODK786361:ODK786385 ONG786361:ONG786385 OXC786361:OXC786385 PGY786361:PGY786385 PQU786361:PQU786385 QAQ786361:QAQ786385 QKM786361:QKM786385 QUI786361:QUI786385 REE786361:REE786385 ROA786361:ROA786385 RXW786361:RXW786385 SHS786361:SHS786385 SRO786361:SRO786385 TBK786361:TBK786385 TLG786361:TLG786385 TVC786361:TVC786385 UEY786361:UEY786385 UOU786361:UOU786385 UYQ786361:UYQ786385 VIM786361:VIM786385 VSI786361:VSI786385 WCE786361:WCE786385 WMA786361:WMA786385 WVW786361:WVW786385 O851955:O851979 JK851897:JK851921 TG851897:TG851921 ADC851897:ADC851921 AMY851897:AMY851921 AWU851897:AWU851921 BGQ851897:BGQ851921 BQM851897:BQM851921 CAI851897:CAI851921 CKE851897:CKE851921 CUA851897:CUA851921 DDW851897:DDW851921 DNS851897:DNS851921 DXO851897:DXO851921 EHK851897:EHK851921 ERG851897:ERG851921 FBC851897:FBC851921 FKY851897:FKY851921 FUU851897:FUU851921 GEQ851897:GEQ851921 GOM851897:GOM851921 GYI851897:GYI851921 HIE851897:HIE851921 HSA851897:HSA851921 IBW851897:IBW851921 ILS851897:ILS851921 IVO851897:IVO851921 JFK851897:JFK851921 JPG851897:JPG851921 JZC851897:JZC851921 KIY851897:KIY851921 KSU851897:KSU851921 LCQ851897:LCQ851921 LMM851897:LMM851921 LWI851897:LWI851921 MGE851897:MGE851921 MQA851897:MQA851921 MZW851897:MZW851921 NJS851897:NJS851921 NTO851897:NTO851921 ODK851897:ODK851921 ONG851897:ONG851921 OXC851897:OXC851921 PGY851897:PGY851921 PQU851897:PQU851921 QAQ851897:QAQ851921 QKM851897:QKM851921 QUI851897:QUI851921 REE851897:REE851921 ROA851897:ROA851921 RXW851897:RXW851921 SHS851897:SHS851921 SRO851897:SRO851921 TBK851897:TBK851921 TLG851897:TLG851921 TVC851897:TVC851921 UEY851897:UEY851921 UOU851897:UOU851921 UYQ851897:UYQ851921 VIM851897:VIM851921 VSI851897:VSI851921 WCE851897:WCE851921 WMA851897:WMA851921 WVW851897:WVW851921 O917491:O917515 JK917433:JK917457 TG917433:TG917457 ADC917433:ADC917457 AMY917433:AMY917457 AWU917433:AWU917457 BGQ917433:BGQ917457 BQM917433:BQM917457 CAI917433:CAI917457 CKE917433:CKE917457 CUA917433:CUA917457 DDW917433:DDW917457 DNS917433:DNS917457 DXO917433:DXO917457 EHK917433:EHK917457 ERG917433:ERG917457 FBC917433:FBC917457 FKY917433:FKY917457 FUU917433:FUU917457 GEQ917433:GEQ917457 GOM917433:GOM917457 GYI917433:GYI917457 HIE917433:HIE917457 HSA917433:HSA917457 IBW917433:IBW917457 ILS917433:ILS917457 IVO917433:IVO917457 JFK917433:JFK917457 JPG917433:JPG917457 JZC917433:JZC917457 KIY917433:KIY917457 KSU917433:KSU917457 LCQ917433:LCQ917457 LMM917433:LMM917457 LWI917433:LWI917457 MGE917433:MGE917457 MQA917433:MQA917457 MZW917433:MZW917457 NJS917433:NJS917457 NTO917433:NTO917457 ODK917433:ODK917457 ONG917433:ONG917457 OXC917433:OXC917457 PGY917433:PGY917457 PQU917433:PQU917457 QAQ917433:QAQ917457 QKM917433:QKM917457 QUI917433:QUI917457 REE917433:REE917457 ROA917433:ROA917457 RXW917433:RXW917457 SHS917433:SHS917457 SRO917433:SRO917457 TBK917433:TBK917457 TLG917433:TLG917457 TVC917433:TVC917457 UEY917433:UEY917457 UOU917433:UOU917457 UYQ917433:UYQ917457 VIM917433:VIM917457 VSI917433:VSI917457 WCE917433:WCE917457 WMA917433:WMA917457 WVW917433:WVW917457 O983027:O983051 JK982969:JK982993 TG982969:TG982993 ADC982969:ADC982993 AMY982969:AMY982993 AWU982969:AWU982993 BGQ982969:BGQ982993 BQM982969:BQM982993 CAI982969:CAI982993 CKE982969:CKE982993 CUA982969:CUA982993 DDW982969:DDW982993 DNS982969:DNS982993 DXO982969:DXO982993 EHK982969:EHK982993 ERG982969:ERG982993 FBC982969:FBC982993 FKY982969:FKY982993 FUU982969:FUU982993 GEQ982969:GEQ982993 GOM982969:GOM982993 GYI982969:GYI982993 HIE982969:HIE982993 HSA982969:HSA982993 IBW982969:IBW982993 ILS982969:ILS982993 IVO982969:IVO982993 JFK982969:JFK982993 JPG982969:JPG982993 JZC982969:JZC982993 KIY982969:KIY982993 KSU982969:KSU982993 LCQ982969:LCQ982993 LMM982969:LMM982993 LWI982969:LWI982993 MGE982969:MGE982993 MQA982969:MQA982993 MZW982969:MZW982993 NJS982969:NJS982993 NTO982969:NTO982993 ODK982969:ODK982993 ONG982969:ONG982993 OXC982969:OXC982993 PGY982969:PGY982993 PQU982969:PQU982993 QAQ982969:QAQ982993 QKM982969:QKM982993 QUI982969:QUI982993 REE982969:REE982993 ROA982969:ROA982993 RXW982969:RXW982993 SHS982969:SHS982993 SRO982969:SRO982993 TBK982969:TBK982993 TLG982969:TLG982993 TVC982969:TVC982993 UEY982969:UEY982993 UOU982969:UOU982993 UYQ982969:UYQ982993 VIM982969:VIM982993 VSI982969:VSI982993 WCE982969:WCE982993 WMA982969:WMA982993 WVW982969:WVW982993 O65523:O65547 WVX10:WVX1811 WMB10:WMB1811 WCF10:WCF1811 VSJ10:VSJ1811 VIN10:VIN1811 UYR10:UYR1811 UOV10:UOV1811 UEZ10:UEZ1811 TVD10:TVD1811 TLH10:TLH1811 TBL10:TBL1811 SRP10:SRP1811 SHT10:SHT1811 RXX10:RXX1811 ROB10:ROB1811 REF10:REF1811 QUJ10:QUJ1811 QKN10:QKN1811 QAR10:QAR1811 PQV10:PQV1811 PGZ10:PGZ1811 OXD10:OXD1811 ONH10:ONH1811 ODL10:ODL1811 NTP10:NTP1811 NJT10:NJT1811 MZX10:MZX1811 MQB10:MQB1811 MGF10:MGF1811 LWJ10:LWJ1811 LMN10:LMN1811 LCR10:LCR1811 KSV10:KSV1811 KIZ10:KIZ1811 JZD10:JZD1811 JPH10:JPH1811 JFL10:JFL1811 IVP10:IVP1811 ILT10:ILT1811 IBX10:IBX1811 HSB10:HSB1811 HIF10:HIF1811 GYJ10:GYJ1811 GON10:GON1811 GER10:GER1811 FUV10:FUV1811 FKZ10:FKZ1811 FBD10:FBD1811 ERH10:ERH1811 EHL10:EHL1811 DXP10:DXP1811 DNT10:DNT1811 DDX10:DDX1811 CUB10:CUB1811 CKF10:CKF1811 CAJ10:CAJ1811 BQN10:BQN1811 BGR10:BGR1811 AWV10:AWV1811 AMZ10:AMZ1811 ADD10:ADD1811 TH10:TH1811 JL10:JL1811" xr:uid="{00000000-0002-0000-2300-000003000000}"/>
    <dataValidation allowBlank="1" showInputMessage="1" showErrorMessage="1" prompt="Enter the amount the individual paid the contractor for R&amp;B. Review contractor's documentation to verify R&amp;B amount._x000a_" sqref="JL65465:JM65489 TH65465:TI65489 ADD65465:ADE65489 AMZ65465:ANA65489 AWV65465:AWW65489 BGR65465:BGS65489 BQN65465:BQO65489 CAJ65465:CAK65489 CKF65465:CKG65489 CUB65465:CUC65489 DDX65465:DDY65489 DNT65465:DNU65489 DXP65465:DXQ65489 EHL65465:EHM65489 ERH65465:ERI65489 FBD65465:FBE65489 FKZ65465:FLA65489 FUV65465:FUW65489 GER65465:GES65489 GON65465:GOO65489 GYJ65465:GYK65489 HIF65465:HIG65489 HSB65465:HSC65489 IBX65465:IBY65489 ILT65465:ILU65489 IVP65465:IVQ65489 JFL65465:JFM65489 JPH65465:JPI65489 JZD65465:JZE65489 KIZ65465:KJA65489 KSV65465:KSW65489 LCR65465:LCS65489 LMN65465:LMO65489 LWJ65465:LWK65489 MGF65465:MGG65489 MQB65465:MQC65489 MZX65465:MZY65489 NJT65465:NJU65489 NTP65465:NTQ65489 ODL65465:ODM65489 ONH65465:ONI65489 OXD65465:OXE65489 PGZ65465:PHA65489 PQV65465:PQW65489 QAR65465:QAS65489 QKN65465:QKO65489 QUJ65465:QUK65489 REF65465:REG65489 ROB65465:ROC65489 RXX65465:RXY65489 SHT65465:SHU65489 SRP65465:SRQ65489 TBL65465:TBM65489 TLH65465:TLI65489 TVD65465:TVE65489 UEZ65465:UFA65489 UOV65465:UOW65489 UYR65465:UYS65489 VIN65465:VIO65489 VSJ65465:VSK65489 WCF65465:WCG65489 WMB65465:WMC65489 WVX65465:WVY65489 P131059:Q131083 JL131001:JM131025 TH131001:TI131025 ADD131001:ADE131025 AMZ131001:ANA131025 AWV131001:AWW131025 BGR131001:BGS131025 BQN131001:BQO131025 CAJ131001:CAK131025 CKF131001:CKG131025 CUB131001:CUC131025 DDX131001:DDY131025 DNT131001:DNU131025 DXP131001:DXQ131025 EHL131001:EHM131025 ERH131001:ERI131025 FBD131001:FBE131025 FKZ131001:FLA131025 FUV131001:FUW131025 GER131001:GES131025 GON131001:GOO131025 GYJ131001:GYK131025 HIF131001:HIG131025 HSB131001:HSC131025 IBX131001:IBY131025 ILT131001:ILU131025 IVP131001:IVQ131025 JFL131001:JFM131025 JPH131001:JPI131025 JZD131001:JZE131025 KIZ131001:KJA131025 KSV131001:KSW131025 LCR131001:LCS131025 LMN131001:LMO131025 LWJ131001:LWK131025 MGF131001:MGG131025 MQB131001:MQC131025 MZX131001:MZY131025 NJT131001:NJU131025 NTP131001:NTQ131025 ODL131001:ODM131025 ONH131001:ONI131025 OXD131001:OXE131025 PGZ131001:PHA131025 PQV131001:PQW131025 QAR131001:QAS131025 QKN131001:QKO131025 QUJ131001:QUK131025 REF131001:REG131025 ROB131001:ROC131025 RXX131001:RXY131025 SHT131001:SHU131025 SRP131001:SRQ131025 TBL131001:TBM131025 TLH131001:TLI131025 TVD131001:TVE131025 UEZ131001:UFA131025 UOV131001:UOW131025 UYR131001:UYS131025 VIN131001:VIO131025 VSJ131001:VSK131025 WCF131001:WCG131025 WMB131001:WMC131025 WVX131001:WVY131025 P196595:Q196619 JL196537:JM196561 TH196537:TI196561 ADD196537:ADE196561 AMZ196537:ANA196561 AWV196537:AWW196561 BGR196537:BGS196561 BQN196537:BQO196561 CAJ196537:CAK196561 CKF196537:CKG196561 CUB196537:CUC196561 DDX196537:DDY196561 DNT196537:DNU196561 DXP196537:DXQ196561 EHL196537:EHM196561 ERH196537:ERI196561 FBD196537:FBE196561 FKZ196537:FLA196561 FUV196537:FUW196561 GER196537:GES196561 GON196537:GOO196561 GYJ196537:GYK196561 HIF196537:HIG196561 HSB196537:HSC196561 IBX196537:IBY196561 ILT196537:ILU196561 IVP196537:IVQ196561 JFL196537:JFM196561 JPH196537:JPI196561 JZD196537:JZE196561 KIZ196537:KJA196561 KSV196537:KSW196561 LCR196537:LCS196561 LMN196537:LMO196561 LWJ196537:LWK196561 MGF196537:MGG196561 MQB196537:MQC196561 MZX196537:MZY196561 NJT196537:NJU196561 NTP196537:NTQ196561 ODL196537:ODM196561 ONH196537:ONI196561 OXD196537:OXE196561 PGZ196537:PHA196561 PQV196537:PQW196561 QAR196537:QAS196561 QKN196537:QKO196561 QUJ196537:QUK196561 REF196537:REG196561 ROB196537:ROC196561 RXX196537:RXY196561 SHT196537:SHU196561 SRP196537:SRQ196561 TBL196537:TBM196561 TLH196537:TLI196561 TVD196537:TVE196561 UEZ196537:UFA196561 UOV196537:UOW196561 UYR196537:UYS196561 VIN196537:VIO196561 VSJ196537:VSK196561 WCF196537:WCG196561 WMB196537:WMC196561 WVX196537:WVY196561 P262131:Q262155 JL262073:JM262097 TH262073:TI262097 ADD262073:ADE262097 AMZ262073:ANA262097 AWV262073:AWW262097 BGR262073:BGS262097 BQN262073:BQO262097 CAJ262073:CAK262097 CKF262073:CKG262097 CUB262073:CUC262097 DDX262073:DDY262097 DNT262073:DNU262097 DXP262073:DXQ262097 EHL262073:EHM262097 ERH262073:ERI262097 FBD262073:FBE262097 FKZ262073:FLA262097 FUV262073:FUW262097 GER262073:GES262097 GON262073:GOO262097 GYJ262073:GYK262097 HIF262073:HIG262097 HSB262073:HSC262097 IBX262073:IBY262097 ILT262073:ILU262097 IVP262073:IVQ262097 JFL262073:JFM262097 JPH262073:JPI262097 JZD262073:JZE262097 KIZ262073:KJA262097 KSV262073:KSW262097 LCR262073:LCS262097 LMN262073:LMO262097 LWJ262073:LWK262097 MGF262073:MGG262097 MQB262073:MQC262097 MZX262073:MZY262097 NJT262073:NJU262097 NTP262073:NTQ262097 ODL262073:ODM262097 ONH262073:ONI262097 OXD262073:OXE262097 PGZ262073:PHA262097 PQV262073:PQW262097 QAR262073:QAS262097 QKN262073:QKO262097 QUJ262073:QUK262097 REF262073:REG262097 ROB262073:ROC262097 RXX262073:RXY262097 SHT262073:SHU262097 SRP262073:SRQ262097 TBL262073:TBM262097 TLH262073:TLI262097 TVD262073:TVE262097 UEZ262073:UFA262097 UOV262073:UOW262097 UYR262073:UYS262097 VIN262073:VIO262097 VSJ262073:VSK262097 WCF262073:WCG262097 WMB262073:WMC262097 WVX262073:WVY262097 P327667:Q327691 JL327609:JM327633 TH327609:TI327633 ADD327609:ADE327633 AMZ327609:ANA327633 AWV327609:AWW327633 BGR327609:BGS327633 BQN327609:BQO327633 CAJ327609:CAK327633 CKF327609:CKG327633 CUB327609:CUC327633 DDX327609:DDY327633 DNT327609:DNU327633 DXP327609:DXQ327633 EHL327609:EHM327633 ERH327609:ERI327633 FBD327609:FBE327633 FKZ327609:FLA327633 FUV327609:FUW327633 GER327609:GES327633 GON327609:GOO327633 GYJ327609:GYK327633 HIF327609:HIG327633 HSB327609:HSC327633 IBX327609:IBY327633 ILT327609:ILU327633 IVP327609:IVQ327633 JFL327609:JFM327633 JPH327609:JPI327633 JZD327609:JZE327633 KIZ327609:KJA327633 KSV327609:KSW327633 LCR327609:LCS327633 LMN327609:LMO327633 LWJ327609:LWK327633 MGF327609:MGG327633 MQB327609:MQC327633 MZX327609:MZY327633 NJT327609:NJU327633 NTP327609:NTQ327633 ODL327609:ODM327633 ONH327609:ONI327633 OXD327609:OXE327633 PGZ327609:PHA327633 PQV327609:PQW327633 QAR327609:QAS327633 QKN327609:QKO327633 QUJ327609:QUK327633 REF327609:REG327633 ROB327609:ROC327633 RXX327609:RXY327633 SHT327609:SHU327633 SRP327609:SRQ327633 TBL327609:TBM327633 TLH327609:TLI327633 TVD327609:TVE327633 UEZ327609:UFA327633 UOV327609:UOW327633 UYR327609:UYS327633 VIN327609:VIO327633 VSJ327609:VSK327633 WCF327609:WCG327633 WMB327609:WMC327633 WVX327609:WVY327633 P393203:Q393227 JL393145:JM393169 TH393145:TI393169 ADD393145:ADE393169 AMZ393145:ANA393169 AWV393145:AWW393169 BGR393145:BGS393169 BQN393145:BQO393169 CAJ393145:CAK393169 CKF393145:CKG393169 CUB393145:CUC393169 DDX393145:DDY393169 DNT393145:DNU393169 DXP393145:DXQ393169 EHL393145:EHM393169 ERH393145:ERI393169 FBD393145:FBE393169 FKZ393145:FLA393169 FUV393145:FUW393169 GER393145:GES393169 GON393145:GOO393169 GYJ393145:GYK393169 HIF393145:HIG393169 HSB393145:HSC393169 IBX393145:IBY393169 ILT393145:ILU393169 IVP393145:IVQ393169 JFL393145:JFM393169 JPH393145:JPI393169 JZD393145:JZE393169 KIZ393145:KJA393169 KSV393145:KSW393169 LCR393145:LCS393169 LMN393145:LMO393169 LWJ393145:LWK393169 MGF393145:MGG393169 MQB393145:MQC393169 MZX393145:MZY393169 NJT393145:NJU393169 NTP393145:NTQ393169 ODL393145:ODM393169 ONH393145:ONI393169 OXD393145:OXE393169 PGZ393145:PHA393169 PQV393145:PQW393169 QAR393145:QAS393169 QKN393145:QKO393169 QUJ393145:QUK393169 REF393145:REG393169 ROB393145:ROC393169 RXX393145:RXY393169 SHT393145:SHU393169 SRP393145:SRQ393169 TBL393145:TBM393169 TLH393145:TLI393169 TVD393145:TVE393169 UEZ393145:UFA393169 UOV393145:UOW393169 UYR393145:UYS393169 VIN393145:VIO393169 VSJ393145:VSK393169 WCF393145:WCG393169 WMB393145:WMC393169 WVX393145:WVY393169 P458739:Q458763 JL458681:JM458705 TH458681:TI458705 ADD458681:ADE458705 AMZ458681:ANA458705 AWV458681:AWW458705 BGR458681:BGS458705 BQN458681:BQO458705 CAJ458681:CAK458705 CKF458681:CKG458705 CUB458681:CUC458705 DDX458681:DDY458705 DNT458681:DNU458705 DXP458681:DXQ458705 EHL458681:EHM458705 ERH458681:ERI458705 FBD458681:FBE458705 FKZ458681:FLA458705 FUV458681:FUW458705 GER458681:GES458705 GON458681:GOO458705 GYJ458681:GYK458705 HIF458681:HIG458705 HSB458681:HSC458705 IBX458681:IBY458705 ILT458681:ILU458705 IVP458681:IVQ458705 JFL458681:JFM458705 JPH458681:JPI458705 JZD458681:JZE458705 KIZ458681:KJA458705 KSV458681:KSW458705 LCR458681:LCS458705 LMN458681:LMO458705 LWJ458681:LWK458705 MGF458681:MGG458705 MQB458681:MQC458705 MZX458681:MZY458705 NJT458681:NJU458705 NTP458681:NTQ458705 ODL458681:ODM458705 ONH458681:ONI458705 OXD458681:OXE458705 PGZ458681:PHA458705 PQV458681:PQW458705 QAR458681:QAS458705 QKN458681:QKO458705 QUJ458681:QUK458705 REF458681:REG458705 ROB458681:ROC458705 RXX458681:RXY458705 SHT458681:SHU458705 SRP458681:SRQ458705 TBL458681:TBM458705 TLH458681:TLI458705 TVD458681:TVE458705 UEZ458681:UFA458705 UOV458681:UOW458705 UYR458681:UYS458705 VIN458681:VIO458705 VSJ458681:VSK458705 WCF458681:WCG458705 WMB458681:WMC458705 WVX458681:WVY458705 P524275:Q524299 JL524217:JM524241 TH524217:TI524241 ADD524217:ADE524241 AMZ524217:ANA524241 AWV524217:AWW524241 BGR524217:BGS524241 BQN524217:BQO524241 CAJ524217:CAK524241 CKF524217:CKG524241 CUB524217:CUC524241 DDX524217:DDY524241 DNT524217:DNU524241 DXP524217:DXQ524241 EHL524217:EHM524241 ERH524217:ERI524241 FBD524217:FBE524241 FKZ524217:FLA524241 FUV524217:FUW524241 GER524217:GES524241 GON524217:GOO524241 GYJ524217:GYK524241 HIF524217:HIG524241 HSB524217:HSC524241 IBX524217:IBY524241 ILT524217:ILU524241 IVP524217:IVQ524241 JFL524217:JFM524241 JPH524217:JPI524241 JZD524217:JZE524241 KIZ524217:KJA524241 KSV524217:KSW524241 LCR524217:LCS524241 LMN524217:LMO524241 LWJ524217:LWK524241 MGF524217:MGG524241 MQB524217:MQC524241 MZX524217:MZY524241 NJT524217:NJU524241 NTP524217:NTQ524241 ODL524217:ODM524241 ONH524217:ONI524241 OXD524217:OXE524241 PGZ524217:PHA524241 PQV524217:PQW524241 QAR524217:QAS524241 QKN524217:QKO524241 QUJ524217:QUK524241 REF524217:REG524241 ROB524217:ROC524241 RXX524217:RXY524241 SHT524217:SHU524241 SRP524217:SRQ524241 TBL524217:TBM524241 TLH524217:TLI524241 TVD524217:TVE524241 UEZ524217:UFA524241 UOV524217:UOW524241 UYR524217:UYS524241 VIN524217:VIO524241 VSJ524217:VSK524241 WCF524217:WCG524241 WMB524217:WMC524241 WVX524217:WVY524241 P589811:Q589835 JL589753:JM589777 TH589753:TI589777 ADD589753:ADE589777 AMZ589753:ANA589777 AWV589753:AWW589777 BGR589753:BGS589777 BQN589753:BQO589777 CAJ589753:CAK589777 CKF589753:CKG589777 CUB589753:CUC589777 DDX589753:DDY589777 DNT589753:DNU589777 DXP589753:DXQ589777 EHL589753:EHM589777 ERH589753:ERI589777 FBD589753:FBE589777 FKZ589753:FLA589777 FUV589753:FUW589777 GER589753:GES589777 GON589753:GOO589777 GYJ589753:GYK589777 HIF589753:HIG589777 HSB589753:HSC589777 IBX589753:IBY589777 ILT589753:ILU589777 IVP589753:IVQ589777 JFL589753:JFM589777 JPH589753:JPI589777 JZD589753:JZE589777 KIZ589753:KJA589777 KSV589753:KSW589777 LCR589753:LCS589777 LMN589753:LMO589777 LWJ589753:LWK589777 MGF589753:MGG589777 MQB589753:MQC589777 MZX589753:MZY589777 NJT589753:NJU589777 NTP589753:NTQ589777 ODL589753:ODM589777 ONH589753:ONI589777 OXD589753:OXE589777 PGZ589753:PHA589777 PQV589753:PQW589777 QAR589753:QAS589777 QKN589753:QKO589777 QUJ589753:QUK589777 REF589753:REG589777 ROB589753:ROC589777 RXX589753:RXY589777 SHT589753:SHU589777 SRP589753:SRQ589777 TBL589753:TBM589777 TLH589753:TLI589777 TVD589753:TVE589777 UEZ589753:UFA589777 UOV589753:UOW589777 UYR589753:UYS589777 VIN589753:VIO589777 VSJ589753:VSK589777 WCF589753:WCG589777 WMB589753:WMC589777 WVX589753:WVY589777 P655347:Q655371 JL655289:JM655313 TH655289:TI655313 ADD655289:ADE655313 AMZ655289:ANA655313 AWV655289:AWW655313 BGR655289:BGS655313 BQN655289:BQO655313 CAJ655289:CAK655313 CKF655289:CKG655313 CUB655289:CUC655313 DDX655289:DDY655313 DNT655289:DNU655313 DXP655289:DXQ655313 EHL655289:EHM655313 ERH655289:ERI655313 FBD655289:FBE655313 FKZ655289:FLA655313 FUV655289:FUW655313 GER655289:GES655313 GON655289:GOO655313 GYJ655289:GYK655313 HIF655289:HIG655313 HSB655289:HSC655313 IBX655289:IBY655313 ILT655289:ILU655313 IVP655289:IVQ655313 JFL655289:JFM655313 JPH655289:JPI655313 JZD655289:JZE655313 KIZ655289:KJA655313 KSV655289:KSW655313 LCR655289:LCS655313 LMN655289:LMO655313 LWJ655289:LWK655313 MGF655289:MGG655313 MQB655289:MQC655313 MZX655289:MZY655313 NJT655289:NJU655313 NTP655289:NTQ655313 ODL655289:ODM655313 ONH655289:ONI655313 OXD655289:OXE655313 PGZ655289:PHA655313 PQV655289:PQW655313 QAR655289:QAS655313 QKN655289:QKO655313 QUJ655289:QUK655313 REF655289:REG655313 ROB655289:ROC655313 RXX655289:RXY655313 SHT655289:SHU655313 SRP655289:SRQ655313 TBL655289:TBM655313 TLH655289:TLI655313 TVD655289:TVE655313 UEZ655289:UFA655313 UOV655289:UOW655313 UYR655289:UYS655313 VIN655289:VIO655313 VSJ655289:VSK655313 WCF655289:WCG655313 WMB655289:WMC655313 WVX655289:WVY655313 P720883:Q720907 JL720825:JM720849 TH720825:TI720849 ADD720825:ADE720849 AMZ720825:ANA720849 AWV720825:AWW720849 BGR720825:BGS720849 BQN720825:BQO720849 CAJ720825:CAK720849 CKF720825:CKG720849 CUB720825:CUC720849 DDX720825:DDY720849 DNT720825:DNU720849 DXP720825:DXQ720849 EHL720825:EHM720849 ERH720825:ERI720849 FBD720825:FBE720849 FKZ720825:FLA720849 FUV720825:FUW720849 GER720825:GES720849 GON720825:GOO720849 GYJ720825:GYK720849 HIF720825:HIG720849 HSB720825:HSC720849 IBX720825:IBY720849 ILT720825:ILU720849 IVP720825:IVQ720849 JFL720825:JFM720849 JPH720825:JPI720849 JZD720825:JZE720849 KIZ720825:KJA720849 KSV720825:KSW720849 LCR720825:LCS720849 LMN720825:LMO720849 LWJ720825:LWK720849 MGF720825:MGG720849 MQB720825:MQC720849 MZX720825:MZY720849 NJT720825:NJU720849 NTP720825:NTQ720849 ODL720825:ODM720849 ONH720825:ONI720849 OXD720825:OXE720849 PGZ720825:PHA720849 PQV720825:PQW720849 QAR720825:QAS720849 QKN720825:QKO720849 QUJ720825:QUK720849 REF720825:REG720849 ROB720825:ROC720849 RXX720825:RXY720849 SHT720825:SHU720849 SRP720825:SRQ720849 TBL720825:TBM720849 TLH720825:TLI720849 TVD720825:TVE720849 UEZ720825:UFA720849 UOV720825:UOW720849 UYR720825:UYS720849 VIN720825:VIO720849 VSJ720825:VSK720849 WCF720825:WCG720849 WMB720825:WMC720849 WVX720825:WVY720849 P786419:Q786443 JL786361:JM786385 TH786361:TI786385 ADD786361:ADE786385 AMZ786361:ANA786385 AWV786361:AWW786385 BGR786361:BGS786385 BQN786361:BQO786385 CAJ786361:CAK786385 CKF786361:CKG786385 CUB786361:CUC786385 DDX786361:DDY786385 DNT786361:DNU786385 DXP786361:DXQ786385 EHL786361:EHM786385 ERH786361:ERI786385 FBD786361:FBE786385 FKZ786361:FLA786385 FUV786361:FUW786385 GER786361:GES786385 GON786361:GOO786385 GYJ786361:GYK786385 HIF786361:HIG786385 HSB786361:HSC786385 IBX786361:IBY786385 ILT786361:ILU786385 IVP786361:IVQ786385 JFL786361:JFM786385 JPH786361:JPI786385 JZD786361:JZE786385 KIZ786361:KJA786385 KSV786361:KSW786385 LCR786361:LCS786385 LMN786361:LMO786385 LWJ786361:LWK786385 MGF786361:MGG786385 MQB786361:MQC786385 MZX786361:MZY786385 NJT786361:NJU786385 NTP786361:NTQ786385 ODL786361:ODM786385 ONH786361:ONI786385 OXD786361:OXE786385 PGZ786361:PHA786385 PQV786361:PQW786385 QAR786361:QAS786385 QKN786361:QKO786385 QUJ786361:QUK786385 REF786361:REG786385 ROB786361:ROC786385 RXX786361:RXY786385 SHT786361:SHU786385 SRP786361:SRQ786385 TBL786361:TBM786385 TLH786361:TLI786385 TVD786361:TVE786385 UEZ786361:UFA786385 UOV786361:UOW786385 UYR786361:UYS786385 VIN786361:VIO786385 VSJ786361:VSK786385 WCF786361:WCG786385 WMB786361:WMC786385 WVX786361:WVY786385 P851955:Q851979 JL851897:JM851921 TH851897:TI851921 ADD851897:ADE851921 AMZ851897:ANA851921 AWV851897:AWW851921 BGR851897:BGS851921 BQN851897:BQO851921 CAJ851897:CAK851921 CKF851897:CKG851921 CUB851897:CUC851921 DDX851897:DDY851921 DNT851897:DNU851921 DXP851897:DXQ851921 EHL851897:EHM851921 ERH851897:ERI851921 FBD851897:FBE851921 FKZ851897:FLA851921 FUV851897:FUW851921 GER851897:GES851921 GON851897:GOO851921 GYJ851897:GYK851921 HIF851897:HIG851921 HSB851897:HSC851921 IBX851897:IBY851921 ILT851897:ILU851921 IVP851897:IVQ851921 JFL851897:JFM851921 JPH851897:JPI851921 JZD851897:JZE851921 KIZ851897:KJA851921 KSV851897:KSW851921 LCR851897:LCS851921 LMN851897:LMO851921 LWJ851897:LWK851921 MGF851897:MGG851921 MQB851897:MQC851921 MZX851897:MZY851921 NJT851897:NJU851921 NTP851897:NTQ851921 ODL851897:ODM851921 ONH851897:ONI851921 OXD851897:OXE851921 PGZ851897:PHA851921 PQV851897:PQW851921 QAR851897:QAS851921 QKN851897:QKO851921 QUJ851897:QUK851921 REF851897:REG851921 ROB851897:ROC851921 RXX851897:RXY851921 SHT851897:SHU851921 SRP851897:SRQ851921 TBL851897:TBM851921 TLH851897:TLI851921 TVD851897:TVE851921 UEZ851897:UFA851921 UOV851897:UOW851921 UYR851897:UYS851921 VIN851897:VIO851921 VSJ851897:VSK851921 WCF851897:WCG851921 WMB851897:WMC851921 WVX851897:WVY851921 P917491:Q917515 JL917433:JM917457 TH917433:TI917457 ADD917433:ADE917457 AMZ917433:ANA917457 AWV917433:AWW917457 BGR917433:BGS917457 BQN917433:BQO917457 CAJ917433:CAK917457 CKF917433:CKG917457 CUB917433:CUC917457 DDX917433:DDY917457 DNT917433:DNU917457 DXP917433:DXQ917457 EHL917433:EHM917457 ERH917433:ERI917457 FBD917433:FBE917457 FKZ917433:FLA917457 FUV917433:FUW917457 GER917433:GES917457 GON917433:GOO917457 GYJ917433:GYK917457 HIF917433:HIG917457 HSB917433:HSC917457 IBX917433:IBY917457 ILT917433:ILU917457 IVP917433:IVQ917457 JFL917433:JFM917457 JPH917433:JPI917457 JZD917433:JZE917457 KIZ917433:KJA917457 KSV917433:KSW917457 LCR917433:LCS917457 LMN917433:LMO917457 LWJ917433:LWK917457 MGF917433:MGG917457 MQB917433:MQC917457 MZX917433:MZY917457 NJT917433:NJU917457 NTP917433:NTQ917457 ODL917433:ODM917457 ONH917433:ONI917457 OXD917433:OXE917457 PGZ917433:PHA917457 PQV917433:PQW917457 QAR917433:QAS917457 QKN917433:QKO917457 QUJ917433:QUK917457 REF917433:REG917457 ROB917433:ROC917457 RXX917433:RXY917457 SHT917433:SHU917457 SRP917433:SRQ917457 TBL917433:TBM917457 TLH917433:TLI917457 TVD917433:TVE917457 UEZ917433:UFA917457 UOV917433:UOW917457 UYR917433:UYS917457 VIN917433:VIO917457 VSJ917433:VSK917457 WCF917433:WCG917457 WMB917433:WMC917457 WVX917433:WVY917457 P983027:Q983051 JL982969:JM982993 TH982969:TI982993 ADD982969:ADE982993 AMZ982969:ANA982993 AWV982969:AWW982993 BGR982969:BGS982993 BQN982969:BQO982993 CAJ982969:CAK982993 CKF982969:CKG982993 CUB982969:CUC982993 DDX982969:DDY982993 DNT982969:DNU982993 DXP982969:DXQ982993 EHL982969:EHM982993 ERH982969:ERI982993 FBD982969:FBE982993 FKZ982969:FLA982993 FUV982969:FUW982993 GER982969:GES982993 GON982969:GOO982993 GYJ982969:GYK982993 HIF982969:HIG982993 HSB982969:HSC982993 IBX982969:IBY982993 ILT982969:ILU982993 IVP982969:IVQ982993 JFL982969:JFM982993 JPH982969:JPI982993 JZD982969:JZE982993 KIZ982969:KJA982993 KSV982969:KSW982993 LCR982969:LCS982993 LMN982969:LMO982993 LWJ982969:LWK982993 MGF982969:MGG982993 MQB982969:MQC982993 MZX982969:MZY982993 NJT982969:NJU982993 NTP982969:NTQ982993 ODL982969:ODM982993 ONH982969:ONI982993 OXD982969:OXE982993 PGZ982969:PHA982993 PQV982969:PQW982993 QAR982969:QAS982993 QKN982969:QKO982993 QUJ982969:QUK982993 REF982969:REG982993 ROB982969:ROC982993 RXX982969:RXY982993 SHT982969:SHU982993 SRP982969:SRQ982993 TBL982969:TBM982993 TLH982969:TLI982993 TVD982969:TVE982993 UEZ982969:UFA982993 UOV982969:UOW982993 UYR982969:UYS982993 VIN982969:VIO982993 VSJ982969:VSK982993 WCF982969:WCG982993 WMB982969:WMC982993 WVX982969:WVY982993 P65523:Q65547 WVY10:WVZ1811 WMC10:WMD1811 WCG10:WCH1811 VSK10:VSL1811 VIO10:VIP1811 UYS10:UYT1811 UOW10:UOX1811 UFA10:UFB1811 TVE10:TVF1811 TLI10:TLJ1811 TBM10:TBN1811 SRQ10:SRR1811 SHU10:SHV1811 RXY10:RXZ1811 ROC10:ROD1811 REG10:REH1811 QUK10:QUL1811 QKO10:QKP1811 QAS10:QAT1811 PQW10:PQX1811 PHA10:PHB1811 OXE10:OXF1811 ONI10:ONJ1811 ODM10:ODN1811 NTQ10:NTR1811 NJU10:NJV1811 MZY10:MZZ1811 MQC10:MQD1811 MGG10:MGH1811 LWK10:LWL1811 LMO10:LMP1811 LCS10:LCT1811 KSW10:KSX1811 KJA10:KJB1811 JZE10:JZF1811 JPI10:JPJ1811 JFM10:JFN1811 IVQ10:IVR1811 ILU10:ILV1811 IBY10:IBZ1811 HSC10:HSD1811 HIG10:HIH1811 GYK10:GYL1811 GOO10:GOP1811 GES10:GET1811 FUW10:FUX1811 FLA10:FLB1811 FBE10:FBF1811 ERI10:ERJ1811 EHM10:EHN1811 DXQ10:DXR1811 DNU10:DNV1811 DDY10:DDZ1811 CUC10:CUD1811 CKG10:CKH1811 CAK10:CAL1811 BQO10:BQP1811 BGS10:BGT1811 AWW10:AWX1811 ANA10:ANB1811 ADE10:ADF1811 TI10:TJ1811 JM10:JN1811" xr:uid="{00000000-0002-0000-2300-000004000000}"/>
    <dataValidation allowBlank="1" showInputMessage="1" showErrorMessage="1" prompt="Enter the number of billable/documented units/days from daily census. For CBA, CCAD or ICM refer to F3251, for CWP refer to F2213" sqref="JN65465:JN65489 TJ65465:TJ65489 ADF65465:ADF65489 ANB65465:ANB65489 AWX65465:AWX65489 BGT65465:BGT65489 BQP65465:BQP65489 CAL65465:CAL65489 CKH65465:CKH65489 CUD65465:CUD65489 DDZ65465:DDZ65489 DNV65465:DNV65489 DXR65465:DXR65489 EHN65465:EHN65489 ERJ65465:ERJ65489 FBF65465:FBF65489 FLB65465:FLB65489 FUX65465:FUX65489 GET65465:GET65489 GOP65465:GOP65489 GYL65465:GYL65489 HIH65465:HIH65489 HSD65465:HSD65489 IBZ65465:IBZ65489 ILV65465:ILV65489 IVR65465:IVR65489 JFN65465:JFN65489 JPJ65465:JPJ65489 JZF65465:JZF65489 KJB65465:KJB65489 KSX65465:KSX65489 LCT65465:LCT65489 LMP65465:LMP65489 LWL65465:LWL65489 MGH65465:MGH65489 MQD65465:MQD65489 MZZ65465:MZZ65489 NJV65465:NJV65489 NTR65465:NTR65489 ODN65465:ODN65489 ONJ65465:ONJ65489 OXF65465:OXF65489 PHB65465:PHB65489 PQX65465:PQX65489 QAT65465:QAT65489 QKP65465:QKP65489 QUL65465:QUL65489 REH65465:REH65489 ROD65465:ROD65489 RXZ65465:RXZ65489 SHV65465:SHV65489 SRR65465:SRR65489 TBN65465:TBN65489 TLJ65465:TLJ65489 TVF65465:TVF65489 UFB65465:UFB65489 UOX65465:UOX65489 UYT65465:UYT65489 VIP65465:VIP65489 VSL65465:VSL65489 WCH65465:WCH65489 WMD65465:WMD65489 WVZ65465:WVZ65489 R131030:R131054 JN131001:JN131025 TJ131001:TJ131025 ADF131001:ADF131025 ANB131001:ANB131025 AWX131001:AWX131025 BGT131001:BGT131025 BQP131001:BQP131025 CAL131001:CAL131025 CKH131001:CKH131025 CUD131001:CUD131025 DDZ131001:DDZ131025 DNV131001:DNV131025 DXR131001:DXR131025 EHN131001:EHN131025 ERJ131001:ERJ131025 FBF131001:FBF131025 FLB131001:FLB131025 FUX131001:FUX131025 GET131001:GET131025 GOP131001:GOP131025 GYL131001:GYL131025 HIH131001:HIH131025 HSD131001:HSD131025 IBZ131001:IBZ131025 ILV131001:ILV131025 IVR131001:IVR131025 JFN131001:JFN131025 JPJ131001:JPJ131025 JZF131001:JZF131025 KJB131001:KJB131025 KSX131001:KSX131025 LCT131001:LCT131025 LMP131001:LMP131025 LWL131001:LWL131025 MGH131001:MGH131025 MQD131001:MQD131025 MZZ131001:MZZ131025 NJV131001:NJV131025 NTR131001:NTR131025 ODN131001:ODN131025 ONJ131001:ONJ131025 OXF131001:OXF131025 PHB131001:PHB131025 PQX131001:PQX131025 QAT131001:QAT131025 QKP131001:QKP131025 QUL131001:QUL131025 REH131001:REH131025 ROD131001:ROD131025 RXZ131001:RXZ131025 SHV131001:SHV131025 SRR131001:SRR131025 TBN131001:TBN131025 TLJ131001:TLJ131025 TVF131001:TVF131025 UFB131001:UFB131025 UOX131001:UOX131025 UYT131001:UYT131025 VIP131001:VIP131025 VSL131001:VSL131025 WCH131001:WCH131025 WMD131001:WMD131025 WVZ131001:WVZ131025 R196566:R196590 JN196537:JN196561 TJ196537:TJ196561 ADF196537:ADF196561 ANB196537:ANB196561 AWX196537:AWX196561 BGT196537:BGT196561 BQP196537:BQP196561 CAL196537:CAL196561 CKH196537:CKH196561 CUD196537:CUD196561 DDZ196537:DDZ196561 DNV196537:DNV196561 DXR196537:DXR196561 EHN196537:EHN196561 ERJ196537:ERJ196561 FBF196537:FBF196561 FLB196537:FLB196561 FUX196537:FUX196561 GET196537:GET196561 GOP196537:GOP196561 GYL196537:GYL196561 HIH196537:HIH196561 HSD196537:HSD196561 IBZ196537:IBZ196561 ILV196537:ILV196561 IVR196537:IVR196561 JFN196537:JFN196561 JPJ196537:JPJ196561 JZF196537:JZF196561 KJB196537:KJB196561 KSX196537:KSX196561 LCT196537:LCT196561 LMP196537:LMP196561 LWL196537:LWL196561 MGH196537:MGH196561 MQD196537:MQD196561 MZZ196537:MZZ196561 NJV196537:NJV196561 NTR196537:NTR196561 ODN196537:ODN196561 ONJ196537:ONJ196561 OXF196537:OXF196561 PHB196537:PHB196561 PQX196537:PQX196561 QAT196537:QAT196561 QKP196537:QKP196561 QUL196537:QUL196561 REH196537:REH196561 ROD196537:ROD196561 RXZ196537:RXZ196561 SHV196537:SHV196561 SRR196537:SRR196561 TBN196537:TBN196561 TLJ196537:TLJ196561 TVF196537:TVF196561 UFB196537:UFB196561 UOX196537:UOX196561 UYT196537:UYT196561 VIP196537:VIP196561 VSL196537:VSL196561 WCH196537:WCH196561 WMD196537:WMD196561 WVZ196537:WVZ196561 R262102:R262126 JN262073:JN262097 TJ262073:TJ262097 ADF262073:ADF262097 ANB262073:ANB262097 AWX262073:AWX262097 BGT262073:BGT262097 BQP262073:BQP262097 CAL262073:CAL262097 CKH262073:CKH262097 CUD262073:CUD262097 DDZ262073:DDZ262097 DNV262073:DNV262097 DXR262073:DXR262097 EHN262073:EHN262097 ERJ262073:ERJ262097 FBF262073:FBF262097 FLB262073:FLB262097 FUX262073:FUX262097 GET262073:GET262097 GOP262073:GOP262097 GYL262073:GYL262097 HIH262073:HIH262097 HSD262073:HSD262097 IBZ262073:IBZ262097 ILV262073:ILV262097 IVR262073:IVR262097 JFN262073:JFN262097 JPJ262073:JPJ262097 JZF262073:JZF262097 KJB262073:KJB262097 KSX262073:KSX262097 LCT262073:LCT262097 LMP262073:LMP262097 LWL262073:LWL262097 MGH262073:MGH262097 MQD262073:MQD262097 MZZ262073:MZZ262097 NJV262073:NJV262097 NTR262073:NTR262097 ODN262073:ODN262097 ONJ262073:ONJ262097 OXF262073:OXF262097 PHB262073:PHB262097 PQX262073:PQX262097 QAT262073:QAT262097 QKP262073:QKP262097 QUL262073:QUL262097 REH262073:REH262097 ROD262073:ROD262097 RXZ262073:RXZ262097 SHV262073:SHV262097 SRR262073:SRR262097 TBN262073:TBN262097 TLJ262073:TLJ262097 TVF262073:TVF262097 UFB262073:UFB262097 UOX262073:UOX262097 UYT262073:UYT262097 VIP262073:VIP262097 VSL262073:VSL262097 WCH262073:WCH262097 WMD262073:WMD262097 WVZ262073:WVZ262097 R327638:R327662 JN327609:JN327633 TJ327609:TJ327633 ADF327609:ADF327633 ANB327609:ANB327633 AWX327609:AWX327633 BGT327609:BGT327633 BQP327609:BQP327633 CAL327609:CAL327633 CKH327609:CKH327633 CUD327609:CUD327633 DDZ327609:DDZ327633 DNV327609:DNV327633 DXR327609:DXR327633 EHN327609:EHN327633 ERJ327609:ERJ327633 FBF327609:FBF327633 FLB327609:FLB327633 FUX327609:FUX327633 GET327609:GET327633 GOP327609:GOP327633 GYL327609:GYL327633 HIH327609:HIH327633 HSD327609:HSD327633 IBZ327609:IBZ327633 ILV327609:ILV327633 IVR327609:IVR327633 JFN327609:JFN327633 JPJ327609:JPJ327633 JZF327609:JZF327633 KJB327609:KJB327633 KSX327609:KSX327633 LCT327609:LCT327633 LMP327609:LMP327633 LWL327609:LWL327633 MGH327609:MGH327633 MQD327609:MQD327633 MZZ327609:MZZ327633 NJV327609:NJV327633 NTR327609:NTR327633 ODN327609:ODN327633 ONJ327609:ONJ327633 OXF327609:OXF327633 PHB327609:PHB327633 PQX327609:PQX327633 QAT327609:QAT327633 QKP327609:QKP327633 QUL327609:QUL327633 REH327609:REH327633 ROD327609:ROD327633 RXZ327609:RXZ327633 SHV327609:SHV327633 SRR327609:SRR327633 TBN327609:TBN327633 TLJ327609:TLJ327633 TVF327609:TVF327633 UFB327609:UFB327633 UOX327609:UOX327633 UYT327609:UYT327633 VIP327609:VIP327633 VSL327609:VSL327633 WCH327609:WCH327633 WMD327609:WMD327633 WVZ327609:WVZ327633 R393174:R393198 JN393145:JN393169 TJ393145:TJ393169 ADF393145:ADF393169 ANB393145:ANB393169 AWX393145:AWX393169 BGT393145:BGT393169 BQP393145:BQP393169 CAL393145:CAL393169 CKH393145:CKH393169 CUD393145:CUD393169 DDZ393145:DDZ393169 DNV393145:DNV393169 DXR393145:DXR393169 EHN393145:EHN393169 ERJ393145:ERJ393169 FBF393145:FBF393169 FLB393145:FLB393169 FUX393145:FUX393169 GET393145:GET393169 GOP393145:GOP393169 GYL393145:GYL393169 HIH393145:HIH393169 HSD393145:HSD393169 IBZ393145:IBZ393169 ILV393145:ILV393169 IVR393145:IVR393169 JFN393145:JFN393169 JPJ393145:JPJ393169 JZF393145:JZF393169 KJB393145:KJB393169 KSX393145:KSX393169 LCT393145:LCT393169 LMP393145:LMP393169 LWL393145:LWL393169 MGH393145:MGH393169 MQD393145:MQD393169 MZZ393145:MZZ393169 NJV393145:NJV393169 NTR393145:NTR393169 ODN393145:ODN393169 ONJ393145:ONJ393169 OXF393145:OXF393169 PHB393145:PHB393169 PQX393145:PQX393169 QAT393145:QAT393169 QKP393145:QKP393169 QUL393145:QUL393169 REH393145:REH393169 ROD393145:ROD393169 RXZ393145:RXZ393169 SHV393145:SHV393169 SRR393145:SRR393169 TBN393145:TBN393169 TLJ393145:TLJ393169 TVF393145:TVF393169 UFB393145:UFB393169 UOX393145:UOX393169 UYT393145:UYT393169 VIP393145:VIP393169 VSL393145:VSL393169 WCH393145:WCH393169 WMD393145:WMD393169 WVZ393145:WVZ393169 R458710:R458734 JN458681:JN458705 TJ458681:TJ458705 ADF458681:ADF458705 ANB458681:ANB458705 AWX458681:AWX458705 BGT458681:BGT458705 BQP458681:BQP458705 CAL458681:CAL458705 CKH458681:CKH458705 CUD458681:CUD458705 DDZ458681:DDZ458705 DNV458681:DNV458705 DXR458681:DXR458705 EHN458681:EHN458705 ERJ458681:ERJ458705 FBF458681:FBF458705 FLB458681:FLB458705 FUX458681:FUX458705 GET458681:GET458705 GOP458681:GOP458705 GYL458681:GYL458705 HIH458681:HIH458705 HSD458681:HSD458705 IBZ458681:IBZ458705 ILV458681:ILV458705 IVR458681:IVR458705 JFN458681:JFN458705 JPJ458681:JPJ458705 JZF458681:JZF458705 KJB458681:KJB458705 KSX458681:KSX458705 LCT458681:LCT458705 LMP458681:LMP458705 LWL458681:LWL458705 MGH458681:MGH458705 MQD458681:MQD458705 MZZ458681:MZZ458705 NJV458681:NJV458705 NTR458681:NTR458705 ODN458681:ODN458705 ONJ458681:ONJ458705 OXF458681:OXF458705 PHB458681:PHB458705 PQX458681:PQX458705 QAT458681:QAT458705 QKP458681:QKP458705 QUL458681:QUL458705 REH458681:REH458705 ROD458681:ROD458705 RXZ458681:RXZ458705 SHV458681:SHV458705 SRR458681:SRR458705 TBN458681:TBN458705 TLJ458681:TLJ458705 TVF458681:TVF458705 UFB458681:UFB458705 UOX458681:UOX458705 UYT458681:UYT458705 VIP458681:VIP458705 VSL458681:VSL458705 WCH458681:WCH458705 WMD458681:WMD458705 WVZ458681:WVZ458705 R524246:R524270 JN524217:JN524241 TJ524217:TJ524241 ADF524217:ADF524241 ANB524217:ANB524241 AWX524217:AWX524241 BGT524217:BGT524241 BQP524217:BQP524241 CAL524217:CAL524241 CKH524217:CKH524241 CUD524217:CUD524241 DDZ524217:DDZ524241 DNV524217:DNV524241 DXR524217:DXR524241 EHN524217:EHN524241 ERJ524217:ERJ524241 FBF524217:FBF524241 FLB524217:FLB524241 FUX524217:FUX524241 GET524217:GET524241 GOP524217:GOP524241 GYL524217:GYL524241 HIH524217:HIH524241 HSD524217:HSD524241 IBZ524217:IBZ524241 ILV524217:ILV524241 IVR524217:IVR524241 JFN524217:JFN524241 JPJ524217:JPJ524241 JZF524217:JZF524241 KJB524217:KJB524241 KSX524217:KSX524241 LCT524217:LCT524241 LMP524217:LMP524241 LWL524217:LWL524241 MGH524217:MGH524241 MQD524217:MQD524241 MZZ524217:MZZ524241 NJV524217:NJV524241 NTR524217:NTR524241 ODN524217:ODN524241 ONJ524217:ONJ524241 OXF524217:OXF524241 PHB524217:PHB524241 PQX524217:PQX524241 QAT524217:QAT524241 QKP524217:QKP524241 QUL524217:QUL524241 REH524217:REH524241 ROD524217:ROD524241 RXZ524217:RXZ524241 SHV524217:SHV524241 SRR524217:SRR524241 TBN524217:TBN524241 TLJ524217:TLJ524241 TVF524217:TVF524241 UFB524217:UFB524241 UOX524217:UOX524241 UYT524217:UYT524241 VIP524217:VIP524241 VSL524217:VSL524241 WCH524217:WCH524241 WMD524217:WMD524241 WVZ524217:WVZ524241 R589782:R589806 JN589753:JN589777 TJ589753:TJ589777 ADF589753:ADF589777 ANB589753:ANB589777 AWX589753:AWX589777 BGT589753:BGT589777 BQP589753:BQP589777 CAL589753:CAL589777 CKH589753:CKH589777 CUD589753:CUD589777 DDZ589753:DDZ589777 DNV589753:DNV589777 DXR589753:DXR589777 EHN589753:EHN589777 ERJ589753:ERJ589777 FBF589753:FBF589777 FLB589753:FLB589777 FUX589753:FUX589777 GET589753:GET589777 GOP589753:GOP589777 GYL589753:GYL589777 HIH589753:HIH589777 HSD589753:HSD589777 IBZ589753:IBZ589777 ILV589753:ILV589777 IVR589753:IVR589777 JFN589753:JFN589777 JPJ589753:JPJ589777 JZF589753:JZF589777 KJB589753:KJB589777 KSX589753:KSX589777 LCT589753:LCT589777 LMP589753:LMP589777 LWL589753:LWL589777 MGH589753:MGH589777 MQD589753:MQD589777 MZZ589753:MZZ589777 NJV589753:NJV589777 NTR589753:NTR589777 ODN589753:ODN589777 ONJ589753:ONJ589777 OXF589753:OXF589777 PHB589753:PHB589777 PQX589753:PQX589777 QAT589753:QAT589777 QKP589753:QKP589777 QUL589753:QUL589777 REH589753:REH589777 ROD589753:ROD589777 RXZ589753:RXZ589777 SHV589753:SHV589777 SRR589753:SRR589777 TBN589753:TBN589777 TLJ589753:TLJ589777 TVF589753:TVF589777 UFB589753:UFB589777 UOX589753:UOX589777 UYT589753:UYT589777 VIP589753:VIP589777 VSL589753:VSL589777 WCH589753:WCH589777 WMD589753:WMD589777 WVZ589753:WVZ589777 R655318:R655342 JN655289:JN655313 TJ655289:TJ655313 ADF655289:ADF655313 ANB655289:ANB655313 AWX655289:AWX655313 BGT655289:BGT655313 BQP655289:BQP655313 CAL655289:CAL655313 CKH655289:CKH655313 CUD655289:CUD655313 DDZ655289:DDZ655313 DNV655289:DNV655313 DXR655289:DXR655313 EHN655289:EHN655313 ERJ655289:ERJ655313 FBF655289:FBF655313 FLB655289:FLB655313 FUX655289:FUX655313 GET655289:GET655313 GOP655289:GOP655313 GYL655289:GYL655313 HIH655289:HIH655313 HSD655289:HSD655313 IBZ655289:IBZ655313 ILV655289:ILV655313 IVR655289:IVR655313 JFN655289:JFN655313 JPJ655289:JPJ655313 JZF655289:JZF655313 KJB655289:KJB655313 KSX655289:KSX655313 LCT655289:LCT655313 LMP655289:LMP655313 LWL655289:LWL655313 MGH655289:MGH655313 MQD655289:MQD655313 MZZ655289:MZZ655313 NJV655289:NJV655313 NTR655289:NTR655313 ODN655289:ODN655313 ONJ655289:ONJ655313 OXF655289:OXF655313 PHB655289:PHB655313 PQX655289:PQX655313 QAT655289:QAT655313 QKP655289:QKP655313 QUL655289:QUL655313 REH655289:REH655313 ROD655289:ROD655313 RXZ655289:RXZ655313 SHV655289:SHV655313 SRR655289:SRR655313 TBN655289:TBN655313 TLJ655289:TLJ655313 TVF655289:TVF655313 UFB655289:UFB655313 UOX655289:UOX655313 UYT655289:UYT655313 VIP655289:VIP655313 VSL655289:VSL655313 WCH655289:WCH655313 WMD655289:WMD655313 WVZ655289:WVZ655313 R720854:R720878 JN720825:JN720849 TJ720825:TJ720849 ADF720825:ADF720849 ANB720825:ANB720849 AWX720825:AWX720849 BGT720825:BGT720849 BQP720825:BQP720849 CAL720825:CAL720849 CKH720825:CKH720849 CUD720825:CUD720849 DDZ720825:DDZ720849 DNV720825:DNV720849 DXR720825:DXR720849 EHN720825:EHN720849 ERJ720825:ERJ720849 FBF720825:FBF720849 FLB720825:FLB720849 FUX720825:FUX720849 GET720825:GET720849 GOP720825:GOP720849 GYL720825:GYL720849 HIH720825:HIH720849 HSD720825:HSD720849 IBZ720825:IBZ720849 ILV720825:ILV720849 IVR720825:IVR720849 JFN720825:JFN720849 JPJ720825:JPJ720849 JZF720825:JZF720849 KJB720825:KJB720849 KSX720825:KSX720849 LCT720825:LCT720849 LMP720825:LMP720849 LWL720825:LWL720849 MGH720825:MGH720849 MQD720825:MQD720849 MZZ720825:MZZ720849 NJV720825:NJV720849 NTR720825:NTR720849 ODN720825:ODN720849 ONJ720825:ONJ720849 OXF720825:OXF720849 PHB720825:PHB720849 PQX720825:PQX720849 QAT720825:QAT720849 QKP720825:QKP720849 QUL720825:QUL720849 REH720825:REH720849 ROD720825:ROD720849 RXZ720825:RXZ720849 SHV720825:SHV720849 SRR720825:SRR720849 TBN720825:TBN720849 TLJ720825:TLJ720849 TVF720825:TVF720849 UFB720825:UFB720849 UOX720825:UOX720849 UYT720825:UYT720849 VIP720825:VIP720849 VSL720825:VSL720849 WCH720825:WCH720849 WMD720825:WMD720849 WVZ720825:WVZ720849 R786390:R786414 JN786361:JN786385 TJ786361:TJ786385 ADF786361:ADF786385 ANB786361:ANB786385 AWX786361:AWX786385 BGT786361:BGT786385 BQP786361:BQP786385 CAL786361:CAL786385 CKH786361:CKH786385 CUD786361:CUD786385 DDZ786361:DDZ786385 DNV786361:DNV786385 DXR786361:DXR786385 EHN786361:EHN786385 ERJ786361:ERJ786385 FBF786361:FBF786385 FLB786361:FLB786385 FUX786361:FUX786385 GET786361:GET786385 GOP786361:GOP786385 GYL786361:GYL786385 HIH786361:HIH786385 HSD786361:HSD786385 IBZ786361:IBZ786385 ILV786361:ILV786385 IVR786361:IVR786385 JFN786361:JFN786385 JPJ786361:JPJ786385 JZF786361:JZF786385 KJB786361:KJB786385 KSX786361:KSX786385 LCT786361:LCT786385 LMP786361:LMP786385 LWL786361:LWL786385 MGH786361:MGH786385 MQD786361:MQD786385 MZZ786361:MZZ786385 NJV786361:NJV786385 NTR786361:NTR786385 ODN786361:ODN786385 ONJ786361:ONJ786385 OXF786361:OXF786385 PHB786361:PHB786385 PQX786361:PQX786385 QAT786361:QAT786385 QKP786361:QKP786385 QUL786361:QUL786385 REH786361:REH786385 ROD786361:ROD786385 RXZ786361:RXZ786385 SHV786361:SHV786385 SRR786361:SRR786385 TBN786361:TBN786385 TLJ786361:TLJ786385 TVF786361:TVF786385 UFB786361:UFB786385 UOX786361:UOX786385 UYT786361:UYT786385 VIP786361:VIP786385 VSL786361:VSL786385 WCH786361:WCH786385 WMD786361:WMD786385 WVZ786361:WVZ786385 R851926:R851950 JN851897:JN851921 TJ851897:TJ851921 ADF851897:ADF851921 ANB851897:ANB851921 AWX851897:AWX851921 BGT851897:BGT851921 BQP851897:BQP851921 CAL851897:CAL851921 CKH851897:CKH851921 CUD851897:CUD851921 DDZ851897:DDZ851921 DNV851897:DNV851921 DXR851897:DXR851921 EHN851897:EHN851921 ERJ851897:ERJ851921 FBF851897:FBF851921 FLB851897:FLB851921 FUX851897:FUX851921 GET851897:GET851921 GOP851897:GOP851921 GYL851897:GYL851921 HIH851897:HIH851921 HSD851897:HSD851921 IBZ851897:IBZ851921 ILV851897:ILV851921 IVR851897:IVR851921 JFN851897:JFN851921 JPJ851897:JPJ851921 JZF851897:JZF851921 KJB851897:KJB851921 KSX851897:KSX851921 LCT851897:LCT851921 LMP851897:LMP851921 LWL851897:LWL851921 MGH851897:MGH851921 MQD851897:MQD851921 MZZ851897:MZZ851921 NJV851897:NJV851921 NTR851897:NTR851921 ODN851897:ODN851921 ONJ851897:ONJ851921 OXF851897:OXF851921 PHB851897:PHB851921 PQX851897:PQX851921 QAT851897:QAT851921 QKP851897:QKP851921 QUL851897:QUL851921 REH851897:REH851921 ROD851897:ROD851921 RXZ851897:RXZ851921 SHV851897:SHV851921 SRR851897:SRR851921 TBN851897:TBN851921 TLJ851897:TLJ851921 TVF851897:TVF851921 UFB851897:UFB851921 UOX851897:UOX851921 UYT851897:UYT851921 VIP851897:VIP851921 VSL851897:VSL851921 WCH851897:WCH851921 WMD851897:WMD851921 WVZ851897:WVZ851921 R917462:R917486 JN917433:JN917457 TJ917433:TJ917457 ADF917433:ADF917457 ANB917433:ANB917457 AWX917433:AWX917457 BGT917433:BGT917457 BQP917433:BQP917457 CAL917433:CAL917457 CKH917433:CKH917457 CUD917433:CUD917457 DDZ917433:DDZ917457 DNV917433:DNV917457 DXR917433:DXR917457 EHN917433:EHN917457 ERJ917433:ERJ917457 FBF917433:FBF917457 FLB917433:FLB917457 FUX917433:FUX917457 GET917433:GET917457 GOP917433:GOP917457 GYL917433:GYL917457 HIH917433:HIH917457 HSD917433:HSD917457 IBZ917433:IBZ917457 ILV917433:ILV917457 IVR917433:IVR917457 JFN917433:JFN917457 JPJ917433:JPJ917457 JZF917433:JZF917457 KJB917433:KJB917457 KSX917433:KSX917457 LCT917433:LCT917457 LMP917433:LMP917457 LWL917433:LWL917457 MGH917433:MGH917457 MQD917433:MQD917457 MZZ917433:MZZ917457 NJV917433:NJV917457 NTR917433:NTR917457 ODN917433:ODN917457 ONJ917433:ONJ917457 OXF917433:OXF917457 PHB917433:PHB917457 PQX917433:PQX917457 QAT917433:QAT917457 QKP917433:QKP917457 QUL917433:QUL917457 REH917433:REH917457 ROD917433:ROD917457 RXZ917433:RXZ917457 SHV917433:SHV917457 SRR917433:SRR917457 TBN917433:TBN917457 TLJ917433:TLJ917457 TVF917433:TVF917457 UFB917433:UFB917457 UOX917433:UOX917457 UYT917433:UYT917457 VIP917433:VIP917457 VSL917433:VSL917457 WCH917433:WCH917457 WMD917433:WMD917457 WVZ917433:WVZ917457 R982998:R983022 JN982969:JN982993 TJ982969:TJ982993 ADF982969:ADF982993 ANB982969:ANB982993 AWX982969:AWX982993 BGT982969:BGT982993 BQP982969:BQP982993 CAL982969:CAL982993 CKH982969:CKH982993 CUD982969:CUD982993 DDZ982969:DDZ982993 DNV982969:DNV982993 DXR982969:DXR982993 EHN982969:EHN982993 ERJ982969:ERJ982993 FBF982969:FBF982993 FLB982969:FLB982993 FUX982969:FUX982993 GET982969:GET982993 GOP982969:GOP982993 GYL982969:GYL982993 HIH982969:HIH982993 HSD982969:HSD982993 IBZ982969:IBZ982993 ILV982969:ILV982993 IVR982969:IVR982993 JFN982969:JFN982993 JPJ982969:JPJ982993 JZF982969:JZF982993 KJB982969:KJB982993 KSX982969:KSX982993 LCT982969:LCT982993 LMP982969:LMP982993 LWL982969:LWL982993 MGH982969:MGH982993 MQD982969:MQD982993 MZZ982969:MZZ982993 NJV982969:NJV982993 NTR982969:NTR982993 ODN982969:ODN982993 ONJ982969:ONJ982993 OXF982969:OXF982993 PHB982969:PHB982993 PQX982969:PQX982993 QAT982969:QAT982993 QKP982969:QKP982993 QUL982969:QUL982993 REH982969:REH982993 ROD982969:ROD982993 RXZ982969:RXZ982993 SHV982969:SHV982993 SRR982969:SRR982993 TBN982969:TBN982993 TLJ982969:TLJ982993 TVF982969:TVF982993 UFB982969:UFB982993 UOX982969:UOX982993 UYT982969:UYT982993 VIP982969:VIP982993 VSL982969:VSL982993 WCH982969:WCH982993 WMD982969:WMD982993 WVZ982969:WVZ982993 R65494:R65518 WWA10:WWA1811 WME10:WME1811 WCI10:WCI1811 VSM10:VSM1811 VIQ10:VIQ1811 UYU10:UYU1811 UOY10:UOY1811 UFC10:UFC1811 TVG10:TVG1811 TLK10:TLK1811 TBO10:TBO1811 SRS10:SRS1811 SHW10:SHW1811 RYA10:RYA1811 ROE10:ROE1811 REI10:REI1811 QUM10:QUM1811 QKQ10:QKQ1811 QAU10:QAU1811 PQY10:PQY1811 PHC10:PHC1811 OXG10:OXG1811 ONK10:ONK1811 ODO10:ODO1811 NTS10:NTS1811 NJW10:NJW1811 NAA10:NAA1811 MQE10:MQE1811 MGI10:MGI1811 LWM10:LWM1811 LMQ10:LMQ1811 LCU10:LCU1811 KSY10:KSY1811 KJC10:KJC1811 JZG10:JZG1811 JPK10:JPK1811 JFO10:JFO1811 IVS10:IVS1811 ILW10:ILW1811 ICA10:ICA1811 HSE10:HSE1811 HII10:HII1811 GYM10:GYM1811 GOQ10:GOQ1811 GEU10:GEU1811 FUY10:FUY1811 FLC10:FLC1811 FBG10:FBG1811 ERK10:ERK1811 EHO10:EHO1811 DXS10:DXS1811 DNW10:DNW1811 DEA10:DEA1811 CUE10:CUE1811 CKI10:CKI1811 CAM10:CAM1811 BQQ10:BQQ1811 BGU10:BGU1811 AWY10:AWY1811 ANC10:ANC1811 ADG10:ADG1811 TK10:TK1811 JO10:JO1811" xr:uid="{00000000-0002-0000-2300-000005000000}"/>
    <dataValidation allowBlank="1" showInputMessage="1" showErrorMessage="1" prompt="Enter the number of billable (documented) units/days from daily census. For CBA, CCAD or ICM refer to F3251, for CWP refer to F2213" sqref="JO65465:JO65489 TK65465:TK65489 ADG65465:ADG65489 ANC65465:ANC65489 AWY65465:AWY65489 BGU65465:BGU65489 BQQ65465:BQQ65489 CAM65465:CAM65489 CKI65465:CKI65489 CUE65465:CUE65489 DEA65465:DEA65489 DNW65465:DNW65489 DXS65465:DXS65489 EHO65465:EHO65489 ERK65465:ERK65489 FBG65465:FBG65489 FLC65465:FLC65489 FUY65465:FUY65489 GEU65465:GEU65489 GOQ65465:GOQ65489 GYM65465:GYM65489 HII65465:HII65489 HSE65465:HSE65489 ICA65465:ICA65489 ILW65465:ILW65489 IVS65465:IVS65489 JFO65465:JFO65489 JPK65465:JPK65489 JZG65465:JZG65489 KJC65465:KJC65489 KSY65465:KSY65489 LCU65465:LCU65489 LMQ65465:LMQ65489 LWM65465:LWM65489 MGI65465:MGI65489 MQE65465:MQE65489 NAA65465:NAA65489 NJW65465:NJW65489 NTS65465:NTS65489 ODO65465:ODO65489 ONK65465:ONK65489 OXG65465:OXG65489 PHC65465:PHC65489 PQY65465:PQY65489 QAU65465:QAU65489 QKQ65465:QKQ65489 QUM65465:QUM65489 REI65465:REI65489 ROE65465:ROE65489 RYA65465:RYA65489 SHW65465:SHW65489 SRS65465:SRS65489 TBO65465:TBO65489 TLK65465:TLK65489 TVG65465:TVG65489 UFC65465:UFC65489 UOY65465:UOY65489 UYU65465:UYU65489 VIQ65465:VIQ65489 VSM65465:VSM65489 WCI65465:WCI65489 WME65465:WME65489 WWA65465:WWA65489 S131030:S131054 JO131001:JO131025 TK131001:TK131025 ADG131001:ADG131025 ANC131001:ANC131025 AWY131001:AWY131025 BGU131001:BGU131025 BQQ131001:BQQ131025 CAM131001:CAM131025 CKI131001:CKI131025 CUE131001:CUE131025 DEA131001:DEA131025 DNW131001:DNW131025 DXS131001:DXS131025 EHO131001:EHO131025 ERK131001:ERK131025 FBG131001:FBG131025 FLC131001:FLC131025 FUY131001:FUY131025 GEU131001:GEU131025 GOQ131001:GOQ131025 GYM131001:GYM131025 HII131001:HII131025 HSE131001:HSE131025 ICA131001:ICA131025 ILW131001:ILW131025 IVS131001:IVS131025 JFO131001:JFO131025 JPK131001:JPK131025 JZG131001:JZG131025 KJC131001:KJC131025 KSY131001:KSY131025 LCU131001:LCU131025 LMQ131001:LMQ131025 LWM131001:LWM131025 MGI131001:MGI131025 MQE131001:MQE131025 NAA131001:NAA131025 NJW131001:NJW131025 NTS131001:NTS131025 ODO131001:ODO131025 ONK131001:ONK131025 OXG131001:OXG131025 PHC131001:PHC131025 PQY131001:PQY131025 QAU131001:QAU131025 QKQ131001:QKQ131025 QUM131001:QUM131025 REI131001:REI131025 ROE131001:ROE131025 RYA131001:RYA131025 SHW131001:SHW131025 SRS131001:SRS131025 TBO131001:TBO131025 TLK131001:TLK131025 TVG131001:TVG131025 UFC131001:UFC131025 UOY131001:UOY131025 UYU131001:UYU131025 VIQ131001:VIQ131025 VSM131001:VSM131025 WCI131001:WCI131025 WME131001:WME131025 WWA131001:WWA131025 S196566:S196590 JO196537:JO196561 TK196537:TK196561 ADG196537:ADG196561 ANC196537:ANC196561 AWY196537:AWY196561 BGU196537:BGU196561 BQQ196537:BQQ196561 CAM196537:CAM196561 CKI196537:CKI196561 CUE196537:CUE196561 DEA196537:DEA196561 DNW196537:DNW196561 DXS196537:DXS196561 EHO196537:EHO196561 ERK196537:ERK196561 FBG196537:FBG196561 FLC196537:FLC196561 FUY196537:FUY196561 GEU196537:GEU196561 GOQ196537:GOQ196561 GYM196537:GYM196561 HII196537:HII196561 HSE196537:HSE196561 ICA196537:ICA196561 ILW196537:ILW196561 IVS196537:IVS196561 JFO196537:JFO196561 JPK196537:JPK196561 JZG196537:JZG196561 KJC196537:KJC196561 KSY196537:KSY196561 LCU196537:LCU196561 LMQ196537:LMQ196561 LWM196537:LWM196561 MGI196537:MGI196561 MQE196537:MQE196561 NAA196537:NAA196561 NJW196537:NJW196561 NTS196537:NTS196561 ODO196537:ODO196561 ONK196537:ONK196561 OXG196537:OXG196561 PHC196537:PHC196561 PQY196537:PQY196561 QAU196537:QAU196561 QKQ196537:QKQ196561 QUM196537:QUM196561 REI196537:REI196561 ROE196537:ROE196561 RYA196537:RYA196561 SHW196537:SHW196561 SRS196537:SRS196561 TBO196537:TBO196561 TLK196537:TLK196561 TVG196537:TVG196561 UFC196537:UFC196561 UOY196537:UOY196561 UYU196537:UYU196561 VIQ196537:VIQ196561 VSM196537:VSM196561 WCI196537:WCI196561 WME196537:WME196561 WWA196537:WWA196561 S262102:S262126 JO262073:JO262097 TK262073:TK262097 ADG262073:ADG262097 ANC262073:ANC262097 AWY262073:AWY262097 BGU262073:BGU262097 BQQ262073:BQQ262097 CAM262073:CAM262097 CKI262073:CKI262097 CUE262073:CUE262097 DEA262073:DEA262097 DNW262073:DNW262097 DXS262073:DXS262097 EHO262073:EHO262097 ERK262073:ERK262097 FBG262073:FBG262097 FLC262073:FLC262097 FUY262073:FUY262097 GEU262073:GEU262097 GOQ262073:GOQ262097 GYM262073:GYM262097 HII262073:HII262097 HSE262073:HSE262097 ICA262073:ICA262097 ILW262073:ILW262097 IVS262073:IVS262097 JFO262073:JFO262097 JPK262073:JPK262097 JZG262073:JZG262097 KJC262073:KJC262097 KSY262073:KSY262097 LCU262073:LCU262097 LMQ262073:LMQ262097 LWM262073:LWM262097 MGI262073:MGI262097 MQE262073:MQE262097 NAA262073:NAA262097 NJW262073:NJW262097 NTS262073:NTS262097 ODO262073:ODO262097 ONK262073:ONK262097 OXG262073:OXG262097 PHC262073:PHC262097 PQY262073:PQY262097 QAU262073:QAU262097 QKQ262073:QKQ262097 QUM262073:QUM262097 REI262073:REI262097 ROE262073:ROE262097 RYA262073:RYA262097 SHW262073:SHW262097 SRS262073:SRS262097 TBO262073:TBO262097 TLK262073:TLK262097 TVG262073:TVG262097 UFC262073:UFC262097 UOY262073:UOY262097 UYU262073:UYU262097 VIQ262073:VIQ262097 VSM262073:VSM262097 WCI262073:WCI262097 WME262073:WME262097 WWA262073:WWA262097 S327638:S327662 JO327609:JO327633 TK327609:TK327633 ADG327609:ADG327633 ANC327609:ANC327633 AWY327609:AWY327633 BGU327609:BGU327633 BQQ327609:BQQ327633 CAM327609:CAM327633 CKI327609:CKI327633 CUE327609:CUE327633 DEA327609:DEA327633 DNW327609:DNW327633 DXS327609:DXS327633 EHO327609:EHO327633 ERK327609:ERK327633 FBG327609:FBG327633 FLC327609:FLC327633 FUY327609:FUY327633 GEU327609:GEU327633 GOQ327609:GOQ327633 GYM327609:GYM327633 HII327609:HII327633 HSE327609:HSE327633 ICA327609:ICA327633 ILW327609:ILW327633 IVS327609:IVS327633 JFO327609:JFO327633 JPK327609:JPK327633 JZG327609:JZG327633 KJC327609:KJC327633 KSY327609:KSY327633 LCU327609:LCU327633 LMQ327609:LMQ327633 LWM327609:LWM327633 MGI327609:MGI327633 MQE327609:MQE327633 NAA327609:NAA327633 NJW327609:NJW327633 NTS327609:NTS327633 ODO327609:ODO327633 ONK327609:ONK327633 OXG327609:OXG327633 PHC327609:PHC327633 PQY327609:PQY327633 QAU327609:QAU327633 QKQ327609:QKQ327633 QUM327609:QUM327633 REI327609:REI327633 ROE327609:ROE327633 RYA327609:RYA327633 SHW327609:SHW327633 SRS327609:SRS327633 TBO327609:TBO327633 TLK327609:TLK327633 TVG327609:TVG327633 UFC327609:UFC327633 UOY327609:UOY327633 UYU327609:UYU327633 VIQ327609:VIQ327633 VSM327609:VSM327633 WCI327609:WCI327633 WME327609:WME327633 WWA327609:WWA327633 S393174:S393198 JO393145:JO393169 TK393145:TK393169 ADG393145:ADG393169 ANC393145:ANC393169 AWY393145:AWY393169 BGU393145:BGU393169 BQQ393145:BQQ393169 CAM393145:CAM393169 CKI393145:CKI393169 CUE393145:CUE393169 DEA393145:DEA393169 DNW393145:DNW393169 DXS393145:DXS393169 EHO393145:EHO393169 ERK393145:ERK393169 FBG393145:FBG393169 FLC393145:FLC393169 FUY393145:FUY393169 GEU393145:GEU393169 GOQ393145:GOQ393169 GYM393145:GYM393169 HII393145:HII393169 HSE393145:HSE393169 ICA393145:ICA393169 ILW393145:ILW393169 IVS393145:IVS393169 JFO393145:JFO393169 JPK393145:JPK393169 JZG393145:JZG393169 KJC393145:KJC393169 KSY393145:KSY393169 LCU393145:LCU393169 LMQ393145:LMQ393169 LWM393145:LWM393169 MGI393145:MGI393169 MQE393145:MQE393169 NAA393145:NAA393169 NJW393145:NJW393169 NTS393145:NTS393169 ODO393145:ODO393169 ONK393145:ONK393169 OXG393145:OXG393169 PHC393145:PHC393169 PQY393145:PQY393169 QAU393145:QAU393169 QKQ393145:QKQ393169 QUM393145:QUM393169 REI393145:REI393169 ROE393145:ROE393169 RYA393145:RYA393169 SHW393145:SHW393169 SRS393145:SRS393169 TBO393145:TBO393169 TLK393145:TLK393169 TVG393145:TVG393169 UFC393145:UFC393169 UOY393145:UOY393169 UYU393145:UYU393169 VIQ393145:VIQ393169 VSM393145:VSM393169 WCI393145:WCI393169 WME393145:WME393169 WWA393145:WWA393169 S458710:S458734 JO458681:JO458705 TK458681:TK458705 ADG458681:ADG458705 ANC458681:ANC458705 AWY458681:AWY458705 BGU458681:BGU458705 BQQ458681:BQQ458705 CAM458681:CAM458705 CKI458681:CKI458705 CUE458681:CUE458705 DEA458681:DEA458705 DNW458681:DNW458705 DXS458681:DXS458705 EHO458681:EHO458705 ERK458681:ERK458705 FBG458681:FBG458705 FLC458681:FLC458705 FUY458681:FUY458705 GEU458681:GEU458705 GOQ458681:GOQ458705 GYM458681:GYM458705 HII458681:HII458705 HSE458681:HSE458705 ICA458681:ICA458705 ILW458681:ILW458705 IVS458681:IVS458705 JFO458681:JFO458705 JPK458681:JPK458705 JZG458681:JZG458705 KJC458681:KJC458705 KSY458681:KSY458705 LCU458681:LCU458705 LMQ458681:LMQ458705 LWM458681:LWM458705 MGI458681:MGI458705 MQE458681:MQE458705 NAA458681:NAA458705 NJW458681:NJW458705 NTS458681:NTS458705 ODO458681:ODO458705 ONK458681:ONK458705 OXG458681:OXG458705 PHC458681:PHC458705 PQY458681:PQY458705 QAU458681:QAU458705 QKQ458681:QKQ458705 QUM458681:QUM458705 REI458681:REI458705 ROE458681:ROE458705 RYA458681:RYA458705 SHW458681:SHW458705 SRS458681:SRS458705 TBO458681:TBO458705 TLK458681:TLK458705 TVG458681:TVG458705 UFC458681:UFC458705 UOY458681:UOY458705 UYU458681:UYU458705 VIQ458681:VIQ458705 VSM458681:VSM458705 WCI458681:WCI458705 WME458681:WME458705 WWA458681:WWA458705 S524246:S524270 JO524217:JO524241 TK524217:TK524241 ADG524217:ADG524241 ANC524217:ANC524241 AWY524217:AWY524241 BGU524217:BGU524241 BQQ524217:BQQ524241 CAM524217:CAM524241 CKI524217:CKI524241 CUE524217:CUE524241 DEA524217:DEA524241 DNW524217:DNW524241 DXS524217:DXS524241 EHO524217:EHO524241 ERK524217:ERK524241 FBG524217:FBG524241 FLC524217:FLC524241 FUY524217:FUY524241 GEU524217:GEU524241 GOQ524217:GOQ524241 GYM524217:GYM524241 HII524217:HII524241 HSE524217:HSE524241 ICA524217:ICA524241 ILW524217:ILW524241 IVS524217:IVS524241 JFO524217:JFO524241 JPK524217:JPK524241 JZG524217:JZG524241 KJC524217:KJC524241 KSY524217:KSY524241 LCU524217:LCU524241 LMQ524217:LMQ524241 LWM524217:LWM524241 MGI524217:MGI524241 MQE524217:MQE524241 NAA524217:NAA524241 NJW524217:NJW524241 NTS524217:NTS524241 ODO524217:ODO524241 ONK524217:ONK524241 OXG524217:OXG524241 PHC524217:PHC524241 PQY524217:PQY524241 QAU524217:QAU524241 QKQ524217:QKQ524241 QUM524217:QUM524241 REI524217:REI524241 ROE524217:ROE524241 RYA524217:RYA524241 SHW524217:SHW524241 SRS524217:SRS524241 TBO524217:TBO524241 TLK524217:TLK524241 TVG524217:TVG524241 UFC524217:UFC524241 UOY524217:UOY524241 UYU524217:UYU524241 VIQ524217:VIQ524241 VSM524217:VSM524241 WCI524217:WCI524241 WME524217:WME524241 WWA524217:WWA524241 S589782:S589806 JO589753:JO589777 TK589753:TK589777 ADG589753:ADG589777 ANC589753:ANC589777 AWY589753:AWY589777 BGU589753:BGU589777 BQQ589753:BQQ589777 CAM589753:CAM589777 CKI589753:CKI589777 CUE589753:CUE589777 DEA589753:DEA589777 DNW589753:DNW589777 DXS589753:DXS589777 EHO589753:EHO589777 ERK589753:ERK589777 FBG589753:FBG589777 FLC589753:FLC589777 FUY589753:FUY589777 GEU589753:GEU589777 GOQ589753:GOQ589777 GYM589753:GYM589777 HII589753:HII589777 HSE589753:HSE589777 ICA589753:ICA589777 ILW589753:ILW589777 IVS589753:IVS589777 JFO589753:JFO589777 JPK589753:JPK589777 JZG589753:JZG589777 KJC589753:KJC589777 KSY589753:KSY589777 LCU589753:LCU589777 LMQ589753:LMQ589777 LWM589753:LWM589777 MGI589753:MGI589777 MQE589753:MQE589777 NAA589753:NAA589777 NJW589753:NJW589777 NTS589753:NTS589777 ODO589753:ODO589777 ONK589753:ONK589777 OXG589753:OXG589777 PHC589753:PHC589777 PQY589753:PQY589777 QAU589753:QAU589777 QKQ589753:QKQ589777 QUM589753:QUM589777 REI589753:REI589777 ROE589753:ROE589777 RYA589753:RYA589777 SHW589753:SHW589777 SRS589753:SRS589777 TBO589753:TBO589777 TLK589753:TLK589777 TVG589753:TVG589777 UFC589753:UFC589777 UOY589753:UOY589777 UYU589753:UYU589777 VIQ589753:VIQ589777 VSM589753:VSM589777 WCI589753:WCI589777 WME589753:WME589777 WWA589753:WWA589777 S655318:S655342 JO655289:JO655313 TK655289:TK655313 ADG655289:ADG655313 ANC655289:ANC655313 AWY655289:AWY655313 BGU655289:BGU655313 BQQ655289:BQQ655313 CAM655289:CAM655313 CKI655289:CKI655313 CUE655289:CUE655313 DEA655289:DEA655313 DNW655289:DNW655313 DXS655289:DXS655313 EHO655289:EHO655313 ERK655289:ERK655313 FBG655289:FBG655313 FLC655289:FLC655313 FUY655289:FUY655313 GEU655289:GEU655313 GOQ655289:GOQ655313 GYM655289:GYM655313 HII655289:HII655313 HSE655289:HSE655313 ICA655289:ICA655313 ILW655289:ILW655313 IVS655289:IVS655313 JFO655289:JFO655313 JPK655289:JPK655313 JZG655289:JZG655313 KJC655289:KJC655313 KSY655289:KSY655313 LCU655289:LCU655313 LMQ655289:LMQ655313 LWM655289:LWM655313 MGI655289:MGI655313 MQE655289:MQE655313 NAA655289:NAA655313 NJW655289:NJW655313 NTS655289:NTS655313 ODO655289:ODO655313 ONK655289:ONK655313 OXG655289:OXG655313 PHC655289:PHC655313 PQY655289:PQY655313 QAU655289:QAU655313 QKQ655289:QKQ655313 QUM655289:QUM655313 REI655289:REI655313 ROE655289:ROE655313 RYA655289:RYA655313 SHW655289:SHW655313 SRS655289:SRS655313 TBO655289:TBO655313 TLK655289:TLK655313 TVG655289:TVG655313 UFC655289:UFC655313 UOY655289:UOY655313 UYU655289:UYU655313 VIQ655289:VIQ655313 VSM655289:VSM655313 WCI655289:WCI655313 WME655289:WME655313 WWA655289:WWA655313 S720854:S720878 JO720825:JO720849 TK720825:TK720849 ADG720825:ADG720849 ANC720825:ANC720849 AWY720825:AWY720849 BGU720825:BGU720849 BQQ720825:BQQ720849 CAM720825:CAM720849 CKI720825:CKI720849 CUE720825:CUE720849 DEA720825:DEA720849 DNW720825:DNW720849 DXS720825:DXS720849 EHO720825:EHO720849 ERK720825:ERK720849 FBG720825:FBG720849 FLC720825:FLC720849 FUY720825:FUY720849 GEU720825:GEU720849 GOQ720825:GOQ720849 GYM720825:GYM720849 HII720825:HII720849 HSE720825:HSE720849 ICA720825:ICA720849 ILW720825:ILW720849 IVS720825:IVS720849 JFO720825:JFO720849 JPK720825:JPK720849 JZG720825:JZG720849 KJC720825:KJC720849 KSY720825:KSY720849 LCU720825:LCU720849 LMQ720825:LMQ720849 LWM720825:LWM720849 MGI720825:MGI720849 MQE720825:MQE720849 NAA720825:NAA720849 NJW720825:NJW720849 NTS720825:NTS720849 ODO720825:ODO720849 ONK720825:ONK720849 OXG720825:OXG720849 PHC720825:PHC720849 PQY720825:PQY720849 QAU720825:QAU720849 QKQ720825:QKQ720849 QUM720825:QUM720849 REI720825:REI720849 ROE720825:ROE720849 RYA720825:RYA720849 SHW720825:SHW720849 SRS720825:SRS720849 TBO720825:TBO720849 TLK720825:TLK720849 TVG720825:TVG720849 UFC720825:UFC720849 UOY720825:UOY720849 UYU720825:UYU720849 VIQ720825:VIQ720849 VSM720825:VSM720849 WCI720825:WCI720849 WME720825:WME720849 WWA720825:WWA720849 S786390:S786414 JO786361:JO786385 TK786361:TK786385 ADG786361:ADG786385 ANC786361:ANC786385 AWY786361:AWY786385 BGU786361:BGU786385 BQQ786361:BQQ786385 CAM786361:CAM786385 CKI786361:CKI786385 CUE786361:CUE786385 DEA786361:DEA786385 DNW786361:DNW786385 DXS786361:DXS786385 EHO786361:EHO786385 ERK786361:ERK786385 FBG786361:FBG786385 FLC786361:FLC786385 FUY786361:FUY786385 GEU786361:GEU786385 GOQ786361:GOQ786385 GYM786361:GYM786385 HII786361:HII786385 HSE786361:HSE786385 ICA786361:ICA786385 ILW786361:ILW786385 IVS786361:IVS786385 JFO786361:JFO786385 JPK786361:JPK786385 JZG786361:JZG786385 KJC786361:KJC786385 KSY786361:KSY786385 LCU786361:LCU786385 LMQ786361:LMQ786385 LWM786361:LWM786385 MGI786361:MGI786385 MQE786361:MQE786385 NAA786361:NAA786385 NJW786361:NJW786385 NTS786361:NTS786385 ODO786361:ODO786385 ONK786361:ONK786385 OXG786361:OXG786385 PHC786361:PHC786385 PQY786361:PQY786385 QAU786361:QAU786385 QKQ786361:QKQ786385 QUM786361:QUM786385 REI786361:REI786385 ROE786361:ROE786385 RYA786361:RYA786385 SHW786361:SHW786385 SRS786361:SRS786385 TBO786361:TBO786385 TLK786361:TLK786385 TVG786361:TVG786385 UFC786361:UFC786385 UOY786361:UOY786385 UYU786361:UYU786385 VIQ786361:VIQ786385 VSM786361:VSM786385 WCI786361:WCI786385 WME786361:WME786385 WWA786361:WWA786385 S851926:S851950 JO851897:JO851921 TK851897:TK851921 ADG851897:ADG851921 ANC851897:ANC851921 AWY851897:AWY851921 BGU851897:BGU851921 BQQ851897:BQQ851921 CAM851897:CAM851921 CKI851897:CKI851921 CUE851897:CUE851921 DEA851897:DEA851921 DNW851897:DNW851921 DXS851897:DXS851921 EHO851897:EHO851921 ERK851897:ERK851921 FBG851897:FBG851921 FLC851897:FLC851921 FUY851897:FUY851921 GEU851897:GEU851921 GOQ851897:GOQ851921 GYM851897:GYM851921 HII851897:HII851921 HSE851897:HSE851921 ICA851897:ICA851921 ILW851897:ILW851921 IVS851897:IVS851921 JFO851897:JFO851921 JPK851897:JPK851921 JZG851897:JZG851921 KJC851897:KJC851921 KSY851897:KSY851921 LCU851897:LCU851921 LMQ851897:LMQ851921 LWM851897:LWM851921 MGI851897:MGI851921 MQE851897:MQE851921 NAA851897:NAA851921 NJW851897:NJW851921 NTS851897:NTS851921 ODO851897:ODO851921 ONK851897:ONK851921 OXG851897:OXG851921 PHC851897:PHC851921 PQY851897:PQY851921 QAU851897:QAU851921 QKQ851897:QKQ851921 QUM851897:QUM851921 REI851897:REI851921 ROE851897:ROE851921 RYA851897:RYA851921 SHW851897:SHW851921 SRS851897:SRS851921 TBO851897:TBO851921 TLK851897:TLK851921 TVG851897:TVG851921 UFC851897:UFC851921 UOY851897:UOY851921 UYU851897:UYU851921 VIQ851897:VIQ851921 VSM851897:VSM851921 WCI851897:WCI851921 WME851897:WME851921 WWA851897:WWA851921 S917462:S917486 JO917433:JO917457 TK917433:TK917457 ADG917433:ADG917457 ANC917433:ANC917457 AWY917433:AWY917457 BGU917433:BGU917457 BQQ917433:BQQ917457 CAM917433:CAM917457 CKI917433:CKI917457 CUE917433:CUE917457 DEA917433:DEA917457 DNW917433:DNW917457 DXS917433:DXS917457 EHO917433:EHO917457 ERK917433:ERK917457 FBG917433:FBG917457 FLC917433:FLC917457 FUY917433:FUY917457 GEU917433:GEU917457 GOQ917433:GOQ917457 GYM917433:GYM917457 HII917433:HII917457 HSE917433:HSE917457 ICA917433:ICA917457 ILW917433:ILW917457 IVS917433:IVS917457 JFO917433:JFO917457 JPK917433:JPK917457 JZG917433:JZG917457 KJC917433:KJC917457 KSY917433:KSY917457 LCU917433:LCU917457 LMQ917433:LMQ917457 LWM917433:LWM917457 MGI917433:MGI917457 MQE917433:MQE917457 NAA917433:NAA917457 NJW917433:NJW917457 NTS917433:NTS917457 ODO917433:ODO917457 ONK917433:ONK917457 OXG917433:OXG917457 PHC917433:PHC917457 PQY917433:PQY917457 QAU917433:QAU917457 QKQ917433:QKQ917457 QUM917433:QUM917457 REI917433:REI917457 ROE917433:ROE917457 RYA917433:RYA917457 SHW917433:SHW917457 SRS917433:SRS917457 TBO917433:TBO917457 TLK917433:TLK917457 TVG917433:TVG917457 UFC917433:UFC917457 UOY917433:UOY917457 UYU917433:UYU917457 VIQ917433:VIQ917457 VSM917433:VSM917457 WCI917433:WCI917457 WME917433:WME917457 WWA917433:WWA917457 S982998:S983022 JO982969:JO982993 TK982969:TK982993 ADG982969:ADG982993 ANC982969:ANC982993 AWY982969:AWY982993 BGU982969:BGU982993 BQQ982969:BQQ982993 CAM982969:CAM982993 CKI982969:CKI982993 CUE982969:CUE982993 DEA982969:DEA982993 DNW982969:DNW982993 DXS982969:DXS982993 EHO982969:EHO982993 ERK982969:ERK982993 FBG982969:FBG982993 FLC982969:FLC982993 FUY982969:FUY982993 GEU982969:GEU982993 GOQ982969:GOQ982993 GYM982969:GYM982993 HII982969:HII982993 HSE982969:HSE982993 ICA982969:ICA982993 ILW982969:ILW982993 IVS982969:IVS982993 JFO982969:JFO982993 JPK982969:JPK982993 JZG982969:JZG982993 KJC982969:KJC982993 KSY982969:KSY982993 LCU982969:LCU982993 LMQ982969:LMQ982993 LWM982969:LWM982993 MGI982969:MGI982993 MQE982969:MQE982993 NAA982969:NAA982993 NJW982969:NJW982993 NTS982969:NTS982993 ODO982969:ODO982993 ONK982969:ONK982993 OXG982969:OXG982993 PHC982969:PHC982993 PQY982969:PQY982993 QAU982969:QAU982993 QKQ982969:QKQ982993 QUM982969:QUM982993 REI982969:REI982993 ROE982969:ROE982993 RYA982969:RYA982993 SHW982969:SHW982993 SRS982969:SRS982993 TBO982969:TBO982993 TLK982969:TLK982993 TVG982969:TVG982993 UFC982969:UFC982993 UOY982969:UOY982993 UYU982969:UYU982993 VIQ982969:VIQ982993 VSM982969:VSM982993 WCI982969:WCI982993 WME982969:WME982993 WWA982969:WWA982993 S65494:S65518 WWB10:WWB1811 WMF10:WMF1811 WCJ10:WCJ1811 VSN10:VSN1811 VIR10:VIR1811 UYV10:UYV1811 UOZ10:UOZ1811 UFD10:UFD1811 TVH10:TVH1811 TLL10:TLL1811 TBP10:TBP1811 SRT10:SRT1811 SHX10:SHX1811 RYB10:RYB1811 ROF10:ROF1811 REJ10:REJ1811 QUN10:QUN1811 QKR10:QKR1811 QAV10:QAV1811 PQZ10:PQZ1811 PHD10:PHD1811 OXH10:OXH1811 ONL10:ONL1811 ODP10:ODP1811 NTT10:NTT1811 NJX10:NJX1811 NAB10:NAB1811 MQF10:MQF1811 MGJ10:MGJ1811 LWN10:LWN1811 LMR10:LMR1811 LCV10:LCV1811 KSZ10:KSZ1811 KJD10:KJD1811 JZH10:JZH1811 JPL10:JPL1811 JFP10:JFP1811 IVT10:IVT1811 ILX10:ILX1811 ICB10:ICB1811 HSF10:HSF1811 HIJ10:HIJ1811 GYN10:GYN1811 GOR10:GOR1811 GEV10:GEV1811 FUZ10:FUZ1811 FLD10:FLD1811 FBH10:FBH1811 ERL10:ERL1811 EHP10:EHP1811 DXT10:DXT1811 DNX10:DNX1811 DEB10:DEB1811 CUF10:CUF1811 CKJ10:CKJ1811 CAN10:CAN1811 BQR10:BQR1811 BGV10:BGV1811 AWZ10:AWZ1811 AND10:AND1811 ADH10:ADH1811 TL10:TL1811 JP10:JP1811" xr:uid="{00000000-0002-0000-2300-000006000000}"/>
    <dataValidation allowBlank="1" showInputMessage="1" showErrorMessage="1" prompt="Refer to Individual Work Paper, VII.2 Billing, if all of the elements within the individual's authorized residential setting codes are met enter the gross rate. If all of the elements are not met enter &quot;0&quot; in column &quot;P&quot; " sqref="JP65466:JP65489 TL65466:TL65489 ADH65466:ADH65489 AND65466:AND65489 AWZ65466:AWZ65489 BGV65466:BGV65489 BQR65466:BQR65489 CAN65466:CAN65489 CKJ65466:CKJ65489 CUF65466:CUF65489 DEB65466:DEB65489 DNX65466:DNX65489 DXT65466:DXT65489 EHP65466:EHP65489 ERL65466:ERL65489 FBH65466:FBH65489 FLD65466:FLD65489 FUZ65466:FUZ65489 GEV65466:GEV65489 GOR65466:GOR65489 GYN65466:GYN65489 HIJ65466:HIJ65489 HSF65466:HSF65489 ICB65466:ICB65489 ILX65466:ILX65489 IVT65466:IVT65489 JFP65466:JFP65489 JPL65466:JPL65489 JZH65466:JZH65489 KJD65466:KJD65489 KSZ65466:KSZ65489 LCV65466:LCV65489 LMR65466:LMR65489 LWN65466:LWN65489 MGJ65466:MGJ65489 MQF65466:MQF65489 NAB65466:NAB65489 NJX65466:NJX65489 NTT65466:NTT65489 ODP65466:ODP65489 ONL65466:ONL65489 OXH65466:OXH65489 PHD65466:PHD65489 PQZ65466:PQZ65489 QAV65466:QAV65489 QKR65466:QKR65489 QUN65466:QUN65489 REJ65466:REJ65489 ROF65466:ROF65489 RYB65466:RYB65489 SHX65466:SHX65489 SRT65466:SRT65489 TBP65466:TBP65489 TLL65466:TLL65489 TVH65466:TVH65489 UFD65466:UFD65489 UOZ65466:UOZ65489 UYV65466:UYV65489 VIR65466:VIR65489 VSN65466:VSN65489 WCJ65466:WCJ65489 WMF65466:WMF65489 WWB65466:WWB65489 T131031:T131054 JP131002:JP131025 TL131002:TL131025 ADH131002:ADH131025 AND131002:AND131025 AWZ131002:AWZ131025 BGV131002:BGV131025 BQR131002:BQR131025 CAN131002:CAN131025 CKJ131002:CKJ131025 CUF131002:CUF131025 DEB131002:DEB131025 DNX131002:DNX131025 DXT131002:DXT131025 EHP131002:EHP131025 ERL131002:ERL131025 FBH131002:FBH131025 FLD131002:FLD131025 FUZ131002:FUZ131025 GEV131002:GEV131025 GOR131002:GOR131025 GYN131002:GYN131025 HIJ131002:HIJ131025 HSF131002:HSF131025 ICB131002:ICB131025 ILX131002:ILX131025 IVT131002:IVT131025 JFP131002:JFP131025 JPL131002:JPL131025 JZH131002:JZH131025 KJD131002:KJD131025 KSZ131002:KSZ131025 LCV131002:LCV131025 LMR131002:LMR131025 LWN131002:LWN131025 MGJ131002:MGJ131025 MQF131002:MQF131025 NAB131002:NAB131025 NJX131002:NJX131025 NTT131002:NTT131025 ODP131002:ODP131025 ONL131002:ONL131025 OXH131002:OXH131025 PHD131002:PHD131025 PQZ131002:PQZ131025 QAV131002:QAV131025 QKR131002:QKR131025 QUN131002:QUN131025 REJ131002:REJ131025 ROF131002:ROF131025 RYB131002:RYB131025 SHX131002:SHX131025 SRT131002:SRT131025 TBP131002:TBP131025 TLL131002:TLL131025 TVH131002:TVH131025 UFD131002:UFD131025 UOZ131002:UOZ131025 UYV131002:UYV131025 VIR131002:VIR131025 VSN131002:VSN131025 WCJ131002:WCJ131025 WMF131002:WMF131025 WWB131002:WWB131025 T196567:T196590 JP196538:JP196561 TL196538:TL196561 ADH196538:ADH196561 AND196538:AND196561 AWZ196538:AWZ196561 BGV196538:BGV196561 BQR196538:BQR196561 CAN196538:CAN196561 CKJ196538:CKJ196561 CUF196538:CUF196561 DEB196538:DEB196561 DNX196538:DNX196561 DXT196538:DXT196561 EHP196538:EHP196561 ERL196538:ERL196561 FBH196538:FBH196561 FLD196538:FLD196561 FUZ196538:FUZ196561 GEV196538:GEV196561 GOR196538:GOR196561 GYN196538:GYN196561 HIJ196538:HIJ196561 HSF196538:HSF196561 ICB196538:ICB196561 ILX196538:ILX196561 IVT196538:IVT196561 JFP196538:JFP196561 JPL196538:JPL196561 JZH196538:JZH196561 KJD196538:KJD196561 KSZ196538:KSZ196561 LCV196538:LCV196561 LMR196538:LMR196561 LWN196538:LWN196561 MGJ196538:MGJ196561 MQF196538:MQF196561 NAB196538:NAB196561 NJX196538:NJX196561 NTT196538:NTT196561 ODP196538:ODP196561 ONL196538:ONL196561 OXH196538:OXH196561 PHD196538:PHD196561 PQZ196538:PQZ196561 QAV196538:QAV196561 QKR196538:QKR196561 QUN196538:QUN196561 REJ196538:REJ196561 ROF196538:ROF196561 RYB196538:RYB196561 SHX196538:SHX196561 SRT196538:SRT196561 TBP196538:TBP196561 TLL196538:TLL196561 TVH196538:TVH196561 UFD196538:UFD196561 UOZ196538:UOZ196561 UYV196538:UYV196561 VIR196538:VIR196561 VSN196538:VSN196561 WCJ196538:WCJ196561 WMF196538:WMF196561 WWB196538:WWB196561 T262103:T262126 JP262074:JP262097 TL262074:TL262097 ADH262074:ADH262097 AND262074:AND262097 AWZ262074:AWZ262097 BGV262074:BGV262097 BQR262074:BQR262097 CAN262074:CAN262097 CKJ262074:CKJ262097 CUF262074:CUF262097 DEB262074:DEB262097 DNX262074:DNX262097 DXT262074:DXT262097 EHP262074:EHP262097 ERL262074:ERL262097 FBH262074:FBH262097 FLD262074:FLD262097 FUZ262074:FUZ262097 GEV262074:GEV262097 GOR262074:GOR262097 GYN262074:GYN262097 HIJ262074:HIJ262097 HSF262074:HSF262097 ICB262074:ICB262097 ILX262074:ILX262097 IVT262074:IVT262097 JFP262074:JFP262097 JPL262074:JPL262097 JZH262074:JZH262097 KJD262074:KJD262097 KSZ262074:KSZ262097 LCV262074:LCV262097 LMR262074:LMR262097 LWN262074:LWN262097 MGJ262074:MGJ262097 MQF262074:MQF262097 NAB262074:NAB262097 NJX262074:NJX262097 NTT262074:NTT262097 ODP262074:ODP262097 ONL262074:ONL262097 OXH262074:OXH262097 PHD262074:PHD262097 PQZ262074:PQZ262097 QAV262074:QAV262097 QKR262074:QKR262097 QUN262074:QUN262097 REJ262074:REJ262097 ROF262074:ROF262097 RYB262074:RYB262097 SHX262074:SHX262097 SRT262074:SRT262097 TBP262074:TBP262097 TLL262074:TLL262097 TVH262074:TVH262097 UFD262074:UFD262097 UOZ262074:UOZ262097 UYV262074:UYV262097 VIR262074:VIR262097 VSN262074:VSN262097 WCJ262074:WCJ262097 WMF262074:WMF262097 WWB262074:WWB262097 T327639:T327662 JP327610:JP327633 TL327610:TL327633 ADH327610:ADH327633 AND327610:AND327633 AWZ327610:AWZ327633 BGV327610:BGV327633 BQR327610:BQR327633 CAN327610:CAN327633 CKJ327610:CKJ327633 CUF327610:CUF327633 DEB327610:DEB327633 DNX327610:DNX327633 DXT327610:DXT327633 EHP327610:EHP327633 ERL327610:ERL327633 FBH327610:FBH327633 FLD327610:FLD327633 FUZ327610:FUZ327633 GEV327610:GEV327633 GOR327610:GOR327633 GYN327610:GYN327633 HIJ327610:HIJ327633 HSF327610:HSF327633 ICB327610:ICB327633 ILX327610:ILX327633 IVT327610:IVT327633 JFP327610:JFP327633 JPL327610:JPL327633 JZH327610:JZH327633 KJD327610:KJD327633 KSZ327610:KSZ327633 LCV327610:LCV327633 LMR327610:LMR327633 LWN327610:LWN327633 MGJ327610:MGJ327633 MQF327610:MQF327633 NAB327610:NAB327633 NJX327610:NJX327633 NTT327610:NTT327633 ODP327610:ODP327633 ONL327610:ONL327633 OXH327610:OXH327633 PHD327610:PHD327633 PQZ327610:PQZ327633 QAV327610:QAV327633 QKR327610:QKR327633 QUN327610:QUN327633 REJ327610:REJ327633 ROF327610:ROF327633 RYB327610:RYB327633 SHX327610:SHX327633 SRT327610:SRT327633 TBP327610:TBP327633 TLL327610:TLL327633 TVH327610:TVH327633 UFD327610:UFD327633 UOZ327610:UOZ327633 UYV327610:UYV327633 VIR327610:VIR327633 VSN327610:VSN327633 WCJ327610:WCJ327633 WMF327610:WMF327633 WWB327610:WWB327633 T393175:T393198 JP393146:JP393169 TL393146:TL393169 ADH393146:ADH393169 AND393146:AND393169 AWZ393146:AWZ393169 BGV393146:BGV393169 BQR393146:BQR393169 CAN393146:CAN393169 CKJ393146:CKJ393169 CUF393146:CUF393169 DEB393146:DEB393169 DNX393146:DNX393169 DXT393146:DXT393169 EHP393146:EHP393169 ERL393146:ERL393169 FBH393146:FBH393169 FLD393146:FLD393169 FUZ393146:FUZ393169 GEV393146:GEV393169 GOR393146:GOR393169 GYN393146:GYN393169 HIJ393146:HIJ393169 HSF393146:HSF393169 ICB393146:ICB393169 ILX393146:ILX393169 IVT393146:IVT393169 JFP393146:JFP393169 JPL393146:JPL393169 JZH393146:JZH393169 KJD393146:KJD393169 KSZ393146:KSZ393169 LCV393146:LCV393169 LMR393146:LMR393169 LWN393146:LWN393169 MGJ393146:MGJ393169 MQF393146:MQF393169 NAB393146:NAB393169 NJX393146:NJX393169 NTT393146:NTT393169 ODP393146:ODP393169 ONL393146:ONL393169 OXH393146:OXH393169 PHD393146:PHD393169 PQZ393146:PQZ393169 QAV393146:QAV393169 QKR393146:QKR393169 QUN393146:QUN393169 REJ393146:REJ393169 ROF393146:ROF393169 RYB393146:RYB393169 SHX393146:SHX393169 SRT393146:SRT393169 TBP393146:TBP393169 TLL393146:TLL393169 TVH393146:TVH393169 UFD393146:UFD393169 UOZ393146:UOZ393169 UYV393146:UYV393169 VIR393146:VIR393169 VSN393146:VSN393169 WCJ393146:WCJ393169 WMF393146:WMF393169 WWB393146:WWB393169 T458711:T458734 JP458682:JP458705 TL458682:TL458705 ADH458682:ADH458705 AND458682:AND458705 AWZ458682:AWZ458705 BGV458682:BGV458705 BQR458682:BQR458705 CAN458682:CAN458705 CKJ458682:CKJ458705 CUF458682:CUF458705 DEB458682:DEB458705 DNX458682:DNX458705 DXT458682:DXT458705 EHP458682:EHP458705 ERL458682:ERL458705 FBH458682:FBH458705 FLD458682:FLD458705 FUZ458682:FUZ458705 GEV458682:GEV458705 GOR458682:GOR458705 GYN458682:GYN458705 HIJ458682:HIJ458705 HSF458682:HSF458705 ICB458682:ICB458705 ILX458682:ILX458705 IVT458682:IVT458705 JFP458682:JFP458705 JPL458682:JPL458705 JZH458682:JZH458705 KJD458682:KJD458705 KSZ458682:KSZ458705 LCV458682:LCV458705 LMR458682:LMR458705 LWN458682:LWN458705 MGJ458682:MGJ458705 MQF458682:MQF458705 NAB458682:NAB458705 NJX458682:NJX458705 NTT458682:NTT458705 ODP458682:ODP458705 ONL458682:ONL458705 OXH458682:OXH458705 PHD458682:PHD458705 PQZ458682:PQZ458705 QAV458682:QAV458705 QKR458682:QKR458705 QUN458682:QUN458705 REJ458682:REJ458705 ROF458682:ROF458705 RYB458682:RYB458705 SHX458682:SHX458705 SRT458682:SRT458705 TBP458682:TBP458705 TLL458682:TLL458705 TVH458682:TVH458705 UFD458682:UFD458705 UOZ458682:UOZ458705 UYV458682:UYV458705 VIR458682:VIR458705 VSN458682:VSN458705 WCJ458682:WCJ458705 WMF458682:WMF458705 WWB458682:WWB458705 T524247:T524270 JP524218:JP524241 TL524218:TL524241 ADH524218:ADH524241 AND524218:AND524241 AWZ524218:AWZ524241 BGV524218:BGV524241 BQR524218:BQR524241 CAN524218:CAN524241 CKJ524218:CKJ524241 CUF524218:CUF524241 DEB524218:DEB524241 DNX524218:DNX524241 DXT524218:DXT524241 EHP524218:EHP524241 ERL524218:ERL524241 FBH524218:FBH524241 FLD524218:FLD524241 FUZ524218:FUZ524241 GEV524218:GEV524241 GOR524218:GOR524241 GYN524218:GYN524241 HIJ524218:HIJ524241 HSF524218:HSF524241 ICB524218:ICB524241 ILX524218:ILX524241 IVT524218:IVT524241 JFP524218:JFP524241 JPL524218:JPL524241 JZH524218:JZH524241 KJD524218:KJD524241 KSZ524218:KSZ524241 LCV524218:LCV524241 LMR524218:LMR524241 LWN524218:LWN524241 MGJ524218:MGJ524241 MQF524218:MQF524241 NAB524218:NAB524241 NJX524218:NJX524241 NTT524218:NTT524241 ODP524218:ODP524241 ONL524218:ONL524241 OXH524218:OXH524241 PHD524218:PHD524241 PQZ524218:PQZ524241 QAV524218:QAV524241 QKR524218:QKR524241 QUN524218:QUN524241 REJ524218:REJ524241 ROF524218:ROF524241 RYB524218:RYB524241 SHX524218:SHX524241 SRT524218:SRT524241 TBP524218:TBP524241 TLL524218:TLL524241 TVH524218:TVH524241 UFD524218:UFD524241 UOZ524218:UOZ524241 UYV524218:UYV524241 VIR524218:VIR524241 VSN524218:VSN524241 WCJ524218:WCJ524241 WMF524218:WMF524241 WWB524218:WWB524241 T589783:T589806 JP589754:JP589777 TL589754:TL589777 ADH589754:ADH589777 AND589754:AND589777 AWZ589754:AWZ589777 BGV589754:BGV589777 BQR589754:BQR589777 CAN589754:CAN589777 CKJ589754:CKJ589777 CUF589754:CUF589777 DEB589754:DEB589777 DNX589754:DNX589777 DXT589754:DXT589777 EHP589754:EHP589777 ERL589754:ERL589777 FBH589754:FBH589777 FLD589754:FLD589777 FUZ589754:FUZ589777 GEV589754:GEV589777 GOR589754:GOR589777 GYN589754:GYN589777 HIJ589754:HIJ589777 HSF589754:HSF589777 ICB589754:ICB589777 ILX589754:ILX589777 IVT589754:IVT589777 JFP589754:JFP589777 JPL589754:JPL589777 JZH589754:JZH589777 KJD589754:KJD589777 KSZ589754:KSZ589777 LCV589754:LCV589777 LMR589754:LMR589777 LWN589754:LWN589777 MGJ589754:MGJ589777 MQF589754:MQF589777 NAB589754:NAB589777 NJX589754:NJX589777 NTT589754:NTT589777 ODP589754:ODP589777 ONL589754:ONL589777 OXH589754:OXH589777 PHD589754:PHD589777 PQZ589754:PQZ589777 QAV589754:QAV589777 QKR589754:QKR589777 QUN589754:QUN589777 REJ589754:REJ589777 ROF589754:ROF589777 RYB589754:RYB589777 SHX589754:SHX589777 SRT589754:SRT589777 TBP589754:TBP589777 TLL589754:TLL589777 TVH589754:TVH589777 UFD589754:UFD589777 UOZ589754:UOZ589777 UYV589754:UYV589777 VIR589754:VIR589777 VSN589754:VSN589777 WCJ589754:WCJ589777 WMF589754:WMF589777 WWB589754:WWB589777 T655319:T655342 JP655290:JP655313 TL655290:TL655313 ADH655290:ADH655313 AND655290:AND655313 AWZ655290:AWZ655313 BGV655290:BGV655313 BQR655290:BQR655313 CAN655290:CAN655313 CKJ655290:CKJ655313 CUF655290:CUF655313 DEB655290:DEB655313 DNX655290:DNX655313 DXT655290:DXT655313 EHP655290:EHP655313 ERL655290:ERL655313 FBH655290:FBH655313 FLD655290:FLD655313 FUZ655290:FUZ655313 GEV655290:GEV655313 GOR655290:GOR655313 GYN655290:GYN655313 HIJ655290:HIJ655313 HSF655290:HSF655313 ICB655290:ICB655313 ILX655290:ILX655313 IVT655290:IVT655313 JFP655290:JFP655313 JPL655290:JPL655313 JZH655290:JZH655313 KJD655290:KJD655313 KSZ655290:KSZ655313 LCV655290:LCV655313 LMR655290:LMR655313 LWN655290:LWN655313 MGJ655290:MGJ655313 MQF655290:MQF655313 NAB655290:NAB655313 NJX655290:NJX655313 NTT655290:NTT655313 ODP655290:ODP655313 ONL655290:ONL655313 OXH655290:OXH655313 PHD655290:PHD655313 PQZ655290:PQZ655313 QAV655290:QAV655313 QKR655290:QKR655313 QUN655290:QUN655313 REJ655290:REJ655313 ROF655290:ROF655313 RYB655290:RYB655313 SHX655290:SHX655313 SRT655290:SRT655313 TBP655290:TBP655313 TLL655290:TLL655313 TVH655290:TVH655313 UFD655290:UFD655313 UOZ655290:UOZ655313 UYV655290:UYV655313 VIR655290:VIR655313 VSN655290:VSN655313 WCJ655290:WCJ655313 WMF655290:WMF655313 WWB655290:WWB655313 T720855:T720878 JP720826:JP720849 TL720826:TL720849 ADH720826:ADH720849 AND720826:AND720849 AWZ720826:AWZ720849 BGV720826:BGV720849 BQR720826:BQR720849 CAN720826:CAN720849 CKJ720826:CKJ720849 CUF720826:CUF720849 DEB720826:DEB720849 DNX720826:DNX720849 DXT720826:DXT720849 EHP720826:EHP720849 ERL720826:ERL720849 FBH720826:FBH720849 FLD720826:FLD720849 FUZ720826:FUZ720849 GEV720826:GEV720849 GOR720826:GOR720849 GYN720826:GYN720849 HIJ720826:HIJ720849 HSF720826:HSF720849 ICB720826:ICB720849 ILX720826:ILX720849 IVT720826:IVT720849 JFP720826:JFP720849 JPL720826:JPL720849 JZH720826:JZH720849 KJD720826:KJD720849 KSZ720826:KSZ720849 LCV720826:LCV720849 LMR720826:LMR720849 LWN720826:LWN720849 MGJ720826:MGJ720849 MQF720826:MQF720849 NAB720826:NAB720849 NJX720826:NJX720849 NTT720826:NTT720849 ODP720826:ODP720849 ONL720826:ONL720849 OXH720826:OXH720849 PHD720826:PHD720849 PQZ720826:PQZ720849 QAV720826:QAV720849 QKR720826:QKR720849 QUN720826:QUN720849 REJ720826:REJ720849 ROF720826:ROF720849 RYB720826:RYB720849 SHX720826:SHX720849 SRT720826:SRT720849 TBP720826:TBP720849 TLL720826:TLL720849 TVH720826:TVH720849 UFD720826:UFD720849 UOZ720826:UOZ720849 UYV720826:UYV720849 VIR720826:VIR720849 VSN720826:VSN720849 WCJ720826:WCJ720849 WMF720826:WMF720849 WWB720826:WWB720849 T786391:T786414 JP786362:JP786385 TL786362:TL786385 ADH786362:ADH786385 AND786362:AND786385 AWZ786362:AWZ786385 BGV786362:BGV786385 BQR786362:BQR786385 CAN786362:CAN786385 CKJ786362:CKJ786385 CUF786362:CUF786385 DEB786362:DEB786385 DNX786362:DNX786385 DXT786362:DXT786385 EHP786362:EHP786385 ERL786362:ERL786385 FBH786362:FBH786385 FLD786362:FLD786385 FUZ786362:FUZ786385 GEV786362:GEV786385 GOR786362:GOR786385 GYN786362:GYN786385 HIJ786362:HIJ786385 HSF786362:HSF786385 ICB786362:ICB786385 ILX786362:ILX786385 IVT786362:IVT786385 JFP786362:JFP786385 JPL786362:JPL786385 JZH786362:JZH786385 KJD786362:KJD786385 KSZ786362:KSZ786385 LCV786362:LCV786385 LMR786362:LMR786385 LWN786362:LWN786385 MGJ786362:MGJ786385 MQF786362:MQF786385 NAB786362:NAB786385 NJX786362:NJX786385 NTT786362:NTT786385 ODP786362:ODP786385 ONL786362:ONL786385 OXH786362:OXH786385 PHD786362:PHD786385 PQZ786362:PQZ786385 QAV786362:QAV786385 QKR786362:QKR786385 QUN786362:QUN786385 REJ786362:REJ786385 ROF786362:ROF786385 RYB786362:RYB786385 SHX786362:SHX786385 SRT786362:SRT786385 TBP786362:TBP786385 TLL786362:TLL786385 TVH786362:TVH786385 UFD786362:UFD786385 UOZ786362:UOZ786385 UYV786362:UYV786385 VIR786362:VIR786385 VSN786362:VSN786385 WCJ786362:WCJ786385 WMF786362:WMF786385 WWB786362:WWB786385 T851927:T851950 JP851898:JP851921 TL851898:TL851921 ADH851898:ADH851921 AND851898:AND851921 AWZ851898:AWZ851921 BGV851898:BGV851921 BQR851898:BQR851921 CAN851898:CAN851921 CKJ851898:CKJ851921 CUF851898:CUF851921 DEB851898:DEB851921 DNX851898:DNX851921 DXT851898:DXT851921 EHP851898:EHP851921 ERL851898:ERL851921 FBH851898:FBH851921 FLD851898:FLD851921 FUZ851898:FUZ851921 GEV851898:GEV851921 GOR851898:GOR851921 GYN851898:GYN851921 HIJ851898:HIJ851921 HSF851898:HSF851921 ICB851898:ICB851921 ILX851898:ILX851921 IVT851898:IVT851921 JFP851898:JFP851921 JPL851898:JPL851921 JZH851898:JZH851921 KJD851898:KJD851921 KSZ851898:KSZ851921 LCV851898:LCV851921 LMR851898:LMR851921 LWN851898:LWN851921 MGJ851898:MGJ851921 MQF851898:MQF851921 NAB851898:NAB851921 NJX851898:NJX851921 NTT851898:NTT851921 ODP851898:ODP851921 ONL851898:ONL851921 OXH851898:OXH851921 PHD851898:PHD851921 PQZ851898:PQZ851921 QAV851898:QAV851921 QKR851898:QKR851921 QUN851898:QUN851921 REJ851898:REJ851921 ROF851898:ROF851921 RYB851898:RYB851921 SHX851898:SHX851921 SRT851898:SRT851921 TBP851898:TBP851921 TLL851898:TLL851921 TVH851898:TVH851921 UFD851898:UFD851921 UOZ851898:UOZ851921 UYV851898:UYV851921 VIR851898:VIR851921 VSN851898:VSN851921 WCJ851898:WCJ851921 WMF851898:WMF851921 WWB851898:WWB851921 T917463:T917486 JP917434:JP917457 TL917434:TL917457 ADH917434:ADH917457 AND917434:AND917457 AWZ917434:AWZ917457 BGV917434:BGV917457 BQR917434:BQR917457 CAN917434:CAN917457 CKJ917434:CKJ917457 CUF917434:CUF917457 DEB917434:DEB917457 DNX917434:DNX917457 DXT917434:DXT917457 EHP917434:EHP917457 ERL917434:ERL917457 FBH917434:FBH917457 FLD917434:FLD917457 FUZ917434:FUZ917457 GEV917434:GEV917457 GOR917434:GOR917457 GYN917434:GYN917457 HIJ917434:HIJ917457 HSF917434:HSF917457 ICB917434:ICB917457 ILX917434:ILX917457 IVT917434:IVT917457 JFP917434:JFP917457 JPL917434:JPL917457 JZH917434:JZH917457 KJD917434:KJD917457 KSZ917434:KSZ917457 LCV917434:LCV917457 LMR917434:LMR917457 LWN917434:LWN917457 MGJ917434:MGJ917457 MQF917434:MQF917457 NAB917434:NAB917457 NJX917434:NJX917457 NTT917434:NTT917457 ODP917434:ODP917457 ONL917434:ONL917457 OXH917434:OXH917457 PHD917434:PHD917457 PQZ917434:PQZ917457 QAV917434:QAV917457 QKR917434:QKR917457 QUN917434:QUN917457 REJ917434:REJ917457 ROF917434:ROF917457 RYB917434:RYB917457 SHX917434:SHX917457 SRT917434:SRT917457 TBP917434:TBP917457 TLL917434:TLL917457 TVH917434:TVH917457 UFD917434:UFD917457 UOZ917434:UOZ917457 UYV917434:UYV917457 VIR917434:VIR917457 VSN917434:VSN917457 WCJ917434:WCJ917457 WMF917434:WMF917457 WWB917434:WWB917457 T982999:T983022 JP982970:JP982993 TL982970:TL982993 ADH982970:ADH982993 AND982970:AND982993 AWZ982970:AWZ982993 BGV982970:BGV982993 BQR982970:BQR982993 CAN982970:CAN982993 CKJ982970:CKJ982993 CUF982970:CUF982993 DEB982970:DEB982993 DNX982970:DNX982993 DXT982970:DXT982993 EHP982970:EHP982993 ERL982970:ERL982993 FBH982970:FBH982993 FLD982970:FLD982993 FUZ982970:FUZ982993 GEV982970:GEV982993 GOR982970:GOR982993 GYN982970:GYN982993 HIJ982970:HIJ982993 HSF982970:HSF982993 ICB982970:ICB982993 ILX982970:ILX982993 IVT982970:IVT982993 JFP982970:JFP982993 JPL982970:JPL982993 JZH982970:JZH982993 KJD982970:KJD982993 KSZ982970:KSZ982993 LCV982970:LCV982993 LMR982970:LMR982993 LWN982970:LWN982993 MGJ982970:MGJ982993 MQF982970:MQF982993 NAB982970:NAB982993 NJX982970:NJX982993 NTT982970:NTT982993 ODP982970:ODP982993 ONL982970:ONL982993 OXH982970:OXH982993 PHD982970:PHD982993 PQZ982970:PQZ982993 QAV982970:QAV982993 QKR982970:QKR982993 QUN982970:QUN982993 REJ982970:REJ982993 ROF982970:ROF982993 RYB982970:RYB982993 SHX982970:SHX982993 SRT982970:SRT982993 TBP982970:TBP982993 TLL982970:TLL982993 TVH982970:TVH982993 UFD982970:UFD982993 UOZ982970:UOZ982993 UYV982970:UYV982993 VIR982970:VIR982993 VSN982970:VSN982993 WCJ982970:WCJ982993 WMF982970:WMF982993 WWB982970:WWB982993 T65495:T65518 WWC10:WWC1811 WMG10:WMG1811 WCK10:WCK1811 VSO10:VSO1811 VIS10:VIS1811 UYW10:UYW1811 UPA10:UPA1811 UFE10:UFE1811 TVI10:TVI1811 TLM10:TLM1811 TBQ10:TBQ1811 SRU10:SRU1811 SHY10:SHY1811 RYC10:RYC1811 ROG10:ROG1811 REK10:REK1811 QUO10:QUO1811 QKS10:QKS1811 QAW10:QAW1811 PRA10:PRA1811 PHE10:PHE1811 OXI10:OXI1811 ONM10:ONM1811 ODQ10:ODQ1811 NTU10:NTU1811 NJY10:NJY1811 NAC10:NAC1811 MQG10:MQG1811 MGK10:MGK1811 LWO10:LWO1811 LMS10:LMS1811 LCW10:LCW1811 KTA10:KTA1811 KJE10:KJE1811 JZI10:JZI1811 JPM10:JPM1811 JFQ10:JFQ1811 IVU10:IVU1811 ILY10:ILY1811 ICC10:ICC1811 HSG10:HSG1811 HIK10:HIK1811 GYO10:GYO1811 GOS10:GOS1811 GEW10:GEW1811 FVA10:FVA1811 FLE10:FLE1811 FBI10:FBI1811 ERM10:ERM1811 EHQ10:EHQ1811 DXU10:DXU1811 DNY10:DNY1811 DEC10:DEC1811 CUG10:CUG1811 CKK10:CKK1811 CAO10:CAO1811 BQS10:BQS1811 BGW10:BGW1811 AXA10:AXA1811 ANE10:ANE1811 ADI10:ADI1811 TM10:TM1811 JQ10:JQ1811" xr:uid="{00000000-0002-0000-2300-000007000000}"/>
    <dataValidation type="list" allowBlank="1" showInputMessage="1" showErrorMessage="1" sqref="X65494:X65518 JT65465:JT65489 TP65465:TP65489 ADL65465:ADL65489 ANH65465:ANH65489 AXD65465:AXD65489 BGZ65465:BGZ65489 BQV65465:BQV65489 CAR65465:CAR65489 CKN65465:CKN65489 CUJ65465:CUJ65489 DEF65465:DEF65489 DOB65465:DOB65489 DXX65465:DXX65489 EHT65465:EHT65489 ERP65465:ERP65489 FBL65465:FBL65489 FLH65465:FLH65489 FVD65465:FVD65489 GEZ65465:GEZ65489 GOV65465:GOV65489 GYR65465:GYR65489 HIN65465:HIN65489 HSJ65465:HSJ65489 ICF65465:ICF65489 IMB65465:IMB65489 IVX65465:IVX65489 JFT65465:JFT65489 JPP65465:JPP65489 JZL65465:JZL65489 KJH65465:KJH65489 KTD65465:KTD65489 LCZ65465:LCZ65489 LMV65465:LMV65489 LWR65465:LWR65489 MGN65465:MGN65489 MQJ65465:MQJ65489 NAF65465:NAF65489 NKB65465:NKB65489 NTX65465:NTX65489 ODT65465:ODT65489 ONP65465:ONP65489 OXL65465:OXL65489 PHH65465:PHH65489 PRD65465:PRD65489 QAZ65465:QAZ65489 QKV65465:QKV65489 QUR65465:QUR65489 REN65465:REN65489 ROJ65465:ROJ65489 RYF65465:RYF65489 SIB65465:SIB65489 SRX65465:SRX65489 TBT65465:TBT65489 TLP65465:TLP65489 TVL65465:TVL65489 UFH65465:UFH65489 UPD65465:UPD65489 UYZ65465:UYZ65489 VIV65465:VIV65489 VSR65465:VSR65489 WCN65465:WCN65489 WMJ65465:WMJ65489 WWF65465:WWF65489 X131030:X131054 JT131001:JT131025 TP131001:TP131025 ADL131001:ADL131025 ANH131001:ANH131025 AXD131001:AXD131025 BGZ131001:BGZ131025 BQV131001:BQV131025 CAR131001:CAR131025 CKN131001:CKN131025 CUJ131001:CUJ131025 DEF131001:DEF131025 DOB131001:DOB131025 DXX131001:DXX131025 EHT131001:EHT131025 ERP131001:ERP131025 FBL131001:FBL131025 FLH131001:FLH131025 FVD131001:FVD131025 GEZ131001:GEZ131025 GOV131001:GOV131025 GYR131001:GYR131025 HIN131001:HIN131025 HSJ131001:HSJ131025 ICF131001:ICF131025 IMB131001:IMB131025 IVX131001:IVX131025 JFT131001:JFT131025 JPP131001:JPP131025 JZL131001:JZL131025 KJH131001:KJH131025 KTD131001:KTD131025 LCZ131001:LCZ131025 LMV131001:LMV131025 LWR131001:LWR131025 MGN131001:MGN131025 MQJ131001:MQJ131025 NAF131001:NAF131025 NKB131001:NKB131025 NTX131001:NTX131025 ODT131001:ODT131025 ONP131001:ONP131025 OXL131001:OXL131025 PHH131001:PHH131025 PRD131001:PRD131025 QAZ131001:QAZ131025 QKV131001:QKV131025 QUR131001:QUR131025 REN131001:REN131025 ROJ131001:ROJ131025 RYF131001:RYF131025 SIB131001:SIB131025 SRX131001:SRX131025 TBT131001:TBT131025 TLP131001:TLP131025 TVL131001:TVL131025 UFH131001:UFH131025 UPD131001:UPD131025 UYZ131001:UYZ131025 VIV131001:VIV131025 VSR131001:VSR131025 WCN131001:WCN131025 WMJ131001:WMJ131025 WWF131001:WWF131025 X196566:X196590 JT196537:JT196561 TP196537:TP196561 ADL196537:ADL196561 ANH196537:ANH196561 AXD196537:AXD196561 BGZ196537:BGZ196561 BQV196537:BQV196561 CAR196537:CAR196561 CKN196537:CKN196561 CUJ196537:CUJ196561 DEF196537:DEF196561 DOB196537:DOB196561 DXX196537:DXX196561 EHT196537:EHT196561 ERP196537:ERP196561 FBL196537:FBL196561 FLH196537:FLH196561 FVD196537:FVD196561 GEZ196537:GEZ196561 GOV196537:GOV196561 GYR196537:GYR196561 HIN196537:HIN196561 HSJ196537:HSJ196561 ICF196537:ICF196561 IMB196537:IMB196561 IVX196537:IVX196561 JFT196537:JFT196561 JPP196537:JPP196561 JZL196537:JZL196561 KJH196537:KJH196561 KTD196537:KTD196561 LCZ196537:LCZ196561 LMV196537:LMV196561 LWR196537:LWR196561 MGN196537:MGN196561 MQJ196537:MQJ196561 NAF196537:NAF196561 NKB196537:NKB196561 NTX196537:NTX196561 ODT196537:ODT196561 ONP196537:ONP196561 OXL196537:OXL196561 PHH196537:PHH196561 PRD196537:PRD196561 QAZ196537:QAZ196561 QKV196537:QKV196561 QUR196537:QUR196561 REN196537:REN196561 ROJ196537:ROJ196561 RYF196537:RYF196561 SIB196537:SIB196561 SRX196537:SRX196561 TBT196537:TBT196561 TLP196537:TLP196561 TVL196537:TVL196561 UFH196537:UFH196561 UPD196537:UPD196561 UYZ196537:UYZ196561 VIV196537:VIV196561 VSR196537:VSR196561 WCN196537:WCN196561 WMJ196537:WMJ196561 WWF196537:WWF196561 X262102:X262126 JT262073:JT262097 TP262073:TP262097 ADL262073:ADL262097 ANH262073:ANH262097 AXD262073:AXD262097 BGZ262073:BGZ262097 BQV262073:BQV262097 CAR262073:CAR262097 CKN262073:CKN262097 CUJ262073:CUJ262097 DEF262073:DEF262097 DOB262073:DOB262097 DXX262073:DXX262097 EHT262073:EHT262097 ERP262073:ERP262097 FBL262073:FBL262097 FLH262073:FLH262097 FVD262073:FVD262097 GEZ262073:GEZ262097 GOV262073:GOV262097 GYR262073:GYR262097 HIN262073:HIN262097 HSJ262073:HSJ262097 ICF262073:ICF262097 IMB262073:IMB262097 IVX262073:IVX262097 JFT262073:JFT262097 JPP262073:JPP262097 JZL262073:JZL262097 KJH262073:KJH262097 KTD262073:KTD262097 LCZ262073:LCZ262097 LMV262073:LMV262097 LWR262073:LWR262097 MGN262073:MGN262097 MQJ262073:MQJ262097 NAF262073:NAF262097 NKB262073:NKB262097 NTX262073:NTX262097 ODT262073:ODT262097 ONP262073:ONP262097 OXL262073:OXL262097 PHH262073:PHH262097 PRD262073:PRD262097 QAZ262073:QAZ262097 QKV262073:QKV262097 QUR262073:QUR262097 REN262073:REN262097 ROJ262073:ROJ262097 RYF262073:RYF262097 SIB262073:SIB262097 SRX262073:SRX262097 TBT262073:TBT262097 TLP262073:TLP262097 TVL262073:TVL262097 UFH262073:UFH262097 UPD262073:UPD262097 UYZ262073:UYZ262097 VIV262073:VIV262097 VSR262073:VSR262097 WCN262073:WCN262097 WMJ262073:WMJ262097 WWF262073:WWF262097 X327638:X327662 JT327609:JT327633 TP327609:TP327633 ADL327609:ADL327633 ANH327609:ANH327633 AXD327609:AXD327633 BGZ327609:BGZ327633 BQV327609:BQV327633 CAR327609:CAR327633 CKN327609:CKN327633 CUJ327609:CUJ327633 DEF327609:DEF327633 DOB327609:DOB327633 DXX327609:DXX327633 EHT327609:EHT327633 ERP327609:ERP327633 FBL327609:FBL327633 FLH327609:FLH327633 FVD327609:FVD327633 GEZ327609:GEZ327633 GOV327609:GOV327633 GYR327609:GYR327633 HIN327609:HIN327633 HSJ327609:HSJ327633 ICF327609:ICF327633 IMB327609:IMB327633 IVX327609:IVX327633 JFT327609:JFT327633 JPP327609:JPP327633 JZL327609:JZL327633 KJH327609:KJH327633 KTD327609:KTD327633 LCZ327609:LCZ327633 LMV327609:LMV327633 LWR327609:LWR327633 MGN327609:MGN327633 MQJ327609:MQJ327633 NAF327609:NAF327633 NKB327609:NKB327633 NTX327609:NTX327633 ODT327609:ODT327633 ONP327609:ONP327633 OXL327609:OXL327633 PHH327609:PHH327633 PRD327609:PRD327633 QAZ327609:QAZ327633 QKV327609:QKV327633 QUR327609:QUR327633 REN327609:REN327633 ROJ327609:ROJ327633 RYF327609:RYF327633 SIB327609:SIB327633 SRX327609:SRX327633 TBT327609:TBT327633 TLP327609:TLP327633 TVL327609:TVL327633 UFH327609:UFH327633 UPD327609:UPD327633 UYZ327609:UYZ327633 VIV327609:VIV327633 VSR327609:VSR327633 WCN327609:WCN327633 WMJ327609:WMJ327633 WWF327609:WWF327633 X393174:X393198 JT393145:JT393169 TP393145:TP393169 ADL393145:ADL393169 ANH393145:ANH393169 AXD393145:AXD393169 BGZ393145:BGZ393169 BQV393145:BQV393169 CAR393145:CAR393169 CKN393145:CKN393169 CUJ393145:CUJ393169 DEF393145:DEF393169 DOB393145:DOB393169 DXX393145:DXX393169 EHT393145:EHT393169 ERP393145:ERP393169 FBL393145:FBL393169 FLH393145:FLH393169 FVD393145:FVD393169 GEZ393145:GEZ393169 GOV393145:GOV393169 GYR393145:GYR393169 HIN393145:HIN393169 HSJ393145:HSJ393169 ICF393145:ICF393169 IMB393145:IMB393169 IVX393145:IVX393169 JFT393145:JFT393169 JPP393145:JPP393169 JZL393145:JZL393169 KJH393145:KJH393169 KTD393145:KTD393169 LCZ393145:LCZ393169 LMV393145:LMV393169 LWR393145:LWR393169 MGN393145:MGN393169 MQJ393145:MQJ393169 NAF393145:NAF393169 NKB393145:NKB393169 NTX393145:NTX393169 ODT393145:ODT393169 ONP393145:ONP393169 OXL393145:OXL393169 PHH393145:PHH393169 PRD393145:PRD393169 QAZ393145:QAZ393169 QKV393145:QKV393169 QUR393145:QUR393169 REN393145:REN393169 ROJ393145:ROJ393169 RYF393145:RYF393169 SIB393145:SIB393169 SRX393145:SRX393169 TBT393145:TBT393169 TLP393145:TLP393169 TVL393145:TVL393169 UFH393145:UFH393169 UPD393145:UPD393169 UYZ393145:UYZ393169 VIV393145:VIV393169 VSR393145:VSR393169 WCN393145:WCN393169 WMJ393145:WMJ393169 WWF393145:WWF393169 X458710:X458734 JT458681:JT458705 TP458681:TP458705 ADL458681:ADL458705 ANH458681:ANH458705 AXD458681:AXD458705 BGZ458681:BGZ458705 BQV458681:BQV458705 CAR458681:CAR458705 CKN458681:CKN458705 CUJ458681:CUJ458705 DEF458681:DEF458705 DOB458681:DOB458705 DXX458681:DXX458705 EHT458681:EHT458705 ERP458681:ERP458705 FBL458681:FBL458705 FLH458681:FLH458705 FVD458681:FVD458705 GEZ458681:GEZ458705 GOV458681:GOV458705 GYR458681:GYR458705 HIN458681:HIN458705 HSJ458681:HSJ458705 ICF458681:ICF458705 IMB458681:IMB458705 IVX458681:IVX458705 JFT458681:JFT458705 JPP458681:JPP458705 JZL458681:JZL458705 KJH458681:KJH458705 KTD458681:KTD458705 LCZ458681:LCZ458705 LMV458681:LMV458705 LWR458681:LWR458705 MGN458681:MGN458705 MQJ458681:MQJ458705 NAF458681:NAF458705 NKB458681:NKB458705 NTX458681:NTX458705 ODT458681:ODT458705 ONP458681:ONP458705 OXL458681:OXL458705 PHH458681:PHH458705 PRD458681:PRD458705 QAZ458681:QAZ458705 QKV458681:QKV458705 QUR458681:QUR458705 REN458681:REN458705 ROJ458681:ROJ458705 RYF458681:RYF458705 SIB458681:SIB458705 SRX458681:SRX458705 TBT458681:TBT458705 TLP458681:TLP458705 TVL458681:TVL458705 UFH458681:UFH458705 UPD458681:UPD458705 UYZ458681:UYZ458705 VIV458681:VIV458705 VSR458681:VSR458705 WCN458681:WCN458705 WMJ458681:WMJ458705 WWF458681:WWF458705 X524246:X524270 JT524217:JT524241 TP524217:TP524241 ADL524217:ADL524241 ANH524217:ANH524241 AXD524217:AXD524241 BGZ524217:BGZ524241 BQV524217:BQV524241 CAR524217:CAR524241 CKN524217:CKN524241 CUJ524217:CUJ524241 DEF524217:DEF524241 DOB524217:DOB524241 DXX524217:DXX524241 EHT524217:EHT524241 ERP524217:ERP524241 FBL524217:FBL524241 FLH524217:FLH524241 FVD524217:FVD524241 GEZ524217:GEZ524241 GOV524217:GOV524241 GYR524217:GYR524241 HIN524217:HIN524241 HSJ524217:HSJ524241 ICF524217:ICF524241 IMB524217:IMB524241 IVX524217:IVX524241 JFT524217:JFT524241 JPP524217:JPP524241 JZL524217:JZL524241 KJH524217:KJH524241 KTD524217:KTD524241 LCZ524217:LCZ524241 LMV524217:LMV524241 LWR524217:LWR524241 MGN524217:MGN524241 MQJ524217:MQJ524241 NAF524217:NAF524241 NKB524217:NKB524241 NTX524217:NTX524241 ODT524217:ODT524241 ONP524217:ONP524241 OXL524217:OXL524241 PHH524217:PHH524241 PRD524217:PRD524241 QAZ524217:QAZ524241 QKV524217:QKV524241 QUR524217:QUR524241 REN524217:REN524241 ROJ524217:ROJ524241 RYF524217:RYF524241 SIB524217:SIB524241 SRX524217:SRX524241 TBT524217:TBT524241 TLP524217:TLP524241 TVL524217:TVL524241 UFH524217:UFH524241 UPD524217:UPD524241 UYZ524217:UYZ524241 VIV524217:VIV524241 VSR524217:VSR524241 WCN524217:WCN524241 WMJ524217:WMJ524241 WWF524217:WWF524241 X589782:X589806 JT589753:JT589777 TP589753:TP589777 ADL589753:ADL589777 ANH589753:ANH589777 AXD589753:AXD589777 BGZ589753:BGZ589777 BQV589753:BQV589777 CAR589753:CAR589777 CKN589753:CKN589777 CUJ589753:CUJ589777 DEF589753:DEF589777 DOB589753:DOB589777 DXX589753:DXX589777 EHT589753:EHT589777 ERP589753:ERP589777 FBL589753:FBL589777 FLH589753:FLH589777 FVD589753:FVD589777 GEZ589753:GEZ589777 GOV589753:GOV589777 GYR589753:GYR589777 HIN589753:HIN589777 HSJ589753:HSJ589777 ICF589753:ICF589777 IMB589753:IMB589777 IVX589753:IVX589777 JFT589753:JFT589777 JPP589753:JPP589777 JZL589753:JZL589777 KJH589753:KJH589777 KTD589753:KTD589777 LCZ589753:LCZ589777 LMV589753:LMV589777 LWR589753:LWR589777 MGN589753:MGN589777 MQJ589753:MQJ589777 NAF589753:NAF589777 NKB589753:NKB589777 NTX589753:NTX589777 ODT589753:ODT589777 ONP589753:ONP589777 OXL589753:OXL589777 PHH589753:PHH589777 PRD589753:PRD589777 QAZ589753:QAZ589777 QKV589753:QKV589777 QUR589753:QUR589777 REN589753:REN589777 ROJ589753:ROJ589777 RYF589753:RYF589777 SIB589753:SIB589777 SRX589753:SRX589777 TBT589753:TBT589777 TLP589753:TLP589777 TVL589753:TVL589777 UFH589753:UFH589777 UPD589753:UPD589777 UYZ589753:UYZ589777 VIV589753:VIV589777 VSR589753:VSR589777 WCN589753:WCN589777 WMJ589753:WMJ589777 WWF589753:WWF589777 X655318:X655342 JT655289:JT655313 TP655289:TP655313 ADL655289:ADL655313 ANH655289:ANH655313 AXD655289:AXD655313 BGZ655289:BGZ655313 BQV655289:BQV655313 CAR655289:CAR655313 CKN655289:CKN655313 CUJ655289:CUJ655313 DEF655289:DEF655313 DOB655289:DOB655313 DXX655289:DXX655313 EHT655289:EHT655313 ERP655289:ERP655313 FBL655289:FBL655313 FLH655289:FLH655313 FVD655289:FVD655313 GEZ655289:GEZ655313 GOV655289:GOV655313 GYR655289:GYR655313 HIN655289:HIN655313 HSJ655289:HSJ655313 ICF655289:ICF655313 IMB655289:IMB655313 IVX655289:IVX655313 JFT655289:JFT655313 JPP655289:JPP655313 JZL655289:JZL655313 KJH655289:KJH655313 KTD655289:KTD655313 LCZ655289:LCZ655313 LMV655289:LMV655313 LWR655289:LWR655313 MGN655289:MGN655313 MQJ655289:MQJ655313 NAF655289:NAF655313 NKB655289:NKB655313 NTX655289:NTX655313 ODT655289:ODT655313 ONP655289:ONP655313 OXL655289:OXL655313 PHH655289:PHH655313 PRD655289:PRD655313 QAZ655289:QAZ655313 QKV655289:QKV655313 QUR655289:QUR655313 REN655289:REN655313 ROJ655289:ROJ655313 RYF655289:RYF655313 SIB655289:SIB655313 SRX655289:SRX655313 TBT655289:TBT655313 TLP655289:TLP655313 TVL655289:TVL655313 UFH655289:UFH655313 UPD655289:UPD655313 UYZ655289:UYZ655313 VIV655289:VIV655313 VSR655289:VSR655313 WCN655289:WCN655313 WMJ655289:WMJ655313 WWF655289:WWF655313 X720854:X720878 JT720825:JT720849 TP720825:TP720849 ADL720825:ADL720849 ANH720825:ANH720849 AXD720825:AXD720849 BGZ720825:BGZ720849 BQV720825:BQV720849 CAR720825:CAR720849 CKN720825:CKN720849 CUJ720825:CUJ720849 DEF720825:DEF720849 DOB720825:DOB720849 DXX720825:DXX720849 EHT720825:EHT720849 ERP720825:ERP720849 FBL720825:FBL720849 FLH720825:FLH720849 FVD720825:FVD720849 GEZ720825:GEZ720849 GOV720825:GOV720849 GYR720825:GYR720849 HIN720825:HIN720849 HSJ720825:HSJ720849 ICF720825:ICF720849 IMB720825:IMB720849 IVX720825:IVX720849 JFT720825:JFT720849 JPP720825:JPP720849 JZL720825:JZL720849 KJH720825:KJH720849 KTD720825:KTD720849 LCZ720825:LCZ720849 LMV720825:LMV720849 LWR720825:LWR720849 MGN720825:MGN720849 MQJ720825:MQJ720849 NAF720825:NAF720849 NKB720825:NKB720849 NTX720825:NTX720849 ODT720825:ODT720849 ONP720825:ONP720849 OXL720825:OXL720849 PHH720825:PHH720849 PRD720825:PRD720849 QAZ720825:QAZ720849 QKV720825:QKV720849 QUR720825:QUR720849 REN720825:REN720849 ROJ720825:ROJ720849 RYF720825:RYF720849 SIB720825:SIB720849 SRX720825:SRX720849 TBT720825:TBT720849 TLP720825:TLP720849 TVL720825:TVL720849 UFH720825:UFH720849 UPD720825:UPD720849 UYZ720825:UYZ720849 VIV720825:VIV720849 VSR720825:VSR720849 WCN720825:WCN720849 WMJ720825:WMJ720849 WWF720825:WWF720849 X786390:X786414 JT786361:JT786385 TP786361:TP786385 ADL786361:ADL786385 ANH786361:ANH786385 AXD786361:AXD786385 BGZ786361:BGZ786385 BQV786361:BQV786385 CAR786361:CAR786385 CKN786361:CKN786385 CUJ786361:CUJ786385 DEF786361:DEF786385 DOB786361:DOB786385 DXX786361:DXX786385 EHT786361:EHT786385 ERP786361:ERP786385 FBL786361:FBL786385 FLH786361:FLH786385 FVD786361:FVD786385 GEZ786361:GEZ786385 GOV786361:GOV786385 GYR786361:GYR786385 HIN786361:HIN786385 HSJ786361:HSJ786385 ICF786361:ICF786385 IMB786361:IMB786385 IVX786361:IVX786385 JFT786361:JFT786385 JPP786361:JPP786385 JZL786361:JZL786385 KJH786361:KJH786385 KTD786361:KTD786385 LCZ786361:LCZ786385 LMV786361:LMV786385 LWR786361:LWR786385 MGN786361:MGN786385 MQJ786361:MQJ786385 NAF786361:NAF786385 NKB786361:NKB786385 NTX786361:NTX786385 ODT786361:ODT786385 ONP786361:ONP786385 OXL786361:OXL786385 PHH786361:PHH786385 PRD786361:PRD786385 QAZ786361:QAZ786385 QKV786361:QKV786385 QUR786361:QUR786385 REN786361:REN786385 ROJ786361:ROJ786385 RYF786361:RYF786385 SIB786361:SIB786385 SRX786361:SRX786385 TBT786361:TBT786385 TLP786361:TLP786385 TVL786361:TVL786385 UFH786361:UFH786385 UPD786361:UPD786385 UYZ786361:UYZ786385 VIV786361:VIV786385 VSR786361:VSR786385 WCN786361:WCN786385 WMJ786361:WMJ786385 WWF786361:WWF786385 X851926:X851950 JT851897:JT851921 TP851897:TP851921 ADL851897:ADL851921 ANH851897:ANH851921 AXD851897:AXD851921 BGZ851897:BGZ851921 BQV851897:BQV851921 CAR851897:CAR851921 CKN851897:CKN851921 CUJ851897:CUJ851921 DEF851897:DEF851921 DOB851897:DOB851921 DXX851897:DXX851921 EHT851897:EHT851921 ERP851897:ERP851921 FBL851897:FBL851921 FLH851897:FLH851921 FVD851897:FVD851921 GEZ851897:GEZ851921 GOV851897:GOV851921 GYR851897:GYR851921 HIN851897:HIN851921 HSJ851897:HSJ851921 ICF851897:ICF851921 IMB851897:IMB851921 IVX851897:IVX851921 JFT851897:JFT851921 JPP851897:JPP851921 JZL851897:JZL851921 KJH851897:KJH851921 KTD851897:KTD851921 LCZ851897:LCZ851921 LMV851897:LMV851921 LWR851897:LWR851921 MGN851897:MGN851921 MQJ851897:MQJ851921 NAF851897:NAF851921 NKB851897:NKB851921 NTX851897:NTX851921 ODT851897:ODT851921 ONP851897:ONP851921 OXL851897:OXL851921 PHH851897:PHH851921 PRD851897:PRD851921 QAZ851897:QAZ851921 QKV851897:QKV851921 QUR851897:QUR851921 REN851897:REN851921 ROJ851897:ROJ851921 RYF851897:RYF851921 SIB851897:SIB851921 SRX851897:SRX851921 TBT851897:TBT851921 TLP851897:TLP851921 TVL851897:TVL851921 UFH851897:UFH851921 UPD851897:UPD851921 UYZ851897:UYZ851921 VIV851897:VIV851921 VSR851897:VSR851921 WCN851897:WCN851921 WMJ851897:WMJ851921 WWF851897:WWF851921 X917462:X917486 JT917433:JT917457 TP917433:TP917457 ADL917433:ADL917457 ANH917433:ANH917457 AXD917433:AXD917457 BGZ917433:BGZ917457 BQV917433:BQV917457 CAR917433:CAR917457 CKN917433:CKN917457 CUJ917433:CUJ917457 DEF917433:DEF917457 DOB917433:DOB917457 DXX917433:DXX917457 EHT917433:EHT917457 ERP917433:ERP917457 FBL917433:FBL917457 FLH917433:FLH917457 FVD917433:FVD917457 GEZ917433:GEZ917457 GOV917433:GOV917457 GYR917433:GYR917457 HIN917433:HIN917457 HSJ917433:HSJ917457 ICF917433:ICF917457 IMB917433:IMB917457 IVX917433:IVX917457 JFT917433:JFT917457 JPP917433:JPP917457 JZL917433:JZL917457 KJH917433:KJH917457 KTD917433:KTD917457 LCZ917433:LCZ917457 LMV917433:LMV917457 LWR917433:LWR917457 MGN917433:MGN917457 MQJ917433:MQJ917457 NAF917433:NAF917457 NKB917433:NKB917457 NTX917433:NTX917457 ODT917433:ODT917457 ONP917433:ONP917457 OXL917433:OXL917457 PHH917433:PHH917457 PRD917433:PRD917457 QAZ917433:QAZ917457 QKV917433:QKV917457 QUR917433:QUR917457 REN917433:REN917457 ROJ917433:ROJ917457 RYF917433:RYF917457 SIB917433:SIB917457 SRX917433:SRX917457 TBT917433:TBT917457 TLP917433:TLP917457 TVL917433:TVL917457 UFH917433:UFH917457 UPD917433:UPD917457 UYZ917433:UYZ917457 VIV917433:VIV917457 VSR917433:VSR917457 WCN917433:WCN917457 WMJ917433:WMJ917457 WWF917433:WWF917457 X982998:X983022 JT982969:JT982993 TP982969:TP982993 ADL982969:ADL982993 ANH982969:ANH982993 AXD982969:AXD982993 BGZ982969:BGZ982993 BQV982969:BQV982993 CAR982969:CAR982993 CKN982969:CKN982993 CUJ982969:CUJ982993 DEF982969:DEF982993 DOB982969:DOB982993 DXX982969:DXX982993 EHT982969:EHT982993 ERP982969:ERP982993 FBL982969:FBL982993 FLH982969:FLH982993 FVD982969:FVD982993 GEZ982969:GEZ982993 GOV982969:GOV982993 GYR982969:GYR982993 HIN982969:HIN982993 HSJ982969:HSJ982993 ICF982969:ICF982993 IMB982969:IMB982993 IVX982969:IVX982993 JFT982969:JFT982993 JPP982969:JPP982993 JZL982969:JZL982993 KJH982969:KJH982993 KTD982969:KTD982993 LCZ982969:LCZ982993 LMV982969:LMV982993 LWR982969:LWR982993 MGN982969:MGN982993 MQJ982969:MQJ982993 NAF982969:NAF982993 NKB982969:NKB982993 NTX982969:NTX982993 ODT982969:ODT982993 ONP982969:ONP982993 OXL982969:OXL982993 PHH982969:PHH982993 PRD982969:PRD982993 QAZ982969:QAZ982993 QKV982969:QKV982993 QUR982969:QUR982993 REN982969:REN982993 ROJ982969:ROJ982993 RYF982969:RYF982993 SIB982969:SIB982993 SRX982969:SRX982993 TBT982969:TBT982993 TLP982969:TLP982993 TVL982969:TVL982993 UFH982969:UFH982993 UPD982969:UPD982993 UYZ982969:UYZ982993 VIV982969:VIV982993 VSR982969:VSR982993 WCN982969:WCN982993 WMJ982969:WMJ982993 WWF982969:WWF982993 AB65465:AB65489 JX65465:JX65489 TT65465:TT65489 ADP65465:ADP65489 ANL65465:ANL65489 AXH65465:AXH65489 BHD65465:BHD65489 BQZ65465:BQZ65489 CAV65465:CAV65489 CKR65465:CKR65489 CUN65465:CUN65489 DEJ65465:DEJ65489 DOF65465:DOF65489 DYB65465:DYB65489 EHX65465:EHX65489 ERT65465:ERT65489 FBP65465:FBP65489 FLL65465:FLL65489 FVH65465:FVH65489 GFD65465:GFD65489 GOZ65465:GOZ65489 GYV65465:GYV65489 HIR65465:HIR65489 HSN65465:HSN65489 ICJ65465:ICJ65489 IMF65465:IMF65489 IWB65465:IWB65489 JFX65465:JFX65489 JPT65465:JPT65489 JZP65465:JZP65489 KJL65465:KJL65489 KTH65465:KTH65489 LDD65465:LDD65489 LMZ65465:LMZ65489 LWV65465:LWV65489 MGR65465:MGR65489 MQN65465:MQN65489 NAJ65465:NAJ65489 NKF65465:NKF65489 NUB65465:NUB65489 ODX65465:ODX65489 ONT65465:ONT65489 OXP65465:OXP65489 PHL65465:PHL65489 PRH65465:PRH65489 QBD65465:QBD65489 QKZ65465:QKZ65489 QUV65465:QUV65489 RER65465:RER65489 RON65465:RON65489 RYJ65465:RYJ65489 SIF65465:SIF65489 SSB65465:SSB65489 TBX65465:TBX65489 TLT65465:TLT65489 TVP65465:TVP65489 UFL65465:UFL65489 UPH65465:UPH65489 UZD65465:UZD65489 VIZ65465:VIZ65489 VSV65465:VSV65489 WCR65465:WCR65489 WMN65465:WMN65489 WWJ65465:WWJ65489 AB131001:AB131025 JX131001:JX131025 TT131001:TT131025 ADP131001:ADP131025 ANL131001:ANL131025 AXH131001:AXH131025 BHD131001:BHD131025 BQZ131001:BQZ131025 CAV131001:CAV131025 CKR131001:CKR131025 CUN131001:CUN131025 DEJ131001:DEJ131025 DOF131001:DOF131025 DYB131001:DYB131025 EHX131001:EHX131025 ERT131001:ERT131025 FBP131001:FBP131025 FLL131001:FLL131025 FVH131001:FVH131025 GFD131001:GFD131025 GOZ131001:GOZ131025 GYV131001:GYV131025 HIR131001:HIR131025 HSN131001:HSN131025 ICJ131001:ICJ131025 IMF131001:IMF131025 IWB131001:IWB131025 JFX131001:JFX131025 JPT131001:JPT131025 JZP131001:JZP131025 KJL131001:KJL131025 KTH131001:KTH131025 LDD131001:LDD131025 LMZ131001:LMZ131025 LWV131001:LWV131025 MGR131001:MGR131025 MQN131001:MQN131025 NAJ131001:NAJ131025 NKF131001:NKF131025 NUB131001:NUB131025 ODX131001:ODX131025 ONT131001:ONT131025 OXP131001:OXP131025 PHL131001:PHL131025 PRH131001:PRH131025 QBD131001:QBD131025 QKZ131001:QKZ131025 QUV131001:QUV131025 RER131001:RER131025 RON131001:RON131025 RYJ131001:RYJ131025 SIF131001:SIF131025 SSB131001:SSB131025 TBX131001:TBX131025 TLT131001:TLT131025 TVP131001:TVP131025 UFL131001:UFL131025 UPH131001:UPH131025 UZD131001:UZD131025 VIZ131001:VIZ131025 VSV131001:VSV131025 WCR131001:WCR131025 WMN131001:WMN131025 WWJ131001:WWJ131025 AB196537:AB196561 JX196537:JX196561 TT196537:TT196561 ADP196537:ADP196561 ANL196537:ANL196561 AXH196537:AXH196561 BHD196537:BHD196561 BQZ196537:BQZ196561 CAV196537:CAV196561 CKR196537:CKR196561 CUN196537:CUN196561 DEJ196537:DEJ196561 DOF196537:DOF196561 DYB196537:DYB196561 EHX196537:EHX196561 ERT196537:ERT196561 FBP196537:FBP196561 FLL196537:FLL196561 FVH196537:FVH196561 GFD196537:GFD196561 GOZ196537:GOZ196561 GYV196537:GYV196561 HIR196537:HIR196561 HSN196537:HSN196561 ICJ196537:ICJ196561 IMF196537:IMF196561 IWB196537:IWB196561 JFX196537:JFX196561 JPT196537:JPT196561 JZP196537:JZP196561 KJL196537:KJL196561 KTH196537:KTH196561 LDD196537:LDD196561 LMZ196537:LMZ196561 LWV196537:LWV196561 MGR196537:MGR196561 MQN196537:MQN196561 NAJ196537:NAJ196561 NKF196537:NKF196561 NUB196537:NUB196561 ODX196537:ODX196561 ONT196537:ONT196561 OXP196537:OXP196561 PHL196537:PHL196561 PRH196537:PRH196561 QBD196537:QBD196561 QKZ196537:QKZ196561 QUV196537:QUV196561 RER196537:RER196561 RON196537:RON196561 RYJ196537:RYJ196561 SIF196537:SIF196561 SSB196537:SSB196561 TBX196537:TBX196561 TLT196537:TLT196561 TVP196537:TVP196561 UFL196537:UFL196561 UPH196537:UPH196561 UZD196537:UZD196561 VIZ196537:VIZ196561 VSV196537:VSV196561 WCR196537:WCR196561 WMN196537:WMN196561 WWJ196537:WWJ196561 AB262073:AB262097 JX262073:JX262097 TT262073:TT262097 ADP262073:ADP262097 ANL262073:ANL262097 AXH262073:AXH262097 BHD262073:BHD262097 BQZ262073:BQZ262097 CAV262073:CAV262097 CKR262073:CKR262097 CUN262073:CUN262097 DEJ262073:DEJ262097 DOF262073:DOF262097 DYB262073:DYB262097 EHX262073:EHX262097 ERT262073:ERT262097 FBP262073:FBP262097 FLL262073:FLL262097 FVH262073:FVH262097 GFD262073:GFD262097 GOZ262073:GOZ262097 GYV262073:GYV262097 HIR262073:HIR262097 HSN262073:HSN262097 ICJ262073:ICJ262097 IMF262073:IMF262097 IWB262073:IWB262097 JFX262073:JFX262097 JPT262073:JPT262097 JZP262073:JZP262097 KJL262073:KJL262097 KTH262073:KTH262097 LDD262073:LDD262097 LMZ262073:LMZ262097 LWV262073:LWV262097 MGR262073:MGR262097 MQN262073:MQN262097 NAJ262073:NAJ262097 NKF262073:NKF262097 NUB262073:NUB262097 ODX262073:ODX262097 ONT262073:ONT262097 OXP262073:OXP262097 PHL262073:PHL262097 PRH262073:PRH262097 QBD262073:QBD262097 QKZ262073:QKZ262097 QUV262073:QUV262097 RER262073:RER262097 RON262073:RON262097 RYJ262073:RYJ262097 SIF262073:SIF262097 SSB262073:SSB262097 TBX262073:TBX262097 TLT262073:TLT262097 TVP262073:TVP262097 UFL262073:UFL262097 UPH262073:UPH262097 UZD262073:UZD262097 VIZ262073:VIZ262097 VSV262073:VSV262097 WCR262073:WCR262097 WMN262073:WMN262097 WWJ262073:WWJ262097 AB327609:AB327633 JX327609:JX327633 TT327609:TT327633 ADP327609:ADP327633 ANL327609:ANL327633 AXH327609:AXH327633 BHD327609:BHD327633 BQZ327609:BQZ327633 CAV327609:CAV327633 CKR327609:CKR327633 CUN327609:CUN327633 DEJ327609:DEJ327633 DOF327609:DOF327633 DYB327609:DYB327633 EHX327609:EHX327633 ERT327609:ERT327633 FBP327609:FBP327633 FLL327609:FLL327633 FVH327609:FVH327633 GFD327609:GFD327633 GOZ327609:GOZ327633 GYV327609:GYV327633 HIR327609:HIR327633 HSN327609:HSN327633 ICJ327609:ICJ327633 IMF327609:IMF327633 IWB327609:IWB327633 JFX327609:JFX327633 JPT327609:JPT327633 JZP327609:JZP327633 KJL327609:KJL327633 KTH327609:KTH327633 LDD327609:LDD327633 LMZ327609:LMZ327633 LWV327609:LWV327633 MGR327609:MGR327633 MQN327609:MQN327633 NAJ327609:NAJ327633 NKF327609:NKF327633 NUB327609:NUB327633 ODX327609:ODX327633 ONT327609:ONT327633 OXP327609:OXP327633 PHL327609:PHL327633 PRH327609:PRH327633 QBD327609:QBD327633 QKZ327609:QKZ327633 QUV327609:QUV327633 RER327609:RER327633 RON327609:RON327633 RYJ327609:RYJ327633 SIF327609:SIF327633 SSB327609:SSB327633 TBX327609:TBX327633 TLT327609:TLT327633 TVP327609:TVP327633 UFL327609:UFL327633 UPH327609:UPH327633 UZD327609:UZD327633 VIZ327609:VIZ327633 VSV327609:VSV327633 WCR327609:WCR327633 WMN327609:WMN327633 WWJ327609:WWJ327633 AB393145:AB393169 JX393145:JX393169 TT393145:TT393169 ADP393145:ADP393169 ANL393145:ANL393169 AXH393145:AXH393169 BHD393145:BHD393169 BQZ393145:BQZ393169 CAV393145:CAV393169 CKR393145:CKR393169 CUN393145:CUN393169 DEJ393145:DEJ393169 DOF393145:DOF393169 DYB393145:DYB393169 EHX393145:EHX393169 ERT393145:ERT393169 FBP393145:FBP393169 FLL393145:FLL393169 FVH393145:FVH393169 GFD393145:GFD393169 GOZ393145:GOZ393169 GYV393145:GYV393169 HIR393145:HIR393169 HSN393145:HSN393169 ICJ393145:ICJ393169 IMF393145:IMF393169 IWB393145:IWB393169 JFX393145:JFX393169 JPT393145:JPT393169 JZP393145:JZP393169 KJL393145:KJL393169 KTH393145:KTH393169 LDD393145:LDD393169 LMZ393145:LMZ393169 LWV393145:LWV393169 MGR393145:MGR393169 MQN393145:MQN393169 NAJ393145:NAJ393169 NKF393145:NKF393169 NUB393145:NUB393169 ODX393145:ODX393169 ONT393145:ONT393169 OXP393145:OXP393169 PHL393145:PHL393169 PRH393145:PRH393169 QBD393145:QBD393169 QKZ393145:QKZ393169 QUV393145:QUV393169 RER393145:RER393169 RON393145:RON393169 RYJ393145:RYJ393169 SIF393145:SIF393169 SSB393145:SSB393169 TBX393145:TBX393169 TLT393145:TLT393169 TVP393145:TVP393169 UFL393145:UFL393169 UPH393145:UPH393169 UZD393145:UZD393169 VIZ393145:VIZ393169 VSV393145:VSV393169 WCR393145:WCR393169 WMN393145:WMN393169 WWJ393145:WWJ393169 AB458681:AB458705 JX458681:JX458705 TT458681:TT458705 ADP458681:ADP458705 ANL458681:ANL458705 AXH458681:AXH458705 BHD458681:BHD458705 BQZ458681:BQZ458705 CAV458681:CAV458705 CKR458681:CKR458705 CUN458681:CUN458705 DEJ458681:DEJ458705 DOF458681:DOF458705 DYB458681:DYB458705 EHX458681:EHX458705 ERT458681:ERT458705 FBP458681:FBP458705 FLL458681:FLL458705 FVH458681:FVH458705 GFD458681:GFD458705 GOZ458681:GOZ458705 GYV458681:GYV458705 HIR458681:HIR458705 HSN458681:HSN458705 ICJ458681:ICJ458705 IMF458681:IMF458705 IWB458681:IWB458705 JFX458681:JFX458705 JPT458681:JPT458705 JZP458681:JZP458705 KJL458681:KJL458705 KTH458681:KTH458705 LDD458681:LDD458705 LMZ458681:LMZ458705 LWV458681:LWV458705 MGR458681:MGR458705 MQN458681:MQN458705 NAJ458681:NAJ458705 NKF458681:NKF458705 NUB458681:NUB458705 ODX458681:ODX458705 ONT458681:ONT458705 OXP458681:OXP458705 PHL458681:PHL458705 PRH458681:PRH458705 QBD458681:QBD458705 QKZ458681:QKZ458705 QUV458681:QUV458705 RER458681:RER458705 RON458681:RON458705 RYJ458681:RYJ458705 SIF458681:SIF458705 SSB458681:SSB458705 TBX458681:TBX458705 TLT458681:TLT458705 TVP458681:TVP458705 UFL458681:UFL458705 UPH458681:UPH458705 UZD458681:UZD458705 VIZ458681:VIZ458705 VSV458681:VSV458705 WCR458681:WCR458705 WMN458681:WMN458705 WWJ458681:WWJ458705 AB524217:AB524241 JX524217:JX524241 TT524217:TT524241 ADP524217:ADP524241 ANL524217:ANL524241 AXH524217:AXH524241 BHD524217:BHD524241 BQZ524217:BQZ524241 CAV524217:CAV524241 CKR524217:CKR524241 CUN524217:CUN524241 DEJ524217:DEJ524241 DOF524217:DOF524241 DYB524217:DYB524241 EHX524217:EHX524241 ERT524217:ERT524241 FBP524217:FBP524241 FLL524217:FLL524241 FVH524217:FVH524241 GFD524217:GFD524241 GOZ524217:GOZ524241 GYV524217:GYV524241 HIR524217:HIR524241 HSN524217:HSN524241 ICJ524217:ICJ524241 IMF524217:IMF524241 IWB524217:IWB524241 JFX524217:JFX524241 JPT524217:JPT524241 JZP524217:JZP524241 KJL524217:KJL524241 KTH524217:KTH524241 LDD524217:LDD524241 LMZ524217:LMZ524241 LWV524217:LWV524241 MGR524217:MGR524241 MQN524217:MQN524241 NAJ524217:NAJ524241 NKF524217:NKF524241 NUB524217:NUB524241 ODX524217:ODX524241 ONT524217:ONT524241 OXP524217:OXP524241 PHL524217:PHL524241 PRH524217:PRH524241 QBD524217:QBD524241 QKZ524217:QKZ524241 QUV524217:QUV524241 RER524217:RER524241 RON524217:RON524241 RYJ524217:RYJ524241 SIF524217:SIF524241 SSB524217:SSB524241 TBX524217:TBX524241 TLT524217:TLT524241 TVP524217:TVP524241 UFL524217:UFL524241 UPH524217:UPH524241 UZD524217:UZD524241 VIZ524217:VIZ524241 VSV524217:VSV524241 WCR524217:WCR524241 WMN524217:WMN524241 WWJ524217:WWJ524241 AB589753:AB589777 JX589753:JX589777 TT589753:TT589777 ADP589753:ADP589777 ANL589753:ANL589777 AXH589753:AXH589777 BHD589753:BHD589777 BQZ589753:BQZ589777 CAV589753:CAV589777 CKR589753:CKR589777 CUN589753:CUN589777 DEJ589753:DEJ589777 DOF589753:DOF589777 DYB589753:DYB589777 EHX589753:EHX589777 ERT589753:ERT589777 FBP589753:FBP589777 FLL589753:FLL589777 FVH589753:FVH589777 GFD589753:GFD589777 GOZ589753:GOZ589777 GYV589753:GYV589777 HIR589753:HIR589777 HSN589753:HSN589777 ICJ589753:ICJ589777 IMF589753:IMF589777 IWB589753:IWB589777 JFX589753:JFX589777 JPT589753:JPT589777 JZP589753:JZP589777 KJL589753:KJL589777 KTH589753:KTH589777 LDD589753:LDD589777 LMZ589753:LMZ589777 LWV589753:LWV589777 MGR589753:MGR589777 MQN589753:MQN589777 NAJ589753:NAJ589777 NKF589753:NKF589777 NUB589753:NUB589777 ODX589753:ODX589777 ONT589753:ONT589777 OXP589753:OXP589777 PHL589753:PHL589777 PRH589753:PRH589777 QBD589753:QBD589777 QKZ589753:QKZ589777 QUV589753:QUV589777 RER589753:RER589777 RON589753:RON589777 RYJ589753:RYJ589777 SIF589753:SIF589777 SSB589753:SSB589777 TBX589753:TBX589777 TLT589753:TLT589777 TVP589753:TVP589777 UFL589753:UFL589777 UPH589753:UPH589777 UZD589753:UZD589777 VIZ589753:VIZ589777 VSV589753:VSV589777 WCR589753:WCR589777 WMN589753:WMN589777 WWJ589753:WWJ589777 AB655289:AB655313 JX655289:JX655313 TT655289:TT655313 ADP655289:ADP655313 ANL655289:ANL655313 AXH655289:AXH655313 BHD655289:BHD655313 BQZ655289:BQZ655313 CAV655289:CAV655313 CKR655289:CKR655313 CUN655289:CUN655313 DEJ655289:DEJ655313 DOF655289:DOF655313 DYB655289:DYB655313 EHX655289:EHX655313 ERT655289:ERT655313 FBP655289:FBP655313 FLL655289:FLL655313 FVH655289:FVH655313 GFD655289:GFD655313 GOZ655289:GOZ655313 GYV655289:GYV655313 HIR655289:HIR655313 HSN655289:HSN655313 ICJ655289:ICJ655313 IMF655289:IMF655313 IWB655289:IWB655313 JFX655289:JFX655313 JPT655289:JPT655313 JZP655289:JZP655313 KJL655289:KJL655313 KTH655289:KTH655313 LDD655289:LDD655313 LMZ655289:LMZ655313 LWV655289:LWV655313 MGR655289:MGR655313 MQN655289:MQN655313 NAJ655289:NAJ655313 NKF655289:NKF655313 NUB655289:NUB655313 ODX655289:ODX655313 ONT655289:ONT655313 OXP655289:OXP655313 PHL655289:PHL655313 PRH655289:PRH655313 QBD655289:QBD655313 QKZ655289:QKZ655313 QUV655289:QUV655313 RER655289:RER655313 RON655289:RON655313 RYJ655289:RYJ655313 SIF655289:SIF655313 SSB655289:SSB655313 TBX655289:TBX655313 TLT655289:TLT655313 TVP655289:TVP655313 UFL655289:UFL655313 UPH655289:UPH655313 UZD655289:UZD655313 VIZ655289:VIZ655313 VSV655289:VSV655313 WCR655289:WCR655313 WMN655289:WMN655313 WWJ655289:WWJ655313 AB720825:AB720849 JX720825:JX720849 TT720825:TT720849 ADP720825:ADP720849 ANL720825:ANL720849 AXH720825:AXH720849 BHD720825:BHD720849 BQZ720825:BQZ720849 CAV720825:CAV720849 CKR720825:CKR720849 CUN720825:CUN720849 DEJ720825:DEJ720849 DOF720825:DOF720849 DYB720825:DYB720849 EHX720825:EHX720849 ERT720825:ERT720849 FBP720825:FBP720849 FLL720825:FLL720849 FVH720825:FVH720849 GFD720825:GFD720849 GOZ720825:GOZ720849 GYV720825:GYV720849 HIR720825:HIR720849 HSN720825:HSN720849 ICJ720825:ICJ720849 IMF720825:IMF720849 IWB720825:IWB720849 JFX720825:JFX720849 JPT720825:JPT720849 JZP720825:JZP720849 KJL720825:KJL720849 KTH720825:KTH720849 LDD720825:LDD720849 LMZ720825:LMZ720849 LWV720825:LWV720849 MGR720825:MGR720849 MQN720825:MQN720849 NAJ720825:NAJ720849 NKF720825:NKF720849 NUB720825:NUB720849 ODX720825:ODX720849 ONT720825:ONT720849 OXP720825:OXP720849 PHL720825:PHL720849 PRH720825:PRH720849 QBD720825:QBD720849 QKZ720825:QKZ720849 QUV720825:QUV720849 RER720825:RER720849 RON720825:RON720849 RYJ720825:RYJ720849 SIF720825:SIF720849 SSB720825:SSB720849 TBX720825:TBX720849 TLT720825:TLT720849 TVP720825:TVP720849 UFL720825:UFL720849 UPH720825:UPH720849 UZD720825:UZD720849 VIZ720825:VIZ720849 VSV720825:VSV720849 WCR720825:WCR720849 WMN720825:WMN720849 WWJ720825:WWJ720849 AB786361:AB786385 JX786361:JX786385 TT786361:TT786385 ADP786361:ADP786385 ANL786361:ANL786385 AXH786361:AXH786385 BHD786361:BHD786385 BQZ786361:BQZ786385 CAV786361:CAV786385 CKR786361:CKR786385 CUN786361:CUN786385 DEJ786361:DEJ786385 DOF786361:DOF786385 DYB786361:DYB786385 EHX786361:EHX786385 ERT786361:ERT786385 FBP786361:FBP786385 FLL786361:FLL786385 FVH786361:FVH786385 GFD786361:GFD786385 GOZ786361:GOZ786385 GYV786361:GYV786385 HIR786361:HIR786385 HSN786361:HSN786385 ICJ786361:ICJ786385 IMF786361:IMF786385 IWB786361:IWB786385 JFX786361:JFX786385 JPT786361:JPT786385 JZP786361:JZP786385 KJL786361:KJL786385 KTH786361:KTH786385 LDD786361:LDD786385 LMZ786361:LMZ786385 LWV786361:LWV786385 MGR786361:MGR786385 MQN786361:MQN786385 NAJ786361:NAJ786385 NKF786361:NKF786385 NUB786361:NUB786385 ODX786361:ODX786385 ONT786361:ONT786385 OXP786361:OXP786385 PHL786361:PHL786385 PRH786361:PRH786385 QBD786361:QBD786385 QKZ786361:QKZ786385 QUV786361:QUV786385 RER786361:RER786385 RON786361:RON786385 RYJ786361:RYJ786385 SIF786361:SIF786385 SSB786361:SSB786385 TBX786361:TBX786385 TLT786361:TLT786385 TVP786361:TVP786385 UFL786361:UFL786385 UPH786361:UPH786385 UZD786361:UZD786385 VIZ786361:VIZ786385 VSV786361:VSV786385 WCR786361:WCR786385 WMN786361:WMN786385 WWJ786361:WWJ786385 AB851897:AB851921 JX851897:JX851921 TT851897:TT851921 ADP851897:ADP851921 ANL851897:ANL851921 AXH851897:AXH851921 BHD851897:BHD851921 BQZ851897:BQZ851921 CAV851897:CAV851921 CKR851897:CKR851921 CUN851897:CUN851921 DEJ851897:DEJ851921 DOF851897:DOF851921 DYB851897:DYB851921 EHX851897:EHX851921 ERT851897:ERT851921 FBP851897:FBP851921 FLL851897:FLL851921 FVH851897:FVH851921 GFD851897:GFD851921 GOZ851897:GOZ851921 GYV851897:GYV851921 HIR851897:HIR851921 HSN851897:HSN851921 ICJ851897:ICJ851921 IMF851897:IMF851921 IWB851897:IWB851921 JFX851897:JFX851921 JPT851897:JPT851921 JZP851897:JZP851921 KJL851897:KJL851921 KTH851897:KTH851921 LDD851897:LDD851921 LMZ851897:LMZ851921 LWV851897:LWV851921 MGR851897:MGR851921 MQN851897:MQN851921 NAJ851897:NAJ851921 NKF851897:NKF851921 NUB851897:NUB851921 ODX851897:ODX851921 ONT851897:ONT851921 OXP851897:OXP851921 PHL851897:PHL851921 PRH851897:PRH851921 QBD851897:QBD851921 QKZ851897:QKZ851921 QUV851897:QUV851921 RER851897:RER851921 RON851897:RON851921 RYJ851897:RYJ851921 SIF851897:SIF851921 SSB851897:SSB851921 TBX851897:TBX851921 TLT851897:TLT851921 TVP851897:TVP851921 UFL851897:UFL851921 UPH851897:UPH851921 UZD851897:UZD851921 VIZ851897:VIZ851921 VSV851897:VSV851921 WCR851897:WCR851921 WMN851897:WMN851921 WWJ851897:WWJ851921 AB917433:AB917457 JX917433:JX917457 TT917433:TT917457 ADP917433:ADP917457 ANL917433:ANL917457 AXH917433:AXH917457 BHD917433:BHD917457 BQZ917433:BQZ917457 CAV917433:CAV917457 CKR917433:CKR917457 CUN917433:CUN917457 DEJ917433:DEJ917457 DOF917433:DOF917457 DYB917433:DYB917457 EHX917433:EHX917457 ERT917433:ERT917457 FBP917433:FBP917457 FLL917433:FLL917457 FVH917433:FVH917457 GFD917433:GFD917457 GOZ917433:GOZ917457 GYV917433:GYV917457 HIR917433:HIR917457 HSN917433:HSN917457 ICJ917433:ICJ917457 IMF917433:IMF917457 IWB917433:IWB917457 JFX917433:JFX917457 JPT917433:JPT917457 JZP917433:JZP917457 KJL917433:KJL917457 KTH917433:KTH917457 LDD917433:LDD917457 LMZ917433:LMZ917457 LWV917433:LWV917457 MGR917433:MGR917457 MQN917433:MQN917457 NAJ917433:NAJ917457 NKF917433:NKF917457 NUB917433:NUB917457 ODX917433:ODX917457 ONT917433:ONT917457 OXP917433:OXP917457 PHL917433:PHL917457 PRH917433:PRH917457 QBD917433:QBD917457 QKZ917433:QKZ917457 QUV917433:QUV917457 RER917433:RER917457 RON917433:RON917457 RYJ917433:RYJ917457 SIF917433:SIF917457 SSB917433:SSB917457 TBX917433:TBX917457 TLT917433:TLT917457 TVP917433:TVP917457 UFL917433:UFL917457 UPH917433:UPH917457 UZD917433:UZD917457 VIZ917433:VIZ917457 VSV917433:VSV917457 WCR917433:WCR917457 WMN917433:WMN917457 WWJ917433:WWJ917457 AB982969:AB982993 JX982969:JX982993 TT982969:TT982993 ADP982969:ADP982993 ANL982969:ANL982993 AXH982969:AXH982993 BHD982969:BHD982993 BQZ982969:BQZ982993 CAV982969:CAV982993 CKR982969:CKR982993 CUN982969:CUN982993 DEJ982969:DEJ982993 DOF982969:DOF982993 DYB982969:DYB982993 EHX982969:EHX982993 ERT982969:ERT982993 FBP982969:FBP982993 FLL982969:FLL982993 FVH982969:FVH982993 GFD982969:GFD982993 GOZ982969:GOZ982993 GYV982969:GYV982993 HIR982969:HIR982993 HSN982969:HSN982993 ICJ982969:ICJ982993 IMF982969:IMF982993 IWB982969:IWB982993 JFX982969:JFX982993 JPT982969:JPT982993 JZP982969:JZP982993 KJL982969:KJL982993 KTH982969:KTH982993 LDD982969:LDD982993 LMZ982969:LMZ982993 LWV982969:LWV982993 MGR982969:MGR982993 MQN982969:MQN982993 NAJ982969:NAJ982993 NKF982969:NKF982993 NUB982969:NUB982993 ODX982969:ODX982993 ONT982969:ONT982993 OXP982969:OXP982993 PHL982969:PHL982993 PRH982969:PRH982993 QBD982969:QBD982993 QKZ982969:QKZ982993 QUV982969:QUV982993 RER982969:RER982993 RON982969:RON982993 RYJ982969:RYJ982993 SIF982969:SIF982993 SSB982969:SSB982993 TBX982969:TBX982993 TLT982969:TLT982993 TVP982969:TVP982993 UFL982969:UFL982993 UPH982969:UPH982993 UZD982969:UZD982993 VIZ982969:VIZ982993 VSV982969:VSV982993 WCR982969:WCR982993 WMN982969:WMN982993 WWJ982969:WWJ982993 AF65465:AF65489 KB65465:KB65489 TX65465:TX65489 ADT65465:ADT65489 ANP65465:ANP65489 AXL65465:AXL65489 BHH65465:BHH65489 BRD65465:BRD65489 CAZ65465:CAZ65489 CKV65465:CKV65489 CUR65465:CUR65489 DEN65465:DEN65489 DOJ65465:DOJ65489 DYF65465:DYF65489 EIB65465:EIB65489 ERX65465:ERX65489 FBT65465:FBT65489 FLP65465:FLP65489 FVL65465:FVL65489 GFH65465:GFH65489 GPD65465:GPD65489 GYZ65465:GYZ65489 HIV65465:HIV65489 HSR65465:HSR65489 ICN65465:ICN65489 IMJ65465:IMJ65489 IWF65465:IWF65489 JGB65465:JGB65489 JPX65465:JPX65489 JZT65465:JZT65489 KJP65465:KJP65489 KTL65465:KTL65489 LDH65465:LDH65489 LND65465:LND65489 LWZ65465:LWZ65489 MGV65465:MGV65489 MQR65465:MQR65489 NAN65465:NAN65489 NKJ65465:NKJ65489 NUF65465:NUF65489 OEB65465:OEB65489 ONX65465:ONX65489 OXT65465:OXT65489 PHP65465:PHP65489 PRL65465:PRL65489 QBH65465:QBH65489 QLD65465:QLD65489 QUZ65465:QUZ65489 REV65465:REV65489 ROR65465:ROR65489 RYN65465:RYN65489 SIJ65465:SIJ65489 SSF65465:SSF65489 TCB65465:TCB65489 TLX65465:TLX65489 TVT65465:TVT65489 UFP65465:UFP65489 UPL65465:UPL65489 UZH65465:UZH65489 VJD65465:VJD65489 VSZ65465:VSZ65489 WCV65465:WCV65489 WMR65465:WMR65489 WWN65465:WWN65489 AF131001:AF131025 KB131001:KB131025 TX131001:TX131025 ADT131001:ADT131025 ANP131001:ANP131025 AXL131001:AXL131025 BHH131001:BHH131025 BRD131001:BRD131025 CAZ131001:CAZ131025 CKV131001:CKV131025 CUR131001:CUR131025 DEN131001:DEN131025 DOJ131001:DOJ131025 DYF131001:DYF131025 EIB131001:EIB131025 ERX131001:ERX131025 FBT131001:FBT131025 FLP131001:FLP131025 FVL131001:FVL131025 GFH131001:GFH131025 GPD131001:GPD131025 GYZ131001:GYZ131025 HIV131001:HIV131025 HSR131001:HSR131025 ICN131001:ICN131025 IMJ131001:IMJ131025 IWF131001:IWF131025 JGB131001:JGB131025 JPX131001:JPX131025 JZT131001:JZT131025 KJP131001:KJP131025 KTL131001:KTL131025 LDH131001:LDH131025 LND131001:LND131025 LWZ131001:LWZ131025 MGV131001:MGV131025 MQR131001:MQR131025 NAN131001:NAN131025 NKJ131001:NKJ131025 NUF131001:NUF131025 OEB131001:OEB131025 ONX131001:ONX131025 OXT131001:OXT131025 PHP131001:PHP131025 PRL131001:PRL131025 QBH131001:QBH131025 QLD131001:QLD131025 QUZ131001:QUZ131025 REV131001:REV131025 ROR131001:ROR131025 RYN131001:RYN131025 SIJ131001:SIJ131025 SSF131001:SSF131025 TCB131001:TCB131025 TLX131001:TLX131025 TVT131001:TVT131025 UFP131001:UFP131025 UPL131001:UPL131025 UZH131001:UZH131025 VJD131001:VJD131025 VSZ131001:VSZ131025 WCV131001:WCV131025 WMR131001:WMR131025 WWN131001:WWN131025 AF196537:AF196561 KB196537:KB196561 TX196537:TX196561 ADT196537:ADT196561 ANP196537:ANP196561 AXL196537:AXL196561 BHH196537:BHH196561 BRD196537:BRD196561 CAZ196537:CAZ196561 CKV196537:CKV196561 CUR196537:CUR196561 DEN196537:DEN196561 DOJ196537:DOJ196561 DYF196537:DYF196561 EIB196537:EIB196561 ERX196537:ERX196561 FBT196537:FBT196561 FLP196537:FLP196561 FVL196537:FVL196561 GFH196537:GFH196561 GPD196537:GPD196561 GYZ196537:GYZ196561 HIV196537:HIV196561 HSR196537:HSR196561 ICN196537:ICN196561 IMJ196537:IMJ196561 IWF196537:IWF196561 JGB196537:JGB196561 JPX196537:JPX196561 JZT196537:JZT196561 KJP196537:KJP196561 KTL196537:KTL196561 LDH196537:LDH196561 LND196537:LND196561 LWZ196537:LWZ196561 MGV196537:MGV196561 MQR196537:MQR196561 NAN196537:NAN196561 NKJ196537:NKJ196561 NUF196537:NUF196561 OEB196537:OEB196561 ONX196537:ONX196561 OXT196537:OXT196561 PHP196537:PHP196561 PRL196537:PRL196561 QBH196537:QBH196561 QLD196537:QLD196561 QUZ196537:QUZ196561 REV196537:REV196561 ROR196537:ROR196561 RYN196537:RYN196561 SIJ196537:SIJ196561 SSF196537:SSF196561 TCB196537:TCB196561 TLX196537:TLX196561 TVT196537:TVT196561 UFP196537:UFP196561 UPL196537:UPL196561 UZH196537:UZH196561 VJD196537:VJD196561 VSZ196537:VSZ196561 WCV196537:WCV196561 WMR196537:WMR196561 WWN196537:WWN196561 AF262073:AF262097 KB262073:KB262097 TX262073:TX262097 ADT262073:ADT262097 ANP262073:ANP262097 AXL262073:AXL262097 BHH262073:BHH262097 BRD262073:BRD262097 CAZ262073:CAZ262097 CKV262073:CKV262097 CUR262073:CUR262097 DEN262073:DEN262097 DOJ262073:DOJ262097 DYF262073:DYF262097 EIB262073:EIB262097 ERX262073:ERX262097 FBT262073:FBT262097 FLP262073:FLP262097 FVL262073:FVL262097 GFH262073:GFH262097 GPD262073:GPD262097 GYZ262073:GYZ262097 HIV262073:HIV262097 HSR262073:HSR262097 ICN262073:ICN262097 IMJ262073:IMJ262097 IWF262073:IWF262097 JGB262073:JGB262097 JPX262073:JPX262097 JZT262073:JZT262097 KJP262073:KJP262097 KTL262073:KTL262097 LDH262073:LDH262097 LND262073:LND262097 LWZ262073:LWZ262097 MGV262073:MGV262097 MQR262073:MQR262097 NAN262073:NAN262097 NKJ262073:NKJ262097 NUF262073:NUF262097 OEB262073:OEB262097 ONX262073:ONX262097 OXT262073:OXT262097 PHP262073:PHP262097 PRL262073:PRL262097 QBH262073:QBH262097 QLD262073:QLD262097 QUZ262073:QUZ262097 REV262073:REV262097 ROR262073:ROR262097 RYN262073:RYN262097 SIJ262073:SIJ262097 SSF262073:SSF262097 TCB262073:TCB262097 TLX262073:TLX262097 TVT262073:TVT262097 UFP262073:UFP262097 UPL262073:UPL262097 UZH262073:UZH262097 VJD262073:VJD262097 VSZ262073:VSZ262097 WCV262073:WCV262097 WMR262073:WMR262097 WWN262073:WWN262097 AF327609:AF327633 KB327609:KB327633 TX327609:TX327633 ADT327609:ADT327633 ANP327609:ANP327633 AXL327609:AXL327633 BHH327609:BHH327633 BRD327609:BRD327633 CAZ327609:CAZ327633 CKV327609:CKV327633 CUR327609:CUR327633 DEN327609:DEN327633 DOJ327609:DOJ327633 DYF327609:DYF327633 EIB327609:EIB327633 ERX327609:ERX327633 FBT327609:FBT327633 FLP327609:FLP327633 FVL327609:FVL327633 GFH327609:GFH327633 GPD327609:GPD327633 GYZ327609:GYZ327633 HIV327609:HIV327633 HSR327609:HSR327633 ICN327609:ICN327633 IMJ327609:IMJ327633 IWF327609:IWF327633 JGB327609:JGB327633 JPX327609:JPX327633 JZT327609:JZT327633 KJP327609:KJP327633 KTL327609:KTL327633 LDH327609:LDH327633 LND327609:LND327633 LWZ327609:LWZ327633 MGV327609:MGV327633 MQR327609:MQR327633 NAN327609:NAN327633 NKJ327609:NKJ327633 NUF327609:NUF327633 OEB327609:OEB327633 ONX327609:ONX327633 OXT327609:OXT327633 PHP327609:PHP327633 PRL327609:PRL327633 QBH327609:QBH327633 QLD327609:QLD327633 QUZ327609:QUZ327633 REV327609:REV327633 ROR327609:ROR327633 RYN327609:RYN327633 SIJ327609:SIJ327633 SSF327609:SSF327633 TCB327609:TCB327633 TLX327609:TLX327633 TVT327609:TVT327633 UFP327609:UFP327633 UPL327609:UPL327633 UZH327609:UZH327633 VJD327609:VJD327633 VSZ327609:VSZ327633 WCV327609:WCV327633 WMR327609:WMR327633 WWN327609:WWN327633 AF393145:AF393169 KB393145:KB393169 TX393145:TX393169 ADT393145:ADT393169 ANP393145:ANP393169 AXL393145:AXL393169 BHH393145:BHH393169 BRD393145:BRD393169 CAZ393145:CAZ393169 CKV393145:CKV393169 CUR393145:CUR393169 DEN393145:DEN393169 DOJ393145:DOJ393169 DYF393145:DYF393169 EIB393145:EIB393169 ERX393145:ERX393169 FBT393145:FBT393169 FLP393145:FLP393169 FVL393145:FVL393169 GFH393145:GFH393169 GPD393145:GPD393169 GYZ393145:GYZ393169 HIV393145:HIV393169 HSR393145:HSR393169 ICN393145:ICN393169 IMJ393145:IMJ393169 IWF393145:IWF393169 JGB393145:JGB393169 JPX393145:JPX393169 JZT393145:JZT393169 KJP393145:KJP393169 KTL393145:KTL393169 LDH393145:LDH393169 LND393145:LND393169 LWZ393145:LWZ393169 MGV393145:MGV393169 MQR393145:MQR393169 NAN393145:NAN393169 NKJ393145:NKJ393169 NUF393145:NUF393169 OEB393145:OEB393169 ONX393145:ONX393169 OXT393145:OXT393169 PHP393145:PHP393169 PRL393145:PRL393169 QBH393145:QBH393169 QLD393145:QLD393169 QUZ393145:QUZ393169 REV393145:REV393169 ROR393145:ROR393169 RYN393145:RYN393169 SIJ393145:SIJ393169 SSF393145:SSF393169 TCB393145:TCB393169 TLX393145:TLX393169 TVT393145:TVT393169 UFP393145:UFP393169 UPL393145:UPL393169 UZH393145:UZH393169 VJD393145:VJD393169 VSZ393145:VSZ393169 WCV393145:WCV393169 WMR393145:WMR393169 WWN393145:WWN393169 AF458681:AF458705 KB458681:KB458705 TX458681:TX458705 ADT458681:ADT458705 ANP458681:ANP458705 AXL458681:AXL458705 BHH458681:BHH458705 BRD458681:BRD458705 CAZ458681:CAZ458705 CKV458681:CKV458705 CUR458681:CUR458705 DEN458681:DEN458705 DOJ458681:DOJ458705 DYF458681:DYF458705 EIB458681:EIB458705 ERX458681:ERX458705 FBT458681:FBT458705 FLP458681:FLP458705 FVL458681:FVL458705 GFH458681:GFH458705 GPD458681:GPD458705 GYZ458681:GYZ458705 HIV458681:HIV458705 HSR458681:HSR458705 ICN458681:ICN458705 IMJ458681:IMJ458705 IWF458681:IWF458705 JGB458681:JGB458705 JPX458681:JPX458705 JZT458681:JZT458705 KJP458681:KJP458705 KTL458681:KTL458705 LDH458681:LDH458705 LND458681:LND458705 LWZ458681:LWZ458705 MGV458681:MGV458705 MQR458681:MQR458705 NAN458681:NAN458705 NKJ458681:NKJ458705 NUF458681:NUF458705 OEB458681:OEB458705 ONX458681:ONX458705 OXT458681:OXT458705 PHP458681:PHP458705 PRL458681:PRL458705 QBH458681:QBH458705 QLD458681:QLD458705 QUZ458681:QUZ458705 REV458681:REV458705 ROR458681:ROR458705 RYN458681:RYN458705 SIJ458681:SIJ458705 SSF458681:SSF458705 TCB458681:TCB458705 TLX458681:TLX458705 TVT458681:TVT458705 UFP458681:UFP458705 UPL458681:UPL458705 UZH458681:UZH458705 VJD458681:VJD458705 VSZ458681:VSZ458705 WCV458681:WCV458705 WMR458681:WMR458705 WWN458681:WWN458705 AF524217:AF524241 KB524217:KB524241 TX524217:TX524241 ADT524217:ADT524241 ANP524217:ANP524241 AXL524217:AXL524241 BHH524217:BHH524241 BRD524217:BRD524241 CAZ524217:CAZ524241 CKV524217:CKV524241 CUR524217:CUR524241 DEN524217:DEN524241 DOJ524217:DOJ524241 DYF524217:DYF524241 EIB524217:EIB524241 ERX524217:ERX524241 FBT524217:FBT524241 FLP524217:FLP524241 FVL524217:FVL524241 GFH524217:GFH524241 GPD524217:GPD524241 GYZ524217:GYZ524241 HIV524217:HIV524241 HSR524217:HSR524241 ICN524217:ICN524241 IMJ524217:IMJ524241 IWF524217:IWF524241 JGB524217:JGB524241 JPX524217:JPX524241 JZT524217:JZT524241 KJP524217:KJP524241 KTL524217:KTL524241 LDH524217:LDH524241 LND524217:LND524241 LWZ524217:LWZ524241 MGV524217:MGV524241 MQR524217:MQR524241 NAN524217:NAN524241 NKJ524217:NKJ524241 NUF524217:NUF524241 OEB524217:OEB524241 ONX524217:ONX524241 OXT524217:OXT524241 PHP524217:PHP524241 PRL524217:PRL524241 QBH524217:QBH524241 QLD524217:QLD524241 QUZ524217:QUZ524241 REV524217:REV524241 ROR524217:ROR524241 RYN524217:RYN524241 SIJ524217:SIJ524241 SSF524217:SSF524241 TCB524217:TCB524241 TLX524217:TLX524241 TVT524217:TVT524241 UFP524217:UFP524241 UPL524217:UPL524241 UZH524217:UZH524241 VJD524217:VJD524241 VSZ524217:VSZ524241 WCV524217:WCV524241 WMR524217:WMR524241 WWN524217:WWN524241 AF589753:AF589777 KB589753:KB589777 TX589753:TX589777 ADT589753:ADT589777 ANP589753:ANP589777 AXL589753:AXL589777 BHH589753:BHH589777 BRD589753:BRD589777 CAZ589753:CAZ589777 CKV589753:CKV589777 CUR589753:CUR589777 DEN589753:DEN589777 DOJ589753:DOJ589777 DYF589753:DYF589777 EIB589753:EIB589777 ERX589753:ERX589777 FBT589753:FBT589777 FLP589753:FLP589777 FVL589753:FVL589777 GFH589753:GFH589777 GPD589753:GPD589777 GYZ589753:GYZ589777 HIV589753:HIV589777 HSR589753:HSR589777 ICN589753:ICN589777 IMJ589753:IMJ589777 IWF589753:IWF589777 JGB589753:JGB589777 JPX589753:JPX589777 JZT589753:JZT589777 KJP589753:KJP589777 KTL589753:KTL589777 LDH589753:LDH589777 LND589753:LND589777 LWZ589753:LWZ589777 MGV589753:MGV589777 MQR589753:MQR589777 NAN589753:NAN589777 NKJ589753:NKJ589777 NUF589753:NUF589777 OEB589753:OEB589777 ONX589753:ONX589777 OXT589753:OXT589777 PHP589753:PHP589777 PRL589753:PRL589777 QBH589753:QBH589777 QLD589753:QLD589777 QUZ589753:QUZ589777 REV589753:REV589777 ROR589753:ROR589777 RYN589753:RYN589777 SIJ589753:SIJ589777 SSF589753:SSF589777 TCB589753:TCB589777 TLX589753:TLX589777 TVT589753:TVT589777 UFP589753:UFP589777 UPL589753:UPL589777 UZH589753:UZH589777 VJD589753:VJD589777 VSZ589753:VSZ589777 WCV589753:WCV589777 WMR589753:WMR589777 WWN589753:WWN589777 AF655289:AF655313 KB655289:KB655313 TX655289:TX655313 ADT655289:ADT655313 ANP655289:ANP655313 AXL655289:AXL655313 BHH655289:BHH655313 BRD655289:BRD655313 CAZ655289:CAZ655313 CKV655289:CKV655313 CUR655289:CUR655313 DEN655289:DEN655313 DOJ655289:DOJ655313 DYF655289:DYF655313 EIB655289:EIB655313 ERX655289:ERX655313 FBT655289:FBT655313 FLP655289:FLP655313 FVL655289:FVL655313 GFH655289:GFH655313 GPD655289:GPD655313 GYZ655289:GYZ655313 HIV655289:HIV655313 HSR655289:HSR655313 ICN655289:ICN655313 IMJ655289:IMJ655313 IWF655289:IWF655313 JGB655289:JGB655313 JPX655289:JPX655313 JZT655289:JZT655313 KJP655289:KJP655313 KTL655289:KTL655313 LDH655289:LDH655313 LND655289:LND655313 LWZ655289:LWZ655313 MGV655289:MGV655313 MQR655289:MQR655313 NAN655289:NAN655313 NKJ655289:NKJ655313 NUF655289:NUF655313 OEB655289:OEB655313 ONX655289:ONX655313 OXT655289:OXT655313 PHP655289:PHP655313 PRL655289:PRL655313 QBH655289:QBH655313 QLD655289:QLD655313 QUZ655289:QUZ655313 REV655289:REV655313 ROR655289:ROR655313 RYN655289:RYN655313 SIJ655289:SIJ655313 SSF655289:SSF655313 TCB655289:TCB655313 TLX655289:TLX655313 TVT655289:TVT655313 UFP655289:UFP655313 UPL655289:UPL655313 UZH655289:UZH655313 VJD655289:VJD655313 VSZ655289:VSZ655313 WCV655289:WCV655313 WMR655289:WMR655313 WWN655289:WWN655313 AF720825:AF720849 KB720825:KB720849 TX720825:TX720849 ADT720825:ADT720849 ANP720825:ANP720849 AXL720825:AXL720849 BHH720825:BHH720849 BRD720825:BRD720849 CAZ720825:CAZ720849 CKV720825:CKV720849 CUR720825:CUR720849 DEN720825:DEN720849 DOJ720825:DOJ720849 DYF720825:DYF720849 EIB720825:EIB720849 ERX720825:ERX720849 FBT720825:FBT720849 FLP720825:FLP720849 FVL720825:FVL720849 GFH720825:GFH720849 GPD720825:GPD720849 GYZ720825:GYZ720849 HIV720825:HIV720849 HSR720825:HSR720849 ICN720825:ICN720849 IMJ720825:IMJ720849 IWF720825:IWF720849 JGB720825:JGB720849 JPX720825:JPX720849 JZT720825:JZT720849 KJP720825:KJP720849 KTL720825:KTL720849 LDH720825:LDH720849 LND720825:LND720849 LWZ720825:LWZ720849 MGV720825:MGV720849 MQR720825:MQR720849 NAN720825:NAN720849 NKJ720825:NKJ720849 NUF720825:NUF720849 OEB720825:OEB720849 ONX720825:ONX720849 OXT720825:OXT720849 PHP720825:PHP720849 PRL720825:PRL720849 QBH720825:QBH720849 QLD720825:QLD720849 QUZ720825:QUZ720849 REV720825:REV720849 ROR720825:ROR720849 RYN720825:RYN720849 SIJ720825:SIJ720849 SSF720825:SSF720849 TCB720825:TCB720849 TLX720825:TLX720849 TVT720825:TVT720849 UFP720825:UFP720849 UPL720825:UPL720849 UZH720825:UZH720849 VJD720825:VJD720849 VSZ720825:VSZ720849 WCV720825:WCV720849 WMR720825:WMR720849 WWN720825:WWN720849 AF786361:AF786385 KB786361:KB786385 TX786361:TX786385 ADT786361:ADT786385 ANP786361:ANP786385 AXL786361:AXL786385 BHH786361:BHH786385 BRD786361:BRD786385 CAZ786361:CAZ786385 CKV786361:CKV786385 CUR786361:CUR786385 DEN786361:DEN786385 DOJ786361:DOJ786385 DYF786361:DYF786385 EIB786361:EIB786385 ERX786361:ERX786385 FBT786361:FBT786385 FLP786361:FLP786385 FVL786361:FVL786385 GFH786361:GFH786385 GPD786361:GPD786385 GYZ786361:GYZ786385 HIV786361:HIV786385 HSR786361:HSR786385 ICN786361:ICN786385 IMJ786361:IMJ786385 IWF786361:IWF786385 JGB786361:JGB786385 JPX786361:JPX786385 JZT786361:JZT786385 KJP786361:KJP786385 KTL786361:KTL786385 LDH786361:LDH786385 LND786361:LND786385 LWZ786361:LWZ786385 MGV786361:MGV786385 MQR786361:MQR786385 NAN786361:NAN786385 NKJ786361:NKJ786385 NUF786361:NUF786385 OEB786361:OEB786385 ONX786361:ONX786385 OXT786361:OXT786385 PHP786361:PHP786385 PRL786361:PRL786385 QBH786361:QBH786385 QLD786361:QLD786385 QUZ786361:QUZ786385 REV786361:REV786385 ROR786361:ROR786385 RYN786361:RYN786385 SIJ786361:SIJ786385 SSF786361:SSF786385 TCB786361:TCB786385 TLX786361:TLX786385 TVT786361:TVT786385 UFP786361:UFP786385 UPL786361:UPL786385 UZH786361:UZH786385 VJD786361:VJD786385 VSZ786361:VSZ786385 WCV786361:WCV786385 WMR786361:WMR786385 WWN786361:WWN786385 AF851897:AF851921 KB851897:KB851921 TX851897:TX851921 ADT851897:ADT851921 ANP851897:ANP851921 AXL851897:AXL851921 BHH851897:BHH851921 BRD851897:BRD851921 CAZ851897:CAZ851921 CKV851897:CKV851921 CUR851897:CUR851921 DEN851897:DEN851921 DOJ851897:DOJ851921 DYF851897:DYF851921 EIB851897:EIB851921 ERX851897:ERX851921 FBT851897:FBT851921 FLP851897:FLP851921 FVL851897:FVL851921 GFH851897:GFH851921 GPD851897:GPD851921 GYZ851897:GYZ851921 HIV851897:HIV851921 HSR851897:HSR851921 ICN851897:ICN851921 IMJ851897:IMJ851921 IWF851897:IWF851921 JGB851897:JGB851921 JPX851897:JPX851921 JZT851897:JZT851921 KJP851897:KJP851921 KTL851897:KTL851921 LDH851897:LDH851921 LND851897:LND851921 LWZ851897:LWZ851921 MGV851897:MGV851921 MQR851897:MQR851921 NAN851897:NAN851921 NKJ851897:NKJ851921 NUF851897:NUF851921 OEB851897:OEB851921 ONX851897:ONX851921 OXT851897:OXT851921 PHP851897:PHP851921 PRL851897:PRL851921 QBH851897:QBH851921 QLD851897:QLD851921 QUZ851897:QUZ851921 REV851897:REV851921 ROR851897:ROR851921 RYN851897:RYN851921 SIJ851897:SIJ851921 SSF851897:SSF851921 TCB851897:TCB851921 TLX851897:TLX851921 TVT851897:TVT851921 UFP851897:UFP851921 UPL851897:UPL851921 UZH851897:UZH851921 VJD851897:VJD851921 VSZ851897:VSZ851921 WCV851897:WCV851921 WMR851897:WMR851921 WWN851897:WWN851921 AF917433:AF917457 KB917433:KB917457 TX917433:TX917457 ADT917433:ADT917457 ANP917433:ANP917457 AXL917433:AXL917457 BHH917433:BHH917457 BRD917433:BRD917457 CAZ917433:CAZ917457 CKV917433:CKV917457 CUR917433:CUR917457 DEN917433:DEN917457 DOJ917433:DOJ917457 DYF917433:DYF917457 EIB917433:EIB917457 ERX917433:ERX917457 FBT917433:FBT917457 FLP917433:FLP917457 FVL917433:FVL917457 GFH917433:GFH917457 GPD917433:GPD917457 GYZ917433:GYZ917457 HIV917433:HIV917457 HSR917433:HSR917457 ICN917433:ICN917457 IMJ917433:IMJ917457 IWF917433:IWF917457 JGB917433:JGB917457 JPX917433:JPX917457 JZT917433:JZT917457 KJP917433:KJP917457 KTL917433:KTL917457 LDH917433:LDH917457 LND917433:LND917457 LWZ917433:LWZ917457 MGV917433:MGV917457 MQR917433:MQR917457 NAN917433:NAN917457 NKJ917433:NKJ917457 NUF917433:NUF917457 OEB917433:OEB917457 ONX917433:ONX917457 OXT917433:OXT917457 PHP917433:PHP917457 PRL917433:PRL917457 QBH917433:QBH917457 QLD917433:QLD917457 QUZ917433:QUZ917457 REV917433:REV917457 ROR917433:ROR917457 RYN917433:RYN917457 SIJ917433:SIJ917457 SSF917433:SSF917457 TCB917433:TCB917457 TLX917433:TLX917457 TVT917433:TVT917457 UFP917433:UFP917457 UPL917433:UPL917457 UZH917433:UZH917457 VJD917433:VJD917457 VSZ917433:VSZ917457 WCV917433:WCV917457 WMR917433:WMR917457 WWN917433:WWN917457 AF982969:AF982993 KB982969:KB982993 TX982969:TX982993 ADT982969:ADT982993 ANP982969:ANP982993 AXL982969:AXL982993 BHH982969:BHH982993 BRD982969:BRD982993 CAZ982969:CAZ982993 CKV982969:CKV982993 CUR982969:CUR982993 DEN982969:DEN982993 DOJ982969:DOJ982993 DYF982969:DYF982993 EIB982969:EIB982993 ERX982969:ERX982993 FBT982969:FBT982993 FLP982969:FLP982993 FVL982969:FVL982993 GFH982969:GFH982993 GPD982969:GPD982993 GYZ982969:GYZ982993 HIV982969:HIV982993 HSR982969:HSR982993 ICN982969:ICN982993 IMJ982969:IMJ982993 IWF982969:IWF982993 JGB982969:JGB982993 JPX982969:JPX982993 JZT982969:JZT982993 KJP982969:KJP982993 KTL982969:KTL982993 LDH982969:LDH982993 LND982969:LND982993 LWZ982969:LWZ982993 MGV982969:MGV982993 MQR982969:MQR982993 NAN982969:NAN982993 NKJ982969:NKJ982993 NUF982969:NUF982993 OEB982969:OEB982993 ONX982969:ONX982993 OXT982969:OXT982993 PHP982969:PHP982993 PRL982969:PRL982993 QBH982969:QBH982993 QLD982969:QLD982993 QUZ982969:QUZ982993 REV982969:REV982993 ROR982969:ROR982993 RYN982969:RYN982993 SIJ982969:SIJ982993 SSF982969:SSF982993 TCB982969:TCB982993 TLX982969:TLX982993 TVT982969:TVT982993 UFP982969:UFP982993 UPL982969:UPL982993 UZH982969:UZH982993 VJD982969:VJD982993 VSZ982969:VSZ982993 WCV982969:WCV982993 WMR982969:WMR982993 WWN982969:WWN982993 AJ65465:AJ65489 KF65465:KF65489 UB65465:UB65489 ADX65465:ADX65489 ANT65465:ANT65489 AXP65465:AXP65489 BHL65465:BHL65489 BRH65465:BRH65489 CBD65465:CBD65489 CKZ65465:CKZ65489 CUV65465:CUV65489 DER65465:DER65489 DON65465:DON65489 DYJ65465:DYJ65489 EIF65465:EIF65489 ESB65465:ESB65489 FBX65465:FBX65489 FLT65465:FLT65489 FVP65465:FVP65489 GFL65465:GFL65489 GPH65465:GPH65489 GZD65465:GZD65489 HIZ65465:HIZ65489 HSV65465:HSV65489 ICR65465:ICR65489 IMN65465:IMN65489 IWJ65465:IWJ65489 JGF65465:JGF65489 JQB65465:JQB65489 JZX65465:JZX65489 KJT65465:KJT65489 KTP65465:KTP65489 LDL65465:LDL65489 LNH65465:LNH65489 LXD65465:LXD65489 MGZ65465:MGZ65489 MQV65465:MQV65489 NAR65465:NAR65489 NKN65465:NKN65489 NUJ65465:NUJ65489 OEF65465:OEF65489 OOB65465:OOB65489 OXX65465:OXX65489 PHT65465:PHT65489 PRP65465:PRP65489 QBL65465:QBL65489 QLH65465:QLH65489 QVD65465:QVD65489 REZ65465:REZ65489 ROV65465:ROV65489 RYR65465:RYR65489 SIN65465:SIN65489 SSJ65465:SSJ65489 TCF65465:TCF65489 TMB65465:TMB65489 TVX65465:TVX65489 UFT65465:UFT65489 UPP65465:UPP65489 UZL65465:UZL65489 VJH65465:VJH65489 VTD65465:VTD65489 WCZ65465:WCZ65489 WMV65465:WMV65489 WWR65465:WWR65489 AJ131001:AJ131025 KF131001:KF131025 UB131001:UB131025 ADX131001:ADX131025 ANT131001:ANT131025 AXP131001:AXP131025 BHL131001:BHL131025 BRH131001:BRH131025 CBD131001:CBD131025 CKZ131001:CKZ131025 CUV131001:CUV131025 DER131001:DER131025 DON131001:DON131025 DYJ131001:DYJ131025 EIF131001:EIF131025 ESB131001:ESB131025 FBX131001:FBX131025 FLT131001:FLT131025 FVP131001:FVP131025 GFL131001:GFL131025 GPH131001:GPH131025 GZD131001:GZD131025 HIZ131001:HIZ131025 HSV131001:HSV131025 ICR131001:ICR131025 IMN131001:IMN131025 IWJ131001:IWJ131025 JGF131001:JGF131025 JQB131001:JQB131025 JZX131001:JZX131025 KJT131001:KJT131025 KTP131001:KTP131025 LDL131001:LDL131025 LNH131001:LNH131025 LXD131001:LXD131025 MGZ131001:MGZ131025 MQV131001:MQV131025 NAR131001:NAR131025 NKN131001:NKN131025 NUJ131001:NUJ131025 OEF131001:OEF131025 OOB131001:OOB131025 OXX131001:OXX131025 PHT131001:PHT131025 PRP131001:PRP131025 QBL131001:QBL131025 QLH131001:QLH131025 QVD131001:QVD131025 REZ131001:REZ131025 ROV131001:ROV131025 RYR131001:RYR131025 SIN131001:SIN131025 SSJ131001:SSJ131025 TCF131001:TCF131025 TMB131001:TMB131025 TVX131001:TVX131025 UFT131001:UFT131025 UPP131001:UPP131025 UZL131001:UZL131025 VJH131001:VJH131025 VTD131001:VTD131025 WCZ131001:WCZ131025 WMV131001:WMV131025 WWR131001:WWR131025 AJ196537:AJ196561 KF196537:KF196561 UB196537:UB196561 ADX196537:ADX196561 ANT196537:ANT196561 AXP196537:AXP196561 BHL196537:BHL196561 BRH196537:BRH196561 CBD196537:CBD196561 CKZ196537:CKZ196561 CUV196537:CUV196561 DER196537:DER196561 DON196537:DON196561 DYJ196537:DYJ196561 EIF196537:EIF196561 ESB196537:ESB196561 FBX196537:FBX196561 FLT196537:FLT196561 FVP196537:FVP196561 GFL196537:GFL196561 GPH196537:GPH196561 GZD196537:GZD196561 HIZ196537:HIZ196561 HSV196537:HSV196561 ICR196537:ICR196561 IMN196537:IMN196561 IWJ196537:IWJ196561 JGF196537:JGF196561 JQB196537:JQB196561 JZX196537:JZX196561 KJT196537:KJT196561 KTP196537:KTP196561 LDL196537:LDL196561 LNH196537:LNH196561 LXD196537:LXD196561 MGZ196537:MGZ196561 MQV196537:MQV196561 NAR196537:NAR196561 NKN196537:NKN196561 NUJ196537:NUJ196561 OEF196537:OEF196561 OOB196537:OOB196561 OXX196537:OXX196561 PHT196537:PHT196561 PRP196537:PRP196561 QBL196537:QBL196561 QLH196537:QLH196561 QVD196537:QVD196561 REZ196537:REZ196561 ROV196537:ROV196561 RYR196537:RYR196561 SIN196537:SIN196561 SSJ196537:SSJ196561 TCF196537:TCF196561 TMB196537:TMB196561 TVX196537:TVX196561 UFT196537:UFT196561 UPP196537:UPP196561 UZL196537:UZL196561 VJH196537:VJH196561 VTD196537:VTD196561 WCZ196537:WCZ196561 WMV196537:WMV196561 WWR196537:WWR196561 AJ262073:AJ262097 KF262073:KF262097 UB262073:UB262097 ADX262073:ADX262097 ANT262073:ANT262097 AXP262073:AXP262097 BHL262073:BHL262097 BRH262073:BRH262097 CBD262073:CBD262097 CKZ262073:CKZ262097 CUV262073:CUV262097 DER262073:DER262097 DON262073:DON262097 DYJ262073:DYJ262097 EIF262073:EIF262097 ESB262073:ESB262097 FBX262073:FBX262097 FLT262073:FLT262097 FVP262073:FVP262097 GFL262073:GFL262097 GPH262073:GPH262097 GZD262073:GZD262097 HIZ262073:HIZ262097 HSV262073:HSV262097 ICR262073:ICR262097 IMN262073:IMN262097 IWJ262073:IWJ262097 JGF262073:JGF262097 JQB262073:JQB262097 JZX262073:JZX262097 KJT262073:KJT262097 KTP262073:KTP262097 LDL262073:LDL262097 LNH262073:LNH262097 LXD262073:LXD262097 MGZ262073:MGZ262097 MQV262073:MQV262097 NAR262073:NAR262097 NKN262073:NKN262097 NUJ262073:NUJ262097 OEF262073:OEF262097 OOB262073:OOB262097 OXX262073:OXX262097 PHT262073:PHT262097 PRP262073:PRP262097 QBL262073:QBL262097 QLH262073:QLH262097 QVD262073:QVD262097 REZ262073:REZ262097 ROV262073:ROV262097 RYR262073:RYR262097 SIN262073:SIN262097 SSJ262073:SSJ262097 TCF262073:TCF262097 TMB262073:TMB262097 TVX262073:TVX262097 UFT262073:UFT262097 UPP262073:UPP262097 UZL262073:UZL262097 VJH262073:VJH262097 VTD262073:VTD262097 WCZ262073:WCZ262097 WMV262073:WMV262097 WWR262073:WWR262097 AJ327609:AJ327633 KF327609:KF327633 UB327609:UB327633 ADX327609:ADX327633 ANT327609:ANT327633 AXP327609:AXP327633 BHL327609:BHL327633 BRH327609:BRH327633 CBD327609:CBD327633 CKZ327609:CKZ327633 CUV327609:CUV327633 DER327609:DER327633 DON327609:DON327633 DYJ327609:DYJ327633 EIF327609:EIF327633 ESB327609:ESB327633 FBX327609:FBX327633 FLT327609:FLT327633 FVP327609:FVP327633 GFL327609:GFL327633 GPH327609:GPH327633 GZD327609:GZD327633 HIZ327609:HIZ327633 HSV327609:HSV327633 ICR327609:ICR327633 IMN327609:IMN327633 IWJ327609:IWJ327633 JGF327609:JGF327633 JQB327609:JQB327633 JZX327609:JZX327633 KJT327609:KJT327633 KTP327609:KTP327633 LDL327609:LDL327633 LNH327609:LNH327633 LXD327609:LXD327633 MGZ327609:MGZ327633 MQV327609:MQV327633 NAR327609:NAR327633 NKN327609:NKN327633 NUJ327609:NUJ327633 OEF327609:OEF327633 OOB327609:OOB327633 OXX327609:OXX327633 PHT327609:PHT327633 PRP327609:PRP327633 QBL327609:QBL327633 QLH327609:QLH327633 QVD327609:QVD327633 REZ327609:REZ327633 ROV327609:ROV327633 RYR327609:RYR327633 SIN327609:SIN327633 SSJ327609:SSJ327633 TCF327609:TCF327633 TMB327609:TMB327633 TVX327609:TVX327633 UFT327609:UFT327633 UPP327609:UPP327633 UZL327609:UZL327633 VJH327609:VJH327633 VTD327609:VTD327633 WCZ327609:WCZ327633 WMV327609:WMV327633 WWR327609:WWR327633 AJ393145:AJ393169 KF393145:KF393169 UB393145:UB393169 ADX393145:ADX393169 ANT393145:ANT393169 AXP393145:AXP393169 BHL393145:BHL393169 BRH393145:BRH393169 CBD393145:CBD393169 CKZ393145:CKZ393169 CUV393145:CUV393169 DER393145:DER393169 DON393145:DON393169 DYJ393145:DYJ393169 EIF393145:EIF393169 ESB393145:ESB393169 FBX393145:FBX393169 FLT393145:FLT393169 FVP393145:FVP393169 GFL393145:GFL393169 GPH393145:GPH393169 GZD393145:GZD393169 HIZ393145:HIZ393169 HSV393145:HSV393169 ICR393145:ICR393169 IMN393145:IMN393169 IWJ393145:IWJ393169 JGF393145:JGF393169 JQB393145:JQB393169 JZX393145:JZX393169 KJT393145:KJT393169 KTP393145:KTP393169 LDL393145:LDL393169 LNH393145:LNH393169 LXD393145:LXD393169 MGZ393145:MGZ393169 MQV393145:MQV393169 NAR393145:NAR393169 NKN393145:NKN393169 NUJ393145:NUJ393169 OEF393145:OEF393169 OOB393145:OOB393169 OXX393145:OXX393169 PHT393145:PHT393169 PRP393145:PRP393169 QBL393145:QBL393169 QLH393145:QLH393169 QVD393145:QVD393169 REZ393145:REZ393169 ROV393145:ROV393169 RYR393145:RYR393169 SIN393145:SIN393169 SSJ393145:SSJ393169 TCF393145:TCF393169 TMB393145:TMB393169 TVX393145:TVX393169 UFT393145:UFT393169 UPP393145:UPP393169 UZL393145:UZL393169 VJH393145:VJH393169 VTD393145:VTD393169 WCZ393145:WCZ393169 WMV393145:WMV393169 WWR393145:WWR393169 AJ458681:AJ458705 KF458681:KF458705 UB458681:UB458705 ADX458681:ADX458705 ANT458681:ANT458705 AXP458681:AXP458705 BHL458681:BHL458705 BRH458681:BRH458705 CBD458681:CBD458705 CKZ458681:CKZ458705 CUV458681:CUV458705 DER458681:DER458705 DON458681:DON458705 DYJ458681:DYJ458705 EIF458681:EIF458705 ESB458681:ESB458705 FBX458681:FBX458705 FLT458681:FLT458705 FVP458681:FVP458705 GFL458681:GFL458705 GPH458681:GPH458705 GZD458681:GZD458705 HIZ458681:HIZ458705 HSV458681:HSV458705 ICR458681:ICR458705 IMN458681:IMN458705 IWJ458681:IWJ458705 JGF458681:JGF458705 JQB458681:JQB458705 JZX458681:JZX458705 KJT458681:KJT458705 KTP458681:KTP458705 LDL458681:LDL458705 LNH458681:LNH458705 LXD458681:LXD458705 MGZ458681:MGZ458705 MQV458681:MQV458705 NAR458681:NAR458705 NKN458681:NKN458705 NUJ458681:NUJ458705 OEF458681:OEF458705 OOB458681:OOB458705 OXX458681:OXX458705 PHT458681:PHT458705 PRP458681:PRP458705 QBL458681:QBL458705 QLH458681:QLH458705 QVD458681:QVD458705 REZ458681:REZ458705 ROV458681:ROV458705 RYR458681:RYR458705 SIN458681:SIN458705 SSJ458681:SSJ458705 TCF458681:TCF458705 TMB458681:TMB458705 TVX458681:TVX458705 UFT458681:UFT458705 UPP458681:UPP458705 UZL458681:UZL458705 VJH458681:VJH458705 VTD458681:VTD458705 WCZ458681:WCZ458705 WMV458681:WMV458705 WWR458681:WWR458705 AJ524217:AJ524241 KF524217:KF524241 UB524217:UB524241 ADX524217:ADX524241 ANT524217:ANT524241 AXP524217:AXP524241 BHL524217:BHL524241 BRH524217:BRH524241 CBD524217:CBD524241 CKZ524217:CKZ524241 CUV524217:CUV524241 DER524217:DER524241 DON524217:DON524241 DYJ524217:DYJ524241 EIF524217:EIF524241 ESB524217:ESB524241 FBX524217:FBX524241 FLT524217:FLT524241 FVP524217:FVP524241 GFL524217:GFL524241 GPH524217:GPH524241 GZD524217:GZD524241 HIZ524217:HIZ524241 HSV524217:HSV524241 ICR524217:ICR524241 IMN524217:IMN524241 IWJ524217:IWJ524241 JGF524217:JGF524241 JQB524217:JQB524241 JZX524217:JZX524241 KJT524217:KJT524241 KTP524217:KTP524241 LDL524217:LDL524241 LNH524217:LNH524241 LXD524217:LXD524241 MGZ524217:MGZ524241 MQV524217:MQV524241 NAR524217:NAR524241 NKN524217:NKN524241 NUJ524217:NUJ524241 OEF524217:OEF524241 OOB524217:OOB524241 OXX524217:OXX524241 PHT524217:PHT524241 PRP524217:PRP524241 QBL524217:QBL524241 QLH524217:QLH524241 QVD524217:QVD524241 REZ524217:REZ524241 ROV524217:ROV524241 RYR524217:RYR524241 SIN524217:SIN524241 SSJ524217:SSJ524241 TCF524217:TCF524241 TMB524217:TMB524241 TVX524217:TVX524241 UFT524217:UFT524241 UPP524217:UPP524241 UZL524217:UZL524241 VJH524217:VJH524241 VTD524217:VTD524241 WCZ524217:WCZ524241 WMV524217:WMV524241 WWR524217:WWR524241 AJ589753:AJ589777 KF589753:KF589777 UB589753:UB589777 ADX589753:ADX589777 ANT589753:ANT589777 AXP589753:AXP589777 BHL589753:BHL589777 BRH589753:BRH589777 CBD589753:CBD589777 CKZ589753:CKZ589777 CUV589753:CUV589777 DER589753:DER589777 DON589753:DON589777 DYJ589753:DYJ589777 EIF589753:EIF589777 ESB589753:ESB589777 FBX589753:FBX589777 FLT589753:FLT589777 FVP589753:FVP589777 GFL589753:GFL589777 GPH589753:GPH589777 GZD589753:GZD589777 HIZ589753:HIZ589777 HSV589753:HSV589777 ICR589753:ICR589777 IMN589753:IMN589777 IWJ589753:IWJ589777 JGF589753:JGF589777 JQB589753:JQB589777 JZX589753:JZX589777 KJT589753:KJT589777 KTP589753:KTP589777 LDL589753:LDL589777 LNH589753:LNH589777 LXD589753:LXD589777 MGZ589753:MGZ589777 MQV589753:MQV589777 NAR589753:NAR589777 NKN589753:NKN589777 NUJ589753:NUJ589777 OEF589753:OEF589777 OOB589753:OOB589777 OXX589753:OXX589777 PHT589753:PHT589777 PRP589753:PRP589777 QBL589753:QBL589777 QLH589753:QLH589777 QVD589753:QVD589777 REZ589753:REZ589777 ROV589753:ROV589777 RYR589753:RYR589777 SIN589753:SIN589777 SSJ589753:SSJ589777 TCF589753:TCF589777 TMB589753:TMB589777 TVX589753:TVX589777 UFT589753:UFT589777 UPP589753:UPP589777 UZL589753:UZL589777 VJH589753:VJH589777 VTD589753:VTD589777 WCZ589753:WCZ589777 WMV589753:WMV589777 WWR589753:WWR589777 AJ655289:AJ655313 KF655289:KF655313 UB655289:UB655313 ADX655289:ADX655313 ANT655289:ANT655313 AXP655289:AXP655313 BHL655289:BHL655313 BRH655289:BRH655313 CBD655289:CBD655313 CKZ655289:CKZ655313 CUV655289:CUV655313 DER655289:DER655313 DON655289:DON655313 DYJ655289:DYJ655313 EIF655289:EIF655313 ESB655289:ESB655313 FBX655289:FBX655313 FLT655289:FLT655313 FVP655289:FVP655313 GFL655289:GFL655313 GPH655289:GPH655313 GZD655289:GZD655313 HIZ655289:HIZ655313 HSV655289:HSV655313 ICR655289:ICR655313 IMN655289:IMN655313 IWJ655289:IWJ655313 JGF655289:JGF655313 JQB655289:JQB655313 JZX655289:JZX655313 KJT655289:KJT655313 KTP655289:KTP655313 LDL655289:LDL655313 LNH655289:LNH655313 LXD655289:LXD655313 MGZ655289:MGZ655313 MQV655289:MQV655313 NAR655289:NAR655313 NKN655289:NKN655313 NUJ655289:NUJ655313 OEF655289:OEF655313 OOB655289:OOB655313 OXX655289:OXX655313 PHT655289:PHT655313 PRP655289:PRP655313 QBL655289:QBL655313 QLH655289:QLH655313 QVD655289:QVD655313 REZ655289:REZ655313 ROV655289:ROV655313 RYR655289:RYR655313 SIN655289:SIN655313 SSJ655289:SSJ655313 TCF655289:TCF655313 TMB655289:TMB655313 TVX655289:TVX655313 UFT655289:UFT655313 UPP655289:UPP655313 UZL655289:UZL655313 VJH655289:VJH655313 VTD655289:VTD655313 WCZ655289:WCZ655313 WMV655289:WMV655313 WWR655289:WWR655313 AJ720825:AJ720849 KF720825:KF720849 UB720825:UB720849 ADX720825:ADX720849 ANT720825:ANT720849 AXP720825:AXP720849 BHL720825:BHL720849 BRH720825:BRH720849 CBD720825:CBD720849 CKZ720825:CKZ720849 CUV720825:CUV720849 DER720825:DER720849 DON720825:DON720849 DYJ720825:DYJ720849 EIF720825:EIF720849 ESB720825:ESB720849 FBX720825:FBX720849 FLT720825:FLT720849 FVP720825:FVP720849 GFL720825:GFL720849 GPH720825:GPH720849 GZD720825:GZD720849 HIZ720825:HIZ720849 HSV720825:HSV720849 ICR720825:ICR720849 IMN720825:IMN720849 IWJ720825:IWJ720849 JGF720825:JGF720849 JQB720825:JQB720849 JZX720825:JZX720849 KJT720825:KJT720849 KTP720825:KTP720849 LDL720825:LDL720849 LNH720825:LNH720849 LXD720825:LXD720849 MGZ720825:MGZ720849 MQV720825:MQV720849 NAR720825:NAR720849 NKN720825:NKN720849 NUJ720825:NUJ720849 OEF720825:OEF720849 OOB720825:OOB720849 OXX720825:OXX720849 PHT720825:PHT720849 PRP720825:PRP720849 QBL720825:QBL720849 QLH720825:QLH720849 QVD720825:QVD720849 REZ720825:REZ720849 ROV720825:ROV720849 RYR720825:RYR720849 SIN720825:SIN720849 SSJ720825:SSJ720849 TCF720825:TCF720849 TMB720825:TMB720849 TVX720825:TVX720849 UFT720825:UFT720849 UPP720825:UPP720849 UZL720825:UZL720849 VJH720825:VJH720849 VTD720825:VTD720849 WCZ720825:WCZ720849 WMV720825:WMV720849 WWR720825:WWR720849 AJ786361:AJ786385 KF786361:KF786385 UB786361:UB786385 ADX786361:ADX786385 ANT786361:ANT786385 AXP786361:AXP786385 BHL786361:BHL786385 BRH786361:BRH786385 CBD786361:CBD786385 CKZ786361:CKZ786385 CUV786361:CUV786385 DER786361:DER786385 DON786361:DON786385 DYJ786361:DYJ786385 EIF786361:EIF786385 ESB786361:ESB786385 FBX786361:FBX786385 FLT786361:FLT786385 FVP786361:FVP786385 GFL786361:GFL786385 GPH786361:GPH786385 GZD786361:GZD786385 HIZ786361:HIZ786385 HSV786361:HSV786385 ICR786361:ICR786385 IMN786361:IMN786385 IWJ786361:IWJ786385 JGF786361:JGF786385 JQB786361:JQB786385 JZX786361:JZX786385 KJT786361:KJT786385 KTP786361:KTP786385 LDL786361:LDL786385 LNH786361:LNH786385 LXD786361:LXD786385 MGZ786361:MGZ786385 MQV786361:MQV786385 NAR786361:NAR786385 NKN786361:NKN786385 NUJ786361:NUJ786385 OEF786361:OEF786385 OOB786361:OOB786385 OXX786361:OXX786385 PHT786361:PHT786385 PRP786361:PRP786385 QBL786361:QBL786385 QLH786361:QLH786385 QVD786361:QVD786385 REZ786361:REZ786385 ROV786361:ROV786385 RYR786361:RYR786385 SIN786361:SIN786385 SSJ786361:SSJ786385 TCF786361:TCF786385 TMB786361:TMB786385 TVX786361:TVX786385 UFT786361:UFT786385 UPP786361:UPP786385 UZL786361:UZL786385 VJH786361:VJH786385 VTD786361:VTD786385 WCZ786361:WCZ786385 WMV786361:WMV786385 WWR786361:WWR786385 AJ851897:AJ851921 KF851897:KF851921 UB851897:UB851921 ADX851897:ADX851921 ANT851897:ANT851921 AXP851897:AXP851921 BHL851897:BHL851921 BRH851897:BRH851921 CBD851897:CBD851921 CKZ851897:CKZ851921 CUV851897:CUV851921 DER851897:DER851921 DON851897:DON851921 DYJ851897:DYJ851921 EIF851897:EIF851921 ESB851897:ESB851921 FBX851897:FBX851921 FLT851897:FLT851921 FVP851897:FVP851921 GFL851897:GFL851921 GPH851897:GPH851921 GZD851897:GZD851921 HIZ851897:HIZ851921 HSV851897:HSV851921 ICR851897:ICR851921 IMN851897:IMN851921 IWJ851897:IWJ851921 JGF851897:JGF851921 JQB851897:JQB851921 JZX851897:JZX851921 KJT851897:KJT851921 KTP851897:KTP851921 LDL851897:LDL851921 LNH851897:LNH851921 LXD851897:LXD851921 MGZ851897:MGZ851921 MQV851897:MQV851921 NAR851897:NAR851921 NKN851897:NKN851921 NUJ851897:NUJ851921 OEF851897:OEF851921 OOB851897:OOB851921 OXX851897:OXX851921 PHT851897:PHT851921 PRP851897:PRP851921 QBL851897:QBL851921 QLH851897:QLH851921 QVD851897:QVD851921 REZ851897:REZ851921 ROV851897:ROV851921 RYR851897:RYR851921 SIN851897:SIN851921 SSJ851897:SSJ851921 TCF851897:TCF851921 TMB851897:TMB851921 TVX851897:TVX851921 UFT851897:UFT851921 UPP851897:UPP851921 UZL851897:UZL851921 VJH851897:VJH851921 VTD851897:VTD851921 WCZ851897:WCZ851921 WMV851897:WMV851921 WWR851897:WWR851921 AJ917433:AJ917457 KF917433:KF917457 UB917433:UB917457 ADX917433:ADX917457 ANT917433:ANT917457 AXP917433:AXP917457 BHL917433:BHL917457 BRH917433:BRH917457 CBD917433:CBD917457 CKZ917433:CKZ917457 CUV917433:CUV917457 DER917433:DER917457 DON917433:DON917457 DYJ917433:DYJ917457 EIF917433:EIF917457 ESB917433:ESB917457 FBX917433:FBX917457 FLT917433:FLT917457 FVP917433:FVP917457 GFL917433:GFL917457 GPH917433:GPH917457 GZD917433:GZD917457 HIZ917433:HIZ917457 HSV917433:HSV917457 ICR917433:ICR917457 IMN917433:IMN917457 IWJ917433:IWJ917457 JGF917433:JGF917457 JQB917433:JQB917457 JZX917433:JZX917457 KJT917433:KJT917457 KTP917433:KTP917457 LDL917433:LDL917457 LNH917433:LNH917457 LXD917433:LXD917457 MGZ917433:MGZ917457 MQV917433:MQV917457 NAR917433:NAR917457 NKN917433:NKN917457 NUJ917433:NUJ917457 OEF917433:OEF917457 OOB917433:OOB917457 OXX917433:OXX917457 PHT917433:PHT917457 PRP917433:PRP917457 QBL917433:QBL917457 QLH917433:QLH917457 QVD917433:QVD917457 REZ917433:REZ917457 ROV917433:ROV917457 RYR917433:RYR917457 SIN917433:SIN917457 SSJ917433:SSJ917457 TCF917433:TCF917457 TMB917433:TMB917457 TVX917433:TVX917457 UFT917433:UFT917457 UPP917433:UPP917457 UZL917433:UZL917457 VJH917433:VJH917457 VTD917433:VTD917457 WCZ917433:WCZ917457 WMV917433:WMV917457 WWR917433:WWR917457 AJ982969:AJ982993 KF982969:KF982993 UB982969:UB982993 ADX982969:ADX982993 ANT982969:ANT982993 AXP982969:AXP982993 BHL982969:BHL982993 BRH982969:BRH982993 CBD982969:CBD982993 CKZ982969:CKZ982993 CUV982969:CUV982993 DER982969:DER982993 DON982969:DON982993 DYJ982969:DYJ982993 EIF982969:EIF982993 ESB982969:ESB982993 FBX982969:FBX982993 FLT982969:FLT982993 FVP982969:FVP982993 GFL982969:GFL982993 GPH982969:GPH982993 GZD982969:GZD982993 HIZ982969:HIZ982993 HSV982969:HSV982993 ICR982969:ICR982993 IMN982969:IMN982993 IWJ982969:IWJ982993 JGF982969:JGF982993 JQB982969:JQB982993 JZX982969:JZX982993 KJT982969:KJT982993 KTP982969:KTP982993 LDL982969:LDL982993 LNH982969:LNH982993 LXD982969:LXD982993 MGZ982969:MGZ982993 MQV982969:MQV982993 NAR982969:NAR982993 NKN982969:NKN982993 NUJ982969:NUJ982993 OEF982969:OEF982993 OOB982969:OOB982993 OXX982969:OXX982993 PHT982969:PHT982993 PRP982969:PRP982993 QBL982969:QBL982993 QLH982969:QLH982993 QVD982969:QVD982993 REZ982969:REZ982993 ROV982969:ROV982993 RYR982969:RYR982993 SIN982969:SIN982993 SSJ982969:SSJ982993 TCF982969:TCF982993 TMB982969:TMB982993 TVX982969:TVX982993 UFT982969:UFT982993 UPP982969:UPP982993 UZL982969:UZL982993 VJH982969:VJH982993 VTD982969:VTD982993 WCZ982969:WCZ982993 WMV982969:WMV982993 WWR982969:WWR982993 TQ10:TQ1811 ADM10:ADM1811 JU10:JU1811 WWS10:WWS1811 WMW10:WMW1811 WDA10:WDA1811 VTE10:VTE1811 VJI10:VJI1811 UZM10:UZM1811 UPQ10:UPQ1811 UFU10:UFU1811 TVY10:TVY1811 TMC10:TMC1811 TCG10:TCG1811 SSK10:SSK1811 SIO10:SIO1811 RYS10:RYS1811 ROW10:ROW1811 RFA10:RFA1811 QVE10:QVE1811 QLI10:QLI1811 QBM10:QBM1811 PRQ10:PRQ1811 PHU10:PHU1811 OXY10:OXY1811 OOC10:OOC1811 OEG10:OEG1811 NUK10:NUK1811 NKO10:NKO1811 NAS10:NAS1811 MQW10:MQW1811 MHA10:MHA1811 LXE10:LXE1811 LNI10:LNI1811 LDM10:LDM1811 KTQ10:KTQ1811 KJU10:KJU1811 JZY10:JZY1811 JQC10:JQC1811 JGG10:JGG1811 IWK10:IWK1811 IMO10:IMO1811 ICS10:ICS1811 HSW10:HSW1811 HJA10:HJA1811 GZE10:GZE1811 GPI10:GPI1811 GFM10:GFM1811 FVQ10:FVQ1811 FLU10:FLU1811 FBY10:FBY1811 ESC10:ESC1811 EIG10:EIG1811 DYK10:DYK1811 DOO10:DOO1811 DES10:DES1811 CUW10:CUW1811 CLA10:CLA1811 CBE10:CBE1811 BRI10:BRI1811 BHM10:BHM1811 AXQ10:AXQ1811 ANU10:ANU1811 ADY10:ADY1811 UC10:UC1811 KG10:KG1811 WWO10:WWO1811 WMS10:WMS1811 WCW10:WCW1811 VTA10:VTA1811 VJE10:VJE1811 UZI10:UZI1811 UPM10:UPM1811 UFQ10:UFQ1811 TVU10:TVU1811 TLY10:TLY1811 TCC10:TCC1811 SSG10:SSG1811 SIK10:SIK1811 RYO10:RYO1811 ROS10:ROS1811 REW10:REW1811 QVA10:QVA1811 QLE10:QLE1811 QBI10:QBI1811 PRM10:PRM1811 PHQ10:PHQ1811 OXU10:OXU1811 ONY10:ONY1811 OEC10:OEC1811 NUG10:NUG1811 NKK10:NKK1811 NAO10:NAO1811 MQS10:MQS1811 MGW10:MGW1811 LXA10:LXA1811 LNE10:LNE1811 LDI10:LDI1811 KTM10:KTM1811 KJQ10:KJQ1811 JZU10:JZU1811 JPY10:JPY1811 JGC10:JGC1811 IWG10:IWG1811 IMK10:IMK1811 ICO10:ICO1811 HSS10:HSS1811 HIW10:HIW1811 GZA10:GZA1811 GPE10:GPE1811 GFI10:GFI1811 FVM10:FVM1811 FLQ10:FLQ1811 FBU10:FBU1811 ERY10:ERY1811 EIC10:EIC1811 DYG10:DYG1811 DOK10:DOK1811 DEO10:DEO1811 CUS10:CUS1811 CKW10:CKW1811 CBA10:CBA1811 BRE10:BRE1811 BHI10:BHI1811 AXM10:AXM1811 ANQ10:ANQ1811 ADU10:ADU1811 TY10:TY1811 KC10:KC1811 WWK10:WWK1811 WMO10:WMO1811 WCS10:WCS1811 VSW10:VSW1811 VJA10:VJA1811 UZE10:UZE1811 UPI10:UPI1811 UFM10:UFM1811 TVQ10:TVQ1811 TLU10:TLU1811 TBY10:TBY1811 SSC10:SSC1811 SIG10:SIG1811 RYK10:RYK1811 ROO10:ROO1811 RES10:RES1811 QUW10:QUW1811 QLA10:QLA1811 QBE10:QBE1811 PRI10:PRI1811 PHM10:PHM1811 OXQ10:OXQ1811 ONU10:ONU1811 ODY10:ODY1811 NUC10:NUC1811 NKG10:NKG1811 NAK10:NAK1811 MQO10:MQO1811 MGS10:MGS1811 LWW10:LWW1811 LNA10:LNA1811 LDE10:LDE1811 KTI10:KTI1811 KJM10:KJM1811 JZQ10:JZQ1811 JPU10:JPU1811 JFY10:JFY1811 IWC10:IWC1811 IMG10:IMG1811 ICK10:ICK1811 HSO10:HSO1811 HIS10:HIS1811 GYW10:GYW1811 GPA10:GPA1811 GFE10:GFE1811 FVI10:FVI1811 FLM10:FLM1811 FBQ10:FBQ1811 ERU10:ERU1811 EHY10:EHY1811 DYC10:DYC1811 DOG10:DOG1811 DEK10:DEK1811 CUO10:CUO1811 CKS10:CKS1811 CAW10:CAW1811 BRA10:BRA1811 BHE10:BHE1811 AXI10:AXI1811 ANM10:ANM1811 ADQ10:ADQ1811 TU10:TU1811 JY10:JY1811 WWG10:WWG1811 WMK10:WMK1811 WCO10:WCO1811 VSS10:VSS1811 VIW10:VIW1811 UZA10:UZA1811 UPE10:UPE1811 UFI10:UFI1811 TVM10:TVM1811 TLQ10:TLQ1811 TBU10:TBU1811 SRY10:SRY1811 SIC10:SIC1811 RYG10:RYG1811 ROK10:ROK1811 REO10:REO1811 QUS10:QUS1811 QKW10:QKW1811 QBA10:QBA1811 PRE10:PRE1811 PHI10:PHI1811 OXM10:OXM1811 ONQ10:ONQ1811 ODU10:ODU1811 NTY10:NTY1811 NKC10:NKC1811 NAG10:NAG1811 MQK10:MQK1811 MGO10:MGO1811 LWS10:LWS1811 LMW10:LMW1811 LDA10:LDA1811 KTE10:KTE1811 KJI10:KJI1811 JZM10:JZM1811 JPQ10:JPQ1811 JFU10:JFU1811 IVY10:IVY1811 IMC10:IMC1811 ICG10:ICG1811 HSK10:HSK1811 HIO10:HIO1811 GYS10:GYS1811 GOW10:GOW1811 GFA10:GFA1811 FVE10:FVE1811 FLI10:FLI1811 FBM10:FBM1811 ERQ10:ERQ1811 EHU10:EHU1811 DXY10:DXY1811 DOC10:DOC1811 DEG10:DEG1811 CUK10:CUK1811 CKO10:CKO1811 CAS10:CAS1811 BQW10:BQW1811 BHA10:BHA1811 AXE10:AXE1811 ANI10:ANI1811" xr:uid="{00000000-0002-0000-2300-000008000000}">
      <formula1>$L$4:$L$5</formula1>
    </dataValidation>
    <dataValidation allowBlank="1" showInputMessage="1" showErrorMessage="1" prompt="Enter the R&amp;B refund due (To)/From individual. If the contractor provides documentation to confirm an adjustment was made prior to the entrance, indicate the adjustment (refund to individual) in column &quot;AA&quot; as a positive_x000a_" sqref="WWO982969:WWO982993 KC65465:KC65489 TY65465:TY65489 ADU65465:ADU65489 ANQ65465:ANQ65489 AXM65465:AXM65489 BHI65465:BHI65489 BRE65465:BRE65489 CBA65465:CBA65489 CKW65465:CKW65489 CUS65465:CUS65489 DEO65465:DEO65489 DOK65465:DOK65489 DYG65465:DYG65489 EIC65465:EIC65489 ERY65465:ERY65489 FBU65465:FBU65489 FLQ65465:FLQ65489 FVM65465:FVM65489 GFI65465:GFI65489 GPE65465:GPE65489 GZA65465:GZA65489 HIW65465:HIW65489 HSS65465:HSS65489 ICO65465:ICO65489 IMK65465:IMK65489 IWG65465:IWG65489 JGC65465:JGC65489 JPY65465:JPY65489 JZU65465:JZU65489 KJQ65465:KJQ65489 KTM65465:KTM65489 LDI65465:LDI65489 LNE65465:LNE65489 LXA65465:LXA65489 MGW65465:MGW65489 MQS65465:MQS65489 NAO65465:NAO65489 NKK65465:NKK65489 NUG65465:NUG65489 OEC65465:OEC65489 ONY65465:ONY65489 OXU65465:OXU65489 PHQ65465:PHQ65489 PRM65465:PRM65489 QBI65465:QBI65489 QLE65465:QLE65489 QVA65465:QVA65489 REW65465:REW65489 ROS65465:ROS65489 RYO65465:RYO65489 SIK65465:SIK65489 SSG65465:SSG65489 TCC65465:TCC65489 TLY65465:TLY65489 TVU65465:TVU65489 UFQ65465:UFQ65489 UPM65465:UPM65489 UZI65465:UZI65489 VJE65465:VJE65489 VTA65465:VTA65489 WCW65465:WCW65489 WMS65465:WMS65489 WWO65465:WWO65489 AG131001:AG131025 KC131001:KC131025 TY131001:TY131025 ADU131001:ADU131025 ANQ131001:ANQ131025 AXM131001:AXM131025 BHI131001:BHI131025 BRE131001:BRE131025 CBA131001:CBA131025 CKW131001:CKW131025 CUS131001:CUS131025 DEO131001:DEO131025 DOK131001:DOK131025 DYG131001:DYG131025 EIC131001:EIC131025 ERY131001:ERY131025 FBU131001:FBU131025 FLQ131001:FLQ131025 FVM131001:FVM131025 GFI131001:GFI131025 GPE131001:GPE131025 GZA131001:GZA131025 HIW131001:HIW131025 HSS131001:HSS131025 ICO131001:ICO131025 IMK131001:IMK131025 IWG131001:IWG131025 JGC131001:JGC131025 JPY131001:JPY131025 JZU131001:JZU131025 KJQ131001:KJQ131025 KTM131001:KTM131025 LDI131001:LDI131025 LNE131001:LNE131025 LXA131001:LXA131025 MGW131001:MGW131025 MQS131001:MQS131025 NAO131001:NAO131025 NKK131001:NKK131025 NUG131001:NUG131025 OEC131001:OEC131025 ONY131001:ONY131025 OXU131001:OXU131025 PHQ131001:PHQ131025 PRM131001:PRM131025 QBI131001:QBI131025 QLE131001:QLE131025 QVA131001:QVA131025 REW131001:REW131025 ROS131001:ROS131025 RYO131001:RYO131025 SIK131001:SIK131025 SSG131001:SSG131025 TCC131001:TCC131025 TLY131001:TLY131025 TVU131001:TVU131025 UFQ131001:UFQ131025 UPM131001:UPM131025 UZI131001:UZI131025 VJE131001:VJE131025 VTA131001:VTA131025 WCW131001:WCW131025 WMS131001:WMS131025 WWO131001:WWO131025 AG196537:AG196561 KC196537:KC196561 TY196537:TY196561 ADU196537:ADU196561 ANQ196537:ANQ196561 AXM196537:AXM196561 BHI196537:BHI196561 BRE196537:BRE196561 CBA196537:CBA196561 CKW196537:CKW196561 CUS196537:CUS196561 DEO196537:DEO196561 DOK196537:DOK196561 DYG196537:DYG196561 EIC196537:EIC196561 ERY196537:ERY196561 FBU196537:FBU196561 FLQ196537:FLQ196561 FVM196537:FVM196561 GFI196537:GFI196561 GPE196537:GPE196561 GZA196537:GZA196561 HIW196537:HIW196561 HSS196537:HSS196561 ICO196537:ICO196561 IMK196537:IMK196561 IWG196537:IWG196561 JGC196537:JGC196561 JPY196537:JPY196561 JZU196537:JZU196561 KJQ196537:KJQ196561 KTM196537:KTM196561 LDI196537:LDI196561 LNE196537:LNE196561 LXA196537:LXA196561 MGW196537:MGW196561 MQS196537:MQS196561 NAO196537:NAO196561 NKK196537:NKK196561 NUG196537:NUG196561 OEC196537:OEC196561 ONY196537:ONY196561 OXU196537:OXU196561 PHQ196537:PHQ196561 PRM196537:PRM196561 QBI196537:QBI196561 QLE196537:QLE196561 QVA196537:QVA196561 REW196537:REW196561 ROS196537:ROS196561 RYO196537:RYO196561 SIK196537:SIK196561 SSG196537:SSG196561 TCC196537:TCC196561 TLY196537:TLY196561 TVU196537:TVU196561 UFQ196537:UFQ196561 UPM196537:UPM196561 UZI196537:UZI196561 VJE196537:VJE196561 VTA196537:VTA196561 WCW196537:WCW196561 WMS196537:WMS196561 WWO196537:WWO196561 AG262073:AG262097 KC262073:KC262097 TY262073:TY262097 ADU262073:ADU262097 ANQ262073:ANQ262097 AXM262073:AXM262097 BHI262073:BHI262097 BRE262073:BRE262097 CBA262073:CBA262097 CKW262073:CKW262097 CUS262073:CUS262097 DEO262073:DEO262097 DOK262073:DOK262097 DYG262073:DYG262097 EIC262073:EIC262097 ERY262073:ERY262097 FBU262073:FBU262097 FLQ262073:FLQ262097 FVM262073:FVM262097 GFI262073:GFI262097 GPE262073:GPE262097 GZA262073:GZA262097 HIW262073:HIW262097 HSS262073:HSS262097 ICO262073:ICO262097 IMK262073:IMK262097 IWG262073:IWG262097 JGC262073:JGC262097 JPY262073:JPY262097 JZU262073:JZU262097 KJQ262073:KJQ262097 KTM262073:KTM262097 LDI262073:LDI262097 LNE262073:LNE262097 LXA262073:LXA262097 MGW262073:MGW262097 MQS262073:MQS262097 NAO262073:NAO262097 NKK262073:NKK262097 NUG262073:NUG262097 OEC262073:OEC262097 ONY262073:ONY262097 OXU262073:OXU262097 PHQ262073:PHQ262097 PRM262073:PRM262097 QBI262073:QBI262097 QLE262073:QLE262097 QVA262073:QVA262097 REW262073:REW262097 ROS262073:ROS262097 RYO262073:RYO262097 SIK262073:SIK262097 SSG262073:SSG262097 TCC262073:TCC262097 TLY262073:TLY262097 TVU262073:TVU262097 UFQ262073:UFQ262097 UPM262073:UPM262097 UZI262073:UZI262097 VJE262073:VJE262097 VTA262073:VTA262097 WCW262073:WCW262097 WMS262073:WMS262097 WWO262073:WWO262097 AG327609:AG327633 KC327609:KC327633 TY327609:TY327633 ADU327609:ADU327633 ANQ327609:ANQ327633 AXM327609:AXM327633 BHI327609:BHI327633 BRE327609:BRE327633 CBA327609:CBA327633 CKW327609:CKW327633 CUS327609:CUS327633 DEO327609:DEO327633 DOK327609:DOK327633 DYG327609:DYG327633 EIC327609:EIC327633 ERY327609:ERY327633 FBU327609:FBU327633 FLQ327609:FLQ327633 FVM327609:FVM327633 GFI327609:GFI327633 GPE327609:GPE327633 GZA327609:GZA327633 HIW327609:HIW327633 HSS327609:HSS327633 ICO327609:ICO327633 IMK327609:IMK327633 IWG327609:IWG327633 JGC327609:JGC327633 JPY327609:JPY327633 JZU327609:JZU327633 KJQ327609:KJQ327633 KTM327609:KTM327633 LDI327609:LDI327633 LNE327609:LNE327633 LXA327609:LXA327633 MGW327609:MGW327633 MQS327609:MQS327633 NAO327609:NAO327633 NKK327609:NKK327633 NUG327609:NUG327633 OEC327609:OEC327633 ONY327609:ONY327633 OXU327609:OXU327633 PHQ327609:PHQ327633 PRM327609:PRM327633 QBI327609:QBI327633 QLE327609:QLE327633 QVA327609:QVA327633 REW327609:REW327633 ROS327609:ROS327633 RYO327609:RYO327633 SIK327609:SIK327633 SSG327609:SSG327633 TCC327609:TCC327633 TLY327609:TLY327633 TVU327609:TVU327633 UFQ327609:UFQ327633 UPM327609:UPM327633 UZI327609:UZI327633 VJE327609:VJE327633 VTA327609:VTA327633 WCW327609:WCW327633 WMS327609:WMS327633 WWO327609:WWO327633 AG393145:AG393169 KC393145:KC393169 TY393145:TY393169 ADU393145:ADU393169 ANQ393145:ANQ393169 AXM393145:AXM393169 BHI393145:BHI393169 BRE393145:BRE393169 CBA393145:CBA393169 CKW393145:CKW393169 CUS393145:CUS393169 DEO393145:DEO393169 DOK393145:DOK393169 DYG393145:DYG393169 EIC393145:EIC393169 ERY393145:ERY393169 FBU393145:FBU393169 FLQ393145:FLQ393169 FVM393145:FVM393169 GFI393145:GFI393169 GPE393145:GPE393169 GZA393145:GZA393169 HIW393145:HIW393169 HSS393145:HSS393169 ICO393145:ICO393169 IMK393145:IMK393169 IWG393145:IWG393169 JGC393145:JGC393169 JPY393145:JPY393169 JZU393145:JZU393169 KJQ393145:KJQ393169 KTM393145:KTM393169 LDI393145:LDI393169 LNE393145:LNE393169 LXA393145:LXA393169 MGW393145:MGW393169 MQS393145:MQS393169 NAO393145:NAO393169 NKK393145:NKK393169 NUG393145:NUG393169 OEC393145:OEC393169 ONY393145:ONY393169 OXU393145:OXU393169 PHQ393145:PHQ393169 PRM393145:PRM393169 QBI393145:QBI393169 QLE393145:QLE393169 QVA393145:QVA393169 REW393145:REW393169 ROS393145:ROS393169 RYO393145:RYO393169 SIK393145:SIK393169 SSG393145:SSG393169 TCC393145:TCC393169 TLY393145:TLY393169 TVU393145:TVU393169 UFQ393145:UFQ393169 UPM393145:UPM393169 UZI393145:UZI393169 VJE393145:VJE393169 VTA393145:VTA393169 WCW393145:WCW393169 WMS393145:WMS393169 WWO393145:WWO393169 AG458681:AG458705 KC458681:KC458705 TY458681:TY458705 ADU458681:ADU458705 ANQ458681:ANQ458705 AXM458681:AXM458705 BHI458681:BHI458705 BRE458681:BRE458705 CBA458681:CBA458705 CKW458681:CKW458705 CUS458681:CUS458705 DEO458681:DEO458705 DOK458681:DOK458705 DYG458681:DYG458705 EIC458681:EIC458705 ERY458681:ERY458705 FBU458681:FBU458705 FLQ458681:FLQ458705 FVM458681:FVM458705 GFI458681:GFI458705 GPE458681:GPE458705 GZA458681:GZA458705 HIW458681:HIW458705 HSS458681:HSS458705 ICO458681:ICO458705 IMK458681:IMK458705 IWG458681:IWG458705 JGC458681:JGC458705 JPY458681:JPY458705 JZU458681:JZU458705 KJQ458681:KJQ458705 KTM458681:KTM458705 LDI458681:LDI458705 LNE458681:LNE458705 LXA458681:LXA458705 MGW458681:MGW458705 MQS458681:MQS458705 NAO458681:NAO458705 NKK458681:NKK458705 NUG458681:NUG458705 OEC458681:OEC458705 ONY458681:ONY458705 OXU458681:OXU458705 PHQ458681:PHQ458705 PRM458681:PRM458705 QBI458681:QBI458705 QLE458681:QLE458705 QVA458681:QVA458705 REW458681:REW458705 ROS458681:ROS458705 RYO458681:RYO458705 SIK458681:SIK458705 SSG458681:SSG458705 TCC458681:TCC458705 TLY458681:TLY458705 TVU458681:TVU458705 UFQ458681:UFQ458705 UPM458681:UPM458705 UZI458681:UZI458705 VJE458681:VJE458705 VTA458681:VTA458705 WCW458681:WCW458705 WMS458681:WMS458705 WWO458681:WWO458705 AG524217:AG524241 KC524217:KC524241 TY524217:TY524241 ADU524217:ADU524241 ANQ524217:ANQ524241 AXM524217:AXM524241 BHI524217:BHI524241 BRE524217:BRE524241 CBA524217:CBA524241 CKW524217:CKW524241 CUS524217:CUS524241 DEO524217:DEO524241 DOK524217:DOK524241 DYG524217:DYG524241 EIC524217:EIC524241 ERY524217:ERY524241 FBU524217:FBU524241 FLQ524217:FLQ524241 FVM524217:FVM524241 GFI524217:GFI524241 GPE524217:GPE524241 GZA524217:GZA524241 HIW524217:HIW524241 HSS524217:HSS524241 ICO524217:ICO524241 IMK524217:IMK524241 IWG524217:IWG524241 JGC524217:JGC524241 JPY524217:JPY524241 JZU524217:JZU524241 KJQ524217:KJQ524241 KTM524217:KTM524241 LDI524217:LDI524241 LNE524217:LNE524241 LXA524217:LXA524241 MGW524217:MGW524241 MQS524217:MQS524241 NAO524217:NAO524241 NKK524217:NKK524241 NUG524217:NUG524241 OEC524217:OEC524241 ONY524217:ONY524241 OXU524217:OXU524241 PHQ524217:PHQ524241 PRM524217:PRM524241 QBI524217:QBI524241 QLE524217:QLE524241 QVA524217:QVA524241 REW524217:REW524241 ROS524217:ROS524241 RYO524217:RYO524241 SIK524217:SIK524241 SSG524217:SSG524241 TCC524217:TCC524241 TLY524217:TLY524241 TVU524217:TVU524241 UFQ524217:UFQ524241 UPM524217:UPM524241 UZI524217:UZI524241 VJE524217:VJE524241 VTA524217:VTA524241 WCW524217:WCW524241 WMS524217:WMS524241 WWO524217:WWO524241 AG589753:AG589777 KC589753:KC589777 TY589753:TY589777 ADU589753:ADU589777 ANQ589753:ANQ589777 AXM589753:AXM589777 BHI589753:BHI589777 BRE589753:BRE589777 CBA589753:CBA589777 CKW589753:CKW589777 CUS589753:CUS589777 DEO589753:DEO589777 DOK589753:DOK589777 DYG589753:DYG589777 EIC589753:EIC589777 ERY589753:ERY589777 FBU589753:FBU589777 FLQ589753:FLQ589777 FVM589753:FVM589777 GFI589753:GFI589777 GPE589753:GPE589777 GZA589753:GZA589777 HIW589753:HIW589777 HSS589753:HSS589777 ICO589753:ICO589777 IMK589753:IMK589777 IWG589753:IWG589777 JGC589753:JGC589777 JPY589753:JPY589777 JZU589753:JZU589777 KJQ589753:KJQ589777 KTM589753:KTM589777 LDI589753:LDI589777 LNE589753:LNE589777 LXA589753:LXA589777 MGW589753:MGW589777 MQS589753:MQS589777 NAO589753:NAO589777 NKK589753:NKK589777 NUG589753:NUG589777 OEC589753:OEC589777 ONY589753:ONY589777 OXU589753:OXU589777 PHQ589753:PHQ589777 PRM589753:PRM589777 QBI589753:QBI589777 QLE589753:QLE589777 QVA589753:QVA589777 REW589753:REW589777 ROS589753:ROS589777 RYO589753:RYO589777 SIK589753:SIK589777 SSG589753:SSG589777 TCC589753:TCC589777 TLY589753:TLY589777 TVU589753:TVU589777 UFQ589753:UFQ589777 UPM589753:UPM589777 UZI589753:UZI589777 VJE589753:VJE589777 VTA589753:VTA589777 WCW589753:WCW589777 WMS589753:WMS589777 WWO589753:WWO589777 AG655289:AG655313 KC655289:KC655313 TY655289:TY655313 ADU655289:ADU655313 ANQ655289:ANQ655313 AXM655289:AXM655313 BHI655289:BHI655313 BRE655289:BRE655313 CBA655289:CBA655313 CKW655289:CKW655313 CUS655289:CUS655313 DEO655289:DEO655313 DOK655289:DOK655313 DYG655289:DYG655313 EIC655289:EIC655313 ERY655289:ERY655313 FBU655289:FBU655313 FLQ655289:FLQ655313 FVM655289:FVM655313 GFI655289:GFI655313 GPE655289:GPE655313 GZA655289:GZA655313 HIW655289:HIW655313 HSS655289:HSS655313 ICO655289:ICO655313 IMK655289:IMK655313 IWG655289:IWG655313 JGC655289:JGC655313 JPY655289:JPY655313 JZU655289:JZU655313 KJQ655289:KJQ655313 KTM655289:KTM655313 LDI655289:LDI655313 LNE655289:LNE655313 LXA655289:LXA655313 MGW655289:MGW655313 MQS655289:MQS655313 NAO655289:NAO655313 NKK655289:NKK655313 NUG655289:NUG655313 OEC655289:OEC655313 ONY655289:ONY655313 OXU655289:OXU655313 PHQ655289:PHQ655313 PRM655289:PRM655313 QBI655289:QBI655313 QLE655289:QLE655313 QVA655289:QVA655313 REW655289:REW655313 ROS655289:ROS655313 RYO655289:RYO655313 SIK655289:SIK655313 SSG655289:SSG655313 TCC655289:TCC655313 TLY655289:TLY655313 TVU655289:TVU655313 UFQ655289:UFQ655313 UPM655289:UPM655313 UZI655289:UZI655313 VJE655289:VJE655313 VTA655289:VTA655313 WCW655289:WCW655313 WMS655289:WMS655313 WWO655289:WWO655313 AG720825:AG720849 KC720825:KC720849 TY720825:TY720849 ADU720825:ADU720849 ANQ720825:ANQ720849 AXM720825:AXM720849 BHI720825:BHI720849 BRE720825:BRE720849 CBA720825:CBA720849 CKW720825:CKW720849 CUS720825:CUS720849 DEO720825:DEO720849 DOK720825:DOK720849 DYG720825:DYG720849 EIC720825:EIC720849 ERY720825:ERY720849 FBU720825:FBU720849 FLQ720825:FLQ720849 FVM720825:FVM720849 GFI720825:GFI720849 GPE720825:GPE720849 GZA720825:GZA720849 HIW720825:HIW720849 HSS720825:HSS720849 ICO720825:ICO720849 IMK720825:IMK720849 IWG720825:IWG720849 JGC720825:JGC720849 JPY720825:JPY720849 JZU720825:JZU720849 KJQ720825:KJQ720849 KTM720825:KTM720849 LDI720825:LDI720849 LNE720825:LNE720849 LXA720825:LXA720849 MGW720825:MGW720849 MQS720825:MQS720849 NAO720825:NAO720849 NKK720825:NKK720849 NUG720825:NUG720849 OEC720825:OEC720849 ONY720825:ONY720849 OXU720825:OXU720849 PHQ720825:PHQ720849 PRM720825:PRM720849 QBI720825:QBI720849 QLE720825:QLE720849 QVA720825:QVA720849 REW720825:REW720849 ROS720825:ROS720849 RYO720825:RYO720849 SIK720825:SIK720849 SSG720825:SSG720849 TCC720825:TCC720849 TLY720825:TLY720849 TVU720825:TVU720849 UFQ720825:UFQ720849 UPM720825:UPM720849 UZI720825:UZI720849 VJE720825:VJE720849 VTA720825:VTA720849 WCW720825:WCW720849 WMS720825:WMS720849 WWO720825:WWO720849 AG786361:AG786385 KC786361:KC786385 TY786361:TY786385 ADU786361:ADU786385 ANQ786361:ANQ786385 AXM786361:AXM786385 BHI786361:BHI786385 BRE786361:BRE786385 CBA786361:CBA786385 CKW786361:CKW786385 CUS786361:CUS786385 DEO786361:DEO786385 DOK786361:DOK786385 DYG786361:DYG786385 EIC786361:EIC786385 ERY786361:ERY786385 FBU786361:FBU786385 FLQ786361:FLQ786385 FVM786361:FVM786385 GFI786361:GFI786385 GPE786361:GPE786385 GZA786361:GZA786385 HIW786361:HIW786385 HSS786361:HSS786385 ICO786361:ICO786385 IMK786361:IMK786385 IWG786361:IWG786385 JGC786361:JGC786385 JPY786361:JPY786385 JZU786361:JZU786385 KJQ786361:KJQ786385 KTM786361:KTM786385 LDI786361:LDI786385 LNE786361:LNE786385 LXA786361:LXA786385 MGW786361:MGW786385 MQS786361:MQS786385 NAO786361:NAO786385 NKK786361:NKK786385 NUG786361:NUG786385 OEC786361:OEC786385 ONY786361:ONY786385 OXU786361:OXU786385 PHQ786361:PHQ786385 PRM786361:PRM786385 QBI786361:QBI786385 QLE786361:QLE786385 QVA786361:QVA786385 REW786361:REW786385 ROS786361:ROS786385 RYO786361:RYO786385 SIK786361:SIK786385 SSG786361:SSG786385 TCC786361:TCC786385 TLY786361:TLY786385 TVU786361:TVU786385 UFQ786361:UFQ786385 UPM786361:UPM786385 UZI786361:UZI786385 VJE786361:VJE786385 VTA786361:VTA786385 WCW786361:WCW786385 WMS786361:WMS786385 WWO786361:WWO786385 AG851897:AG851921 KC851897:KC851921 TY851897:TY851921 ADU851897:ADU851921 ANQ851897:ANQ851921 AXM851897:AXM851921 BHI851897:BHI851921 BRE851897:BRE851921 CBA851897:CBA851921 CKW851897:CKW851921 CUS851897:CUS851921 DEO851897:DEO851921 DOK851897:DOK851921 DYG851897:DYG851921 EIC851897:EIC851921 ERY851897:ERY851921 FBU851897:FBU851921 FLQ851897:FLQ851921 FVM851897:FVM851921 GFI851897:GFI851921 GPE851897:GPE851921 GZA851897:GZA851921 HIW851897:HIW851921 HSS851897:HSS851921 ICO851897:ICO851921 IMK851897:IMK851921 IWG851897:IWG851921 JGC851897:JGC851921 JPY851897:JPY851921 JZU851897:JZU851921 KJQ851897:KJQ851921 KTM851897:KTM851921 LDI851897:LDI851921 LNE851897:LNE851921 LXA851897:LXA851921 MGW851897:MGW851921 MQS851897:MQS851921 NAO851897:NAO851921 NKK851897:NKK851921 NUG851897:NUG851921 OEC851897:OEC851921 ONY851897:ONY851921 OXU851897:OXU851921 PHQ851897:PHQ851921 PRM851897:PRM851921 QBI851897:QBI851921 QLE851897:QLE851921 QVA851897:QVA851921 REW851897:REW851921 ROS851897:ROS851921 RYO851897:RYO851921 SIK851897:SIK851921 SSG851897:SSG851921 TCC851897:TCC851921 TLY851897:TLY851921 TVU851897:TVU851921 UFQ851897:UFQ851921 UPM851897:UPM851921 UZI851897:UZI851921 VJE851897:VJE851921 VTA851897:VTA851921 WCW851897:WCW851921 WMS851897:WMS851921 WWO851897:WWO851921 AG917433:AG917457 KC917433:KC917457 TY917433:TY917457 ADU917433:ADU917457 ANQ917433:ANQ917457 AXM917433:AXM917457 BHI917433:BHI917457 BRE917433:BRE917457 CBA917433:CBA917457 CKW917433:CKW917457 CUS917433:CUS917457 DEO917433:DEO917457 DOK917433:DOK917457 DYG917433:DYG917457 EIC917433:EIC917457 ERY917433:ERY917457 FBU917433:FBU917457 FLQ917433:FLQ917457 FVM917433:FVM917457 GFI917433:GFI917457 GPE917433:GPE917457 GZA917433:GZA917457 HIW917433:HIW917457 HSS917433:HSS917457 ICO917433:ICO917457 IMK917433:IMK917457 IWG917433:IWG917457 JGC917433:JGC917457 JPY917433:JPY917457 JZU917433:JZU917457 KJQ917433:KJQ917457 KTM917433:KTM917457 LDI917433:LDI917457 LNE917433:LNE917457 LXA917433:LXA917457 MGW917433:MGW917457 MQS917433:MQS917457 NAO917433:NAO917457 NKK917433:NKK917457 NUG917433:NUG917457 OEC917433:OEC917457 ONY917433:ONY917457 OXU917433:OXU917457 PHQ917433:PHQ917457 PRM917433:PRM917457 QBI917433:QBI917457 QLE917433:QLE917457 QVA917433:QVA917457 REW917433:REW917457 ROS917433:ROS917457 RYO917433:RYO917457 SIK917433:SIK917457 SSG917433:SSG917457 TCC917433:TCC917457 TLY917433:TLY917457 TVU917433:TVU917457 UFQ917433:UFQ917457 UPM917433:UPM917457 UZI917433:UZI917457 VJE917433:VJE917457 VTA917433:VTA917457 WCW917433:WCW917457 WMS917433:WMS917457 WWO917433:WWO917457 AG982969:AG982993 KC982969:KC982993 TY982969:TY982993 ADU982969:ADU982993 ANQ982969:ANQ982993 AXM982969:AXM982993 BHI982969:BHI982993 BRE982969:BRE982993 CBA982969:CBA982993 CKW982969:CKW982993 CUS982969:CUS982993 DEO982969:DEO982993 DOK982969:DOK982993 DYG982969:DYG982993 EIC982969:EIC982993 ERY982969:ERY982993 FBU982969:FBU982993 FLQ982969:FLQ982993 FVM982969:FVM982993 GFI982969:GFI982993 GPE982969:GPE982993 GZA982969:GZA982993 HIW982969:HIW982993 HSS982969:HSS982993 ICO982969:ICO982993 IMK982969:IMK982993 IWG982969:IWG982993 JGC982969:JGC982993 JPY982969:JPY982993 JZU982969:JZU982993 KJQ982969:KJQ982993 KTM982969:KTM982993 LDI982969:LDI982993 LNE982969:LNE982993 LXA982969:LXA982993 MGW982969:MGW982993 MQS982969:MQS982993 NAO982969:NAO982993 NKK982969:NKK982993 NUG982969:NUG982993 OEC982969:OEC982993 ONY982969:ONY982993 OXU982969:OXU982993 PHQ982969:PHQ982993 PRM982969:PRM982993 QBI982969:QBI982993 QLE982969:QLE982993 QVA982969:QVA982993 REW982969:REW982993 ROS982969:ROS982993 RYO982969:RYO982993 SIK982969:SIK982993 SSG982969:SSG982993 TCC982969:TCC982993 TLY982969:TLY982993 TVU982969:TVU982993 UFQ982969:UFQ982993 UPM982969:UPM982993 UZI982969:UZI982993 VJE982969:VJE982993 VTA982969:VTA982993 WCW982969:WCW982993 WMS982969:WMS982993 AG65465:AG65489 WWP10:WWP1811 WMT10:WMT1811 WCX10:WCX1811 VTB10:VTB1811 VJF10:VJF1811 UZJ10:UZJ1811 UPN10:UPN1811 UFR10:UFR1811 TVV10:TVV1811 TLZ10:TLZ1811 TCD10:TCD1811 SSH10:SSH1811 SIL10:SIL1811 RYP10:RYP1811 ROT10:ROT1811 REX10:REX1811 QVB10:QVB1811 QLF10:QLF1811 QBJ10:QBJ1811 PRN10:PRN1811 PHR10:PHR1811 OXV10:OXV1811 ONZ10:ONZ1811 OED10:OED1811 NUH10:NUH1811 NKL10:NKL1811 NAP10:NAP1811 MQT10:MQT1811 MGX10:MGX1811 LXB10:LXB1811 LNF10:LNF1811 LDJ10:LDJ1811 KTN10:KTN1811 KJR10:KJR1811 JZV10:JZV1811 JPZ10:JPZ1811 JGD10:JGD1811 IWH10:IWH1811 IML10:IML1811 ICP10:ICP1811 HST10:HST1811 HIX10:HIX1811 GZB10:GZB1811 GPF10:GPF1811 GFJ10:GFJ1811 FVN10:FVN1811 FLR10:FLR1811 FBV10:FBV1811 ERZ10:ERZ1811 EID10:EID1811 DYH10:DYH1811 DOL10:DOL1811 DEP10:DEP1811 CUT10:CUT1811 CKX10:CKX1811 CBB10:CBB1811 BRF10:BRF1811 BHJ10:BHJ1811 AXN10:AXN1811 ANR10:ANR1811 ADV10:ADV1811 TZ10:TZ1811 KD10:KD1811" xr:uid="{00000000-0002-0000-2300-000009000000}"/>
    <dataValidation allowBlank="1" showInputMessage="1" showErrorMessage="1" prompt="Enter sample number associated with the individual" sqref="WVI982969:WVK982993 A65552:C65576 IW65465:IY65489 SS65465:SU65489 ACO65465:ACQ65489 AMK65465:AMM65489 AWG65465:AWI65489 BGC65465:BGE65489 BPY65465:BQA65489 BZU65465:BZW65489 CJQ65465:CJS65489 CTM65465:CTO65489 DDI65465:DDK65489 DNE65465:DNG65489 DXA65465:DXC65489 EGW65465:EGY65489 EQS65465:EQU65489 FAO65465:FAQ65489 FKK65465:FKM65489 FUG65465:FUI65489 GEC65465:GEE65489 GNY65465:GOA65489 GXU65465:GXW65489 HHQ65465:HHS65489 HRM65465:HRO65489 IBI65465:IBK65489 ILE65465:ILG65489 IVA65465:IVC65489 JEW65465:JEY65489 JOS65465:JOU65489 JYO65465:JYQ65489 KIK65465:KIM65489 KSG65465:KSI65489 LCC65465:LCE65489 LLY65465:LMA65489 LVU65465:LVW65489 MFQ65465:MFS65489 MPM65465:MPO65489 MZI65465:MZK65489 NJE65465:NJG65489 NTA65465:NTC65489 OCW65465:OCY65489 OMS65465:OMU65489 OWO65465:OWQ65489 PGK65465:PGM65489 PQG65465:PQI65489 QAC65465:QAE65489 QJY65465:QKA65489 QTU65465:QTW65489 RDQ65465:RDS65489 RNM65465:RNO65489 RXI65465:RXK65489 SHE65465:SHG65489 SRA65465:SRC65489 TAW65465:TAY65489 TKS65465:TKU65489 TUO65465:TUQ65489 UEK65465:UEM65489 UOG65465:UOI65489 UYC65465:UYE65489 VHY65465:VIA65489 VRU65465:VRW65489 WBQ65465:WBS65489 WLM65465:WLO65489 WVI65465:WVK65489 A131088:C131112 IW131001:IY131025 SS131001:SU131025 ACO131001:ACQ131025 AMK131001:AMM131025 AWG131001:AWI131025 BGC131001:BGE131025 BPY131001:BQA131025 BZU131001:BZW131025 CJQ131001:CJS131025 CTM131001:CTO131025 DDI131001:DDK131025 DNE131001:DNG131025 DXA131001:DXC131025 EGW131001:EGY131025 EQS131001:EQU131025 FAO131001:FAQ131025 FKK131001:FKM131025 FUG131001:FUI131025 GEC131001:GEE131025 GNY131001:GOA131025 GXU131001:GXW131025 HHQ131001:HHS131025 HRM131001:HRO131025 IBI131001:IBK131025 ILE131001:ILG131025 IVA131001:IVC131025 JEW131001:JEY131025 JOS131001:JOU131025 JYO131001:JYQ131025 KIK131001:KIM131025 KSG131001:KSI131025 LCC131001:LCE131025 LLY131001:LMA131025 LVU131001:LVW131025 MFQ131001:MFS131025 MPM131001:MPO131025 MZI131001:MZK131025 NJE131001:NJG131025 NTA131001:NTC131025 OCW131001:OCY131025 OMS131001:OMU131025 OWO131001:OWQ131025 PGK131001:PGM131025 PQG131001:PQI131025 QAC131001:QAE131025 QJY131001:QKA131025 QTU131001:QTW131025 RDQ131001:RDS131025 RNM131001:RNO131025 RXI131001:RXK131025 SHE131001:SHG131025 SRA131001:SRC131025 TAW131001:TAY131025 TKS131001:TKU131025 TUO131001:TUQ131025 UEK131001:UEM131025 UOG131001:UOI131025 UYC131001:UYE131025 VHY131001:VIA131025 VRU131001:VRW131025 WBQ131001:WBS131025 WLM131001:WLO131025 WVI131001:WVK131025 A196624:C196648 IW196537:IY196561 SS196537:SU196561 ACO196537:ACQ196561 AMK196537:AMM196561 AWG196537:AWI196561 BGC196537:BGE196561 BPY196537:BQA196561 BZU196537:BZW196561 CJQ196537:CJS196561 CTM196537:CTO196561 DDI196537:DDK196561 DNE196537:DNG196561 DXA196537:DXC196561 EGW196537:EGY196561 EQS196537:EQU196561 FAO196537:FAQ196561 FKK196537:FKM196561 FUG196537:FUI196561 GEC196537:GEE196561 GNY196537:GOA196561 GXU196537:GXW196561 HHQ196537:HHS196561 HRM196537:HRO196561 IBI196537:IBK196561 ILE196537:ILG196561 IVA196537:IVC196561 JEW196537:JEY196561 JOS196537:JOU196561 JYO196537:JYQ196561 KIK196537:KIM196561 KSG196537:KSI196561 LCC196537:LCE196561 LLY196537:LMA196561 LVU196537:LVW196561 MFQ196537:MFS196561 MPM196537:MPO196561 MZI196537:MZK196561 NJE196537:NJG196561 NTA196537:NTC196561 OCW196537:OCY196561 OMS196537:OMU196561 OWO196537:OWQ196561 PGK196537:PGM196561 PQG196537:PQI196561 QAC196537:QAE196561 QJY196537:QKA196561 QTU196537:QTW196561 RDQ196537:RDS196561 RNM196537:RNO196561 RXI196537:RXK196561 SHE196537:SHG196561 SRA196537:SRC196561 TAW196537:TAY196561 TKS196537:TKU196561 TUO196537:TUQ196561 UEK196537:UEM196561 UOG196537:UOI196561 UYC196537:UYE196561 VHY196537:VIA196561 VRU196537:VRW196561 WBQ196537:WBS196561 WLM196537:WLO196561 WVI196537:WVK196561 A262160:C262184 IW262073:IY262097 SS262073:SU262097 ACO262073:ACQ262097 AMK262073:AMM262097 AWG262073:AWI262097 BGC262073:BGE262097 BPY262073:BQA262097 BZU262073:BZW262097 CJQ262073:CJS262097 CTM262073:CTO262097 DDI262073:DDK262097 DNE262073:DNG262097 DXA262073:DXC262097 EGW262073:EGY262097 EQS262073:EQU262097 FAO262073:FAQ262097 FKK262073:FKM262097 FUG262073:FUI262097 GEC262073:GEE262097 GNY262073:GOA262097 GXU262073:GXW262097 HHQ262073:HHS262097 HRM262073:HRO262097 IBI262073:IBK262097 ILE262073:ILG262097 IVA262073:IVC262097 JEW262073:JEY262097 JOS262073:JOU262097 JYO262073:JYQ262097 KIK262073:KIM262097 KSG262073:KSI262097 LCC262073:LCE262097 LLY262073:LMA262097 LVU262073:LVW262097 MFQ262073:MFS262097 MPM262073:MPO262097 MZI262073:MZK262097 NJE262073:NJG262097 NTA262073:NTC262097 OCW262073:OCY262097 OMS262073:OMU262097 OWO262073:OWQ262097 PGK262073:PGM262097 PQG262073:PQI262097 QAC262073:QAE262097 QJY262073:QKA262097 QTU262073:QTW262097 RDQ262073:RDS262097 RNM262073:RNO262097 RXI262073:RXK262097 SHE262073:SHG262097 SRA262073:SRC262097 TAW262073:TAY262097 TKS262073:TKU262097 TUO262073:TUQ262097 UEK262073:UEM262097 UOG262073:UOI262097 UYC262073:UYE262097 VHY262073:VIA262097 VRU262073:VRW262097 WBQ262073:WBS262097 WLM262073:WLO262097 WVI262073:WVK262097 A327696:C327720 IW327609:IY327633 SS327609:SU327633 ACO327609:ACQ327633 AMK327609:AMM327633 AWG327609:AWI327633 BGC327609:BGE327633 BPY327609:BQA327633 BZU327609:BZW327633 CJQ327609:CJS327633 CTM327609:CTO327633 DDI327609:DDK327633 DNE327609:DNG327633 DXA327609:DXC327633 EGW327609:EGY327633 EQS327609:EQU327633 FAO327609:FAQ327633 FKK327609:FKM327633 FUG327609:FUI327633 GEC327609:GEE327633 GNY327609:GOA327633 GXU327609:GXW327633 HHQ327609:HHS327633 HRM327609:HRO327633 IBI327609:IBK327633 ILE327609:ILG327633 IVA327609:IVC327633 JEW327609:JEY327633 JOS327609:JOU327633 JYO327609:JYQ327633 KIK327609:KIM327633 KSG327609:KSI327633 LCC327609:LCE327633 LLY327609:LMA327633 LVU327609:LVW327633 MFQ327609:MFS327633 MPM327609:MPO327633 MZI327609:MZK327633 NJE327609:NJG327633 NTA327609:NTC327633 OCW327609:OCY327633 OMS327609:OMU327633 OWO327609:OWQ327633 PGK327609:PGM327633 PQG327609:PQI327633 QAC327609:QAE327633 QJY327609:QKA327633 QTU327609:QTW327633 RDQ327609:RDS327633 RNM327609:RNO327633 RXI327609:RXK327633 SHE327609:SHG327633 SRA327609:SRC327633 TAW327609:TAY327633 TKS327609:TKU327633 TUO327609:TUQ327633 UEK327609:UEM327633 UOG327609:UOI327633 UYC327609:UYE327633 VHY327609:VIA327633 VRU327609:VRW327633 WBQ327609:WBS327633 WLM327609:WLO327633 WVI327609:WVK327633 A393232:C393256 IW393145:IY393169 SS393145:SU393169 ACO393145:ACQ393169 AMK393145:AMM393169 AWG393145:AWI393169 BGC393145:BGE393169 BPY393145:BQA393169 BZU393145:BZW393169 CJQ393145:CJS393169 CTM393145:CTO393169 DDI393145:DDK393169 DNE393145:DNG393169 DXA393145:DXC393169 EGW393145:EGY393169 EQS393145:EQU393169 FAO393145:FAQ393169 FKK393145:FKM393169 FUG393145:FUI393169 GEC393145:GEE393169 GNY393145:GOA393169 GXU393145:GXW393169 HHQ393145:HHS393169 HRM393145:HRO393169 IBI393145:IBK393169 ILE393145:ILG393169 IVA393145:IVC393169 JEW393145:JEY393169 JOS393145:JOU393169 JYO393145:JYQ393169 KIK393145:KIM393169 KSG393145:KSI393169 LCC393145:LCE393169 LLY393145:LMA393169 LVU393145:LVW393169 MFQ393145:MFS393169 MPM393145:MPO393169 MZI393145:MZK393169 NJE393145:NJG393169 NTA393145:NTC393169 OCW393145:OCY393169 OMS393145:OMU393169 OWO393145:OWQ393169 PGK393145:PGM393169 PQG393145:PQI393169 QAC393145:QAE393169 QJY393145:QKA393169 QTU393145:QTW393169 RDQ393145:RDS393169 RNM393145:RNO393169 RXI393145:RXK393169 SHE393145:SHG393169 SRA393145:SRC393169 TAW393145:TAY393169 TKS393145:TKU393169 TUO393145:TUQ393169 UEK393145:UEM393169 UOG393145:UOI393169 UYC393145:UYE393169 VHY393145:VIA393169 VRU393145:VRW393169 WBQ393145:WBS393169 WLM393145:WLO393169 WVI393145:WVK393169 A458768:C458792 IW458681:IY458705 SS458681:SU458705 ACO458681:ACQ458705 AMK458681:AMM458705 AWG458681:AWI458705 BGC458681:BGE458705 BPY458681:BQA458705 BZU458681:BZW458705 CJQ458681:CJS458705 CTM458681:CTO458705 DDI458681:DDK458705 DNE458681:DNG458705 DXA458681:DXC458705 EGW458681:EGY458705 EQS458681:EQU458705 FAO458681:FAQ458705 FKK458681:FKM458705 FUG458681:FUI458705 GEC458681:GEE458705 GNY458681:GOA458705 GXU458681:GXW458705 HHQ458681:HHS458705 HRM458681:HRO458705 IBI458681:IBK458705 ILE458681:ILG458705 IVA458681:IVC458705 JEW458681:JEY458705 JOS458681:JOU458705 JYO458681:JYQ458705 KIK458681:KIM458705 KSG458681:KSI458705 LCC458681:LCE458705 LLY458681:LMA458705 LVU458681:LVW458705 MFQ458681:MFS458705 MPM458681:MPO458705 MZI458681:MZK458705 NJE458681:NJG458705 NTA458681:NTC458705 OCW458681:OCY458705 OMS458681:OMU458705 OWO458681:OWQ458705 PGK458681:PGM458705 PQG458681:PQI458705 QAC458681:QAE458705 QJY458681:QKA458705 QTU458681:QTW458705 RDQ458681:RDS458705 RNM458681:RNO458705 RXI458681:RXK458705 SHE458681:SHG458705 SRA458681:SRC458705 TAW458681:TAY458705 TKS458681:TKU458705 TUO458681:TUQ458705 UEK458681:UEM458705 UOG458681:UOI458705 UYC458681:UYE458705 VHY458681:VIA458705 VRU458681:VRW458705 WBQ458681:WBS458705 WLM458681:WLO458705 WVI458681:WVK458705 A524304:C524328 IW524217:IY524241 SS524217:SU524241 ACO524217:ACQ524241 AMK524217:AMM524241 AWG524217:AWI524241 BGC524217:BGE524241 BPY524217:BQA524241 BZU524217:BZW524241 CJQ524217:CJS524241 CTM524217:CTO524241 DDI524217:DDK524241 DNE524217:DNG524241 DXA524217:DXC524241 EGW524217:EGY524241 EQS524217:EQU524241 FAO524217:FAQ524241 FKK524217:FKM524241 FUG524217:FUI524241 GEC524217:GEE524241 GNY524217:GOA524241 GXU524217:GXW524241 HHQ524217:HHS524241 HRM524217:HRO524241 IBI524217:IBK524241 ILE524217:ILG524241 IVA524217:IVC524241 JEW524217:JEY524241 JOS524217:JOU524241 JYO524217:JYQ524241 KIK524217:KIM524241 KSG524217:KSI524241 LCC524217:LCE524241 LLY524217:LMA524241 LVU524217:LVW524241 MFQ524217:MFS524241 MPM524217:MPO524241 MZI524217:MZK524241 NJE524217:NJG524241 NTA524217:NTC524241 OCW524217:OCY524241 OMS524217:OMU524241 OWO524217:OWQ524241 PGK524217:PGM524241 PQG524217:PQI524241 QAC524217:QAE524241 QJY524217:QKA524241 QTU524217:QTW524241 RDQ524217:RDS524241 RNM524217:RNO524241 RXI524217:RXK524241 SHE524217:SHG524241 SRA524217:SRC524241 TAW524217:TAY524241 TKS524217:TKU524241 TUO524217:TUQ524241 UEK524217:UEM524241 UOG524217:UOI524241 UYC524217:UYE524241 VHY524217:VIA524241 VRU524217:VRW524241 WBQ524217:WBS524241 WLM524217:WLO524241 WVI524217:WVK524241 A589840:C589864 IW589753:IY589777 SS589753:SU589777 ACO589753:ACQ589777 AMK589753:AMM589777 AWG589753:AWI589777 BGC589753:BGE589777 BPY589753:BQA589777 BZU589753:BZW589777 CJQ589753:CJS589777 CTM589753:CTO589777 DDI589753:DDK589777 DNE589753:DNG589777 DXA589753:DXC589777 EGW589753:EGY589777 EQS589753:EQU589777 FAO589753:FAQ589777 FKK589753:FKM589777 FUG589753:FUI589777 GEC589753:GEE589777 GNY589753:GOA589777 GXU589753:GXW589777 HHQ589753:HHS589777 HRM589753:HRO589777 IBI589753:IBK589777 ILE589753:ILG589777 IVA589753:IVC589777 JEW589753:JEY589777 JOS589753:JOU589777 JYO589753:JYQ589777 KIK589753:KIM589777 KSG589753:KSI589777 LCC589753:LCE589777 LLY589753:LMA589777 LVU589753:LVW589777 MFQ589753:MFS589777 MPM589753:MPO589777 MZI589753:MZK589777 NJE589753:NJG589777 NTA589753:NTC589777 OCW589753:OCY589777 OMS589753:OMU589777 OWO589753:OWQ589777 PGK589753:PGM589777 PQG589753:PQI589777 QAC589753:QAE589777 QJY589753:QKA589777 QTU589753:QTW589777 RDQ589753:RDS589777 RNM589753:RNO589777 RXI589753:RXK589777 SHE589753:SHG589777 SRA589753:SRC589777 TAW589753:TAY589777 TKS589753:TKU589777 TUO589753:TUQ589777 UEK589753:UEM589777 UOG589753:UOI589777 UYC589753:UYE589777 VHY589753:VIA589777 VRU589753:VRW589777 WBQ589753:WBS589777 WLM589753:WLO589777 WVI589753:WVK589777 A655376:C655400 IW655289:IY655313 SS655289:SU655313 ACO655289:ACQ655313 AMK655289:AMM655313 AWG655289:AWI655313 BGC655289:BGE655313 BPY655289:BQA655313 BZU655289:BZW655313 CJQ655289:CJS655313 CTM655289:CTO655313 DDI655289:DDK655313 DNE655289:DNG655313 DXA655289:DXC655313 EGW655289:EGY655313 EQS655289:EQU655313 FAO655289:FAQ655313 FKK655289:FKM655313 FUG655289:FUI655313 GEC655289:GEE655313 GNY655289:GOA655313 GXU655289:GXW655313 HHQ655289:HHS655313 HRM655289:HRO655313 IBI655289:IBK655313 ILE655289:ILG655313 IVA655289:IVC655313 JEW655289:JEY655313 JOS655289:JOU655313 JYO655289:JYQ655313 KIK655289:KIM655313 KSG655289:KSI655313 LCC655289:LCE655313 LLY655289:LMA655313 LVU655289:LVW655313 MFQ655289:MFS655313 MPM655289:MPO655313 MZI655289:MZK655313 NJE655289:NJG655313 NTA655289:NTC655313 OCW655289:OCY655313 OMS655289:OMU655313 OWO655289:OWQ655313 PGK655289:PGM655313 PQG655289:PQI655313 QAC655289:QAE655313 QJY655289:QKA655313 QTU655289:QTW655313 RDQ655289:RDS655313 RNM655289:RNO655313 RXI655289:RXK655313 SHE655289:SHG655313 SRA655289:SRC655313 TAW655289:TAY655313 TKS655289:TKU655313 TUO655289:TUQ655313 UEK655289:UEM655313 UOG655289:UOI655313 UYC655289:UYE655313 VHY655289:VIA655313 VRU655289:VRW655313 WBQ655289:WBS655313 WLM655289:WLO655313 WVI655289:WVK655313 A720912:C720936 IW720825:IY720849 SS720825:SU720849 ACO720825:ACQ720849 AMK720825:AMM720849 AWG720825:AWI720849 BGC720825:BGE720849 BPY720825:BQA720849 BZU720825:BZW720849 CJQ720825:CJS720849 CTM720825:CTO720849 DDI720825:DDK720849 DNE720825:DNG720849 DXA720825:DXC720849 EGW720825:EGY720849 EQS720825:EQU720849 FAO720825:FAQ720849 FKK720825:FKM720849 FUG720825:FUI720849 GEC720825:GEE720849 GNY720825:GOA720849 GXU720825:GXW720849 HHQ720825:HHS720849 HRM720825:HRO720849 IBI720825:IBK720849 ILE720825:ILG720849 IVA720825:IVC720849 JEW720825:JEY720849 JOS720825:JOU720849 JYO720825:JYQ720849 KIK720825:KIM720849 KSG720825:KSI720849 LCC720825:LCE720849 LLY720825:LMA720849 LVU720825:LVW720849 MFQ720825:MFS720849 MPM720825:MPO720849 MZI720825:MZK720849 NJE720825:NJG720849 NTA720825:NTC720849 OCW720825:OCY720849 OMS720825:OMU720849 OWO720825:OWQ720849 PGK720825:PGM720849 PQG720825:PQI720849 QAC720825:QAE720849 QJY720825:QKA720849 QTU720825:QTW720849 RDQ720825:RDS720849 RNM720825:RNO720849 RXI720825:RXK720849 SHE720825:SHG720849 SRA720825:SRC720849 TAW720825:TAY720849 TKS720825:TKU720849 TUO720825:TUQ720849 UEK720825:UEM720849 UOG720825:UOI720849 UYC720825:UYE720849 VHY720825:VIA720849 VRU720825:VRW720849 WBQ720825:WBS720849 WLM720825:WLO720849 WVI720825:WVK720849 A786448:C786472 IW786361:IY786385 SS786361:SU786385 ACO786361:ACQ786385 AMK786361:AMM786385 AWG786361:AWI786385 BGC786361:BGE786385 BPY786361:BQA786385 BZU786361:BZW786385 CJQ786361:CJS786385 CTM786361:CTO786385 DDI786361:DDK786385 DNE786361:DNG786385 DXA786361:DXC786385 EGW786361:EGY786385 EQS786361:EQU786385 FAO786361:FAQ786385 FKK786361:FKM786385 FUG786361:FUI786385 GEC786361:GEE786385 GNY786361:GOA786385 GXU786361:GXW786385 HHQ786361:HHS786385 HRM786361:HRO786385 IBI786361:IBK786385 ILE786361:ILG786385 IVA786361:IVC786385 JEW786361:JEY786385 JOS786361:JOU786385 JYO786361:JYQ786385 KIK786361:KIM786385 KSG786361:KSI786385 LCC786361:LCE786385 LLY786361:LMA786385 LVU786361:LVW786385 MFQ786361:MFS786385 MPM786361:MPO786385 MZI786361:MZK786385 NJE786361:NJG786385 NTA786361:NTC786385 OCW786361:OCY786385 OMS786361:OMU786385 OWO786361:OWQ786385 PGK786361:PGM786385 PQG786361:PQI786385 QAC786361:QAE786385 QJY786361:QKA786385 QTU786361:QTW786385 RDQ786361:RDS786385 RNM786361:RNO786385 RXI786361:RXK786385 SHE786361:SHG786385 SRA786361:SRC786385 TAW786361:TAY786385 TKS786361:TKU786385 TUO786361:TUQ786385 UEK786361:UEM786385 UOG786361:UOI786385 UYC786361:UYE786385 VHY786361:VIA786385 VRU786361:VRW786385 WBQ786361:WBS786385 WLM786361:WLO786385 WVI786361:WVK786385 A851984:C852008 IW851897:IY851921 SS851897:SU851921 ACO851897:ACQ851921 AMK851897:AMM851921 AWG851897:AWI851921 BGC851897:BGE851921 BPY851897:BQA851921 BZU851897:BZW851921 CJQ851897:CJS851921 CTM851897:CTO851921 DDI851897:DDK851921 DNE851897:DNG851921 DXA851897:DXC851921 EGW851897:EGY851921 EQS851897:EQU851921 FAO851897:FAQ851921 FKK851897:FKM851921 FUG851897:FUI851921 GEC851897:GEE851921 GNY851897:GOA851921 GXU851897:GXW851921 HHQ851897:HHS851921 HRM851897:HRO851921 IBI851897:IBK851921 ILE851897:ILG851921 IVA851897:IVC851921 JEW851897:JEY851921 JOS851897:JOU851921 JYO851897:JYQ851921 KIK851897:KIM851921 KSG851897:KSI851921 LCC851897:LCE851921 LLY851897:LMA851921 LVU851897:LVW851921 MFQ851897:MFS851921 MPM851897:MPO851921 MZI851897:MZK851921 NJE851897:NJG851921 NTA851897:NTC851921 OCW851897:OCY851921 OMS851897:OMU851921 OWO851897:OWQ851921 PGK851897:PGM851921 PQG851897:PQI851921 QAC851897:QAE851921 QJY851897:QKA851921 QTU851897:QTW851921 RDQ851897:RDS851921 RNM851897:RNO851921 RXI851897:RXK851921 SHE851897:SHG851921 SRA851897:SRC851921 TAW851897:TAY851921 TKS851897:TKU851921 TUO851897:TUQ851921 UEK851897:UEM851921 UOG851897:UOI851921 UYC851897:UYE851921 VHY851897:VIA851921 VRU851897:VRW851921 WBQ851897:WBS851921 WLM851897:WLO851921 WVI851897:WVK851921 A917520:C917544 IW917433:IY917457 SS917433:SU917457 ACO917433:ACQ917457 AMK917433:AMM917457 AWG917433:AWI917457 BGC917433:BGE917457 BPY917433:BQA917457 BZU917433:BZW917457 CJQ917433:CJS917457 CTM917433:CTO917457 DDI917433:DDK917457 DNE917433:DNG917457 DXA917433:DXC917457 EGW917433:EGY917457 EQS917433:EQU917457 FAO917433:FAQ917457 FKK917433:FKM917457 FUG917433:FUI917457 GEC917433:GEE917457 GNY917433:GOA917457 GXU917433:GXW917457 HHQ917433:HHS917457 HRM917433:HRO917457 IBI917433:IBK917457 ILE917433:ILG917457 IVA917433:IVC917457 JEW917433:JEY917457 JOS917433:JOU917457 JYO917433:JYQ917457 KIK917433:KIM917457 KSG917433:KSI917457 LCC917433:LCE917457 LLY917433:LMA917457 LVU917433:LVW917457 MFQ917433:MFS917457 MPM917433:MPO917457 MZI917433:MZK917457 NJE917433:NJG917457 NTA917433:NTC917457 OCW917433:OCY917457 OMS917433:OMU917457 OWO917433:OWQ917457 PGK917433:PGM917457 PQG917433:PQI917457 QAC917433:QAE917457 QJY917433:QKA917457 QTU917433:QTW917457 RDQ917433:RDS917457 RNM917433:RNO917457 RXI917433:RXK917457 SHE917433:SHG917457 SRA917433:SRC917457 TAW917433:TAY917457 TKS917433:TKU917457 TUO917433:TUQ917457 UEK917433:UEM917457 UOG917433:UOI917457 UYC917433:UYE917457 VHY917433:VIA917457 VRU917433:VRW917457 WBQ917433:WBS917457 WLM917433:WLO917457 WVI917433:WVK917457 A983056:C983080 IW982969:IY982993 SS982969:SU982993 ACO982969:ACQ982993 AMK982969:AMM982993 AWG982969:AWI982993 BGC982969:BGE982993 BPY982969:BQA982993 BZU982969:BZW982993 CJQ982969:CJS982993 CTM982969:CTO982993 DDI982969:DDK982993 DNE982969:DNG982993 DXA982969:DXC982993 EGW982969:EGY982993 EQS982969:EQU982993 FAO982969:FAQ982993 FKK982969:FKM982993 FUG982969:FUI982993 GEC982969:GEE982993 GNY982969:GOA982993 GXU982969:GXW982993 HHQ982969:HHS982993 HRM982969:HRO982993 IBI982969:IBK982993 ILE982969:ILG982993 IVA982969:IVC982993 JEW982969:JEY982993 JOS982969:JOU982993 JYO982969:JYQ982993 KIK982969:KIM982993 KSG982969:KSI982993 LCC982969:LCE982993 LLY982969:LMA982993 LVU982969:LVW982993 MFQ982969:MFS982993 MPM982969:MPO982993 MZI982969:MZK982993 NJE982969:NJG982993 NTA982969:NTC982993 OCW982969:OCY982993 OMS982969:OMU982993 OWO982969:OWQ982993 PGK982969:PGM982993 PQG982969:PQI982993 QAC982969:QAE982993 QJY982969:QKA982993 QTU982969:QTW982993 RDQ982969:RDS982993 RNM982969:RNO982993 RXI982969:RXK982993 SHE982969:SHG982993 SRA982969:SRC982993 TAW982969:TAY982993 TKS982969:TKU982993 TUO982969:TUQ982993 UEK982969:UEM982993 UOG982969:UOI982993 UYC982969:UYE982993 VHY982969:VIA982993 VRU982969:VRW982993 WBQ982969:WBS982993 WLM982969:WLO982993 IX10:IZ1811 WVJ10:WVL1811 WLN10:WLP1811 WBR10:WBT1811 VRV10:VRX1811 VHZ10:VIB1811 UYD10:UYF1811 UOH10:UOJ1811 UEL10:UEN1811 TUP10:TUR1811 TKT10:TKV1811 TAX10:TAZ1811 SRB10:SRD1811 SHF10:SHH1811 RXJ10:RXL1811 RNN10:RNP1811 RDR10:RDT1811 QTV10:QTX1811 QJZ10:QKB1811 QAD10:QAF1811 PQH10:PQJ1811 PGL10:PGN1811 OWP10:OWR1811 OMT10:OMV1811 OCX10:OCZ1811 NTB10:NTD1811 NJF10:NJH1811 MZJ10:MZL1811 MPN10:MPP1811 MFR10:MFT1811 LVV10:LVX1811 LLZ10:LMB1811 LCD10:LCF1811 KSH10:KSJ1811 KIL10:KIN1811 JYP10:JYR1811 JOT10:JOV1811 JEX10:JEZ1811 IVB10:IVD1811 ILF10:ILH1811 IBJ10:IBL1811 HRN10:HRP1811 HHR10:HHT1811 GXV10:GXX1811 GNZ10:GOB1811 GED10:GEF1811 FUH10:FUJ1811 FKL10:FKN1811 FAP10:FAR1811 EQT10:EQV1811 EGX10:EGZ1811 DXB10:DXD1811 DNF10:DNH1811 DDJ10:DDL1811 CTN10:CTP1811 CJR10:CJT1811 BZV10:BZX1811 BPZ10:BQB1811 BGD10:BGF1811 AWH10:AWJ1811 AML10:AMN1811 ACP10:ACR1811 ST10:SV1811" xr:uid="{00000000-0002-0000-2300-00000A000000}"/>
    <dataValidation allowBlank="1" showInputMessage="1" showErrorMessage="1" prompt="Enter the total amount paid by DADS for the service code in column &quot;C&quot; for the month in review. If DADS paid more than once during the month for the same service code enter the total amount paid by DADS for the month in review" sqref="WVQ982969:WVQ982993 I65523:I65547 JE65465:JE65489 TA65465:TA65489 ACW65465:ACW65489 AMS65465:AMS65489 AWO65465:AWO65489 BGK65465:BGK65489 BQG65465:BQG65489 CAC65465:CAC65489 CJY65465:CJY65489 CTU65465:CTU65489 DDQ65465:DDQ65489 DNM65465:DNM65489 DXI65465:DXI65489 EHE65465:EHE65489 ERA65465:ERA65489 FAW65465:FAW65489 FKS65465:FKS65489 FUO65465:FUO65489 GEK65465:GEK65489 GOG65465:GOG65489 GYC65465:GYC65489 HHY65465:HHY65489 HRU65465:HRU65489 IBQ65465:IBQ65489 ILM65465:ILM65489 IVI65465:IVI65489 JFE65465:JFE65489 JPA65465:JPA65489 JYW65465:JYW65489 KIS65465:KIS65489 KSO65465:KSO65489 LCK65465:LCK65489 LMG65465:LMG65489 LWC65465:LWC65489 MFY65465:MFY65489 MPU65465:MPU65489 MZQ65465:MZQ65489 NJM65465:NJM65489 NTI65465:NTI65489 ODE65465:ODE65489 ONA65465:ONA65489 OWW65465:OWW65489 PGS65465:PGS65489 PQO65465:PQO65489 QAK65465:QAK65489 QKG65465:QKG65489 QUC65465:QUC65489 RDY65465:RDY65489 RNU65465:RNU65489 RXQ65465:RXQ65489 SHM65465:SHM65489 SRI65465:SRI65489 TBE65465:TBE65489 TLA65465:TLA65489 TUW65465:TUW65489 UES65465:UES65489 UOO65465:UOO65489 UYK65465:UYK65489 VIG65465:VIG65489 VSC65465:VSC65489 WBY65465:WBY65489 WLU65465:WLU65489 WVQ65465:WVQ65489 I131059:I131083 JE131001:JE131025 TA131001:TA131025 ACW131001:ACW131025 AMS131001:AMS131025 AWO131001:AWO131025 BGK131001:BGK131025 BQG131001:BQG131025 CAC131001:CAC131025 CJY131001:CJY131025 CTU131001:CTU131025 DDQ131001:DDQ131025 DNM131001:DNM131025 DXI131001:DXI131025 EHE131001:EHE131025 ERA131001:ERA131025 FAW131001:FAW131025 FKS131001:FKS131025 FUO131001:FUO131025 GEK131001:GEK131025 GOG131001:GOG131025 GYC131001:GYC131025 HHY131001:HHY131025 HRU131001:HRU131025 IBQ131001:IBQ131025 ILM131001:ILM131025 IVI131001:IVI131025 JFE131001:JFE131025 JPA131001:JPA131025 JYW131001:JYW131025 KIS131001:KIS131025 KSO131001:KSO131025 LCK131001:LCK131025 LMG131001:LMG131025 LWC131001:LWC131025 MFY131001:MFY131025 MPU131001:MPU131025 MZQ131001:MZQ131025 NJM131001:NJM131025 NTI131001:NTI131025 ODE131001:ODE131025 ONA131001:ONA131025 OWW131001:OWW131025 PGS131001:PGS131025 PQO131001:PQO131025 QAK131001:QAK131025 QKG131001:QKG131025 QUC131001:QUC131025 RDY131001:RDY131025 RNU131001:RNU131025 RXQ131001:RXQ131025 SHM131001:SHM131025 SRI131001:SRI131025 TBE131001:TBE131025 TLA131001:TLA131025 TUW131001:TUW131025 UES131001:UES131025 UOO131001:UOO131025 UYK131001:UYK131025 VIG131001:VIG131025 VSC131001:VSC131025 WBY131001:WBY131025 WLU131001:WLU131025 WVQ131001:WVQ131025 I196595:I196619 JE196537:JE196561 TA196537:TA196561 ACW196537:ACW196561 AMS196537:AMS196561 AWO196537:AWO196561 BGK196537:BGK196561 BQG196537:BQG196561 CAC196537:CAC196561 CJY196537:CJY196561 CTU196537:CTU196561 DDQ196537:DDQ196561 DNM196537:DNM196561 DXI196537:DXI196561 EHE196537:EHE196561 ERA196537:ERA196561 FAW196537:FAW196561 FKS196537:FKS196561 FUO196537:FUO196561 GEK196537:GEK196561 GOG196537:GOG196561 GYC196537:GYC196561 HHY196537:HHY196561 HRU196537:HRU196561 IBQ196537:IBQ196561 ILM196537:ILM196561 IVI196537:IVI196561 JFE196537:JFE196561 JPA196537:JPA196561 JYW196537:JYW196561 KIS196537:KIS196561 KSO196537:KSO196561 LCK196537:LCK196561 LMG196537:LMG196561 LWC196537:LWC196561 MFY196537:MFY196561 MPU196537:MPU196561 MZQ196537:MZQ196561 NJM196537:NJM196561 NTI196537:NTI196561 ODE196537:ODE196561 ONA196537:ONA196561 OWW196537:OWW196561 PGS196537:PGS196561 PQO196537:PQO196561 QAK196537:QAK196561 QKG196537:QKG196561 QUC196537:QUC196561 RDY196537:RDY196561 RNU196537:RNU196561 RXQ196537:RXQ196561 SHM196537:SHM196561 SRI196537:SRI196561 TBE196537:TBE196561 TLA196537:TLA196561 TUW196537:TUW196561 UES196537:UES196561 UOO196537:UOO196561 UYK196537:UYK196561 VIG196537:VIG196561 VSC196537:VSC196561 WBY196537:WBY196561 WLU196537:WLU196561 WVQ196537:WVQ196561 I262131:I262155 JE262073:JE262097 TA262073:TA262097 ACW262073:ACW262097 AMS262073:AMS262097 AWO262073:AWO262097 BGK262073:BGK262097 BQG262073:BQG262097 CAC262073:CAC262097 CJY262073:CJY262097 CTU262073:CTU262097 DDQ262073:DDQ262097 DNM262073:DNM262097 DXI262073:DXI262097 EHE262073:EHE262097 ERA262073:ERA262097 FAW262073:FAW262097 FKS262073:FKS262097 FUO262073:FUO262097 GEK262073:GEK262097 GOG262073:GOG262097 GYC262073:GYC262097 HHY262073:HHY262097 HRU262073:HRU262097 IBQ262073:IBQ262097 ILM262073:ILM262097 IVI262073:IVI262097 JFE262073:JFE262097 JPA262073:JPA262097 JYW262073:JYW262097 KIS262073:KIS262097 KSO262073:KSO262097 LCK262073:LCK262097 LMG262073:LMG262097 LWC262073:LWC262097 MFY262073:MFY262097 MPU262073:MPU262097 MZQ262073:MZQ262097 NJM262073:NJM262097 NTI262073:NTI262097 ODE262073:ODE262097 ONA262073:ONA262097 OWW262073:OWW262097 PGS262073:PGS262097 PQO262073:PQO262097 QAK262073:QAK262097 QKG262073:QKG262097 QUC262073:QUC262097 RDY262073:RDY262097 RNU262073:RNU262097 RXQ262073:RXQ262097 SHM262073:SHM262097 SRI262073:SRI262097 TBE262073:TBE262097 TLA262073:TLA262097 TUW262073:TUW262097 UES262073:UES262097 UOO262073:UOO262097 UYK262073:UYK262097 VIG262073:VIG262097 VSC262073:VSC262097 WBY262073:WBY262097 WLU262073:WLU262097 WVQ262073:WVQ262097 I327667:I327691 JE327609:JE327633 TA327609:TA327633 ACW327609:ACW327633 AMS327609:AMS327633 AWO327609:AWO327633 BGK327609:BGK327633 BQG327609:BQG327633 CAC327609:CAC327633 CJY327609:CJY327633 CTU327609:CTU327633 DDQ327609:DDQ327633 DNM327609:DNM327633 DXI327609:DXI327633 EHE327609:EHE327633 ERA327609:ERA327633 FAW327609:FAW327633 FKS327609:FKS327633 FUO327609:FUO327633 GEK327609:GEK327633 GOG327609:GOG327633 GYC327609:GYC327633 HHY327609:HHY327633 HRU327609:HRU327633 IBQ327609:IBQ327633 ILM327609:ILM327633 IVI327609:IVI327633 JFE327609:JFE327633 JPA327609:JPA327633 JYW327609:JYW327633 KIS327609:KIS327633 KSO327609:KSO327633 LCK327609:LCK327633 LMG327609:LMG327633 LWC327609:LWC327633 MFY327609:MFY327633 MPU327609:MPU327633 MZQ327609:MZQ327633 NJM327609:NJM327633 NTI327609:NTI327633 ODE327609:ODE327633 ONA327609:ONA327633 OWW327609:OWW327633 PGS327609:PGS327633 PQO327609:PQO327633 QAK327609:QAK327633 QKG327609:QKG327633 QUC327609:QUC327633 RDY327609:RDY327633 RNU327609:RNU327633 RXQ327609:RXQ327633 SHM327609:SHM327633 SRI327609:SRI327633 TBE327609:TBE327633 TLA327609:TLA327633 TUW327609:TUW327633 UES327609:UES327633 UOO327609:UOO327633 UYK327609:UYK327633 VIG327609:VIG327633 VSC327609:VSC327633 WBY327609:WBY327633 WLU327609:WLU327633 WVQ327609:WVQ327633 I393203:I393227 JE393145:JE393169 TA393145:TA393169 ACW393145:ACW393169 AMS393145:AMS393169 AWO393145:AWO393169 BGK393145:BGK393169 BQG393145:BQG393169 CAC393145:CAC393169 CJY393145:CJY393169 CTU393145:CTU393169 DDQ393145:DDQ393169 DNM393145:DNM393169 DXI393145:DXI393169 EHE393145:EHE393169 ERA393145:ERA393169 FAW393145:FAW393169 FKS393145:FKS393169 FUO393145:FUO393169 GEK393145:GEK393169 GOG393145:GOG393169 GYC393145:GYC393169 HHY393145:HHY393169 HRU393145:HRU393169 IBQ393145:IBQ393169 ILM393145:ILM393169 IVI393145:IVI393169 JFE393145:JFE393169 JPA393145:JPA393169 JYW393145:JYW393169 KIS393145:KIS393169 KSO393145:KSO393169 LCK393145:LCK393169 LMG393145:LMG393169 LWC393145:LWC393169 MFY393145:MFY393169 MPU393145:MPU393169 MZQ393145:MZQ393169 NJM393145:NJM393169 NTI393145:NTI393169 ODE393145:ODE393169 ONA393145:ONA393169 OWW393145:OWW393169 PGS393145:PGS393169 PQO393145:PQO393169 QAK393145:QAK393169 QKG393145:QKG393169 QUC393145:QUC393169 RDY393145:RDY393169 RNU393145:RNU393169 RXQ393145:RXQ393169 SHM393145:SHM393169 SRI393145:SRI393169 TBE393145:TBE393169 TLA393145:TLA393169 TUW393145:TUW393169 UES393145:UES393169 UOO393145:UOO393169 UYK393145:UYK393169 VIG393145:VIG393169 VSC393145:VSC393169 WBY393145:WBY393169 WLU393145:WLU393169 WVQ393145:WVQ393169 I458739:I458763 JE458681:JE458705 TA458681:TA458705 ACW458681:ACW458705 AMS458681:AMS458705 AWO458681:AWO458705 BGK458681:BGK458705 BQG458681:BQG458705 CAC458681:CAC458705 CJY458681:CJY458705 CTU458681:CTU458705 DDQ458681:DDQ458705 DNM458681:DNM458705 DXI458681:DXI458705 EHE458681:EHE458705 ERA458681:ERA458705 FAW458681:FAW458705 FKS458681:FKS458705 FUO458681:FUO458705 GEK458681:GEK458705 GOG458681:GOG458705 GYC458681:GYC458705 HHY458681:HHY458705 HRU458681:HRU458705 IBQ458681:IBQ458705 ILM458681:ILM458705 IVI458681:IVI458705 JFE458681:JFE458705 JPA458681:JPA458705 JYW458681:JYW458705 KIS458681:KIS458705 KSO458681:KSO458705 LCK458681:LCK458705 LMG458681:LMG458705 LWC458681:LWC458705 MFY458681:MFY458705 MPU458681:MPU458705 MZQ458681:MZQ458705 NJM458681:NJM458705 NTI458681:NTI458705 ODE458681:ODE458705 ONA458681:ONA458705 OWW458681:OWW458705 PGS458681:PGS458705 PQO458681:PQO458705 QAK458681:QAK458705 QKG458681:QKG458705 QUC458681:QUC458705 RDY458681:RDY458705 RNU458681:RNU458705 RXQ458681:RXQ458705 SHM458681:SHM458705 SRI458681:SRI458705 TBE458681:TBE458705 TLA458681:TLA458705 TUW458681:TUW458705 UES458681:UES458705 UOO458681:UOO458705 UYK458681:UYK458705 VIG458681:VIG458705 VSC458681:VSC458705 WBY458681:WBY458705 WLU458681:WLU458705 WVQ458681:WVQ458705 I524275:I524299 JE524217:JE524241 TA524217:TA524241 ACW524217:ACW524241 AMS524217:AMS524241 AWO524217:AWO524241 BGK524217:BGK524241 BQG524217:BQG524241 CAC524217:CAC524241 CJY524217:CJY524241 CTU524217:CTU524241 DDQ524217:DDQ524241 DNM524217:DNM524241 DXI524217:DXI524241 EHE524217:EHE524241 ERA524217:ERA524241 FAW524217:FAW524241 FKS524217:FKS524241 FUO524217:FUO524241 GEK524217:GEK524241 GOG524217:GOG524241 GYC524217:GYC524241 HHY524217:HHY524241 HRU524217:HRU524241 IBQ524217:IBQ524241 ILM524217:ILM524241 IVI524217:IVI524241 JFE524217:JFE524241 JPA524217:JPA524241 JYW524217:JYW524241 KIS524217:KIS524241 KSO524217:KSO524241 LCK524217:LCK524241 LMG524217:LMG524241 LWC524217:LWC524241 MFY524217:MFY524241 MPU524217:MPU524241 MZQ524217:MZQ524241 NJM524217:NJM524241 NTI524217:NTI524241 ODE524217:ODE524241 ONA524217:ONA524241 OWW524217:OWW524241 PGS524217:PGS524241 PQO524217:PQO524241 QAK524217:QAK524241 QKG524217:QKG524241 QUC524217:QUC524241 RDY524217:RDY524241 RNU524217:RNU524241 RXQ524217:RXQ524241 SHM524217:SHM524241 SRI524217:SRI524241 TBE524217:TBE524241 TLA524217:TLA524241 TUW524217:TUW524241 UES524217:UES524241 UOO524217:UOO524241 UYK524217:UYK524241 VIG524217:VIG524241 VSC524217:VSC524241 WBY524217:WBY524241 WLU524217:WLU524241 WVQ524217:WVQ524241 I589811:I589835 JE589753:JE589777 TA589753:TA589777 ACW589753:ACW589777 AMS589753:AMS589777 AWO589753:AWO589777 BGK589753:BGK589777 BQG589753:BQG589777 CAC589753:CAC589777 CJY589753:CJY589777 CTU589753:CTU589777 DDQ589753:DDQ589777 DNM589753:DNM589777 DXI589753:DXI589777 EHE589753:EHE589777 ERA589753:ERA589777 FAW589753:FAW589777 FKS589753:FKS589777 FUO589753:FUO589777 GEK589753:GEK589777 GOG589753:GOG589777 GYC589753:GYC589777 HHY589753:HHY589777 HRU589753:HRU589777 IBQ589753:IBQ589777 ILM589753:ILM589777 IVI589753:IVI589777 JFE589753:JFE589777 JPA589753:JPA589777 JYW589753:JYW589777 KIS589753:KIS589777 KSO589753:KSO589777 LCK589753:LCK589777 LMG589753:LMG589777 LWC589753:LWC589777 MFY589753:MFY589777 MPU589753:MPU589777 MZQ589753:MZQ589777 NJM589753:NJM589777 NTI589753:NTI589777 ODE589753:ODE589777 ONA589753:ONA589777 OWW589753:OWW589777 PGS589753:PGS589777 PQO589753:PQO589777 QAK589753:QAK589777 QKG589753:QKG589777 QUC589753:QUC589777 RDY589753:RDY589777 RNU589753:RNU589777 RXQ589753:RXQ589777 SHM589753:SHM589777 SRI589753:SRI589777 TBE589753:TBE589777 TLA589753:TLA589777 TUW589753:TUW589777 UES589753:UES589777 UOO589753:UOO589777 UYK589753:UYK589777 VIG589753:VIG589777 VSC589753:VSC589777 WBY589753:WBY589777 WLU589753:WLU589777 WVQ589753:WVQ589777 I655347:I655371 JE655289:JE655313 TA655289:TA655313 ACW655289:ACW655313 AMS655289:AMS655313 AWO655289:AWO655313 BGK655289:BGK655313 BQG655289:BQG655313 CAC655289:CAC655313 CJY655289:CJY655313 CTU655289:CTU655313 DDQ655289:DDQ655313 DNM655289:DNM655313 DXI655289:DXI655313 EHE655289:EHE655313 ERA655289:ERA655313 FAW655289:FAW655313 FKS655289:FKS655313 FUO655289:FUO655313 GEK655289:GEK655313 GOG655289:GOG655313 GYC655289:GYC655313 HHY655289:HHY655313 HRU655289:HRU655313 IBQ655289:IBQ655313 ILM655289:ILM655313 IVI655289:IVI655313 JFE655289:JFE655313 JPA655289:JPA655313 JYW655289:JYW655313 KIS655289:KIS655313 KSO655289:KSO655313 LCK655289:LCK655313 LMG655289:LMG655313 LWC655289:LWC655313 MFY655289:MFY655313 MPU655289:MPU655313 MZQ655289:MZQ655313 NJM655289:NJM655313 NTI655289:NTI655313 ODE655289:ODE655313 ONA655289:ONA655313 OWW655289:OWW655313 PGS655289:PGS655313 PQO655289:PQO655313 QAK655289:QAK655313 QKG655289:QKG655313 QUC655289:QUC655313 RDY655289:RDY655313 RNU655289:RNU655313 RXQ655289:RXQ655313 SHM655289:SHM655313 SRI655289:SRI655313 TBE655289:TBE655313 TLA655289:TLA655313 TUW655289:TUW655313 UES655289:UES655313 UOO655289:UOO655313 UYK655289:UYK655313 VIG655289:VIG655313 VSC655289:VSC655313 WBY655289:WBY655313 WLU655289:WLU655313 WVQ655289:WVQ655313 I720883:I720907 JE720825:JE720849 TA720825:TA720849 ACW720825:ACW720849 AMS720825:AMS720849 AWO720825:AWO720849 BGK720825:BGK720849 BQG720825:BQG720849 CAC720825:CAC720849 CJY720825:CJY720849 CTU720825:CTU720849 DDQ720825:DDQ720849 DNM720825:DNM720849 DXI720825:DXI720849 EHE720825:EHE720849 ERA720825:ERA720849 FAW720825:FAW720849 FKS720825:FKS720849 FUO720825:FUO720849 GEK720825:GEK720849 GOG720825:GOG720849 GYC720825:GYC720849 HHY720825:HHY720849 HRU720825:HRU720849 IBQ720825:IBQ720849 ILM720825:ILM720849 IVI720825:IVI720849 JFE720825:JFE720849 JPA720825:JPA720849 JYW720825:JYW720849 KIS720825:KIS720849 KSO720825:KSO720849 LCK720825:LCK720849 LMG720825:LMG720849 LWC720825:LWC720849 MFY720825:MFY720849 MPU720825:MPU720849 MZQ720825:MZQ720849 NJM720825:NJM720849 NTI720825:NTI720849 ODE720825:ODE720849 ONA720825:ONA720849 OWW720825:OWW720849 PGS720825:PGS720849 PQO720825:PQO720849 QAK720825:QAK720849 QKG720825:QKG720849 QUC720825:QUC720849 RDY720825:RDY720849 RNU720825:RNU720849 RXQ720825:RXQ720849 SHM720825:SHM720849 SRI720825:SRI720849 TBE720825:TBE720849 TLA720825:TLA720849 TUW720825:TUW720849 UES720825:UES720849 UOO720825:UOO720849 UYK720825:UYK720849 VIG720825:VIG720849 VSC720825:VSC720849 WBY720825:WBY720849 WLU720825:WLU720849 WVQ720825:WVQ720849 I786419:I786443 JE786361:JE786385 TA786361:TA786385 ACW786361:ACW786385 AMS786361:AMS786385 AWO786361:AWO786385 BGK786361:BGK786385 BQG786361:BQG786385 CAC786361:CAC786385 CJY786361:CJY786385 CTU786361:CTU786385 DDQ786361:DDQ786385 DNM786361:DNM786385 DXI786361:DXI786385 EHE786361:EHE786385 ERA786361:ERA786385 FAW786361:FAW786385 FKS786361:FKS786385 FUO786361:FUO786385 GEK786361:GEK786385 GOG786361:GOG786385 GYC786361:GYC786385 HHY786361:HHY786385 HRU786361:HRU786385 IBQ786361:IBQ786385 ILM786361:ILM786385 IVI786361:IVI786385 JFE786361:JFE786385 JPA786361:JPA786385 JYW786361:JYW786385 KIS786361:KIS786385 KSO786361:KSO786385 LCK786361:LCK786385 LMG786361:LMG786385 LWC786361:LWC786385 MFY786361:MFY786385 MPU786361:MPU786385 MZQ786361:MZQ786385 NJM786361:NJM786385 NTI786361:NTI786385 ODE786361:ODE786385 ONA786361:ONA786385 OWW786361:OWW786385 PGS786361:PGS786385 PQO786361:PQO786385 QAK786361:QAK786385 QKG786361:QKG786385 QUC786361:QUC786385 RDY786361:RDY786385 RNU786361:RNU786385 RXQ786361:RXQ786385 SHM786361:SHM786385 SRI786361:SRI786385 TBE786361:TBE786385 TLA786361:TLA786385 TUW786361:TUW786385 UES786361:UES786385 UOO786361:UOO786385 UYK786361:UYK786385 VIG786361:VIG786385 VSC786361:VSC786385 WBY786361:WBY786385 WLU786361:WLU786385 WVQ786361:WVQ786385 I851955:I851979 JE851897:JE851921 TA851897:TA851921 ACW851897:ACW851921 AMS851897:AMS851921 AWO851897:AWO851921 BGK851897:BGK851921 BQG851897:BQG851921 CAC851897:CAC851921 CJY851897:CJY851921 CTU851897:CTU851921 DDQ851897:DDQ851921 DNM851897:DNM851921 DXI851897:DXI851921 EHE851897:EHE851921 ERA851897:ERA851921 FAW851897:FAW851921 FKS851897:FKS851921 FUO851897:FUO851921 GEK851897:GEK851921 GOG851897:GOG851921 GYC851897:GYC851921 HHY851897:HHY851921 HRU851897:HRU851921 IBQ851897:IBQ851921 ILM851897:ILM851921 IVI851897:IVI851921 JFE851897:JFE851921 JPA851897:JPA851921 JYW851897:JYW851921 KIS851897:KIS851921 KSO851897:KSO851921 LCK851897:LCK851921 LMG851897:LMG851921 LWC851897:LWC851921 MFY851897:MFY851921 MPU851897:MPU851921 MZQ851897:MZQ851921 NJM851897:NJM851921 NTI851897:NTI851921 ODE851897:ODE851921 ONA851897:ONA851921 OWW851897:OWW851921 PGS851897:PGS851921 PQO851897:PQO851921 QAK851897:QAK851921 QKG851897:QKG851921 QUC851897:QUC851921 RDY851897:RDY851921 RNU851897:RNU851921 RXQ851897:RXQ851921 SHM851897:SHM851921 SRI851897:SRI851921 TBE851897:TBE851921 TLA851897:TLA851921 TUW851897:TUW851921 UES851897:UES851921 UOO851897:UOO851921 UYK851897:UYK851921 VIG851897:VIG851921 VSC851897:VSC851921 WBY851897:WBY851921 WLU851897:WLU851921 WVQ851897:WVQ851921 I917491:I917515 JE917433:JE917457 TA917433:TA917457 ACW917433:ACW917457 AMS917433:AMS917457 AWO917433:AWO917457 BGK917433:BGK917457 BQG917433:BQG917457 CAC917433:CAC917457 CJY917433:CJY917457 CTU917433:CTU917457 DDQ917433:DDQ917457 DNM917433:DNM917457 DXI917433:DXI917457 EHE917433:EHE917457 ERA917433:ERA917457 FAW917433:FAW917457 FKS917433:FKS917457 FUO917433:FUO917457 GEK917433:GEK917457 GOG917433:GOG917457 GYC917433:GYC917457 HHY917433:HHY917457 HRU917433:HRU917457 IBQ917433:IBQ917457 ILM917433:ILM917457 IVI917433:IVI917457 JFE917433:JFE917457 JPA917433:JPA917457 JYW917433:JYW917457 KIS917433:KIS917457 KSO917433:KSO917457 LCK917433:LCK917457 LMG917433:LMG917457 LWC917433:LWC917457 MFY917433:MFY917457 MPU917433:MPU917457 MZQ917433:MZQ917457 NJM917433:NJM917457 NTI917433:NTI917457 ODE917433:ODE917457 ONA917433:ONA917457 OWW917433:OWW917457 PGS917433:PGS917457 PQO917433:PQO917457 QAK917433:QAK917457 QKG917433:QKG917457 QUC917433:QUC917457 RDY917433:RDY917457 RNU917433:RNU917457 RXQ917433:RXQ917457 SHM917433:SHM917457 SRI917433:SRI917457 TBE917433:TBE917457 TLA917433:TLA917457 TUW917433:TUW917457 UES917433:UES917457 UOO917433:UOO917457 UYK917433:UYK917457 VIG917433:VIG917457 VSC917433:VSC917457 WBY917433:WBY917457 WLU917433:WLU917457 WVQ917433:WVQ917457 I983027:I983051 JE982969:JE982993 TA982969:TA982993 ACW982969:ACW982993 AMS982969:AMS982993 AWO982969:AWO982993 BGK982969:BGK982993 BQG982969:BQG982993 CAC982969:CAC982993 CJY982969:CJY982993 CTU982969:CTU982993 DDQ982969:DDQ982993 DNM982969:DNM982993 DXI982969:DXI982993 EHE982969:EHE982993 ERA982969:ERA982993 FAW982969:FAW982993 FKS982969:FKS982993 FUO982969:FUO982993 GEK982969:GEK982993 GOG982969:GOG982993 GYC982969:GYC982993 HHY982969:HHY982993 HRU982969:HRU982993 IBQ982969:IBQ982993 ILM982969:ILM982993 IVI982969:IVI982993 JFE982969:JFE982993 JPA982969:JPA982993 JYW982969:JYW982993 KIS982969:KIS982993 KSO982969:KSO982993 LCK982969:LCK982993 LMG982969:LMG982993 LWC982969:LWC982993 MFY982969:MFY982993 MPU982969:MPU982993 MZQ982969:MZQ982993 NJM982969:NJM982993 NTI982969:NTI982993 ODE982969:ODE982993 ONA982969:ONA982993 OWW982969:OWW982993 PGS982969:PGS982993 PQO982969:PQO982993 QAK982969:QAK982993 QKG982969:QKG982993 QUC982969:QUC982993 RDY982969:RDY982993 RNU982969:RNU982993 RXQ982969:RXQ982993 SHM982969:SHM982993 SRI982969:SRI982993 TBE982969:TBE982993 TLA982969:TLA982993 TUW982969:TUW982993 UES982969:UES982993 UOO982969:UOO982993 UYK982969:UYK982993 VIG982969:VIG982993 VSC982969:VSC982993 WBY982969:WBY982993 WLU982969:WLU982993 JF10:JF1811 WVR10:WVR1811 WLV10:WLV1811 WBZ10:WBZ1811 VSD10:VSD1811 VIH10:VIH1811 UYL10:UYL1811 UOP10:UOP1811 UET10:UET1811 TUX10:TUX1811 TLB10:TLB1811 TBF10:TBF1811 SRJ10:SRJ1811 SHN10:SHN1811 RXR10:RXR1811 RNV10:RNV1811 RDZ10:RDZ1811 QUD10:QUD1811 QKH10:QKH1811 QAL10:QAL1811 PQP10:PQP1811 PGT10:PGT1811 OWX10:OWX1811 ONB10:ONB1811 ODF10:ODF1811 NTJ10:NTJ1811 NJN10:NJN1811 MZR10:MZR1811 MPV10:MPV1811 MFZ10:MFZ1811 LWD10:LWD1811 LMH10:LMH1811 LCL10:LCL1811 KSP10:KSP1811 KIT10:KIT1811 JYX10:JYX1811 JPB10:JPB1811 JFF10:JFF1811 IVJ10:IVJ1811 ILN10:ILN1811 IBR10:IBR1811 HRV10:HRV1811 HHZ10:HHZ1811 GYD10:GYD1811 GOH10:GOH1811 GEL10:GEL1811 FUP10:FUP1811 FKT10:FKT1811 FAX10:FAX1811 ERB10:ERB1811 EHF10:EHF1811 DXJ10:DXJ1811 DNN10:DNN1811 DDR10:DDR1811 CTV10:CTV1811 CJZ10:CJZ1811 CAD10:CAD1811 BQH10:BQH1811 BGL10:BGL1811 AWP10:AWP1811 AMT10:AMT1811 ACX10:ACX1811 TB10:TB1811" xr:uid="{00000000-0002-0000-2300-00000B000000}"/>
    <dataValidation allowBlank="1" showInputMessage="1" showErrorMessage="1" prompt="Enter the total co-pay amount for the service code in column &quot;C&quot; for the month in review. If the individual paid more than once during the month for the same service code enter the total amount paid by the individual for the month in review" sqref="WVR982969:WVR982993 J65523:J65547 JF65465:JF65489 TB65465:TB65489 ACX65465:ACX65489 AMT65465:AMT65489 AWP65465:AWP65489 BGL65465:BGL65489 BQH65465:BQH65489 CAD65465:CAD65489 CJZ65465:CJZ65489 CTV65465:CTV65489 DDR65465:DDR65489 DNN65465:DNN65489 DXJ65465:DXJ65489 EHF65465:EHF65489 ERB65465:ERB65489 FAX65465:FAX65489 FKT65465:FKT65489 FUP65465:FUP65489 GEL65465:GEL65489 GOH65465:GOH65489 GYD65465:GYD65489 HHZ65465:HHZ65489 HRV65465:HRV65489 IBR65465:IBR65489 ILN65465:ILN65489 IVJ65465:IVJ65489 JFF65465:JFF65489 JPB65465:JPB65489 JYX65465:JYX65489 KIT65465:KIT65489 KSP65465:KSP65489 LCL65465:LCL65489 LMH65465:LMH65489 LWD65465:LWD65489 MFZ65465:MFZ65489 MPV65465:MPV65489 MZR65465:MZR65489 NJN65465:NJN65489 NTJ65465:NTJ65489 ODF65465:ODF65489 ONB65465:ONB65489 OWX65465:OWX65489 PGT65465:PGT65489 PQP65465:PQP65489 QAL65465:QAL65489 QKH65465:QKH65489 QUD65465:QUD65489 RDZ65465:RDZ65489 RNV65465:RNV65489 RXR65465:RXR65489 SHN65465:SHN65489 SRJ65465:SRJ65489 TBF65465:TBF65489 TLB65465:TLB65489 TUX65465:TUX65489 UET65465:UET65489 UOP65465:UOP65489 UYL65465:UYL65489 VIH65465:VIH65489 VSD65465:VSD65489 WBZ65465:WBZ65489 WLV65465:WLV65489 WVR65465:WVR65489 J131059:J131083 JF131001:JF131025 TB131001:TB131025 ACX131001:ACX131025 AMT131001:AMT131025 AWP131001:AWP131025 BGL131001:BGL131025 BQH131001:BQH131025 CAD131001:CAD131025 CJZ131001:CJZ131025 CTV131001:CTV131025 DDR131001:DDR131025 DNN131001:DNN131025 DXJ131001:DXJ131025 EHF131001:EHF131025 ERB131001:ERB131025 FAX131001:FAX131025 FKT131001:FKT131025 FUP131001:FUP131025 GEL131001:GEL131025 GOH131001:GOH131025 GYD131001:GYD131025 HHZ131001:HHZ131025 HRV131001:HRV131025 IBR131001:IBR131025 ILN131001:ILN131025 IVJ131001:IVJ131025 JFF131001:JFF131025 JPB131001:JPB131025 JYX131001:JYX131025 KIT131001:KIT131025 KSP131001:KSP131025 LCL131001:LCL131025 LMH131001:LMH131025 LWD131001:LWD131025 MFZ131001:MFZ131025 MPV131001:MPV131025 MZR131001:MZR131025 NJN131001:NJN131025 NTJ131001:NTJ131025 ODF131001:ODF131025 ONB131001:ONB131025 OWX131001:OWX131025 PGT131001:PGT131025 PQP131001:PQP131025 QAL131001:QAL131025 QKH131001:QKH131025 QUD131001:QUD131025 RDZ131001:RDZ131025 RNV131001:RNV131025 RXR131001:RXR131025 SHN131001:SHN131025 SRJ131001:SRJ131025 TBF131001:TBF131025 TLB131001:TLB131025 TUX131001:TUX131025 UET131001:UET131025 UOP131001:UOP131025 UYL131001:UYL131025 VIH131001:VIH131025 VSD131001:VSD131025 WBZ131001:WBZ131025 WLV131001:WLV131025 WVR131001:WVR131025 J196595:J196619 JF196537:JF196561 TB196537:TB196561 ACX196537:ACX196561 AMT196537:AMT196561 AWP196537:AWP196561 BGL196537:BGL196561 BQH196537:BQH196561 CAD196537:CAD196561 CJZ196537:CJZ196561 CTV196537:CTV196561 DDR196537:DDR196561 DNN196537:DNN196561 DXJ196537:DXJ196561 EHF196537:EHF196561 ERB196537:ERB196561 FAX196537:FAX196561 FKT196537:FKT196561 FUP196537:FUP196561 GEL196537:GEL196561 GOH196537:GOH196561 GYD196537:GYD196561 HHZ196537:HHZ196561 HRV196537:HRV196561 IBR196537:IBR196561 ILN196537:ILN196561 IVJ196537:IVJ196561 JFF196537:JFF196561 JPB196537:JPB196561 JYX196537:JYX196561 KIT196537:KIT196561 KSP196537:KSP196561 LCL196537:LCL196561 LMH196537:LMH196561 LWD196537:LWD196561 MFZ196537:MFZ196561 MPV196537:MPV196561 MZR196537:MZR196561 NJN196537:NJN196561 NTJ196537:NTJ196561 ODF196537:ODF196561 ONB196537:ONB196561 OWX196537:OWX196561 PGT196537:PGT196561 PQP196537:PQP196561 QAL196537:QAL196561 QKH196537:QKH196561 QUD196537:QUD196561 RDZ196537:RDZ196561 RNV196537:RNV196561 RXR196537:RXR196561 SHN196537:SHN196561 SRJ196537:SRJ196561 TBF196537:TBF196561 TLB196537:TLB196561 TUX196537:TUX196561 UET196537:UET196561 UOP196537:UOP196561 UYL196537:UYL196561 VIH196537:VIH196561 VSD196537:VSD196561 WBZ196537:WBZ196561 WLV196537:WLV196561 WVR196537:WVR196561 J262131:J262155 JF262073:JF262097 TB262073:TB262097 ACX262073:ACX262097 AMT262073:AMT262097 AWP262073:AWP262097 BGL262073:BGL262097 BQH262073:BQH262097 CAD262073:CAD262097 CJZ262073:CJZ262097 CTV262073:CTV262097 DDR262073:DDR262097 DNN262073:DNN262097 DXJ262073:DXJ262097 EHF262073:EHF262097 ERB262073:ERB262097 FAX262073:FAX262097 FKT262073:FKT262097 FUP262073:FUP262097 GEL262073:GEL262097 GOH262073:GOH262097 GYD262073:GYD262097 HHZ262073:HHZ262097 HRV262073:HRV262097 IBR262073:IBR262097 ILN262073:ILN262097 IVJ262073:IVJ262097 JFF262073:JFF262097 JPB262073:JPB262097 JYX262073:JYX262097 KIT262073:KIT262097 KSP262073:KSP262097 LCL262073:LCL262097 LMH262073:LMH262097 LWD262073:LWD262097 MFZ262073:MFZ262097 MPV262073:MPV262097 MZR262073:MZR262097 NJN262073:NJN262097 NTJ262073:NTJ262097 ODF262073:ODF262097 ONB262073:ONB262097 OWX262073:OWX262097 PGT262073:PGT262097 PQP262073:PQP262097 QAL262073:QAL262097 QKH262073:QKH262097 QUD262073:QUD262097 RDZ262073:RDZ262097 RNV262073:RNV262097 RXR262073:RXR262097 SHN262073:SHN262097 SRJ262073:SRJ262097 TBF262073:TBF262097 TLB262073:TLB262097 TUX262073:TUX262097 UET262073:UET262097 UOP262073:UOP262097 UYL262073:UYL262097 VIH262073:VIH262097 VSD262073:VSD262097 WBZ262073:WBZ262097 WLV262073:WLV262097 WVR262073:WVR262097 J327667:J327691 JF327609:JF327633 TB327609:TB327633 ACX327609:ACX327633 AMT327609:AMT327633 AWP327609:AWP327633 BGL327609:BGL327633 BQH327609:BQH327633 CAD327609:CAD327633 CJZ327609:CJZ327633 CTV327609:CTV327633 DDR327609:DDR327633 DNN327609:DNN327633 DXJ327609:DXJ327633 EHF327609:EHF327633 ERB327609:ERB327633 FAX327609:FAX327633 FKT327609:FKT327633 FUP327609:FUP327633 GEL327609:GEL327633 GOH327609:GOH327633 GYD327609:GYD327633 HHZ327609:HHZ327633 HRV327609:HRV327633 IBR327609:IBR327633 ILN327609:ILN327633 IVJ327609:IVJ327633 JFF327609:JFF327633 JPB327609:JPB327633 JYX327609:JYX327633 KIT327609:KIT327633 KSP327609:KSP327633 LCL327609:LCL327633 LMH327609:LMH327633 LWD327609:LWD327633 MFZ327609:MFZ327633 MPV327609:MPV327633 MZR327609:MZR327633 NJN327609:NJN327633 NTJ327609:NTJ327633 ODF327609:ODF327633 ONB327609:ONB327633 OWX327609:OWX327633 PGT327609:PGT327633 PQP327609:PQP327633 QAL327609:QAL327633 QKH327609:QKH327633 QUD327609:QUD327633 RDZ327609:RDZ327633 RNV327609:RNV327633 RXR327609:RXR327633 SHN327609:SHN327633 SRJ327609:SRJ327633 TBF327609:TBF327633 TLB327609:TLB327633 TUX327609:TUX327633 UET327609:UET327633 UOP327609:UOP327633 UYL327609:UYL327633 VIH327609:VIH327633 VSD327609:VSD327633 WBZ327609:WBZ327633 WLV327609:WLV327633 WVR327609:WVR327633 J393203:J393227 JF393145:JF393169 TB393145:TB393169 ACX393145:ACX393169 AMT393145:AMT393169 AWP393145:AWP393169 BGL393145:BGL393169 BQH393145:BQH393169 CAD393145:CAD393169 CJZ393145:CJZ393169 CTV393145:CTV393169 DDR393145:DDR393169 DNN393145:DNN393169 DXJ393145:DXJ393169 EHF393145:EHF393169 ERB393145:ERB393169 FAX393145:FAX393169 FKT393145:FKT393169 FUP393145:FUP393169 GEL393145:GEL393169 GOH393145:GOH393169 GYD393145:GYD393169 HHZ393145:HHZ393169 HRV393145:HRV393169 IBR393145:IBR393169 ILN393145:ILN393169 IVJ393145:IVJ393169 JFF393145:JFF393169 JPB393145:JPB393169 JYX393145:JYX393169 KIT393145:KIT393169 KSP393145:KSP393169 LCL393145:LCL393169 LMH393145:LMH393169 LWD393145:LWD393169 MFZ393145:MFZ393169 MPV393145:MPV393169 MZR393145:MZR393169 NJN393145:NJN393169 NTJ393145:NTJ393169 ODF393145:ODF393169 ONB393145:ONB393169 OWX393145:OWX393169 PGT393145:PGT393169 PQP393145:PQP393169 QAL393145:QAL393169 QKH393145:QKH393169 QUD393145:QUD393169 RDZ393145:RDZ393169 RNV393145:RNV393169 RXR393145:RXR393169 SHN393145:SHN393169 SRJ393145:SRJ393169 TBF393145:TBF393169 TLB393145:TLB393169 TUX393145:TUX393169 UET393145:UET393169 UOP393145:UOP393169 UYL393145:UYL393169 VIH393145:VIH393169 VSD393145:VSD393169 WBZ393145:WBZ393169 WLV393145:WLV393169 WVR393145:WVR393169 J458739:J458763 JF458681:JF458705 TB458681:TB458705 ACX458681:ACX458705 AMT458681:AMT458705 AWP458681:AWP458705 BGL458681:BGL458705 BQH458681:BQH458705 CAD458681:CAD458705 CJZ458681:CJZ458705 CTV458681:CTV458705 DDR458681:DDR458705 DNN458681:DNN458705 DXJ458681:DXJ458705 EHF458681:EHF458705 ERB458681:ERB458705 FAX458681:FAX458705 FKT458681:FKT458705 FUP458681:FUP458705 GEL458681:GEL458705 GOH458681:GOH458705 GYD458681:GYD458705 HHZ458681:HHZ458705 HRV458681:HRV458705 IBR458681:IBR458705 ILN458681:ILN458705 IVJ458681:IVJ458705 JFF458681:JFF458705 JPB458681:JPB458705 JYX458681:JYX458705 KIT458681:KIT458705 KSP458681:KSP458705 LCL458681:LCL458705 LMH458681:LMH458705 LWD458681:LWD458705 MFZ458681:MFZ458705 MPV458681:MPV458705 MZR458681:MZR458705 NJN458681:NJN458705 NTJ458681:NTJ458705 ODF458681:ODF458705 ONB458681:ONB458705 OWX458681:OWX458705 PGT458681:PGT458705 PQP458681:PQP458705 QAL458681:QAL458705 QKH458681:QKH458705 QUD458681:QUD458705 RDZ458681:RDZ458705 RNV458681:RNV458705 RXR458681:RXR458705 SHN458681:SHN458705 SRJ458681:SRJ458705 TBF458681:TBF458705 TLB458681:TLB458705 TUX458681:TUX458705 UET458681:UET458705 UOP458681:UOP458705 UYL458681:UYL458705 VIH458681:VIH458705 VSD458681:VSD458705 WBZ458681:WBZ458705 WLV458681:WLV458705 WVR458681:WVR458705 J524275:J524299 JF524217:JF524241 TB524217:TB524241 ACX524217:ACX524241 AMT524217:AMT524241 AWP524217:AWP524241 BGL524217:BGL524241 BQH524217:BQH524241 CAD524217:CAD524241 CJZ524217:CJZ524241 CTV524217:CTV524241 DDR524217:DDR524241 DNN524217:DNN524241 DXJ524217:DXJ524241 EHF524217:EHF524241 ERB524217:ERB524241 FAX524217:FAX524241 FKT524217:FKT524241 FUP524217:FUP524241 GEL524217:GEL524241 GOH524217:GOH524241 GYD524217:GYD524241 HHZ524217:HHZ524241 HRV524217:HRV524241 IBR524217:IBR524241 ILN524217:ILN524241 IVJ524217:IVJ524241 JFF524217:JFF524241 JPB524217:JPB524241 JYX524217:JYX524241 KIT524217:KIT524241 KSP524217:KSP524241 LCL524217:LCL524241 LMH524217:LMH524241 LWD524217:LWD524241 MFZ524217:MFZ524241 MPV524217:MPV524241 MZR524217:MZR524241 NJN524217:NJN524241 NTJ524217:NTJ524241 ODF524217:ODF524241 ONB524217:ONB524241 OWX524217:OWX524241 PGT524217:PGT524241 PQP524217:PQP524241 QAL524217:QAL524241 QKH524217:QKH524241 QUD524217:QUD524241 RDZ524217:RDZ524241 RNV524217:RNV524241 RXR524217:RXR524241 SHN524217:SHN524241 SRJ524217:SRJ524241 TBF524217:TBF524241 TLB524217:TLB524241 TUX524217:TUX524241 UET524217:UET524241 UOP524217:UOP524241 UYL524217:UYL524241 VIH524217:VIH524241 VSD524217:VSD524241 WBZ524217:WBZ524241 WLV524217:WLV524241 WVR524217:WVR524241 J589811:J589835 JF589753:JF589777 TB589753:TB589777 ACX589753:ACX589777 AMT589753:AMT589777 AWP589753:AWP589777 BGL589753:BGL589777 BQH589753:BQH589777 CAD589753:CAD589777 CJZ589753:CJZ589777 CTV589753:CTV589777 DDR589753:DDR589777 DNN589753:DNN589777 DXJ589753:DXJ589777 EHF589753:EHF589777 ERB589753:ERB589777 FAX589753:FAX589777 FKT589753:FKT589777 FUP589753:FUP589777 GEL589753:GEL589777 GOH589753:GOH589777 GYD589753:GYD589777 HHZ589753:HHZ589777 HRV589753:HRV589777 IBR589753:IBR589777 ILN589753:ILN589777 IVJ589753:IVJ589777 JFF589753:JFF589777 JPB589753:JPB589777 JYX589753:JYX589777 KIT589753:KIT589777 KSP589753:KSP589777 LCL589753:LCL589777 LMH589753:LMH589777 LWD589753:LWD589777 MFZ589753:MFZ589777 MPV589753:MPV589777 MZR589753:MZR589777 NJN589753:NJN589777 NTJ589753:NTJ589777 ODF589753:ODF589777 ONB589753:ONB589777 OWX589753:OWX589777 PGT589753:PGT589777 PQP589753:PQP589777 QAL589753:QAL589777 QKH589753:QKH589777 QUD589753:QUD589777 RDZ589753:RDZ589777 RNV589753:RNV589777 RXR589753:RXR589777 SHN589753:SHN589777 SRJ589753:SRJ589777 TBF589753:TBF589777 TLB589753:TLB589777 TUX589753:TUX589777 UET589753:UET589777 UOP589753:UOP589777 UYL589753:UYL589777 VIH589753:VIH589777 VSD589753:VSD589777 WBZ589753:WBZ589777 WLV589753:WLV589777 WVR589753:WVR589777 J655347:J655371 JF655289:JF655313 TB655289:TB655313 ACX655289:ACX655313 AMT655289:AMT655313 AWP655289:AWP655313 BGL655289:BGL655313 BQH655289:BQH655313 CAD655289:CAD655313 CJZ655289:CJZ655313 CTV655289:CTV655313 DDR655289:DDR655313 DNN655289:DNN655313 DXJ655289:DXJ655313 EHF655289:EHF655313 ERB655289:ERB655313 FAX655289:FAX655313 FKT655289:FKT655313 FUP655289:FUP655313 GEL655289:GEL655313 GOH655289:GOH655313 GYD655289:GYD655313 HHZ655289:HHZ655313 HRV655289:HRV655313 IBR655289:IBR655313 ILN655289:ILN655313 IVJ655289:IVJ655313 JFF655289:JFF655313 JPB655289:JPB655313 JYX655289:JYX655313 KIT655289:KIT655313 KSP655289:KSP655313 LCL655289:LCL655313 LMH655289:LMH655313 LWD655289:LWD655313 MFZ655289:MFZ655313 MPV655289:MPV655313 MZR655289:MZR655313 NJN655289:NJN655313 NTJ655289:NTJ655313 ODF655289:ODF655313 ONB655289:ONB655313 OWX655289:OWX655313 PGT655289:PGT655313 PQP655289:PQP655313 QAL655289:QAL655313 QKH655289:QKH655313 QUD655289:QUD655313 RDZ655289:RDZ655313 RNV655289:RNV655313 RXR655289:RXR655313 SHN655289:SHN655313 SRJ655289:SRJ655313 TBF655289:TBF655313 TLB655289:TLB655313 TUX655289:TUX655313 UET655289:UET655313 UOP655289:UOP655313 UYL655289:UYL655313 VIH655289:VIH655313 VSD655289:VSD655313 WBZ655289:WBZ655313 WLV655289:WLV655313 WVR655289:WVR655313 J720883:J720907 JF720825:JF720849 TB720825:TB720849 ACX720825:ACX720849 AMT720825:AMT720849 AWP720825:AWP720849 BGL720825:BGL720849 BQH720825:BQH720849 CAD720825:CAD720849 CJZ720825:CJZ720849 CTV720825:CTV720849 DDR720825:DDR720849 DNN720825:DNN720849 DXJ720825:DXJ720849 EHF720825:EHF720849 ERB720825:ERB720849 FAX720825:FAX720849 FKT720825:FKT720849 FUP720825:FUP720849 GEL720825:GEL720849 GOH720825:GOH720849 GYD720825:GYD720849 HHZ720825:HHZ720849 HRV720825:HRV720849 IBR720825:IBR720849 ILN720825:ILN720849 IVJ720825:IVJ720849 JFF720825:JFF720849 JPB720825:JPB720849 JYX720825:JYX720849 KIT720825:KIT720849 KSP720825:KSP720849 LCL720825:LCL720849 LMH720825:LMH720849 LWD720825:LWD720849 MFZ720825:MFZ720849 MPV720825:MPV720849 MZR720825:MZR720849 NJN720825:NJN720849 NTJ720825:NTJ720849 ODF720825:ODF720849 ONB720825:ONB720849 OWX720825:OWX720849 PGT720825:PGT720849 PQP720825:PQP720849 QAL720825:QAL720849 QKH720825:QKH720849 QUD720825:QUD720849 RDZ720825:RDZ720849 RNV720825:RNV720849 RXR720825:RXR720849 SHN720825:SHN720849 SRJ720825:SRJ720849 TBF720825:TBF720849 TLB720825:TLB720849 TUX720825:TUX720849 UET720825:UET720849 UOP720825:UOP720849 UYL720825:UYL720849 VIH720825:VIH720849 VSD720825:VSD720849 WBZ720825:WBZ720849 WLV720825:WLV720849 WVR720825:WVR720849 J786419:J786443 JF786361:JF786385 TB786361:TB786385 ACX786361:ACX786385 AMT786361:AMT786385 AWP786361:AWP786385 BGL786361:BGL786385 BQH786361:BQH786385 CAD786361:CAD786385 CJZ786361:CJZ786385 CTV786361:CTV786385 DDR786361:DDR786385 DNN786361:DNN786385 DXJ786361:DXJ786385 EHF786361:EHF786385 ERB786361:ERB786385 FAX786361:FAX786385 FKT786361:FKT786385 FUP786361:FUP786385 GEL786361:GEL786385 GOH786361:GOH786385 GYD786361:GYD786385 HHZ786361:HHZ786385 HRV786361:HRV786385 IBR786361:IBR786385 ILN786361:ILN786385 IVJ786361:IVJ786385 JFF786361:JFF786385 JPB786361:JPB786385 JYX786361:JYX786385 KIT786361:KIT786385 KSP786361:KSP786385 LCL786361:LCL786385 LMH786361:LMH786385 LWD786361:LWD786385 MFZ786361:MFZ786385 MPV786361:MPV786385 MZR786361:MZR786385 NJN786361:NJN786385 NTJ786361:NTJ786385 ODF786361:ODF786385 ONB786361:ONB786385 OWX786361:OWX786385 PGT786361:PGT786385 PQP786361:PQP786385 QAL786361:QAL786385 QKH786361:QKH786385 QUD786361:QUD786385 RDZ786361:RDZ786385 RNV786361:RNV786385 RXR786361:RXR786385 SHN786361:SHN786385 SRJ786361:SRJ786385 TBF786361:TBF786385 TLB786361:TLB786385 TUX786361:TUX786385 UET786361:UET786385 UOP786361:UOP786385 UYL786361:UYL786385 VIH786361:VIH786385 VSD786361:VSD786385 WBZ786361:WBZ786385 WLV786361:WLV786385 WVR786361:WVR786385 J851955:J851979 JF851897:JF851921 TB851897:TB851921 ACX851897:ACX851921 AMT851897:AMT851921 AWP851897:AWP851921 BGL851897:BGL851921 BQH851897:BQH851921 CAD851897:CAD851921 CJZ851897:CJZ851921 CTV851897:CTV851921 DDR851897:DDR851921 DNN851897:DNN851921 DXJ851897:DXJ851921 EHF851897:EHF851921 ERB851897:ERB851921 FAX851897:FAX851921 FKT851897:FKT851921 FUP851897:FUP851921 GEL851897:GEL851921 GOH851897:GOH851921 GYD851897:GYD851921 HHZ851897:HHZ851921 HRV851897:HRV851921 IBR851897:IBR851921 ILN851897:ILN851921 IVJ851897:IVJ851921 JFF851897:JFF851921 JPB851897:JPB851921 JYX851897:JYX851921 KIT851897:KIT851921 KSP851897:KSP851921 LCL851897:LCL851921 LMH851897:LMH851921 LWD851897:LWD851921 MFZ851897:MFZ851921 MPV851897:MPV851921 MZR851897:MZR851921 NJN851897:NJN851921 NTJ851897:NTJ851921 ODF851897:ODF851921 ONB851897:ONB851921 OWX851897:OWX851921 PGT851897:PGT851921 PQP851897:PQP851921 QAL851897:QAL851921 QKH851897:QKH851921 QUD851897:QUD851921 RDZ851897:RDZ851921 RNV851897:RNV851921 RXR851897:RXR851921 SHN851897:SHN851921 SRJ851897:SRJ851921 TBF851897:TBF851921 TLB851897:TLB851921 TUX851897:TUX851921 UET851897:UET851921 UOP851897:UOP851921 UYL851897:UYL851921 VIH851897:VIH851921 VSD851897:VSD851921 WBZ851897:WBZ851921 WLV851897:WLV851921 WVR851897:WVR851921 J917491:J917515 JF917433:JF917457 TB917433:TB917457 ACX917433:ACX917457 AMT917433:AMT917457 AWP917433:AWP917457 BGL917433:BGL917457 BQH917433:BQH917457 CAD917433:CAD917457 CJZ917433:CJZ917457 CTV917433:CTV917457 DDR917433:DDR917457 DNN917433:DNN917457 DXJ917433:DXJ917457 EHF917433:EHF917457 ERB917433:ERB917457 FAX917433:FAX917457 FKT917433:FKT917457 FUP917433:FUP917457 GEL917433:GEL917457 GOH917433:GOH917457 GYD917433:GYD917457 HHZ917433:HHZ917457 HRV917433:HRV917457 IBR917433:IBR917457 ILN917433:ILN917457 IVJ917433:IVJ917457 JFF917433:JFF917457 JPB917433:JPB917457 JYX917433:JYX917457 KIT917433:KIT917457 KSP917433:KSP917457 LCL917433:LCL917457 LMH917433:LMH917457 LWD917433:LWD917457 MFZ917433:MFZ917457 MPV917433:MPV917457 MZR917433:MZR917457 NJN917433:NJN917457 NTJ917433:NTJ917457 ODF917433:ODF917457 ONB917433:ONB917457 OWX917433:OWX917457 PGT917433:PGT917457 PQP917433:PQP917457 QAL917433:QAL917457 QKH917433:QKH917457 QUD917433:QUD917457 RDZ917433:RDZ917457 RNV917433:RNV917457 RXR917433:RXR917457 SHN917433:SHN917457 SRJ917433:SRJ917457 TBF917433:TBF917457 TLB917433:TLB917457 TUX917433:TUX917457 UET917433:UET917457 UOP917433:UOP917457 UYL917433:UYL917457 VIH917433:VIH917457 VSD917433:VSD917457 WBZ917433:WBZ917457 WLV917433:WLV917457 WVR917433:WVR917457 J983027:J983051 JF982969:JF982993 TB982969:TB982993 ACX982969:ACX982993 AMT982969:AMT982993 AWP982969:AWP982993 BGL982969:BGL982993 BQH982969:BQH982993 CAD982969:CAD982993 CJZ982969:CJZ982993 CTV982969:CTV982993 DDR982969:DDR982993 DNN982969:DNN982993 DXJ982969:DXJ982993 EHF982969:EHF982993 ERB982969:ERB982993 FAX982969:FAX982993 FKT982969:FKT982993 FUP982969:FUP982993 GEL982969:GEL982993 GOH982969:GOH982993 GYD982969:GYD982993 HHZ982969:HHZ982993 HRV982969:HRV982993 IBR982969:IBR982993 ILN982969:ILN982993 IVJ982969:IVJ982993 JFF982969:JFF982993 JPB982969:JPB982993 JYX982969:JYX982993 KIT982969:KIT982993 KSP982969:KSP982993 LCL982969:LCL982993 LMH982969:LMH982993 LWD982969:LWD982993 MFZ982969:MFZ982993 MPV982969:MPV982993 MZR982969:MZR982993 NJN982969:NJN982993 NTJ982969:NTJ982993 ODF982969:ODF982993 ONB982969:ONB982993 OWX982969:OWX982993 PGT982969:PGT982993 PQP982969:PQP982993 QAL982969:QAL982993 QKH982969:QKH982993 QUD982969:QUD982993 RDZ982969:RDZ982993 RNV982969:RNV982993 RXR982969:RXR982993 SHN982969:SHN982993 SRJ982969:SRJ982993 TBF982969:TBF982993 TLB982969:TLB982993 TUX982969:TUX982993 UET982969:UET982993 UOP982969:UOP982993 UYL982969:UYL982993 VIH982969:VIH982993 VSD982969:VSD982993 WBZ982969:WBZ982993 WLV982969:WLV982993 JG10:JG1811 WVS10:WVS1811 WLW10:WLW1811 WCA10:WCA1811 VSE10:VSE1811 VII10:VII1811 UYM10:UYM1811 UOQ10:UOQ1811 UEU10:UEU1811 TUY10:TUY1811 TLC10:TLC1811 TBG10:TBG1811 SRK10:SRK1811 SHO10:SHO1811 RXS10:RXS1811 RNW10:RNW1811 REA10:REA1811 QUE10:QUE1811 QKI10:QKI1811 QAM10:QAM1811 PQQ10:PQQ1811 PGU10:PGU1811 OWY10:OWY1811 ONC10:ONC1811 ODG10:ODG1811 NTK10:NTK1811 NJO10:NJO1811 MZS10:MZS1811 MPW10:MPW1811 MGA10:MGA1811 LWE10:LWE1811 LMI10:LMI1811 LCM10:LCM1811 KSQ10:KSQ1811 KIU10:KIU1811 JYY10:JYY1811 JPC10:JPC1811 JFG10:JFG1811 IVK10:IVK1811 ILO10:ILO1811 IBS10:IBS1811 HRW10:HRW1811 HIA10:HIA1811 GYE10:GYE1811 GOI10:GOI1811 GEM10:GEM1811 FUQ10:FUQ1811 FKU10:FKU1811 FAY10:FAY1811 ERC10:ERC1811 EHG10:EHG1811 DXK10:DXK1811 DNO10:DNO1811 DDS10:DDS1811 CTW10:CTW1811 CKA10:CKA1811 CAE10:CAE1811 BQI10:BQI1811 BGM10:BGM1811 AWQ10:AWQ1811 AMU10:AMU1811 ACY10:ACY1811 TC10:TC1811" xr:uid="{00000000-0002-0000-2300-00000C000000}"/>
    <dataValidation allowBlank="1" showInputMessage="1" showErrorMessage="1" prompt="Enter the total number of units/days billed for the service code in column &quot;C&quot; for the month in review" sqref="WVP982969:WVP982993 H65552:H65576 JD65465:JD65489 SZ65465:SZ65489 ACV65465:ACV65489 AMR65465:AMR65489 AWN65465:AWN65489 BGJ65465:BGJ65489 BQF65465:BQF65489 CAB65465:CAB65489 CJX65465:CJX65489 CTT65465:CTT65489 DDP65465:DDP65489 DNL65465:DNL65489 DXH65465:DXH65489 EHD65465:EHD65489 EQZ65465:EQZ65489 FAV65465:FAV65489 FKR65465:FKR65489 FUN65465:FUN65489 GEJ65465:GEJ65489 GOF65465:GOF65489 GYB65465:GYB65489 HHX65465:HHX65489 HRT65465:HRT65489 IBP65465:IBP65489 ILL65465:ILL65489 IVH65465:IVH65489 JFD65465:JFD65489 JOZ65465:JOZ65489 JYV65465:JYV65489 KIR65465:KIR65489 KSN65465:KSN65489 LCJ65465:LCJ65489 LMF65465:LMF65489 LWB65465:LWB65489 MFX65465:MFX65489 MPT65465:MPT65489 MZP65465:MZP65489 NJL65465:NJL65489 NTH65465:NTH65489 ODD65465:ODD65489 OMZ65465:OMZ65489 OWV65465:OWV65489 PGR65465:PGR65489 PQN65465:PQN65489 QAJ65465:QAJ65489 QKF65465:QKF65489 QUB65465:QUB65489 RDX65465:RDX65489 RNT65465:RNT65489 RXP65465:RXP65489 SHL65465:SHL65489 SRH65465:SRH65489 TBD65465:TBD65489 TKZ65465:TKZ65489 TUV65465:TUV65489 UER65465:UER65489 UON65465:UON65489 UYJ65465:UYJ65489 VIF65465:VIF65489 VSB65465:VSB65489 WBX65465:WBX65489 WLT65465:WLT65489 WVP65465:WVP65489 H131088:H131112 JD131001:JD131025 SZ131001:SZ131025 ACV131001:ACV131025 AMR131001:AMR131025 AWN131001:AWN131025 BGJ131001:BGJ131025 BQF131001:BQF131025 CAB131001:CAB131025 CJX131001:CJX131025 CTT131001:CTT131025 DDP131001:DDP131025 DNL131001:DNL131025 DXH131001:DXH131025 EHD131001:EHD131025 EQZ131001:EQZ131025 FAV131001:FAV131025 FKR131001:FKR131025 FUN131001:FUN131025 GEJ131001:GEJ131025 GOF131001:GOF131025 GYB131001:GYB131025 HHX131001:HHX131025 HRT131001:HRT131025 IBP131001:IBP131025 ILL131001:ILL131025 IVH131001:IVH131025 JFD131001:JFD131025 JOZ131001:JOZ131025 JYV131001:JYV131025 KIR131001:KIR131025 KSN131001:KSN131025 LCJ131001:LCJ131025 LMF131001:LMF131025 LWB131001:LWB131025 MFX131001:MFX131025 MPT131001:MPT131025 MZP131001:MZP131025 NJL131001:NJL131025 NTH131001:NTH131025 ODD131001:ODD131025 OMZ131001:OMZ131025 OWV131001:OWV131025 PGR131001:PGR131025 PQN131001:PQN131025 QAJ131001:QAJ131025 QKF131001:QKF131025 QUB131001:QUB131025 RDX131001:RDX131025 RNT131001:RNT131025 RXP131001:RXP131025 SHL131001:SHL131025 SRH131001:SRH131025 TBD131001:TBD131025 TKZ131001:TKZ131025 TUV131001:TUV131025 UER131001:UER131025 UON131001:UON131025 UYJ131001:UYJ131025 VIF131001:VIF131025 VSB131001:VSB131025 WBX131001:WBX131025 WLT131001:WLT131025 WVP131001:WVP131025 H196624:H196648 JD196537:JD196561 SZ196537:SZ196561 ACV196537:ACV196561 AMR196537:AMR196561 AWN196537:AWN196561 BGJ196537:BGJ196561 BQF196537:BQF196561 CAB196537:CAB196561 CJX196537:CJX196561 CTT196537:CTT196561 DDP196537:DDP196561 DNL196537:DNL196561 DXH196537:DXH196561 EHD196537:EHD196561 EQZ196537:EQZ196561 FAV196537:FAV196561 FKR196537:FKR196561 FUN196537:FUN196561 GEJ196537:GEJ196561 GOF196537:GOF196561 GYB196537:GYB196561 HHX196537:HHX196561 HRT196537:HRT196561 IBP196537:IBP196561 ILL196537:ILL196561 IVH196537:IVH196561 JFD196537:JFD196561 JOZ196537:JOZ196561 JYV196537:JYV196561 KIR196537:KIR196561 KSN196537:KSN196561 LCJ196537:LCJ196561 LMF196537:LMF196561 LWB196537:LWB196561 MFX196537:MFX196561 MPT196537:MPT196561 MZP196537:MZP196561 NJL196537:NJL196561 NTH196537:NTH196561 ODD196537:ODD196561 OMZ196537:OMZ196561 OWV196537:OWV196561 PGR196537:PGR196561 PQN196537:PQN196561 QAJ196537:QAJ196561 QKF196537:QKF196561 QUB196537:QUB196561 RDX196537:RDX196561 RNT196537:RNT196561 RXP196537:RXP196561 SHL196537:SHL196561 SRH196537:SRH196561 TBD196537:TBD196561 TKZ196537:TKZ196561 TUV196537:TUV196561 UER196537:UER196561 UON196537:UON196561 UYJ196537:UYJ196561 VIF196537:VIF196561 VSB196537:VSB196561 WBX196537:WBX196561 WLT196537:WLT196561 WVP196537:WVP196561 H262160:H262184 JD262073:JD262097 SZ262073:SZ262097 ACV262073:ACV262097 AMR262073:AMR262097 AWN262073:AWN262097 BGJ262073:BGJ262097 BQF262073:BQF262097 CAB262073:CAB262097 CJX262073:CJX262097 CTT262073:CTT262097 DDP262073:DDP262097 DNL262073:DNL262097 DXH262073:DXH262097 EHD262073:EHD262097 EQZ262073:EQZ262097 FAV262073:FAV262097 FKR262073:FKR262097 FUN262073:FUN262097 GEJ262073:GEJ262097 GOF262073:GOF262097 GYB262073:GYB262097 HHX262073:HHX262097 HRT262073:HRT262097 IBP262073:IBP262097 ILL262073:ILL262097 IVH262073:IVH262097 JFD262073:JFD262097 JOZ262073:JOZ262097 JYV262073:JYV262097 KIR262073:KIR262097 KSN262073:KSN262097 LCJ262073:LCJ262097 LMF262073:LMF262097 LWB262073:LWB262097 MFX262073:MFX262097 MPT262073:MPT262097 MZP262073:MZP262097 NJL262073:NJL262097 NTH262073:NTH262097 ODD262073:ODD262097 OMZ262073:OMZ262097 OWV262073:OWV262097 PGR262073:PGR262097 PQN262073:PQN262097 QAJ262073:QAJ262097 QKF262073:QKF262097 QUB262073:QUB262097 RDX262073:RDX262097 RNT262073:RNT262097 RXP262073:RXP262097 SHL262073:SHL262097 SRH262073:SRH262097 TBD262073:TBD262097 TKZ262073:TKZ262097 TUV262073:TUV262097 UER262073:UER262097 UON262073:UON262097 UYJ262073:UYJ262097 VIF262073:VIF262097 VSB262073:VSB262097 WBX262073:WBX262097 WLT262073:WLT262097 WVP262073:WVP262097 H327696:H327720 JD327609:JD327633 SZ327609:SZ327633 ACV327609:ACV327633 AMR327609:AMR327633 AWN327609:AWN327633 BGJ327609:BGJ327633 BQF327609:BQF327633 CAB327609:CAB327633 CJX327609:CJX327633 CTT327609:CTT327633 DDP327609:DDP327633 DNL327609:DNL327633 DXH327609:DXH327633 EHD327609:EHD327633 EQZ327609:EQZ327633 FAV327609:FAV327633 FKR327609:FKR327633 FUN327609:FUN327633 GEJ327609:GEJ327633 GOF327609:GOF327633 GYB327609:GYB327633 HHX327609:HHX327633 HRT327609:HRT327633 IBP327609:IBP327633 ILL327609:ILL327633 IVH327609:IVH327633 JFD327609:JFD327633 JOZ327609:JOZ327633 JYV327609:JYV327633 KIR327609:KIR327633 KSN327609:KSN327633 LCJ327609:LCJ327633 LMF327609:LMF327633 LWB327609:LWB327633 MFX327609:MFX327633 MPT327609:MPT327633 MZP327609:MZP327633 NJL327609:NJL327633 NTH327609:NTH327633 ODD327609:ODD327633 OMZ327609:OMZ327633 OWV327609:OWV327633 PGR327609:PGR327633 PQN327609:PQN327633 QAJ327609:QAJ327633 QKF327609:QKF327633 QUB327609:QUB327633 RDX327609:RDX327633 RNT327609:RNT327633 RXP327609:RXP327633 SHL327609:SHL327633 SRH327609:SRH327633 TBD327609:TBD327633 TKZ327609:TKZ327633 TUV327609:TUV327633 UER327609:UER327633 UON327609:UON327633 UYJ327609:UYJ327633 VIF327609:VIF327633 VSB327609:VSB327633 WBX327609:WBX327633 WLT327609:WLT327633 WVP327609:WVP327633 H393232:H393256 JD393145:JD393169 SZ393145:SZ393169 ACV393145:ACV393169 AMR393145:AMR393169 AWN393145:AWN393169 BGJ393145:BGJ393169 BQF393145:BQF393169 CAB393145:CAB393169 CJX393145:CJX393169 CTT393145:CTT393169 DDP393145:DDP393169 DNL393145:DNL393169 DXH393145:DXH393169 EHD393145:EHD393169 EQZ393145:EQZ393169 FAV393145:FAV393169 FKR393145:FKR393169 FUN393145:FUN393169 GEJ393145:GEJ393169 GOF393145:GOF393169 GYB393145:GYB393169 HHX393145:HHX393169 HRT393145:HRT393169 IBP393145:IBP393169 ILL393145:ILL393169 IVH393145:IVH393169 JFD393145:JFD393169 JOZ393145:JOZ393169 JYV393145:JYV393169 KIR393145:KIR393169 KSN393145:KSN393169 LCJ393145:LCJ393169 LMF393145:LMF393169 LWB393145:LWB393169 MFX393145:MFX393169 MPT393145:MPT393169 MZP393145:MZP393169 NJL393145:NJL393169 NTH393145:NTH393169 ODD393145:ODD393169 OMZ393145:OMZ393169 OWV393145:OWV393169 PGR393145:PGR393169 PQN393145:PQN393169 QAJ393145:QAJ393169 QKF393145:QKF393169 QUB393145:QUB393169 RDX393145:RDX393169 RNT393145:RNT393169 RXP393145:RXP393169 SHL393145:SHL393169 SRH393145:SRH393169 TBD393145:TBD393169 TKZ393145:TKZ393169 TUV393145:TUV393169 UER393145:UER393169 UON393145:UON393169 UYJ393145:UYJ393169 VIF393145:VIF393169 VSB393145:VSB393169 WBX393145:WBX393169 WLT393145:WLT393169 WVP393145:WVP393169 H458768:H458792 JD458681:JD458705 SZ458681:SZ458705 ACV458681:ACV458705 AMR458681:AMR458705 AWN458681:AWN458705 BGJ458681:BGJ458705 BQF458681:BQF458705 CAB458681:CAB458705 CJX458681:CJX458705 CTT458681:CTT458705 DDP458681:DDP458705 DNL458681:DNL458705 DXH458681:DXH458705 EHD458681:EHD458705 EQZ458681:EQZ458705 FAV458681:FAV458705 FKR458681:FKR458705 FUN458681:FUN458705 GEJ458681:GEJ458705 GOF458681:GOF458705 GYB458681:GYB458705 HHX458681:HHX458705 HRT458681:HRT458705 IBP458681:IBP458705 ILL458681:ILL458705 IVH458681:IVH458705 JFD458681:JFD458705 JOZ458681:JOZ458705 JYV458681:JYV458705 KIR458681:KIR458705 KSN458681:KSN458705 LCJ458681:LCJ458705 LMF458681:LMF458705 LWB458681:LWB458705 MFX458681:MFX458705 MPT458681:MPT458705 MZP458681:MZP458705 NJL458681:NJL458705 NTH458681:NTH458705 ODD458681:ODD458705 OMZ458681:OMZ458705 OWV458681:OWV458705 PGR458681:PGR458705 PQN458681:PQN458705 QAJ458681:QAJ458705 QKF458681:QKF458705 QUB458681:QUB458705 RDX458681:RDX458705 RNT458681:RNT458705 RXP458681:RXP458705 SHL458681:SHL458705 SRH458681:SRH458705 TBD458681:TBD458705 TKZ458681:TKZ458705 TUV458681:TUV458705 UER458681:UER458705 UON458681:UON458705 UYJ458681:UYJ458705 VIF458681:VIF458705 VSB458681:VSB458705 WBX458681:WBX458705 WLT458681:WLT458705 WVP458681:WVP458705 H524304:H524328 JD524217:JD524241 SZ524217:SZ524241 ACV524217:ACV524241 AMR524217:AMR524241 AWN524217:AWN524241 BGJ524217:BGJ524241 BQF524217:BQF524241 CAB524217:CAB524241 CJX524217:CJX524241 CTT524217:CTT524241 DDP524217:DDP524241 DNL524217:DNL524241 DXH524217:DXH524241 EHD524217:EHD524241 EQZ524217:EQZ524241 FAV524217:FAV524241 FKR524217:FKR524241 FUN524217:FUN524241 GEJ524217:GEJ524241 GOF524217:GOF524241 GYB524217:GYB524241 HHX524217:HHX524241 HRT524217:HRT524241 IBP524217:IBP524241 ILL524217:ILL524241 IVH524217:IVH524241 JFD524217:JFD524241 JOZ524217:JOZ524241 JYV524217:JYV524241 KIR524217:KIR524241 KSN524217:KSN524241 LCJ524217:LCJ524241 LMF524217:LMF524241 LWB524217:LWB524241 MFX524217:MFX524241 MPT524217:MPT524241 MZP524217:MZP524241 NJL524217:NJL524241 NTH524217:NTH524241 ODD524217:ODD524241 OMZ524217:OMZ524241 OWV524217:OWV524241 PGR524217:PGR524241 PQN524217:PQN524241 QAJ524217:QAJ524241 QKF524217:QKF524241 QUB524217:QUB524241 RDX524217:RDX524241 RNT524217:RNT524241 RXP524217:RXP524241 SHL524217:SHL524241 SRH524217:SRH524241 TBD524217:TBD524241 TKZ524217:TKZ524241 TUV524217:TUV524241 UER524217:UER524241 UON524217:UON524241 UYJ524217:UYJ524241 VIF524217:VIF524241 VSB524217:VSB524241 WBX524217:WBX524241 WLT524217:WLT524241 WVP524217:WVP524241 H589840:H589864 JD589753:JD589777 SZ589753:SZ589777 ACV589753:ACV589777 AMR589753:AMR589777 AWN589753:AWN589777 BGJ589753:BGJ589777 BQF589753:BQF589777 CAB589753:CAB589777 CJX589753:CJX589777 CTT589753:CTT589777 DDP589753:DDP589777 DNL589753:DNL589777 DXH589753:DXH589777 EHD589753:EHD589777 EQZ589753:EQZ589777 FAV589753:FAV589777 FKR589753:FKR589777 FUN589753:FUN589777 GEJ589753:GEJ589777 GOF589753:GOF589777 GYB589753:GYB589777 HHX589753:HHX589777 HRT589753:HRT589777 IBP589753:IBP589777 ILL589753:ILL589777 IVH589753:IVH589777 JFD589753:JFD589777 JOZ589753:JOZ589777 JYV589753:JYV589777 KIR589753:KIR589777 KSN589753:KSN589777 LCJ589753:LCJ589777 LMF589753:LMF589777 LWB589753:LWB589777 MFX589753:MFX589777 MPT589753:MPT589777 MZP589753:MZP589777 NJL589753:NJL589777 NTH589753:NTH589777 ODD589753:ODD589777 OMZ589753:OMZ589777 OWV589753:OWV589777 PGR589753:PGR589777 PQN589753:PQN589777 QAJ589753:QAJ589777 QKF589753:QKF589777 QUB589753:QUB589777 RDX589753:RDX589777 RNT589753:RNT589777 RXP589753:RXP589777 SHL589753:SHL589777 SRH589753:SRH589777 TBD589753:TBD589777 TKZ589753:TKZ589777 TUV589753:TUV589777 UER589753:UER589777 UON589753:UON589777 UYJ589753:UYJ589777 VIF589753:VIF589777 VSB589753:VSB589777 WBX589753:WBX589777 WLT589753:WLT589777 WVP589753:WVP589777 H655376:H655400 JD655289:JD655313 SZ655289:SZ655313 ACV655289:ACV655313 AMR655289:AMR655313 AWN655289:AWN655313 BGJ655289:BGJ655313 BQF655289:BQF655313 CAB655289:CAB655313 CJX655289:CJX655313 CTT655289:CTT655313 DDP655289:DDP655313 DNL655289:DNL655313 DXH655289:DXH655313 EHD655289:EHD655313 EQZ655289:EQZ655313 FAV655289:FAV655313 FKR655289:FKR655313 FUN655289:FUN655313 GEJ655289:GEJ655313 GOF655289:GOF655313 GYB655289:GYB655313 HHX655289:HHX655313 HRT655289:HRT655313 IBP655289:IBP655313 ILL655289:ILL655313 IVH655289:IVH655313 JFD655289:JFD655313 JOZ655289:JOZ655313 JYV655289:JYV655313 KIR655289:KIR655313 KSN655289:KSN655313 LCJ655289:LCJ655313 LMF655289:LMF655313 LWB655289:LWB655313 MFX655289:MFX655313 MPT655289:MPT655313 MZP655289:MZP655313 NJL655289:NJL655313 NTH655289:NTH655313 ODD655289:ODD655313 OMZ655289:OMZ655313 OWV655289:OWV655313 PGR655289:PGR655313 PQN655289:PQN655313 QAJ655289:QAJ655313 QKF655289:QKF655313 QUB655289:QUB655313 RDX655289:RDX655313 RNT655289:RNT655313 RXP655289:RXP655313 SHL655289:SHL655313 SRH655289:SRH655313 TBD655289:TBD655313 TKZ655289:TKZ655313 TUV655289:TUV655313 UER655289:UER655313 UON655289:UON655313 UYJ655289:UYJ655313 VIF655289:VIF655313 VSB655289:VSB655313 WBX655289:WBX655313 WLT655289:WLT655313 WVP655289:WVP655313 H720912:H720936 JD720825:JD720849 SZ720825:SZ720849 ACV720825:ACV720849 AMR720825:AMR720849 AWN720825:AWN720849 BGJ720825:BGJ720849 BQF720825:BQF720849 CAB720825:CAB720849 CJX720825:CJX720849 CTT720825:CTT720849 DDP720825:DDP720849 DNL720825:DNL720849 DXH720825:DXH720849 EHD720825:EHD720849 EQZ720825:EQZ720849 FAV720825:FAV720849 FKR720825:FKR720849 FUN720825:FUN720849 GEJ720825:GEJ720849 GOF720825:GOF720849 GYB720825:GYB720849 HHX720825:HHX720849 HRT720825:HRT720849 IBP720825:IBP720849 ILL720825:ILL720849 IVH720825:IVH720849 JFD720825:JFD720849 JOZ720825:JOZ720849 JYV720825:JYV720849 KIR720825:KIR720849 KSN720825:KSN720849 LCJ720825:LCJ720849 LMF720825:LMF720849 LWB720825:LWB720849 MFX720825:MFX720849 MPT720825:MPT720849 MZP720825:MZP720849 NJL720825:NJL720849 NTH720825:NTH720849 ODD720825:ODD720849 OMZ720825:OMZ720849 OWV720825:OWV720849 PGR720825:PGR720849 PQN720825:PQN720849 QAJ720825:QAJ720849 QKF720825:QKF720849 QUB720825:QUB720849 RDX720825:RDX720849 RNT720825:RNT720849 RXP720825:RXP720849 SHL720825:SHL720849 SRH720825:SRH720849 TBD720825:TBD720849 TKZ720825:TKZ720849 TUV720825:TUV720849 UER720825:UER720849 UON720825:UON720849 UYJ720825:UYJ720849 VIF720825:VIF720849 VSB720825:VSB720849 WBX720825:WBX720849 WLT720825:WLT720849 WVP720825:WVP720849 H786448:H786472 JD786361:JD786385 SZ786361:SZ786385 ACV786361:ACV786385 AMR786361:AMR786385 AWN786361:AWN786385 BGJ786361:BGJ786385 BQF786361:BQF786385 CAB786361:CAB786385 CJX786361:CJX786385 CTT786361:CTT786385 DDP786361:DDP786385 DNL786361:DNL786385 DXH786361:DXH786385 EHD786361:EHD786385 EQZ786361:EQZ786385 FAV786361:FAV786385 FKR786361:FKR786385 FUN786361:FUN786385 GEJ786361:GEJ786385 GOF786361:GOF786385 GYB786361:GYB786385 HHX786361:HHX786385 HRT786361:HRT786385 IBP786361:IBP786385 ILL786361:ILL786385 IVH786361:IVH786385 JFD786361:JFD786385 JOZ786361:JOZ786385 JYV786361:JYV786385 KIR786361:KIR786385 KSN786361:KSN786385 LCJ786361:LCJ786385 LMF786361:LMF786385 LWB786361:LWB786385 MFX786361:MFX786385 MPT786361:MPT786385 MZP786361:MZP786385 NJL786361:NJL786385 NTH786361:NTH786385 ODD786361:ODD786385 OMZ786361:OMZ786385 OWV786361:OWV786385 PGR786361:PGR786385 PQN786361:PQN786385 QAJ786361:QAJ786385 QKF786361:QKF786385 QUB786361:QUB786385 RDX786361:RDX786385 RNT786361:RNT786385 RXP786361:RXP786385 SHL786361:SHL786385 SRH786361:SRH786385 TBD786361:TBD786385 TKZ786361:TKZ786385 TUV786361:TUV786385 UER786361:UER786385 UON786361:UON786385 UYJ786361:UYJ786385 VIF786361:VIF786385 VSB786361:VSB786385 WBX786361:WBX786385 WLT786361:WLT786385 WVP786361:WVP786385 H851984:H852008 JD851897:JD851921 SZ851897:SZ851921 ACV851897:ACV851921 AMR851897:AMR851921 AWN851897:AWN851921 BGJ851897:BGJ851921 BQF851897:BQF851921 CAB851897:CAB851921 CJX851897:CJX851921 CTT851897:CTT851921 DDP851897:DDP851921 DNL851897:DNL851921 DXH851897:DXH851921 EHD851897:EHD851921 EQZ851897:EQZ851921 FAV851897:FAV851921 FKR851897:FKR851921 FUN851897:FUN851921 GEJ851897:GEJ851921 GOF851897:GOF851921 GYB851897:GYB851921 HHX851897:HHX851921 HRT851897:HRT851921 IBP851897:IBP851921 ILL851897:ILL851921 IVH851897:IVH851921 JFD851897:JFD851921 JOZ851897:JOZ851921 JYV851897:JYV851921 KIR851897:KIR851921 KSN851897:KSN851921 LCJ851897:LCJ851921 LMF851897:LMF851921 LWB851897:LWB851921 MFX851897:MFX851921 MPT851897:MPT851921 MZP851897:MZP851921 NJL851897:NJL851921 NTH851897:NTH851921 ODD851897:ODD851921 OMZ851897:OMZ851921 OWV851897:OWV851921 PGR851897:PGR851921 PQN851897:PQN851921 QAJ851897:QAJ851921 QKF851897:QKF851921 QUB851897:QUB851921 RDX851897:RDX851921 RNT851897:RNT851921 RXP851897:RXP851921 SHL851897:SHL851921 SRH851897:SRH851921 TBD851897:TBD851921 TKZ851897:TKZ851921 TUV851897:TUV851921 UER851897:UER851921 UON851897:UON851921 UYJ851897:UYJ851921 VIF851897:VIF851921 VSB851897:VSB851921 WBX851897:WBX851921 WLT851897:WLT851921 WVP851897:WVP851921 H917520:H917544 JD917433:JD917457 SZ917433:SZ917457 ACV917433:ACV917457 AMR917433:AMR917457 AWN917433:AWN917457 BGJ917433:BGJ917457 BQF917433:BQF917457 CAB917433:CAB917457 CJX917433:CJX917457 CTT917433:CTT917457 DDP917433:DDP917457 DNL917433:DNL917457 DXH917433:DXH917457 EHD917433:EHD917457 EQZ917433:EQZ917457 FAV917433:FAV917457 FKR917433:FKR917457 FUN917433:FUN917457 GEJ917433:GEJ917457 GOF917433:GOF917457 GYB917433:GYB917457 HHX917433:HHX917457 HRT917433:HRT917457 IBP917433:IBP917457 ILL917433:ILL917457 IVH917433:IVH917457 JFD917433:JFD917457 JOZ917433:JOZ917457 JYV917433:JYV917457 KIR917433:KIR917457 KSN917433:KSN917457 LCJ917433:LCJ917457 LMF917433:LMF917457 LWB917433:LWB917457 MFX917433:MFX917457 MPT917433:MPT917457 MZP917433:MZP917457 NJL917433:NJL917457 NTH917433:NTH917457 ODD917433:ODD917457 OMZ917433:OMZ917457 OWV917433:OWV917457 PGR917433:PGR917457 PQN917433:PQN917457 QAJ917433:QAJ917457 QKF917433:QKF917457 QUB917433:QUB917457 RDX917433:RDX917457 RNT917433:RNT917457 RXP917433:RXP917457 SHL917433:SHL917457 SRH917433:SRH917457 TBD917433:TBD917457 TKZ917433:TKZ917457 TUV917433:TUV917457 UER917433:UER917457 UON917433:UON917457 UYJ917433:UYJ917457 VIF917433:VIF917457 VSB917433:VSB917457 WBX917433:WBX917457 WLT917433:WLT917457 WVP917433:WVP917457 H983056:H983080 JD982969:JD982993 SZ982969:SZ982993 ACV982969:ACV982993 AMR982969:AMR982993 AWN982969:AWN982993 BGJ982969:BGJ982993 BQF982969:BQF982993 CAB982969:CAB982993 CJX982969:CJX982993 CTT982969:CTT982993 DDP982969:DDP982993 DNL982969:DNL982993 DXH982969:DXH982993 EHD982969:EHD982993 EQZ982969:EQZ982993 FAV982969:FAV982993 FKR982969:FKR982993 FUN982969:FUN982993 GEJ982969:GEJ982993 GOF982969:GOF982993 GYB982969:GYB982993 HHX982969:HHX982993 HRT982969:HRT982993 IBP982969:IBP982993 ILL982969:ILL982993 IVH982969:IVH982993 JFD982969:JFD982993 JOZ982969:JOZ982993 JYV982969:JYV982993 KIR982969:KIR982993 KSN982969:KSN982993 LCJ982969:LCJ982993 LMF982969:LMF982993 LWB982969:LWB982993 MFX982969:MFX982993 MPT982969:MPT982993 MZP982969:MZP982993 NJL982969:NJL982993 NTH982969:NTH982993 ODD982969:ODD982993 OMZ982969:OMZ982993 OWV982969:OWV982993 PGR982969:PGR982993 PQN982969:PQN982993 QAJ982969:QAJ982993 QKF982969:QKF982993 QUB982969:QUB982993 RDX982969:RDX982993 RNT982969:RNT982993 RXP982969:RXP982993 SHL982969:SHL982993 SRH982969:SRH982993 TBD982969:TBD982993 TKZ982969:TKZ982993 TUV982969:TUV982993 UER982969:UER982993 UON982969:UON982993 UYJ982969:UYJ982993 VIF982969:VIF982993 VSB982969:VSB982993 WBX982969:WBX982993 WLT982969:WLT982993 JE10:JE1811 WVQ10:WVQ1811 WLU10:WLU1811 WBY10:WBY1811 VSC10:VSC1811 VIG10:VIG1811 UYK10:UYK1811 UOO10:UOO1811 UES10:UES1811 TUW10:TUW1811 TLA10:TLA1811 TBE10:TBE1811 SRI10:SRI1811 SHM10:SHM1811 RXQ10:RXQ1811 RNU10:RNU1811 RDY10:RDY1811 QUC10:QUC1811 QKG10:QKG1811 QAK10:QAK1811 PQO10:PQO1811 PGS10:PGS1811 OWW10:OWW1811 ONA10:ONA1811 ODE10:ODE1811 NTI10:NTI1811 NJM10:NJM1811 MZQ10:MZQ1811 MPU10:MPU1811 MFY10:MFY1811 LWC10:LWC1811 LMG10:LMG1811 LCK10:LCK1811 KSO10:KSO1811 KIS10:KIS1811 JYW10:JYW1811 JPA10:JPA1811 JFE10:JFE1811 IVI10:IVI1811 ILM10:ILM1811 IBQ10:IBQ1811 HRU10:HRU1811 HHY10:HHY1811 GYC10:GYC1811 GOG10:GOG1811 GEK10:GEK1811 FUO10:FUO1811 FKS10:FKS1811 FAW10:FAW1811 ERA10:ERA1811 EHE10:EHE1811 DXI10:DXI1811 DNM10:DNM1811 DDQ10:DDQ1811 CTU10:CTU1811 CJY10:CJY1811 CAC10:CAC1811 BQG10:BQG1811 BGK10:BGK1811 AWO10:AWO1811 AMS10:AMS1811 ACW10:ACW1811 TA10:TA1811" xr:uid="{00000000-0002-0000-2300-00000D000000}"/>
    <dataValidation allowBlank="1" showInputMessage="1" showErrorMessage="1" prompt="Enter the number of days in the month of review" sqref="WVO982969:WVO982993 G65552:G65576 JC65465:JC65489 SY65465:SY65489 ACU65465:ACU65489 AMQ65465:AMQ65489 AWM65465:AWM65489 BGI65465:BGI65489 BQE65465:BQE65489 CAA65465:CAA65489 CJW65465:CJW65489 CTS65465:CTS65489 DDO65465:DDO65489 DNK65465:DNK65489 DXG65465:DXG65489 EHC65465:EHC65489 EQY65465:EQY65489 FAU65465:FAU65489 FKQ65465:FKQ65489 FUM65465:FUM65489 GEI65465:GEI65489 GOE65465:GOE65489 GYA65465:GYA65489 HHW65465:HHW65489 HRS65465:HRS65489 IBO65465:IBO65489 ILK65465:ILK65489 IVG65465:IVG65489 JFC65465:JFC65489 JOY65465:JOY65489 JYU65465:JYU65489 KIQ65465:KIQ65489 KSM65465:KSM65489 LCI65465:LCI65489 LME65465:LME65489 LWA65465:LWA65489 MFW65465:MFW65489 MPS65465:MPS65489 MZO65465:MZO65489 NJK65465:NJK65489 NTG65465:NTG65489 ODC65465:ODC65489 OMY65465:OMY65489 OWU65465:OWU65489 PGQ65465:PGQ65489 PQM65465:PQM65489 QAI65465:QAI65489 QKE65465:QKE65489 QUA65465:QUA65489 RDW65465:RDW65489 RNS65465:RNS65489 RXO65465:RXO65489 SHK65465:SHK65489 SRG65465:SRG65489 TBC65465:TBC65489 TKY65465:TKY65489 TUU65465:TUU65489 UEQ65465:UEQ65489 UOM65465:UOM65489 UYI65465:UYI65489 VIE65465:VIE65489 VSA65465:VSA65489 WBW65465:WBW65489 WLS65465:WLS65489 WVO65465:WVO65489 G131088:G131112 JC131001:JC131025 SY131001:SY131025 ACU131001:ACU131025 AMQ131001:AMQ131025 AWM131001:AWM131025 BGI131001:BGI131025 BQE131001:BQE131025 CAA131001:CAA131025 CJW131001:CJW131025 CTS131001:CTS131025 DDO131001:DDO131025 DNK131001:DNK131025 DXG131001:DXG131025 EHC131001:EHC131025 EQY131001:EQY131025 FAU131001:FAU131025 FKQ131001:FKQ131025 FUM131001:FUM131025 GEI131001:GEI131025 GOE131001:GOE131025 GYA131001:GYA131025 HHW131001:HHW131025 HRS131001:HRS131025 IBO131001:IBO131025 ILK131001:ILK131025 IVG131001:IVG131025 JFC131001:JFC131025 JOY131001:JOY131025 JYU131001:JYU131025 KIQ131001:KIQ131025 KSM131001:KSM131025 LCI131001:LCI131025 LME131001:LME131025 LWA131001:LWA131025 MFW131001:MFW131025 MPS131001:MPS131025 MZO131001:MZO131025 NJK131001:NJK131025 NTG131001:NTG131025 ODC131001:ODC131025 OMY131001:OMY131025 OWU131001:OWU131025 PGQ131001:PGQ131025 PQM131001:PQM131025 QAI131001:QAI131025 QKE131001:QKE131025 QUA131001:QUA131025 RDW131001:RDW131025 RNS131001:RNS131025 RXO131001:RXO131025 SHK131001:SHK131025 SRG131001:SRG131025 TBC131001:TBC131025 TKY131001:TKY131025 TUU131001:TUU131025 UEQ131001:UEQ131025 UOM131001:UOM131025 UYI131001:UYI131025 VIE131001:VIE131025 VSA131001:VSA131025 WBW131001:WBW131025 WLS131001:WLS131025 WVO131001:WVO131025 G196624:G196648 JC196537:JC196561 SY196537:SY196561 ACU196537:ACU196561 AMQ196537:AMQ196561 AWM196537:AWM196561 BGI196537:BGI196561 BQE196537:BQE196561 CAA196537:CAA196561 CJW196537:CJW196561 CTS196537:CTS196561 DDO196537:DDO196561 DNK196537:DNK196561 DXG196537:DXG196561 EHC196537:EHC196561 EQY196537:EQY196561 FAU196537:FAU196561 FKQ196537:FKQ196561 FUM196537:FUM196561 GEI196537:GEI196561 GOE196537:GOE196561 GYA196537:GYA196561 HHW196537:HHW196561 HRS196537:HRS196561 IBO196537:IBO196561 ILK196537:ILK196561 IVG196537:IVG196561 JFC196537:JFC196561 JOY196537:JOY196561 JYU196537:JYU196561 KIQ196537:KIQ196561 KSM196537:KSM196561 LCI196537:LCI196561 LME196537:LME196561 LWA196537:LWA196561 MFW196537:MFW196561 MPS196537:MPS196561 MZO196537:MZO196561 NJK196537:NJK196561 NTG196537:NTG196561 ODC196537:ODC196561 OMY196537:OMY196561 OWU196537:OWU196561 PGQ196537:PGQ196561 PQM196537:PQM196561 QAI196537:QAI196561 QKE196537:QKE196561 QUA196537:QUA196561 RDW196537:RDW196561 RNS196537:RNS196561 RXO196537:RXO196561 SHK196537:SHK196561 SRG196537:SRG196561 TBC196537:TBC196561 TKY196537:TKY196561 TUU196537:TUU196561 UEQ196537:UEQ196561 UOM196537:UOM196561 UYI196537:UYI196561 VIE196537:VIE196561 VSA196537:VSA196561 WBW196537:WBW196561 WLS196537:WLS196561 WVO196537:WVO196561 G262160:G262184 JC262073:JC262097 SY262073:SY262097 ACU262073:ACU262097 AMQ262073:AMQ262097 AWM262073:AWM262097 BGI262073:BGI262097 BQE262073:BQE262097 CAA262073:CAA262097 CJW262073:CJW262097 CTS262073:CTS262097 DDO262073:DDO262097 DNK262073:DNK262097 DXG262073:DXG262097 EHC262073:EHC262097 EQY262073:EQY262097 FAU262073:FAU262097 FKQ262073:FKQ262097 FUM262073:FUM262097 GEI262073:GEI262097 GOE262073:GOE262097 GYA262073:GYA262097 HHW262073:HHW262097 HRS262073:HRS262097 IBO262073:IBO262097 ILK262073:ILK262097 IVG262073:IVG262097 JFC262073:JFC262097 JOY262073:JOY262097 JYU262073:JYU262097 KIQ262073:KIQ262097 KSM262073:KSM262097 LCI262073:LCI262097 LME262073:LME262097 LWA262073:LWA262097 MFW262073:MFW262097 MPS262073:MPS262097 MZO262073:MZO262097 NJK262073:NJK262097 NTG262073:NTG262097 ODC262073:ODC262097 OMY262073:OMY262097 OWU262073:OWU262097 PGQ262073:PGQ262097 PQM262073:PQM262097 QAI262073:QAI262097 QKE262073:QKE262097 QUA262073:QUA262097 RDW262073:RDW262097 RNS262073:RNS262097 RXO262073:RXO262097 SHK262073:SHK262097 SRG262073:SRG262097 TBC262073:TBC262097 TKY262073:TKY262097 TUU262073:TUU262097 UEQ262073:UEQ262097 UOM262073:UOM262097 UYI262073:UYI262097 VIE262073:VIE262097 VSA262073:VSA262097 WBW262073:WBW262097 WLS262073:WLS262097 WVO262073:WVO262097 G327696:G327720 JC327609:JC327633 SY327609:SY327633 ACU327609:ACU327633 AMQ327609:AMQ327633 AWM327609:AWM327633 BGI327609:BGI327633 BQE327609:BQE327633 CAA327609:CAA327633 CJW327609:CJW327633 CTS327609:CTS327633 DDO327609:DDO327633 DNK327609:DNK327633 DXG327609:DXG327633 EHC327609:EHC327633 EQY327609:EQY327633 FAU327609:FAU327633 FKQ327609:FKQ327633 FUM327609:FUM327633 GEI327609:GEI327633 GOE327609:GOE327633 GYA327609:GYA327633 HHW327609:HHW327633 HRS327609:HRS327633 IBO327609:IBO327633 ILK327609:ILK327633 IVG327609:IVG327633 JFC327609:JFC327633 JOY327609:JOY327633 JYU327609:JYU327633 KIQ327609:KIQ327633 KSM327609:KSM327633 LCI327609:LCI327633 LME327609:LME327633 LWA327609:LWA327633 MFW327609:MFW327633 MPS327609:MPS327633 MZO327609:MZO327633 NJK327609:NJK327633 NTG327609:NTG327633 ODC327609:ODC327633 OMY327609:OMY327633 OWU327609:OWU327633 PGQ327609:PGQ327633 PQM327609:PQM327633 QAI327609:QAI327633 QKE327609:QKE327633 QUA327609:QUA327633 RDW327609:RDW327633 RNS327609:RNS327633 RXO327609:RXO327633 SHK327609:SHK327633 SRG327609:SRG327633 TBC327609:TBC327633 TKY327609:TKY327633 TUU327609:TUU327633 UEQ327609:UEQ327633 UOM327609:UOM327633 UYI327609:UYI327633 VIE327609:VIE327633 VSA327609:VSA327633 WBW327609:WBW327633 WLS327609:WLS327633 WVO327609:WVO327633 G393232:G393256 JC393145:JC393169 SY393145:SY393169 ACU393145:ACU393169 AMQ393145:AMQ393169 AWM393145:AWM393169 BGI393145:BGI393169 BQE393145:BQE393169 CAA393145:CAA393169 CJW393145:CJW393169 CTS393145:CTS393169 DDO393145:DDO393169 DNK393145:DNK393169 DXG393145:DXG393169 EHC393145:EHC393169 EQY393145:EQY393169 FAU393145:FAU393169 FKQ393145:FKQ393169 FUM393145:FUM393169 GEI393145:GEI393169 GOE393145:GOE393169 GYA393145:GYA393169 HHW393145:HHW393169 HRS393145:HRS393169 IBO393145:IBO393169 ILK393145:ILK393169 IVG393145:IVG393169 JFC393145:JFC393169 JOY393145:JOY393169 JYU393145:JYU393169 KIQ393145:KIQ393169 KSM393145:KSM393169 LCI393145:LCI393169 LME393145:LME393169 LWA393145:LWA393169 MFW393145:MFW393169 MPS393145:MPS393169 MZO393145:MZO393169 NJK393145:NJK393169 NTG393145:NTG393169 ODC393145:ODC393169 OMY393145:OMY393169 OWU393145:OWU393169 PGQ393145:PGQ393169 PQM393145:PQM393169 QAI393145:QAI393169 QKE393145:QKE393169 QUA393145:QUA393169 RDW393145:RDW393169 RNS393145:RNS393169 RXO393145:RXO393169 SHK393145:SHK393169 SRG393145:SRG393169 TBC393145:TBC393169 TKY393145:TKY393169 TUU393145:TUU393169 UEQ393145:UEQ393169 UOM393145:UOM393169 UYI393145:UYI393169 VIE393145:VIE393169 VSA393145:VSA393169 WBW393145:WBW393169 WLS393145:WLS393169 WVO393145:WVO393169 G458768:G458792 JC458681:JC458705 SY458681:SY458705 ACU458681:ACU458705 AMQ458681:AMQ458705 AWM458681:AWM458705 BGI458681:BGI458705 BQE458681:BQE458705 CAA458681:CAA458705 CJW458681:CJW458705 CTS458681:CTS458705 DDO458681:DDO458705 DNK458681:DNK458705 DXG458681:DXG458705 EHC458681:EHC458705 EQY458681:EQY458705 FAU458681:FAU458705 FKQ458681:FKQ458705 FUM458681:FUM458705 GEI458681:GEI458705 GOE458681:GOE458705 GYA458681:GYA458705 HHW458681:HHW458705 HRS458681:HRS458705 IBO458681:IBO458705 ILK458681:ILK458705 IVG458681:IVG458705 JFC458681:JFC458705 JOY458681:JOY458705 JYU458681:JYU458705 KIQ458681:KIQ458705 KSM458681:KSM458705 LCI458681:LCI458705 LME458681:LME458705 LWA458681:LWA458705 MFW458681:MFW458705 MPS458681:MPS458705 MZO458681:MZO458705 NJK458681:NJK458705 NTG458681:NTG458705 ODC458681:ODC458705 OMY458681:OMY458705 OWU458681:OWU458705 PGQ458681:PGQ458705 PQM458681:PQM458705 QAI458681:QAI458705 QKE458681:QKE458705 QUA458681:QUA458705 RDW458681:RDW458705 RNS458681:RNS458705 RXO458681:RXO458705 SHK458681:SHK458705 SRG458681:SRG458705 TBC458681:TBC458705 TKY458681:TKY458705 TUU458681:TUU458705 UEQ458681:UEQ458705 UOM458681:UOM458705 UYI458681:UYI458705 VIE458681:VIE458705 VSA458681:VSA458705 WBW458681:WBW458705 WLS458681:WLS458705 WVO458681:WVO458705 G524304:G524328 JC524217:JC524241 SY524217:SY524241 ACU524217:ACU524241 AMQ524217:AMQ524241 AWM524217:AWM524241 BGI524217:BGI524241 BQE524217:BQE524241 CAA524217:CAA524241 CJW524217:CJW524241 CTS524217:CTS524241 DDO524217:DDO524241 DNK524217:DNK524241 DXG524217:DXG524241 EHC524217:EHC524241 EQY524217:EQY524241 FAU524217:FAU524241 FKQ524217:FKQ524241 FUM524217:FUM524241 GEI524217:GEI524241 GOE524217:GOE524241 GYA524217:GYA524241 HHW524217:HHW524241 HRS524217:HRS524241 IBO524217:IBO524241 ILK524217:ILK524241 IVG524217:IVG524241 JFC524217:JFC524241 JOY524217:JOY524241 JYU524217:JYU524241 KIQ524217:KIQ524241 KSM524217:KSM524241 LCI524217:LCI524241 LME524217:LME524241 LWA524217:LWA524241 MFW524217:MFW524241 MPS524217:MPS524241 MZO524217:MZO524241 NJK524217:NJK524241 NTG524217:NTG524241 ODC524217:ODC524241 OMY524217:OMY524241 OWU524217:OWU524241 PGQ524217:PGQ524241 PQM524217:PQM524241 QAI524217:QAI524241 QKE524217:QKE524241 QUA524217:QUA524241 RDW524217:RDW524241 RNS524217:RNS524241 RXO524217:RXO524241 SHK524217:SHK524241 SRG524217:SRG524241 TBC524217:TBC524241 TKY524217:TKY524241 TUU524217:TUU524241 UEQ524217:UEQ524241 UOM524217:UOM524241 UYI524217:UYI524241 VIE524217:VIE524241 VSA524217:VSA524241 WBW524217:WBW524241 WLS524217:WLS524241 WVO524217:WVO524241 G589840:G589864 JC589753:JC589777 SY589753:SY589777 ACU589753:ACU589777 AMQ589753:AMQ589777 AWM589753:AWM589777 BGI589753:BGI589777 BQE589753:BQE589777 CAA589753:CAA589777 CJW589753:CJW589777 CTS589753:CTS589777 DDO589753:DDO589777 DNK589753:DNK589777 DXG589753:DXG589777 EHC589753:EHC589777 EQY589753:EQY589777 FAU589753:FAU589777 FKQ589753:FKQ589777 FUM589753:FUM589777 GEI589753:GEI589777 GOE589753:GOE589777 GYA589753:GYA589777 HHW589753:HHW589777 HRS589753:HRS589777 IBO589753:IBO589777 ILK589753:ILK589777 IVG589753:IVG589777 JFC589753:JFC589777 JOY589753:JOY589777 JYU589753:JYU589777 KIQ589753:KIQ589777 KSM589753:KSM589777 LCI589753:LCI589777 LME589753:LME589777 LWA589753:LWA589777 MFW589753:MFW589777 MPS589753:MPS589777 MZO589753:MZO589777 NJK589753:NJK589777 NTG589753:NTG589777 ODC589753:ODC589777 OMY589753:OMY589777 OWU589753:OWU589777 PGQ589753:PGQ589777 PQM589753:PQM589777 QAI589753:QAI589777 QKE589753:QKE589777 QUA589753:QUA589777 RDW589753:RDW589777 RNS589753:RNS589777 RXO589753:RXO589777 SHK589753:SHK589777 SRG589753:SRG589777 TBC589753:TBC589777 TKY589753:TKY589777 TUU589753:TUU589777 UEQ589753:UEQ589777 UOM589753:UOM589777 UYI589753:UYI589777 VIE589753:VIE589777 VSA589753:VSA589777 WBW589753:WBW589777 WLS589753:WLS589777 WVO589753:WVO589777 G655376:G655400 JC655289:JC655313 SY655289:SY655313 ACU655289:ACU655313 AMQ655289:AMQ655313 AWM655289:AWM655313 BGI655289:BGI655313 BQE655289:BQE655313 CAA655289:CAA655313 CJW655289:CJW655313 CTS655289:CTS655313 DDO655289:DDO655313 DNK655289:DNK655313 DXG655289:DXG655313 EHC655289:EHC655313 EQY655289:EQY655313 FAU655289:FAU655313 FKQ655289:FKQ655313 FUM655289:FUM655313 GEI655289:GEI655313 GOE655289:GOE655313 GYA655289:GYA655313 HHW655289:HHW655313 HRS655289:HRS655313 IBO655289:IBO655313 ILK655289:ILK655313 IVG655289:IVG655313 JFC655289:JFC655313 JOY655289:JOY655313 JYU655289:JYU655313 KIQ655289:KIQ655313 KSM655289:KSM655313 LCI655289:LCI655313 LME655289:LME655313 LWA655289:LWA655313 MFW655289:MFW655313 MPS655289:MPS655313 MZO655289:MZO655313 NJK655289:NJK655313 NTG655289:NTG655313 ODC655289:ODC655313 OMY655289:OMY655313 OWU655289:OWU655313 PGQ655289:PGQ655313 PQM655289:PQM655313 QAI655289:QAI655313 QKE655289:QKE655313 QUA655289:QUA655313 RDW655289:RDW655313 RNS655289:RNS655313 RXO655289:RXO655313 SHK655289:SHK655313 SRG655289:SRG655313 TBC655289:TBC655313 TKY655289:TKY655313 TUU655289:TUU655313 UEQ655289:UEQ655313 UOM655289:UOM655313 UYI655289:UYI655313 VIE655289:VIE655313 VSA655289:VSA655313 WBW655289:WBW655313 WLS655289:WLS655313 WVO655289:WVO655313 G720912:G720936 JC720825:JC720849 SY720825:SY720849 ACU720825:ACU720849 AMQ720825:AMQ720849 AWM720825:AWM720849 BGI720825:BGI720849 BQE720825:BQE720849 CAA720825:CAA720849 CJW720825:CJW720849 CTS720825:CTS720849 DDO720825:DDO720849 DNK720825:DNK720849 DXG720825:DXG720849 EHC720825:EHC720849 EQY720825:EQY720849 FAU720825:FAU720849 FKQ720825:FKQ720849 FUM720825:FUM720849 GEI720825:GEI720849 GOE720825:GOE720849 GYA720825:GYA720849 HHW720825:HHW720849 HRS720825:HRS720849 IBO720825:IBO720849 ILK720825:ILK720849 IVG720825:IVG720849 JFC720825:JFC720849 JOY720825:JOY720849 JYU720825:JYU720849 KIQ720825:KIQ720849 KSM720825:KSM720849 LCI720825:LCI720849 LME720825:LME720849 LWA720825:LWA720849 MFW720825:MFW720849 MPS720825:MPS720849 MZO720825:MZO720849 NJK720825:NJK720849 NTG720825:NTG720849 ODC720825:ODC720849 OMY720825:OMY720849 OWU720825:OWU720849 PGQ720825:PGQ720849 PQM720825:PQM720849 QAI720825:QAI720849 QKE720825:QKE720849 QUA720825:QUA720849 RDW720825:RDW720849 RNS720825:RNS720849 RXO720825:RXO720849 SHK720825:SHK720849 SRG720825:SRG720849 TBC720825:TBC720849 TKY720825:TKY720849 TUU720825:TUU720849 UEQ720825:UEQ720849 UOM720825:UOM720849 UYI720825:UYI720849 VIE720825:VIE720849 VSA720825:VSA720849 WBW720825:WBW720849 WLS720825:WLS720849 WVO720825:WVO720849 G786448:G786472 JC786361:JC786385 SY786361:SY786385 ACU786361:ACU786385 AMQ786361:AMQ786385 AWM786361:AWM786385 BGI786361:BGI786385 BQE786361:BQE786385 CAA786361:CAA786385 CJW786361:CJW786385 CTS786361:CTS786385 DDO786361:DDO786385 DNK786361:DNK786385 DXG786361:DXG786385 EHC786361:EHC786385 EQY786361:EQY786385 FAU786361:FAU786385 FKQ786361:FKQ786385 FUM786361:FUM786385 GEI786361:GEI786385 GOE786361:GOE786385 GYA786361:GYA786385 HHW786361:HHW786385 HRS786361:HRS786385 IBO786361:IBO786385 ILK786361:ILK786385 IVG786361:IVG786385 JFC786361:JFC786385 JOY786361:JOY786385 JYU786361:JYU786385 KIQ786361:KIQ786385 KSM786361:KSM786385 LCI786361:LCI786385 LME786361:LME786385 LWA786361:LWA786385 MFW786361:MFW786385 MPS786361:MPS786385 MZO786361:MZO786385 NJK786361:NJK786385 NTG786361:NTG786385 ODC786361:ODC786385 OMY786361:OMY786385 OWU786361:OWU786385 PGQ786361:PGQ786385 PQM786361:PQM786385 QAI786361:QAI786385 QKE786361:QKE786385 QUA786361:QUA786385 RDW786361:RDW786385 RNS786361:RNS786385 RXO786361:RXO786385 SHK786361:SHK786385 SRG786361:SRG786385 TBC786361:TBC786385 TKY786361:TKY786385 TUU786361:TUU786385 UEQ786361:UEQ786385 UOM786361:UOM786385 UYI786361:UYI786385 VIE786361:VIE786385 VSA786361:VSA786385 WBW786361:WBW786385 WLS786361:WLS786385 WVO786361:WVO786385 G851984:G852008 JC851897:JC851921 SY851897:SY851921 ACU851897:ACU851921 AMQ851897:AMQ851921 AWM851897:AWM851921 BGI851897:BGI851921 BQE851897:BQE851921 CAA851897:CAA851921 CJW851897:CJW851921 CTS851897:CTS851921 DDO851897:DDO851921 DNK851897:DNK851921 DXG851897:DXG851921 EHC851897:EHC851921 EQY851897:EQY851921 FAU851897:FAU851921 FKQ851897:FKQ851921 FUM851897:FUM851921 GEI851897:GEI851921 GOE851897:GOE851921 GYA851897:GYA851921 HHW851897:HHW851921 HRS851897:HRS851921 IBO851897:IBO851921 ILK851897:ILK851921 IVG851897:IVG851921 JFC851897:JFC851921 JOY851897:JOY851921 JYU851897:JYU851921 KIQ851897:KIQ851921 KSM851897:KSM851921 LCI851897:LCI851921 LME851897:LME851921 LWA851897:LWA851921 MFW851897:MFW851921 MPS851897:MPS851921 MZO851897:MZO851921 NJK851897:NJK851921 NTG851897:NTG851921 ODC851897:ODC851921 OMY851897:OMY851921 OWU851897:OWU851921 PGQ851897:PGQ851921 PQM851897:PQM851921 QAI851897:QAI851921 QKE851897:QKE851921 QUA851897:QUA851921 RDW851897:RDW851921 RNS851897:RNS851921 RXO851897:RXO851921 SHK851897:SHK851921 SRG851897:SRG851921 TBC851897:TBC851921 TKY851897:TKY851921 TUU851897:TUU851921 UEQ851897:UEQ851921 UOM851897:UOM851921 UYI851897:UYI851921 VIE851897:VIE851921 VSA851897:VSA851921 WBW851897:WBW851921 WLS851897:WLS851921 WVO851897:WVO851921 G917520:G917544 JC917433:JC917457 SY917433:SY917457 ACU917433:ACU917457 AMQ917433:AMQ917457 AWM917433:AWM917457 BGI917433:BGI917457 BQE917433:BQE917457 CAA917433:CAA917457 CJW917433:CJW917457 CTS917433:CTS917457 DDO917433:DDO917457 DNK917433:DNK917457 DXG917433:DXG917457 EHC917433:EHC917457 EQY917433:EQY917457 FAU917433:FAU917457 FKQ917433:FKQ917457 FUM917433:FUM917457 GEI917433:GEI917457 GOE917433:GOE917457 GYA917433:GYA917457 HHW917433:HHW917457 HRS917433:HRS917457 IBO917433:IBO917457 ILK917433:ILK917457 IVG917433:IVG917457 JFC917433:JFC917457 JOY917433:JOY917457 JYU917433:JYU917457 KIQ917433:KIQ917457 KSM917433:KSM917457 LCI917433:LCI917457 LME917433:LME917457 LWA917433:LWA917457 MFW917433:MFW917457 MPS917433:MPS917457 MZO917433:MZO917457 NJK917433:NJK917457 NTG917433:NTG917457 ODC917433:ODC917457 OMY917433:OMY917457 OWU917433:OWU917457 PGQ917433:PGQ917457 PQM917433:PQM917457 QAI917433:QAI917457 QKE917433:QKE917457 QUA917433:QUA917457 RDW917433:RDW917457 RNS917433:RNS917457 RXO917433:RXO917457 SHK917433:SHK917457 SRG917433:SRG917457 TBC917433:TBC917457 TKY917433:TKY917457 TUU917433:TUU917457 UEQ917433:UEQ917457 UOM917433:UOM917457 UYI917433:UYI917457 VIE917433:VIE917457 VSA917433:VSA917457 WBW917433:WBW917457 WLS917433:WLS917457 WVO917433:WVO917457 G983056:G983080 JC982969:JC982993 SY982969:SY982993 ACU982969:ACU982993 AMQ982969:AMQ982993 AWM982969:AWM982993 BGI982969:BGI982993 BQE982969:BQE982993 CAA982969:CAA982993 CJW982969:CJW982993 CTS982969:CTS982993 DDO982969:DDO982993 DNK982969:DNK982993 DXG982969:DXG982993 EHC982969:EHC982993 EQY982969:EQY982993 FAU982969:FAU982993 FKQ982969:FKQ982993 FUM982969:FUM982993 GEI982969:GEI982993 GOE982969:GOE982993 GYA982969:GYA982993 HHW982969:HHW982993 HRS982969:HRS982993 IBO982969:IBO982993 ILK982969:ILK982993 IVG982969:IVG982993 JFC982969:JFC982993 JOY982969:JOY982993 JYU982969:JYU982993 KIQ982969:KIQ982993 KSM982969:KSM982993 LCI982969:LCI982993 LME982969:LME982993 LWA982969:LWA982993 MFW982969:MFW982993 MPS982969:MPS982993 MZO982969:MZO982993 NJK982969:NJK982993 NTG982969:NTG982993 ODC982969:ODC982993 OMY982969:OMY982993 OWU982969:OWU982993 PGQ982969:PGQ982993 PQM982969:PQM982993 QAI982969:QAI982993 QKE982969:QKE982993 QUA982969:QUA982993 RDW982969:RDW982993 RNS982969:RNS982993 RXO982969:RXO982993 SHK982969:SHK982993 SRG982969:SRG982993 TBC982969:TBC982993 TKY982969:TKY982993 TUU982969:TUU982993 UEQ982969:UEQ982993 UOM982969:UOM982993 UYI982969:UYI982993 VIE982969:VIE982993 VSA982969:VSA982993 WBW982969:WBW982993 WLS982969:WLS982993 JD10:JD1811 WVP10:WVP1811 WLT10:WLT1811 WBX10:WBX1811 VSB10:VSB1811 VIF10:VIF1811 UYJ10:UYJ1811 UON10:UON1811 UER10:UER1811 TUV10:TUV1811 TKZ10:TKZ1811 TBD10:TBD1811 SRH10:SRH1811 SHL10:SHL1811 RXP10:RXP1811 RNT10:RNT1811 RDX10:RDX1811 QUB10:QUB1811 QKF10:QKF1811 QAJ10:QAJ1811 PQN10:PQN1811 PGR10:PGR1811 OWV10:OWV1811 OMZ10:OMZ1811 ODD10:ODD1811 NTH10:NTH1811 NJL10:NJL1811 MZP10:MZP1811 MPT10:MPT1811 MFX10:MFX1811 LWB10:LWB1811 LMF10:LMF1811 LCJ10:LCJ1811 KSN10:KSN1811 KIR10:KIR1811 JYV10:JYV1811 JOZ10:JOZ1811 JFD10:JFD1811 IVH10:IVH1811 ILL10:ILL1811 IBP10:IBP1811 HRT10:HRT1811 HHX10:HHX1811 GYB10:GYB1811 GOF10:GOF1811 GEJ10:GEJ1811 FUN10:FUN1811 FKR10:FKR1811 FAV10:FAV1811 EQZ10:EQZ1811 EHD10:EHD1811 DXH10:DXH1811 DNL10:DNL1811 DDP10:DDP1811 CTT10:CTT1811 CJX10:CJX1811 CAB10:CAB1811 BQF10:BQF1811 BGJ10:BGJ1811 AWN10:AWN1811 AMR10:AMR1811 ACV10:ACV1811 SZ10:SZ1811" xr:uid="{00000000-0002-0000-2300-00000E000000}"/>
    <dataValidation allowBlank="1" showInputMessage="1" showErrorMessage="1" prompt="For the service code in column &quot;C&quot; enter the end date for the last 2 months of service during the review period and any month in which a break in service delivery took place" sqref="WVN982969:WVN982993 F65552:F65576 JB65465:JB65489 SX65465:SX65489 ACT65465:ACT65489 AMP65465:AMP65489 AWL65465:AWL65489 BGH65465:BGH65489 BQD65465:BQD65489 BZZ65465:BZZ65489 CJV65465:CJV65489 CTR65465:CTR65489 DDN65465:DDN65489 DNJ65465:DNJ65489 DXF65465:DXF65489 EHB65465:EHB65489 EQX65465:EQX65489 FAT65465:FAT65489 FKP65465:FKP65489 FUL65465:FUL65489 GEH65465:GEH65489 GOD65465:GOD65489 GXZ65465:GXZ65489 HHV65465:HHV65489 HRR65465:HRR65489 IBN65465:IBN65489 ILJ65465:ILJ65489 IVF65465:IVF65489 JFB65465:JFB65489 JOX65465:JOX65489 JYT65465:JYT65489 KIP65465:KIP65489 KSL65465:KSL65489 LCH65465:LCH65489 LMD65465:LMD65489 LVZ65465:LVZ65489 MFV65465:MFV65489 MPR65465:MPR65489 MZN65465:MZN65489 NJJ65465:NJJ65489 NTF65465:NTF65489 ODB65465:ODB65489 OMX65465:OMX65489 OWT65465:OWT65489 PGP65465:PGP65489 PQL65465:PQL65489 QAH65465:QAH65489 QKD65465:QKD65489 QTZ65465:QTZ65489 RDV65465:RDV65489 RNR65465:RNR65489 RXN65465:RXN65489 SHJ65465:SHJ65489 SRF65465:SRF65489 TBB65465:TBB65489 TKX65465:TKX65489 TUT65465:TUT65489 UEP65465:UEP65489 UOL65465:UOL65489 UYH65465:UYH65489 VID65465:VID65489 VRZ65465:VRZ65489 WBV65465:WBV65489 WLR65465:WLR65489 WVN65465:WVN65489 F131088:F131112 JB131001:JB131025 SX131001:SX131025 ACT131001:ACT131025 AMP131001:AMP131025 AWL131001:AWL131025 BGH131001:BGH131025 BQD131001:BQD131025 BZZ131001:BZZ131025 CJV131001:CJV131025 CTR131001:CTR131025 DDN131001:DDN131025 DNJ131001:DNJ131025 DXF131001:DXF131025 EHB131001:EHB131025 EQX131001:EQX131025 FAT131001:FAT131025 FKP131001:FKP131025 FUL131001:FUL131025 GEH131001:GEH131025 GOD131001:GOD131025 GXZ131001:GXZ131025 HHV131001:HHV131025 HRR131001:HRR131025 IBN131001:IBN131025 ILJ131001:ILJ131025 IVF131001:IVF131025 JFB131001:JFB131025 JOX131001:JOX131025 JYT131001:JYT131025 KIP131001:KIP131025 KSL131001:KSL131025 LCH131001:LCH131025 LMD131001:LMD131025 LVZ131001:LVZ131025 MFV131001:MFV131025 MPR131001:MPR131025 MZN131001:MZN131025 NJJ131001:NJJ131025 NTF131001:NTF131025 ODB131001:ODB131025 OMX131001:OMX131025 OWT131001:OWT131025 PGP131001:PGP131025 PQL131001:PQL131025 QAH131001:QAH131025 QKD131001:QKD131025 QTZ131001:QTZ131025 RDV131001:RDV131025 RNR131001:RNR131025 RXN131001:RXN131025 SHJ131001:SHJ131025 SRF131001:SRF131025 TBB131001:TBB131025 TKX131001:TKX131025 TUT131001:TUT131025 UEP131001:UEP131025 UOL131001:UOL131025 UYH131001:UYH131025 VID131001:VID131025 VRZ131001:VRZ131025 WBV131001:WBV131025 WLR131001:WLR131025 WVN131001:WVN131025 F196624:F196648 JB196537:JB196561 SX196537:SX196561 ACT196537:ACT196561 AMP196537:AMP196561 AWL196537:AWL196561 BGH196537:BGH196561 BQD196537:BQD196561 BZZ196537:BZZ196561 CJV196537:CJV196561 CTR196537:CTR196561 DDN196537:DDN196561 DNJ196537:DNJ196561 DXF196537:DXF196561 EHB196537:EHB196561 EQX196537:EQX196561 FAT196537:FAT196561 FKP196537:FKP196561 FUL196537:FUL196561 GEH196537:GEH196561 GOD196537:GOD196561 GXZ196537:GXZ196561 HHV196537:HHV196561 HRR196537:HRR196561 IBN196537:IBN196561 ILJ196537:ILJ196561 IVF196537:IVF196561 JFB196537:JFB196561 JOX196537:JOX196561 JYT196537:JYT196561 KIP196537:KIP196561 KSL196537:KSL196561 LCH196537:LCH196561 LMD196537:LMD196561 LVZ196537:LVZ196561 MFV196537:MFV196561 MPR196537:MPR196561 MZN196537:MZN196561 NJJ196537:NJJ196561 NTF196537:NTF196561 ODB196537:ODB196561 OMX196537:OMX196561 OWT196537:OWT196561 PGP196537:PGP196561 PQL196537:PQL196561 QAH196537:QAH196561 QKD196537:QKD196561 QTZ196537:QTZ196561 RDV196537:RDV196561 RNR196537:RNR196561 RXN196537:RXN196561 SHJ196537:SHJ196561 SRF196537:SRF196561 TBB196537:TBB196561 TKX196537:TKX196561 TUT196537:TUT196561 UEP196537:UEP196561 UOL196537:UOL196561 UYH196537:UYH196561 VID196537:VID196561 VRZ196537:VRZ196561 WBV196537:WBV196561 WLR196537:WLR196561 WVN196537:WVN196561 F262160:F262184 JB262073:JB262097 SX262073:SX262097 ACT262073:ACT262097 AMP262073:AMP262097 AWL262073:AWL262097 BGH262073:BGH262097 BQD262073:BQD262097 BZZ262073:BZZ262097 CJV262073:CJV262097 CTR262073:CTR262097 DDN262073:DDN262097 DNJ262073:DNJ262097 DXF262073:DXF262097 EHB262073:EHB262097 EQX262073:EQX262097 FAT262073:FAT262097 FKP262073:FKP262097 FUL262073:FUL262097 GEH262073:GEH262097 GOD262073:GOD262097 GXZ262073:GXZ262097 HHV262073:HHV262097 HRR262073:HRR262097 IBN262073:IBN262097 ILJ262073:ILJ262097 IVF262073:IVF262097 JFB262073:JFB262097 JOX262073:JOX262097 JYT262073:JYT262097 KIP262073:KIP262097 KSL262073:KSL262097 LCH262073:LCH262097 LMD262073:LMD262097 LVZ262073:LVZ262097 MFV262073:MFV262097 MPR262073:MPR262097 MZN262073:MZN262097 NJJ262073:NJJ262097 NTF262073:NTF262097 ODB262073:ODB262097 OMX262073:OMX262097 OWT262073:OWT262097 PGP262073:PGP262097 PQL262073:PQL262097 QAH262073:QAH262097 QKD262073:QKD262097 QTZ262073:QTZ262097 RDV262073:RDV262097 RNR262073:RNR262097 RXN262073:RXN262097 SHJ262073:SHJ262097 SRF262073:SRF262097 TBB262073:TBB262097 TKX262073:TKX262097 TUT262073:TUT262097 UEP262073:UEP262097 UOL262073:UOL262097 UYH262073:UYH262097 VID262073:VID262097 VRZ262073:VRZ262097 WBV262073:WBV262097 WLR262073:WLR262097 WVN262073:WVN262097 F327696:F327720 JB327609:JB327633 SX327609:SX327633 ACT327609:ACT327633 AMP327609:AMP327633 AWL327609:AWL327633 BGH327609:BGH327633 BQD327609:BQD327633 BZZ327609:BZZ327633 CJV327609:CJV327633 CTR327609:CTR327633 DDN327609:DDN327633 DNJ327609:DNJ327633 DXF327609:DXF327633 EHB327609:EHB327633 EQX327609:EQX327633 FAT327609:FAT327633 FKP327609:FKP327633 FUL327609:FUL327633 GEH327609:GEH327633 GOD327609:GOD327633 GXZ327609:GXZ327633 HHV327609:HHV327633 HRR327609:HRR327633 IBN327609:IBN327633 ILJ327609:ILJ327633 IVF327609:IVF327633 JFB327609:JFB327633 JOX327609:JOX327633 JYT327609:JYT327633 KIP327609:KIP327633 KSL327609:KSL327633 LCH327609:LCH327633 LMD327609:LMD327633 LVZ327609:LVZ327633 MFV327609:MFV327633 MPR327609:MPR327633 MZN327609:MZN327633 NJJ327609:NJJ327633 NTF327609:NTF327633 ODB327609:ODB327633 OMX327609:OMX327633 OWT327609:OWT327633 PGP327609:PGP327633 PQL327609:PQL327633 QAH327609:QAH327633 QKD327609:QKD327633 QTZ327609:QTZ327633 RDV327609:RDV327633 RNR327609:RNR327633 RXN327609:RXN327633 SHJ327609:SHJ327633 SRF327609:SRF327633 TBB327609:TBB327633 TKX327609:TKX327633 TUT327609:TUT327633 UEP327609:UEP327633 UOL327609:UOL327633 UYH327609:UYH327633 VID327609:VID327633 VRZ327609:VRZ327633 WBV327609:WBV327633 WLR327609:WLR327633 WVN327609:WVN327633 F393232:F393256 JB393145:JB393169 SX393145:SX393169 ACT393145:ACT393169 AMP393145:AMP393169 AWL393145:AWL393169 BGH393145:BGH393169 BQD393145:BQD393169 BZZ393145:BZZ393169 CJV393145:CJV393169 CTR393145:CTR393169 DDN393145:DDN393169 DNJ393145:DNJ393169 DXF393145:DXF393169 EHB393145:EHB393169 EQX393145:EQX393169 FAT393145:FAT393169 FKP393145:FKP393169 FUL393145:FUL393169 GEH393145:GEH393169 GOD393145:GOD393169 GXZ393145:GXZ393169 HHV393145:HHV393169 HRR393145:HRR393169 IBN393145:IBN393169 ILJ393145:ILJ393169 IVF393145:IVF393169 JFB393145:JFB393169 JOX393145:JOX393169 JYT393145:JYT393169 KIP393145:KIP393169 KSL393145:KSL393169 LCH393145:LCH393169 LMD393145:LMD393169 LVZ393145:LVZ393169 MFV393145:MFV393169 MPR393145:MPR393169 MZN393145:MZN393169 NJJ393145:NJJ393169 NTF393145:NTF393169 ODB393145:ODB393169 OMX393145:OMX393169 OWT393145:OWT393169 PGP393145:PGP393169 PQL393145:PQL393169 QAH393145:QAH393169 QKD393145:QKD393169 QTZ393145:QTZ393169 RDV393145:RDV393169 RNR393145:RNR393169 RXN393145:RXN393169 SHJ393145:SHJ393169 SRF393145:SRF393169 TBB393145:TBB393169 TKX393145:TKX393169 TUT393145:TUT393169 UEP393145:UEP393169 UOL393145:UOL393169 UYH393145:UYH393169 VID393145:VID393169 VRZ393145:VRZ393169 WBV393145:WBV393169 WLR393145:WLR393169 WVN393145:WVN393169 F458768:F458792 JB458681:JB458705 SX458681:SX458705 ACT458681:ACT458705 AMP458681:AMP458705 AWL458681:AWL458705 BGH458681:BGH458705 BQD458681:BQD458705 BZZ458681:BZZ458705 CJV458681:CJV458705 CTR458681:CTR458705 DDN458681:DDN458705 DNJ458681:DNJ458705 DXF458681:DXF458705 EHB458681:EHB458705 EQX458681:EQX458705 FAT458681:FAT458705 FKP458681:FKP458705 FUL458681:FUL458705 GEH458681:GEH458705 GOD458681:GOD458705 GXZ458681:GXZ458705 HHV458681:HHV458705 HRR458681:HRR458705 IBN458681:IBN458705 ILJ458681:ILJ458705 IVF458681:IVF458705 JFB458681:JFB458705 JOX458681:JOX458705 JYT458681:JYT458705 KIP458681:KIP458705 KSL458681:KSL458705 LCH458681:LCH458705 LMD458681:LMD458705 LVZ458681:LVZ458705 MFV458681:MFV458705 MPR458681:MPR458705 MZN458681:MZN458705 NJJ458681:NJJ458705 NTF458681:NTF458705 ODB458681:ODB458705 OMX458681:OMX458705 OWT458681:OWT458705 PGP458681:PGP458705 PQL458681:PQL458705 QAH458681:QAH458705 QKD458681:QKD458705 QTZ458681:QTZ458705 RDV458681:RDV458705 RNR458681:RNR458705 RXN458681:RXN458705 SHJ458681:SHJ458705 SRF458681:SRF458705 TBB458681:TBB458705 TKX458681:TKX458705 TUT458681:TUT458705 UEP458681:UEP458705 UOL458681:UOL458705 UYH458681:UYH458705 VID458681:VID458705 VRZ458681:VRZ458705 WBV458681:WBV458705 WLR458681:WLR458705 WVN458681:WVN458705 F524304:F524328 JB524217:JB524241 SX524217:SX524241 ACT524217:ACT524241 AMP524217:AMP524241 AWL524217:AWL524241 BGH524217:BGH524241 BQD524217:BQD524241 BZZ524217:BZZ524241 CJV524217:CJV524241 CTR524217:CTR524241 DDN524217:DDN524241 DNJ524217:DNJ524241 DXF524217:DXF524241 EHB524217:EHB524241 EQX524217:EQX524241 FAT524217:FAT524241 FKP524217:FKP524241 FUL524217:FUL524241 GEH524217:GEH524241 GOD524217:GOD524241 GXZ524217:GXZ524241 HHV524217:HHV524241 HRR524217:HRR524241 IBN524217:IBN524241 ILJ524217:ILJ524241 IVF524217:IVF524241 JFB524217:JFB524241 JOX524217:JOX524241 JYT524217:JYT524241 KIP524217:KIP524241 KSL524217:KSL524241 LCH524217:LCH524241 LMD524217:LMD524241 LVZ524217:LVZ524241 MFV524217:MFV524241 MPR524217:MPR524241 MZN524217:MZN524241 NJJ524217:NJJ524241 NTF524217:NTF524241 ODB524217:ODB524241 OMX524217:OMX524241 OWT524217:OWT524241 PGP524217:PGP524241 PQL524217:PQL524241 QAH524217:QAH524241 QKD524217:QKD524241 QTZ524217:QTZ524241 RDV524217:RDV524241 RNR524217:RNR524241 RXN524217:RXN524241 SHJ524217:SHJ524241 SRF524217:SRF524241 TBB524217:TBB524241 TKX524217:TKX524241 TUT524217:TUT524241 UEP524217:UEP524241 UOL524217:UOL524241 UYH524217:UYH524241 VID524217:VID524241 VRZ524217:VRZ524241 WBV524217:WBV524241 WLR524217:WLR524241 WVN524217:WVN524241 F589840:F589864 JB589753:JB589777 SX589753:SX589777 ACT589753:ACT589777 AMP589753:AMP589777 AWL589753:AWL589777 BGH589753:BGH589777 BQD589753:BQD589777 BZZ589753:BZZ589777 CJV589753:CJV589777 CTR589753:CTR589777 DDN589753:DDN589777 DNJ589753:DNJ589777 DXF589753:DXF589777 EHB589753:EHB589777 EQX589753:EQX589777 FAT589753:FAT589777 FKP589753:FKP589777 FUL589753:FUL589777 GEH589753:GEH589777 GOD589753:GOD589777 GXZ589753:GXZ589777 HHV589753:HHV589777 HRR589753:HRR589777 IBN589753:IBN589777 ILJ589753:ILJ589777 IVF589753:IVF589777 JFB589753:JFB589777 JOX589753:JOX589777 JYT589753:JYT589777 KIP589753:KIP589777 KSL589753:KSL589777 LCH589753:LCH589777 LMD589753:LMD589777 LVZ589753:LVZ589777 MFV589753:MFV589777 MPR589753:MPR589777 MZN589753:MZN589777 NJJ589753:NJJ589777 NTF589753:NTF589777 ODB589753:ODB589777 OMX589753:OMX589777 OWT589753:OWT589777 PGP589753:PGP589777 PQL589753:PQL589777 QAH589753:QAH589777 QKD589753:QKD589777 QTZ589753:QTZ589777 RDV589753:RDV589777 RNR589753:RNR589777 RXN589753:RXN589777 SHJ589753:SHJ589777 SRF589753:SRF589777 TBB589753:TBB589777 TKX589753:TKX589777 TUT589753:TUT589777 UEP589753:UEP589777 UOL589753:UOL589777 UYH589753:UYH589777 VID589753:VID589777 VRZ589753:VRZ589777 WBV589753:WBV589777 WLR589753:WLR589777 WVN589753:WVN589777 F655376:F655400 JB655289:JB655313 SX655289:SX655313 ACT655289:ACT655313 AMP655289:AMP655313 AWL655289:AWL655313 BGH655289:BGH655313 BQD655289:BQD655313 BZZ655289:BZZ655313 CJV655289:CJV655313 CTR655289:CTR655313 DDN655289:DDN655313 DNJ655289:DNJ655313 DXF655289:DXF655313 EHB655289:EHB655313 EQX655289:EQX655313 FAT655289:FAT655313 FKP655289:FKP655313 FUL655289:FUL655313 GEH655289:GEH655313 GOD655289:GOD655313 GXZ655289:GXZ655313 HHV655289:HHV655313 HRR655289:HRR655313 IBN655289:IBN655313 ILJ655289:ILJ655313 IVF655289:IVF655313 JFB655289:JFB655313 JOX655289:JOX655313 JYT655289:JYT655313 KIP655289:KIP655313 KSL655289:KSL655313 LCH655289:LCH655313 LMD655289:LMD655313 LVZ655289:LVZ655313 MFV655289:MFV655313 MPR655289:MPR655313 MZN655289:MZN655313 NJJ655289:NJJ655313 NTF655289:NTF655313 ODB655289:ODB655313 OMX655289:OMX655313 OWT655289:OWT655313 PGP655289:PGP655313 PQL655289:PQL655313 QAH655289:QAH655313 QKD655289:QKD655313 QTZ655289:QTZ655313 RDV655289:RDV655313 RNR655289:RNR655313 RXN655289:RXN655313 SHJ655289:SHJ655313 SRF655289:SRF655313 TBB655289:TBB655313 TKX655289:TKX655313 TUT655289:TUT655313 UEP655289:UEP655313 UOL655289:UOL655313 UYH655289:UYH655313 VID655289:VID655313 VRZ655289:VRZ655313 WBV655289:WBV655313 WLR655289:WLR655313 WVN655289:WVN655313 F720912:F720936 JB720825:JB720849 SX720825:SX720849 ACT720825:ACT720849 AMP720825:AMP720849 AWL720825:AWL720849 BGH720825:BGH720849 BQD720825:BQD720849 BZZ720825:BZZ720849 CJV720825:CJV720849 CTR720825:CTR720849 DDN720825:DDN720849 DNJ720825:DNJ720849 DXF720825:DXF720849 EHB720825:EHB720849 EQX720825:EQX720849 FAT720825:FAT720849 FKP720825:FKP720849 FUL720825:FUL720849 GEH720825:GEH720849 GOD720825:GOD720849 GXZ720825:GXZ720849 HHV720825:HHV720849 HRR720825:HRR720849 IBN720825:IBN720849 ILJ720825:ILJ720849 IVF720825:IVF720849 JFB720825:JFB720849 JOX720825:JOX720849 JYT720825:JYT720849 KIP720825:KIP720849 KSL720825:KSL720849 LCH720825:LCH720849 LMD720825:LMD720849 LVZ720825:LVZ720849 MFV720825:MFV720849 MPR720825:MPR720849 MZN720825:MZN720849 NJJ720825:NJJ720849 NTF720825:NTF720849 ODB720825:ODB720849 OMX720825:OMX720849 OWT720825:OWT720849 PGP720825:PGP720849 PQL720825:PQL720849 QAH720825:QAH720849 QKD720825:QKD720849 QTZ720825:QTZ720849 RDV720825:RDV720849 RNR720825:RNR720849 RXN720825:RXN720849 SHJ720825:SHJ720849 SRF720825:SRF720849 TBB720825:TBB720849 TKX720825:TKX720849 TUT720825:TUT720849 UEP720825:UEP720849 UOL720825:UOL720849 UYH720825:UYH720849 VID720825:VID720849 VRZ720825:VRZ720849 WBV720825:WBV720849 WLR720825:WLR720849 WVN720825:WVN720849 F786448:F786472 JB786361:JB786385 SX786361:SX786385 ACT786361:ACT786385 AMP786361:AMP786385 AWL786361:AWL786385 BGH786361:BGH786385 BQD786361:BQD786385 BZZ786361:BZZ786385 CJV786361:CJV786385 CTR786361:CTR786385 DDN786361:DDN786385 DNJ786361:DNJ786385 DXF786361:DXF786385 EHB786361:EHB786385 EQX786361:EQX786385 FAT786361:FAT786385 FKP786361:FKP786385 FUL786361:FUL786385 GEH786361:GEH786385 GOD786361:GOD786385 GXZ786361:GXZ786385 HHV786361:HHV786385 HRR786361:HRR786385 IBN786361:IBN786385 ILJ786361:ILJ786385 IVF786361:IVF786385 JFB786361:JFB786385 JOX786361:JOX786385 JYT786361:JYT786385 KIP786361:KIP786385 KSL786361:KSL786385 LCH786361:LCH786385 LMD786361:LMD786385 LVZ786361:LVZ786385 MFV786361:MFV786385 MPR786361:MPR786385 MZN786361:MZN786385 NJJ786361:NJJ786385 NTF786361:NTF786385 ODB786361:ODB786385 OMX786361:OMX786385 OWT786361:OWT786385 PGP786361:PGP786385 PQL786361:PQL786385 QAH786361:QAH786385 QKD786361:QKD786385 QTZ786361:QTZ786385 RDV786361:RDV786385 RNR786361:RNR786385 RXN786361:RXN786385 SHJ786361:SHJ786385 SRF786361:SRF786385 TBB786361:TBB786385 TKX786361:TKX786385 TUT786361:TUT786385 UEP786361:UEP786385 UOL786361:UOL786385 UYH786361:UYH786385 VID786361:VID786385 VRZ786361:VRZ786385 WBV786361:WBV786385 WLR786361:WLR786385 WVN786361:WVN786385 F851984:F852008 JB851897:JB851921 SX851897:SX851921 ACT851897:ACT851921 AMP851897:AMP851921 AWL851897:AWL851921 BGH851897:BGH851921 BQD851897:BQD851921 BZZ851897:BZZ851921 CJV851897:CJV851921 CTR851897:CTR851921 DDN851897:DDN851921 DNJ851897:DNJ851921 DXF851897:DXF851921 EHB851897:EHB851921 EQX851897:EQX851921 FAT851897:FAT851921 FKP851897:FKP851921 FUL851897:FUL851921 GEH851897:GEH851921 GOD851897:GOD851921 GXZ851897:GXZ851921 HHV851897:HHV851921 HRR851897:HRR851921 IBN851897:IBN851921 ILJ851897:ILJ851921 IVF851897:IVF851921 JFB851897:JFB851921 JOX851897:JOX851921 JYT851897:JYT851921 KIP851897:KIP851921 KSL851897:KSL851921 LCH851897:LCH851921 LMD851897:LMD851921 LVZ851897:LVZ851921 MFV851897:MFV851921 MPR851897:MPR851921 MZN851897:MZN851921 NJJ851897:NJJ851921 NTF851897:NTF851921 ODB851897:ODB851921 OMX851897:OMX851921 OWT851897:OWT851921 PGP851897:PGP851921 PQL851897:PQL851921 QAH851897:QAH851921 QKD851897:QKD851921 QTZ851897:QTZ851921 RDV851897:RDV851921 RNR851897:RNR851921 RXN851897:RXN851921 SHJ851897:SHJ851921 SRF851897:SRF851921 TBB851897:TBB851921 TKX851897:TKX851921 TUT851897:TUT851921 UEP851897:UEP851921 UOL851897:UOL851921 UYH851897:UYH851921 VID851897:VID851921 VRZ851897:VRZ851921 WBV851897:WBV851921 WLR851897:WLR851921 WVN851897:WVN851921 F917520:F917544 JB917433:JB917457 SX917433:SX917457 ACT917433:ACT917457 AMP917433:AMP917457 AWL917433:AWL917457 BGH917433:BGH917457 BQD917433:BQD917457 BZZ917433:BZZ917457 CJV917433:CJV917457 CTR917433:CTR917457 DDN917433:DDN917457 DNJ917433:DNJ917457 DXF917433:DXF917457 EHB917433:EHB917457 EQX917433:EQX917457 FAT917433:FAT917457 FKP917433:FKP917457 FUL917433:FUL917457 GEH917433:GEH917457 GOD917433:GOD917457 GXZ917433:GXZ917457 HHV917433:HHV917457 HRR917433:HRR917457 IBN917433:IBN917457 ILJ917433:ILJ917457 IVF917433:IVF917457 JFB917433:JFB917457 JOX917433:JOX917457 JYT917433:JYT917457 KIP917433:KIP917457 KSL917433:KSL917457 LCH917433:LCH917457 LMD917433:LMD917457 LVZ917433:LVZ917457 MFV917433:MFV917457 MPR917433:MPR917457 MZN917433:MZN917457 NJJ917433:NJJ917457 NTF917433:NTF917457 ODB917433:ODB917457 OMX917433:OMX917457 OWT917433:OWT917457 PGP917433:PGP917457 PQL917433:PQL917457 QAH917433:QAH917457 QKD917433:QKD917457 QTZ917433:QTZ917457 RDV917433:RDV917457 RNR917433:RNR917457 RXN917433:RXN917457 SHJ917433:SHJ917457 SRF917433:SRF917457 TBB917433:TBB917457 TKX917433:TKX917457 TUT917433:TUT917457 UEP917433:UEP917457 UOL917433:UOL917457 UYH917433:UYH917457 VID917433:VID917457 VRZ917433:VRZ917457 WBV917433:WBV917457 WLR917433:WLR917457 WVN917433:WVN917457 F983056:F983080 JB982969:JB982993 SX982969:SX982993 ACT982969:ACT982993 AMP982969:AMP982993 AWL982969:AWL982993 BGH982969:BGH982993 BQD982969:BQD982993 BZZ982969:BZZ982993 CJV982969:CJV982993 CTR982969:CTR982993 DDN982969:DDN982993 DNJ982969:DNJ982993 DXF982969:DXF982993 EHB982969:EHB982993 EQX982969:EQX982993 FAT982969:FAT982993 FKP982969:FKP982993 FUL982969:FUL982993 GEH982969:GEH982993 GOD982969:GOD982993 GXZ982969:GXZ982993 HHV982969:HHV982993 HRR982969:HRR982993 IBN982969:IBN982993 ILJ982969:ILJ982993 IVF982969:IVF982993 JFB982969:JFB982993 JOX982969:JOX982993 JYT982969:JYT982993 KIP982969:KIP982993 KSL982969:KSL982993 LCH982969:LCH982993 LMD982969:LMD982993 LVZ982969:LVZ982993 MFV982969:MFV982993 MPR982969:MPR982993 MZN982969:MZN982993 NJJ982969:NJJ982993 NTF982969:NTF982993 ODB982969:ODB982993 OMX982969:OMX982993 OWT982969:OWT982993 PGP982969:PGP982993 PQL982969:PQL982993 QAH982969:QAH982993 QKD982969:QKD982993 QTZ982969:QTZ982993 RDV982969:RDV982993 RNR982969:RNR982993 RXN982969:RXN982993 SHJ982969:SHJ982993 SRF982969:SRF982993 TBB982969:TBB982993 TKX982969:TKX982993 TUT982969:TUT982993 UEP982969:UEP982993 UOL982969:UOL982993 UYH982969:UYH982993 VID982969:VID982993 VRZ982969:VRZ982993 WBV982969:WBV982993 WLR982969:WLR982993 JC10:JC1811 WVO10:WVO1811 WLS10:WLS1811 WBW10:WBW1811 VSA10:VSA1811 VIE10:VIE1811 UYI10:UYI1811 UOM10:UOM1811 UEQ10:UEQ1811 TUU10:TUU1811 TKY10:TKY1811 TBC10:TBC1811 SRG10:SRG1811 SHK10:SHK1811 RXO10:RXO1811 RNS10:RNS1811 RDW10:RDW1811 QUA10:QUA1811 QKE10:QKE1811 QAI10:QAI1811 PQM10:PQM1811 PGQ10:PGQ1811 OWU10:OWU1811 OMY10:OMY1811 ODC10:ODC1811 NTG10:NTG1811 NJK10:NJK1811 MZO10:MZO1811 MPS10:MPS1811 MFW10:MFW1811 LWA10:LWA1811 LME10:LME1811 LCI10:LCI1811 KSM10:KSM1811 KIQ10:KIQ1811 JYU10:JYU1811 JOY10:JOY1811 JFC10:JFC1811 IVG10:IVG1811 ILK10:ILK1811 IBO10:IBO1811 HRS10:HRS1811 HHW10:HHW1811 GYA10:GYA1811 GOE10:GOE1811 GEI10:GEI1811 FUM10:FUM1811 FKQ10:FKQ1811 FAU10:FAU1811 EQY10:EQY1811 EHC10:EHC1811 DXG10:DXG1811 DNK10:DNK1811 DDO10:DDO1811 CTS10:CTS1811 CJW10:CJW1811 CAA10:CAA1811 BQE10:BQE1811 BGI10:BGI1811 AWM10:AWM1811 AMQ10:AMQ1811 ACU10:ACU1811 SY10:SY1811" xr:uid="{00000000-0002-0000-2300-00000F000000}"/>
    <dataValidation allowBlank="1" showInputMessage="1" showErrorMessage="1" prompt="For the service code in column &quot;C&quot; enter the begin date for the last 2 months of service during the review period and any month in which a break in service delivery took place" sqref="WVM982969:WVM982993 E65552:E65576 JA65465:JA65489 SW65465:SW65489 ACS65465:ACS65489 AMO65465:AMO65489 AWK65465:AWK65489 BGG65465:BGG65489 BQC65465:BQC65489 BZY65465:BZY65489 CJU65465:CJU65489 CTQ65465:CTQ65489 DDM65465:DDM65489 DNI65465:DNI65489 DXE65465:DXE65489 EHA65465:EHA65489 EQW65465:EQW65489 FAS65465:FAS65489 FKO65465:FKO65489 FUK65465:FUK65489 GEG65465:GEG65489 GOC65465:GOC65489 GXY65465:GXY65489 HHU65465:HHU65489 HRQ65465:HRQ65489 IBM65465:IBM65489 ILI65465:ILI65489 IVE65465:IVE65489 JFA65465:JFA65489 JOW65465:JOW65489 JYS65465:JYS65489 KIO65465:KIO65489 KSK65465:KSK65489 LCG65465:LCG65489 LMC65465:LMC65489 LVY65465:LVY65489 MFU65465:MFU65489 MPQ65465:MPQ65489 MZM65465:MZM65489 NJI65465:NJI65489 NTE65465:NTE65489 ODA65465:ODA65489 OMW65465:OMW65489 OWS65465:OWS65489 PGO65465:PGO65489 PQK65465:PQK65489 QAG65465:QAG65489 QKC65465:QKC65489 QTY65465:QTY65489 RDU65465:RDU65489 RNQ65465:RNQ65489 RXM65465:RXM65489 SHI65465:SHI65489 SRE65465:SRE65489 TBA65465:TBA65489 TKW65465:TKW65489 TUS65465:TUS65489 UEO65465:UEO65489 UOK65465:UOK65489 UYG65465:UYG65489 VIC65465:VIC65489 VRY65465:VRY65489 WBU65465:WBU65489 WLQ65465:WLQ65489 WVM65465:WVM65489 E131088:E131112 JA131001:JA131025 SW131001:SW131025 ACS131001:ACS131025 AMO131001:AMO131025 AWK131001:AWK131025 BGG131001:BGG131025 BQC131001:BQC131025 BZY131001:BZY131025 CJU131001:CJU131025 CTQ131001:CTQ131025 DDM131001:DDM131025 DNI131001:DNI131025 DXE131001:DXE131025 EHA131001:EHA131025 EQW131001:EQW131025 FAS131001:FAS131025 FKO131001:FKO131025 FUK131001:FUK131025 GEG131001:GEG131025 GOC131001:GOC131025 GXY131001:GXY131025 HHU131001:HHU131025 HRQ131001:HRQ131025 IBM131001:IBM131025 ILI131001:ILI131025 IVE131001:IVE131025 JFA131001:JFA131025 JOW131001:JOW131025 JYS131001:JYS131025 KIO131001:KIO131025 KSK131001:KSK131025 LCG131001:LCG131025 LMC131001:LMC131025 LVY131001:LVY131025 MFU131001:MFU131025 MPQ131001:MPQ131025 MZM131001:MZM131025 NJI131001:NJI131025 NTE131001:NTE131025 ODA131001:ODA131025 OMW131001:OMW131025 OWS131001:OWS131025 PGO131001:PGO131025 PQK131001:PQK131025 QAG131001:QAG131025 QKC131001:QKC131025 QTY131001:QTY131025 RDU131001:RDU131025 RNQ131001:RNQ131025 RXM131001:RXM131025 SHI131001:SHI131025 SRE131001:SRE131025 TBA131001:TBA131025 TKW131001:TKW131025 TUS131001:TUS131025 UEO131001:UEO131025 UOK131001:UOK131025 UYG131001:UYG131025 VIC131001:VIC131025 VRY131001:VRY131025 WBU131001:WBU131025 WLQ131001:WLQ131025 WVM131001:WVM131025 E196624:E196648 JA196537:JA196561 SW196537:SW196561 ACS196537:ACS196561 AMO196537:AMO196561 AWK196537:AWK196561 BGG196537:BGG196561 BQC196537:BQC196561 BZY196537:BZY196561 CJU196537:CJU196561 CTQ196537:CTQ196561 DDM196537:DDM196561 DNI196537:DNI196561 DXE196537:DXE196561 EHA196537:EHA196561 EQW196537:EQW196561 FAS196537:FAS196561 FKO196537:FKO196561 FUK196537:FUK196561 GEG196537:GEG196561 GOC196537:GOC196561 GXY196537:GXY196561 HHU196537:HHU196561 HRQ196537:HRQ196561 IBM196537:IBM196561 ILI196537:ILI196561 IVE196537:IVE196561 JFA196537:JFA196561 JOW196537:JOW196561 JYS196537:JYS196561 KIO196537:KIO196561 KSK196537:KSK196561 LCG196537:LCG196561 LMC196537:LMC196561 LVY196537:LVY196561 MFU196537:MFU196561 MPQ196537:MPQ196561 MZM196537:MZM196561 NJI196537:NJI196561 NTE196537:NTE196561 ODA196537:ODA196561 OMW196537:OMW196561 OWS196537:OWS196561 PGO196537:PGO196561 PQK196537:PQK196561 QAG196537:QAG196561 QKC196537:QKC196561 QTY196537:QTY196561 RDU196537:RDU196561 RNQ196537:RNQ196561 RXM196537:RXM196561 SHI196537:SHI196561 SRE196537:SRE196561 TBA196537:TBA196561 TKW196537:TKW196561 TUS196537:TUS196561 UEO196537:UEO196561 UOK196537:UOK196561 UYG196537:UYG196561 VIC196537:VIC196561 VRY196537:VRY196561 WBU196537:WBU196561 WLQ196537:WLQ196561 WVM196537:WVM196561 E262160:E262184 JA262073:JA262097 SW262073:SW262097 ACS262073:ACS262097 AMO262073:AMO262097 AWK262073:AWK262097 BGG262073:BGG262097 BQC262073:BQC262097 BZY262073:BZY262097 CJU262073:CJU262097 CTQ262073:CTQ262097 DDM262073:DDM262097 DNI262073:DNI262097 DXE262073:DXE262097 EHA262073:EHA262097 EQW262073:EQW262097 FAS262073:FAS262097 FKO262073:FKO262097 FUK262073:FUK262097 GEG262073:GEG262097 GOC262073:GOC262097 GXY262073:GXY262097 HHU262073:HHU262097 HRQ262073:HRQ262097 IBM262073:IBM262097 ILI262073:ILI262097 IVE262073:IVE262097 JFA262073:JFA262097 JOW262073:JOW262097 JYS262073:JYS262097 KIO262073:KIO262097 KSK262073:KSK262097 LCG262073:LCG262097 LMC262073:LMC262097 LVY262073:LVY262097 MFU262073:MFU262097 MPQ262073:MPQ262097 MZM262073:MZM262097 NJI262073:NJI262097 NTE262073:NTE262097 ODA262073:ODA262097 OMW262073:OMW262097 OWS262073:OWS262097 PGO262073:PGO262097 PQK262073:PQK262097 QAG262073:QAG262097 QKC262073:QKC262097 QTY262073:QTY262097 RDU262073:RDU262097 RNQ262073:RNQ262097 RXM262073:RXM262097 SHI262073:SHI262097 SRE262073:SRE262097 TBA262073:TBA262097 TKW262073:TKW262097 TUS262073:TUS262097 UEO262073:UEO262097 UOK262073:UOK262097 UYG262073:UYG262097 VIC262073:VIC262097 VRY262073:VRY262097 WBU262073:WBU262097 WLQ262073:WLQ262097 WVM262073:WVM262097 E327696:E327720 JA327609:JA327633 SW327609:SW327633 ACS327609:ACS327633 AMO327609:AMO327633 AWK327609:AWK327633 BGG327609:BGG327633 BQC327609:BQC327633 BZY327609:BZY327633 CJU327609:CJU327633 CTQ327609:CTQ327633 DDM327609:DDM327633 DNI327609:DNI327633 DXE327609:DXE327633 EHA327609:EHA327633 EQW327609:EQW327633 FAS327609:FAS327633 FKO327609:FKO327633 FUK327609:FUK327633 GEG327609:GEG327633 GOC327609:GOC327633 GXY327609:GXY327633 HHU327609:HHU327633 HRQ327609:HRQ327633 IBM327609:IBM327633 ILI327609:ILI327633 IVE327609:IVE327633 JFA327609:JFA327633 JOW327609:JOW327633 JYS327609:JYS327633 KIO327609:KIO327633 KSK327609:KSK327633 LCG327609:LCG327633 LMC327609:LMC327633 LVY327609:LVY327633 MFU327609:MFU327633 MPQ327609:MPQ327633 MZM327609:MZM327633 NJI327609:NJI327633 NTE327609:NTE327633 ODA327609:ODA327633 OMW327609:OMW327633 OWS327609:OWS327633 PGO327609:PGO327633 PQK327609:PQK327633 QAG327609:QAG327633 QKC327609:QKC327633 QTY327609:QTY327633 RDU327609:RDU327633 RNQ327609:RNQ327633 RXM327609:RXM327633 SHI327609:SHI327633 SRE327609:SRE327633 TBA327609:TBA327633 TKW327609:TKW327633 TUS327609:TUS327633 UEO327609:UEO327633 UOK327609:UOK327633 UYG327609:UYG327633 VIC327609:VIC327633 VRY327609:VRY327633 WBU327609:WBU327633 WLQ327609:WLQ327633 WVM327609:WVM327633 E393232:E393256 JA393145:JA393169 SW393145:SW393169 ACS393145:ACS393169 AMO393145:AMO393169 AWK393145:AWK393169 BGG393145:BGG393169 BQC393145:BQC393169 BZY393145:BZY393169 CJU393145:CJU393169 CTQ393145:CTQ393169 DDM393145:DDM393169 DNI393145:DNI393169 DXE393145:DXE393169 EHA393145:EHA393169 EQW393145:EQW393169 FAS393145:FAS393169 FKO393145:FKO393169 FUK393145:FUK393169 GEG393145:GEG393169 GOC393145:GOC393169 GXY393145:GXY393169 HHU393145:HHU393169 HRQ393145:HRQ393169 IBM393145:IBM393169 ILI393145:ILI393169 IVE393145:IVE393169 JFA393145:JFA393169 JOW393145:JOW393169 JYS393145:JYS393169 KIO393145:KIO393169 KSK393145:KSK393169 LCG393145:LCG393169 LMC393145:LMC393169 LVY393145:LVY393169 MFU393145:MFU393169 MPQ393145:MPQ393169 MZM393145:MZM393169 NJI393145:NJI393169 NTE393145:NTE393169 ODA393145:ODA393169 OMW393145:OMW393169 OWS393145:OWS393169 PGO393145:PGO393169 PQK393145:PQK393169 QAG393145:QAG393169 QKC393145:QKC393169 QTY393145:QTY393169 RDU393145:RDU393169 RNQ393145:RNQ393169 RXM393145:RXM393169 SHI393145:SHI393169 SRE393145:SRE393169 TBA393145:TBA393169 TKW393145:TKW393169 TUS393145:TUS393169 UEO393145:UEO393169 UOK393145:UOK393169 UYG393145:UYG393169 VIC393145:VIC393169 VRY393145:VRY393169 WBU393145:WBU393169 WLQ393145:WLQ393169 WVM393145:WVM393169 E458768:E458792 JA458681:JA458705 SW458681:SW458705 ACS458681:ACS458705 AMO458681:AMO458705 AWK458681:AWK458705 BGG458681:BGG458705 BQC458681:BQC458705 BZY458681:BZY458705 CJU458681:CJU458705 CTQ458681:CTQ458705 DDM458681:DDM458705 DNI458681:DNI458705 DXE458681:DXE458705 EHA458681:EHA458705 EQW458681:EQW458705 FAS458681:FAS458705 FKO458681:FKO458705 FUK458681:FUK458705 GEG458681:GEG458705 GOC458681:GOC458705 GXY458681:GXY458705 HHU458681:HHU458705 HRQ458681:HRQ458705 IBM458681:IBM458705 ILI458681:ILI458705 IVE458681:IVE458705 JFA458681:JFA458705 JOW458681:JOW458705 JYS458681:JYS458705 KIO458681:KIO458705 KSK458681:KSK458705 LCG458681:LCG458705 LMC458681:LMC458705 LVY458681:LVY458705 MFU458681:MFU458705 MPQ458681:MPQ458705 MZM458681:MZM458705 NJI458681:NJI458705 NTE458681:NTE458705 ODA458681:ODA458705 OMW458681:OMW458705 OWS458681:OWS458705 PGO458681:PGO458705 PQK458681:PQK458705 QAG458681:QAG458705 QKC458681:QKC458705 QTY458681:QTY458705 RDU458681:RDU458705 RNQ458681:RNQ458705 RXM458681:RXM458705 SHI458681:SHI458705 SRE458681:SRE458705 TBA458681:TBA458705 TKW458681:TKW458705 TUS458681:TUS458705 UEO458681:UEO458705 UOK458681:UOK458705 UYG458681:UYG458705 VIC458681:VIC458705 VRY458681:VRY458705 WBU458681:WBU458705 WLQ458681:WLQ458705 WVM458681:WVM458705 E524304:E524328 JA524217:JA524241 SW524217:SW524241 ACS524217:ACS524241 AMO524217:AMO524241 AWK524217:AWK524241 BGG524217:BGG524241 BQC524217:BQC524241 BZY524217:BZY524241 CJU524217:CJU524241 CTQ524217:CTQ524241 DDM524217:DDM524241 DNI524217:DNI524241 DXE524217:DXE524241 EHA524217:EHA524241 EQW524217:EQW524241 FAS524217:FAS524241 FKO524217:FKO524241 FUK524217:FUK524241 GEG524217:GEG524241 GOC524217:GOC524241 GXY524217:GXY524241 HHU524217:HHU524241 HRQ524217:HRQ524241 IBM524217:IBM524241 ILI524217:ILI524241 IVE524217:IVE524241 JFA524217:JFA524241 JOW524217:JOW524241 JYS524217:JYS524241 KIO524217:KIO524241 KSK524217:KSK524241 LCG524217:LCG524241 LMC524217:LMC524241 LVY524217:LVY524241 MFU524217:MFU524241 MPQ524217:MPQ524241 MZM524217:MZM524241 NJI524217:NJI524241 NTE524217:NTE524241 ODA524217:ODA524241 OMW524217:OMW524241 OWS524217:OWS524241 PGO524217:PGO524241 PQK524217:PQK524241 QAG524217:QAG524241 QKC524217:QKC524241 QTY524217:QTY524241 RDU524217:RDU524241 RNQ524217:RNQ524241 RXM524217:RXM524241 SHI524217:SHI524241 SRE524217:SRE524241 TBA524217:TBA524241 TKW524217:TKW524241 TUS524217:TUS524241 UEO524217:UEO524241 UOK524217:UOK524241 UYG524217:UYG524241 VIC524217:VIC524241 VRY524217:VRY524241 WBU524217:WBU524241 WLQ524217:WLQ524241 WVM524217:WVM524241 E589840:E589864 JA589753:JA589777 SW589753:SW589777 ACS589753:ACS589777 AMO589753:AMO589777 AWK589753:AWK589777 BGG589753:BGG589777 BQC589753:BQC589777 BZY589753:BZY589777 CJU589753:CJU589777 CTQ589753:CTQ589777 DDM589753:DDM589777 DNI589753:DNI589777 DXE589753:DXE589777 EHA589753:EHA589777 EQW589753:EQW589777 FAS589753:FAS589777 FKO589753:FKO589777 FUK589753:FUK589777 GEG589753:GEG589777 GOC589753:GOC589777 GXY589753:GXY589777 HHU589753:HHU589777 HRQ589753:HRQ589777 IBM589753:IBM589777 ILI589753:ILI589777 IVE589753:IVE589777 JFA589753:JFA589777 JOW589753:JOW589777 JYS589753:JYS589777 KIO589753:KIO589777 KSK589753:KSK589777 LCG589753:LCG589777 LMC589753:LMC589777 LVY589753:LVY589777 MFU589753:MFU589777 MPQ589753:MPQ589777 MZM589753:MZM589777 NJI589753:NJI589777 NTE589753:NTE589777 ODA589753:ODA589777 OMW589753:OMW589777 OWS589753:OWS589777 PGO589753:PGO589777 PQK589753:PQK589777 QAG589753:QAG589777 QKC589753:QKC589777 QTY589753:QTY589777 RDU589753:RDU589777 RNQ589753:RNQ589777 RXM589753:RXM589777 SHI589753:SHI589777 SRE589753:SRE589777 TBA589753:TBA589777 TKW589753:TKW589777 TUS589753:TUS589777 UEO589753:UEO589777 UOK589753:UOK589777 UYG589753:UYG589777 VIC589753:VIC589777 VRY589753:VRY589777 WBU589753:WBU589777 WLQ589753:WLQ589777 WVM589753:WVM589777 E655376:E655400 JA655289:JA655313 SW655289:SW655313 ACS655289:ACS655313 AMO655289:AMO655313 AWK655289:AWK655313 BGG655289:BGG655313 BQC655289:BQC655313 BZY655289:BZY655313 CJU655289:CJU655313 CTQ655289:CTQ655313 DDM655289:DDM655313 DNI655289:DNI655313 DXE655289:DXE655313 EHA655289:EHA655313 EQW655289:EQW655313 FAS655289:FAS655313 FKO655289:FKO655313 FUK655289:FUK655313 GEG655289:GEG655313 GOC655289:GOC655313 GXY655289:GXY655313 HHU655289:HHU655313 HRQ655289:HRQ655313 IBM655289:IBM655313 ILI655289:ILI655313 IVE655289:IVE655313 JFA655289:JFA655313 JOW655289:JOW655313 JYS655289:JYS655313 KIO655289:KIO655313 KSK655289:KSK655313 LCG655289:LCG655313 LMC655289:LMC655313 LVY655289:LVY655313 MFU655289:MFU655313 MPQ655289:MPQ655313 MZM655289:MZM655313 NJI655289:NJI655313 NTE655289:NTE655313 ODA655289:ODA655313 OMW655289:OMW655313 OWS655289:OWS655313 PGO655289:PGO655313 PQK655289:PQK655313 QAG655289:QAG655313 QKC655289:QKC655313 QTY655289:QTY655313 RDU655289:RDU655313 RNQ655289:RNQ655313 RXM655289:RXM655313 SHI655289:SHI655313 SRE655289:SRE655313 TBA655289:TBA655313 TKW655289:TKW655313 TUS655289:TUS655313 UEO655289:UEO655313 UOK655289:UOK655313 UYG655289:UYG655313 VIC655289:VIC655313 VRY655289:VRY655313 WBU655289:WBU655313 WLQ655289:WLQ655313 WVM655289:WVM655313 E720912:E720936 JA720825:JA720849 SW720825:SW720849 ACS720825:ACS720849 AMO720825:AMO720849 AWK720825:AWK720849 BGG720825:BGG720849 BQC720825:BQC720849 BZY720825:BZY720849 CJU720825:CJU720849 CTQ720825:CTQ720849 DDM720825:DDM720849 DNI720825:DNI720849 DXE720825:DXE720849 EHA720825:EHA720849 EQW720825:EQW720849 FAS720825:FAS720849 FKO720825:FKO720849 FUK720825:FUK720849 GEG720825:GEG720849 GOC720825:GOC720849 GXY720825:GXY720849 HHU720825:HHU720849 HRQ720825:HRQ720849 IBM720825:IBM720849 ILI720825:ILI720849 IVE720825:IVE720849 JFA720825:JFA720849 JOW720825:JOW720849 JYS720825:JYS720849 KIO720825:KIO720849 KSK720825:KSK720849 LCG720825:LCG720849 LMC720825:LMC720849 LVY720825:LVY720849 MFU720825:MFU720849 MPQ720825:MPQ720849 MZM720825:MZM720849 NJI720825:NJI720849 NTE720825:NTE720849 ODA720825:ODA720849 OMW720825:OMW720849 OWS720825:OWS720849 PGO720825:PGO720849 PQK720825:PQK720849 QAG720825:QAG720849 QKC720825:QKC720849 QTY720825:QTY720849 RDU720825:RDU720849 RNQ720825:RNQ720849 RXM720825:RXM720849 SHI720825:SHI720849 SRE720825:SRE720849 TBA720825:TBA720849 TKW720825:TKW720849 TUS720825:TUS720849 UEO720825:UEO720849 UOK720825:UOK720849 UYG720825:UYG720849 VIC720825:VIC720849 VRY720825:VRY720849 WBU720825:WBU720849 WLQ720825:WLQ720849 WVM720825:WVM720849 E786448:E786472 JA786361:JA786385 SW786361:SW786385 ACS786361:ACS786385 AMO786361:AMO786385 AWK786361:AWK786385 BGG786361:BGG786385 BQC786361:BQC786385 BZY786361:BZY786385 CJU786361:CJU786385 CTQ786361:CTQ786385 DDM786361:DDM786385 DNI786361:DNI786385 DXE786361:DXE786385 EHA786361:EHA786385 EQW786361:EQW786385 FAS786361:FAS786385 FKO786361:FKO786385 FUK786361:FUK786385 GEG786361:GEG786385 GOC786361:GOC786385 GXY786361:GXY786385 HHU786361:HHU786385 HRQ786361:HRQ786385 IBM786361:IBM786385 ILI786361:ILI786385 IVE786361:IVE786385 JFA786361:JFA786385 JOW786361:JOW786385 JYS786361:JYS786385 KIO786361:KIO786385 KSK786361:KSK786385 LCG786361:LCG786385 LMC786361:LMC786385 LVY786361:LVY786385 MFU786361:MFU786385 MPQ786361:MPQ786385 MZM786361:MZM786385 NJI786361:NJI786385 NTE786361:NTE786385 ODA786361:ODA786385 OMW786361:OMW786385 OWS786361:OWS786385 PGO786361:PGO786385 PQK786361:PQK786385 QAG786361:QAG786385 QKC786361:QKC786385 QTY786361:QTY786385 RDU786361:RDU786385 RNQ786361:RNQ786385 RXM786361:RXM786385 SHI786361:SHI786385 SRE786361:SRE786385 TBA786361:TBA786385 TKW786361:TKW786385 TUS786361:TUS786385 UEO786361:UEO786385 UOK786361:UOK786385 UYG786361:UYG786385 VIC786361:VIC786385 VRY786361:VRY786385 WBU786361:WBU786385 WLQ786361:WLQ786385 WVM786361:WVM786385 E851984:E852008 JA851897:JA851921 SW851897:SW851921 ACS851897:ACS851921 AMO851897:AMO851921 AWK851897:AWK851921 BGG851897:BGG851921 BQC851897:BQC851921 BZY851897:BZY851921 CJU851897:CJU851921 CTQ851897:CTQ851921 DDM851897:DDM851921 DNI851897:DNI851921 DXE851897:DXE851921 EHA851897:EHA851921 EQW851897:EQW851921 FAS851897:FAS851921 FKO851897:FKO851921 FUK851897:FUK851921 GEG851897:GEG851921 GOC851897:GOC851921 GXY851897:GXY851921 HHU851897:HHU851921 HRQ851897:HRQ851921 IBM851897:IBM851921 ILI851897:ILI851921 IVE851897:IVE851921 JFA851897:JFA851921 JOW851897:JOW851921 JYS851897:JYS851921 KIO851897:KIO851921 KSK851897:KSK851921 LCG851897:LCG851921 LMC851897:LMC851921 LVY851897:LVY851921 MFU851897:MFU851921 MPQ851897:MPQ851921 MZM851897:MZM851921 NJI851897:NJI851921 NTE851897:NTE851921 ODA851897:ODA851921 OMW851897:OMW851921 OWS851897:OWS851921 PGO851897:PGO851921 PQK851897:PQK851921 QAG851897:QAG851921 QKC851897:QKC851921 QTY851897:QTY851921 RDU851897:RDU851921 RNQ851897:RNQ851921 RXM851897:RXM851921 SHI851897:SHI851921 SRE851897:SRE851921 TBA851897:TBA851921 TKW851897:TKW851921 TUS851897:TUS851921 UEO851897:UEO851921 UOK851897:UOK851921 UYG851897:UYG851921 VIC851897:VIC851921 VRY851897:VRY851921 WBU851897:WBU851921 WLQ851897:WLQ851921 WVM851897:WVM851921 E917520:E917544 JA917433:JA917457 SW917433:SW917457 ACS917433:ACS917457 AMO917433:AMO917457 AWK917433:AWK917457 BGG917433:BGG917457 BQC917433:BQC917457 BZY917433:BZY917457 CJU917433:CJU917457 CTQ917433:CTQ917457 DDM917433:DDM917457 DNI917433:DNI917457 DXE917433:DXE917457 EHA917433:EHA917457 EQW917433:EQW917457 FAS917433:FAS917457 FKO917433:FKO917457 FUK917433:FUK917457 GEG917433:GEG917457 GOC917433:GOC917457 GXY917433:GXY917457 HHU917433:HHU917457 HRQ917433:HRQ917457 IBM917433:IBM917457 ILI917433:ILI917457 IVE917433:IVE917457 JFA917433:JFA917457 JOW917433:JOW917457 JYS917433:JYS917457 KIO917433:KIO917457 KSK917433:KSK917457 LCG917433:LCG917457 LMC917433:LMC917457 LVY917433:LVY917457 MFU917433:MFU917457 MPQ917433:MPQ917457 MZM917433:MZM917457 NJI917433:NJI917457 NTE917433:NTE917457 ODA917433:ODA917457 OMW917433:OMW917457 OWS917433:OWS917457 PGO917433:PGO917457 PQK917433:PQK917457 QAG917433:QAG917457 QKC917433:QKC917457 QTY917433:QTY917457 RDU917433:RDU917457 RNQ917433:RNQ917457 RXM917433:RXM917457 SHI917433:SHI917457 SRE917433:SRE917457 TBA917433:TBA917457 TKW917433:TKW917457 TUS917433:TUS917457 UEO917433:UEO917457 UOK917433:UOK917457 UYG917433:UYG917457 VIC917433:VIC917457 VRY917433:VRY917457 WBU917433:WBU917457 WLQ917433:WLQ917457 WVM917433:WVM917457 E983056:E983080 JA982969:JA982993 SW982969:SW982993 ACS982969:ACS982993 AMO982969:AMO982993 AWK982969:AWK982993 BGG982969:BGG982993 BQC982969:BQC982993 BZY982969:BZY982993 CJU982969:CJU982993 CTQ982969:CTQ982993 DDM982969:DDM982993 DNI982969:DNI982993 DXE982969:DXE982993 EHA982969:EHA982993 EQW982969:EQW982993 FAS982969:FAS982993 FKO982969:FKO982993 FUK982969:FUK982993 GEG982969:GEG982993 GOC982969:GOC982993 GXY982969:GXY982993 HHU982969:HHU982993 HRQ982969:HRQ982993 IBM982969:IBM982993 ILI982969:ILI982993 IVE982969:IVE982993 JFA982969:JFA982993 JOW982969:JOW982993 JYS982969:JYS982993 KIO982969:KIO982993 KSK982969:KSK982993 LCG982969:LCG982993 LMC982969:LMC982993 LVY982969:LVY982993 MFU982969:MFU982993 MPQ982969:MPQ982993 MZM982969:MZM982993 NJI982969:NJI982993 NTE982969:NTE982993 ODA982969:ODA982993 OMW982969:OMW982993 OWS982969:OWS982993 PGO982969:PGO982993 PQK982969:PQK982993 QAG982969:QAG982993 QKC982969:QKC982993 QTY982969:QTY982993 RDU982969:RDU982993 RNQ982969:RNQ982993 RXM982969:RXM982993 SHI982969:SHI982993 SRE982969:SRE982993 TBA982969:TBA982993 TKW982969:TKW982993 TUS982969:TUS982993 UEO982969:UEO982993 UOK982969:UOK982993 UYG982969:UYG982993 VIC982969:VIC982993 VRY982969:VRY982993 WBU982969:WBU982993 WLQ982969:WLQ982993 JB10:JB1811 WVN10:WVN1811 WLR10:WLR1811 WBV10:WBV1811 VRZ10:VRZ1811 VID10:VID1811 UYH10:UYH1811 UOL10:UOL1811 UEP10:UEP1811 TUT10:TUT1811 TKX10:TKX1811 TBB10:TBB1811 SRF10:SRF1811 SHJ10:SHJ1811 RXN10:RXN1811 RNR10:RNR1811 RDV10:RDV1811 QTZ10:QTZ1811 QKD10:QKD1811 QAH10:QAH1811 PQL10:PQL1811 PGP10:PGP1811 OWT10:OWT1811 OMX10:OMX1811 ODB10:ODB1811 NTF10:NTF1811 NJJ10:NJJ1811 MZN10:MZN1811 MPR10:MPR1811 MFV10:MFV1811 LVZ10:LVZ1811 LMD10:LMD1811 LCH10:LCH1811 KSL10:KSL1811 KIP10:KIP1811 JYT10:JYT1811 JOX10:JOX1811 JFB10:JFB1811 IVF10:IVF1811 ILJ10:ILJ1811 IBN10:IBN1811 HRR10:HRR1811 HHV10:HHV1811 GXZ10:GXZ1811 GOD10:GOD1811 GEH10:GEH1811 FUL10:FUL1811 FKP10:FKP1811 FAT10:FAT1811 EQX10:EQX1811 EHB10:EHB1811 DXF10:DXF1811 DNJ10:DNJ1811 DDN10:DDN1811 CTR10:CTR1811 CJV10:CJV1811 BZZ10:BZZ1811 BQD10:BQD1811 BGH10:BGH1811 AWL10:AWL1811 AMP10:AMP1811 ACT10:ACT1811 SX10:SX1811" xr:uid="{00000000-0002-0000-2300-000010000000}"/>
    <dataValidation allowBlank="1" showInputMessage="1" showErrorMessage="1" prompt="Enter applicable service code: 19,19Y,19W, 19A,19AY,19AW, 19B,19BY,19BW, 19C,19CY,19CW, 19I, 19J, 19K, 19L, 19N or 19O" sqref="WVL982969:WVL982993 D65552:D65576 IZ65465:IZ65489 SV65465:SV65489 ACR65465:ACR65489 AMN65465:AMN65489 AWJ65465:AWJ65489 BGF65465:BGF65489 BQB65465:BQB65489 BZX65465:BZX65489 CJT65465:CJT65489 CTP65465:CTP65489 DDL65465:DDL65489 DNH65465:DNH65489 DXD65465:DXD65489 EGZ65465:EGZ65489 EQV65465:EQV65489 FAR65465:FAR65489 FKN65465:FKN65489 FUJ65465:FUJ65489 GEF65465:GEF65489 GOB65465:GOB65489 GXX65465:GXX65489 HHT65465:HHT65489 HRP65465:HRP65489 IBL65465:IBL65489 ILH65465:ILH65489 IVD65465:IVD65489 JEZ65465:JEZ65489 JOV65465:JOV65489 JYR65465:JYR65489 KIN65465:KIN65489 KSJ65465:KSJ65489 LCF65465:LCF65489 LMB65465:LMB65489 LVX65465:LVX65489 MFT65465:MFT65489 MPP65465:MPP65489 MZL65465:MZL65489 NJH65465:NJH65489 NTD65465:NTD65489 OCZ65465:OCZ65489 OMV65465:OMV65489 OWR65465:OWR65489 PGN65465:PGN65489 PQJ65465:PQJ65489 QAF65465:QAF65489 QKB65465:QKB65489 QTX65465:QTX65489 RDT65465:RDT65489 RNP65465:RNP65489 RXL65465:RXL65489 SHH65465:SHH65489 SRD65465:SRD65489 TAZ65465:TAZ65489 TKV65465:TKV65489 TUR65465:TUR65489 UEN65465:UEN65489 UOJ65465:UOJ65489 UYF65465:UYF65489 VIB65465:VIB65489 VRX65465:VRX65489 WBT65465:WBT65489 WLP65465:WLP65489 WVL65465:WVL65489 D131088:D131112 IZ131001:IZ131025 SV131001:SV131025 ACR131001:ACR131025 AMN131001:AMN131025 AWJ131001:AWJ131025 BGF131001:BGF131025 BQB131001:BQB131025 BZX131001:BZX131025 CJT131001:CJT131025 CTP131001:CTP131025 DDL131001:DDL131025 DNH131001:DNH131025 DXD131001:DXD131025 EGZ131001:EGZ131025 EQV131001:EQV131025 FAR131001:FAR131025 FKN131001:FKN131025 FUJ131001:FUJ131025 GEF131001:GEF131025 GOB131001:GOB131025 GXX131001:GXX131025 HHT131001:HHT131025 HRP131001:HRP131025 IBL131001:IBL131025 ILH131001:ILH131025 IVD131001:IVD131025 JEZ131001:JEZ131025 JOV131001:JOV131025 JYR131001:JYR131025 KIN131001:KIN131025 KSJ131001:KSJ131025 LCF131001:LCF131025 LMB131001:LMB131025 LVX131001:LVX131025 MFT131001:MFT131025 MPP131001:MPP131025 MZL131001:MZL131025 NJH131001:NJH131025 NTD131001:NTD131025 OCZ131001:OCZ131025 OMV131001:OMV131025 OWR131001:OWR131025 PGN131001:PGN131025 PQJ131001:PQJ131025 QAF131001:QAF131025 QKB131001:QKB131025 QTX131001:QTX131025 RDT131001:RDT131025 RNP131001:RNP131025 RXL131001:RXL131025 SHH131001:SHH131025 SRD131001:SRD131025 TAZ131001:TAZ131025 TKV131001:TKV131025 TUR131001:TUR131025 UEN131001:UEN131025 UOJ131001:UOJ131025 UYF131001:UYF131025 VIB131001:VIB131025 VRX131001:VRX131025 WBT131001:WBT131025 WLP131001:WLP131025 WVL131001:WVL131025 D196624:D196648 IZ196537:IZ196561 SV196537:SV196561 ACR196537:ACR196561 AMN196537:AMN196561 AWJ196537:AWJ196561 BGF196537:BGF196561 BQB196537:BQB196561 BZX196537:BZX196561 CJT196537:CJT196561 CTP196537:CTP196561 DDL196537:DDL196561 DNH196537:DNH196561 DXD196537:DXD196561 EGZ196537:EGZ196561 EQV196537:EQV196561 FAR196537:FAR196561 FKN196537:FKN196561 FUJ196537:FUJ196561 GEF196537:GEF196561 GOB196537:GOB196561 GXX196537:GXX196561 HHT196537:HHT196561 HRP196537:HRP196561 IBL196537:IBL196561 ILH196537:ILH196561 IVD196537:IVD196561 JEZ196537:JEZ196561 JOV196537:JOV196561 JYR196537:JYR196561 KIN196537:KIN196561 KSJ196537:KSJ196561 LCF196537:LCF196561 LMB196537:LMB196561 LVX196537:LVX196561 MFT196537:MFT196561 MPP196537:MPP196561 MZL196537:MZL196561 NJH196537:NJH196561 NTD196537:NTD196561 OCZ196537:OCZ196561 OMV196537:OMV196561 OWR196537:OWR196561 PGN196537:PGN196561 PQJ196537:PQJ196561 QAF196537:QAF196561 QKB196537:QKB196561 QTX196537:QTX196561 RDT196537:RDT196561 RNP196537:RNP196561 RXL196537:RXL196561 SHH196537:SHH196561 SRD196537:SRD196561 TAZ196537:TAZ196561 TKV196537:TKV196561 TUR196537:TUR196561 UEN196537:UEN196561 UOJ196537:UOJ196561 UYF196537:UYF196561 VIB196537:VIB196561 VRX196537:VRX196561 WBT196537:WBT196561 WLP196537:WLP196561 WVL196537:WVL196561 D262160:D262184 IZ262073:IZ262097 SV262073:SV262097 ACR262073:ACR262097 AMN262073:AMN262097 AWJ262073:AWJ262097 BGF262073:BGF262097 BQB262073:BQB262097 BZX262073:BZX262097 CJT262073:CJT262097 CTP262073:CTP262097 DDL262073:DDL262097 DNH262073:DNH262097 DXD262073:DXD262097 EGZ262073:EGZ262097 EQV262073:EQV262097 FAR262073:FAR262097 FKN262073:FKN262097 FUJ262073:FUJ262097 GEF262073:GEF262097 GOB262073:GOB262097 GXX262073:GXX262097 HHT262073:HHT262097 HRP262073:HRP262097 IBL262073:IBL262097 ILH262073:ILH262097 IVD262073:IVD262097 JEZ262073:JEZ262097 JOV262073:JOV262097 JYR262073:JYR262097 KIN262073:KIN262097 KSJ262073:KSJ262097 LCF262073:LCF262097 LMB262073:LMB262097 LVX262073:LVX262097 MFT262073:MFT262097 MPP262073:MPP262097 MZL262073:MZL262097 NJH262073:NJH262097 NTD262073:NTD262097 OCZ262073:OCZ262097 OMV262073:OMV262097 OWR262073:OWR262097 PGN262073:PGN262097 PQJ262073:PQJ262097 QAF262073:QAF262097 QKB262073:QKB262097 QTX262073:QTX262097 RDT262073:RDT262097 RNP262073:RNP262097 RXL262073:RXL262097 SHH262073:SHH262097 SRD262073:SRD262097 TAZ262073:TAZ262097 TKV262073:TKV262097 TUR262073:TUR262097 UEN262073:UEN262097 UOJ262073:UOJ262097 UYF262073:UYF262097 VIB262073:VIB262097 VRX262073:VRX262097 WBT262073:WBT262097 WLP262073:WLP262097 WVL262073:WVL262097 D327696:D327720 IZ327609:IZ327633 SV327609:SV327633 ACR327609:ACR327633 AMN327609:AMN327633 AWJ327609:AWJ327633 BGF327609:BGF327633 BQB327609:BQB327633 BZX327609:BZX327633 CJT327609:CJT327633 CTP327609:CTP327633 DDL327609:DDL327633 DNH327609:DNH327633 DXD327609:DXD327633 EGZ327609:EGZ327633 EQV327609:EQV327633 FAR327609:FAR327633 FKN327609:FKN327633 FUJ327609:FUJ327633 GEF327609:GEF327633 GOB327609:GOB327633 GXX327609:GXX327633 HHT327609:HHT327633 HRP327609:HRP327633 IBL327609:IBL327633 ILH327609:ILH327633 IVD327609:IVD327633 JEZ327609:JEZ327633 JOV327609:JOV327633 JYR327609:JYR327633 KIN327609:KIN327633 KSJ327609:KSJ327633 LCF327609:LCF327633 LMB327609:LMB327633 LVX327609:LVX327633 MFT327609:MFT327633 MPP327609:MPP327633 MZL327609:MZL327633 NJH327609:NJH327633 NTD327609:NTD327633 OCZ327609:OCZ327633 OMV327609:OMV327633 OWR327609:OWR327633 PGN327609:PGN327633 PQJ327609:PQJ327633 QAF327609:QAF327633 QKB327609:QKB327633 QTX327609:QTX327633 RDT327609:RDT327633 RNP327609:RNP327633 RXL327609:RXL327633 SHH327609:SHH327633 SRD327609:SRD327633 TAZ327609:TAZ327633 TKV327609:TKV327633 TUR327609:TUR327633 UEN327609:UEN327633 UOJ327609:UOJ327633 UYF327609:UYF327633 VIB327609:VIB327633 VRX327609:VRX327633 WBT327609:WBT327633 WLP327609:WLP327633 WVL327609:WVL327633 D393232:D393256 IZ393145:IZ393169 SV393145:SV393169 ACR393145:ACR393169 AMN393145:AMN393169 AWJ393145:AWJ393169 BGF393145:BGF393169 BQB393145:BQB393169 BZX393145:BZX393169 CJT393145:CJT393169 CTP393145:CTP393169 DDL393145:DDL393169 DNH393145:DNH393169 DXD393145:DXD393169 EGZ393145:EGZ393169 EQV393145:EQV393169 FAR393145:FAR393169 FKN393145:FKN393169 FUJ393145:FUJ393169 GEF393145:GEF393169 GOB393145:GOB393169 GXX393145:GXX393169 HHT393145:HHT393169 HRP393145:HRP393169 IBL393145:IBL393169 ILH393145:ILH393169 IVD393145:IVD393169 JEZ393145:JEZ393169 JOV393145:JOV393169 JYR393145:JYR393169 KIN393145:KIN393169 KSJ393145:KSJ393169 LCF393145:LCF393169 LMB393145:LMB393169 LVX393145:LVX393169 MFT393145:MFT393169 MPP393145:MPP393169 MZL393145:MZL393169 NJH393145:NJH393169 NTD393145:NTD393169 OCZ393145:OCZ393169 OMV393145:OMV393169 OWR393145:OWR393169 PGN393145:PGN393169 PQJ393145:PQJ393169 QAF393145:QAF393169 QKB393145:QKB393169 QTX393145:QTX393169 RDT393145:RDT393169 RNP393145:RNP393169 RXL393145:RXL393169 SHH393145:SHH393169 SRD393145:SRD393169 TAZ393145:TAZ393169 TKV393145:TKV393169 TUR393145:TUR393169 UEN393145:UEN393169 UOJ393145:UOJ393169 UYF393145:UYF393169 VIB393145:VIB393169 VRX393145:VRX393169 WBT393145:WBT393169 WLP393145:WLP393169 WVL393145:WVL393169 D458768:D458792 IZ458681:IZ458705 SV458681:SV458705 ACR458681:ACR458705 AMN458681:AMN458705 AWJ458681:AWJ458705 BGF458681:BGF458705 BQB458681:BQB458705 BZX458681:BZX458705 CJT458681:CJT458705 CTP458681:CTP458705 DDL458681:DDL458705 DNH458681:DNH458705 DXD458681:DXD458705 EGZ458681:EGZ458705 EQV458681:EQV458705 FAR458681:FAR458705 FKN458681:FKN458705 FUJ458681:FUJ458705 GEF458681:GEF458705 GOB458681:GOB458705 GXX458681:GXX458705 HHT458681:HHT458705 HRP458681:HRP458705 IBL458681:IBL458705 ILH458681:ILH458705 IVD458681:IVD458705 JEZ458681:JEZ458705 JOV458681:JOV458705 JYR458681:JYR458705 KIN458681:KIN458705 KSJ458681:KSJ458705 LCF458681:LCF458705 LMB458681:LMB458705 LVX458681:LVX458705 MFT458681:MFT458705 MPP458681:MPP458705 MZL458681:MZL458705 NJH458681:NJH458705 NTD458681:NTD458705 OCZ458681:OCZ458705 OMV458681:OMV458705 OWR458681:OWR458705 PGN458681:PGN458705 PQJ458681:PQJ458705 QAF458681:QAF458705 QKB458681:QKB458705 QTX458681:QTX458705 RDT458681:RDT458705 RNP458681:RNP458705 RXL458681:RXL458705 SHH458681:SHH458705 SRD458681:SRD458705 TAZ458681:TAZ458705 TKV458681:TKV458705 TUR458681:TUR458705 UEN458681:UEN458705 UOJ458681:UOJ458705 UYF458681:UYF458705 VIB458681:VIB458705 VRX458681:VRX458705 WBT458681:WBT458705 WLP458681:WLP458705 WVL458681:WVL458705 D524304:D524328 IZ524217:IZ524241 SV524217:SV524241 ACR524217:ACR524241 AMN524217:AMN524241 AWJ524217:AWJ524241 BGF524217:BGF524241 BQB524217:BQB524241 BZX524217:BZX524241 CJT524217:CJT524241 CTP524217:CTP524241 DDL524217:DDL524241 DNH524217:DNH524241 DXD524217:DXD524241 EGZ524217:EGZ524241 EQV524217:EQV524241 FAR524217:FAR524241 FKN524217:FKN524241 FUJ524217:FUJ524241 GEF524217:GEF524241 GOB524217:GOB524241 GXX524217:GXX524241 HHT524217:HHT524241 HRP524217:HRP524241 IBL524217:IBL524241 ILH524217:ILH524241 IVD524217:IVD524241 JEZ524217:JEZ524241 JOV524217:JOV524241 JYR524217:JYR524241 KIN524217:KIN524241 KSJ524217:KSJ524241 LCF524217:LCF524241 LMB524217:LMB524241 LVX524217:LVX524241 MFT524217:MFT524241 MPP524217:MPP524241 MZL524217:MZL524241 NJH524217:NJH524241 NTD524217:NTD524241 OCZ524217:OCZ524241 OMV524217:OMV524241 OWR524217:OWR524241 PGN524217:PGN524241 PQJ524217:PQJ524241 QAF524217:QAF524241 QKB524217:QKB524241 QTX524217:QTX524241 RDT524217:RDT524241 RNP524217:RNP524241 RXL524217:RXL524241 SHH524217:SHH524241 SRD524217:SRD524241 TAZ524217:TAZ524241 TKV524217:TKV524241 TUR524217:TUR524241 UEN524217:UEN524241 UOJ524217:UOJ524241 UYF524217:UYF524241 VIB524217:VIB524241 VRX524217:VRX524241 WBT524217:WBT524241 WLP524217:WLP524241 WVL524217:WVL524241 D589840:D589864 IZ589753:IZ589777 SV589753:SV589777 ACR589753:ACR589777 AMN589753:AMN589777 AWJ589753:AWJ589777 BGF589753:BGF589777 BQB589753:BQB589777 BZX589753:BZX589777 CJT589753:CJT589777 CTP589753:CTP589777 DDL589753:DDL589777 DNH589753:DNH589777 DXD589753:DXD589777 EGZ589753:EGZ589777 EQV589753:EQV589777 FAR589753:FAR589777 FKN589753:FKN589777 FUJ589753:FUJ589777 GEF589753:GEF589777 GOB589753:GOB589777 GXX589753:GXX589777 HHT589753:HHT589777 HRP589753:HRP589777 IBL589753:IBL589777 ILH589753:ILH589777 IVD589753:IVD589777 JEZ589753:JEZ589777 JOV589753:JOV589777 JYR589753:JYR589777 KIN589753:KIN589777 KSJ589753:KSJ589777 LCF589753:LCF589777 LMB589753:LMB589777 LVX589753:LVX589777 MFT589753:MFT589777 MPP589753:MPP589777 MZL589753:MZL589777 NJH589753:NJH589777 NTD589753:NTD589777 OCZ589753:OCZ589777 OMV589753:OMV589777 OWR589753:OWR589777 PGN589753:PGN589777 PQJ589753:PQJ589777 QAF589753:QAF589777 QKB589753:QKB589777 QTX589753:QTX589777 RDT589753:RDT589777 RNP589753:RNP589777 RXL589753:RXL589777 SHH589753:SHH589777 SRD589753:SRD589777 TAZ589753:TAZ589777 TKV589753:TKV589777 TUR589753:TUR589777 UEN589753:UEN589777 UOJ589753:UOJ589777 UYF589753:UYF589777 VIB589753:VIB589777 VRX589753:VRX589777 WBT589753:WBT589777 WLP589753:WLP589777 WVL589753:WVL589777 D655376:D655400 IZ655289:IZ655313 SV655289:SV655313 ACR655289:ACR655313 AMN655289:AMN655313 AWJ655289:AWJ655313 BGF655289:BGF655313 BQB655289:BQB655313 BZX655289:BZX655313 CJT655289:CJT655313 CTP655289:CTP655313 DDL655289:DDL655313 DNH655289:DNH655313 DXD655289:DXD655313 EGZ655289:EGZ655313 EQV655289:EQV655313 FAR655289:FAR655313 FKN655289:FKN655313 FUJ655289:FUJ655313 GEF655289:GEF655313 GOB655289:GOB655313 GXX655289:GXX655313 HHT655289:HHT655313 HRP655289:HRP655313 IBL655289:IBL655313 ILH655289:ILH655313 IVD655289:IVD655313 JEZ655289:JEZ655313 JOV655289:JOV655313 JYR655289:JYR655313 KIN655289:KIN655313 KSJ655289:KSJ655313 LCF655289:LCF655313 LMB655289:LMB655313 LVX655289:LVX655313 MFT655289:MFT655313 MPP655289:MPP655313 MZL655289:MZL655313 NJH655289:NJH655313 NTD655289:NTD655313 OCZ655289:OCZ655313 OMV655289:OMV655313 OWR655289:OWR655313 PGN655289:PGN655313 PQJ655289:PQJ655313 QAF655289:QAF655313 QKB655289:QKB655313 QTX655289:QTX655313 RDT655289:RDT655313 RNP655289:RNP655313 RXL655289:RXL655313 SHH655289:SHH655313 SRD655289:SRD655313 TAZ655289:TAZ655313 TKV655289:TKV655313 TUR655289:TUR655313 UEN655289:UEN655313 UOJ655289:UOJ655313 UYF655289:UYF655313 VIB655289:VIB655313 VRX655289:VRX655313 WBT655289:WBT655313 WLP655289:WLP655313 WVL655289:WVL655313 D720912:D720936 IZ720825:IZ720849 SV720825:SV720849 ACR720825:ACR720849 AMN720825:AMN720849 AWJ720825:AWJ720849 BGF720825:BGF720849 BQB720825:BQB720849 BZX720825:BZX720849 CJT720825:CJT720849 CTP720825:CTP720849 DDL720825:DDL720849 DNH720825:DNH720849 DXD720825:DXD720849 EGZ720825:EGZ720849 EQV720825:EQV720849 FAR720825:FAR720849 FKN720825:FKN720849 FUJ720825:FUJ720849 GEF720825:GEF720849 GOB720825:GOB720849 GXX720825:GXX720849 HHT720825:HHT720849 HRP720825:HRP720849 IBL720825:IBL720849 ILH720825:ILH720849 IVD720825:IVD720849 JEZ720825:JEZ720849 JOV720825:JOV720849 JYR720825:JYR720849 KIN720825:KIN720849 KSJ720825:KSJ720849 LCF720825:LCF720849 LMB720825:LMB720849 LVX720825:LVX720849 MFT720825:MFT720849 MPP720825:MPP720849 MZL720825:MZL720849 NJH720825:NJH720849 NTD720825:NTD720849 OCZ720825:OCZ720849 OMV720825:OMV720849 OWR720825:OWR720849 PGN720825:PGN720849 PQJ720825:PQJ720849 QAF720825:QAF720849 QKB720825:QKB720849 QTX720825:QTX720849 RDT720825:RDT720849 RNP720825:RNP720849 RXL720825:RXL720849 SHH720825:SHH720849 SRD720825:SRD720849 TAZ720825:TAZ720849 TKV720825:TKV720849 TUR720825:TUR720849 UEN720825:UEN720849 UOJ720825:UOJ720849 UYF720825:UYF720849 VIB720825:VIB720849 VRX720825:VRX720849 WBT720825:WBT720849 WLP720825:WLP720849 WVL720825:WVL720849 D786448:D786472 IZ786361:IZ786385 SV786361:SV786385 ACR786361:ACR786385 AMN786361:AMN786385 AWJ786361:AWJ786385 BGF786361:BGF786385 BQB786361:BQB786385 BZX786361:BZX786385 CJT786361:CJT786385 CTP786361:CTP786385 DDL786361:DDL786385 DNH786361:DNH786385 DXD786361:DXD786385 EGZ786361:EGZ786385 EQV786361:EQV786385 FAR786361:FAR786385 FKN786361:FKN786385 FUJ786361:FUJ786385 GEF786361:GEF786385 GOB786361:GOB786385 GXX786361:GXX786385 HHT786361:HHT786385 HRP786361:HRP786385 IBL786361:IBL786385 ILH786361:ILH786385 IVD786361:IVD786385 JEZ786361:JEZ786385 JOV786361:JOV786385 JYR786361:JYR786385 KIN786361:KIN786385 KSJ786361:KSJ786385 LCF786361:LCF786385 LMB786361:LMB786385 LVX786361:LVX786385 MFT786361:MFT786385 MPP786361:MPP786385 MZL786361:MZL786385 NJH786361:NJH786385 NTD786361:NTD786385 OCZ786361:OCZ786385 OMV786361:OMV786385 OWR786361:OWR786385 PGN786361:PGN786385 PQJ786361:PQJ786385 QAF786361:QAF786385 QKB786361:QKB786385 QTX786361:QTX786385 RDT786361:RDT786385 RNP786361:RNP786385 RXL786361:RXL786385 SHH786361:SHH786385 SRD786361:SRD786385 TAZ786361:TAZ786385 TKV786361:TKV786385 TUR786361:TUR786385 UEN786361:UEN786385 UOJ786361:UOJ786385 UYF786361:UYF786385 VIB786361:VIB786385 VRX786361:VRX786385 WBT786361:WBT786385 WLP786361:WLP786385 WVL786361:WVL786385 D851984:D852008 IZ851897:IZ851921 SV851897:SV851921 ACR851897:ACR851921 AMN851897:AMN851921 AWJ851897:AWJ851921 BGF851897:BGF851921 BQB851897:BQB851921 BZX851897:BZX851921 CJT851897:CJT851921 CTP851897:CTP851921 DDL851897:DDL851921 DNH851897:DNH851921 DXD851897:DXD851921 EGZ851897:EGZ851921 EQV851897:EQV851921 FAR851897:FAR851921 FKN851897:FKN851921 FUJ851897:FUJ851921 GEF851897:GEF851921 GOB851897:GOB851921 GXX851897:GXX851921 HHT851897:HHT851921 HRP851897:HRP851921 IBL851897:IBL851921 ILH851897:ILH851921 IVD851897:IVD851921 JEZ851897:JEZ851921 JOV851897:JOV851921 JYR851897:JYR851921 KIN851897:KIN851921 KSJ851897:KSJ851921 LCF851897:LCF851921 LMB851897:LMB851921 LVX851897:LVX851921 MFT851897:MFT851921 MPP851897:MPP851921 MZL851897:MZL851921 NJH851897:NJH851921 NTD851897:NTD851921 OCZ851897:OCZ851921 OMV851897:OMV851921 OWR851897:OWR851921 PGN851897:PGN851921 PQJ851897:PQJ851921 QAF851897:QAF851921 QKB851897:QKB851921 QTX851897:QTX851921 RDT851897:RDT851921 RNP851897:RNP851921 RXL851897:RXL851921 SHH851897:SHH851921 SRD851897:SRD851921 TAZ851897:TAZ851921 TKV851897:TKV851921 TUR851897:TUR851921 UEN851897:UEN851921 UOJ851897:UOJ851921 UYF851897:UYF851921 VIB851897:VIB851921 VRX851897:VRX851921 WBT851897:WBT851921 WLP851897:WLP851921 WVL851897:WVL851921 D917520:D917544 IZ917433:IZ917457 SV917433:SV917457 ACR917433:ACR917457 AMN917433:AMN917457 AWJ917433:AWJ917457 BGF917433:BGF917457 BQB917433:BQB917457 BZX917433:BZX917457 CJT917433:CJT917457 CTP917433:CTP917457 DDL917433:DDL917457 DNH917433:DNH917457 DXD917433:DXD917457 EGZ917433:EGZ917457 EQV917433:EQV917457 FAR917433:FAR917457 FKN917433:FKN917457 FUJ917433:FUJ917457 GEF917433:GEF917457 GOB917433:GOB917457 GXX917433:GXX917457 HHT917433:HHT917457 HRP917433:HRP917457 IBL917433:IBL917457 ILH917433:ILH917457 IVD917433:IVD917457 JEZ917433:JEZ917457 JOV917433:JOV917457 JYR917433:JYR917457 KIN917433:KIN917457 KSJ917433:KSJ917457 LCF917433:LCF917457 LMB917433:LMB917457 LVX917433:LVX917457 MFT917433:MFT917457 MPP917433:MPP917457 MZL917433:MZL917457 NJH917433:NJH917457 NTD917433:NTD917457 OCZ917433:OCZ917457 OMV917433:OMV917457 OWR917433:OWR917457 PGN917433:PGN917457 PQJ917433:PQJ917457 QAF917433:QAF917457 QKB917433:QKB917457 QTX917433:QTX917457 RDT917433:RDT917457 RNP917433:RNP917457 RXL917433:RXL917457 SHH917433:SHH917457 SRD917433:SRD917457 TAZ917433:TAZ917457 TKV917433:TKV917457 TUR917433:TUR917457 UEN917433:UEN917457 UOJ917433:UOJ917457 UYF917433:UYF917457 VIB917433:VIB917457 VRX917433:VRX917457 WBT917433:WBT917457 WLP917433:WLP917457 WVL917433:WVL917457 D983056:D983080 IZ982969:IZ982993 SV982969:SV982993 ACR982969:ACR982993 AMN982969:AMN982993 AWJ982969:AWJ982993 BGF982969:BGF982993 BQB982969:BQB982993 BZX982969:BZX982993 CJT982969:CJT982993 CTP982969:CTP982993 DDL982969:DDL982993 DNH982969:DNH982993 DXD982969:DXD982993 EGZ982969:EGZ982993 EQV982969:EQV982993 FAR982969:FAR982993 FKN982969:FKN982993 FUJ982969:FUJ982993 GEF982969:GEF982993 GOB982969:GOB982993 GXX982969:GXX982993 HHT982969:HHT982993 HRP982969:HRP982993 IBL982969:IBL982993 ILH982969:ILH982993 IVD982969:IVD982993 JEZ982969:JEZ982993 JOV982969:JOV982993 JYR982969:JYR982993 KIN982969:KIN982993 KSJ982969:KSJ982993 LCF982969:LCF982993 LMB982969:LMB982993 LVX982969:LVX982993 MFT982969:MFT982993 MPP982969:MPP982993 MZL982969:MZL982993 NJH982969:NJH982993 NTD982969:NTD982993 OCZ982969:OCZ982993 OMV982969:OMV982993 OWR982969:OWR982993 PGN982969:PGN982993 PQJ982969:PQJ982993 QAF982969:QAF982993 QKB982969:QKB982993 QTX982969:QTX982993 RDT982969:RDT982993 RNP982969:RNP982993 RXL982969:RXL982993 SHH982969:SHH982993 SRD982969:SRD982993 TAZ982969:TAZ982993 TKV982969:TKV982993 TUR982969:TUR982993 UEN982969:UEN982993 UOJ982969:UOJ982993 UYF982969:UYF982993 VIB982969:VIB982993 VRX982969:VRX982993 WBT982969:WBT982993 WLP982969:WLP982993 JA10:JA1811 WVM10:WVM1811 WLQ10:WLQ1811 WBU10:WBU1811 VRY10:VRY1811 VIC10:VIC1811 UYG10:UYG1811 UOK10:UOK1811 UEO10:UEO1811 TUS10:TUS1811 TKW10:TKW1811 TBA10:TBA1811 SRE10:SRE1811 SHI10:SHI1811 RXM10:RXM1811 RNQ10:RNQ1811 RDU10:RDU1811 QTY10:QTY1811 QKC10:QKC1811 QAG10:QAG1811 PQK10:PQK1811 PGO10:PGO1811 OWS10:OWS1811 OMW10:OMW1811 ODA10:ODA1811 NTE10:NTE1811 NJI10:NJI1811 MZM10:MZM1811 MPQ10:MPQ1811 MFU10:MFU1811 LVY10:LVY1811 LMC10:LMC1811 LCG10:LCG1811 KSK10:KSK1811 KIO10:KIO1811 JYS10:JYS1811 JOW10:JOW1811 JFA10:JFA1811 IVE10:IVE1811 ILI10:ILI1811 IBM10:IBM1811 HRQ10:HRQ1811 HHU10:HHU1811 GXY10:GXY1811 GOC10:GOC1811 GEG10:GEG1811 FUK10:FUK1811 FKO10:FKO1811 FAS10:FAS1811 EQW10:EQW1811 EHA10:EHA1811 DXE10:DXE1811 DNI10:DNI1811 DDM10:DDM1811 CTQ10:CTQ1811 CJU10:CJU1811 BZY10:BZY1811 BQC10:BQC1811 BGG10:BGG1811 AWK10:AWK1811 AMO10:AMO1811 ACS10:ACS1811 SW10:SW1811" xr:uid="{00000000-0002-0000-2300-000011000000}"/>
    <dataValidation type="list" allowBlank="1" showInputMessage="1" showErrorMessage="1" sqref="AI10:AI1811 Y10:Y1811 AD10:AD1811 AN10:AN1811" xr:uid="{00000000-0002-0000-2300-000012000000}">
      <formula1>"Y,N"</formula1>
    </dataValidation>
    <dataValidation type="date" operator="greaterThanOrEqual" allowBlank="1" showInputMessage="1" showErrorMessage="1" prompt="For the service code in column &quot;B&quot; enter the begin date for the last 2 months of service during the review period and any month in which a break in service delivery took place" sqref="F10:F1811" xr:uid="{00000000-0002-0000-2300-000013000000}">
      <formula1>1</formula1>
    </dataValidation>
    <dataValidation type="date" operator="greaterThanOrEqual" allowBlank="1" showInputMessage="1" showErrorMessage="1" errorTitle="Date Error" error="Service end date cannot be earlier than the begin date." prompt="For the service code in column &quot;B&quot; enter the end date for the last 2 months of service during the review period and any month in which a break in service delivery took place" sqref="G10:G1811" xr:uid="{00000000-0002-0000-2300-000014000000}">
      <formula1>F10</formula1>
    </dataValidation>
    <dataValidation type="whole" allowBlank="1" showInputMessage="1" showErrorMessage="1" prompt="Enter the number of days in the month of review" sqref="H10:H1811" xr:uid="{00000000-0002-0000-2300-000015000000}">
      <formula1>1</formula1>
      <formula2>31</formula2>
    </dataValidation>
    <dataValidation type="decimal" operator="greaterThanOrEqual" allowBlank="1" showInputMessage="1" showErrorMessage="1" prompt="Enter the total number of units/days billed for the service code in column &quot;B&quot; for the month in review" sqref="I10:I1811" xr:uid="{00000000-0002-0000-2300-000016000000}">
      <formula1>0</formula1>
    </dataValidation>
    <dataValidation type="decimal" operator="greaterThanOrEqual" allowBlank="1" showInputMessage="1" showErrorMessage="1" sqref="J10:K1811 M10:U1811" xr:uid="{00000000-0002-0000-2300-000017000000}">
      <formula1>0</formula1>
    </dataValidation>
    <dataValidation type="textLength" operator="lessThanOrEqual" allowBlank="1" showInputMessage="1" showErrorMessage="1" sqref="Z10:AA1811 AE10:AF1811 AJ10:AK1811 AO10:AP1811" xr:uid="{00000000-0002-0000-2300-000018000000}">
      <formula1>255</formula1>
    </dataValidation>
    <dataValidation type="list" allowBlank="1" showInputMessage="1" showErrorMessage="1" sqref="A10:A1811" xr:uid="{00000000-0002-0000-2300-000019000000}">
      <formula1>"CCAD-RC"</formula1>
    </dataValidation>
    <dataValidation type="textLength" operator="lessThanOrEqual" allowBlank="1" showInputMessage="1" showErrorMessage="1" prompt="Enter the clients Last Name" sqref="C10:C1811" xr:uid="{00000000-0002-0000-2300-00001A000000}">
      <formula1>255</formula1>
    </dataValidation>
    <dataValidation type="textLength" operator="lessThanOrEqual" allowBlank="1" showInputMessage="1" showErrorMessage="1" prompt="Enter the clients First Name" sqref="D10:D1811" xr:uid="{00000000-0002-0000-2300-00001B000000}">
      <formula1>255</formula1>
    </dataValidation>
    <dataValidation allowBlank="1" showInputMessage="1" showErrorMessage="1" prompt="Enter applicable service code: 19I, 19J, 19K, 19L, 19N or 19O" sqref="E10:E1811" xr:uid="{00000000-0002-0000-2300-00001C000000}"/>
    <dataValidation type="textLength" operator="lessThan" allowBlank="1" showInputMessage="1" showErrorMessage="1" prompt="Enter the Clients ID Number" sqref="B10:B1811" xr:uid="{00000000-0002-0000-2300-00001D000000}">
      <formula1>50</formula1>
    </dataValidation>
  </dataValidations>
  <printOptions horizontalCentered="1"/>
  <pageMargins left="0.25" right="0.25" top="0.83" bottom="0.75" header="0.25" footer="0.25"/>
  <pageSetup scale="67" fitToHeight="23" orientation="landscape" r:id="rId7"/>
  <headerFooter>
    <oddHeader>&amp;L&amp;"Arial,Regular"&amp;8Texas Department of Aging 
and Disability Services&amp;C&amp;"Arial,Bold"&amp;12RESIDENTIAL CARE (RC)
RC REIMBURSEMENT&amp;RForm TBD
Page &amp;P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theme="5" tint="0.79998168889431442"/>
    <pageSetUpPr fitToPage="1"/>
  </sheetPr>
  <dimension ref="A1:R33"/>
  <sheetViews>
    <sheetView view="pageLayout" zoomScaleNormal="100" workbookViewId="0">
      <selection sqref="A1:XFD1048576"/>
    </sheetView>
  </sheetViews>
  <sheetFormatPr defaultRowHeight="14.5"/>
  <sheetData>
    <row r="1" spans="1:18" s="87" customFormat="1" ht="16" thickBot="1">
      <c r="A1" s="1752" t="s">
        <v>647</v>
      </c>
      <c r="B1" s="1753"/>
      <c r="C1" s="1753"/>
      <c r="D1" s="1753"/>
      <c r="E1" s="1753"/>
      <c r="F1" s="1753"/>
      <c r="G1" s="1753"/>
      <c r="H1" s="1753"/>
      <c r="I1" s="1753"/>
      <c r="J1" s="1753"/>
      <c r="K1" s="1754"/>
      <c r="L1" s="75"/>
      <c r="M1" s="75"/>
      <c r="N1" s="75"/>
      <c r="O1" s="75"/>
      <c r="P1" s="75"/>
      <c r="Q1" s="75"/>
      <c r="R1" s="75"/>
    </row>
    <row r="2" spans="1:18" s="87" customFormat="1" ht="15" customHeight="1">
      <c r="A2" s="1670" t="s">
        <v>673</v>
      </c>
      <c r="B2" s="1671"/>
      <c r="C2" s="1671"/>
      <c r="D2" s="1671"/>
      <c r="E2" s="1671"/>
      <c r="F2" s="1671"/>
      <c r="G2" s="1671"/>
      <c r="H2" s="1671"/>
      <c r="I2" s="1671"/>
      <c r="J2" s="1671"/>
      <c r="K2" s="1672"/>
      <c r="L2" s="75"/>
      <c r="M2" s="75"/>
      <c r="N2" s="75"/>
      <c r="O2" s="75"/>
      <c r="P2" s="75"/>
      <c r="Q2" s="75"/>
      <c r="R2" s="75"/>
    </row>
    <row r="3" spans="1:18" s="87" customFormat="1" ht="15.75" customHeight="1">
      <c r="A3" s="1673" t="s">
        <v>674</v>
      </c>
      <c r="B3" s="1674"/>
      <c r="C3" s="1674"/>
      <c r="D3" s="1674"/>
      <c r="E3" s="1674"/>
      <c r="F3" s="1674"/>
      <c r="G3" s="1674"/>
      <c r="H3" s="1674"/>
      <c r="I3" s="1674"/>
      <c r="J3" s="1674"/>
      <c r="K3" s="1675"/>
      <c r="L3" s="75"/>
      <c r="M3" s="75"/>
      <c r="N3" s="75"/>
      <c r="O3" s="75"/>
      <c r="P3" s="75"/>
      <c r="Q3" s="75"/>
      <c r="R3" s="75"/>
    </row>
    <row r="4" spans="1:18" s="87" customFormat="1" ht="15.75" customHeight="1">
      <c r="A4" s="1673" t="s">
        <v>648</v>
      </c>
      <c r="B4" s="1674"/>
      <c r="C4" s="1674"/>
      <c r="D4" s="1674"/>
      <c r="E4" s="1674"/>
      <c r="F4" s="1674"/>
      <c r="G4" s="1674"/>
      <c r="H4" s="1674"/>
      <c r="I4" s="1674"/>
      <c r="J4" s="1674"/>
      <c r="K4" s="1675"/>
      <c r="L4" s="75"/>
      <c r="M4" s="75"/>
      <c r="N4" s="75"/>
      <c r="O4" s="75"/>
      <c r="P4" s="75"/>
      <c r="Q4" s="75"/>
      <c r="R4" s="75"/>
    </row>
    <row r="5" spans="1:18" s="87" customFormat="1" ht="15.75" customHeight="1" thickBot="1">
      <c r="A5" s="1676" t="s">
        <v>649</v>
      </c>
      <c r="B5" s="1677"/>
      <c r="C5" s="1677"/>
      <c r="D5" s="1677"/>
      <c r="E5" s="1677"/>
      <c r="F5" s="1677"/>
      <c r="G5" s="1677"/>
      <c r="H5" s="1677"/>
      <c r="I5" s="1677"/>
      <c r="J5" s="1677"/>
      <c r="K5" s="1678"/>
      <c r="L5" s="75"/>
      <c r="M5" s="75"/>
      <c r="N5" s="75"/>
      <c r="O5" s="75"/>
      <c r="P5" s="75"/>
      <c r="Q5" s="75"/>
      <c r="R5" s="75"/>
    </row>
    <row r="6" spans="1:18" s="88" customFormat="1" ht="26.25" customHeight="1" thickBot="1">
      <c r="A6" s="1679" t="s">
        <v>1348</v>
      </c>
      <c r="B6" s="1680"/>
      <c r="C6" s="1680"/>
      <c r="D6" s="1680"/>
      <c r="E6" s="1680"/>
      <c r="F6" s="1680"/>
      <c r="G6" s="1680"/>
      <c r="H6" s="1680"/>
      <c r="I6" s="1680"/>
      <c r="J6" s="1680"/>
      <c r="K6" s="1681"/>
      <c r="L6" s="75"/>
      <c r="M6" s="75"/>
      <c r="N6" s="75"/>
      <c r="O6" s="75"/>
      <c r="P6" s="75"/>
      <c r="Q6" s="75"/>
      <c r="R6" s="75"/>
    </row>
    <row r="7" spans="1:18" s="87" customFormat="1" ht="15" customHeight="1">
      <c r="A7" s="116" t="s">
        <v>650</v>
      </c>
      <c r="B7" s="1659" t="s">
        <v>1298</v>
      </c>
      <c r="C7" s="1659"/>
      <c r="D7" s="1659"/>
      <c r="E7" s="1659"/>
      <c r="F7" s="1659"/>
      <c r="G7" s="1659"/>
      <c r="H7" s="1659"/>
      <c r="I7" s="1659"/>
      <c r="J7" s="1659"/>
      <c r="K7" s="1660"/>
      <c r="L7" s="75"/>
      <c r="M7" s="75"/>
      <c r="N7" s="75"/>
      <c r="O7" s="75"/>
      <c r="P7" s="75"/>
      <c r="Q7" s="75"/>
      <c r="R7" s="75"/>
    </row>
    <row r="8" spans="1:18" s="87" customFormat="1" ht="15" customHeight="1">
      <c r="A8" s="116" t="s">
        <v>651</v>
      </c>
      <c r="B8" s="1665" t="s">
        <v>652</v>
      </c>
      <c r="C8" s="1665"/>
      <c r="D8" s="1665"/>
      <c r="E8" s="1665"/>
      <c r="F8" s="1665"/>
      <c r="G8" s="1665"/>
      <c r="H8" s="1665"/>
      <c r="I8" s="1665"/>
      <c r="J8" s="1665"/>
      <c r="K8" s="1666"/>
      <c r="L8" s="75"/>
      <c r="M8" s="75"/>
      <c r="N8" s="75"/>
      <c r="O8" s="75"/>
      <c r="P8" s="75"/>
      <c r="Q8" s="75"/>
      <c r="R8" s="75"/>
    </row>
    <row r="9" spans="1:18" s="87" customFormat="1" ht="15" customHeight="1">
      <c r="A9" s="1663" t="s">
        <v>1349</v>
      </c>
      <c r="B9" s="1664"/>
      <c r="C9" s="1664"/>
      <c r="D9" s="1661" t="s">
        <v>1351</v>
      </c>
      <c r="E9" s="1661"/>
      <c r="F9" s="1661"/>
      <c r="G9" s="1661"/>
      <c r="H9" s="1661"/>
      <c r="I9" s="1661"/>
      <c r="J9" s="1661"/>
      <c r="K9" s="1662"/>
      <c r="L9" s="75"/>
      <c r="M9" s="75"/>
      <c r="N9" s="75"/>
      <c r="O9" s="75"/>
      <c r="P9" s="75"/>
      <c r="Q9" s="75"/>
    </row>
    <row r="10" spans="1:18" s="87" customFormat="1" ht="15" customHeight="1">
      <c r="A10" s="1663" t="s">
        <v>653</v>
      </c>
      <c r="B10" s="1664"/>
      <c r="C10" s="1664"/>
      <c r="D10" s="1661" t="s">
        <v>1352</v>
      </c>
      <c r="E10" s="1661"/>
      <c r="F10" s="1661"/>
      <c r="G10" s="1661"/>
      <c r="H10" s="1661"/>
      <c r="I10" s="1661"/>
      <c r="J10" s="1661"/>
      <c r="K10" s="1662"/>
      <c r="L10" s="75"/>
      <c r="M10" s="75"/>
      <c r="N10" s="75"/>
      <c r="O10" s="75"/>
      <c r="P10" s="75"/>
      <c r="Q10" s="75"/>
    </row>
    <row r="11" spans="1:18" s="87" customFormat="1" ht="15" customHeight="1">
      <c r="A11" s="1663" t="s">
        <v>1350</v>
      </c>
      <c r="B11" s="1664"/>
      <c r="C11" s="1664"/>
      <c r="D11" s="1661" t="s">
        <v>1353</v>
      </c>
      <c r="E11" s="1661"/>
      <c r="F11" s="1661"/>
      <c r="G11" s="1661"/>
      <c r="H11" s="1661"/>
      <c r="I11" s="1661"/>
      <c r="J11" s="1661"/>
      <c r="K11" s="1662"/>
      <c r="L11" s="75"/>
      <c r="M11" s="75"/>
      <c r="N11" s="75"/>
      <c r="O11" s="75"/>
      <c r="P11" s="75"/>
      <c r="Q11" s="75"/>
    </row>
    <row r="12" spans="1:18" s="87" customFormat="1" ht="24.75" customHeight="1">
      <c r="A12" s="116" t="s">
        <v>654</v>
      </c>
      <c r="B12" s="1665" t="s">
        <v>1432</v>
      </c>
      <c r="C12" s="1665"/>
      <c r="D12" s="1665"/>
      <c r="E12" s="1665"/>
      <c r="F12" s="1665"/>
      <c r="G12" s="1665"/>
      <c r="H12" s="1665"/>
      <c r="I12" s="1665"/>
      <c r="J12" s="1665"/>
      <c r="K12" s="1666"/>
      <c r="L12" s="75"/>
      <c r="M12" s="75"/>
      <c r="N12" s="75"/>
      <c r="O12" s="75"/>
      <c r="P12" s="75"/>
      <c r="Q12" s="75"/>
      <c r="R12" s="75"/>
    </row>
    <row r="13" spans="1:18" s="87" customFormat="1" ht="37.5" customHeight="1">
      <c r="A13" s="116" t="s">
        <v>655</v>
      </c>
      <c r="B13" s="1665" t="s">
        <v>675</v>
      </c>
      <c r="C13" s="1665"/>
      <c r="D13" s="1665"/>
      <c r="E13" s="1665"/>
      <c r="F13" s="1665"/>
      <c r="G13" s="1665"/>
      <c r="H13" s="1665"/>
      <c r="I13" s="1665"/>
      <c r="J13" s="1665"/>
      <c r="K13" s="1666"/>
      <c r="L13" s="75"/>
      <c r="M13" s="75"/>
      <c r="N13" s="75"/>
      <c r="O13" s="75"/>
      <c r="P13" s="75"/>
      <c r="Q13" s="75"/>
      <c r="R13" s="75"/>
    </row>
    <row r="14" spans="1:18" s="87" customFormat="1" ht="26.25" customHeight="1">
      <c r="A14" s="116" t="s">
        <v>656</v>
      </c>
      <c r="B14" s="1665" t="s">
        <v>676</v>
      </c>
      <c r="C14" s="1665"/>
      <c r="D14" s="1665"/>
      <c r="E14" s="1665"/>
      <c r="F14" s="1665"/>
      <c r="G14" s="1665"/>
      <c r="H14" s="1665"/>
      <c r="I14" s="1665"/>
      <c r="J14" s="1665"/>
      <c r="K14" s="1666"/>
      <c r="L14" s="75"/>
      <c r="M14" s="75"/>
      <c r="N14" s="75"/>
      <c r="O14" s="75"/>
      <c r="P14" s="75"/>
      <c r="Q14" s="75"/>
      <c r="R14" s="75"/>
    </row>
    <row r="15" spans="1:18" s="87" customFormat="1" ht="26.25" customHeight="1" thickBot="1">
      <c r="A15" s="116" t="s">
        <v>657</v>
      </c>
      <c r="B15" s="1665" t="s">
        <v>658</v>
      </c>
      <c r="C15" s="1665"/>
      <c r="D15" s="1665"/>
      <c r="E15" s="1665"/>
      <c r="F15" s="1665"/>
      <c r="G15" s="1665"/>
      <c r="H15" s="1665"/>
      <c r="I15" s="1665"/>
      <c r="J15" s="1665"/>
      <c r="K15" s="1666"/>
      <c r="L15" s="75"/>
      <c r="M15" s="75"/>
      <c r="N15" s="75"/>
      <c r="O15" s="75"/>
      <c r="P15" s="75"/>
      <c r="Q15" s="75"/>
      <c r="R15" s="75"/>
    </row>
    <row r="16" spans="1:18" s="87" customFormat="1" ht="15.75" customHeight="1" thickBot="1">
      <c r="A16" s="1679" t="s">
        <v>659</v>
      </c>
      <c r="B16" s="1680"/>
      <c r="C16" s="1680"/>
      <c r="D16" s="1680"/>
      <c r="E16" s="1680"/>
      <c r="F16" s="1680"/>
      <c r="G16" s="1680"/>
      <c r="H16" s="1680"/>
      <c r="I16" s="1680"/>
      <c r="J16" s="1680"/>
      <c r="K16" s="1681"/>
      <c r="L16" s="75"/>
      <c r="M16" s="75"/>
      <c r="N16" s="75"/>
      <c r="O16" s="75"/>
      <c r="P16" s="75"/>
      <c r="Q16" s="75"/>
      <c r="R16" s="75"/>
    </row>
    <row r="17" spans="1:18" s="87" customFormat="1" ht="37.5" customHeight="1">
      <c r="A17" s="1682" t="s">
        <v>660</v>
      </c>
      <c r="B17" s="1684" t="s">
        <v>677</v>
      </c>
      <c r="C17" s="1684"/>
      <c r="D17" s="1684"/>
      <c r="E17" s="1684"/>
      <c r="F17" s="1684"/>
      <c r="G17" s="1684"/>
      <c r="H17" s="1684"/>
      <c r="I17" s="1684"/>
      <c r="J17" s="1684"/>
      <c r="K17" s="1685"/>
      <c r="L17" s="75"/>
      <c r="M17" s="75"/>
      <c r="N17" s="75"/>
      <c r="O17" s="75"/>
      <c r="P17" s="75"/>
      <c r="Q17" s="75"/>
      <c r="R17" s="75"/>
    </row>
    <row r="18" spans="1:18" s="87" customFormat="1" ht="15" customHeight="1">
      <c r="A18" s="1683"/>
      <c r="B18" s="1661" t="s">
        <v>661</v>
      </c>
      <c r="C18" s="1661"/>
      <c r="D18" s="1661"/>
      <c r="E18" s="1661"/>
      <c r="F18" s="1661"/>
      <c r="G18" s="1661"/>
      <c r="H18" s="1661"/>
      <c r="I18" s="1661"/>
      <c r="J18" s="1661"/>
      <c r="K18" s="1662"/>
      <c r="L18" s="75"/>
      <c r="M18" s="75"/>
      <c r="N18" s="75"/>
      <c r="O18" s="75"/>
      <c r="P18" s="75"/>
      <c r="Q18" s="75"/>
      <c r="R18" s="75"/>
    </row>
    <row r="19" spans="1:18" s="87" customFormat="1" ht="15" customHeight="1">
      <c r="A19" s="1683"/>
      <c r="B19" s="1755" t="s">
        <v>1427</v>
      </c>
      <c r="C19" s="1756"/>
      <c r="D19" s="1756"/>
      <c r="E19" s="1756"/>
      <c r="F19" s="1756"/>
      <c r="G19" s="1756"/>
      <c r="H19" s="1756"/>
      <c r="I19" s="1756"/>
      <c r="J19" s="1756"/>
      <c r="K19" s="1757"/>
      <c r="L19" s="75"/>
      <c r="M19" s="75"/>
      <c r="N19" s="75"/>
      <c r="O19" s="75"/>
      <c r="P19" s="75"/>
      <c r="Q19" s="75"/>
      <c r="R19" s="75"/>
    </row>
    <row r="20" spans="1:18" s="87" customFormat="1" ht="25.5" customHeight="1">
      <c r="A20" s="1683" t="s">
        <v>662</v>
      </c>
      <c r="B20" s="1665" t="s">
        <v>663</v>
      </c>
      <c r="C20" s="1665"/>
      <c r="D20" s="1665"/>
      <c r="E20" s="1665"/>
      <c r="F20" s="1665"/>
      <c r="G20" s="1665"/>
      <c r="H20" s="1665"/>
      <c r="I20" s="1665"/>
      <c r="J20" s="1665"/>
      <c r="K20" s="1666"/>
      <c r="L20" s="75"/>
      <c r="M20" s="75"/>
      <c r="N20" s="75"/>
      <c r="O20" s="75"/>
      <c r="P20" s="75"/>
      <c r="Q20" s="75"/>
      <c r="R20" s="75"/>
    </row>
    <row r="21" spans="1:18" s="87" customFormat="1" ht="37.5" customHeight="1" thickBot="1">
      <c r="A21" s="1695"/>
      <c r="B21" s="1665" t="s">
        <v>1299</v>
      </c>
      <c r="C21" s="1665"/>
      <c r="D21" s="1665"/>
      <c r="E21" s="1665"/>
      <c r="F21" s="1665"/>
      <c r="G21" s="1665"/>
      <c r="H21" s="1665"/>
      <c r="I21" s="1665"/>
      <c r="J21" s="1665"/>
      <c r="K21" s="1666"/>
      <c r="L21" s="75"/>
      <c r="M21" s="75"/>
      <c r="N21" s="75"/>
      <c r="O21" s="75"/>
      <c r="P21" s="75"/>
      <c r="Q21" s="75"/>
      <c r="R21" s="75"/>
    </row>
    <row r="22" spans="1:18" s="87" customFormat="1" ht="15.75" customHeight="1" thickBot="1">
      <c r="A22" s="1679" t="s">
        <v>611</v>
      </c>
      <c r="B22" s="1680"/>
      <c r="C22" s="1680"/>
      <c r="D22" s="1680"/>
      <c r="E22" s="1680"/>
      <c r="F22" s="1680"/>
      <c r="G22" s="1680"/>
      <c r="H22" s="1680"/>
      <c r="I22" s="1680"/>
      <c r="J22" s="1680"/>
      <c r="K22" s="1681"/>
      <c r="L22" s="75"/>
      <c r="M22" s="75"/>
      <c r="N22" s="75"/>
      <c r="O22" s="75"/>
      <c r="P22" s="75"/>
      <c r="Q22" s="75"/>
      <c r="R22" s="75"/>
    </row>
    <row r="23" spans="1:18" s="87" customFormat="1" ht="24.75" customHeight="1">
      <c r="A23" s="114" t="s">
        <v>664</v>
      </c>
      <c r="B23" s="1684" t="s">
        <v>665</v>
      </c>
      <c r="C23" s="1684"/>
      <c r="D23" s="1684"/>
      <c r="E23" s="1684"/>
      <c r="F23" s="1684"/>
      <c r="G23" s="1684"/>
      <c r="H23" s="1684"/>
      <c r="I23" s="1684"/>
      <c r="J23" s="1684"/>
      <c r="K23" s="1685"/>
      <c r="L23" s="75"/>
      <c r="M23" s="75"/>
      <c r="N23" s="75"/>
      <c r="O23" s="75"/>
      <c r="P23" s="75"/>
      <c r="Q23" s="75"/>
      <c r="R23" s="75"/>
    </row>
    <row r="24" spans="1:18" s="87" customFormat="1" ht="15" customHeight="1">
      <c r="A24" s="115" t="s">
        <v>666</v>
      </c>
      <c r="B24" s="1665" t="s">
        <v>667</v>
      </c>
      <c r="C24" s="1665"/>
      <c r="D24" s="1665"/>
      <c r="E24" s="1665"/>
      <c r="F24" s="1665"/>
      <c r="G24" s="1665"/>
      <c r="H24" s="1665"/>
      <c r="I24" s="1665"/>
      <c r="J24" s="1665"/>
      <c r="K24" s="1666"/>
      <c r="L24" s="75"/>
      <c r="M24" s="75"/>
      <c r="N24" s="75"/>
      <c r="O24" s="75"/>
      <c r="P24" s="75"/>
      <c r="Q24" s="75"/>
      <c r="R24" s="75"/>
    </row>
    <row r="25" spans="1:18" s="87" customFormat="1" ht="26.25" customHeight="1">
      <c r="A25" s="115" t="s">
        <v>668</v>
      </c>
      <c r="B25" s="1665" t="s">
        <v>1354</v>
      </c>
      <c r="C25" s="1665"/>
      <c r="D25" s="1665"/>
      <c r="E25" s="1665"/>
      <c r="F25" s="1665"/>
      <c r="G25" s="1665"/>
      <c r="H25" s="1665"/>
      <c r="I25" s="1665"/>
      <c r="J25" s="1665"/>
      <c r="K25" s="1666"/>
      <c r="L25" s="75"/>
      <c r="M25" s="75"/>
      <c r="N25" s="75"/>
      <c r="O25" s="75"/>
      <c r="P25" s="75"/>
      <c r="Q25" s="75"/>
      <c r="R25" s="75"/>
    </row>
    <row r="26" spans="1:18" s="87" customFormat="1" ht="15" customHeight="1">
      <c r="A26" s="1746" t="s">
        <v>669</v>
      </c>
      <c r="B26" s="1747"/>
      <c r="C26" s="1747"/>
      <c r="D26" s="1747"/>
      <c r="E26" s="1747"/>
      <c r="F26" s="1747"/>
      <c r="G26" s="1747"/>
      <c r="H26" s="1747"/>
      <c r="I26" s="1747"/>
      <c r="J26" s="1747"/>
      <c r="K26" s="1748"/>
      <c r="L26" s="75"/>
      <c r="M26" s="75"/>
      <c r="N26" s="75"/>
      <c r="O26" s="75"/>
      <c r="P26" s="75"/>
      <c r="Q26" s="75"/>
      <c r="R26" s="75"/>
    </row>
    <row r="27" spans="1:18" s="87" customFormat="1" ht="37.5" customHeight="1">
      <c r="A27" s="1746" t="s">
        <v>678</v>
      </c>
      <c r="B27" s="1747"/>
      <c r="C27" s="1747"/>
      <c r="D27" s="1747"/>
      <c r="E27" s="1747"/>
      <c r="F27" s="1747"/>
      <c r="G27" s="1747"/>
      <c r="H27" s="1747"/>
      <c r="I27" s="1747"/>
      <c r="J27" s="1747"/>
      <c r="K27" s="1748"/>
      <c r="L27" s="75"/>
      <c r="M27" s="75"/>
      <c r="N27" s="75"/>
      <c r="O27" s="75"/>
      <c r="P27" s="75"/>
      <c r="Q27" s="75"/>
      <c r="R27" s="75"/>
    </row>
    <row r="28" spans="1:18" s="87" customFormat="1" ht="26.25" customHeight="1">
      <c r="A28" s="1746" t="s">
        <v>670</v>
      </c>
      <c r="B28" s="1747"/>
      <c r="C28" s="1747"/>
      <c r="D28" s="1747"/>
      <c r="E28" s="1747"/>
      <c r="F28" s="1747"/>
      <c r="G28" s="1747"/>
      <c r="H28" s="1747"/>
      <c r="I28" s="1747"/>
      <c r="J28" s="1747"/>
      <c r="K28" s="1748"/>
      <c r="L28" s="75"/>
      <c r="M28" s="75"/>
      <c r="N28" s="75"/>
      <c r="O28" s="75"/>
      <c r="P28" s="75"/>
      <c r="Q28" s="75"/>
      <c r="R28" s="75"/>
    </row>
    <row r="29" spans="1:18" s="87" customFormat="1" ht="15" customHeight="1">
      <c r="A29" s="115" t="s">
        <v>671</v>
      </c>
      <c r="B29" s="1665" t="s">
        <v>1494</v>
      </c>
      <c r="C29" s="1665"/>
      <c r="D29" s="1665"/>
      <c r="E29" s="1665"/>
      <c r="F29" s="1665"/>
      <c r="G29" s="1665"/>
      <c r="H29" s="1665"/>
      <c r="I29" s="1665"/>
      <c r="J29" s="1665"/>
      <c r="K29" s="1666"/>
      <c r="L29" s="75"/>
      <c r="M29" s="75"/>
      <c r="N29" s="75"/>
      <c r="O29" s="75"/>
      <c r="P29" s="75"/>
      <c r="Q29" s="75"/>
      <c r="R29" s="75"/>
    </row>
    <row r="30" spans="1:18" s="87" customFormat="1" ht="26.25" customHeight="1">
      <c r="A30" s="1746" t="s">
        <v>1495</v>
      </c>
      <c r="B30" s="1747"/>
      <c r="C30" s="1747"/>
      <c r="D30" s="1747"/>
      <c r="E30" s="1747"/>
      <c r="F30" s="1747"/>
      <c r="G30" s="1747"/>
      <c r="H30" s="1747"/>
      <c r="I30" s="1747"/>
      <c r="J30" s="1747"/>
      <c r="K30" s="1748"/>
      <c r="L30" s="75"/>
      <c r="M30" s="75"/>
      <c r="N30" s="75"/>
      <c r="O30" s="75"/>
      <c r="P30" s="75"/>
    </row>
    <row r="31" spans="1:18" s="87" customFormat="1" ht="30" customHeight="1">
      <c r="A31" s="1749" t="s">
        <v>1481</v>
      </c>
      <c r="B31" s="1750"/>
      <c r="C31" s="1750"/>
      <c r="D31" s="1750"/>
      <c r="E31" s="1750"/>
      <c r="F31" s="1750"/>
      <c r="G31" s="1750"/>
      <c r="H31" s="1750"/>
      <c r="I31" s="1750"/>
      <c r="J31" s="1750"/>
      <c r="K31" s="1751"/>
      <c r="L31" s="75"/>
      <c r="M31" s="75"/>
      <c r="N31" s="75"/>
      <c r="O31" s="75"/>
      <c r="P31" s="75"/>
    </row>
    <row r="32" spans="1:18" s="87" customFormat="1" ht="26.25" customHeight="1">
      <c r="A32" s="1746" t="s">
        <v>1482</v>
      </c>
      <c r="B32" s="1747"/>
      <c r="C32" s="1747"/>
      <c r="D32" s="1747"/>
      <c r="E32" s="1747"/>
      <c r="F32" s="1747"/>
      <c r="G32" s="1747"/>
      <c r="H32" s="1747"/>
      <c r="I32" s="1747"/>
      <c r="J32" s="1747"/>
      <c r="K32" s="1748"/>
      <c r="L32" s="75"/>
      <c r="M32" s="75"/>
      <c r="N32" s="75"/>
      <c r="O32" s="75"/>
      <c r="P32" s="75"/>
    </row>
    <row r="33" spans="1:16" s="87" customFormat="1" ht="15.75" customHeight="1" thickBot="1">
      <c r="A33" s="1743" t="s">
        <v>672</v>
      </c>
      <c r="B33" s="1744"/>
      <c r="C33" s="1744"/>
      <c r="D33" s="1744"/>
      <c r="E33" s="1744"/>
      <c r="F33" s="1744"/>
      <c r="G33" s="1744"/>
      <c r="H33" s="1744"/>
      <c r="I33" s="1744"/>
      <c r="J33" s="1744"/>
      <c r="K33" s="1745"/>
      <c r="L33" s="75"/>
      <c r="M33" s="75"/>
      <c r="N33" s="75"/>
      <c r="O33" s="75"/>
      <c r="P33" s="75"/>
    </row>
  </sheetData>
  <sheetProtection password="A541" sheet="1" objects="1" scenarios="1"/>
  <customSheetViews>
    <customSheetView guid="{A81B7E59-6D30-48F0-895B-EADA4D6F68AC}" showPageBreaks="1" fitToPage="1" state="hidden" view="pageLayout">
      <selection sqref="A1:XFD1048576"/>
      <pageMargins left="0.25" right="0.25" top="0.75" bottom="0.5" header="0.25" footer="0.25"/>
      <pageSetup fitToHeight="0" orientation="portrait" r:id="rId1"/>
    </customSheetView>
    <customSheetView guid="{B2091B36-14EA-49EC-93AF-D5AA205EF0C1}" fitToPage="1">
      <selection sqref="A1:K1"/>
      <pageMargins left="0.25" right="0.25" top="0.75" bottom="0.5" header="0.25" footer="0.25"/>
      <pageSetup fitToHeight="0" orientation="portrait" r:id="rId2"/>
    </customSheetView>
    <customSheetView guid="{A9399441-FD69-4FCC-BF3B-6E447DD9FB6A}" fitToPage="1">
      <selection sqref="A1:K1"/>
      <pageMargins left="0.25" right="0.25" top="0.75" bottom="0.5" header="0.25" footer="0.25"/>
      <pageSetup fitToHeight="0" orientation="portrait" r:id="rId3"/>
    </customSheetView>
  </customSheetViews>
  <mergeCells count="38">
    <mergeCell ref="B12:K12"/>
    <mergeCell ref="B23:K23"/>
    <mergeCell ref="A17:A19"/>
    <mergeCell ref="A20:A21"/>
    <mergeCell ref="B18:K18"/>
    <mergeCell ref="B19:K19"/>
    <mergeCell ref="B20:K20"/>
    <mergeCell ref="B15:K15"/>
    <mergeCell ref="A16:K16"/>
    <mergeCell ref="B17:K17"/>
    <mergeCell ref="B13:K13"/>
    <mergeCell ref="B14:K14"/>
    <mergeCell ref="A1:K1"/>
    <mergeCell ref="A2:K2"/>
    <mergeCell ref="A3:K3"/>
    <mergeCell ref="A4:K4"/>
    <mergeCell ref="D11:K11"/>
    <mergeCell ref="A5:K5"/>
    <mergeCell ref="A6:K6"/>
    <mergeCell ref="B8:K8"/>
    <mergeCell ref="A9:C9"/>
    <mergeCell ref="B7:K7"/>
    <mergeCell ref="A10:C10"/>
    <mergeCell ref="A11:C11"/>
    <mergeCell ref="D9:K9"/>
    <mergeCell ref="D10:K10"/>
    <mergeCell ref="A33:K33"/>
    <mergeCell ref="B29:K29"/>
    <mergeCell ref="A28:K28"/>
    <mergeCell ref="A30:K30"/>
    <mergeCell ref="B21:K21"/>
    <mergeCell ref="A22:K22"/>
    <mergeCell ref="B24:K24"/>
    <mergeCell ref="B25:K25"/>
    <mergeCell ref="A27:K27"/>
    <mergeCell ref="A31:K31"/>
    <mergeCell ref="A32:K32"/>
    <mergeCell ref="A26:K26"/>
  </mergeCells>
  <hyperlinks>
    <hyperlink ref="B19" r:id="rId4" location="sec4581" xr:uid="{00000000-0004-0000-2400-000000000000}"/>
  </hyperlinks>
  <pageMargins left="0.25" right="0.25" top="0.75" bottom="0.5" header="0.25" footer="0.25"/>
  <pageSetup fitToHeight="0" orientation="portrait"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S371"/>
  <sheetViews>
    <sheetView zoomScaleNormal="100" workbookViewId="0">
      <pane ySplit="9" topLeftCell="A10" activePane="bottomLeft" state="frozen"/>
      <selection pane="bottomLeft" activeCell="A10" sqref="A1:XFD1048576"/>
    </sheetView>
  </sheetViews>
  <sheetFormatPr defaultColWidth="9.08984375" defaultRowHeight="14.5"/>
  <cols>
    <col min="2" max="2" width="18.08984375" customWidth="1"/>
    <col min="9" max="9" width="11.36328125" customWidth="1"/>
    <col min="10" max="10" width="11.90625" customWidth="1"/>
  </cols>
  <sheetData>
    <row r="1" spans="1:19" s="1" customFormat="1" ht="30" customHeight="1" thickTop="1">
      <c r="A1" s="838" t="s">
        <v>0</v>
      </c>
      <c r="B1" s="839"/>
      <c r="C1" s="839"/>
      <c r="D1" s="840"/>
      <c r="E1" s="499" t="s">
        <v>1294</v>
      </c>
      <c r="F1" s="501"/>
      <c r="G1" s="499" t="s">
        <v>1</v>
      </c>
      <c r="H1" s="501"/>
      <c r="I1" s="499" t="s">
        <v>2</v>
      </c>
      <c r="J1" s="501"/>
      <c r="K1" s="23"/>
    </row>
    <row r="2" spans="1:19" s="1" customFormat="1" ht="16" thickBot="1">
      <c r="A2" s="1495">
        <f>NameOfLegalEntity</f>
        <v>0</v>
      </c>
      <c r="B2" s="1496"/>
      <c r="C2" s="1496"/>
      <c r="D2" s="1497"/>
      <c r="E2" s="1498">
        <f>SingleCare3Facility</f>
        <v>0</v>
      </c>
      <c r="F2" s="1499"/>
      <c r="G2" s="1498">
        <f>ReviewLevel</f>
        <v>0</v>
      </c>
      <c r="H2" s="1499"/>
      <c r="I2" s="1498">
        <f>ReviewType</f>
        <v>0</v>
      </c>
      <c r="J2" s="1499"/>
      <c r="K2" s="23"/>
    </row>
    <row r="3" spans="1:19" s="1" customFormat="1" ht="15.75" customHeight="1" thickTop="1">
      <c r="A3" s="1500" t="s">
        <v>3</v>
      </c>
      <c r="B3" s="1356"/>
      <c r="C3" s="499" t="s">
        <v>4</v>
      </c>
      <c r="D3" s="501"/>
      <c r="E3" s="499" t="s">
        <v>5</v>
      </c>
      <c r="F3" s="501"/>
      <c r="G3" s="499" t="s">
        <v>5</v>
      </c>
      <c r="H3" s="501"/>
      <c r="I3" s="499" t="s">
        <v>1381</v>
      </c>
      <c r="J3" s="501"/>
      <c r="K3" s="23"/>
    </row>
    <row r="4" spans="1:19" s="1" customFormat="1" ht="15" customHeight="1">
      <c r="A4" s="11" t="s">
        <v>7</v>
      </c>
      <c r="B4" s="289">
        <f>CompletedByLastName</f>
        <v>0</v>
      </c>
      <c r="C4" s="502" t="s">
        <v>8</v>
      </c>
      <c r="D4" s="504"/>
      <c r="E4" s="502" t="s">
        <v>9</v>
      </c>
      <c r="F4" s="504"/>
      <c r="G4" s="502" t="s">
        <v>1430</v>
      </c>
      <c r="H4" s="504"/>
      <c r="I4" s="2" t="s">
        <v>10</v>
      </c>
      <c r="J4" s="291" t="str">
        <f>IF(MonitoringPeriodBeginDate="","",MonitoringPeriodBeginDate)</f>
        <v/>
      </c>
      <c r="L4" s="93"/>
    </row>
    <row r="5" spans="1:19" s="1" customFormat="1" ht="16.5" customHeight="1" thickBot="1">
      <c r="A5" s="296" t="s">
        <v>11</v>
      </c>
      <c r="B5" s="292">
        <f>CompletedByFirstName</f>
        <v>0</v>
      </c>
      <c r="C5" s="1501" t="str">
        <f>IF(DateOfEntrance="","",DateOfEntrance)</f>
        <v/>
      </c>
      <c r="D5" s="1502"/>
      <c r="E5" s="1501" t="str">
        <f>IF(DateOfExit="","",DateOfExit)</f>
        <v/>
      </c>
      <c r="F5" s="1502"/>
      <c r="G5" s="1501" t="str">
        <f>IF(DateOfRevisedExit="","",DateOfRevisedExit)</f>
        <v/>
      </c>
      <c r="H5" s="1502"/>
      <c r="I5" s="286" t="s">
        <v>12</v>
      </c>
      <c r="J5" s="295" t="str">
        <f>IF(MonitoringPeriodEndDate="","",MonitoringPeriodEndDate)</f>
        <v/>
      </c>
      <c r="L5" s="83"/>
    </row>
    <row r="6" spans="1:19" s="86" customFormat="1" ht="16.5" customHeight="1" thickTop="1" thickBot="1">
      <c r="A6" s="1758" t="s">
        <v>1355</v>
      </c>
      <c r="B6" s="1759"/>
      <c r="C6" s="1759"/>
      <c r="D6" s="1759"/>
      <c r="E6" s="1759"/>
      <c r="F6" s="1759"/>
      <c r="G6" s="1759"/>
      <c r="H6" s="1759"/>
      <c r="I6" s="1759"/>
      <c r="J6" s="1760"/>
      <c r="K6" s="1705" t="s">
        <v>610</v>
      </c>
      <c r="L6" s="1706"/>
      <c r="M6" s="1705" t="s">
        <v>611</v>
      </c>
      <c r="N6" s="1706"/>
      <c r="O6" s="1707"/>
      <c r="P6" s="1668" t="s">
        <v>646</v>
      </c>
      <c r="Q6" s="1668"/>
      <c r="R6" s="1668"/>
      <c r="S6" s="1669"/>
    </row>
    <row r="7" spans="1:19" s="81" customFormat="1" ht="15.75" customHeight="1" thickBot="1">
      <c r="A7" s="1761" t="s">
        <v>56</v>
      </c>
      <c r="B7" s="1761"/>
      <c r="C7" s="1761"/>
      <c r="D7" s="1762"/>
      <c r="E7" s="65" t="s">
        <v>57</v>
      </c>
      <c r="F7" s="1732" t="s">
        <v>58</v>
      </c>
      <c r="G7" s="1732"/>
      <c r="H7" s="66" t="s">
        <v>59</v>
      </c>
      <c r="I7" s="66" t="s">
        <v>60</v>
      </c>
      <c r="J7" s="67" t="s">
        <v>61</v>
      </c>
      <c r="K7" s="68" t="s">
        <v>62</v>
      </c>
      <c r="L7" s="66" t="s">
        <v>63</v>
      </c>
      <c r="M7" s="68" t="s">
        <v>64</v>
      </c>
      <c r="N7" s="66" t="s">
        <v>91</v>
      </c>
      <c r="O7" s="449" t="s">
        <v>92</v>
      </c>
      <c r="P7" s="1766" t="s">
        <v>93</v>
      </c>
      <c r="Q7" s="1725"/>
      <c r="R7" s="1725"/>
      <c r="S7" s="1726"/>
    </row>
    <row r="8" spans="1:19" s="84" customFormat="1" ht="120" customHeight="1">
      <c r="A8" s="1763" t="s">
        <v>72</v>
      </c>
      <c r="B8" s="1722" t="s">
        <v>1417</v>
      </c>
      <c r="C8" s="1722" t="s">
        <v>1418</v>
      </c>
      <c r="D8" s="1722"/>
      <c r="E8" s="1722" t="s">
        <v>618</v>
      </c>
      <c r="F8" s="1722" t="s">
        <v>619</v>
      </c>
      <c r="G8" s="1722"/>
      <c r="H8" s="1722" t="s">
        <v>773</v>
      </c>
      <c r="I8" s="1722" t="s">
        <v>774</v>
      </c>
      <c r="J8" s="1722" t="s">
        <v>775</v>
      </c>
      <c r="K8" s="1722" t="s">
        <v>776</v>
      </c>
      <c r="L8" s="1767" t="s">
        <v>777</v>
      </c>
      <c r="M8" s="1722" t="s">
        <v>1297</v>
      </c>
      <c r="N8" s="1767" t="s">
        <v>778</v>
      </c>
      <c r="O8" s="1722" t="s">
        <v>779</v>
      </c>
      <c r="P8" s="1722" t="s">
        <v>1496</v>
      </c>
      <c r="Q8" s="1722"/>
      <c r="R8" s="1722"/>
      <c r="S8" s="1769"/>
    </row>
    <row r="9" spans="1:19" s="363" customFormat="1" ht="38.25" customHeight="1" thickBot="1">
      <c r="A9" s="1764"/>
      <c r="B9" s="1723"/>
      <c r="C9" s="127" t="s">
        <v>42</v>
      </c>
      <c r="D9" s="127" t="s">
        <v>1419</v>
      </c>
      <c r="E9" s="1723"/>
      <c r="F9" s="336" t="s">
        <v>642</v>
      </c>
      <c r="G9" s="336" t="s">
        <v>780</v>
      </c>
      <c r="H9" s="1723"/>
      <c r="I9" s="1723"/>
      <c r="J9" s="1723"/>
      <c r="K9" s="1723"/>
      <c r="L9" s="1768"/>
      <c r="M9" s="1723"/>
      <c r="N9" s="1768"/>
      <c r="O9" s="1723"/>
      <c r="P9" s="336" t="s">
        <v>645</v>
      </c>
      <c r="Q9" s="1723" t="s">
        <v>646</v>
      </c>
      <c r="R9" s="1723"/>
      <c r="S9" s="1765"/>
    </row>
    <row r="10" spans="1:19" s="85" customFormat="1" ht="13">
      <c r="A10" s="462"/>
      <c r="B10" s="463"/>
      <c r="C10" s="464"/>
      <c r="D10" s="464"/>
      <c r="E10" s="465"/>
      <c r="F10" s="466"/>
      <c r="G10" s="466"/>
      <c r="H10" s="467"/>
      <c r="I10" s="468"/>
      <c r="J10" s="89">
        <f>IF(H10=0,0,(+I10)/H10)</f>
        <v>0</v>
      </c>
      <c r="K10" s="469"/>
      <c r="L10" s="470"/>
      <c r="M10" s="64">
        <f>+K10*L10</f>
        <v>0</v>
      </c>
      <c r="N10" s="90">
        <f>+K10-H10</f>
        <v>0</v>
      </c>
      <c r="O10" s="89">
        <f>+M10-I10</f>
        <v>0</v>
      </c>
      <c r="P10" s="471"/>
      <c r="Q10" s="1773"/>
      <c r="R10" s="1774"/>
      <c r="S10" s="1775"/>
    </row>
    <row r="11" spans="1:19" s="85" customFormat="1" ht="13">
      <c r="A11" s="472"/>
      <c r="B11" s="473"/>
      <c r="C11" s="474"/>
      <c r="D11" s="474"/>
      <c r="E11" s="475"/>
      <c r="F11" s="476"/>
      <c r="G11" s="476"/>
      <c r="H11" s="477"/>
      <c r="I11" s="478"/>
      <c r="J11" s="89">
        <f t="shared" ref="J11:J74" si="0">IF(H11=0,0,(+I11)/H11)</f>
        <v>0</v>
      </c>
      <c r="K11" s="479"/>
      <c r="L11" s="480"/>
      <c r="M11" s="64">
        <f t="shared" ref="M11:M74" si="1">+K11*L11</f>
        <v>0</v>
      </c>
      <c r="N11" s="90">
        <f t="shared" ref="N11:N74" si="2">+K11-H11</f>
        <v>0</v>
      </c>
      <c r="O11" s="139">
        <f t="shared" ref="O11:O74" si="3">+M11-I11</f>
        <v>0</v>
      </c>
      <c r="P11" s="481"/>
      <c r="Q11" s="1770"/>
      <c r="R11" s="1771"/>
      <c r="S11" s="1772"/>
    </row>
    <row r="12" spans="1:19" s="85" customFormat="1" ht="13">
      <c r="A12" s="472"/>
      <c r="B12" s="473"/>
      <c r="C12" s="474"/>
      <c r="D12" s="474"/>
      <c r="E12" s="475"/>
      <c r="F12" s="476"/>
      <c r="G12" s="476"/>
      <c r="H12" s="477"/>
      <c r="I12" s="478"/>
      <c r="J12" s="89">
        <f t="shared" si="0"/>
        <v>0</v>
      </c>
      <c r="K12" s="479"/>
      <c r="L12" s="480"/>
      <c r="M12" s="64">
        <f t="shared" si="1"/>
        <v>0</v>
      </c>
      <c r="N12" s="90">
        <f t="shared" si="2"/>
        <v>0</v>
      </c>
      <c r="O12" s="139">
        <f t="shared" si="3"/>
        <v>0</v>
      </c>
      <c r="P12" s="481"/>
      <c r="Q12" s="1770"/>
      <c r="R12" s="1771"/>
      <c r="S12" s="1772"/>
    </row>
    <row r="13" spans="1:19" s="85" customFormat="1" ht="13">
      <c r="A13" s="472"/>
      <c r="B13" s="473"/>
      <c r="C13" s="474"/>
      <c r="D13" s="474"/>
      <c r="E13" s="475"/>
      <c r="F13" s="476"/>
      <c r="G13" s="476"/>
      <c r="H13" s="477"/>
      <c r="I13" s="478"/>
      <c r="J13" s="89">
        <f t="shared" si="0"/>
        <v>0</v>
      </c>
      <c r="K13" s="479"/>
      <c r="L13" s="480"/>
      <c r="M13" s="64">
        <f t="shared" si="1"/>
        <v>0</v>
      </c>
      <c r="N13" s="90">
        <f t="shared" si="2"/>
        <v>0</v>
      </c>
      <c r="O13" s="139">
        <f t="shared" si="3"/>
        <v>0</v>
      </c>
      <c r="P13" s="481"/>
      <c r="Q13" s="1770"/>
      <c r="R13" s="1771"/>
      <c r="S13" s="1772"/>
    </row>
    <row r="14" spans="1:19" s="85" customFormat="1" ht="13">
      <c r="A14" s="472"/>
      <c r="B14" s="473"/>
      <c r="C14" s="474"/>
      <c r="D14" s="474"/>
      <c r="E14" s="475"/>
      <c r="F14" s="476"/>
      <c r="G14" s="476"/>
      <c r="H14" s="477"/>
      <c r="I14" s="478"/>
      <c r="J14" s="89">
        <f t="shared" si="0"/>
        <v>0</v>
      </c>
      <c r="K14" s="479"/>
      <c r="L14" s="480"/>
      <c r="M14" s="64">
        <f t="shared" si="1"/>
        <v>0</v>
      </c>
      <c r="N14" s="90">
        <f t="shared" si="2"/>
        <v>0</v>
      </c>
      <c r="O14" s="139">
        <f t="shared" si="3"/>
        <v>0</v>
      </c>
      <c r="P14" s="481"/>
      <c r="Q14" s="1770"/>
      <c r="R14" s="1771"/>
      <c r="S14" s="1772"/>
    </row>
    <row r="15" spans="1:19" s="85" customFormat="1" ht="13">
      <c r="A15" s="472"/>
      <c r="B15" s="473"/>
      <c r="C15" s="474"/>
      <c r="D15" s="474"/>
      <c r="E15" s="475"/>
      <c r="F15" s="476"/>
      <c r="G15" s="476"/>
      <c r="H15" s="477"/>
      <c r="I15" s="478"/>
      <c r="J15" s="89">
        <f t="shared" si="0"/>
        <v>0</v>
      </c>
      <c r="K15" s="479"/>
      <c r="L15" s="480"/>
      <c r="M15" s="64">
        <f t="shared" si="1"/>
        <v>0</v>
      </c>
      <c r="N15" s="90">
        <f t="shared" si="2"/>
        <v>0</v>
      </c>
      <c r="O15" s="139">
        <f t="shared" si="3"/>
        <v>0</v>
      </c>
      <c r="P15" s="481"/>
      <c r="Q15" s="1770"/>
      <c r="R15" s="1771"/>
      <c r="S15" s="1772"/>
    </row>
    <row r="16" spans="1:19" s="85" customFormat="1" ht="13">
      <c r="A16" s="472"/>
      <c r="B16" s="473"/>
      <c r="C16" s="474"/>
      <c r="D16" s="474"/>
      <c r="E16" s="475"/>
      <c r="F16" s="476"/>
      <c r="G16" s="476"/>
      <c r="H16" s="477"/>
      <c r="I16" s="478"/>
      <c r="J16" s="89">
        <f t="shared" si="0"/>
        <v>0</v>
      </c>
      <c r="K16" s="479"/>
      <c r="L16" s="480"/>
      <c r="M16" s="64">
        <f t="shared" si="1"/>
        <v>0</v>
      </c>
      <c r="N16" s="90">
        <f t="shared" si="2"/>
        <v>0</v>
      </c>
      <c r="O16" s="139">
        <f t="shared" si="3"/>
        <v>0</v>
      </c>
      <c r="P16" s="481"/>
      <c r="Q16" s="1770"/>
      <c r="R16" s="1771"/>
      <c r="S16" s="1772"/>
    </row>
    <row r="17" spans="1:19" s="85" customFormat="1" ht="13">
      <c r="A17" s="472"/>
      <c r="B17" s="473"/>
      <c r="C17" s="474"/>
      <c r="D17" s="474"/>
      <c r="E17" s="475"/>
      <c r="F17" s="476"/>
      <c r="G17" s="476"/>
      <c r="H17" s="477"/>
      <c r="I17" s="478"/>
      <c r="J17" s="89">
        <f t="shared" si="0"/>
        <v>0</v>
      </c>
      <c r="K17" s="479"/>
      <c r="L17" s="480"/>
      <c r="M17" s="64">
        <f t="shared" si="1"/>
        <v>0</v>
      </c>
      <c r="N17" s="90">
        <f t="shared" si="2"/>
        <v>0</v>
      </c>
      <c r="O17" s="139">
        <f t="shared" si="3"/>
        <v>0</v>
      </c>
      <c r="P17" s="481"/>
      <c r="Q17" s="1770"/>
      <c r="R17" s="1771"/>
      <c r="S17" s="1772"/>
    </row>
    <row r="18" spans="1:19" s="85" customFormat="1" ht="13">
      <c r="A18" s="472"/>
      <c r="B18" s="473"/>
      <c r="C18" s="474"/>
      <c r="D18" s="474"/>
      <c r="E18" s="475"/>
      <c r="F18" s="476"/>
      <c r="G18" s="476"/>
      <c r="H18" s="477"/>
      <c r="I18" s="478"/>
      <c r="J18" s="89">
        <f t="shared" si="0"/>
        <v>0</v>
      </c>
      <c r="K18" s="479"/>
      <c r="L18" s="480"/>
      <c r="M18" s="64">
        <f t="shared" si="1"/>
        <v>0</v>
      </c>
      <c r="N18" s="90">
        <f t="shared" si="2"/>
        <v>0</v>
      </c>
      <c r="O18" s="139">
        <f t="shared" si="3"/>
        <v>0</v>
      </c>
      <c r="P18" s="481"/>
      <c r="Q18" s="1770"/>
      <c r="R18" s="1771"/>
      <c r="S18" s="1772"/>
    </row>
    <row r="19" spans="1:19" s="85" customFormat="1" ht="13">
      <c r="A19" s="472"/>
      <c r="B19" s="473"/>
      <c r="C19" s="474"/>
      <c r="D19" s="474"/>
      <c r="E19" s="475"/>
      <c r="F19" s="476"/>
      <c r="G19" s="476"/>
      <c r="H19" s="477"/>
      <c r="I19" s="478"/>
      <c r="J19" s="89">
        <f t="shared" si="0"/>
        <v>0</v>
      </c>
      <c r="K19" s="479"/>
      <c r="L19" s="480"/>
      <c r="M19" s="64">
        <f t="shared" si="1"/>
        <v>0</v>
      </c>
      <c r="N19" s="90">
        <f t="shared" si="2"/>
        <v>0</v>
      </c>
      <c r="O19" s="139">
        <f t="shared" si="3"/>
        <v>0</v>
      </c>
      <c r="P19" s="481"/>
      <c r="Q19" s="1770"/>
      <c r="R19" s="1771"/>
      <c r="S19" s="1772"/>
    </row>
    <row r="20" spans="1:19" s="85" customFormat="1" ht="13">
      <c r="A20" s="472"/>
      <c r="B20" s="473"/>
      <c r="C20" s="474"/>
      <c r="D20" s="474"/>
      <c r="E20" s="475"/>
      <c r="F20" s="476"/>
      <c r="G20" s="476"/>
      <c r="H20" s="477"/>
      <c r="I20" s="478"/>
      <c r="J20" s="89">
        <f t="shared" si="0"/>
        <v>0</v>
      </c>
      <c r="K20" s="479"/>
      <c r="L20" s="480"/>
      <c r="M20" s="64">
        <f t="shared" si="1"/>
        <v>0</v>
      </c>
      <c r="N20" s="90">
        <f t="shared" si="2"/>
        <v>0</v>
      </c>
      <c r="O20" s="139">
        <f t="shared" si="3"/>
        <v>0</v>
      </c>
      <c r="P20" s="481"/>
      <c r="Q20" s="1770"/>
      <c r="R20" s="1771"/>
      <c r="S20" s="1772"/>
    </row>
    <row r="21" spans="1:19" s="85" customFormat="1" ht="13">
      <c r="A21" s="472"/>
      <c r="B21" s="473"/>
      <c r="C21" s="474"/>
      <c r="D21" s="474"/>
      <c r="E21" s="475"/>
      <c r="F21" s="476"/>
      <c r="G21" s="476"/>
      <c r="H21" s="477"/>
      <c r="I21" s="478"/>
      <c r="J21" s="89">
        <f t="shared" si="0"/>
        <v>0</v>
      </c>
      <c r="K21" s="479"/>
      <c r="L21" s="480"/>
      <c r="M21" s="64">
        <f t="shared" si="1"/>
        <v>0</v>
      </c>
      <c r="N21" s="90">
        <f t="shared" si="2"/>
        <v>0</v>
      </c>
      <c r="O21" s="139">
        <f t="shared" si="3"/>
        <v>0</v>
      </c>
      <c r="P21" s="481"/>
      <c r="Q21" s="1770"/>
      <c r="R21" s="1771"/>
      <c r="S21" s="1772"/>
    </row>
    <row r="22" spans="1:19" s="85" customFormat="1" ht="13">
      <c r="A22" s="472"/>
      <c r="B22" s="473"/>
      <c r="C22" s="474"/>
      <c r="D22" s="474"/>
      <c r="E22" s="475"/>
      <c r="F22" s="476"/>
      <c r="G22" s="476"/>
      <c r="H22" s="477"/>
      <c r="I22" s="478"/>
      <c r="J22" s="89">
        <f t="shared" si="0"/>
        <v>0</v>
      </c>
      <c r="K22" s="479"/>
      <c r="L22" s="480"/>
      <c r="M22" s="64">
        <f t="shared" si="1"/>
        <v>0</v>
      </c>
      <c r="N22" s="90">
        <f t="shared" si="2"/>
        <v>0</v>
      </c>
      <c r="O22" s="139">
        <f t="shared" si="3"/>
        <v>0</v>
      </c>
      <c r="P22" s="481"/>
      <c r="Q22" s="1770"/>
      <c r="R22" s="1771"/>
      <c r="S22" s="1772"/>
    </row>
    <row r="23" spans="1:19" s="85" customFormat="1" ht="13">
      <c r="A23" s="472"/>
      <c r="B23" s="473"/>
      <c r="C23" s="474"/>
      <c r="D23" s="474"/>
      <c r="E23" s="475"/>
      <c r="F23" s="476"/>
      <c r="G23" s="476"/>
      <c r="H23" s="477"/>
      <c r="I23" s="478"/>
      <c r="J23" s="89">
        <f t="shared" si="0"/>
        <v>0</v>
      </c>
      <c r="K23" s="479"/>
      <c r="L23" s="480"/>
      <c r="M23" s="64">
        <f t="shared" si="1"/>
        <v>0</v>
      </c>
      <c r="N23" s="90">
        <f t="shared" si="2"/>
        <v>0</v>
      </c>
      <c r="O23" s="139">
        <f t="shared" si="3"/>
        <v>0</v>
      </c>
      <c r="P23" s="481"/>
      <c r="Q23" s="1770"/>
      <c r="R23" s="1771"/>
      <c r="S23" s="1772"/>
    </row>
    <row r="24" spans="1:19" s="85" customFormat="1" ht="13">
      <c r="A24" s="472"/>
      <c r="B24" s="473"/>
      <c r="C24" s="474"/>
      <c r="D24" s="474"/>
      <c r="E24" s="475"/>
      <c r="F24" s="476"/>
      <c r="G24" s="476"/>
      <c r="H24" s="477"/>
      <c r="I24" s="478"/>
      <c r="J24" s="89">
        <f t="shared" si="0"/>
        <v>0</v>
      </c>
      <c r="K24" s="479"/>
      <c r="L24" s="480"/>
      <c r="M24" s="64">
        <f t="shared" si="1"/>
        <v>0</v>
      </c>
      <c r="N24" s="90">
        <f t="shared" si="2"/>
        <v>0</v>
      </c>
      <c r="O24" s="139">
        <f t="shared" si="3"/>
        <v>0</v>
      </c>
      <c r="P24" s="481"/>
      <c r="Q24" s="1770"/>
      <c r="R24" s="1771"/>
      <c r="S24" s="1772"/>
    </row>
    <row r="25" spans="1:19" s="85" customFormat="1" ht="13">
      <c r="A25" s="472"/>
      <c r="B25" s="473"/>
      <c r="C25" s="474"/>
      <c r="D25" s="474"/>
      <c r="E25" s="475"/>
      <c r="F25" s="476"/>
      <c r="G25" s="476"/>
      <c r="H25" s="477"/>
      <c r="I25" s="478"/>
      <c r="J25" s="89">
        <f t="shared" si="0"/>
        <v>0</v>
      </c>
      <c r="K25" s="479"/>
      <c r="L25" s="480"/>
      <c r="M25" s="64">
        <f t="shared" si="1"/>
        <v>0</v>
      </c>
      <c r="N25" s="90">
        <f t="shared" si="2"/>
        <v>0</v>
      </c>
      <c r="O25" s="139">
        <f t="shared" si="3"/>
        <v>0</v>
      </c>
      <c r="P25" s="481"/>
      <c r="Q25" s="1770"/>
      <c r="R25" s="1771"/>
      <c r="S25" s="1772"/>
    </row>
    <row r="26" spans="1:19" s="85" customFormat="1" ht="13">
      <c r="A26" s="472"/>
      <c r="B26" s="473"/>
      <c r="C26" s="474"/>
      <c r="D26" s="474"/>
      <c r="E26" s="475"/>
      <c r="F26" s="476"/>
      <c r="G26" s="476"/>
      <c r="H26" s="477"/>
      <c r="I26" s="478"/>
      <c r="J26" s="89">
        <f t="shared" si="0"/>
        <v>0</v>
      </c>
      <c r="K26" s="479"/>
      <c r="L26" s="480"/>
      <c r="M26" s="64">
        <f t="shared" si="1"/>
        <v>0</v>
      </c>
      <c r="N26" s="90">
        <f t="shared" si="2"/>
        <v>0</v>
      </c>
      <c r="O26" s="139">
        <f t="shared" si="3"/>
        <v>0</v>
      </c>
      <c r="P26" s="481"/>
      <c r="Q26" s="1770"/>
      <c r="R26" s="1771"/>
      <c r="S26" s="1772"/>
    </row>
    <row r="27" spans="1:19" s="85" customFormat="1" ht="13">
      <c r="A27" s="472"/>
      <c r="B27" s="473"/>
      <c r="C27" s="474"/>
      <c r="D27" s="474"/>
      <c r="E27" s="475"/>
      <c r="F27" s="476"/>
      <c r="G27" s="476"/>
      <c r="H27" s="477"/>
      <c r="I27" s="478"/>
      <c r="J27" s="89">
        <f t="shared" si="0"/>
        <v>0</v>
      </c>
      <c r="K27" s="479"/>
      <c r="L27" s="480"/>
      <c r="M27" s="64">
        <f t="shared" si="1"/>
        <v>0</v>
      </c>
      <c r="N27" s="90">
        <f t="shared" si="2"/>
        <v>0</v>
      </c>
      <c r="O27" s="139">
        <f t="shared" si="3"/>
        <v>0</v>
      </c>
      <c r="P27" s="481"/>
      <c r="Q27" s="1770"/>
      <c r="R27" s="1771"/>
      <c r="S27" s="1772"/>
    </row>
    <row r="28" spans="1:19" s="85" customFormat="1" ht="13">
      <c r="A28" s="472"/>
      <c r="B28" s="473"/>
      <c r="C28" s="474"/>
      <c r="D28" s="474"/>
      <c r="E28" s="475"/>
      <c r="F28" s="476"/>
      <c r="G28" s="476"/>
      <c r="H28" s="477"/>
      <c r="I28" s="478"/>
      <c r="J28" s="89">
        <f t="shared" si="0"/>
        <v>0</v>
      </c>
      <c r="K28" s="479"/>
      <c r="L28" s="480"/>
      <c r="M28" s="64">
        <f t="shared" si="1"/>
        <v>0</v>
      </c>
      <c r="N28" s="90">
        <f t="shared" si="2"/>
        <v>0</v>
      </c>
      <c r="O28" s="139">
        <f t="shared" si="3"/>
        <v>0</v>
      </c>
      <c r="P28" s="481"/>
      <c r="Q28" s="1770"/>
      <c r="R28" s="1771"/>
      <c r="S28" s="1772"/>
    </row>
    <row r="29" spans="1:19" s="85" customFormat="1" ht="13">
      <c r="A29" s="472"/>
      <c r="B29" s="473"/>
      <c r="C29" s="474"/>
      <c r="D29" s="474"/>
      <c r="E29" s="475"/>
      <c r="F29" s="476"/>
      <c r="G29" s="476"/>
      <c r="H29" s="477"/>
      <c r="I29" s="478"/>
      <c r="J29" s="89">
        <f t="shared" si="0"/>
        <v>0</v>
      </c>
      <c r="K29" s="479"/>
      <c r="L29" s="480"/>
      <c r="M29" s="64">
        <f t="shared" si="1"/>
        <v>0</v>
      </c>
      <c r="N29" s="90">
        <f t="shared" si="2"/>
        <v>0</v>
      </c>
      <c r="O29" s="139">
        <f t="shared" si="3"/>
        <v>0</v>
      </c>
      <c r="P29" s="481"/>
      <c r="Q29" s="1770"/>
      <c r="R29" s="1771"/>
      <c r="S29" s="1772"/>
    </row>
    <row r="30" spans="1:19" s="85" customFormat="1" ht="13">
      <c r="A30" s="472"/>
      <c r="B30" s="473"/>
      <c r="C30" s="474"/>
      <c r="D30" s="474"/>
      <c r="E30" s="475"/>
      <c r="F30" s="476"/>
      <c r="G30" s="476"/>
      <c r="H30" s="477"/>
      <c r="I30" s="478"/>
      <c r="J30" s="89">
        <f t="shared" si="0"/>
        <v>0</v>
      </c>
      <c r="K30" s="479"/>
      <c r="L30" s="480"/>
      <c r="M30" s="64">
        <f t="shared" si="1"/>
        <v>0</v>
      </c>
      <c r="N30" s="90">
        <f t="shared" si="2"/>
        <v>0</v>
      </c>
      <c r="O30" s="139">
        <f t="shared" si="3"/>
        <v>0</v>
      </c>
      <c r="P30" s="481"/>
      <c r="Q30" s="1770"/>
      <c r="R30" s="1771"/>
      <c r="S30" s="1772"/>
    </row>
    <row r="31" spans="1:19" s="85" customFormat="1" ht="13">
      <c r="A31" s="472"/>
      <c r="B31" s="473"/>
      <c r="C31" s="474"/>
      <c r="D31" s="474"/>
      <c r="E31" s="475"/>
      <c r="F31" s="476"/>
      <c r="G31" s="476"/>
      <c r="H31" s="477"/>
      <c r="I31" s="478"/>
      <c r="J31" s="89">
        <f t="shared" si="0"/>
        <v>0</v>
      </c>
      <c r="K31" s="479"/>
      <c r="L31" s="480"/>
      <c r="M31" s="64">
        <f t="shared" si="1"/>
        <v>0</v>
      </c>
      <c r="N31" s="90">
        <f t="shared" si="2"/>
        <v>0</v>
      </c>
      <c r="O31" s="139">
        <f t="shared" si="3"/>
        <v>0</v>
      </c>
      <c r="P31" s="481"/>
      <c r="Q31" s="1770"/>
      <c r="R31" s="1771"/>
      <c r="S31" s="1772"/>
    </row>
    <row r="32" spans="1:19" s="85" customFormat="1" ht="13">
      <c r="A32" s="472"/>
      <c r="B32" s="473"/>
      <c r="C32" s="474"/>
      <c r="D32" s="474"/>
      <c r="E32" s="475"/>
      <c r="F32" s="476"/>
      <c r="G32" s="476"/>
      <c r="H32" s="477"/>
      <c r="I32" s="478"/>
      <c r="J32" s="89">
        <f t="shared" si="0"/>
        <v>0</v>
      </c>
      <c r="K32" s="479"/>
      <c r="L32" s="480"/>
      <c r="M32" s="64">
        <f t="shared" si="1"/>
        <v>0</v>
      </c>
      <c r="N32" s="90">
        <f t="shared" si="2"/>
        <v>0</v>
      </c>
      <c r="O32" s="139">
        <f t="shared" si="3"/>
        <v>0</v>
      </c>
      <c r="P32" s="481"/>
      <c r="Q32" s="1770"/>
      <c r="R32" s="1771"/>
      <c r="S32" s="1772"/>
    </row>
    <row r="33" spans="1:19" s="85" customFormat="1" ht="13">
      <c r="A33" s="472"/>
      <c r="B33" s="473"/>
      <c r="C33" s="474"/>
      <c r="D33" s="474"/>
      <c r="E33" s="475"/>
      <c r="F33" s="476"/>
      <c r="G33" s="476"/>
      <c r="H33" s="477"/>
      <c r="I33" s="478"/>
      <c r="J33" s="89">
        <f t="shared" si="0"/>
        <v>0</v>
      </c>
      <c r="K33" s="479"/>
      <c r="L33" s="480"/>
      <c r="M33" s="64">
        <f t="shared" si="1"/>
        <v>0</v>
      </c>
      <c r="N33" s="90">
        <f t="shared" si="2"/>
        <v>0</v>
      </c>
      <c r="O33" s="139">
        <f t="shared" si="3"/>
        <v>0</v>
      </c>
      <c r="P33" s="481"/>
      <c r="Q33" s="1770"/>
      <c r="R33" s="1771"/>
      <c r="S33" s="1772"/>
    </row>
    <row r="34" spans="1:19" s="85" customFormat="1" ht="13">
      <c r="A34" s="472"/>
      <c r="B34" s="473"/>
      <c r="C34" s="474"/>
      <c r="D34" s="474"/>
      <c r="E34" s="475"/>
      <c r="F34" s="476"/>
      <c r="G34" s="476"/>
      <c r="H34" s="477"/>
      <c r="I34" s="478"/>
      <c r="J34" s="89">
        <f t="shared" si="0"/>
        <v>0</v>
      </c>
      <c r="K34" s="479"/>
      <c r="L34" s="480"/>
      <c r="M34" s="64">
        <f t="shared" si="1"/>
        <v>0</v>
      </c>
      <c r="N34" s="90">
        <f t="shared" si="2"/>
        <v>0</v>
      </c>
      <c r="O34" s="139">
        <f t="shared" si="3"/>
        <v>0</v>
      </c>
      <c r="P34" s="481"/>
      <c r="Q34" s="1770"/>
      <c r="R34" s="1771"/>
      <c r="S34" s="1772"/>
    </row>
    <row r="35" spans="1:19" s="85" customFormat="1" ht="13">
      <c r="A35" s="472"/>
      <c r="B35" s="473"/>
      <c r="C35" s="474"/>
      <c r="D35" s="474"/>
      <c r="E35" s="475"/>
      <c r="F35" s="476"/>
      <c r="G35" s="476"/>
      <c r="H35" s="477"/>
      <c r="I35" s="478"/>
      <c r="J35" s="89">
        <f t="shared" si="0"/>
        <v>0</v>
      </c>
      <c r="K35" s="479"/>
      <c r="L35" s="480"/>
      <c r="M35" s="64">
        <f t="shared" si="1"/>
        <v>0</v>
      </c>
      <c r="N35" s="90">
        <f t="shared" si="2"/>
        <v>0</v>
      </c>
      <c r="O35" s="139">
        <f t="shared" si="3"/>
        <v>0</v>
      </c>
      <c r="P35" s="481"/>
      <c r="Q35" s="1770"/>
      <c r="R35" s="1771"/>
      <c r="S35" s="1772"/>
    </row>
    <row r="36" spans="1:19" s="85" customFormat="1" ht="13">
      <c r="A36" s="472"/>
      <c r="B36" s="473"/>
      <c r="C36" s="474"/>
      <c r="D36" s="474"/>
      <c r="E36" s="475"/>
      <c r="F36" s="476"/>
      <c r="G36" s="476"/>
      <c r="H36" s="477"/>
      <c r="I36" s="478"/>
      <c r="J36" s="89">
        <f t="shared" si="0"/>
        <v>0</v>
      </c>
      <c r="K36" s="479"/>
      <c r="L36" s="480"/>
      <c r="M36" s="64">
        <f t="shared" si="1"/>
        <v>0</v>
      </c>
      <c r="N36" s="90">
        <f t="shared" si="2"/>
        <v>0</v>
      </c>
      <c r="O36" s="139">
        <f t="shared" si="3"/>
        <v>0</v>
      </c>
      <c r="P36" s="481"/>
      <c r="Q36" s="1770"/>
      <c r="R36" s="1771"/>
      <c r="S36" s="1772"/>
    </row>
    <row r="37" spans="1:19" s="85" customFormat="1" ht="13">
      <c r="A37" s="472"/>
      <c r="B37" s="473"/>
      <c r="C37" s="474"/>
      <c r="D37" s="474"/>
      <c r="E37" s="475"/>
      <c r="F37" s="476"/>
      <c r="G37" s="476"/>
      <c r="H37" s="477"/>
      <c r="I37" s="478"/>
      <c r="J37" s="89">
        <f t="shared" si="0"/>
        <v>0</v>
      </c>
      <c r="K37" s="479"/>
      <c r="L37" s="480"/>
      <c r="M37" s="64">
        <f t="shared" si="1"/>
        <v>0</v>
      </c>
      <c r="N37" s="90">
        <f t="shared" si="2"/>
        <v>0</v>
      </c>
      <c r="O37" s="139">
        <f t="shared" si="3"/>
        <v>0</v>
      </c>
      <c r="P37" s="481"/>
      <c r="Q37" s="1770"/>
      <c r="R37" s="1771"/>
      <c r="S37" s="1772"/>
    </row>
    <row r="38" spans="1:19" s="85" customFormat="1" ht="13">
      <c r="A38" s="472"/>
      <c r="B38" s="473"/>
      <c r="C38" s="474"/>
      <c r="D38" s="474"/>
      <c r="E38" s="475"/>
      <c r="F38" s="476"/>
      <c r="G38" s="476"/>
      <c r="H38" s="477"/>
      <c r="I38" s="478"/>
      <c r="J38" s="89">
        <f t="shared" si="0"/>
        <v>0</v>
      </c>
      <c r="K38" s="479"/>
      <c r="L38" s="480"/>
      <c r="M38" s="64">
        <f t="shared" si="1"/>
        <v>0</v>
      </c>
      <c r="N38" s="90">
        <f t="shared" si="2"/>
        <v>0</v>
      </c>
      <c r="O38" s="139">
        <f t="shared" si="3"/>
        <v>0</v>
      </c>
      <c r="P38" s="481"/>
      <c r="Q38" s="1770"/>
      <c r="R38" s="1771"/>
      <c r="S38" s="1772"/>
    </row>
    <row r="39" spans="1:19" s="85" customFormat="1" ht="13">
      <c r="A39" s="472"/>
      <c r="B39" s="473"/>
      <c r="C39" s="474"/>
      <c r="D39" s="474"/>
      <c r="E39" s="475"/>
      <c r="F39" s="476"/>
      <c r="G39" s="476"/>
      <c r="H39" s="477"/>
      <c r="I39" s="478"/>
      <c r="J39" s="89">
        <f t="shared" si="0"/>
        <v>0</v>
      </c>
      <c r="K39" s="479"/>
      <c r="L39" s="480"/>
      <c r="M39" s="64">
        <f t="shared" si="1"/>
        <v>0</v>
      </c>
      <c r="N39" s="90">
        <f t="shared" si="2"/>
        <v>0</v>
      </c>
      <c r="O39" s="139">
        <f t="shared" si="3"/>
        <v>0</v>
      </c>
      <c r="P39" s="481"/>
      <c r="Q39" s="1770"/>
      <c r="R39" s="1771"/>
      <c r="S39" s="1772"/>
    </row>
    <row r="40" spans="1:19" s="85" customFormat="1" ht="13">
      <c r="A40" s="472"/>
      <c r="B40" s="473"/>
      <c r="C40" s="474"/>
      <c r="D40" s="474"/>
      <c r="E40" s="475"/>
      <c r="F40" s="476"/>
      <c r="G40" s="476"/>
      <c r="H40" s="477"/>
      <c r="I40" s="478"/>
      <c r="J40" s="89">
        <f t="shared" si="0"/>
        <v>0</v>
      </c>
      <c r="K40" s="479"/>
      <c r="L40" s="480"/>
      <c r="M40" s="64">
        <f t="shared" si="1"/>
        <v>0</v>
      </c>
      <c r="N40" s="90">
        <f t="shared" si="2"/>
        <v>0</v>
      </c>
      <c r="O40" s="139">
        <f t="shared" si="3"/>
        <v>0</v>
      </c>
      <c r="P40" s="481"/>
      <c r="Q40" s="1770"/>
      <c r="R40" s="1771"/>
      <c r="S40" s="1772"/>
    </row>
    <row r="41" spans="1:19" s="85" customFormat="1" ht="13">
      <c r="A41" s="472"/>
      <c r="B41" s="473"/>
      <c r="C41" s="474"/>
      <c r="D41" s="474"/>
      <c r="E41" s="475"/>
      <c r="F41" s="476"/>
      <c r="G41" s="476"/>
      <c r="H41" s="477"/>
      <c r="I41" s="478"/>
      <c r="J41" s="89">
        <f t="shared" si="0"/>
        <v>0</v>
      </c>
      <c r="K41" s="479"/>
      <c r="L41" s="480"/>
      <c r="M41" s="64">
        <f t="shared" si="1"/>
        <v>0</v>
      </c>
      <c r="N41" s="90">
        <f t="shared" si="2"/>
        <v>0</v>
      </c>
      <c r="O41" s="139">
        <f t="shared" si="3"/>
        <v>0</v>
      </c>
      <c r="P41" s="481"/>
      <c r="Q41" s="1770"/>
      <c r="R41" s="1771"/>
      <c r="S41" s="1772"/>
    </row>
    <row r="42" spans="1:19" s="85" customFormat="1" ht="13">
      <c r="A42" s="472"/>
      <c r="B42" s="473"/>
      <c r="C42" s="474"/>
      <c r="D42" s="474"/>
      <c r="E42" s="475"/>
      <c r="F42" s="476"/>
      <c r="G42" s="476"/>
      <c r="H42" s="477"/>
      <c r="I42" s="478"/>
      <c r="J42" s="89">
        <f t="shared" si="0"/>
        <v>0</v>
      </c>
      <c r="K42" s="479"/>
      <c r="L42" s="480"/>
      <c r="M42" s="64">
        <f t="shared" si="1"/>
        <v>0</v>
      </c>
      <c r="N42" s="90">
        <f t="shared" si="2"/>
        <v>0</v>
      </c>
      <c r="O42" s="139">
        <f t="shared" si="3"/>
        <v>0</v>
      </c>
      <c r="P42" s="481"/>
      <c r="Q42" s="1770"/>
      <c r="R42" s="1771"/>
      <c r="S42" s="1772"/>
    </row>
    <row r="43" spans="1:19" s="85" customFormat="1" ht="13">
      <c r="A43" s="472"/>
      <c r="B43" s="473"/>
      <c r="C43" s="474"/>
      <c r="D43" s="474"/>
      <c r="E43" s="475"/>
      <c r="F43" s="476"/>
      <c r="G43" s="476"/>
      <c r="H43" s="477"/>
      <c r="I43" s="478"/>
      <c r="J43" s="89">
        <f t="shared" si="0"/>
        <v>0</v>
      </c>
      <c r="K43" s="479"/>
      <c r="L43" s="480"/>
      <c r="M43" s="64">
        <f t="shared" si="1"/>
        <v>0</v>
      </c>
      <c r="N43" s="90">
        <f t="shared" si="2"/>
        <v>0</v>
      </c>
      <c r="O43" s="139">
        <f t="shared" si="3"/>
        <v>0</v>
      </c>
      <c r="P43" s="481"/>
      <c r="Q43" s="1770"/>
      <c r="R43" s="1771"/>
      <c r="S43" s="1772"/>
    </row>
    <row r="44" spans="1:19" s="85" customFormat="1" ht="13">
      <c r="A44" s="472"/>
      <c r="B44" s="473"/>
      <c r="C44" s="474"/>
      <c r="D44" s="474"/>
      <c r="E44" s="475"/>
      <c r="F44" s="476"/>
      <c r="G44" s="476"/>
      <c r="H44" s="477"/>
      <c r="I44" s="478"/>
      <c r="J44" s="89">
        <f t="shared" si="0"/>
        <v>0</v>
      </c>
      <c r="K44" s="479"/>
      <c r="L44" s="480"/>
      <c r="M44" s="64">
        <f t="shared" si="1"/>
        <v>0</v>
      </c>
      <c r="N44" s="90">
        <f t="shared" si="2"/>
        <v>0</v>
      </c>
      <c r="O44" s="139">
        <f t="shared" si="3"/>
        <v>0</v>
      </c>
      <c r="P44" s="481"/>
      <c r="Q44" s="1770"/>
      <c r="R44" s="1771"/>
      <c r="S44" s="1772"/>
    </row>
    <row r="45" spans="1:19" s="85" customFormat="1" ht="13">
      <c r="A45" s="472"/>
      <c r="B45" s="473"/>
      <c r="C45" s="474"/>
      <c r="D45" s="474"/>
      <c r="E45" s="475"/>
      <c r="F45" s="476"/>
      <c r="G45" s="476"/>
      <c r="H45" s="477"/>
      <c r="I45" s="478"/>
      <c r="J45" s="89">
        <f t="shared" si="0"/>
        <v>0</v>
      </c>
      <c r="K45" s="479"/>
      <c r="L45" s="480"/>
      <c r="M45" s="64">
        <f t="shared" si="1"/>
        <v>0</v>
      </c>
      <c r="N45" s="90">
        <f t="shared" si="2"/>
        <v>0</v>
      </c>
      <c r="O45" s="139">
        <f t="shared" si="3"/>
        <v>0</v>
      </c>
      <c r="P45" s="481"/>
      <c r="Q45" s="1770"/>
      <c r="R45" s="1771"/>
      <c r="S45" s="1772"/>
    </row>
    <row r="46" spans="1:19" s="85" customFormat="1" ht="13">
      <c r="A46" s="472"/>
      <c r="B46" s="473"/>
      <c r="C46" s="474"/>
      <c r="D46" s="474"/>
      <c r="E46" s="475"/>
      <c r="F46" s="476"/>
      <c r="G46" s="476"/>
      <c r="H46" s="477"/>
      <c r="I46" s="478"/>
      <c r="J46" s="89">
        <f t="shared" si="0"/>
        <v>0</v>
      </c>
      <c r="K46" s="479"/>
      <c r="L46" s="480"/>
      <c r="M46" s="64">
        <f t="shared" si="1"/>
        <v>0</v>
      </c>
      <c r="N46" s="90">
        <f t="shared" si="2"/>
        <v>0</v>
      </c>
      <c r="O46" s="139">
        <f t="shared" si="3"/>
        <v>0</v>
      </c>
      <c r="P46" s="481"/>
      <c r="Q46" s="1770"/>
      <c r="R46" s="1771"/>
      <c r="S46" s="1772"/>
    </row>
    <row r="47" spans="1:19" s="85" customFormat="1" ht="13">
      <c r="A47" s="472"/>
      <c r="B47" s="473"/>
      <c r="C47" s="474"/>
      <c r="D47" s="474"/>
      <c r="E47" s="475"/>
      <c r="F47" s="476"/>
      <c r="G47" s="476"/>
      <c r="H47" s="477"/>
      <c r="I47" s="478"/>
      <c r="J47" s="89">
        <f t="shared" si="0"/>
        <v>0</v>
      </c>
      <c r="K47" s="479"/>
      <c r="L47" s="480"/>
      <c r="M47" s="64">
        <f t="shared" si="1"/>
        <v>0</v>
      </c>
      <c r="N47" s="90">
        <f t="shared" si="2"/>
        <v>0</v>
      </c>
      <c r="O47" s="139">
        <f t="shared" si="3"/>
        <v>0</v>
      </c>
      <c r="P47" s="481"/>
      <c r="Q47" s="1770"/>
      <c r="R47" s="1771"/>
      <c r="S47" s="1772"/>
    </row>
    <row r="48" spans="1:19" s="85" customFormat="1" ht="13">
      <c r="A48" s="472"/>
      <c r="B48" s="473"/>
      <c r="C48" s="474"/>
      <c r="D48" s="474"/>
      <c r="E48" s="475"/>
      <c r="F48" s="476"/>
      <c r="G48" s="476"/>
      <c r="H48" s="477"/>
      <c r="I48" s="478"/>
      <c r="J48" s="89">
        <f t="shared" si="0"/>
        <v>0</v>
      </c>
      <c r="K48" s="479"/>
      <c r="L48" s="480"/>
      <c r="M48" s="64">
        <f t="shared" si="1"/>
        <v>0</v>
      </c>
      <c r="N48" s="90">
        <f t="shared" si="2"/>
        <v>0</v>
      </c>
      <c r="O48" s="139">
        <f t="shared" si="3"/>
        <v>0</v>
      </c>
      <c r="P48" s="481"/>
      <c r="Q48" s="1770"/>
      <c r="R48" s="1771"/>
      <c r="S48" s="1772"/>
    </row>
    <row r="49" spans="1:19" s="85" customFormat="1" ht="13">
      <c r="A49" s="472"/>
      <c r="B49" s="473"/>
      <c r="C49" s="474"/>
      <c r="D49" s="474"/>
      <c r="E49" s="475"/>
      <c r="F49" s="476"/>
      <c r="G49" s="476"/>
      <c r="H49" s="477"/>
      <c r="I49" s="478"/>
      <c r="J49" s="89">
        <f t="shared" si="0"/>
        <v>0</v>
      </c>
      <c r="K49" s="479"/>
      <c r="L49" s="480"/>
      <c r="M49" s="64">
        <f t="shared" si="1"/>
        <v>0</v>
      </c>
      <c r="N49" s="90">
        <f t="shared" si="2"/>
        <v>0</v>
      </c>
      <c r="O49" s="139">
        <f t="shared" si="3"/>
        <v>0</v>
      </c>
      <c r="P49" s="481"/>
      <c r="Q49" s="1770"/>
      <c r="R49" s="1771"/>
      <c r="S49" s="1772"/>
    </row>
    <row r="50" spans="1:19" s="85" customFormat="1" ht="13">
      <c r="A50" s="472"/>
      <c r="B50" s="473"/>
      <c r="C50" s="474"/>
      <c r="D50" s="474"/>
      <c r="E50" s="475"/>
      <c r="F50" s="476"/>
      <c r="G50" s="476"/>
      <c r="H50" s="477"/>
      <c r="I50" s="478"/>
      <c r="J50" s="89">
        <f t="shared" si="0"/>
        <v>0</v>
      </c>
      <c r="K50" s="479"/>
      <c r="L50" s="480"/>
      <c r="M50" s="64">
        <f t="shared" si="1"/>
        <v>0</v>
      </c>
      <c r="N50" s="90">
        <f t="shared" si="2"/>
        <v>0</v>
      </c>
      <c r="O50" s="139">
        <f t="shared" si="3"/>
        <v>0</v>
      </c>
      <c r="P50" s="481"/>
      <c r="Q50" s="1770"/>
      <c r="R50" s="1771"/>
      <c r="S50" s="1772"/>
    </row>
    <row r="51" spans="1:19" s="85" customFormat="1" ht="13">
      <c r="A51" s="472"/>
      <c r="B51" s="473"/>
      <c r="C51" s="474"/>
      <c r="D51" s="474"/>
      <c r="E51" s="475"/>
      <c r="F51" s="476"/>
      <c r="G51" s="476"/>
      <c r="H51" s="477"/>
      <c r="I51" s="478"/>
      <c r="J51" s="89">
        <f t="shared" si="0"/>
        <v>0</v>
      </c>
      <c r="K51" s="479"/>
      <c r="L51" s="480"/>
      <c r="M51" s="64">
        <f t="shared" si="1"/>
        <v>0</v>
      </c>
      <c r="N51" s="90">
        <f t="shared" si="2"/>
        <v>0</v>
      </c>
      <c r="O51" s="139">
        <f t="shared" si="3"/>
        <v>0</v>
      </c>
      <c r="P51" s="481"/>
      <c r="Q51" s="1770"/>
      <c r="R51" s="1771"/>
      <c r="S51" s="1772"/>
    </row>
    <row r="52" spans="1:19" s="85" customFormat="1" ht="13">
      <c r="A52" s="472"/>
      <c r="B52" s="473"/>
      <c r="C52" s="474"/>
      <c r="D52" s="474"/>
      <c r="E52" s="475"/>
      <c r="F52" s="476"/>
      <c r="G52" s="476"/>
      <c r="H52" s="477"/>
      <c r="I52" s="478"/>
      <c r="J52" s="89">
        <f t="shared" si="0"/>
        <v>0</v>
      </c>
      <c r="K52" s="479"/>
      <c r="L52" s="480"/>
      <c r="M52" s="64">
        <f t="shared" si="1"/>
        <v>0</v>
      </c>
      <c r="N52" s="90">
        <f t="shared" si="2"/>
        <v>0</v>
      </c>
      <c r="O52" s="139">
        <f t="shared" si="3"/>
        <v>0</v>
      </c>
      <c r="P52" s="481"/>
      <c r="Q52" s="1770"/>
      <c r="R52" s="1771"/>
      <c r="S52" s="1772"/>
    </row>
    <row r="53" spans="1:19" s="85" customFormat="1" ht="13">
      <c r="A53" s="472"/>
      <c r="B53" s="473"/>
      <c r="C53" s="474"/>
      <c r="D53" s="474"/>
      <c r="E53" s="475"/>
      <c r="F53" s="476"/>
      <c r="G53" s="476"/>
      <c r="H53" s="477"/>
      <c r="I53" s="478"/>
      <c r="J53" s="89">
        <f t="shared" si="0"/>
        <v>0</v>
      </c>
      <c r="K53" s="479"/>
      <c r="L53" s="480"/>
      <c r="M53" s="64">
        <f t="shared" si="1"/>
        <v>0</v>
      </c>
      <c r="N53" s="90">
        <f t="shared" si="2"/>
        <v>0</v>
      </c>
      <c r="O53" s="139">
        <f t="shared" si="3"/>
        <v>0</v>
      </c>
      <c r="P53" s="481"/>
      <c r="Q53" s="1770"/>
      <c r="R53" s="1771"/>
      <c r="S53" s="1772"/>
    </row>
    <row r="54" spans="1:19" s="85" customFormat="1" ht="13">
      <c r="A54" s="472"/>
      <c r="B54" s="473"/>
      <c r="C54" s="474"/>
      <c r="D54" s="474"/>
      <c r="E54" s="475"/>
      <c r="F54" s="476"/>
      <c r="G54" s="476"/>
      <c r="H54" s="477"/>
      <c r="I54" s="478"/>
      <c r="J54" s="89">
        <f t="shared" si="0"/>
        <v>0</v>
      </c>
      <c r="K54" s="479"/>
      <c r="L54" s="480"/>
      <c r="M54" s="64">
        <f t="shared" si="1"/>
        <v>0</v>
      </c>
      <c r="N54" s="90">
        <f t="shared" si="2"/>
        <v>0</v>
      </c>
      <c r="O54" s="139">
        <f t="shared" si="3"/>
        <v>0</v>
      </c>
      <c r="P54" s="481"/>
      <c r="Q54" s="1770"/>
      <c r="R54" s="1771"/>
      <c r="S54" s="1772"/>
    </row>
    <row r="55" spans="1:19" s="85" customFormat="1" ht="13">
      <c r="A55" s="472"/>
      <c r="B55" s="473"/>
      <c r="C55" s="474"/>
      <c r="D55" s="474"/>
      <c r="E55" s="475"/>
      <c r="F55" s="476"/>
      <c r="G55" s="476"/>
      <c r="H55" s="477"/>
      <c r="I55" s="478"/>
      <c r="J55" s="89">
        <f t="shared" si="0"/>
        <v>0</v>
      </c>
      <c r="K55" s="479"/>
      <c r="L55" s="480"/>
      <c r="M55" s="64">
        <f t="shared" si="1"/>
        <v>0</v>
      </c>
      <c r="N55" s="90">
        <f t="shared" si="2"/>
        <v>0</v>
      </c>
      <c r="O55" s="139">
        <f t="shared" si="3"/>
        <v>0</v>
      </c>
      <c r="P55" s="481"/>
      <c r="Q55" s="1770"/>
      <c r="R55" s="1771"/>
      <c r="S55" s="1772"/>
    </row>
    <row r="56" spans="1:19" s="85" customFormat="1" ht="13">
      <c r="A56" s="472"/>
      <c r="B56" s="473"/>
      <c r="C56" s="474"/>
      <c r="D56" s="474"/>
      <c r="E56" s="475"/>
      <c r="F56" s="476"/>
      <c r="G56" s="476"/>
      <c r="H56" s="477"/>
      <c r="I56" s="478"/>
      <c r="J56" s="89">
        <f t="shared" si="0"/>
        <v>0</v>
      </c>
      <c r="K56" s="479"/>
      <c r="L56" s="480"/>
      <c r="M56" s="64">
        <f t="shared" si="1"/>
        <v>0</v>
      </c>
      <c r="N56" s="90">
        <f t="shared" si="2"/>
        <v>0</v>
      </c>
      <c r="O56" s="139">
        <f t="shared" si="3"/>
        <v>0</v>
      </c>
      <c r="P56" s="481"/>
      <c r="Q56" s="1770"/>
      <c r="R56" s="1771"/>
      <c r="S56" s="1772"/>
    </row>
    <row r="57" spans="1:19" s="85" customFormat="1" ht="13">
      <c r="A57" s="472"/>
      <c r="B57" s="473"/>
      <c r="C57" s="474"/>
      <c r="D57" s="474"/>
      <c r="E57" s="475"/>
      <c r="F57" s="476"/>
      <c r="G57" s="476"/>
      <c r="H57" s="477"/>
      <c r="I57" s="478"/>
      <c r="J57" s="89">
        <f t="shared" si="0"/>
        <v>0</v>
      </c>
      <c r="K57" s="479"/>
      <c r="L57" s="480"/>
      <c r="M57" s="64">
        <f t="shared" si="1"/>
        <v>0</v>
      </c>
      <c r="N57" s="90">
        <f t="shared" si="2"/>
        <v>0</v>
      </c>
      <c r="O57" s="139">
        <f t="shared" si="3"/>
        <v>0</v>
      </c>
      <c r="P57" s="481"/>
      <c r="Q57" s="1770"/>
      <c r="R57" s="1771"/>
      <c r="S57" s="1772"/>
    </row>
    <row r="58" spans="1:19" s="85" customFormat="1" ht="13">
      <c r="A58" s="472"/>
      <c r="B58" s="473"/>
      <c r="C58" s="474"/>
      <c r="D58" s="474"/>
      <c r="E58" s="475"/>
      <c r="F58" s="476"/>
      <c r="G58" s="476"/>
      <c r="H58" s="477"/>
      <c r="I58" s="478"/>
      <c r="J58" s="89">
        <f t="shared" si="0"/>
        <v>0</v>
      </c>
      <c r="K58" s="479"/>
      <c r="L58" s="480"/>
      <c r="M58" s="64">
        <f t="shared" si="1"/>
        <v>0</v>
      </c>
      <c r="N58" s="90">
        <f t="shared" si="2"/>
        <v>0</v>
      </c>
      <c r="O58" s="139">
        <f t="shared" si="3"/>
        <v>0</v>
      </c>
      <c r="P58" s="481"/>
      <c r="Q58" s="1770"/>
      <c r="R58" s="1771"/>
      <c r="S58" s="1772"/>
    </row>
    <row r="59" spans="1:19" s="85" customFormat="1" ht="13">
      <c r="A59" s="472"/>
      <c r="B59" s="473"/>
      <c r="C59" s="474"/>
      <c r="D59" s="474"/>
      <c r="E59" s="475"/>
      <c r="F59" s="476"/>
      <c r="G59" s="476"/>
      <c r="H59" s="477"/>
      <c r="I59" s="478"/>
      <c r="J59" s="89">
        <f t="shared" si="0"/>
        <v>0</v>
      </c>
      <c r="K59" s="479"/>
      <c r="L59" s="480"/>
      <c r="M59" s="64">
        <f t="shared" si="1"/>
        <v>0</v>
      </c>
      <c r="N59" s="90">
        <f t="shared" si="2"/>
        <v>0</v>
      </c>
      <c r="O59" s="139">
        <f t="shared" si="3"/>
        <v>0</v>
      </c>
      <c r="P59" s="481"/>
      <c r="Q59" s="1770"/>
      <c r="R59" s="1771"/>
      <c r="S59" s="1772"/>
    </row>
    <row r="60" spans="1:19" s="85" customFormat="1" ht="13">
      <c r="A60" s="472"/>
      <c r="B60" s="473"/>
      <c r="C60" s="474"/>
      <c r="D60" s="474"/>
      <c r="E60" s="475"/>
      <c r="F60" s="476"/>
      <c r="G60" s="476"/>
      <c r="H60" s="477"/>
      <c r="I60" s="478"/>
      <c r="J60" s="89">
        <f t="shared" si="0"/>
        <v>0</v>
      </c>
      <c r="K60" s="479"/>
      <c r="L60" s="480"/>
      <c r="M60" s="64">
        <f t="shared" si="1"/>
        <v>0</v>
      </c>
      <c r="N60" s="90">
        <f t="shared" si="2"/>
        <v>0</v>
      </c>
      <c r="O60" s="139">
        <f t="shared" si="3"/>
        <v>0</v>
      </c>
      <c r="P60" s="481"/>
      <c r="Q60" s="1770"/>
      <c r="R60" s="1771"/>
      <c r="S60" s="1772"/>
    </row>
    <row r="61" spans="1:19" s="85" customFormat="1" ht="13">
      <c r="A61" s="472"/>
      <c r="B61" s="473"/>
      <c r="C61" s="474"/>
      <c r="D61" s="474"/>
      <c r="E61" s="475"/>
      <c r="F61" s="476"/>
      <c r="G61" s="476"/>
      <c r="H61" s="477"/>
      <c r="I61" s="478"/>
      <c r="J61" s="89">
        <f t="shared" si="0"/>
        <v>0</v>
      </c>
      <c r="K61" s="479"/>
      <c r="L61" s="480"/>
      <c r="M61" s="64">
        <f t="shared" si="1"/>
        <v>0</v>
      </c>
      <c r="N61" s="90">
        <f t="shared" si="2"/>
        <v>0</v>
      </c>
      <c r="O61" s="139">
        <f t="shared" si="3"/>
        <v>0</v>
      </c>
      <c r="P61" s="481"/>
      <c r="Q61" s="1770"/>
      <c r="R61" s="1771"/>
      <c r="S61" s="1772"/>
    </row>
    <row r="62" spans="1:19" s="85" customFormat="1" ht="13">
      <c r="A62" s="472"/>
      <c r="B62" s="473"/>
      <c r="C62" s="474"/>
      <c r="D62" s="474"/>
      <c r="E62" s="475"/>
      <c r="F62" s="476"/>
      <c r="G62" s="476"/>
      <c r="H62" s="477"/>
      <c r="I62" s="478"/>
      <c r="J62" s="89">
        <f t="shared" si="0"/>
        <v>0</v>
      </c>
      <c r="K62" s="479"/>
      <c r="L62" s="480"/>
      <c r="M62" s="64">
        <f t="shared" si="1"/>
        <v>0</v>
      </c>
      <c r="N62" s="90">
        <f t="shared" si="2"/>
        <v>0</v>
      </c>
      <c r="O62" s="139">
        <f t="shared" si="3"/>
        <v>0</v>
      </c>
      <c r="P62" s="481"/>
      <c r="Q62" s="1770"/>
      <c r="R62" s="1771"/>
      <c r="S62" s="1772"/>
    </row>
    <row r="63" spans="1:19" s="85" customFormat="1" ht="13">
      <c r="A63" s="472"/>
      <c r="B63" s="473"/>
      <c r="C63" s="474"/>
      <c r="D63" s="474"/>
      <c r="E63" s="475"/>
      <c r="F63" s="476"/>
      <c r="G63" s="476"/>
      <c r="H63" s="477"/>
      <c r="I63" s="478"/>
      <c r="J63" s="89">
        <f t="shared" si="0"/>
        <v>0</v>
      </c>
      <c r="K63" s="479"/>
      <c r="L63" s="480"/>
      <c r="M63" s="64">
        <f t="shared" si="1"/>
        <v>0</v>
      </c>
      <c r="N63" s="90">
        <f t="shared" si="2"/>
        <v>0</v>
      </c>
      <c r="O63" s="139">
        <f t="shared" si="3"/>
        <v>0</v>
      </c>
      <c r="P63" s="481"/>
      <c r="Q63" s="1770"/>
      <c r="R63" s="1771"/>
      <c r="S63" s="1772"/>
    </row>
    <row r="64" spans="1:19" s="85" customFormat="1" ht="13">
      <c r="A64" s="472"/>
      <c r="B64" s="473"/>
      <c r="C64" s="474"/>
      <c r="D64" s="474"/>
      <c r="E64" s="475"/>
      <c r="F64" s="476"/>
      <c r="G64" s="476"/>
      <c r="H64" s="477"/>
      <c r="I64" s="478"/>
      <c r="J64" s="89">
        <f t="shared" si="0"/>
        <v>0</v>
      </c>
      <c r="K64" s="479"/>
      <c r="L64" s="480"/>
      <c r="M64" s="64">
        <f t="shared" si="1"/>
        <v>0</v>
      </c>
      <c r="N64" s="90">
        <f t="shared" si="2"/>
        <v>0</v>
      </c>
      <c r="O64" s="139">
        <f t="shared" si="3"/>
        <v>0</v>
      </c>
      <c r="P64" s="481"/>
      <c r="Q64" s="1770"/>
      <c r="R64" s="1771"/>
      <c r="S64" s="1772"/>
    </row>
    <row r="65" spans="1:19" s="85" customFormat="1" ht="13">
      <c r="A65" s="472"/>
      <c r="B65" s="473"/>
      <c r="C65" s="474"/>
      <c r="D65" s="474"/>
      <c r="E65" s="475"/>
      <c r="F65" s="476"/>
      <c r="G65" s="476"/>
      <c r="H65" s="477"/>
      <c r="I65" s="478"/>
      <c r="J65" s="89">
        <f t="shared" si="0"/>
        <v>0</v>
      </c>
      <c r="K65" s="479"/>
      <c r="L65" s="480"/>
      <c r="M65" s="64">
        <f t="shared" si="1"/>
        <v>0</v>
      </c>
      <c r="N65" s="90">
        <f t="shared" si="2"/>
        <v>0</v>
      </c>
      <c r="O65" s="139">
        <f t="shared" si="3"/>
        <v>0</v>
      </c>
      <c r="P65" s="481"/>
      <c r="Q65" s="1770"/>
      <c r="R65" s="1771"/>
      <c r="S65" s="1772"/>
    </row>
    <row r="66" spans="1:19" s="85" customFormat="1" ht="13">
      <c r="A66" s="472"/>
      <c r="B66" s="473"/>
      <c r="C66" s="474"/>
      <c r="D66" s="474"/>
      <c r="E66" s="475"/>
      <c r="F66" s="476"/>
      <c r="G66" s="476"/>
      <c r="H66" s="477"/>
      <c r="I66" s="478"/>
      <c r="J66" s="89">
        <f t="shared" si="0"/>
        <v>0</v>
      </c>
      <c r="K66" s="479"/>
      <c r="L66" s="480"/>
      <c r="M66" s="64">
        <f t="shared" si="1"/>
        <v>0</v>
      </c>
      <c r="N66" s="90">
        <f t="shared" si="2"/>
        <v>0</v>
      </c>
      <c r="O66" s="139">
        <f t="shared" si="3"/>
        <v>0</v>
      </c>
      <c r="P66" s="481"/>
      <c r="Q66" s="1770"/>
      <c r="R66" s="1771"/>
      <c r="S66" s="1772"/>
    </row>
    <row r="67" spans="1:19" s="85" customFormat="1" ht="13">
      <c r="A67" s="472"/>
      <c r="B67" s="473"/>
      <c r="C67" s="474"/>
      <c r="D67" s="474"/>
      <c r="E67" s="475"/>
      <c r="F67" s="476"/>
      <c r="G67" s="476"/>
      <c r="H67" s="477"/>
      <c r="I67" s="478"/>
      <c r="J67" s="89">
        <f t="shared" si="0"/>
        <v>0</v>
      </c>
      <c r="K67" s="479"/>
      <c r="L67" s="480"/>
      <c r="M67" s="64">
        <f t="shared" si="1"/>
        <v>0</v>
      </c>
      <c r="N67" s="90">
        <f t="shared" si="2"/>
        <v>0</v>
      </c>
      <c r="O67" s="139">
        <f t="shared" si="3"/>
        <v>0</v>
      </c>
      <c r="P67" s="481"/>
      <c r="Q67" s="1770"/>
      <c r="R67" s="1771"/>
      <c r="S67" s="1772"/>
    </row>
    <row r="68" spans="1:19" s="85" customFormat="1" ht="13">
      <c r="A68" s="472"/>
      <c r="B68" s="473"/>
      <c r="C68" s="474"/>
      <c r="D68" s="474"/>
      <c r="E68" s="475"/>
      <c r="F68" s="476"/>
      <c r="G68" s="476"/>
      <c r="H68" s="477"/>
      <c r="I68" s="478"/>
      <c r="J68" s="89">
        <f t="shared" si="0"/>
        <v>0</v>
      </c>
      <c r="K68" s="479"/>
      <c r="L68" s="480"/>
      <c r="M68" s="64">
        <f t="shared" si="1"/>
        <v>0</v>
      </c>
      <c r="N68" s="90">
        <f t="shared" si="2"/>
        <v>0</v>
      </c>
      <c r="O68" s="139">
        <f t="shared" si="3"/>
        <v>0</v>
      </c>
      <c r="P68" s="481"/>
      <c r="Q68" s="1770"/>
      <c r="R68" s="1771"/>
      <c r="S68" s="1772"/>
    </row>
    <row r="69" spans="1:19" s="85" customFormat="1" ht="13">
      <c r="A69" s="472"/>
      <c r="B69" s="473"/>
      <c r="C69" s="474"/>
      <c r="D69" s="474"/>
      <c r="E69" s="475"/>
      <c r="F69" s="476"/>
      <c r="G69" s="476"/>
      <c r="H69" s="477"/>
      <c r="I69" s="478"/>
      <c r="J69" s="89">
        <f t="shared" si="0"/>
        <v>0</v>
      </c>
      <c r="K69" s="479"/>
      <c r="L69" s="480"/>
      <c r="M69" s="64">
        <f t="shared" si="1"/>
        <v>0</v>
      </c>
      <c r="N69" s="90">
        <f t="shared" si="2"/>
        <v>0</v>
      </c>
      <c r="O69" s="139">
        <f t="shared" si="3"/>
        <v>0</v>
      </c>
      <c r="P69" s="481"/>
      <c r="Q69" s="1770"/>
      <c r="R69" s="1771"/>
      <c r="S69" s="1772"/>
    </row>
    <row r="70" spans="1:19" s="85" customFormat="1" ht="13">
      <c r="A70" s="472"/>
      <c r="B70" s="473"/>
      <c r="C70" s="474"/>
      <c r="D70" s="474"/>
      <c r="E70" s="475"/>
      <c r="F70" s="476"/>
      <c r="G70" s="476"/>
      <c r="H70" s="477"/>
      <c r="I70" s="478"/>
      <c r="J70" s="89">
        <f t="shared" si="0"/>
        <v>0</v>
      </c>
      <c r="K70" s="479"/>
      <c r="L70" s="480"/>
      <c r="M70" s="64">
        <f t="shared" si="1"/>
        <v>0</v>
      </c>
      <c r="N70" s="90">
        <f t="shared" si="2"/>
        <v>0</v>
      </c>
      <c r="O70" s="139">
        <f t="shared" si="3"/>
        <v>0</v>
      </c>
      <c r="P70" s="481"/>
      <c r="Q70" s="1770"/>
      <c r="R70" s="1771"/>
      <c r="S70" s="1772"/>
    </row>
    <row r="71" spans="1:19" s="85" customFormat="1" ht="13">
      <c r="A71" s="472"/>
      <c r="B71" s="473"/>
      <c r="C71" s="474"/>
      <c r="D71" s="474"/>
      <c r="E71" s="475"/>
      <c r="F71" s="476"/>
      <c r="G71" s="476"/>
      <c r="H71" s="477"/>
      <c r="I71" s="478"/>
      <c r="J71" s="89">
        <f t="shared" si="0"/>
        <v>0</v>
      </c>
      <c r="K71" s="479"/>
      <c r="L71" s="480"/>
      <c r="M71" s="64">
        <f t="shared" si="1"/>
        <v>0</v>
      </c>
      <c r="N71" s="90">
        <f t="shared" si="2"/>
        <v>0</v>
      </c>
      <c r="O71" s="139">
        <f t="shared" si="3"/>
        <v>0</v>
      </c>
      <c r="P71" s="481"/>
      <c r="Q71" s="1770"/>
      <c r="R71" s="1771"/>
      <c r="S71" s="1772"/>
    </row>
    <row r="72" spans="1:19" s="85" customFormat="1" ht="13">
      <c r="A72" s="472"/>
      <c r="B72" s="473"/>
      <c r="C72" s="474"/>
      <c r="D72" s="474"/>
      <c r="E72" s="475"/>
      <c r="F72" s="476"/>
      <c r="G72" s="476"/>
      <c r="H72" s="477"/>
      <c r="I72" s="478"/>
      <c r="J72" s="89">
        <f t="shared" si="0"/>
        <v>0</v>
      </c>
      <c r="K72" s="479"/>
      <c r="L72" s="480"/>
      <c r="M72" s="64">
        <f t="shared" si="1"/>
        <v>0</v>
      </c>
      <c r="N72" s="90">
        <f t="shared" si="2"/>
        <v>0</v>
      </c>
      <c r="O72" s="139">
        <f t="shared" si="3"/>
        <v>0</v>
      </c>
      <c r="P72" s="481"/>
      <c r="Q72" s="1770"/>
      <c r="R72" s="1771"/>
      <c r="S72" s="1772"/>
    </row>
    <row r="73" spans="1:19" s="85" customFormat="1" ht="13">
      <c r="A73" s="472"/>
      <c r="B73" s="473"/>
      <c r="C73" s="474"/>
      <c r="D73" s="474"/>
      <c r="E73" s="475"/>
      <c r="F73" s="476"/>
      <c r="G73" s="476"/>
      <c r="H73" s="477"/>
      <c r="I73" s="478"/>
      <c r="J73" s="89">
        <f t="shared" si="0"/>
        <v>0</v>
      </c>
      <c r="K73" s="479"/>
      <c r="L73" s="480"/>
      <c r="M73" s="64">
        <f t="shared" si="1"/>
        <v>0</v>
      </c>
      <c r="N73" s="90">
        <f t="shared" si="2"/>
        <v>0</v>
      </c>
      <c r="O73" s="139">
        <f t="shared" si="3"/>
        <v>0</v>
      </c>
      <c r="P73" s="481"/>
      <c r="Q73" s="1770"/>
      <c r="R73" s="1771"/>
      <c r="S73" s="1772"/>
    </row>
    <row r="74" spans="1:19" s="85" customFormat="1" ht="13">
      <c r="A74" s="472"/>
      <c r="B74" s="473"/>
      <c r="C74" s="474"/>
      <c r="D74" s="474"/>
      <c r="E74" s="475"/>
      <c r="F74" s="476"/>
      <c r="G74" s="476"/>
      <c r="H74" s="477"/>
      <c r="I74" s="478"/>
      <c r="J74" s="89">
        <f t="shared" si="0"/>
        <v>0</v>
      </c>
      <c r="K74" s="479"/>
      <c r="L74" s="480"/>
      <c r="M74" s="64">
        <f t="shared" si="1"/>
        <v>0</v>
      </c>
      <c r="N74" s="90">
        <f t="shared" si="2"/>
        <v>0</v>
      </c>
      <c r="O74" s="139">
        <f t="shared" si="3"/>
        <v>0</v>
      </c>
      <c r="P74" s="481"/>
      <c r="Q74" s="1770"/>
      <c r="R74" s="1771"/>
      <c r="S74" s="1772"/>
    </row>
    <row r="75" spans="1:19" s="85" customFormat="1" ht="13">
      <c r="A75" s="472"/>
      <c r="B75" s="473"/>
      <c r="C75" s="474"/>
      <c r="D75" s="474"/>
      <c r="E75" s="475"/>
      <c r="F75" s="476"/>
      <c r="G75" s="476"/>
      <c r="H75" s="477"/>
      <c r="I75" s="478"/>
      <c r="J75" s="89">
        <f t="shared" ref="J75:J138" si="4">IF(H75=0,0,(+I75)/H75)</f>
        <v>0</v>
      </c>
      <c r="K75" s="479"/>
      <c r="L75" s="480"/>
      <c r="M75" s="64">
        <f t="shared" ref="M75:M138" si="5">+K75*L75</f>
        <v>0</v>
      </c>
      <c r="N75" s="90">
        <f t="shared" ref="N75:N138" si="6">+K75-H75</f>
        <v>0</v>
      </c>
      <c r="O75" s="139">
        <f t="shared" ref="O75:O138" si="7">+M75-I75</f>
        <v>0</v>
      </c>
      <c r="P75" s="481"/>
      <c r="Q75" s="1770"/>
      <c r="R75" s="1771"/>
      <c r="S75" s="1772"/>
    </row>
    <row r="76" spans="1:19" s="85" customFormat="1" ht="13">
      <c r="A76" s="472"/>
      <c r="B76" s="473"/>
      <c r="C76" s="474"/>
      <c r="D76" s="474"/>
      <c r="E76" s="475"/>
      <c r="F76" s="476"/>
      <c r="G76" s="476"/>
      <c r="H76" s="477"/>
      <c r="I76" s="478"/>
      <c r="J76" s="89">
        <f t="shared" si="4"/>
        <v>0</v>
      </c>
      <c r="K76" s="479"/>
      <c r="L76" s="480"/>
      <c r="M76" s="64">
        <f t="shared" si="5"/>
        <v>0</v>
      </c>
      <c r="N76" s="90">
        <f t="shared" si="6"/>
        <v>0</v>
      </c>
      <c r="O76" s="139">
        <f t="shared" si="7"/>
        <v>0</v>
      </c>
      <c r="P76" s="481"/>
      <c r="Q76" s="1770"/>
      <c r="R76" s="1771"/>
      <c r="S76" s="1772"/>
    </row>
    <row r="77" spans="1:19" s="85" customFormat="1" ht="13">
      <c r="A77" s="472"/>
      <c r="B77" s="473"/>
      <c r="C77" s="474"/>
      <c r="D77" s="474"/>
      <c r="E77" s="475"/>
      <c r="F77" s="476"/>
      <c r="G77" s="476"/>
      <c r="H77" s="477"/>
      <c r="I77" s="478"/>
      <c r="J77" s="89">
        <f t="shared" si="4"/>
        <v>0</v>
      </c>
      <c r="K77" s="479"/>
      <c r="L77" s="480"/>
      <c r="M77" s="64">
        <f t="shared" si="5"/>
        <v>0</v>
      </c>
      <c r="N77" s="90">
        <f t="shared" si="6"/>
        <v>0</v>
      </c>
      <c r="O77" s="139">
        <f t="shared" si="7"/>
        <v>0</v>
      </c>
      <c r="P77" s="481"/>
      <c r="Q77" s="1770"/>
      <c r="R77" s="1771"/>
      <c r="S77" s="1772"/>
    </row>
    <row r="78" spans="1:19" s="85" customFormat="1" ht="13">
      <c r="A78" s="472"/>
      <c r="B78" s="473"/>
      <c r="C78" s="474"/>
      <c r="D78" s="474"/>
      <c r="E78" s="475"/>
      <c r="F78" s="476"/>
      <c r="G78" s="476"/>
      <c r="H78" s="477"/>
      <c r="I78" s="478"/>
      <c r="J78" s="89">
        <f t="shared" si="4"/>
        <v>0</v>
      </c>
      <c r="K78" s="479"/>
      <c r="L78" s="480"/>
      <c r="M78" s="64">
        <f t="shared" si="5"/>
        <v>0</v>
      </c>
      <c r="N78" s="90">
        <f t="shared" si="6"/>
        <v>0</v>
      </c>
      <c r="O78" s="139">
        <f t="shared" si="7"/>
        <v>0</v>
      </c>
      <c r="P78" s="481"/>
      <c r="Q78" s="1770"/>
      <c r="R78" s="1771"/>
      <c r="S78" s="1772"/>
    </row>
    <row r="79" spans="1:19" s="85" customFormat="1" ht="13">
      <c r="A79" s="472"/>
      <c r="B79" s="473"/>
      <c r="C79" s="474"/>
      <c r="D79" s="474"/>
      <c r="E79" s="475"/>
      <c r="F79" s="476"/>
      <c r="G79" s="476"/>
      <c r="H79" s="477"/>
      <c r="I79" s="478"/>
      <c r="J79" s="89">
        <f t="shared" si="4"/>
        <v>0</v>
      </c>
      <c r="K79" s="479"/>
      <c r="L79" s="480"/>
      <c r="M79" s="64">
        <f t="shared" si="5"/>
        <v>0</v>
      </c>
      <c r="N79" s="90">
        <f t="shared" si="6"/>
        <v>0</v>
      </c>
      <c r="O79" s="139">
        <f t="shared" si="7"/>
        <v>0</v>
      </c>
      <c r="P79" s="481"/>
      <c r="Q79" s="1770"/>
      <c r="R79" s="1771"/>
      <c r="S79" s="1772"/>
    </row>
    <row r="80" spans="1:19" s="85" customFormat="1" ht="13">
      <c r="A80" s="472"/>
      <c r="B80" s="473"/>
      <c r="C80" s="474"/>
      <c r="D80" s="474"/>
      <c r="E80" s="475"/>
      <c r="F80" s="476"/>
      <c r="G80" s="476"/>
      <c r="H80" s="477"/>
      <c r="I80" s="478"/>
      <c r="J80" s="89">
        <f t="shared" si="4"/>
        <v>0</v>
      </c>
      <c r="K80" s="479"/>
      <c r="L80" s="480"/>
      <c r="M80" s="64">
        <f t="shared" si="5"/>
        <v>0</v>
      </c>
      <c r="N80" s="90">
        <f t="shared" si="6"/>
        <v>0</v>
      </c>
      <c r="O80" s="139">
        <f t="shared" si="7"/>
        <v>0</v>
      </c>
      <c r="P80" s="481"/>
      <c r="Q80" s="1770"/>
      <c r="R80" s="1771"/>
      <c r="S80" s="1772"/>
    </row>
    <row r="81" spans="1:19" s="85" customFormat="1" ht="13">
      <c r="A81" s="472"/>
      <c r="B81" s="473"/>
      <c r="C81" s="474"/>
      <c r="D81" s="474"/>
      <c r="E81" s="475"/>
      <c r="F81" s="476"/>
      <c r="G81" s="476"/>
      <c r="H81" s="477"/>
      <c r="I81" s="478"/>
      <c r="J81" s="89">
        <f t="shared" si="4"/>
        <v>0</v>
      </c>
      <c r="K81" s="479"/>
      <c r="L81" s="480"/>
      <c r="M81" s="64">
        <f t="shared" si="5"/>
        <v>0</v>
      </c>
      <c r="N81" s="90">
        <f t="shared" si="6"/>
        <v>0</v>
      </c>
      <c r="O81" s="139">
        <f t="shared" si="7"/>
        <v>0</v>
      </c>
      <c r="P81" s="481"/>
      <c r="Q81" s="1770"/>
      <c r="R81" s="1771"/>
      <c r="S81" s="1772"/>
    </row>
    <row r="82" spans="1:19" s="85" customFormat="1" ht="13">
      <c r="A82" s="472"/>
      <c r="B82" s="473"/>
      <c r="C82" s="474"/>
      <c r="D82" s="474"/>
      <c r="E82" s="475"/>
      <c r="F82" s="476"/>
      <c r="G82" s="476"/>
      <c r="H82" s="477"/>
      <c r="I82" s="478"/>
      <c r="J82" s="89">
        <f t="shared" si="4"/>
        <v>0</v>
      </c>
      <c r="K82" s="479"/>
      <c r="L82" s="480"/>
      <c r="M82" s="64">
        <f t="shared" si="5"/>
        <v>0</v>
      </c>
      <c r="N82" s="90">
        <f t="shared" si="6"/>
        <v>0</v>
      </c>
      <c r="O82" s="139">
        <f t="shared" si="7"/>
        <v>0</v>
      </c>
      <c r="P82" s="481"/>
      <c r="Q82" s="1770"/>
      <c r="R82" s="1771"/>
      <c r="S82" s="1772"/>
    </row>
    <row r="83" spans="1:19" s="85" customFormat="1" ht="13">
      <c r="A83" s="472"/>
      <c r="B83" s="473"/>
      <c r="C83" s="474"/>
      <c r="D83" s="474"/>
      <c r="E83" s="475"/>
      <c r="F83" s="476"/>
      <c r="G83" s="476"/>
      <c r="H83" s="477"/>
      <c r="I83" s="478"/>
      <c r="J83" s="89">
        <f t="shared" si="4"/>
        <v>0</v>
      </c>
      <c r="K83" s="479"/>
      <c r="L83" s="480"/>
      <c r="M83" s="64">
        <f t="shared" si="5"/>
        <v>0</v>
      </c>
      <c r="N83" s="90">
        <f t="shared" si="6"/>
        <v>0</v>
      </c>
      <c r="O83" s="139">
        <f t="shared" si="7"/>
        <v>0</v>
      </c>
      <c r="P83" s="481"/>
      <c r="Q83" s="1770"/>
      <c r="R83" s="1771"/>
      <c r="S83" s="1772"/>
    </row>
    <row r="84" spans="1:19" s="85" customFormat="1" ht="13">
      <c r="A84" s="472"/>
      <c r="B84" s="473"/>
      <c r="C84" s="474"/>
      <c r="D84" s="474"/>
      <c r="E84" s="475"/>
      <c r="F84" s="476"/>
      <c r="G84" s="476"/>
      <c r="H84" s="477"/>
      <c r="I84" s="478"/>
      <c r="J84" s="89">
        <f t="shared" si="4"/>
        <v>0</v>
      </c>
      <c r="K84" s="479"/>
      <c r="L84" s="480"/>
      <c r="M84" s="64">
        <f t="shared" si="5"/>
        <v>0</v>
      </c>
      <c r="N84" s="90">
        <f t="shared" si="6"/>
        <v>0</v>
      </c>
      <c r="O84" s="139">
        <f t="shared" si="7"/>
        <v>0</v>
      </c>
      <c r="P84" s="481"/>
      <c r="Q84" s="1770"/>
      <c r="R84" s="1771"/>
      <c r="S84" s="1772"/>
    </row>
    <row r="85" spans="1:19" s="85" customFormat="1" ht="13">
      <c r="A85" s="472"/>
      <c r="B85" s="473"/>
      <c r="C85" s="474"/>
      <c r="D85" s="474"/>
      <c r="E85" s="475"/>
      <c r="F85" s="476"/>
      <c r="G85" s="476"/>
      <c r="H85" s="477"/>
      <c r="I85" s="478"/>
      <c r="J85" s="89">
        <f t="shared" si="4"/>
        <v>0</v>
      </c>
      <c r="K85" s="479"/>
      <c r="L85" s="480"/>
      <c r="M85" s="64">
        <f t="shared" si="5"/>
        <v>0</v>
      </c>
      <c r="N85" s="90">
        <f t="shared" si="6"/>
        <v>0</v>
      </c>
      <c r="O85" s="139">
        <f t="shared" si="7"/>
        <v>0</v>
      </c>
      <c r="P85" s="481"/>
      <c r="Q85" s="1770"/>
      <c r="R85" s="1771"/>
      <c r="S85" s="1772"/>
    </row>
    <row r="86" spans="1:19" s="85" customFormat="1" ht="13">
      <c r="A86" s="472"/>
      <c r="B86" s="473"/>
      <c r="C86" s="474"/>
      <c r="D86" s="474"/>
      <c r="E86" s="475"/>
      <c r="F86" s="476"/>
      <c r="G86" s="476"/>
      <c r="H86" s="477"/>
      <c r="I86" s="478"/>
      <c r="J86" s="89">
        <f t="shared" si="4"/>
        <v>0</v>
      </c>
      <c r="K86" s="479"/>
      <c r="L86" s="480"/>
      <c r="M86" s="64">
        <f t="shared" si="5"/>
        <v>0</v>
      </c>
      <c r="N86" s="90">
        <f t="shared" si="6"/>
        <v>0</v>
      </c>
      <c r="O86" s="139">
        <f t="shared" si="7"/>
        <v>0</v>
      </c>
      <c r="P86" s="481"/>
      <c r="Q86" s="1770"/>
      <c r="R86" s="1771"/>
      <c r="S86" s="1772"/>
    </row>
    <row r="87" spans="1:19" s="85" customFormat="1" ht="13">
      <c r="A87" s="472"/>
      <c r="B87" s="473"/>
      <c r="C87" s="474"/>
      <c r="D87" s="474"/>
      <c r="E87" s="475"/>
      <c r="F87" s="476"/>
      <c r="G87" s="476"/>
      <c r="H87" s="477"/>
      <c r="I87" s="478"/>
      <c r="J87" s="89">
        <f t="shared" si="4"/>
        <v>0</v>
      </c>
      <c r="K87" s="479"/>
      <c r="L87" s="480"/>
      <c r="M87" s="64">
        <f t="shared" si="5"/>
        <v>0</v>
      </c>
      <c r="N87" s="90">
        <f t="shared" si="6"/>
        <v>0</v>
      </c>
      <c r="O87" s="139">
        <f t="shared" si="7"/>
        <v>0</v>
      </c>
      <c r="P87" s="481"/>
      <c r="Q87" s="1770"/>
      <c r="R87" s="1771"/>
      <c r="S87" s="1772"/>
    </row>
    <row r="88" spans="1:19" s="85" customFormat="1" ht="13">
      <c r="A88" s="472"/>
      <c r="B88" s="473"/>
      <c r="C88" s="474"/>
      <c r="D88" s="474"/>
      <c r="E88" s="475"/>
      <c r="F88" s="476"/>
      <c r="G88" s="476"/>
      <c r="H88" s="477"/>
      <c r="I88" s="478"/>
      <c r="J88" s="89">
        <f t="shared" si="4"/>
        <v>0</v>
      </c>
      <c r="K88" s="479"/>
      <c r="L88" s="480"/>
      <c r="M88" s="64">
        <f t="shared" si="5"/>
        <v>0</v>
      </c>
      <c r="N88" s="90">
        <f t="shared" si="6"/>
        <v>0</v>
      </c>
      <c r="O88" s="139">
        <f t="shared" si="7"/>
        <v>0</v>
      </c>
      <c r="P88" s="481"/>
      <c r="Q88" s="1770"/>
      <c r="R88" s="1771"/>
      <c r="S88" s="1772"/>
    </row>
    <row r="89" spans="1:19" s="85" customFormat="1" ht="13">
      <c r="A89" s="472"/>
      <c r="B89" s="473"/>
      <c r="C89" s="474"/>
      <c r="D89" s="474"/>
      <c r="E89" s="475"/>
      <c r="F89" s="476"/>
      <c r="G89" s="476"/>
      <c r="H89" s="477"/>
      <c r="I89" s="478"/>
      <c r="J89" s="89">
        <f t="shared" si="4"/>
        <v>0</v>
      </c>
      <c r="K89" s="479"/>
      <c r="L89" s="480"/>
      <c r="M89" s="64">
        <f t="shared" si="5"/>
        <v>0</v>
      </c>
      <c r="N89" s="90">
        <f t="shared" si="6"/>
        <v>0</v>
      </c>
      <c r="O89" s="139">
        <f t="shared" si="7"/>
        <v>0</v>
      </c>
      <c r="P89" s="481"/>
      <c r="Q89" s="1770"/>
      <c r="R89" s="1771"/>
      <c r="S89" s="1772"/>
    </row>
    <row r="90" spans="1:19" s="85" customFormat="1" ht="13">
      <c r="A90" s="472"/>
      <c r="B90" s="473"/>
      <c r="C90" s="474"/>
      <c r="D90" s="474"/>
      <c r="E90" s="475"/>
      <c r="F90" s="476"/>
      <c r="G90" s="476"/>
      <c r="H90" s="477"/>
      <c r="I90" s="478"/>
      <c r="J90" s="89">
        <f t="shared" si="4"/>
        <v>0</v>
      </c>
      <c r="K90" s="479"/>
      <c r="L90" s="480"/>
      <c r="M90" s="64">
        <f t="shared" si="5"/>
        <v>0</v>
      </c>
      <c r="N90" s="90">
        <f t="shared" si="6"/>
        <v>0</v>
      </c>
      <c r="O90" s="139">
        <f t="shared" si="7"/>
        <v>0</v>
      </c>
      <c r="P90" s="481"/>
      <c r="Q90" s="1770"/>
      <c r="R90" s="1771"/>
      <c r="S90" s="1772"/>
    </row>
    <row r="91" spans="1:19" s="85" customFormat="1" ht="13">
      <c r="A91" s="472"/>
      <c r="B91" s="473"/>
      <c r="C91" s="474"/>
      <c r="D91" s="474"/>
      <c r="E91" s="475"/>
      <c r="F91" s="476"/>
      <c r="G91" s="476"/>
      <c r="H91" s="477"/>
      <c r="I91" s="478"/>
      <c r="J91" s="89">
        <f t="shared" si="4"/>
        <v>0</v>
      </c>
      <c r="K91" s="479"/>
      <c r="L91" s="480"/>
      <c r="M91" s="64">
        <f t="shared" si="5"/>
        <v>0</v>
      </c>
      <c r="N91" s="90">
        <f t="shared" si="6"/>
        <v>0</v>
      </c>
      <c r="O91" s="139">
        <f t="shared" si="7"/>
        <v>0</v>
      </c>
      <c r="P91" s="481"/>
      <c r="Q91" s="1770"/>
      <c r="R91" s="1771"/>
      <c r="S91" s="1772"/>
    </row>
    <row r="92" spans="1:19" s="85" customFormat="1" ht="13">
      <c r="A92" s="472"/>
      <c r="B92" s="473"/>
      <c r="C92" s="474"/>
      <c r="D92" s="474"/>
      <c r="E92" s="475"/>
      <c r="F92" s="476"/>
      <c r="G92" s="476"/>
      <c r="H92" s="477"/>
      <c r="I92" s="478"/>
      <c r="J92" s="89">
        <f t="shared" si="4"/>
        <v>0</v>
      </c>
      <c r="K92" s="479"/>
      <c r="L92" s="480"/>
      <c r="M92" s="64">
        <f t="shared" si="5"/>
        <v>0</v>
      </c>
      <c r="N92" s="90">
        <f t="shared" si="6"/>
        <v>0</v>
      </c>
      <c r="O92" s="139">
        <f t="shared" si="7"/>
        <v>0</v>
      </c>
      <c r="P92" s="481"/>
      <c r="Q92" s="1770"/>
      <c r="R92" s="1771"/>
      <c r="S92" s="1772"/>
    </row>
    <row r="93" spans="1:19" s="85" customFormat="1" ht="13">
      <c r="A93" s="472"/>
      <c r="B93" s="473"/>
      <c r="C93" s="474"/>
      <c r="D93" s="474"/>
      <c r="E93" s="475"/>
      <c r="F93" s="476"/>
      <c r="G93" s="476"/>
      <c r="H93" s="477"/>
      <c r="I93" s="478"/>
      <c r="J93" s="89">
        <f t="shared" si="4"/>
        <v>0</v>
      </c>
      <c r="K93" s="479"/>
      <c r="L93" s="480"/>
      <c r="M93" s="64">
        <f t="shared" si="5"/>
        <v>0</v>
      </c>
      <c r="N93" s="90">
        <f t="shared" si="6"/>
        <v>0</v>
      </c>
      <c r="O93" s="139">
        <f t="shared" si="7"/>
        <v>0</v>
      </c>
      <c r="P93" s="481"/>
      <c r="Q93" s="1770"/>
      <c r="R93" s="1771"/>
      <c r="S93" s="1772"/>
    </row>
    <row r="94" spans="1:19" s="85" customFormat="1" ht="13">
      <c r="A94" s="472"/>
      <c r="B94" s="473"/>
      <c r="C94" s="474"/>
      <c r="D94" s="474"/>
      <c r="E94" s="475"/>
      <c r="F94" s="476"/>
      <c r="G94" s="476"/>
      <c r="H94" s="477"/>
      <c r="I94" s="478"/>
      <c r="J94" s="89">
        <f t="shared" si="4"/>
        <v>0</v>
      </c>
      <c r="K94" s="479"/>
      <c r="L94" s="480"/>
      <c r="M94" s="64">
        <f t="shared" si="5"/>
        <v>0</v>
      </c>
      <c r="N94" s="90">
        <f t="shared" si="6"/>
        <v>0</v>
      </c>
      <c r="O94" s="139">
        <f t="shared" si="7"/>
        <v>0</v>
      </c>
      <c r="P94" s="481"/>
      <c r="Q94" s="1770"/>
      <c r="R94" s="1771"/>
      <c r="S94" s="1772"/>
    </row>
    <row r="95" spans="1:19" s="85" customFormat="1" ht="13">
      <c r="A95" s="472"/>
      <c r="B95" s="473"/>
      <c r="C95" s="474"/>
      <c r="D95" s="474"/>
      <c r="E95" s="475"/>
      <c r="F95" s="476"/>
      <c r="G95" s="476"/>
      <c r="H95" s="477"/>
      <c r="I95" s="478"/>
      <c r="J95" s="89">
        <f t="shared" si="4"/>
        <v>0</v>
      </c>
      <c r="K95" s="479"/>
      <c r="L95" s="480"/>
      <c r="M95" s="64">
        <f t="shared" si="5"/>
        <v>0</v>
      </c>
      <c r="N95" s="90">
        <f t="shared" si="6"/>
        <v>0</v>
      </c>
      <c r="O95" s="139">
        <f t="shared" si="7"/>
        <v>0</v>
      </c>
      <c r="P95" s="481"/>
      <c r="Q95" s="1770"/>
      <c r="R95" s="1771"/>
      <c r="S95" s="1772"/>
    </row>
    <row r="96" spans="1:19" s="85" customFormat="1" ht="13">
      <c r="A96" s="472"/>
      <c r="B96" s="473"/>
      <c r="C96" s="474"/>
      <c r="D96" s="474"/>
      <c r="E96" s="475"/>
      <c r="F96" s="476"/>
      <c r="G96" s="476"/>
      <c r="H96" s="477"/>
      <c r="I96" s="478"/>
      <c r="J96" s="89">
        <f t="shared" si="4"/>
        <v>0</v>
      </c>
      <c r="K96" s="479"/>
      <c r="L96" s="480"/>
      <c r="M96" s="64">
        <f t="shared" si="5"/>
        <v>0</v>
      </c>
      <c r="N96" s="90">
        <f t="shared" si="6"/>
        <v>0</v>
      </c>
      <c r="O96" s="139">
        <f t="shared" si="7"/>
        <v>0</v>
      </c>
      <c r="P96" s="481"/>
      <c r="Q96" s="1770"/>
      <c r="R96" s="1771"/>
      <c r="S96" s="1772"/>
    </row>
    <row r="97" spans="1:19" s="85" customFormat="1" ht="13">
      <c r="A97" s="472"/>
      <c r="B97" s="473"/>
      <c r="C97" s="474"/>
      <c r="D97" s="474"/>
      <c r="E97" s="475"/>
      <c r="F97" s="476"/>
      <c r="G97" s="476"/>
      <c r="H97" s="477"/>
      <c r="I97" s="478"/>
      <c r="J97" s="89">
        <f t="shared" si="4"/>
        <v>0</v>
      </c>
      <c r="K97" s="479"/>
      <c r="L97" s="480"/>
      <c r="M97" s="64">
        <f t="shared" si="5"/>
        <v>0</v>
      </c>
      <c r="N97" s="90">
        <f t="shared" si="6"/>
        <v>0</v>
      </c>
      <c r="O97" s="139">
        <f t="shared" si="7"/>
        <v>0</v>
      </c>
      <c r="P97" s="481"/>
      <c r="Q97" s="1770"/>
      <c r="R97" s="1771"/>
      <c r="S97" s="1772"/>
    </row>
    <row r="98" spans="1:19" s="85" customFormat="1" ht="13">
      <c r="A98" s="472"/>
      <c r="B98" s="473"/>
      <c r="C98" s="474"/>
      <c r="D98" s="474"/>
      <c r="E98" s="475"/>
      <c r="F98" s="476"/>
      <c r="G98" s="476"/>
      <c r="H98" s="477"/>
      <c r="I98" s="478"/>
      <c r="J98" s="89">
        <f t="shared" si="4"/>
        <v>0</v>
      </c>
      <c r="K98" s="479"/>
      <c r="L98" s="480"/>
      <c r="M98" s="64">
        <f t="shared" si="5"/>
        <v>0</v>
      </c>
      <c r="N98" s="90">
        <f t="shared" si="6"/>
        <v>0</v>
      </c>
      <c r="O98" s="139">
        <f t="shared" si="7"/>
        <v>0</v>
      </c>
      <c r="P98" s="481"/>
      <c r="Q98" s="1770"/>
      <c r="R98" s="1771"/>
      <c r="S98" s="1772"/>
    </row>
    <row r="99" spans="1:19" s="85" customFormat="1" ht="13">
      <c r="A99" s="472"/>
      <c r="B99" s="473"/>
      <c r="C99" s="474"/>
      <c r="D99" s="474"/>
      <c r="E99" s="475"/>
      <c r="F99" s="476"/>
      <c r="G99" s="476"/>
      <c r="H99" s="477"/>
      <c r="I99" s="478"/>
      <c r="J99" s="89">
        <f t="shared" si="4"/>
        <v>0</v>
      </c>
      <c r="K99" s="479"/>
      <c r="L99" s="480"/>
      <c r="M99" s="64">
        <f t="shared" si="5"/>
        <v>0</v>
      </c>
      <c r="N99" s="90">
        <f t="shared" si="6"/>
        <v>0</v>
      </c>
      <c r="O99" s="139">
        <f t="shared" si="7"/>
        <v>0</v>
      </c>
      <c r="P99" s="481"/>
      <c r="Q99" s="1770"/>
      <c r="R99" s="1771"/>
      <c r="S99" s="1772"/>
    </row>
    <row r="100" spans="1:19" s="85" customFormat="1" ht="13">
      <c r="A100" s="472"/>
      <c r="B100" s="473"/>
      <c r="C100" s="474"/>
      <c r="D100" s="474"/>
      <c r="E100" s="475"/>
      <c r="F100" s="476"/>
      <c r="G100" s="476"/>
      <c r="H100" s="477"/>
      <c r="I100" s="478"/>
      <c r="J100" s="89">
        <f t="shared" si="4"/>
        <v>0</v>
      </c>
      <c r="K100" s="479"/>
      <c r="L100" s="480"/>
      <c r="M100" s="64">
        <f t="shared" si="5"/>
        <v>0</v>
      </c>
      <c r="N100" s="90">
        <f t="shared" si="6"/>
        <v>0</v>
      </c>
      <c r="O100" s="139">
        <f t="shared" si="7"/>
        <v>0</v>
      </c>
      <c r="P100" s="481"/>
      <c r="Q100" s="1770"/>
      <c r="R100" s="1771"/>
      <c r="S100" s="1772"/>
    </row>
    <row r="101" spans="1:19" s="85" customFormat="1" ht="13">
      <c r="A101" s="472"/>
      <c r="B101" s="473"/>
      <c r="C101" s="474"/>
      <c r="D101" s="474"/>
      <c r="E101" s="475"/>
      <c r="F101" s="476"/>
      <c r="G101" s="476"/>
      <c r="H101" s="477"/>
      <c r="I101" s="478"/>
      <c r="J101" s="89">
        <f t="shared" si="4"/>
        <v>0</v>
      </c>
      <c r="K101" s="479"/>
      <c r="L101" s="480"/>
      <c r="M101" s="64">
        <f t="shared" si="5"/>
        <v>0</v>
      </c>
      <c r="N101" s="90">
        <f t="shared" si="6"/>
        <v>0</v>
      </c>
      <c r="O101" s="139">
        <f t="shared" si="7"/>
        <v>0</v>
      </c>
      <c r="P101" s="481"/>
      <c r="Q101" s="1770"/>
      <c r="R101" s="1771"/>
      <c r="S101" s="1772"/>
    </row>
    <row r="102" spans="1:19" s="85" customFormat="1" ht="13">
      <c r="A102" s="472"/>
      <c r="B102" s="473"/>
      <c r="C102" s="474"/>
      <c r="D102" s="474"/>
      <c r="E102" s="475"/>
      <c r="F102" s="476"/>
      <c r="G102" s="476"/>
      <c r="H102" s="477"/>
      <c r="I102" s="478"/>
      <c r="J102" s="89">
        <f t="shared" si="4"/>
        <v>0</v>
      </c>
      <c r="K102" s="479"/>
      <c r="L102" s="480"/>
      <c r="M102" s="64">
        <f t="shared" si="5"/>
        <v>0</v>
      </c>
      <c r="N102" s="90">
        <f t="shared" si="6"/>
        <v>0</v>
      </c>
      <c r="O102" s="139">
        <f t="shared" si="7"/>
        <v>0</v>
      </c>
      <c r="P102" s="481"/>
      <c r="Q102" s="1770"/>
      <c r="R102" s="1771"/>
      <c r="S102" s="1772"/>
    </row>
    <row r="103" spans="1:19" s="85" customFormat="1" ht="13">
      <c r="A103" s="472"/>
      <c r="B103" s="473"/>
      <c r="C103" s="474"/>
      <c r="D103" s="474"/>
      <c r="E103" s="475"/>
      <c r="F103" s="476"/>
      <c r="G103" s="476"/>
      <c r="H103" s="477"/>
      <c r="I103" s="478"/>
      <c r="J103" s="89">
        <f t="shared" si="4"/>
        <v>0</v>
      </c>
      <c r="K103" s="479"/>
      <c r="L103" s="480"/>
      <c r="M103" s="64">
        <f t="shared" si="5"/>
        <v>0</v>
      </c>
      <c r="N103" s="90">
        <f t="shared" si="6"/>
        <v>0</v>
      </c>
      <c r="O103" s="139">
        <f t="shared" si="7"/>
        <v>0</v>
      </c>
      <c r="P103" s="481"/>
      <c r="Q103" s="1770"/>
      <c r="R103" s="1771"/>
      <c r="S103" s="1772"/>
    </row>
    <row r="104" spans="1:19" s="85" customFormat="1" ht="13">
      <c r="A104" s="472"/>
      <c r="B104" s="473"/>
      <c r="C104" s="474"/>
      <c r="D104" s="474"/>
      <c r="E104" s="475"/>
      <c r="F104" s="476"/>
      <c r="G104" s="476"/>
      <c r="H104" s="477"/>
      <c r="I104" s="478"/>
      <c r="J104" s="89">
        <f t="shared" si="4"/>
        <v>0</v>
      </c>
      <c r="K104" s="479"/>
      <c r="L104" s="480"/>
      <c r="M104" s="64">
        <f t="shared" si="5"/>
        <v>0</v>
      </c>
      <c r="N104" s="90">
        <f t="shared" si="6"/>
        <v>0</v>
      </c>
      <c r="O104" s="139">
        <f t="shared" si="7"/>
        <v>0</v>
      </c>
      <c r="P104" s="481"/>
      <c r="Q104" s="1770"/>
      <c r="R104" s="1771"/>
      <c r="S104" s="1772"/>
    </row>
    <row r="105" spans="1:19" s="85" customFormat="1" ht="13">
      <c r="A105" s="472"/>
      <c r="B105" s="473"/>
      <c r="C105" s="474"/>
      <c r="D105" s="474"/>
      <c r="E105" s="475"/>
      <c r="F105" s="476"/>
      <c r="G105" s="476"/>
      <c r="H105" s="477"/>
      <c r="I105" s="478"/>
      <c r="J105" s="89">
        <f t="shared" si="4"/>
        <v>0</v>
      </c>
      <c r="K105" s="479"/>
      <c r="L105" s="480"/>
      <c r="M105" s="64">
        <f t="shared" si="5"/>
        <v>0</v>
      </c>
      <c r="N105" s="90">
        <f t="shared" si="6"/>
        <v>0</v>
      </c>
      <c r="O105" s="139">
        <f t="shared" si="7"/>
        <v>0</v>
      </c>
      <c r="P105" s="481"/>
      <c r="Q105" s="1770"/>
      <c r="R105" s="1771"/>
      <c r="S105" s="1772"/>
    </row>
    <row r="106" spans="1:19" s="85" customFormat="1" ht="13">
      <c r="A106" s="472"/>
      <c r="B106" s="473"/>
      <c r="C106" s="474"/>
      <c r="D106" s="474"/>
      <c r="E106" s="475"/>
      <c r="F106" s="476"/>
      <c r="G106" s="476"/>
      <c r="H106" s="477"/>
      <c r="I106" s="478"/>
      <c r="J106" s="89">
        <f t="shared" si="4"/>
        <v>0</v>
      </c>
      <c r="K106" s="479"/>
      <c r="L106" s="480"/>
      <c r="M106" s="64">
        <f t="shared" si="5"/>
        <v>0</v>
      </c>
      <c r="N106" s="90">
        <f t="shared" si="6"/>
        <v>0</v>
      </c>
      <c r="O106" s="139">
        <f t="shared" si="7"/>
        <v>0</v>
      </c>
      <c r="P106" s="481"/>
      <c r="Q106" s="1770"/>
      <c r="R106" s="1771"/>
      <c r="S106" s="1772"/>
    </row>
    <row r="107" spans="1:19" s="85" customFormat="1" ht="13">
      <c r="A107" s="472"/>
      <c r="B107" s="473"/>
      <c r="C107" s="474"/>
      <c r="D107" s="474"/>
      <c r="E107" s="475"/>
      <c r="F107" s="476"/>
      <c r="G107" s="476"/>
      <c r="H107" s="477"/>
      <c r="I107" s="478"/>
      <c r="J107" s="89">
        <f t="shared" si="4"/>
        <v>0</v>
      </c>
      <c r="K107" s="479"/>
      <c r="L107" s="480"/>
      <c r="M107" s="64">
        <f t="shared" si="5"/>
        <v>0</v>
      </c>
      <c r="N107" s="90">
        <f t="shared" si="6"/>
        <v>0</v>
      </c>
      <c r="O107" s="139">
        <f t="shared" si="7"/>
        <v>0</v>
      </c>
      <c r="P107" s="481"/>
      <c r="Q107" s="1770"/>
      <c r="R107" s="1771"/>
      <c r="S107" s="1772"/>
    </row>
    <row r="108" spans="1:19" s="85" customFormat="1" ht="13">
      <c r="A108" s="472"/>
      <c r="B108" s="473"/>
      <c r="C108" s="474"/>
      <c r="D108" s="474"/>
      <c r="E108" s="475"/>
      <c r="F108" s="476"/>
      <c r="G108" s="476"/>
      <c r="H108" s="477"/>
      <c r="I108" s="478"/>
      <c r="J108" s="89">
        <f t="shared" si="4"/>
        <v>0</v>
      </c>
      <c r="K108" s="479"/>
      <c r="L108" s="480"/>
      <c r="M108" s="64">
        <f t="shared" si="5"/>
        <v>0</v>
      </c>
      <c r="N108" s="90">
        <f t="shared" si="6"/>
        <v>0</v>
      </c>
      <c r="O108" s="139">
        <f t="shared" si="7"/>
        <v>0</v>
      </c>
      <c r="P108" s="481"/>
      <c r="Q108" s="1770"/>
      <c r="R108" s="1771"/>
      <c r="S108" s="1772"/>
    </row>
    <row r="109" spans="1:19" s="85" customFormat="1" ht="13">
      <c r="A109" s="472"/>
      <c r="B109" s="473"/>
      <c r="C109" s="474"/>
      <c r="D109" s="474"/>
      <c r="E109" s="475"/>
      <c r="F109" s="476"/>
      <c r="G109" s="476"/>
      <c r="H109" s="477"/>
      <c r="I109" s="478"/>
      <c r="J109" s="89">
        <f t="shared" si="4"/>
        <v>0</v>
      </c>
      <c r="K109" s="479"/>
      <c r="L109" s="480"/>
      <c r="M109" s="64">
        <f t="shared" si="5"/>
        <v>0</v>
      </c>
      <c r="N109" s="90">
        <f t="shared" si="6"/>
        <v>0</v>
      </c>
      <c r="O109" s="139">
        <f t="shared" si="7"/>
        <v>0</v>
      </c>
      <c r="P109" s="481"/>
      <c r="Q109" s="1770"/>
      <c r="R109" s="1771"/>
      <c r="S109" s="1772"/>
    </row>
    <row r="110" spans="1:19" s="85" customFormat="1" ht="13">
      <c r="A110" s="472"/>
      <c r="B110" s="473"/>
      <c r="C110" s="474"/>
      <c r="D110" s="474"/>
      <c r="E110" s="475"/>
      <c r="F110" s="476"/>
      <c r="G110" s="476"/>
      <c r="H110" s="477"/>
      <c r="I110" s="478"/>
      <c r="J110" s="89">
        <f t="shared" si="4"/>
        <v>0</v>
      </c>
      <c r="K110" s="479"/>
      <c r="L110" s="480"/>
      <c r="M110" s="64">
        <f t="shared" si="5"/>
        <v>0</v>
      </c>
      <c r="N110" s="90">
        <f t="shared" si="6"/>
        <v>0</v>
      </c>
      <c r="O110" s="139">
        <f t="shared" si="7"/>
        <v>0</v>
      </c>
      <c r="P110" s="481"/>
      <c r="Q110" s="1770"/>
      <c r="R110" s="1771"/>
      <c r="S110" s="1772"/>
    </row>
    <row r="111" spans="1:19" s="85" customFormat="1" ht="13">
      <c r="A111" s="472"/>
      <c r="B111" s="473"/>
      <c r="C111" s="474"/>
      <c r="D111" s="474"/>
      <c r="E111" s="475"/>
      <c r="F111" s="476"/>
      <c r="G111" s="476"/>
      <c r="H111" s="477"/>
      <c r="I111" s="478"/>
      <c r="J111" s="89">
        <f t="shared" si="4"/>
        <v>0</v>
      </c>
      <c r="K111" s="479"/>
      <c r="L111" s="480"/>
      <c r="M111" s="64">
        <f t="shared" si="5"/>
        <v>0</v>
      </c>
      <c r="N111" s="90">
        <f t="shared" si="6"/>
        <v>0</v>
      </c>
      <c r="O111" s="139">
        <f t="shared" si="7"/>
        <v>0</v>
      </c>
      <c r="P111" s="481"/>
      <c r="Q111" s="1770"/>
      <c r="R111" s="1771"/>
      <c r="S111" s="1772"/>
    </row>
    <row r="112" spans="1:19" s="85" customFormat="1" ht="13">
      <c r="A112" s="472"/>
      <c r="B112" s="473"/>
      <c r="C112" s="474"/>
      <c r="D112" s="474"/>
      <c r="E112" s="475"/>
      <c r="F112" s="476"/>
      <c r="G112" s="476"/>
      <c r="H112" s="477"/>
      <c r="I112" s="478"/>
      <c r="J112" s="89">
        <f t="shared" si="4"/>
        <v>0</v>
      </c>
      <c r="K112" s="479"/>
      <c r="L112" s="480"/>
      <c r="M112" s="64">
        <f t="shared" si="5"/>
        <v>0</v>
      </c>
      <c r="N112" s="90">
        <f t="shared" si="6"/>
        <v>0</v>
      </c>
      <c r="O112" s="139">
        <f t="shared" si="7"/>
        <v>0</v>
      </c>
      <c r="P112" s="481"/>
      <c r="Q112" s="1770"/>
      <c r="R112" s="1771"/>
      <c r="S112" s="1772"/>
    </row>
    <row r="113" spans="1:19" s="85" customFormat="1" ht="13">
      <c r="A113" s="472"/>
      <c r="B113" s="473"/>
      <c r="C113" s="474"/>
      <c r="D113" s="474"/>
      <c r="E113" s="475"/>
      <c r="F113" s="476"/>
      <c r="G113" s="476"/>
      <c r="H113" s="477"/>
      <c r="I113" s="478"/>
      <c r="J113" s="89">
        <f t="shared" si="4"/>
        <v>0</v>
      </c>
      <c r="K113" s="479"/>
      <c r="L113" s="480"/>
      <c r="M113" s="64">
        <f t="shared" si="5"/>
        <v>0</v>
      </c>
      <c r="N113" s="90">
        <f t="shared" si="6"/>
        <v>0</v>
      </c>
      <c r="O113" s="139">
        <f t="shared" si="7"/>
        <v>0</v>
      </c>
      <c r="P113" s="481"/>
      <c r="Q113" s="1770"/>
      <c r="R113" s="1771"/>
      <c r="S113" s="1772"/>
    </row>
    <row r="114" spans="1:19" s="85" customFormat="1" ht="13">
      <c r="A114" s="472"/>
      <c r="B114" s="473"/>
      <c r="C114" s="474"/>
      <c r="D114" s="474"/>
      <c r="E114" s="475"/>
      <c r="F114" s="476"/>
      <c r="G114" s="476"/>
      <c r="H114" s="477"/>
      <c r="I114" s="478"/>
      <c r="J114" s="89">
        <f t="shared" si="4"/>
        <v>0</v>
      </c>
      <c r="K114" s="479"/>
      <c r="L114" s="480"/>
      <c r="M114" s="64">
        <f t="shared" si="5"/>
        <v>0</v>
      </c>
      <c r="N114" s="90">
        <f t="shared" si="6"/>
        <v>0</v>
      </c>
      <c r="O114" s="139">
        <f t="shared" si="7"/>
        <v>0</v>
      </c>
      <c r="P114" s="481"/>
      <c r="Q114" s="1770"/>
      <c r="R114" s="1771"/>
      <c r="S114" s="1772"/>
    </row>
    <row r="115" spans="1:19" s="85" customFormat="1" ht="13">
      <c r="A115" s="472"/>
      <c r="B115" s="473"/>
      <c r="C115" s="474"/>
      <c r="D115" s="474"/>
      <c r="E115" s="475"/>
      <c r="F115" s="476"/>
      <c r="G115" s="476"/>
      <c r="H115" s="477"/>
      <c r="I115" s="478"/>
      <c r="J115" s="89">
        <f t="shared" si="4"/>
        <v>0</v>
      </c>
      <c r="K115" s="479"/>
      <c r="L115" s="480"/>
      <c r="M115" s="64">
        <f t="shared" si="5"/>
        <v>0</v>
      </c>
      <c r="N115" s="90">
        <f t="shared" si="6"/>
        <v>0</v>
      </c>
      <c r="O115" s="139">
        <f t="shared" si="7"/>
        <v>0</v>
      </c>
      <c r="P115" s="481"/>
      <c r="Q115" s="1770"/>
      <c r="R115" s="1771"/>
      <c r="S115" s="1772"/>
    </row>
    <row r="116" spans="1:19" s="85" customFormat="1" ht="13">
      <c r="A116" s="472"/>
      <c r="B116" s="473"/>
      <c r="C116" s="474"/>
      <c r="D116" s="474"/>
      <c r="E116" s="475"/>
      <c r="F116" s="476"/>
      <c r="G116" s="476"/>
      <c r="H116" s="477"/>
      <c r="I116" s="478"/>
      <c r="J116" s="89">
        <f t="shared" si="4"/>
        <v>0</v>
      </c>
      <c r="K116" s="479"/>
      <c r="L116" s="480"/>
      <c r="M116" s="64">
        <f t="shared" si="5"/>
        <v>0</v>
      </c>
      <c r="N116" s="90">
        <f t="shared" si="6"/>
        <v>0</v>
      </c>
      <c r="O116" s="139">
        <f t="shared" si="7"/>
        <v>0</v>
      </c>
      <c r="P116" s="481"/>
      <c r="Q116" s="1770"/>
      <c r="R116" s="1771"/>
      <c r="S116" s="1772"/>
    </row>
    <row r="117" spans="1:19" s="85" customFormat="1" ht="13">
      <c r="A117" s="472"/>
      <c r="B117" s="473"/>
      <c r="C117" s="474"/>
      <c r="D117" s="474"/>
      <c r="E117" s="475"/>
      <c r="F117" s="476"/>
      <c r="G117" s="476"/>
      <c r="H117" s="477"/>
      <c r="I117" s="478"/>
      <c r="J117" s="89">
        <f t="shared" si="4"/>
        <v>0</v>
      </c>
      <c r="K117" s="479"/>
      <c r="L117" s="480"/>
      <c r="M117" s="64">
        <f t="shared" si="5"/>
        <v>0</v>
      </c>
      <c r="N117" s="90">
        <f t="shared" si="6"/>
        <v>0</v>
      </c>
      <c r="O117" s="139">
        <f t="shared" si="7"/>
        <v>0</v>
      </c>
      <c r="P117" s="481"/>
      <c r="Q117" s="1770"/>
      <c r="R117" s="1771"/>
      <c r="S117" s="1772"/>
    </row>
    <row r="118" spans="1:19" s="85" customFormat="1" ht="13">
      <c r="A118" s="472"/>
      <c r="B118" s="473"/>
      <c r="C118" s="474"/>
      <c r="D118" s="474"/>
      <c r="E118" s="475"/>
      <c r="F118" s="476"/>
      <c r="G118" s="476"/>
      <c r="H118" s="477"/>
      <c r="I118" s="478"/>
      <c r="J118" s="89">
        <f t="shared" si="4"/>
        <v>0</v>
      </c>
      <c r="K118" s="479"/>
      <c r="L118" s="480"/>
      <c r="M118" s="64">
        <f t="shared" si="5"/>
        <v>0</v>
      </c>
      <c r="N118" s="90">
        <f t="shared" si="6"/>
        <v>0</v>
      </c>
      <c r="O118" s="139">
        <f t="shared" si="7"/>
        <v>0</v>
      </c>
      <c r="P118" s="481"/>
      <c r="Q118" s="1770"/>
      <c r="R118" s="1771"/>
      <c r="S118" s="1772"/>
    </row>
    <row r="119" spans="1:19" s="85" customFormat="1" ht="13">
      <c r="A119" s="472"/>
      <c r="B119" s="473"/>
      <c r="C119" s="474"/>
      <c r="D119" s="474"/>
      <c r="E119" s="475"/>
      <c r="F119" s="476"/>
      <c r="G119" s="476"/>
      <c r="H119" s="477"/>
      <c r="I119" s="478"/>
      <c r="J119" s="89">
        <f t="shared" si="4"/>
        <v>0</v>
      </c>
      <c r="K119" s="479"/>
      <c r="L119" s="480"/>
      <c r="M119" s="64">
        <f t="shared" si="5"/>
        <v>0</v>
      </c>
      <c r="N119" s="90">
        <f t="shared" si="6"/>
        <v>0</v>
      </c>
      <c r="O119" s="139">
        <f t="shared" si="7"/>
        <v>0</v>
      </c>
      <c r="P119" s="481"/>
      <c r="Q119" s="1770"/>
      <c r="R119" s="1771"/>
      <c r="S119" s="1772"/>
    </row>
    <row r="120" spans="1:19" s="85" customFormat="1" ht="13">
      <c r="A120" s="472"/>
      <c r="B120" s="473"/>
      <c r="C120" s="474"/>
      <c r="D120" s="474"/>
      <c r="E120" s="475"/>
      <c r="F120" s="476"/>
      <c r="G120" s="476"/>
      <c r="H120" s="477"/>
      <c r="I120" s="478"/>
      <c r="J120" s="89">
        <f t="shared" si="4"/>
        <v>0</v>
      </c>
      <c r="K120" s="479"/>
      <c r="L120" s="480"/>
      <c r="M120" s="64">
        <f t="shared" si="5"/>
        <v>0</v>
      </c>
      <c r="N120" s="90">
        <f t="shared" si="6"/>
        <v>0</v>
      </c>
      <c r="O120" s="139">
        <f t="shared" si="7"/>
        <v>0</v>
      </c>
      <c r="P120" s="481"/>
      <c r="Q120" s="1770"/>
      <c r="R120" s="1771"/>
      <c r="S120" s="1772"/>
    </row>
    <row r="121" spans="1:19" s="85" customFormat="1" ht="13">
      <c r="A121" s="472"/>
      <c r="B121" s="473"/>
      <c r="C121" s="474"/>
      <c r="D121" s="474"/>
      <c r="E121" s="475"/>
      <c r="F121" s="476"/>
      <c r="G121" s="476"/>
      <c r="H121" s="477"/>
      <c r="I121" s="478"/>
      <c r="J121" s="89">
        <f t="shared" si="4"/>
        <v>0</v>
      </c>
      <c r="K121" s="479"/>
      <c r="L121" s="480"/>
      <c r="M121" s="64">
        <f t="shared" si="5"/>
        <v>0</v>
      </c>
      <c r="N121" s="90">
        <f t="shared" si="6"/>
        <v>0</v>
      </c>
      <c r="O121" s="139">
        <f t="shared" si="7"/>
        <v>0</v>
      </c>
      <c r="P121" s="481"/>
      <c r="Q121" s="1770"/>
      <c r="R121" s="1771"/>
      <c r="S121" s="1772"/>
    </row>
    <row r="122" spans="1:19" s="85" customFormat="1" ht="13">
      <c r="A122" s="472"/>
      <c r="B122" s="473"/>
      <c r="C122" s="474"/>
      <c r="D122" s="474"/>
      <c r="E122" s="475"/>
      <c r="F122" s="476"/>
      <c r="G122" s="476"/>
      <c r="H122" s="477"/>
      <c r="I122" s="478"/>
      <c r="J122" s="89">
        <f t="shared" si="4"/>
        <v>0</v>
      </c>
      <c r="K122" s="479"/>
      <c r="L122" s="480"/>
      <c r="M122" s="64">
        <f t="shared" si="5"/>
        <v>0</v>
      </c>
      <c r="N122" s="90">
        <f t="shared" si="6"/>
        <v>0</v>
      </c>
      <c r="O122" s="139">
        <f t="shared" si="7"/>
        <v>0</v>
      </c>
      <c r="P122" s="481"/>
      <c r="Q122" s="1770"/>
      <c r="R122" s="1771"/>
      <c r="S122" s="1772"/>
    </row>
    <row r="123" spans="1:19" s="85" customFormat="1" ht="13">
      <c r="A123" s="472"/>
      <c r="B123" s="473"/>
      <c r="C123" s="474"/>
      <c r="D123" s="474"/>
      <c r="E123" s="475"/>
      <c r="F123" s="476"/>
      <c r="G123" s="476"/>
      <c r="H123" s="477"/>
      <c r="I123" s="478"/>
      <c r="J123" s="89">
        <f t="shared" si="4"/>
        <v>0</v>
      </c>
      <c r="K123" s="479"/>
      <c r="L123" s="480"/>
      <c r="M123" s="64">
        <f t="shared" si="5"/>
        <v>0</v>
      </c>
      <c r="N123" s="90">
        <f t="shared" si="6"/>
        <v>0</v>
      </c>
      <c r="O123" s="139">
        <f t="shared" si="7"/>
        <v>0</v>
      </c>
      <c r="P123" s="481"/>
      <c r="Q123" s="1770"/>
      <c r="R123" s="1771"/>
      <c r="S123" s="1772"/>
    </row>
    <row r="124" spans="1:19" s="85" customFormat="1" ht="13">
      <c r="A124" s="472"/>
      <c r="B124" s="473"/>
      <c r="C124" s="474"/>
      <c r="D124" s="474"/>
      <c r="E124" s="475"/>
      <c r="F124" s="476"/>
      <c r="G124" s="476"/>
      <c r="H124" s="477"/>
      <c r="I124" s="478"/>
      <c r="J124" s="89">
        <f t="shared" si="4"/>
        <v>0</v>
      </c>
      <c r="K124" s="479"/>
      <c r="L124" s="480"/>
      <c r="M124" s="64">
        <f t="shared" si="5"/>
        <v>0</v>
      </c>
      <c r="N124" s="90">
        <f t="shared" si="6"/>
        <v>0</v>
      </c>
      <c r="O124" s="139">
        <f t="shared" si="7"/>
        <v>0</v>
      </c>
      <c r="P124" s="481"/>
      <c r="Q124" s="1770"/>
      <c r="R124" s="1771"/>
      <c r="S124" s="1772"/>
    </row>
    <row r="125" spans="1:19" s="85" customFormat="1" ht="13">
      <c r="A125" s="472"/>
      <c r="B125" s="473"/>
      <c r="C125" s="474"/>
      <c r="D125" s="474"/>
      <c r="E125" s="475"/>
      <c r="F125" s="476"/>
      <c r="G125" s="476"/>
      <c r="H125" s="477"/>
      <c r="I125" s="478"/>
      <c r="J125" s="89">
        <f t="shared" si="4"/>
        <v>0</v>
      </c>
      <c r="K125" s="479"/>
      <c r="L125" s="480"/>
      <c r="M125" s="64">
        <f t="shared" si="5"/>
        <v>0</v>
      </c>
      <c r="N125" s="90">
        <f t="shared" si="6"/>
        <v>0</v>
      </c>
      <c r="O125" s="139">
        <f t="shared" si="7"/>
        <v>0</v>
      </c>
      <c r="P125" s="481"/>
      <c r="Q125" s="1770"/>
      <c r="R125" s="1771"/>
      <c r="S125" s="1772"/>
    </row>
    <row r="126" spans="1:19" s="85" customFormat="1" ht="13">
      <c r="A126" s="472"/>
      <c r="B126" s="473"/>
      <c r="C126" s="474"/>
      <c r="D126" s="474"/>
      <c r="E126" s="475"/>
      <c r="F126" s="476"/>
      <c r="G126" s="476"/>
      <c r="H126" s="477"/>
      <c r="I126" s="478"/>
      <c r="J126" s="89">
        <f t="shared" si="4"/>
        <v>0</v>
      </c>
      <c r="K126" s="479"/>
      <c r="L126" s="480"/>
      <c r="M126" s="64">
        <f t="shared" si="5"/>
        <v>0</v>
      </c>
      <c r="N126" s="90">
        <f t="shared" si="6"/>
        <v>0</v>
      </c>
      <c r="O126" s="139">
        <f t="shared" si="7"/>
        <v>0</v>
      </c>
      <c r="P126" s="481"/>
      <c r="Q126" s="1770"/>
      <c r="R126" s="1771"/>
      <c r="S126" s="1772"/>
    </row>
    <row r="127" spans="1:19" s="85" customFormat="1" ht="13">
      <c r="A127" s="472"/>
      <c r="B127" s="473"/>
      <c r="C127" s="474"/>
      <c r="D127" s="474"/>
      <c r="E127" s="475"/>
      <c r="F127" s="476"/>
      <c r="G127" s="476"/>
      <c r="H127" s="477"/>
      <c r="I127" s="478"/>
      <c r="J127" s="89">
        <f t="shared" si="4"/>
        <v>0</v>
      </c>
      <c r="K127" s="479"/>
      <c r="L127" s="480"/>
      <c r="M127" s="64">
        <f t="shared" si="5"/>
        <v>0</v>
      </c>
      <c r="N127" s="90">
        <f t="shared" si="6"/>
        <v>0</v>
      </c>
      <c r="O127" s="139">
        <f t="shared" si="7"/>
        <v>0</v>
      </c>
      <c r="P127" s="481"/>
      <c r="Q127" s="1770"/>
      <c r="R127" s="1771"/>
      <c r="S127" s="1772"/>
    </row>
    <row r="128" spans="1:19" s="85" customFormat="1" ht="13">
      <c r="A128" s="472"/>
      <c r="B128" s="473"/>
      <c r="C128" s="474"/>
      <c r="D128" s="474"/>
      <c r="E128" s="475"/>
      <c r="F128" s="476"/>
      <c r="G128" s="476"/>
      <c r="H128" s="477"/>
      <c r="I128" s="478"/>
      <c r="J128" s="89">
        <f t="shared" si="4"/>
        <v>0</v>
      </c>
      <c r="K128" s="479"/>
      <c r="L128" s="480"/>
      <c r="M128" s="64">
        <f t="shared" si="5"/>
        <v>0</v>
      </c>
      <c r="N128" s="90">
        <f t="shared" si="6"/>
        <v>0</v>
      </c>
      <c r="O128" s="139">
        <f t="shared" si="7"/>
        <v>0</v>
      </c>
      <c r="P128" s="481"/>
      <c r="Q128" s="1770"/>
      <c r="R128" s="1771"/>
      <c r="S128" s="1772"/>
    </row>
    <row r="129" spans="1:19" s="85" customFormat="1" ht="13">
      <c r="A129" s="472"/>
      <c r="B129" s="473"/>
      <c r="C129" s="474"/>
      <c r="D129" s="474"/>
      <c r="E129" s="475"/>
      <c r="F129" s="476"/>
      <c r="G129" s="476"/>
      <c r="H129" s="477"/>
      <c r="I129" s="478"/>
      <c r="J129" s="89">
        <f t="shared" si="4"/>
        <v>0</v>
      </c>
      <c r="K129" s="479"/>
      <c r="L129" s="480"/>
      <c r="M129" s="64">
        <f t="shared" si="5"/>
        <v>0</v>
      </c>
      <c r="N129" s="90">
        <f t="shared" si="6"/>
        <v>0</v>
      </c>
      <c r="O129" s="139">
        <f t="shared" si="7"/>
        <v>0</v>
      </c>
      <c r="P129" s="481"/>
      <c r="Q129" s="1770"/>
      <c r="R129" s="1771"/>
      <c r="S129" s="1772"/>
    </row>
    <row r="130" spans="1:19" s="85" customFormat="1" ht="13">
      <c r="A130" s="472"/>
      <c r="B130" s="473"/>
      <c r="C130" s="474"/>
      <c r="D130" s="474"/>
      <c r="E130" s="475"/>
      <c r="F130" s="476"/>
      <c r="G130" s="476"/>
      <c r="H130" s="477"/>
      <c r="I130" s="478"/>
      <c r="J130" s="89">
        <f t="shared" si="4"/>
        <v>0</v>
      </c>
      <c r="K130" s="479"/>
      <c r="L130" s="480"/>
      <c r="M130" s="64">
        <f t="shared" si="5"/>
        <v>0</v>
      </c>
      <c r="N130" s="90">
        <f t="shared" si="6"/>
        <v>0</v>
      </c>
      <c r="O130" s="139">
        <f t="shared" si="7"/>
        <v>0</v>
      </c>
      <c r="P130" s="481"/>
      <c r="Q130" s="1770"/>
      <c r="R130" s="1771"/>
      <c r="S130" s="1772"/>
    </row>
    <row r="131" spans="1:19" s="85" customFormat="1" ht="13">
      <c r="A131" s="472"/>
      <c r="B131" s="473"/>
      <c r="C131" s="474"/>
      <c r="D131" s="474"/>
      <c r="E131" s="475"/>
      <c r="F131" s="476"/>
      <c r="G131" s="476"/>
      <c r="H131" s="477"/>
      <c r="I131" s="478"/>
      <c r="J131" s="89">
        <f t="shared" si="4"/>
        <v>0</v>
      </c>
      <c r="K131" s="479"/>
      <c r="L131" s="480"/>
      <c r="M131" s="64">
        <f t="shared" si="5"/>
        <v>0</v>
      </c>
      <c r="N131" s="90">
        <f t="shared" si="6"/>
        <v>0</v>
      </c>
      <c r="O131" s="139">
        <f t="shared" si="7"/>
        <v>0</v>
      </c>
      <c r="P131" s="481"/>
      <c r="Q131" s="1770"/>
      <c r="R131" s="1771"/>
      <c r="S131" s="1772"/>
    </row>
    <row r="132" spans="1:19" s="85" customFormat="1" ht="13">
      <c r="A132" s="472"/>
      <c r="B132" s="473"/>
      <c r="C132" s="474"/>
      <c r="D132" s="474"/>
      <c r="E132" s="475"/>
      <c r="F132" s="476"/>
      <c r="G132" s="476"/>
      <c r="H132" s="477"/>
      <c r="I132" s="478"/>
      <c r="J132" s="89">
        <f t="shared" si="4"/>
        <v>0</v>
      </c>
      <c r="K132" s="479"/>
      <c r="L132" s="480"/>
      <c r="M132" s="64">
        <f t="shared" si="5"/>
        <v>0</v>
      </c>
      <c r="N132" s="90">
        <f t="shared" si="6"/>
        <v>0</v>
      </c>
      <c r="O132" s="139">
        <f t="shared" si="7"/>
        <v>0</v>
      </c>
      <c r="P132" s="481"/>
      <c r="Q132" s="1770"/>
      <c r="R132" s="1771"/>
      <c r="S132" s="1772"/>
    </row>
    <row r="133" spans="1:19" s="85" customFormat="1" ht="13">
      <c r="A133" s="472"/>
      <c r="B133" s="473"/>
      <c r="C133" s="474"/>
      <c r="D133" s="474"/>
      <c r="E133" s="475"/>
      <c r="F133" s="476"/>
      <c r="G133" s="476"/>
      <c r="H133" s="477"/>
      <c r="I133" s="478"/>
      <c r="J133" s="89">
        <f t="shared" si="4"/>
        <v>0</v>
      </c>
      <c r="K133" s="479"/>
      <c r="L133" s="480"/>
      <c r="M133" s="64">
        <f t="shared" si="5"/>
        <v>0</v>
      </c>
      <c r="N133" s="90">
        <f t="shared" si="6"/>
        <v>0</v>
      </c>
      <c r="O133" s="139">
        <f t="shared" si="7"/>
        <v>0</v>
      </c>
      <c r="P133" s="481"/>
      <c r="Q133" s="1770"/>
      <c r="R133" s="1771"/>
      <c r="S133" s="1772"/>
    </row>
    <row r="134" spans="1:19" s="85" customFormat="1" ht="13">
      <c r="A134" s="472"/>
      <c r="B134" s="473"/>
      <c r="C134" s="474"/>
      <c r="D134" s="474"/>
      <c r="E134" s="475"/>
      <c r="F134" s="476"/>
      <c r="G134" s="476"/>
      <c r="H134" s="477"/>
      <c r="I134" s="478"/>
      <c r="J134" s="89">
        <f t="shared" si="4"/>
        <v>0</v>
      </c>
      <c r="K134" s="479"/>
      <c r="L134" s="480"/>
      <c r="M134" s="64">
        <f t="shared" si="5"/>
        <v>0</v>
      </c>
      <c r="N134" s="90">
        <f t="shared" si="6"/>
        <v>0</v>
      </c>
      <c r="O134" s="139">
        <f t="shared" si="7"/>
        <v>0</v>
      </c>
      <c r="P134" s="481"/>
      <c r="Q134" s="1770"/>
      <c r="R134" s="1771"/>
      <c r="S134" s="1772"/>
    </row>
    <row r="135" spans="1:19" s="85" customFormat="1" ht="13">
      <c r="A135" s="472"/>
      <c r="B135" s="473"/>
      <c r="C135" s="474"/>
      <c r="D135" s="474"/>
      <c r="E135" s="475"/>
      <c r="F135" s="476"/>
      <c r="G135" s="476"/>
      <c r="H135" s="477"/>
      <c r="I135" s="478"/>
      <c r="J135" s="89">
        <f t="shared" si="4"/>
        <v>0</v>
      </c>
      <c r="K135" s="479"/>
      <c r="L135" s="480"/>
      <c r="M135" s="64">
        <f t="shared" si="5"/>
        <v>0</v>
      </c>
      <c r="N135" s="90">
        <f t="shared" si="6"/>
        <v>0</v>
      </c>
      <c r="O135" s="139">
        <f t="shared" si="7"/>
        <v>0</v>
      </c>
      <c r="P135" s="481"/>
      <c r="Q135" s="1770"/>
      <c r="R135" s="1771"/>
      <c r="S135" s="1772"/>
    </row>
    <row r="136" spans="1:19" s="85" customFormat="1" ht="13">
      <c r="A136" s="472"/>
      <c r="B136" s="473"/>
      <c r="C136" s="474"/>
      <c r="D136" s="474"/>
      <c r="E136" s="475"/>
      <c r="F136" s="476"/>
      <c r="G136" s="476"/>
      <c r="H136" s="477"/>
      <c r="I136" s="478"/>
      <c r="J136" s="89">
        <f t="shared" si="4"/>
        <v>0</v>
      </c>
      <c r="K136" s="479"/>
      <c r="L136" s="480"/>
      <c r="M136" s="64">
        <f t="shared" si="5"/>
        <v>0</v>
      </c>
      <c r="N136" s="90">
        <f t="shared" si="6"/>
        <v>0</v>
      </c>
      <c r="O136" s="139">
        <f t="shared" si="7"/>
        <v>0</v>
      </c>
      <c r="P136" s="481"/>
      <c r="Q136" s="1770"/>
      <c r="R136" s="1771"/>
      <c r="S136" s="1772"/>
    </row>
    <row r="137" spans="1:19" s="85" customFormat="1" ht="13">
      <c r="A137" s="472"/>
      <c r="B137" s="473"/>
      <c r="C137" s="474"/>
      <c r="D137" s="474"/>
      <c r="E137" s="475"/>
      <c r="F137" s="476"/>
      <c r="G137" s="476"/>
      <c r="H137" s="477"/>
      <c r="I137" s="478"/>
      <c r="J137" s="89">
        <f t="shared" si="4"/>
        <v>0</v>
      </c>
      <c r="K137" s="479"/>
      <c r="L137" s="480"/>
      <c r="M137" s="64">
        <f t="shared" si="5"/>
        <v>0</v>
      </c>
      <c r="N137" s="90">
        <f t="shared" si="6"/>
        <v>0</v>
      </c>
      <c r="O137" s="139">
        <f t="shared" si="7"/>
        <v>0</v>
      </c>
      <c r="P137" s="481"/>
      <c r="Q137" s="1770"/>
      <c r="R137" s="1771"/>
      <c r="S137" s="1772"/>
    </row>
    <row r="138" spans="1:19" s="85" customFormat="1" ht="13">
      <c r="A138" s="472"/>
      <c r="B138" s="473"/>
      <c r="C138" s="474"/>
      <c r="D138" s="474"/>
      <c r="E138" s="475"/>
      <c r="F138" s="476"/>
      <c r="G138" s="476"/>
      <c r="H138" s="477"/>
      <c r="I138" s="478"/>
      <c r="J138" s="89">
        <f t="shared" si="4"/>
        <v>0</v>
      </c>
      <c r="K138" s="479"/>
      <c r="L138" s="480"/>
      <c r="M138" s="64">
        <f t="shared" si="5"/>
        <v>0</v>
      </c>
      <c r="N138" s="90">
        <f t="shared" si="6"/>
        <v>0</v>
      </c>
      <c r="O138" s="139">
        <f t="shared" si="7"/>
        <v>0</v>
      </c>
      <c r="P138" s="481"/>
      <c r="Q138" s="1770"/>
      <c r="R138" s="1771"/>
      <c r="S138" s="1772"/>
    </row>
    <row r="139" spans="1:19" s="85" customFormat="1" ht="13">
      <c r="A139" s="472"/>
      <c r="B139" s="473"/>
      <c r="C139" s="474"/>
      <c r="D139" s="474"/>
      <c r="E139" s="475"/>
      <c r="F139" s="476"/>
      <c r="G139" s="476"/>
      <c r="H139" s="477"/>
      <c r="I139" s="478"/>
      <c r="J139" s="89">
        <f t="shared" ref="J139:J202" si="8">IF(H139=0,0,(+I139)/H139)</f>
        <v>0</v>
      </c>
      <c r="K139" s="479"/>
      <c r="L139" s="480"/>
      <c r="M139" s="64">
        <f t="shared" ref="M139:M202" si="9">+K139*L139</f>
        <v>0</v>
      </c>
      <c r="N139" s="90">
        <f t="shared" ref="N139:N202" si="10">+K139-H139</f>
        <v>0</v>
      </c>
      <c r="O139" s="139">
        <f t="shared" ref="O139:O202" si="11">+M139-I139</f>
        <v>0</v>
      </c>
      <c r="P139" s="481"/>
      <c r="Q139" s="1770"/>
      <c r="R139" s="1771"/>
      <c r="S139" s="1772"/>
    </row>
    <row r="140" spans="1:19" s="85" customFormat="1" ht="13">
      <c r="A140" s="472"/>
      <c r="B140" s="473"/>
      <c r="C140" s="474"/>
      <c r="D140" s="474"/>
      <c r="E140" s="475"/>
      <c r="F140" s="476"/>
      <c r="G140" s="476"/>
      <c r="H140" s="477"/>
      <c r="I140" s="478"/>
      <c r="J140" s="89">
        <f t="shared" si="8"/>
        <v>0</v>
      </c>
      <c r="K140" s="479"/>
      <c r="L140" s="480"/>
      <c r="M140" s="64">
        <f t="shared" si="9"/>
        <v>0</v>
      </c>
      <c r="N140" s="90">
        <f t="shared" si="10"/>
        <v>0</v>
      </c>
      <c r="O140" s="139">
        <f t="shared" si="11"/>
        <v>0</v>
      </c>
      <c r="P140" s="481"/>
      <c r="Q140" s="1770"/>
      <c r="R140" s="1771"/>
      <c r="S140" s="1772"/>
    </row>
    <row r="141" spans="1:19" s="85" customFormat="1" ht="13">
      <c r="A141" s="472"/>
      <c r="B141" s="473"/>
      <c r="C141" s="474"/>
      <c r="D141" s="474"/>
      <c r="E141" s="475"/>
      <c r="F141" s="476"/>
      <c r="G141" s="476"/>
      <c r="H141" s="477"/>
      <c r="I141" s="478"/>
      <c r="J141" s="89">
        <f t="shared" si="8"/>
        <v>0</v>
      </c>
      <c r="K141" s="479"/>
      <c r="L141" s="480"/>
      <c r="M141" s="64">
        <f t="shared" si="9"/>
        <v>0</v>
      </c>
      <c r="N141" s="90">
        <f t="shared" si="10"/>
        <v>0</v>
      </c>
      <c r="O141" s="139">
        <f t="shared" si="11"/>
        <v>0</v>
      </c>
      <c r="P141" s="481"/>
      <c r="Q141" s="1770"/>
      <c r="R141" s="1771"/>
      <c r="S141" s="1772"/>
    </row>
    <row r="142" spans="1:19" s="85" customFormat="1" ht="13">
      <c r="A142" s="472"/>
      <c r="B142" s="473"/>
      <c r="C142" s="474"/>
      <c r="D142" s="474"/>
      <c r="E142" s="475"/>
      <c r="F142" s="476"/>
      <c r="G142" s="476"/>
      <c r="H142" s="477"/>
      <c r="I142" s="478"/>
      <c r="J142" s="89">
        <f t="shared" si="8"/>
        <v>0</v>
      </c>
      <c r="K142" s="479"/>
      <c r="L142" s="480"/>
      <c r="M142" s="64">
        <f t="shared" si="9"/>
        <v>0</v>
      </c>
      <c r="N142" s="90">
        <f t="shared" si="10"/>
        <v>0</v>
      </c>
      <c r="O142" s="139">
        <f t="shared" si="11"/>
        <v>0</v>
      </c>
      <c r="P142" s="481"/>
      <c r="Q142" s="1770"/>
      <c r="R142" s="1771"/>
      <c r="S142" s="1772"/>
    </row>
    <row r="143" spans="1:19" s="85" customFormat="1" ht="13">
      <c r="A143" s="472"/>
      <c r="B143" s="473"/>
      <c r="C143" s="474"/>
      <c r="D143" s="474"/>
      <c r="E143" s="475"/>
      <c r="F143" s="476"/>
      <c r="G143" s="476"/>
      <c r="H143" s="477"/>
      <c r="I143" s="478"/>
      <c r="J143" s="89">
        <f t="shared" si="8"/>
        <v>0</v>
      </c>
      <c r="K143" s="479"/>
      <c r="L143" s="480"/>
      <c r="M143" s="64">
        <f t="shared" si="9"/>
        <v>0</v>
      </c>
      <c r="N143" s="90">
        <f t="shared" si="10"/>
        <v>0</v>
      </c>
      <c r="O143" s="139">
        <f t="shared" si="11"/>
        <v>0</v>
      </c>
      <c r="P143" s="481"/>
      <c r="Q143" s="1770"/>
      <c r="R143" s="1771"/>
      <c r="S143" s="1772"/>
    </row>
    <row r="144" spans="1:19" s="85" customFormat="1" ht="13">
      <c r="A144" s="472"/>
      <c r="B144" s="473"/>
      <c r="C144" s="474"/>
      <c r="D144" s="474"/>
      <c r="E144" s="475"/>
      <c r="F144" s="476"/>
      <c r="G144" s="476"/>
      <c r="H144" s="477"/>
      <c r="I144" s="478"/>
      <c r="J144" s="89">
        <f t="shared" si="8"/>
        <v>0</v>
      </c>
      <c r="K144" s="479"/>
      <c r="L144" s="480"/>
      <c r="M144" s="64">
        <f t="shared" si="9"/>
        <v>0</v>
      </c>
      <c r="N144" s="90">
        <f t="shared" si="10"/>
        <v>0</v>
      </c>
      <c r="O144" s="139">
        <f t="shared" si="11"/>
        <v>0</v>
      </c>
      <c r="P144" s="481"/>
      <c r="Q144" s="1770"/>
      <c r="R144" s="1771"/>
      <c r="S144" s="1772"/>
    </row>
    <row r="145" spans="1:19" s="85" customFormat="1" ht="13">
      <c r="A145" s="472"/>
      <c r="B145" s="473"/>
      <c r="C145" s="474"/>
      <c r="D145" s="474"/>
      <c r="E145" s="475"/>
      <c r="F145" s="476"/>
      <c r="G145" s="476"/>
      <c r="H145" s="477"/>
      <c r="I145" s="478"/>
      <c r="J145" s="89">
        <f t="shared" si="8"/>
        <v>0</v>
      </c>
      <c r="K145" s="479"/>
      <c r="L145" s="480"/>
      <c r="M145" s="64">
        <f t="shared" si="9"/>
        <v>0</v>
      </c>
      <c r="N145" s="90">
        <f t="shared" si="10"/>
        <v>0</v>
      </c>
      <c r="O145" s="139">
        <f t="shared" si="11"/>
        <v>0</v>
      </c>
      <c r="P145" s="481"/>
      <c r="Q145" s="1770"/>
      <c r="R145" s="1771"/>
      <c r="S145" s="1772"/>
    </row>
    <row r="146" spans="1:19" s="85" customFormat="1" ht="13">
      <c r="A146" s="472"/>
      <c r="B146" s="473"/>
      <c r="C146" s="474"/>
      <c r="D146" s="474"/>
      <c r="E146" s="475"/>
      <c r="F146" s="476"/>
      <c r="G146" s="476"/>
      <c r="H146" s="477"/>
      <c r="I146" s="478"/>
      <c r="J146" s="89">
        <f t="shared" si="8"/>
        <v>0</v>
      </c>
      <c r="K146" s="479"/>
      <c r="L146" s="480"/>
      <c r="M146" s="64">
        <f t="shared" si="9"/>
        <v>0</v>
      </c>
      <c r="N146" s="90">
        <f t="shared" si="10"/>
        <v>0</v>
      </c>
      <c r="O146" s="139">
        <f t="shared" si="11"/>
        <v>0</v>
      </c>
      <c r="P146" s="481"/>
      <c r="Q146" s="1770"/>
      <c r="R146" s="1771"/>
      <c r="S146" s="1772"/>
    </row>
    <row r="147" spans="1:19" s="85" customFormat="1" ht="13">
      <c r="A147" s="472"/>
      <c r="B147" s="473"/>
      <c r="C147" s="474"/>
      <c r="D147" s="474"/>
      <c r="E147" s="475"/>
      <c r="F147" s="476"/>
      <c r="G147" s="476"/>
      <c r="H147" s="477"/>
      <c r="I147" s="478"/>
      <c r="J147" s="89">
        <f t="shared" si="8"/>
        <v>0</v>
      </c>
      <c r="K147" s="479"/>
      <c r="L147" s="480"/>
      <c r="M147" s="64">
        <f t="shared" si="9"/>
        <v>0</v>
      </c>
      <c r="N147" s="90">
        <f t="shared" si="10"/>
        <v>0</v>
      </c>
      <c r="O147" s="139">
        <f t="shared" si="11"/>
        <v>0</v>
      </c>
      <c r="P147" s="481"/>
      <c r="Q147" s="1770"/>
      <c r="R147" s="1771"/>
      <c r="S147" s="1772"/>
    </row>
    <row r="148" spans="1:19" s="85" customFormat="1" ht="13">
      <c r="A148" s="472"/>
      <c r="B148" s="473"/>
      <c r="C148" s="474"/>
      <c r="D148" s="474"/>
      <c r="E148" s="475"/>
      <c r="F148" s="476"/>
      <c r="G148" s="476"/>
      <c r="H148" s="477"/>
      <c r="I148" s="478"/>
      <c r="J148" s="89">
        <f t="shared" si="8"/>
        <v>0</v>
      </c>
      <c r="K148" s="479"/>
      <c r="L148" s="480"/>
      <c r="M148" s="64">
        <f t="shared" si="9"/>
        <v>0</v>
      </c>
      <c r="N148" s="90">
        <f t="shared" si="10"/>
        <v>0</v>
      </c>
      <c r="O148" s="139">
        <f t="shared" si="11"/>
        <v>0</v>
      </c>
      <c r="P148" s="481"/>
      <c r="Q148" s="1770"/>
      <c r="R148" s="1771"/>
      <c r="S148" s="1772"/>
    </row>
    <row r="149" spans="1:19" s="85" customFormat="1" ht="13">
      <c r="A149" s="472"/>
      <c r="B149" s="473"/>
      <c r="C149" s="474"/>
      <c r="D149" s="474"/>
      <c r="E149" s="475"/>
      <c r="F149" s="476"/>
      <c r="G149" s="476"/>
      <c r="H149" s="477"/>
      <c r="I149" s="478"/>
      <c r="J149" s="89">
        <f t="shared" si="8"/>
        <v>0</v>
      </c>
      <c r="K149" s="479"/>
      <c r="L149" s="480"/>
      <c r="M149" s="64">
        <f t="shared" si="9"/>
        <v>0</v>
      </c>
      <c r="N149" s="90">
        <f t="shared" si="10"/>
        <v>0</v>
      </c>
      <c r="O149" s="139">
        <f t="shared" si="11"/>
        <v>0</v>
      </c>
      <c r="P149" s="481"/>
      <c r="Q149" s="1770"/>
      <c r="R149" s="1771"/>
      <c r="S149" s="1772"/>
    </row>
    <row r="150" spans="1:19" s="85" customFormat="1" ht="13">
      <c r="A150" s="472"/>
      <c r="B150" s="473"/>
      <c r="C150" s="474"/>
      <c r="D150" s="474"/>
      <c r="E150" s="475"/>
      <c r="F150" s="476"/>
      <c r="G150" s="476"/>
      <c r="H150" s="477"/>
      <c r="I150" s="478"/>
      <c r="J150" s="89">
        <f t="shared" si="8"/>
        <v>0</v>
      </c>
      <c r="K150" s="479"/>
      <c r="L150" s="480"/>
      <c r="M150" s="64">
        <f t="shared" si="9"/>
        <v>0</v>
      </c>
      <c r="N150" s="90">
        <f t="shared" si="10"/>
        <v>0</v>
      </c>
      <c r="O150" s="139">
        <f t="shared" si="11"/>
        <v>0</v>
      </c>
      <c r="P150" s="481"/>
      <c r="Q150" s="1770"/>
      <c r="R150" s="1771"/>
      <c r="S150" s="1772"/>
    </row>
    <row r="151" spans="1:19" s="85" customFormat="1" ht="13">
      <c r="A151" s="472"/>
      <c r="B151" s="473"/>
      <c r="C151" s="474"/>
      <c r="D151" s="474"/>
      <c r="E151" s="475"/>
      <c r="F151" s="476"/>
      <c r="G151" s="476"/>
      <c r="H151" s="477"/>
      <c r="I151" s="478"/>
      <c r="J151" s="89">
        <f t="shared" si="8"/>
        <v>0</v>
      </c>
      <c r="K151" s="479"/>
      <c r="L151" s="480"/>
      <c r="M151" s="64">
        <f t="shared" si="9"/>
        <v>0</v>
      </c>
      <c r="N151" s="90">
        <f t="shared" si="10"/>
        <v>0</v>
      </c>
      <c r="O151" s="139">
        <f t="shared" si="11"/>
        <v>0</v>
      </c>
      <c r="P151" s="481"/>
      <c r="Q151" s="1770"/>
      <c r="R151" s="1771"/>
      <c r="S151" s="1772"/>
    </row>
    <row r="152" spans="1:19" s="85" customFormat="1" ht="13">
      <c r="A152" s="472"/>
      <c r="B152" s="473"/>
      <c r="C152" s="474"/>
      <c r="D152" s="474"/>
      <c r="E152" s="475"/>
      <c r="F152" s="476"/>
      <c r="G152" s="476"/>
      <c r="H152" s="477"/>
      <c r="I152" s="478"/>
      <c r="J152" s="89">
        <f t="shared" si="8"/>
        <v>0</v>
      </c>
      <c r="K152" s="479"/>
      <c r="L152" s="480"/>
      <c r="M152" s="64">
        <f t="shared" si="9"/>
        <v>0</v>
      </c>
      <c r="N152" s="90">
        <f t="shared" si="10"/>
        <v>0</v>
      </c>
      <c r="O152" s="139">
        <f t="shared" si="11"/>
        <v>0</v>
      </c>
      <c r="P152" s="481"/>
      <c r="Q152" s="1770"/>
      <c r="R152" s="1771"/>
      <c r="S152" s="1772"/>
    </row>
    <row r="153" spans="1:19" s="85" customFormat="1" ht="13">
      <c r="A153" s="472"/>
      <c r="B153" s="473"/>
      <c r="C153" s="474"/>
      <c r="D153" s="474"/>
      <c r="E153" s="475"/>
      <c r="F153" s="476"/>
      <c r="G153" s="476"/>
      <c r="H153" s="477"/>
      <c r="I153" s="478"/>
      <c r="J153" s="89">
        <f t="shared" si="8"/>
        <v>0</v>
      </c>
      <c r="K153" s="479"/>
      <c r="L153" s="480"/>
      <c r="M153" s="64">
        <f t="shared" si="9"/>
        <v>0</v>
      </c>
      <c r="N153" s="90">
        <f t="shared" si="10"/>
        <v>0</v>
      </c>
      <c r="O153" s="139">
        <f t="shared" si="11"/>
        <v>0</v>
      </c>
      <c r="P153" s="481"/>
      <c r="Q153" s="1770"/>
      <c r="R153" s="1771"/>
      <c r="S153" s="1772"/>
    </row>
    <row r="154" spans="1:19" s="85" customFormat="1" ht="13">
      <c r="A154" s="472"/>
      <c r="B154" s="473"/>
      <c r="C154" s="474"/>
      <c r="D154" s="474"/>
      <c r="E154" s="475"/>
      <c r="F154" s="476"/>
      <c r="G154" s="476"/>
      <c r="H154" s="477"/>
      <c r="I154" s="478"/>
      <c r="J154" s="89">
        <f t="shared" si="8"/>
        <v>0</v>
      </c>
      <c r="K154" s="479"/>
      <c r="L154" s="480"/>
      <c r="M154" s="64">
        <f t="shared" si="9"/>
        <v>0</v>
      </c>
      <c r="N154" s="90">
        <f t="shared" si="10"/>
        <v>0</v>
      </c>
      <c r="O154" s="139">
        <f t="shared" si="11"/>
        <v>0</v>
      </c>
      <c r="P154" s="481"/>
      <c r="Q154" s="1770"/>
      <c r="R154" s="1771"/>
      <c r="S154" s="1772"/>
    </row>
    <row r="155" spans="1:19" s="85" customFormat="1" ht="13">
      <c r="A155" s="472"/>
      <c r="B155" s="473"/>
      <c r="C155" s="474"/>
      <c r="D155" s="474"/>
      <c r="E155" s="475"/>
      <c r="F155" s="476"/>
      <c r="G155" s="476"/>
      <c r="H155" s="477"/>
      <c r="I155" s="478"/>
      <c r="J155" s="89">
        <f t="shared" si="8"/>
        <v>0</v>
      </c>
      <c r="K155" s="479"/>
      <c r="L155" s="480"/>
      <c r="M155" s="64">
        <f t="shared" si="9"/>
        <v>0</v>
      </c>
      <c r="N155" s="90">
        <f t="shared" si="10"/>
        <v>0</v>
      </c>
      <c r="O155" s="139">
        <f t="shared" si="11"/>
        <v>0</v>
      </c>
      <c r="P155" s="481"/>
      <c r="Q155" s="1770"/>
      <c r="R155" s="1771"/>
      <c r="S155" s="1772"/>
    </row>
    <row r="156" spans="1:19" s="85" customFormat="1" ht="13">
      <c r="A156" s="472"/>
      <c r="B156" s="473"/>
      <c r="C156" s="474"/>
      <c r="D156" s="474"/>
      <c r="E156" s="475"/>
      <c r="F156" s="476"/>
      <c r="G156" s="476"/>
      <c r="H156" s="477"/>
      <c r="I156" s="478"/>
      <c r="J156" s="89">
        <f t="shared" si="8"/>
        <v>0</v>
      </c>
      <c r="K156" s="479"/>
      <c r="L156" s="480"/>
      <c r="M156" s="64">
        <f t="shared" si="9"/>
        <v>0</v>
      </c>
      <c r="N156" s="90">
        <f t="shared" si="10"/>
        <v>0</v>
      </c>
      <c r="O156" s="139">
        <f t="shared" si="11"/>
        <v>0</v>
      </c>
      <c r="P156" s="481"/>
      <c r="Q156" s="1770"/>
      <c r="R156" s="1771"/>
      <c r="S156" s="1772"/>
    </row>
    <row r="157" spans="1:19" s="85" customFormat="1" ht="13">
      <c r="A157" s="472"/>
      <c r="B157" s="473"/>
      <c r="C157" s="474"/>
      <c r="D157" s="474"/>
      <c r="E157" s="475"/>
      <c r="F157" s="476"/>
      <c r="G157" s="476"/>
      <c r="H157" s="477"/>
      <c r="I157" s="478"/>
      <c r="J157" s="89">
        <f t="shared" si="8"/>
        <v>0</v>
      </c>
      <c r="K157" s="479"/>
      <c r="L157" s="480"/>
      <c r="M157" s="64">
        <f t="shared" si="9"/>
        <v>0</v>
      </c>
      <c r="N157" s="90">
        <f t="shared" si="10"/>
        <v>0</v>
      </c>
      <c r="O157" s="139">
        <f t="shared" si="11"/>
        <v>0</v>
      </c>
      <c r="P157" s="481"/>
      <c r="Q157" s="1770"/>
      <c r="R157" s="1771"/>
      <c r="S157" s="1772"/>
    </row>
    <row r="158" spans="1:19" s="85" customFormat="1" ht="13">
      <c r="A158" s="472"/>
      <c r="B158" s="473"/>
      <c r="C158" s="474"/>
      <c r="D158" s="474"/>
      <c r="E158" s="475"/>
      <c r="F158" s="476"/>
      <c r="G158" s="476"/>
      <c r="H158" s="477"/>
      <c r="I158" s="478"/>
      <c r="J158" s="89">
        <f t="shared" si="8"/>
        <v>0</v>
      </c>
      <c r="K158" s="479"/>
      <c r="L158" s="480"/>
      <c r="M158" s="64">
        <f t="shared" si="9"/>
        <v>0</v>
      </c>
      <c r="N158" s="90">
        <f t="shared" si="10"/>
        <v>0</v>
      </c>
      <c r="O158" s="139">
        <f t="shared" si="11"/>
        <v>0</v>
      </c>
      <c r="P158" s="481"/>
      <c r="Q158" s="1770"/>
      <c r="R158" s="1771"/>
      <c r="S158" s="1772"/>
    </row>
    <row r="159" spans="1:19" s="85" customFormat="1" ht="13">
      <c r="A159" s="472"/>
      <c r="B159" s="473"/>
      <c r="C159" s="474"/>
      <c r="D159" s="474"/>
      <c r="E159" s="475"/>
      <c r="F159" s="476"/>
      <c r="G159" s="476"/>
      <c r="H159" s="477"/>
      <c r="I159" s="478"/>
      <c r="J159" s="89">
        <f t="shared" si="8"/>
        <v>0</v>
      </c>
      <c r="K159" s="479"/>
      <c r="L159" s="480"/>
      <c r="M159" s="64">
        <f t="shared" si="9"/>
        <v>0</v>
      </c>
      <c r="N159" s="90">
        <f t="shared" si="10"/>
        <v>0</v>
      </c>
      <c r="O159" s="139">
        <f t="shared" si="11"/>
        <v>0</v>
      </c>
      <c r="P159" s="481"/>
      <c r="Q159" s="1770"/>
      <c r="R159" s="1771"/>
      <c r="S159" s="1772"/>
    </row>
    <row r="160" spans="1:19" s="85" customFormat="1" ht="13">
      <c r="A160" s="472"/>
      <c r="B160" s="473"/>
      <c r="C160" s="474"/>
      <c r="D160" s="474"/>
      <c r="E160" s="475"/>
      <c r="F160" s="476"/>
      <c r="G160" s="476"/>
      <c r="H160" s="477"/>
      <c r="I160" s="478"/>
      <c r="J160" s="89">
        <f t="shared" si="8"/>
        <v>0</v>
      </c>
      <c r="K160" s="479"/>
      <c r="L160" s="480"/>
      <c r="M160" s="64">
        <f t="shared" si="9"/>
        <v>0</v>
      </c>
      <c r="N160" s="90">
        <f t="shared" si="10"/>
        <v>0</v>
      </c>
      <c r="O160" s="139">
        <f t="shared" si="11"/>
        <v>0</v>
      </c>
      <c r="P160" s="481"/>
      <c r="Q160" s="1770"/>
      <c r="R160" s="1771"/>
      <c r="S160" s="1772"/>
    </row>
    <row r="161" spans="1:19" s="85" customFormat="1" ht="13">
      <c r="A161" s="472"/>
      <c r="B161" s="473"/>
      <c r="C161" s="474"/>
      <c r="D161" s="474"/>
      <c r="E161" s="475"/>
      <c r="F161" s="476"/>
      <c r="G161" s="476"/>
      <c r="H161" s="477"/>
      <c r="I161" s="478"/>
      <c r="J161" s="89">
        <f t="shared" si="8"/>
        <v>0</v>
      </c>
      <c r="K161" s="479"/>
      <c r="L161" s="480"/>
      <c r="M161" s="64">
        <f t="shared" si="9"/>
        <v>0</v>
      </c>
      <c r="N161" s="90">
        <f t="shared" si="10"/>
        <v>0</v>
      </c>
      <c r="O161" s="139">
        <f t="shared" si="11"/>
        <v>0</v>
      </c>
      <c r="P161" s="481"/>
      <c r="Q161" s="1770"/>
      <c r="R161" s="1771"/>
      <c r="S161" s="1772"/>
    </row>
    <row r="162" spans="1:19" s="85" customFormat="1" ht="13">
      <c r="A162" s="472"/>
      <c r="B162" s="473"/>
      <c r="C162" s="474"/>
      <c r="D162" s="474"/>
      <c r="E162" s="475"/>
      <c r="F162" s="476"/>
      <c r="G162" s="476"/>
      <c r="H162" s="477"/>
      <c r="I162" s="478"/>
      <c r="J162" s="89">
        <f t="shared" si="8"/>
        <v>0</v>
      </c>
      <c r="K162" s="479"/>
      <c r="L162" s="480"/>
      <c r="M162" s="64">
        <f t="shared" si="9"/>
        <v>0</v>
      </c>
      <c r="N162" s="90">
        <f t="shared" si="10"/>
        <v>0</v>
      </c>
      <c r="O162" s="139">
        <f t="shared" si="11"/>
        <v>0</v>
      </c>
      <c r="P162" s="481"/>
      <c r="Q162" s="1770"/>
      <c r="R162" s="1771"/>
      <c r="S162" s="1772"/>
    </row>
    <row r="163" spans="1:19" s="85" customFormat="1" ht="13">
      <c r="A163" s="472"/>
      <c r="B163" s="473"/>
      <c r="C163" s="474"/>
      <c r="D163" s="474"/>
      <c r="E163" s="475"/>
      <c r="F163" s="476"/>
      <c r="G163" s="476"/>
      <c r="H163" s="477"/>
      <c r="I163" s="478"/>
      <c r="J163" s="89">
        <f t="shared" si="8"/>
        <v>0</v>
      </c>
      <c r="K163" s="479"/>
      <c r="L163" s="480"/>
      <c r="M163" s="64">
        <f t="shared" si="9"/>
        <v>0</v>
      </c>
      <c r="N163" s="90">
        <f t="shared" si="10"/>
        <v>0</v>
      </c>
      <c r="O163" s="139">
        <f t="shared" si="11"/>
        <v>0</v>
      </c>
      <c r="P163" s="481"/>
      <c r="Q163" s="1770"/>
      <c r="R163" s="1771"/>
      <c r="S163" s="1772"/>
    </row>
    <row r="164" spans="1:19" s="85" customFormat="1" ht="13">
      <c r="A164" s="472"/>
      <c r="B164" s="473"/>
      <c r="C164" s="474"/>
      <c r="D164" s="474"/>
      <c r="E164" s="475"/>
      <c r="F164" s="476"/>
      <c r="G164" s="476"/>
      <c r="H164" s="477"/>
      <c r="I164" s="478"/>
      <c r="J164" s="89">
        <f t="shared" si="8"/>
        <v>0</v>
      </c>
      <c r="K164" s="479"/>
      <c r="L164" s="480"/>
      <c r="M164" s="64">
        <f t="shared" si="9"/>
        <v>0</v>
      </c>
      <c r="N164" s="90">
        <f t="shared" si="10"/>
        <v>0</v>
      </c>
      <c r="O164" s="139">
        <f t="shared" si="11"/>
        <v>0</v>
      </c>
      <c r="P164" s="481"/>
      <c r="Q164" s="1770"/>
      <c r="R164" s="1771"/>
      <c r="S164" s="1772"/>
    </row>
    <row r="165" spans="1:19" s="85" customFormat="1" ht="13">
      <c r="A165" s="472"/>
      <c r="B165" s="473"/>
      <c r="C165" s="474"/>
      <c r="D165" s="474"/>
      <c r="E165" s="475"/>
      <c r="F165" s="476"/>
      <c r="G165" s="476"/>
      <c r="H165" s="477"/>
      <c r="I165" s="478"/>
      <c r="J165" s="89">
        <f t="shared" si="8"/>
        <v>0</v>
      </c>
      <c r="K165" s="479"/>
      <c r="L165" s="480"/>
      <c r="M165" s="64">
        <f t="shared" si="9"/>
        <v>0</v>
      </c>
      <c r="N165" s="90">
        <f t="shared" si="10"/>
        <v>0</v>
      </c>
      <c r="O165" s="139">
        <f t="shared" si="11"/>
        <v>0</v>
      </c>
      <c r="P165" s="481"/>
      <c r="Q165" s="1770"/>
      <c r="R165" s="1771"/>
      <c r="S165" s="1772"/>
    </row>
    <row r="166" spans="1:19" s="85" customFormat="1" ht="13">
      <c r="A166" s="472"/>
      <c r="B166" s="473"/>
      <c r="C166" s="474"/>
      <c r="D166" s="474"/>
      <c r="E166" s="475"/>
      <c r="F166" s="476"/>
      <c r="G166" s="476"/>
      <c r="H166" s="477"/>
      <c r="I166" s="478"/>
      <c r="J166" s="89">
        <f t="shared" si="8"/>
        <v>0</v>
      </c>
      <c r="K166" s="479"/>
      <c r="L166" s="480"/>
      <c r="M166" s="64">
        <f t="shared" si="9"/>
        <v>0</v>
      </c>
      <c r="N166" s="90">
        <f t="shared" si="10"/>
        <v>0</v>
      </c>
      <c r="O166" s="139">
        <f t="shared" si="11"/>
        <v>0</v>
      </c>
      <c r="P166" s="481"/>
      <c r="Q166" s="1770"/>
      <c r="R166" s="1771"/>
      <c r="S166" s="1772"/>
    </row>
    <row r="167" spans="1:19" s="85" customFormat="1" ht="13">
      <c r="A167" s="472"/>
      <c r="B167" s="473"/>
      <c r="C167" s="474"/>
      <c r="D167" s="474"/>
      <c r="E167" s="475"/>
      <c r="F167" s="476"/>
      <c r="G167" s="476"/>
      <c r="H167" s="477"/>
      <c r="I167" s="478"/>
      <c r="J167" s="89">
        <f t="shared" si="8"/>
        <v>0</v>
      </c>
      <c r="K167" s="479"/>
      <c r="L167" s="480"/>
      <c r="M167" s="64">
        <f t="shared" si="9"/>
        <v>0</v>
      </c>
      <c r="N167" s="90">
        <f t="shared" si="10"/>
        <v>0</v>
      </c>
      <c r="O167" s="139">
        <f t="shared" si="11"/>
        <v>0</v>
      </c>
      <c r="P167" s="481"/>
      <c r="Q167" s="1770"/>
      <c r="R167" s="1771"/>
      <c r="S167" s="1772"/>
    </row>
    <row r="168" spans="1:19" s="85" customFormat="1" ht="13">
      <c r="A168" s="472"/>
      <c r="B168" s="473"/>
      <c r="C168" s="474"/>
      <c r="D168" s="474"/>
      <c r="E168" s="475"/>
      <c r="F168" s="476"/>
      <c r="G168" s="476"/>
      <c r="H168" s="477"/>
      <c r="I168" s="478"/>
      <c r="J168" s="89">
        <f t="shared" si="8"/>
        <v>0</v>
      </c>
      <c r="K168" s="479"/>
      <c r="L168" s="480"/>
      <c r="M168" s="64">
        <f t="shared" si="9"/>
        <v>0</v>
      </c>
      <c r="N168" s="90">
        <f t="shared" si="10"/>
        <v>0</v>
      </c>
      <c r="O168" s="139">
        <f t="shared" si="11"/>
        <v>0</v>
      </c>
      <c r="P168" s="481"/>
      <c r="Q168" s="1770"/>
      <c r="R168" s="1771"/>
      <c r="S168" s="1772"/>
    </row>
    <row r="169" spans="1:19" s="85" customFormat="1" ht="13">
      <c r="A169" s="472"/>
      <c r="B169" s="473"/>
      <c r="C169" s="474"/>
      <c r="D169" s="474"/>
      <c r="E169" s="475"/>
      <c r="F169" s="476"/>
      <c r="G169" s="476"/>
      <c r="H169" s="477"/>
      <c r="I169" s="478"/>
      <c r="J169" s="89">
        <f t="shared" si="8"/>
        <v>0</v>
      </c>
      <c r="K169" s="479"/>
      <c r="L169" s="480"/>
      <c r="M169" s="64">
        <f t="shared" si="9"/>
        <v>0</v>
      </c>
      <c r="N169" s="90">
        <f t="shared" si="10"/>
        <v>0</v>
      </c>
      <c r="O169" s="139">
        <f t="shared" si="11"/>
        <v>0</v>
      </c>
      <c r="P169" s="481"/>
      <c r="Q169" s="1770"/>
      <c r="R169" s="1771"/>
      <c r="S169" s="1772"/>
    </row>
    <row r="170" spans="1:19" s="85" customFormat="1" ht="13">
      <c r="A170" s="472"/>
      <c r="B170" s="473"/>
      <c r="C170" s="474"/>
      <c r="D170" s="474"/>
      <c r="E170" s="475"/>
      <c r="F170" s="476"/>
      <c r="G170" s="476"/>
      <c r="H170" s="477"/>
      <c r="I170" s="478"/>
      <c r="J170" s="89">
        <f t="shared" si="8"/>
        <v>0</v>
      </c>
      <c r="K170" s="479"/>
      <c r="L170" s="480"/>
      <c r="M170" s="64">
        <f t="shared" si="9"/>
        <v>0</v>
      </c>
      <c r="N170" s="90">
        <f t="shared" si="10"/>
        <v>0</v>
      </c>
      <c r="O170" s="139">
        <f t="shared" si="11"/>
        <v>0</v>
      </c>
      <c r="P170" s="481"/>
      <c r="Q170" s="1770"/>
      <c r="R170" s="1771"/>
      <c r="S170" s="1772"/>
    </row>
    <row r="171" spans="1:19" s="85" customFormat="1" ht="13">
      <c r="A171" s="472"/>
      <c r="B171" s="473"/>
      <c r="C171" s="474"/>
      <c r="D171" s="474"/>
      <c r="E171" s="475"/>
      <c r="F171" s="476"/>
      <c r="G171" s="476"/>
      <c r="H171" s="477"/>
      <c r="I171" s="478"/>
      <c r="J171" s="89">
        <f t="shared" si="8"/>
        <v>0</v>
      </c>
      <c r="K171" s="479"/>
      <c r="L171" s="480"/>
      <c r="M171" s="64">
        <f t="shared" si="9"/>
        <v>0</v>
      </c>
      <c r="N171" s="90">
        <f t="shared" si="10"/>
        <v>0</v>
      </c>
      <c r="O171" s="139">
        <f t="shared" si="11"/>
        <v>0</v>
      </c>
      <c r="P171" s="481"/>
      <c r="Q171" s="1770"/>
      <c r="R171" s="1771"/>
      <c r="S171" s="1772"/>
    </row>
    <row r="172" spans="1:19" s="85" customFormat="1" ht="13">
      <c r="A172" s="472"/>
      <c r="B172" s="473"/>
      <c r="C172" s="474"/>
      <c r="D172" s="474"/>
      <c r="E172" s="475"/>
      <c r="F172" s="476"/>
      <c r="G172" s="476"/>
      <c r="H172" s="477"/>
      <c r="I172" s="478"/>
      <c r="J172" s="89">
        <f t="shared" si="8"/>
        <v>0</v>
      </c>
      <c r="K172" s="479"/>
      <c r="L172" s="480"/>
      <c r="M172" s="64">
        <f t="shared" si="9"/>
        <v>0</v>
      </c>
      <c r="N172" s="90">
        <f t="shared" si="10"/>
        <v>0</v>
      </c>
      <c r="O172" s="139">
        <f t="shared" si="11"/>
        <v>0</v>
      </c>
      <c r="P172" s="481"/>
      <c r="Q172" s="1770"/>
      <c r="R172" s="1771"/>
      <c r="S172" s="1772"/>
    </row>
    <row r="173" spans="1:19" s="85" customFormat="1" ht="13">
      <c r="A173" s="472"/>
      <c r="B173" s="473"/>
      <c r="C173" s="474"/>
      <c r="D173" s="474"/>
      <c r="E173" s="475"/>
      <c r="F173" s="476"/>
      <c r="G173" s="476"/>
      <c r="H173" s="477"/>
      <c r="I173" s="478"/>
      <c r="J173" s="89">
        <f t="shared" si="8"/>
        <v>0</v>
      </c>
      <c r="K173" s="479"/>
      <c r="L173" s="480"/>
      <c r="M173" s="64">
        <f t="shared" si="9"/>
        <v>0</v>
      </c>
      <c r="N173" s="90">
        <f t="shared" si="10"/>
        <v>0</v>
      </c>
      <c r="O173" s="139">
        <f t="shared" si="11"/>
        <v>0</v>
      </c>
      <c r="P173" s="481"/>
      <c r="Q173" s="1770"/>
      <c r="R173" s="1771"/>
      <c r="S173" s="1772"/>
    </row>
    <row r="174" spans="1:19" s="85" customFormat="1" ht="13">
      <c r="A174" s="472"/>
      <c r="B174" s="473"/>
      <c r="C174" s="474"/>
      <c r="D174" s="474"/>
      <c r="E174" s="475"/>
      <c r="F174" s="476"/>
      <c r="G174" s="476"/>
      <c r="H174" s="477"/>
      <c r="I174" s="478"/>
      <c r="J174" s="89">
        <f t="shared" si="8"/>
        <v>0</v>
      </c>
      <c r="K174" s="479"/>
      <c r="L174" s="480"/>
      <c r="M174" s="64">
        <f t="shared" si="9"/>
        <v>0</v>
      </c>
      <c r="N174" s="90">
        <f t="shared" si="10"/>
        <v>0</v>
      </c>
      <c r="O174" s="139">
        <f t="shared" si="11"/>
        <v>0</v>
      </c>
      <c r="P174" s="481"/>
      <c r="Q174" s="1770"/>
      <c r="R174" s="1771"/>
      <c r="S174" s="1772"/>
    </row>
    <row r="175" spans="1:19" s="85" customFormat="1" ht="13">
      <c r="A175" s="472"/>
      <c r="B175" s="473"/>
      <c r="C175" s="474"/>
      <c r="D175" s="474"/>
      <c r="E175" s="475"/>
      <c r="F175" s="476"/>
      <c r="G175" s="476"/>
      <c r="H175" s="477"/>
      <c r="I175" s="478"/>
      <c r="J175" s="89">
        <f t="shared" si="8"/>
        <v>0</v>
      </c>
      <c r="K175" s="479"/>
      <c r="L175" s="480"/>
      <c r="M175" s="64">
        <f t="shared" si="9"/>
        <v>0</v>
      </c>
      <c r="N175" s="90">
        <f t="shared" si="10"/>
        <v>0</v>
      </c>
      <c r="O175" s="139">
        <f t="shared" si="11"/>
        <v>0</v>
      </c>
      <c r="P175" s="481"/>
      <c r="Q175" s="1770"/>
      <c r="R175" s="1771"/>
      <c r="S175" s="1772"/>
    </row>
    <row r="176" spans="1:19" s="85" customFormat="1" ht="13">
      <c r="A176" s="472"/>
      <c r="B176" s="473"/>
      <c r="C176" s="474"/>
      <c r="D176" s="474"/>
      <c r="E176" s="475"/>
      <c r="F176" s="476"/>
      <c r="G176" s="476"/>
      <c r="H176" s="477"/>
      <c r="I176" s="478"/>
      <c r="J176" s="89">
        <f t="shared" si="8"/>
        <v>0</v>
      </c>
      <c r="K176" s="479"/>
      <c r="L176" s="480"/>
      <c r="M176" s="64">
        <f t="shared" si="9"/>
        <v>0</v>
      </c>
      <c r="N176" s="90">
        <f t="shared" si="10"/>
        <v>0</v>
      </c>
      <c r="O176" s="139">
        <f t="shared" si="11"/>
        <v>0</v>
      </c>
      <c r="P176" s="481"/>
      <c r="Q176" s="1770"/>
      <c r="R176" s="1771"/>
      <c r="S176" s="1772"/>
    </row>
    <row r="177" spans="1:19" s="85" customFormat="1" ht="13">
      <c r="A177" s="472"/>
      <c r="B177" s="473"/>
      <c r="C177" s="474"/>
      <c r="D177" s="474"/>
      <c r="E177" s="475"/>
      <c r="F177" s="476"/>
      <c r="G177" s="476"/>
      <c r="H177" s="477"/>
      <c r="I177" s="478"/>
      <c r="J177" s="89">
        <f t="shared" si="8"/>
        <v>0</v>
      </c>
      <c r="K177" s="479"/>
      <c r="L177" s="480"/>
      <c r="M177" s="64">
        <f t="shared" si="9"/>
        <v>0</v>
      </c>
      <c r="N177" s="90">
        <f t="shared" si="10"/>
        <v>0</v>
      </c>
      <c r="O177" s="139">
        <f t="shared" si="11"/>
        <v>0</v>
      </c>
      <c r="P177" s="481"/>
      <c r="Q177" s="1770"/>
      <c r="R177" s="1771"/>
      <c r="S177" s="1772"/>
    </row>
    <row r="178" spans="1:19" s="85" customFormat="1" ht="13">
      <c r="A178" s="472"/>
      <c r="B178" s="473"/>
      <c r="C178" s="474"/>
      <c r="D178" s="474"/>
      <c r="E178" s="475"/>
      <c r="F178" s="476"/>
      <c r="G178" s="476"/>
      <c r="H178" s="477"/>
      <c r="I178" s="478"/>
      <c r="J178" s="89">
        <f t="shared" si="8"/>
        <v>0</v>
      </c>
      <c r="K178" s="479"/>
      <c r="L178" s="480"/>
      <c r="M178" s="64">
        <f t="shared" si="9"/>
        <v>0</v>
      </c>
      <c r="N178" s="90">
        <f t="shared" si="10"/>
        <v>0</v>
      </c>
      <c r="O178" s="139">
        <f t="shared" si="11"/>
        <v>0</v>
      </c>
      <c r="P178" s="481"/>
      <c r="Q178" s="1770"/>
      <c r="R178" s="1771"/>
      <c r="S178" s="1772"/>
    </row>
    <row r="179" spans="1:19" s="85" customFormat="1" ht="13">
      <c r="A179" s="472"/>
      <c r="B179" s="473"/>
      <c r="C179" s="474"/>
      <c r="D179" s="474"/>
      <c r="E179" s="475"/>
      <c r="F179" s="476"/>
      <c r="G179" s="476"/>
      <c r="H179" s="477"/>
      <c r="I179" s="478"/>
      <c r="J179" s="89">
        <f t="shared" si="8"/>
        <v>0</v>
      </c>
      <c r="K179" s="479"/>
      <c r="L179" s="480"/>
      <c r="M179" s="64">
        <f t="shared" si="9"/>
        <v>0</v>
      </c>
      <c r="N179" s="90">
        <f t="shared" si="10"/>
        <v>0</v>
      </c>
      <c r="O179" s="139">
        <f t="shared" si="11"/>
        <v>0</v>
      </c>
      <c r="P179" s="481"/>
      <c r="Q179" s="1770"/>
      <c r="R179" s="1771"/>
      <c r="S179" s="1772"/>
    </row>
    <row r="180" spans="1:19" s="85" customFormat="1" ht="13">
      <c r="A180" s="472"/>
      <c r="B180" s="473"/>
      <c r="C180" s="474"/>
      <c r="D180" s="474"/>
      <c r="E180" s="475"/>
      <c r="F180" s="476"/>
      <c r="G180" s="476"/>
      <c r="H180" s="477"/>
      <c r="I180" s="478"/>
      <c r="J180" s="89">
        <f t="shared" si="8"/>
        <v>0</v>
      </c>
      <c r="K180" s="479"/>
      <c r="L180" s="480"/>
      <c r="M180" s="64">
        <f t="shared" si="9"/>
        <v>0</v>
      </c>
      <c r="N180" s="90">
        <f t="shared" si="10"/>
        <v>0</v>
      </c>
      <c r="O180" s="139">
        <f t="shared" si="11"/>
        <v>0</v>
      </c>
      <c r="P180" s="481"/>
      <c r="Q180" s="1770"/>
      <c r="R180" s="1771"/>
      <c r="S180" s="1772"/>
    </row>
    <row r="181" spans="1:19" s="85" customFormat="1" ht="13">
      <c r="A181" s="472"/>
      <c r="B181" s="473"/>
      <c r="C181" s="474"/>
      <c r="D181" s="474"/>
      <c r="E181" s="475"/>
      <c r="F181" s="476"/>
      <c r="G181" s="476"/>
      <c r="H181" s="477"/>
      <c r="I181" s="478"/>
      <c r="J181" s="89">
        <f t="shared" si="8"/>
        <v>0</v>
      </c>
      <c r="K181" s="479"/>
      <c r="L181" s="480"/>
      <c r="M181" s="64">
        <f t="shared" si="9"/>
        <v>0</v>
      </c>
      <c r="N181" s="90">
        <f t="shared" si="10"/>
        <v>0</v>
      </c>
      <c r="O181" s="139">
        <f t="shared" si="11"/>
        <v>0</v>
      </c>
      <c r="P181" s="481"/>
      <c r="Q181" s="1770"/>
      <c r="R181" s="1771"/>
      <c r="S181" s="1772"/>
    </row>
    <row r="182" spans="1:19" s="85" customFormat="1" ht="13">
      <c r="A182" s="472"/>
      <c r="B182" s="473"/>
      <c r="C182" s="474"/>
      <c r="D182" s="474"/>
      <c r="E182" s="475"/>
      <c r="F182" s="476"/>
      <c r="G182" s="476"/>
      <c r="H182" s="477"/>
      <c r="I182" s="478"/>
      <c r="J182" s="89">
        <f t="shared" si="8"/>
        <v>0</v>
      </c>
      <c r="K182" s="479"/>
      <c r="L182" s="480"/>
      <c r="M182" s="64">
        <f t="shared" si="9"/>
        <v>0</v>
      </c>
      <c r="N182" s="90">
        <f t="shared" si="10"/>
        <v>0</v>
      </c>
      <c r="O182" s="139">
        <f t="shared" si="11"/>
        <v>0</v>
      </c>
      <c r="P182" s="481"/>
      <c r="Q182" s="1770"/>
      <c r="R182" s="1771"/>
      <c r="S182" s="1772"/>
    </row>
    <row r="183" spans="1:19" s="85" customFormat="1" ht="13">
      <c r="A183" s="472"/>
      <c r="B183" s="473"/>
      <c r="C183" s="474"/>
      <c r="D183" s="474"/>
      <c r="E183" s="475"/>
      <c r="F183" s="476"/>
      <c r="G183" s="476"/>
      <c r="H183" s="477"/>
      <c r="I183" s="478"/>
      <c r="J183" s="89">
        <f t="shared" si="8"/>
        <v>0</v>
      </c>
      <c r="K183" s="479"/>
      <c r="L183" s="480"/>
      <c r="M183" s="64">
        <f t="shared" si="9"/>
        <v>0</v>
      </c>
      <c r="N183" s="90">
        <f t="shared" si="10"/>
        <v>0</v>
      </c>
      <c r="O183" s="139">
        <f t="shared" si="11"/>
        <v>0</v>
      </c>
      <c r="P183" s="481"/>
      <c r="Q183" s="1770"/>
      <c r="R183" s="1771"/>
      <c r="S183" s="1772"/>
    </row>
    <row r="184" spans="1:19" s="85" customFormat="1" ht="13">
      <c r="A184" s="472"/>
      <c r="B184" s="473"/>
      <c r="C184" s="474"/>
      <c r="D184" s="474"/>
      <c r="E184" s="475"/>
      <c r="F184" s="476"/>
      <c r="G184" s="476"/>
      <c r="H184" s="477"/>
      <c r="I184" s="478"/>
      <c r="J184" s="89">
        <f t="shared" si="8"/>
        <v>0</v>
      </c>
      <c r="K184" s="479"/>
      <c r="L184" s="480"/>
      <c r="M184" s="64">
        <f t="shared" si="9"/>
        <v>0</v>
      </c>
      <c r="N184" s="90">
        <f t="shared" si="10"/>
        <v>0</v>
      </c>
      <c r="O184" s="139">
        <f t="shared" si="11"/>
        <v>0</v>
      </c>
      <c r="P184" s="481"/>
      <c r="Q184" s="1770"/>
      <c r="R184" s="1771"/>
      <c r="S184" s="1772"/>
    </row>
    <row r="185" spans="1:19" s="85" customFormat="1" ht="13">
      <c r="A185" s="472"/>
      <c r="B185" s="473"/>
      <c r="C185" s="474"/>
      <c r="D185" s="474"/>
      <c r="E185" s="475"/>
      <c r="F185" s="476"/>
      <c r="G185" s="476"/>
      <c r="H185" s="477"/>
      <c r="I185" s="478"/>
      <c r="J185" s="89">
        <f t="shared" si="8"/>
        <v>0</v>
      </c>
      <c r="K185" s="479"/>
      <c r="L185" s="480"/>
      <c r="M185" s="64">
        <f t="shared" si="9"/>
        <v>0</v>
      </c>
      <c r="N185" s="90">
        <f t="shared" si="10"/>
        <v>0</v>
      </c>
      <c r="O185" s="139">
        <f t="shared" si="11"/>
        <v>0</v>
      </c>
      <c r="P185" s="481"/>
      <c r="Q185" s="1770"/>
      <c r="R185" s="1771"/>
      <c r="S185" s="1772"/>
    </row>
    <row r="186" spans="1:19" s="85" customFormat="1" ht="13">
      <c r="A186" s="472"/>
      <c r="B186" s="473"/>
      <c r="C186" s="474"/>
      <c r="D186" s="474"/>
      <c r="E186" s="475"/>
      <c r="F186" s="476"/>
      <c r="G186" s="476"/>
      <c r="H186" s="477"/>
      <c r="I186" s="478"/>
      <c r="J186" s="89">
        <f t="shared" si="8"/>
        <v>0</v>
      </c>
      <c r="K186" s="479"/>
      <c r="L186" s="480"/>
      <c r="M186" s="64">
        <f t="shared" si="9"/>
        <v>0</v>
      </c>
      <c r="N186" s="90">
        <f t="shared" si="10"/>
        <v>0</v>
      </c>
      <c r="O186" s="139">
        <f t="shared" si="11"/>
        <v>0</v>
      </c>
      <c r="P186" s="481"/>
      <c r="Q186" s="1770"/>
      <c r="R186" s="1771"/>
      <c r="S186" s="1772"/>
    </row>
    <row r="187" spans="1:19" s="85" customFormat="1" ht="13">
      <c r="A187" s="472"/>
      <c r="B187" s="473"/>
      <c r="C187" s="474"/>
      <c r="D187" s="474"/>
      <c r="E187" s="475"/>
      <c r="F187" s="476"/>
      <c r="G187" s="476"/>
      <c r="H187" s="477"/>
      <c r="I187" s="478"/>
      <c r="J187" s="89">
        <f t="shared" si="8"/>
        <v>0</v>
      </c>
      <c r="K187" s="479"/>
      <c r="L187" s="480"/>
      <c r="M187" s="64">
        <f t="shared" si="9"/>
        <v>0</v>
      </c>
      <c r="N187" s="90">
        <f t="shared" si="10"/>
        <v>0</v>
      </c>
      <c r="O187" s="139">
        <f t="shared" si="11"/>
        <v>0</v>
      </c>
      <c r="P187" s="481"/>
      <c r="Q187" s="1770"/>
      <c r="R187" s="1771"/>
      <c r="S187" s="1772"/>
    </row>
    <row r="188" spans="1:19" s="85" customFormat="1" ht="13">
      <c r="A188" s="472"/>
      <c r="B188" s="473"/>
      <c r="C188" s="474"/>
      <c r="D188" s="474"/>
      <c r="E188" s="475"/>
      <c r="F188" s="476"/>
      <c r="G188" s="476"/>
      <c r="H188" s="477"/>
      <c r="I188" s="478"/>
      <c r="J188" s="89">
        <f t="shared" si="8"/>
        <v>0</v>
      </c>
      <c r="K188" s="479"/>
      <c r="L188" s="480"/>
      <c r="M188" s="64">
        <f t="shared" si="9"/>
        <v>0</v>
      </c>
      <c r="N188" s="90">
        <f t="shared" si="10"/>
        <v>0</v>
      </c>
      <c r="O188" s="139">
        <f t="shared" si="11"/>
        <v>0</v>
      </c>
      <c r="P188" s="481"/>
      <c r="Q188" s="1770"/>
      <c r="R188" s="1771"/>
      <c r="S188" s="1772"/>
    </row>
    <row r="189" spans="1:19" s="85" customFormat="1" ht="13">
      <c r="A189" s="472"/>
      <c r="B189" s="473"/>
      <c r="C189" s="474"/>
      <c r="D189" s="474"/>
      <c r="E189" s="475"/>
      <c r="F189" s="476"/>
      <c r="G189" s="476"/>
      <c r="H189" s="477"/>
      <c r="I189" s="478"/>
      <c r="J189" s="89">
        <f t="shared" si="8"/>
        <v>0</v>
      </c>
      <c r="K189" s="479"/>
      <c r="L189" s="480"/>
      <c r="M189" s="64">
        <f t="shared" si="9"/>
        <v>0</v>
      </c>
      <c r="N189" s="90">
        <f t="shared" si="10"/>
        <v>0</v>
      </c>
      <c r="O189" s="139">
        <f t="shared" si="11"/>
        <v>0</v>
      </c>
      <c r="P189" s="481"/>
      <c r="Q189" s="1770"/>
      <c r="R189" s="1771"/>
      <c r="S189" s="1772"/>
    </row>
    <row r="190" spans="1:19" s="85" customFormat="1" ht="13">
      <c r="A190" s="472"/>
      <c r="B190" s="473"/>
      <c r="C190" s="474"/>
      <c r="D190" s="474"/>
      <c r="E190" s="475"/>
      <c r="F190" s="476"/>
      <c r="G190" s="476"/>
      <c r="H190" s="477"/>
      <c r="I190" s="478"/>
      <c r="J190" s="89">
        <f t="shared" si="8"/>
        <v>0</v>
      </c>
      <c r="K190" s="479"/>
      <c r="L190" s="480"/>
      <c r="M190" s="64">
        <f t="shared" si="9"/>
        <v>0</v>
      </c>
      <c r="N190" s="90">
        <f t="shared" si="10"/>
        <v>0</v>
      </c>
      <c r="O190" s="139">
        <f t="shared" si="11"/>
        <v>0</v>
      </c>
      <c r="P190" s="481"/>
      <c r="Q190" s="1770"/>
      <c r="R190" s="1771"/>
      <c r="S190" s="1772"/>
    </row>
    <row r="191" spans="1:19" s="85" customFormat="1" ht="13">
      <c r="A191" s="472"/>
      <c r="B191" s="473"/>
      <c r="C191" s="474"/>
      <c r="D191" s="474"/>
      <c r="E191" s="475"/>
      <c r="F191" s="476"/>
      <c r="G191" s="476"/>
      <c r="H191" s="477"/>
      <c r="I191" s="478"/>
      <c r="J191" s="89">
        <f t="shared" si="8"/>
        <v>0</v>
      </c>
      <c r="K191" s="479"/>
      <c r="L191" s="480"/>
      <c r="M191" s="64">
        <f t="shared" si="9"/>
        <v>0</v>
      </c>
      <c r="N191" s="90">
        <f t="shared" si="10"/>
        <v>0</v>
      </c>
      <c r="O191" s="139">
        <f t="shared" si="11"/>
        <v>0</v>
      </c>
      <c r="P191" s="481"/>
      <c r="Q191" s="1770"/>
      <c r="R191" s="1771"/>
      <c r="S191" s="1772"/>
    </row>
    <row r="192" spans="1:19" s="85" customFormat="1" ht="13">
      <c r="A192" s="472"/>
      <c r="B192" s="473"/>
      <c r="C192" s="474"/>
      <c r="D192" s="474"/>
      <c r="E192" s="475"/>
      <c r="F192" s="476"/>
      <c r="G192" s="476"/>
      <c r="H192" s="477"/>
      <c r="I192" s="478"/>
      <c r="J192" s="89">
        <f t="shared" si="8"/>
        <v>0</v>
      </c>
      <c r="K192" s="479"/>
      <c r="L192" s="480"/>
      <c r="M192" s="64">
        <f t="shared" si="9"/>
        <v>0</v>
      </c>
      <c r="N192" s="90">
        <f t="shared" si="10"/>
        <v>0</v>
      </c>
      <c r="O192" s="139">
        <f t="shared" si="11"/>
        <v>0</v>
      </c>
      <c r="P192" s="481"/>
      <c r="Q192" s="1770"/>
      <c r="R192" s="1771"/>
      <c r="S192" s="1772"/>
    </row>
    <row r="193" spans="1:19" s="85" customFormat="1" ht="13">
      <c r="A193" s="472"/>
      <c r="B193" s="473"/>
      <c r="C193" s="474"/>
      <c r="D193" s="474"/>
      <c r="E193" s="475"/>
      <c r="F193" s="476"/>
      <c r="G193" s="476"/>
      <c r="H193" s="477"/>
      <c r="I193" s="478"/>
      <c r="J193" s="89">
        <f t="shared" si="8"/>
        <v>0</v>
      </c>
      <c r="K193" s="479"/>
      <c r="L193" s="480"/>
      <c r="M193" s="64">
        <f t="shared" si="9"/>
        <v>0</v>
      </c>
      <c r="N193" s="90">
        <f t="shared" si="10"/>
        <v>0</v>
      </c>
      <c r="O193" s="139">
        <f t="shared" si="11"/>
        <v>0</v>
      </c>
      <c r="P193" s="481"/>
      <c r="Q193" s="1770"/>
      <c r="R193" s="1771"/>
      <c r="S193" s="1772"/>
    </row>
    <row r="194" spans="1:19" s="85" customFormat="1" ht="13">
      <c r="A194" s="472"/>
      <c r="B194" s="473"/>
      <c r="C194" s="474"/>
      <c r="D194" s="474"/>
      <c r="E194" s="475"/>
      <c r="F194" s="476"/>
      <c r="G194" s="476"/>
      <c r="H194" s="477"/>
      <c r="I194" s="478"/>
      <c r="J194" s="89">
        <f t="shared" si="8"/>
        <v>0</v>
      </c>
      <c r="K194" s="479"/>
      <c r="L194" s="480"/>
      <c r="M194" s="64">
        <f t="shared" si="9"/>
        <v>0</v>
      </c>
      <c r="N194" s="90">
        <f t="shared" si="10"/>
        <v>0</v>
      </c>
      <c r="O194" s="139">
        <f t="shared" si="11"/>
        <v>0</v>
      </c>
      <c r="P194" s="481"/>
      <c r="Q194" s="1770"/>
      <c r="R194" s="1771"/>
      <c r="S194" s="1772"/>
    </row>
    <row r="195" spans="1:19" s="85" customFormat="1" ht="13">
      <c r="A195" s="472"/>
      <c r="B195" s="473"/>
      <c r="C195" s="474"/>
      <c r="D195" s="474"/>
      <c r="E195" s="475"/>
      <c r="F195" s="476"/>
      <c r="G195" s="476"/>
      <c r="H195" s="477"/>
      <c r="I195" s="478"/>
      <c r="J195" s="89">
        <f t="shared" si="8"/>
        <v>0</v>
      </c>
      <c r="K195" s="479"/>
      <c r="L195" s="480"/>
      <c r="M195" s="64">
        <f t="shared" si="9"/>
        <v>0</v>
      </c>
      <c r="N195" s="90">
        <f t="shared" si="10"/>
        <v>0</v>
      </c>
      <c r="O195" s="139">
        <f t="shared" si="11"/>
        <v>0</v>
      </c>
      <c r="P195" s="481"/>
      <c r="Q195" s="1770"/>
      <c r="R195" s="1771"/>
      <c r="S195" s="1772"/>
    </row>
    <row r="196" spans="1:19" s="85" customFormat="1" ht="13">
      <c r="A196" s="472"/>
      <c r="B196" s="473"/>
      <c r="C196" s="474"/>
      <c r="D196" s="474"/>
      <c r="E196" s="475"/>
      <c r="F196" s="476"/>
      <c r="G196" s="476"/>
      <c r="H196" s="477"/>
      <c r="I196" s="478"/>
      <c r="J196" s="89">
        <f t="shared" si="8"/>
        <v>0</v>
      </c>
      <c r="K196" s="479"/>
      <c r="L196" s="480"/>
      <c r="M196" s="64">
        <f t="shared" si="9"/>
        <v>0</v>
      </c>
      <c r="N196" s="90">
        <f t="shared" si="10"/>
        <v>0</v>
      </c>
      <c r="O196" s="139">
        <f t="shared" si="11"/>
        <v>0</v>
      </c>
      <c r="P196" s="481"/>
      <c r="Q196" s="1770"/>
      <c r="R196" s="1771"/>
      <c r="S196" s="1772"/>
    </row>
    <row r="197" spans="1:19" s="85" customFormat="1" ht="13">
      <c r="A197" s="472"/>
      <c r="B197" s="473"/>
      <c r="C197" s="474"/>
      <c r="D197" s="474"/>
      <c r="E197" s="475"/>
      <c r="F197" s="476"/>
      <c r="G197" s="476"/>
      <c r="H197" s="477"/>
      <c r="I197" s="478"/>
      <c r="J197" s="89">
        <f t="shared" si="8"/>
        <v>0</v>
      </c>
      <c r="K197" s="479"/>
      <c r="L197" s="480"/>
      <c r="M197" s="64">
        <f t="shared" si="9"/>
        <v>0</v>
      </c>
      <c r="N197" s="90">
        <f t="shared" si="10"/>
        <v>0</v>
      </c>
      <c r="O197" s="139">
        <f t="shared" si="11"/>
        <v>0</v>
      </c>
      <c r="P197" s="481"/>
      <c r="Q197" s="1770"/>
      <c r="R197" s="1771"/>
      <c r="S197" s="1772"/>
    </row>
    <row r="198" spans="1:19" s="85" customFormat="1" ht="13">
      <c r="A198" s="472"/>
      <c r="B198" s="473"/>
      <c r="C198" s="474"/>
      <c r="D198" s="474"/>
      <c r="E198" s="475"/>
      <c r="F198" s="476"/>
      <c r="G198" s="476"/>
      <c r="H198" s="477"/>
      <c r="I198" s="478"/>
      <c r="J198" s="89">
        <f t="shared" si="8"/>
        <v>0</v>
      </c>
      <c r="K198" s="479"/>
      <c r="L198" s="480"/>
      <c r="M198" s="64">
        <f t="shared" si="9"/>
        <v>0</v>
      </c>
      <c r="N198" s="90">
        <f t="shared" si="10"/>
        <v>0</v>
      </c>
      <c r="O198" s="139">
        <f t="shared" si="11"/>
        <v>0</v>
      </c>
      <c r="P198" s="481"/>
      <c r="Q198" s="1770"/>
      <c r="R198" s="1771"/>
      <c r="S198" s="1772"/>
    </row>
    <row r="199" spans="1:19" s="85" customFormat="1" ht="13">
      <c r="A199" s="472"/>
      <c r="B199" s="473"/>
      <c r="C199" s="474"/>
      <c r="D199" s="474"/>
      <c r="E199" s="475"/>
      <c r="F199" s="476"/>
      <c r="G199" s="476"/>
      <c r="H199" s="477"/>
      <c r="I199" s="478"/>
      <c r="J199" s="89">
        <f t="shared" si="8"/>
        <v>0</v>
      </c>
      <c r="K199" s="479"/>
      <c r="L199" s="480"/>
      <c r="M199" s="64">
        <f t="shared" si="9"/>
        <v>0</v>
      </c>
      <c r="N199" s="90">
        <f t="shared" si="10"/>
        <v>0</v>
      </c>
      <c r="O199" s="139">
        <f t="shared" si="11"/>
        <v>0</v>
      </c>
      <c r="P199" s="481"/>
      <c r="Q199" s="1770"/>
      <c r="R199" s="1771"/>
      <c r="S199" s="1772"/>
    </row>
    <row r="200" spans="1:19" s="85" customFormat="1" ht="13">
      <c r="A200" s="472"/>
      <c r="B200" s="473"/>
      <c r="C200" s="474"/>
      <c r="D200" s="474"/>
      <c r="E200" s="475"/>
      <c r="F200" s="476"/>
      <c r="G200" s="476"/>
      <c r="H200" s="477"/>
      <c r="I200" s="478"/>
      <c r="J200" s="89">
        <f t="shared" si="8"/>
        <v>0</v>
      </c>
      <c r="K200" s="479"/>
      <c r="L200" s="480"/>
      <c r="M200" s="64">
        <f t="shared" si="9"/>
        <v>0</v>
      </c>
      <c r="N200" s="90">
        <f t="shared" si="10"/>
        <v>0</v>
      </c>
      <c r="O200" s="139">
        <f t="shared" si="11"/>
        <v>0</v>
      </c>
      <c r="P200" s="481"/>
      <c r="Q200" s="1770"/>
      <c r="R200" s="1771"/>
      <c r="S200" s="1772"/>
    </row>
    <row r="201" spans="1:19" s="85" customFormat="1" ht="13">
      <c r="A201" s="472"/>
      <c r="B201" s="473"/>
      <c r="C201" s="474"/>
      <c r="D201" s="474"/>
      <c r="E201" s="475"/>
      <c r="F201" s="476"/>
      <c r="G201" s="476"/>
      <c r="H201" s="477"/>
      <c r="I201" s="478"/>
      <c r="J201" s="89">
        <f t="shared" si="8"/>
        <v>0</v>
      </c>
      <c r="K201" s="479"/>
      <c r="L201" s="480"/>
      <c r="M201" s="64">
        <f t="shared" si="9"/>
        <v>0</v>
      </c>
      <c r="N201" s="90">
        <f t="shared" si="10"/>
        <v>0</v>
      </c>
      <c r="O201" s="139">
        <f t="shared" si="11"/>
        <v>0</v>
      </c>
      <c r="P201" s="481"/>
      <c r="Q201" s="1770"/>
      <c r="R201" s="1771"/>
      <c r="S201" s="1772"/>
    </row>
    <row r="202" spans="1:19" s="85" customFormat="1" ht="13">
      <c r="A202" s="472"/>
      <c r="B202" s="473"/>
      <c r="C202" s="474"/>
      <c r="D202" s="474"/>
      <c r="E202" s="475"/>
      <c r="F202" s="476"/>
      <c r="G202" s="476"/>
      <c r="H202" s="477"/>
      <c r="I202" s="478"/>
      <c r="J202" s="89">
        <f t="shared" si="8"/>
        <v>0</v>
      </c>
      <c r="K202" s="479"/>
      <c r="L202" s="480"/>
      <c r="M202" s="64">
        <f t="shared" si="9"/>
        <v>0</v>
      </c>
      <c r="N202" s="90">
        <f t="shared" si="10"/>
        <v>0</v>
      </c>
      <c r="O202" s="139">
        <f t="shared" si="11"/>
        <v>0</v>
      </c>
      <c r="P202" s="481"/>
      <c r="Q202" s="1770"/>
      <c r="R202" s="1771"/>
      <c r="S202" s="1772"/>
    </row>
    <row r="203" spans="1:19" s="85" customFormat="1" ht="13">
      <c r="A203" s="472"/>
      <c r="B203" s="473"/>
      <c r="C203" s="474"/>
      <c r="D203" s="474"/>
      <c r="E203" s="475"/>
      <c r="F203" s="476"/>
      <c r="G203" s="476"/>
      <c r="H203" s="477"/>
      <c r="I203" s="478"/>
      <c r="J203" s="89">
        <f t="shared" ref="J203:J266" si="12">IF(H203=0,0,(+I203)/H203)</f>
        <v>0</v>
      </c>
      <c r="K203" s="479"/>
      <c r="L203" s="480"/>
      <c r="M203" s="64">
        <f t="shared" ref="M203:M266" si="13">+K203*L203</f>
        <v>0</v>
      </c>
      <c r="N203" s="90">
        <f t="shared" ref="N203:N266" si="14">+K203-H203</f>
        <v>0</v>
      </c>
      <c r="O203" s="139">
        <f t="shared" ref="O203:O266" si="15">+M203-I203</f>
        <v>0</v>
      </c>
      <c r="P203" s="481"/>
      <c r="Q203" s="1770"/>
      <c r="R203" s="1771"/>
      <c r="S203" s="1772"/>
    </row>
    <row r="204" spans="1:19" s="85" customFormat="1" ht="13">
      <c r="A204" s="472"/>
      <c r="B204" s="473"/>
      <c r="C204" s="474"/>
      <c r="D204" s="474"/>
      <c r="E204" s="475"/>
      <c r="F204" s="476"/>
      <c r="G204" s="476"/>
      <c r="H204" s="477"/>
      <c r="I204" s="478"/>
      <c r="J204" s="89">
        <f t="shared" si="12"/>
        <v>0</v>
      </c>
      <c r="K204" s="479"/>
      <c r="L204" s="480"/>
      <c r="M204" s="64">
        <f t="shared" si="13"/>
        <v>0</v>
      </c>
      <c r="N204" s="90">
        <f t="shared" si="14"/>
        <v>0</v>
      </c>
      <c r="O204" s="139">
        <f t="shared" si="15"/>
        <v>0</v>
      </c>
      <c r="P204" s="481"/>
      <c r="Q204" s="1770"/>
      <c r="R204" s="1771"/>
      <c r="S204" s="1772"/>
    </row>
    <row r="205" spans="1:19" s="85" customFormat="1" ht="13">
      <c r="A205" s="472"/>
      <c r="B205" s="473"/>
      <c r="C205" s="474"/>
      <c r="D205" s="474"/>
      <c r="E205" s="475"/>
      <c r="F205" s="476"/>
      <c r="G205" s="476"/>
      <c r="H205" s="477"/>
      <c r="I205" s="478"/>
      <c r="J205" s="89">
        <f t="shared" si="12"/>
        <v>0</v>
      </c>
      <c r="K205" s="479"/>
      <c r="L205" s="480"/>
      <c r="M205" s="64">
        <f t="shared" si="13"/>
        <v>0</v>
      </c>
      <c r="N205" s="90">
        <f t="shared" si="14"/>
        <v>0</v>
      </c>
      <c r="O205" s="139">
        <f t="shared" si="15"/>
        <v>0</v>
      </c>
      <c r="P205" s="481"/>
      <c r="Q205" s="1770"/>
      <c r="R205" s="1771"/>
      <c r="S205" s="1772"/>
    </row>
    <row r="206" spans="1:19" s="85" customFormat="1" ht="13">
      <c r="A206" s="472"/>
      <c r="B206" s="473"/>
      <c r="C206" s="474"/>
      <c r="D206" s="474"/>
      <c r="E206" s="475"/>
      <c r="F206" s="476"/>
      <c r="G206" s="476"/>
      <c r="H206" s="477"/>
      <c r="I206" s="478"/>
      <c r="J206" s="89">
        <f t="shared" si="12"/>
        <v>0</v>
      </c>
      <c r="K206" s="479"/>
      <c r="L206" s="480"/>
      <c r="M206" s="64">
        <f t="shared" si="13"/>
        <v>0</v>
      </c>
      <c r="N206" s="90">
        <f t="shared" si="14"/>
        <v>0</v>
      </c>
      <c r="O206" s="139">
        <f t="shared" si="15"/>
        <v>0</v>
      </c>
      <c r="P206" s="481"/>
      <c r="Q206" s="1770"/>
      <c r="R206" s="1771"/>
      <c r="S206" s="1772"/>
    </row>
    <row r="207" spans="1:19" s="85" customFormat="1" ht="13">
      <c r="A207" s="472"/>
      <c r="B207" s="473"/>
      <c r="C207" s="474"/>
      <c r="D207" s="474"/>
      <c r="E207" s="475"/>
      <c r="F207" s="476"/>
      <c r="G207" s="476"/>
      <c r="H207" s="477"/>
      <c r="I207" s="478"/>
      <c r="J207" s="89">
        <f t="shared" si="12"/>
        <v>0</v>
      </c>
      <c r="K207" s="479"/>
      <c r="L207" s="480"/>
      <c r="M207" s="64">
        <f t="shared" si="13"/>
        <v>0</v>
      </c>
      <c r="N207" s="90">
        <f t="shared" si="14"/>
        <v>0</v>
      </c>
      <c r="O207" s="139">
        <f t="shared" si="15"/>
        <v>0</v>
      </c>
      <c r="P207" s="481"/>
      <c r="Q207" s="1770"/>
      <c r="R207" s="1771"/>
      <c r="S207" s="1772"/>
    </row>
    <row r="208" spans="1:19" s="85" customFormat="1" ht="13">
      <c r="A208" s="472"/>
      <c r="B208" s="473"/>
      <c r="C208" s="474"/>
      <c r="D208" s="474"/>
      <c r="E208" s="475"/>
      <c r="F208" s="476"/>
      <c r="G208" s="476"/>
      <c r="H208" s="477"/>
      <c r="I208" s="478"/>
      <c r="J208" s="89">
        <f t="shared" si="12"/>
        <v>0</v>
      </c>
      <c r="K208" s="479"/>
      <c r="L208" s="480"/>
      <c r="M208" s="64">
        <f t="shared" si="13"/>
        <v>0</v>
      </c>
      <c r="N208" s="90">
        <f t="shared" si="14"/>
        <v>0</v>
      </c>
      <c r="O208" s="139">
        <f t="shared" si="15"/>
        <v>0</v>
      </c>
      <c r="P208" s="481"/>
      <c r="Q208" s="1770"/>
      <c r="R208" s="1771"/>
      <c r="S208" s="1772"/>
    </row>
    <row r="209" spans="1:19" s="85" customFormat="1" ht="13">
      <c r="A209" s="472"/>
      <c r="B209" s="473"/>
      <c r="C209" s="474"/>
      <c r="D209" s="474"/>
      <c r="E209" s="475"/>
      <c r="F209" s="476"/>
      <c r="G209" s="476"/>
      <c r="H209" s="477"/>
      <c r="I209" s="478"/>
      <c r="J209" s="89">
        <f t="shared" si="12"/>
        <v>0</v>
      </c>
      <c r="K209" s="479"/>
      <c r="L209" s="480"/>
      <c r="M209" s="64">
        <f t="shared" si="13"/>
        <v>0</v>
      </c>
      <c r="N209" s="90">
        <f t="shared" si="14"/>
        <v>0</v>
      </c>
      <c r="O209" s="139">
        <f t="shared" si="15"/>
        <v>0</v>
      </c>
      <c r="P209" s="481"/>
      <c r="Q209" s="1770"/>
      <c r="R209" s="1771"/>
      <c r="S209" s="1772"/>
    </row>
    <row r="210" spans="1:19" s="85" customFormat="1" ht="13">
      <c r="A210" s="472"/>
      <c r="B210" s="473"/>
      <c r="C210" s="474"/>
      <c r="D210" s="474"/>
      <c r="E210" s="475"/>
      <c r="F210" s="476"/>
      <c r="G210" s="476"/>
      <c r="H210" s="477"/>
      <c r="I210" s="478"/>
      <c r="J210" s="89">
        <f t="shared" si="12"/>
        <v>0</v>
      </c>
      <c r="K210" s="479"/>
      <c r="L210" s="480"/>
      <c r="M210" s="64">
        <f t="shared" si="13"/>
        <v>0</v>
      </c>
      <c r="N210" s="90">
        <f t="shared" si="14"/>
        <v>0</v>
      </c>
      <c r="O210" s="139">
        <f t="shared" si="15"/>
        <v>0</v>
      </c>
      <c r="P210" s="481"/>
      <c r="Q210" s="1770"/>
      <c r="R210" s="1771"/>
      <c r="S210" s="1772"/>
    </row>
    <row r="211" spans="1:19" s="85" customFormat="1" ht="13">
      <c r="A211" s="472"/>
      <c r="B211" s="473"/>
      <c r="C211" s="474"/>
      <c r="D211" s="474"/>
      <c r="E211" s="475"/>
      <c r="F211" s="476"/>
      <c r="G211" s="476"/>
      <c r="H211" s="477"/>
      <c r="I211" s="478"/>
      <c r="J211" s="89">
        <f t="shared" si="12"/>
        <v>0</v>
      </c>
      <c r="K211" s="479"/>
      <c r="L211" s="480"/>
      <c r="M211" s="64">
        <f t="shared" si="13"/>
        <v>0</v>
      </c>
      <c r="N211" s="90">
        <f t="shared" si="14"/>
        <v>0</v>
      </c>
      <c r="O211" s="139">
        <f t="shared" si="15"/>
        <v>0</v>
      </c>
      <c r="P211" s="481"/>
      <c r="Q211" s="1770"/>
      <c r="R211" s="1771"/>
      <c r="S211" s="1772"/>
    </row>
    <row r="212" spans="1:19" s="85" customFormat="1" ht="13">
      <c r="A212" s="472"/>
      <c r="B212" s="473"/>
      <c r="C212" s="474"/>
      <c r="D212" s="474"/>
      <c r="E212" s="475"/>
      <c r="F212" s="476"/>
      <c r="G212" s="476"/>
      <c r="H212" s="477"/>
      <c r="I212" s="478"/>
      <c r="J212" s="89">
        <f t="shared" si="12"/>
        <v>0</v>
      </c>
      <c r="K212" s="479"/>
      <c r="L212" s="480"/>
      <c r="M212" s="64">
        <f t="shared" si="13"/>
        <v>0</v>
      </c>
      <c r="N212" s="90">
        <f t="shared" si="14"/>
        <v>0</v>
      </c>
      <c r="O212" s="139">
        <f t="shared" si="15"/>
        <v>0</v>
      </c>
      <c r="P212" s="481"/>
      <c r="Q212" s="1770"/>
      <c r="R212" s="1771"/>
      <c r="S212" s="1772"/>
    </row>
    <row r="213" spans="1:19" s="85" customFormat="1" ht="13">
      <c r="A213" s="472"/>
      <c r="B213" s="473"/>
      <c r="C213" s="474"/>
      <c r="D213" s="474"/>
      <c r="E213" s="475"/>
      <c r="F213" s="476"/>
      <c r="G213" s="476"/>
      <c r="H213" s="477"/>
      <c r="I213" s="478"/>
      <c r="J213" s="89">
        <f t="shared" si="12"/>
        <v>0</v>
      </c>
      <c r="K213" s="479"/>
      <c r="L213" s="480"/>
      <c r="M213" s="64">
        <f t="shared" si="13"/>
        <v>0</v>
      </c>
      <c r="N213" s="90">
        <f t="shared" si="14"/>
        <v>0</v>
      </c>
      <c r="O213" s="139">
        <f t="shared" si="15"/>
        <v>0</v>
      </c>
      <c r="P213" s="481"/>
      <c r="Q213" s="1770"/>
      <c r="R213" s="1771"/>
      <c r="S213" s="1772"/>
    </row>
    <row r="214" spans="1:19" s="85" customFormat="1" ht="13">
      <c r="A214" s="472"/>
      <c r="B214" s="473"/>
      <c r="C214" s="474"/>
      <c r="D214" s="474"/>
      <c r="E214" s="475"/>
      <c r="F214" s="476"/>
      <c r="G214" s="476"/>
      <c r="H214" s="477"/>
      <c r="I214" s="478"/>
      <c r="J214" s="89">
        <f t="shared" si="12"/>
        <v>0</v>
      </c>
      <c r="K214" s="479"/>
      <c r="L214" s="480"/>
      <c r="M214" s="64">
        <f t="shared" si="13"/>
        <v>0</v>
      </c>
      <c r="N214" s="90">
        <f t="shared" si="14"/>
        <v>0</v>
      </c>
      <c r="O214" s="139">
        <f t="shared" si="15"/>
        <v>0</v>
      </c>
      <c r="P214" s="481"/>
      <c r="Q214" s="1770"/>
      <c r="R214" s="1771"/>
      <c r="S214" s="1772"/>
    </row>
    <row r="215" spans="1:19" s="85" customFormat="1" ht="13">
      <c r="A215" s="472"/>
      <c r="B215" s="473"/>
      <c r="C215" s="474"/>
      <c r="D215" s="474"/>
      <c r="E215" s="475"/>
      <c r="F215" s="476"/>
      <c r="G215" s="476"/>
      <c r="H215" s="477"/>
      <c r="I215" s="478"/>
      <c r="J215" s="89">
        <f t="shared" si="12"/>
        <v>0</v>
      </c>
      <c r="K215" s="479"/>
      <c r="L215" s="480"/>
      <c r="M215" s="64">
        <f t="shared" si="13"/>
        <v>0</v>
      </c>
      <c r="N215" s="90">
        <f t="shared" si="14"/>
        <v>0</v>
      </c>
      <c r="O215" s="139">
        <f t="shared" si="15"/>
        <v>0</v>
      </c>
      <c r="P215" s="481"/>
      <c r="Q215" s="1770"/>
      <c r="R215" s="1771"/>
      <c r="S215" s="1772"/>
    </row>
    <row r="216" spans="1:19" s="85" customFormat="1" ht="13">
      <c r="A216" s="472"/>
      <c r="B216" s="473"/>
      <c r="C216" s="474"/>
      <c r="D216" s="474"/>
      <c r="E216" s="475"/>
      <c r="F216" s="476"/>
      <c r="G216" s="476"/>
      <c r="H216" s="477"/>
      <c r="I216" s="478"/>
      <c r="J216" s="89">
        <f t="shared" si="12"/>
        <v>0</v>
      </c>
      <c r="K216" s="479"/>
      <c r="L216" s="480"/>
      <c r="M216" s="64">
        <f t="shared" si="13"/>
        <v>0</v>
      </c>
      <c r="N216" s="90">
        <f t="shared" si="14"/>
        <v>0</v>
      </c>
      <c r="O216" s="139">
        <f t="shared" si="15"/>
        <v>0</v>
      </c>
      <c r="P216" s="481"/>
      <c r="Q216" s="1770"/>
      <c r="R216" s="1771"/>
      <c r="S216" s="1772"/>
    </row>
    <row r="217" spans="1:19" s="85" customFormat="1" ht="13">
      <c r="A217" s="472"/>
      <c r="B217" s="473"/>
      <c r="C217" s="474"/>
      <c r="D217" s="474"/>
      <c r="E217" s="475"/>
      <c r="F217" s="476"/>
      <c r="G217" s="476"/>
      <c r="H217" s="477"/>
      <c r="I217" s="478"/>
      <c r="J217" s="89">
        <f t="shared" si="12"/>
        <v>0</v>
      </c>
      <c r="K217" s="479"/>
      <c r="L217" s="480"/>
      <c r="M217" s="64">
        <f t="shared" si="13"/>
        <v>0</v>
      </c>
      <c r="N217" s="90">
        <f t="shared" si="14"/>
        <v>0</v>
      </c>
      <c r="O217" s="139">
        <f t="shared" si="15"/>
        <v>0</v>
      </c>
      <c r="P217" s="481"/>
      <c r="Q217" s="1770"/>
      <c r="R217" s="1771"/>
      <c r="S217" s="1772"/>
    </row>
    <row r="218" spans="1:19" s="85" customFormat="1" ht="13">
      <c r="A218" s="472"/>
      <c r="B218" s="473"/>
      <c r="C218" s="474"/>
      <c r="D218" s="474"/>
      <c r="E218" s="475"/>
      <c r="F218" s="476"/>
      <c r="G218" s="476"/>
      <c r="H218" s="477"/>
      <c r="I218" s="478"/>
      <c r="J218" s="89">
        <f t="shared" si="12"/>
        <v>0</v>
      </c>
      <c r="K218" s="479"/>
      <c r="L218" s="480"/>
      <c r="M218" s="64">
        <f t="shared" si="13"/>
        <v>0</v>
      </c>
      <c r="N218" s="90">
        <f t="shared" si="14"/>
        <v>0</v>
      </c>
      <c r="O218" s="139">
        <f t="shared" si="15"/>
        <v>0</v>
      </c>
      <c r="P218" s="481"/>
      <c r="Q218" s="1770"/>
      <c r="R218" s="1771"/>
      <c r="S218" s="1772"/>
    </row>
    <row r="219" spans="1:19" s="85" customFormat="1" ht="13">
      <c r="A219" s="472"/>
      <c r="B219" s="473"/>
      <c r="C219" s="474"/>
      <c r="D219" s="474"/>
      <c r="E219" s="475"/>
      <c r="F219" s="476"/>
      <c r="G219" s="476"/>
      <c r="H219" s="477"/>
      <c r="I219" s="478"/>
      <c r="J219" s="89">
        <f t="shared" si="12"/>
        <v>0</v>
      </c>
      <c r="K219" s="479"/>
      <c r="L219" s="480"/>
      <c r="M219" s="64">
        <f t="shared" si="13"/>
        <v>0</v>
      </c>
      <c r="N219" s="90">
        <f t="shared" si="14"/>
        <v>0</v>
      </c>
      <c r="O219" s="139">
        <f t="shared" si="15"/>
        <v>0</v>
      </c>
      <c r="P219" s="481"/>
      <c r="Q219" s="1770"/>
      <c r="R219" s="1771"/>
      <c r="S219" s="1772"/>
    </row>
    <row r="220" spans="1:19" s="85" customFormat="1" ht="13">
      <c r="A220" s="472"/>
      <c r="B220" s="473"/>
      <c r="C220" s="474"/>
      <c r="D220" s="474"/>
      <c r="E220" s="475"/>
      <c r="F220" s="476"/>
      <c r="G220" s="476"/>
      <c r="H220" s="477"/>
      <c r="I220" s="478"/>
      <c r="J220" s="89">
        <f t="shared" si="12"/>
        <v>0</v>
      </c>
      <c r="K220" s="479"/>
      <c r="L220" s="480"/>
      <c r="M220" s="64">
        <f t="shared" si="13"/>
        <v>0</v>
      </c>
      <c r="N220" s="90">
        <f t="shared" si="14"/>
        <v>0</v>
      </c>
      <c r="O220" s="139">
        <f t="shared" si="15"/>
        <v>0</v>
      </c>
      <c r="P220" s="481"/>
      <c r="Q220" s="1770"/>
      <c r="R220" s="1771"/>
      <c r="S220" s="1772"/>
    </row>
    <row r="221" spans="1:19" s="85" customFormat="1" ht="13">
      <c r="A221" s="472"/>
      <c r="B221" s="473"/>
      <c r="C221" s="474"/>
      <c r="D221" s="474"/>
      <c r="E221" s="475"/>
      <c r="F221" s="476"/>
      <c r="G221" s="476"/>
      <c r="H221" s="477"/>
      <c r="I221" s="478"/>
      <c r="J221" s="89">
        <f t="shared" si="12"/>
        <v>0</v>
      </c>
      <c r="K221" s="479"/>
      <c r="L221" s="480"/>
      <c r="M221" s="64">
        <f t="shared" si="13"/>
        <v>0</v>
      </c>
      <c r="N221" s="90">
        <f t="shared" si="14"/>
        <v>0</v>
      </c>
      <c r="O221" s="139">
        <f t="shared" si="15"/>
        <v>0</v>
      </c>
      <c r="P221" s="481"/>
      <c r="Q221" s="1770"/>
      <c r="R221" s="1771"/>
      <c r="S221" s="1772"/>
    </row>
    <row r="222" spans="1:19" s="85" customFormat="1" ht="13">
      <c r="A222" s="472"/>
      <c r="B222" s="473"/>
      <c r="C222" s="474"/>
      <c r="D222" s="474"/>
      <c r="E222" s="475"/>
      <c r="F222" s="476"/>
      <c r="G222" s="476"/>
      <c r="H222" s="477"/>
      <c r="I222" s="478"/>
      <c r="J222" s="89">
        <f t="shared" si="12"/>
        <v>0</v>
      </c>
      <c r="K222" s="479"/>
      <c r="L222" s="480"/>
      <c r="M222" s="64">
        <f t="shared" si="13"/>
        <v>0</v>
      </c>
      <c r="N222" s="90">
        <f t="shared" si="14"/>
        <v>0</v>
      </c>
      <c r="O222" s="139">
        <f t="shared" si="15"/>
        <v>0</v>
      </c>
      <c r="P222" s="481"/>
      <c r="Q222" s="1770"/>
      <c r="R222" s="1771"/>
      <c r="S222" s="1772"/>
    </row>
    <row r="223" spans="1:19" s="85" customFormat="1" ht="13">
      <c r="A223" s="472"/>
      <c r="B223" s="473"/>
      <c r="C223" s="474"/>
      <c r="D223" s="474"/>
      <c r="E223" s="475"/>
      <c r="F223" s="476"/>
      <c r="G223" s="476"/>
      <c r="H223" s="477"/>
      <c r="I223" s="478"/>
      <c r="J223" s="89">
        <f t="shared" si="12"/>
        <v>0</v>
      </c>
      <c r="K223" s="479"/>
      <c r="L223" s="480"/>
      <c r="M223" s="64">
        <f t="shared" si="13"/>
        <v>0</v>
      </c>
      <c r="N223" s="90">
        <f t="shared" si="14"/>
        <v>0</v>
      </c>
      <c r="O223" s="139">
        <f t="shared" si="15"/>
        <v>0</v>
      </c>
      <c r="P223" s="481"/>
      <c r="Q223" s="1770"/>
      <c r="R223" s="1771"/>
      <c r="S223" s="1772"/>
    </row>
    <row r="224" spans="1:19" s="85" customFormat="1" ht="13">
      <c r="A224" s="472"/>
      <c r="B224" s="473"/>
      <c r="C224" s="474"/>
      <c r="D224" s="474"/>
      <c r="E224" s="475"/>
      <c r="F224" s="476"/>
      <c r="G224" s="476"/>
      <c r="H224" s="477"/>
      <c r="I224" s="478"/>
      <c r="J224" s="89">
        <f t="shared" si="12"/>
        <v>0</v>
      </c>
      <c r="K224" s="479"/>
      <c r="L224" s="480"/>
      <c r="M224" s="64">
        <f t="shared" si="13"/>
        <v>0</v>
      </c>
      <c r="N224" s="90">
        <f t="shared" si="14"/>
        <v>0</v>
      </c>
      <c r="O224" s="139">
        <f t="shared" si="15"/>
        <v>0</v>
      </c>
      <c r="P224" s="481"/>
      <c r="Q224" s="1770"/>
      <c r="R224" s="1771"/>
      <c r="S224" s="1772"/>
    </row>
    <row r="225" spans="1:19" s="85" customFormat="1" ht="13">
      <c r="A225" s="472"/>
      <c r="B225" s="473"/>
      <c r="C225" s="474"/>
      <c r="D225" s="474"/>
      <c r="E225" s="475"/>
      <c r="F225" s="476"/>
      <c r="G225" s="476"/>
      <c r="H225" s="477"/>
      <c r="I225" s="478"/>
      <c r="J225" s="89">
        <f t="shared" si="12"/>
        <v>0</v>
      </c>
      <c r="K225" s="479"/>
      <c r="L225" s="480"/>
      <c r="M225" s="64">
        <f t="shared" si="13"/>
        <v>0</v>
      </c>
      <c r="N225" s="90">
        <f t="shared" si="14"/>
        <v>0</v>
      </c>
      <c r="O225" s="139">
        <f t="shared" si="15"/>
        <v>0</v>
      </c>
      <c r="P225" s="481"/>
      <c r="Q225" s="1770"/>
      <c r="R225" s="1771"/>
      <c r="S225" s="1772"/>
    </row>
    <row r="226" spans="1:19" s="85" customFormat="1" ht="13">
      <c r="A226" s="472"/>
      <c r="B226" s="473"/>
      <c r="C226" s="474"/>
      <c r="D226" s="474"/>
      <c r="E226" s="475"/>
      <c r="F226" s="476"/>
      <c r="G226" s="476"/>
      <c r="H226" s="477"/>
      <c r="I226" s="478"/>
      <c r="J226" s="89">
        <f t="shared" si="12"/>
        <v>0</v>
      </c>
      <c r="K226" s="479"/>
      <c r="L226" s="480"/>
      <c r="M226" s="64">
        <f t="shared" si="13"/>
        <v>0</v>
      </c>
      <c r="N226" s="90">
        <f t="shared" si="14"/>
        <v>0</v>
      </c>
      <c r="O226" s="139">
        <f t="shared" si="15"/>
        <v>0</v>
      </c>
      <c r="P226" s="481"/>
      <c r="Q226" s="1770"/>
      <c r="R226" s="1771"/>
      <c r="S226" s="1772"/>
    </row>
    <row r="227" spans="1:19" s="85" customFormat="1" ht="13">
      <c r="A227" s="472"/>
      <c r="B227" s="473"/>
      <c r="C227" s="474"/>
      <c r="D227" s="474"/>
      <c r="E227" s="475"/>
      <c r="F227" s="476"/>
      <c r="G227" s="476"/>
      <c r="H227" s="477"/>
      <c r="I227" s="478"/>
      <c r="J227" s="89">
        <f t="shared" si="12"/>
        <v>0</v>
      </c>
      <c r="K227" s="479"/>
      <c r="L227" s="480"/>
      <c r="M227" s="64">
        <f t="shared" si="13"/>
        <v>0</v>
      </c>
      <c r="N227" s="90">
        <f t="shared" si="14"/>
        <v>0</v>
      </c>
      <c r="O227" s="139">
        <f t="shared" si="15"/>
        <v>0</v>
      </c>
      <c r="P227" s="481"/>
      <c r="Q227" s="1770"/>
      <c r="R227" s="1771"/>
      <c r="S227" s="1772"/>
    </row>
    <row r="228" spans="1:19" s="85" customFormat="1" ht="13">
      <c r="A228" s="472"/>
      <c r="B228" s="473"/>
      <c r="C228" s="474"/>
      <c r="D228" s="474"/>
      <c r="E228" s="475"/>
      <c r="F228" s="476"/>
      <c r="G228" s="476"/>
      <c r="H228" s="477"/>
      <c r="I228" s="478"/>
      <c r="J228" s="89">
        <f t="shared" si="12"/>
        <v>0</v>
      </c>
      <c r="K228" s="479"/>
      <c r="L228" s="480"/>
      <c r="M228" s="64">
        <f t="shared" si="13"/>
        <v>0</v>
      </c>
      <c r="N228" s="90">
        <f t="shared" si="14"/>
        <v>0</v>
      </c>
      <c r="O228" s="139">
        <f t="shared" si="15"/>
        <v>0</v>
      </c>
      <c r="P228" s="481"/>
      <c r="Q228" s="1770"/>
      <c r="R228" s="1771"/>
      <c r="S228" s="1772"/>
    </row>
    <row r="229" spans="1:19" s="85" customFormat="1" ht="13">
      <c r="A229" s="472"/>
      <c r="B229" s="473"/>
      <c r="C229" s="474"/>
      <c r="D229" s="474"/>
      <c r="E229" s="475"/>
      <c r="F229" s="476"/>
      <c r="G229" s="476"/>
      <c r="H229" s="477"/>
      <c r="I229" s="478"/>
      <c r="J229" s="89">
        <f t="shared" si="12"/>
        <v>0</v>
      </c>
      <c r="K229" s="479"/>
      <c r="L229" s="480"/>
      <c r="M229" s="64">
        <f t="shared" si="13"/>
        <v>0</v>
      </c>
      <c r="N229" s="90">
        <f t="shared" si="14"/>
        <v>0</v>
      </c>
      <c r="O229" s="139">
        <f t="shared" si="15"/>
        <v>0</v>
      </c>
      <c r="P229" s="481"/>
      <c r="Q229" s="1770"/>
      <c r="R229" s="1771"/>
      <c r="S229" s="1772"/>
    </row>
    <row r="230" spans="1:19" s="85" customFormat="1" ht="13">
      <c r="A230" s="472"/>
      <c r="B230" s="473"/>
      <c r="C230" s="474"/>
      <c r="D230" s="474"/>
      <c r="E230" s="475"/>
      <c r="F230" s="476"/>
      <c r="G230" s="476"/>
      <c r="H230" s="477"/>
      <c r="I230" s="478"/>
      <c r="J230" s="89">
        <f t="shared" si="12"/>
        <v>0</v>
      </c>
      <c r="K230" s="479"/>
      <c r="L230" s="480"/>
      <c r="M230" s="64">
        <f t="shared" si="13"/>
        <v>0</v>
      </c>
      <c r="N230" s="90">
        <f t="shared" si="14"/>
        <v>0</v>
      </c>
      <c r="O230" s="139">
        <f t="shared" si="15"/>
        <v>0</v>
      </c>
      <c r="P230" s="481"/>
      <c r="Q230" s="1770"/>
      <c r="R230" s="1771"/>
      <c r="S230" s="1772"/>
    </row>
    <row r="231" spans="1:19" s="85" customFormat="1" ht="13">
      <c r="A231" s="472"/>
      <c r="B231" s="473"/>
      <c r="C231" s="474"/>
      <c r="D231" s="474"/>
      <c r="E231" s="475"/>
      <c r="F231" s="476"/>
      <c r="G231" s="476"/>
      <c r="H231" s="477"/>
      <c r="I231" s="478"/>
      <c r="J231" s="89">
        <f t="shared" si="12"/>
        <v>0</v>
      </c>
      <c r="K231" s="479"/>
      <c r="L231" s="480"/>
      <c r="M231" s="64">
        <f t="shared" si="13"/>
        <v>0</v>
      </c>
      <c r="N231" s="90">
        <f t="shared" si="14"/>
        <v>0</v>
      </c>
      <c r="O231" s="139">
        <f t="shared" si="15"/>
        <v>0</v>
      </c>
      <c r="P231" s="481"/>
      <c r="Q231" s="1770"/>
      <c r="R231" s="1771"/>
      <c r="S231" s="1772"/>
    </row>
    <row r="232" spans="1:19" s="85" customFormat="1" ht="13">
      <c r="A232" s="472"/>
      <c r="B232" s="473"/>
      <c r="C232" s="474"/>
      <c r="D232" s="474"/>
      <c r="E232" s="475"/>
      <c r="F232" s="476"/>
      <c r="G232" s="476"/>
      <c r="H232" s="477"/>
      <c r="I232" s="478"/>
      <c r="J232" s="89">
        <f t="shared" si="12"/>
        <v>0</v>
      </c>
      <c r="K232" s="479"/>
      <c r="L232" s="480"/>
      <c r="M232" s="64">
        <f t="shared" si="13"/>
        <v>0</v>
      </c>
      <c r="N232" s="90">
        <f t="shared" si="14"/>
        <v>0</v>
      </c>
      <c r="O232" s="139">
        <f t="shared" si="15"/>
        <v>0</v>
      </c>
      <c r="P232" s="481"/>
      <c r="Q232" s="1770"/>
      <c r="R232" s="1771"/>
      <c r="S232" s="1772"/>
    </row>
    <row r="233" spans="1:19" s="85" customFormat="1" ht="13">
      <c r="A233" s="472"/>
      <c r="B233" s="473"/>
      <c r="C233" s="474"/>
      <c r="D233" s="474"/>
      <c r="E233" s="475"/>
      <c r="F233" s="476"/>
      <c r="G233" s="476"/>
      <c r="H233" s="477"/>
      <c r="I233" s="478"/>
      <c r="J233" s="89">
        <f t="shared" si="12"/>
        <v>0</v>
      </c>
      <c r="K233" s="479"/>
      <c r="L233" s="480"/>
      <c r="M233" s="64">
        <f t="shared" si="13"/>
        <v>0</v>
      </c>
      <c r="N233" s="90">
        <f t="shared" si="14"/>
        <v>0</v>
      </c>
      <c r="O233" s="139">
        <f t="shared" si="15"/>
        <v>0</v>
      </c>
      <c r="P233" s="481"/>
      <c r="Q233" s="1770"/>
      <c r="R233" s="1771"/>
      <c r="S233" s="1772"/>
    </row>
    <row r="234" spans="1:19" s="85" customFormat="1" ht="13">
      <c r="A234" s="472"/>
      <c r="B234" s="473"/>
      <c r="C234" s="474"/>
      <c r="D234" s="474"/>
      <c r="E234" s="475"/>
      <c r="F234" s="476"/>
      <c r="G234" s="476"/>
      <c r="H234" s="477"/>
      <c r="I234" s="478"/>
      <c r="J234" s="89">
        <f t="shared" si="12"/>
        <v>0</v>
      </c>
      <c r="K234" s="479"/>
      <c r="L234" s="480"/>
      <c r="M234" s="64">
        <f t="shared" si="13"/>
        <v>0</v>
      </c>
      <c r="N234" s="90">
        <f t="shared" si="14"/>
        <v>0</v>
      </c>
      <c r="O234" s="139">
        <f t="shared" si="15"/>
        <v>0</v>
      </c>
      <c r="P234" s="481"/>
      <c r="Q234" s="1770"/>
      <c r="R234" s="1771"/>
      <c r="S234" s="1772"/>
    </row>
    <row r="235" spans="1:19" s="85" customFormat="1" ht="13">
      <c r="A235" s="472"/>
      <c r="B235" s="473"/>
      <c r="C235" s="474"/>
      <c r="D235" s="474"/>
      <c r="E235" s="475"/>
      <c r="F235" s="476"/>
      <c r="G235" s="476"/>
      <c r="H235" s="477"/>
      <c r="I235" s="478"/>
      <c r="J235" s="89">
        <f t="shared" si="12"/>
        <v>0</v>
      </c>
      <c r="K235" s="479"/>
      <c r="L235" s="480"/>
      <c r="M235" s="64">
        <f t="shared" si="13"/>
        <v>0</v>
      </c>
      <c r="N235" s="90">
        <f t="shared" si="14"/>
        <v>0</v>
      </c>
      <c r="O235" s="139">
        <f t="shared" si="15"/>
        <v>0</v>
      </c>
      <c r="P235" s="481"/>
      <c r="Q235" s="1770"/>
      <c r="R235" s="1771"/>
      <c r="S235" s="1772"/>
    </row>
    <row r="236" spans="1:19" s="85" customFormat="1" ht="13">
      <c r="A236" s="472"/>
      <c r="B236" s="473"/>
      <c r="C236" s="474"/>
      <c r="D236" s="474"/>
      <c r="E236" s="475"/>
      <c r="F236" s="476"/>
      <c r="G236" s="476"/>
      <c r="H236" s="477"/>
      <c r="I236" s="478"/>
      <c r="J236" s="89">
        <f t="shared" si="12"/>
        <v>0</v>
      </c>
      <c r="K236" s="479"/>
      <c r="L236" s="480"/>
      <c r="M236" s="64">
        <f t="shared" si="13"/>
        <v>0</v>
      </c>
      <c r="N236" s="90">
        <f t="shared" si="14"/>
        <v>0</v>
      </c>
      <c r="O236" s="139">
        <f t="shared" si="15"/>
        <v>0</v>
      </c>
      <c r="P236" s="481"/>
      <c r="Q236" s="1770"/>
      <c r="R236" s="1771"/>
      <c r="S236" s="1772"/>
    </row>
    <row r="237" spans="1:19" s="85" customFormat="1" ht="13">
      <c r="A237" s="472"/>
      <c r="B237" s="473"/>
      <c r="C237" s="474"/>
      <c r="D237" s="474"/>
      <c r="E237" s="475"/>
      <c r="F237" s="476"/>
      <c r="G237" s="476"/>
      <c r="H237" s="477"/>
      <c r="I237" s="478"/>
      <c r="J237" s="89">
        <f t="shared" si="12"/>
        <v>0</v>
      </c>
      <c r="K237" s="479"/>
      <c r="L237" s="480"/>
      <c r="M237" s="64">
        <f t="shared" si="13"/>
        <v>0</v>
      </c>
      <c r="N237" s="90">
        <f t="shared" si="14"/>
        <v>0</v>
      </c>
      <c r="O237" s="139">
        <f t="shared" si="15"/>
        <v>0</v>
      </c>
      <c r="P237" s="481"/>
      <c r="Q237" s="1770"/>
      <c r="R237" s="1771"/>
      <c r="S237" s="1772"/>
    </row>
    <row r="238" spans="1:19" s="85" customFormat="1" ht="13">
      <c r="A238" s="472"/>
      <c r="B238" s="473"/>
      <c r="C238" s="474"/>
      <c r="D238" s="474"/>
      <c r="E238" s="475"/>
      <c r="F238" s="476"/>
      <c r="G238" s="476"/>
      <c r="H238" s="477"/>
      <c r="I238" s="478"/>
      <c r="J238" s="89">
        <f t="shared" si="12"/>
        <v>0</v>
      </c>
      <c r="K238" s="479"/>
      <c r="L238" s="480"/>
      <c r="M238" s="64">
        <f t="shared" si="13"/>
        <v>0</v>
      </c>
      <c r="N238" s="90">
        <f t="shared" si="14"/>
        <v>0</v>
      </c>
      <c r="O238" s="139">
        <f t="shared" si="15"/>
        <v>0</v>
      </c>
      <c r="P238" s="481"/>
      <c r="Q238" s="1770"/>
      <c r="R238" s="1771"/>
      <c r="S238" s="1772"/>
    </row>
    <row r="239" spans="1:19" s="85" customFormat="1" ht="13">
      <c r="A239" s="472"/>
      <c r="B239" s="473"/>
      <c r="C239" s="474"/>
      <c r="D239" s="474"/>
      <c r="E239" s="475"/>
      <c r="F239" s="476"/>
      <c r="G239" s="476"/>
      <c r="H239" s="477"/>
      <c r="I239" s="478"/>
      <c r="J239" s="89">
        <f t="shared" si="12"/>
        <v>0</v>
      </c>
      <c r="K239" s="479"/>
      <c r="L239" s="480"/>
      <c r="M239" s="64">
        <f t="shared" si="13"/>
        <v>0</v>
      </c>
      <c r="N239" s="90">
        <f t="shared" si="14"/>
        <v>0</v>
      </c>
      <c r="O239" s="139">
        <f t="shared" si="15"/>
        <v>0</v>
      </c>
      <c r="P239" s="481"/>
      <c r="Q239" s="1770"/>
      <c r="R239" s="1771"/>
      <c r="S239" s="1772"/>
    </row>
    <row r="240" spans="1:19" s="85" customFormat="1" ht="13">
      <c r="A240" s="472"/>
      <c r="B240" s="473"/>
      <c r="C240" s="474"/>
      <c r="D240" s="474"/>
      <c r="E240" s="475"/>
      <c r="F240" s="476"/>
      <c r="G240" s="476"/>
      <c r="H240" s="477"/>
      <c r="I240" s="478"/>
      <c r="J240" s="89">
        <f t="shared" si="12"/>
        <v>0</v>
      </c>
      <c r="K240" s="479"/>
      <c r="L240" s="480"/>
      <c r="M240" s="64">
        <f t="shared" si="13"/>
        <v>0</v>
      </c>
      <c r="N240" s="90">
        <f t="shared" si="14"/>
        <v>0</v>
      </c>
      <c r="O240" s="139">
        <f t="shared" si="15"/>
        <v>0</v>
      </c>
      <c r="P240" s="481"/>
      <c r="Q240" s="1770"/>
      <c r="R240" s="1771"/>
      <c r="S240" s="1772"/>
    </row>
    <row r="241" spans="1:19" s="85" customFormat="1" ht="13">
      <c r="A241" s="472"/>
      <c r="B241" s="473"/>
      <c r="C241" s="474"/>
      <c r="D241" s="474"/>
      <c r="E241" s="475"/>
      <c r="F241" s="476"/>
      <c r="G241" s="476"/>
      <c r="H241" s="477"/>
      <c r="I241" s="478"/>
      <c r="J241" s="89">
        <f t="shared" si="12"/>
        <v>0</v>
      </c>
      <c r="K241" s="479"/>
      <c r="L241" s="480"/>
      <c r="M241" s="64">
        <f t="shared" si="13"/>
        <v>0</v>
      </c>
      <c r="N241" s="90">
        <f t="shared" si="14"/>
        <v>0</v>
      </c>
      <c r="O241" s="139">
        <f t="shared" si="15"/>
        <v>0</v>
      </c>
      <c r="P241" s="481"/>
      <c r="Q241" s="1770"/>
      <c r="R241" s="1771"/>
      <c r="S241" s="1772"/>
    </row>
    <row r="242" spans="1:19" s="85" customFormat="1" ht="13">
      <c r="A242" s="472"/>
      <c r="B242" s="473"/>
      <c r="C242" s="474"/>
      <c r="D242" s="474"/>
      <c r="E242" s="475"/>
      <c r="F242" s="476"/>
      <c r="G242" s="476"/>
      <c r="H242" s="477"/>
      <c r="I242" s="478"/>
      <c r="J242" s="89">
        <f t="shared" si="12"/>
        <v>0</v>
      </c>
      <c r="K242" s="479"/>
      <c r="L242" s="480"/>
      <c r="M242" s="64">
        <f t="shared" si="13"/>
        <v>0</v>
      </c>
      <c r="N242" s="90">
        <f t="shared" si="14"/>
        <v>0</v>
      </c>
      <c r="O242" s="139">
        <f t="shared" si="15"/>
        <v>0</v>
      </c>
      <c r="P242" s="481"/>
      <c r="Q242" s="1770"/>
      <c r="R242" s="1771"/>
      <c r="S242" s="1772"/>
    </row>
    <row r="243" spans="1:19" s="85" customFormat="1" ht="13">
      <c r="A243" s="472"/>
      <c r="B243" s="473"/>
      <c r="C243" s="474"/>
      <c r="D243" s="474"/>
      <c r="E243" s="475"/>
      <c r="F243" s="476"/>
      <c r="G243" s="476"/>
      <c r="H243" s="477"/>
      <c r="I243" s="478"/>
      <c r="J243" s="89">
        <f t="shared" si="12"/>
        <v>0</v>
      </c>
      <c r="K243" s="479"/>
      <c r="L243" s="480"/>
      <c r="M243" s="64">
        <f t="shared" si="13"/>
        <v>0</v>
      </c>
      <c r="N243" s="90">
        <f t="shared" si="14"/>
        <v>0</v>
      </c>
      <c r="O243" s="139">
        <f t="shared" si="15"/>
        <v>0</v>
      </c>
      <c r="P243" s="481"/>
      <c r="Q243" s="1770"/>
      <c r="R243" s="1771"/>
      <c r="S243" s="1772"/>
    </row>
    <row r="244" spans="1:19" s="85" customFormat="1" ht="13">
      <c r="A244" s="472"/>
      <c r="B244" s="473"/>
      <c r="C244" s="474"/>
      <c r="D244" s="474"/>
      <c r="E244" s="475"/>
      <c r="F244" s="476"/>
      <c r="G244" s="476"/>
      <c r="H244" s="477"/>
      <c r="I244" s="478"/>
      <c r="J244" s="89">
        <f t="shared" si="12"/>
        <v>0</v>
      </c>
      <c r="K244" s="479"/>
      <c r="L244" s="480"/>
      <c r="M244" s="64">
        <f t="shared" si="13"/>
        <v>0</v>
      </c>
      <c r="N244" s="90">
        <f t="shared" si="14"/>
        <v>0</v>
      </c>
      <c r="O244" s="139">
        <f t="shared" si="15"/>
        <v>0</v>
      </c>
      <c r="P244" s="481"/>
      <c r="Q244" s="1770"/>
      <c r="R244" s="1771"/>
      <c r="S244" s="1772"/>
    </row>
    <row r="245" spans="1:19" s="85" customFormat="1" ht="13">
      <c r="A245" s="472"/>
      <c r="B245" s="473"/>
      <c r="C245" s="474"/>
      <c r="D245" s="474"/>
      <c r="E245" s="475"/>
      <c r="F245" s="476"/>
      <c r="G245" s="476"/>
      <c r="H245" s="477"/>
      <c r="I245" s="478"/>
      <c r="J245" s="89">
        <f t="shared" si="12"/>
        <v>0</v>
      </c>
      <c r="K245" s="479"/>
      <c r="L245" s="480"/>
      <c r="M245" s="64">
        <f t="shared" si="13"/>
        <v>0</v>
      </c>
      <c r="N245" s="90">
        <f t="shared" si="14"/>
        <v>0</v>
      </c>
      <c r="O245" s="139">
        <f t="shared" si="15"/>
        <v>0</v>
      </c>
      <c r="P245" s="481"/>
      <c r="Q245" s="1770"/>
      <c r="R245" s="1771"/>
      <c r="S245" s="1772"/>
    </row>
    <row r="246" spans="1:19" s="85" customFormat="1" ht="13">
      <c r="A246" s="472"/>
      <c r="B246" s="473"/>
      <c r="C246" s="474"/>
      <c r="D246" s="474"/>
      <c r="E246" s="475"/>
      <c r="F246" s="476"/>
      <c r="G246" s="476"/>
      <c r="H246" s="477"/>
      <c r="I246" s="478"/>
      <c r="J246" s="89">
        <f t="shared" si="12"/>
        <v>0</v>
      </c>
      <c r="K246" s="479"/>
      <c r="L246" s="480"/>
      <c r="M246" s="64">
        <f t="shared" si="13"/>
        <v>0</v>
      </c>
      <c r="N246" s="90">
        <f t="shared" si="14"/>
        <v>0</v>
      </c>
      <c r="O246" s="139">
        <f t="shared" si="15"/>
        <v>0</v>
      </c>
      <c r="P246" s="481"/>
      <c r="Q246" s="1770"/>
      <c r="R246" s="1771"/>
      <c r="S246" s="1772"/>
    </row>
    <row r="247" spans="1:19" s="85" customFormat="1" ht="13">
      <c r="A247" s="472"/>
      <c r="B247" s="473"/>
      <c r="C247" s="474"/>
      <c r="D247" s="474"/>
      <c r="E247" s="475"/>
      <c r="F247" s="476"/>
      <c r="G247" s="476"/>
      <c r="H247" s="477"/>
      <c r="I247" s="478"/>
      <c r="J247" s="89">
        <f t="shared" si="12"/>
        <v>0</v>
      </c>
      <c r="K247" s="479"/>
      <c r="L247" s="480"/>
      <c r="M247" s="64">
        <f t="shared" si="13"/>
        <v>0</v>
      </c>
      <c r="N247" s="90">
        <f t="shared" si="14"/>
        <v>0</v>
      </c>
      <c r="O247" s="139">
        <f t="shared" si="15"/>
        <v>0</v>
      </c>
      <c r="P247" s="481"/>
      <c r="Q247" s="1770"/>
      <c r="R247" s="1771"/>
      <c r="S247" s="1772"/>
    </row>
    <row r="248" spans="1:19" s="85" customFormat="1" ht="13">
      <c r="A248" s="472"/>
      <c r="B248" s="473"/>
      <c r="C248" s="474"/>
      <c r="D248" s="474"/>
      <c r="E248" s="475"/>
      <c r="F248" s="476"/>
      <c r="G248" s="476"/>
      <c r="H248" s="477"/>
      <c r="I248" s="478"/>
      <c r="J248" s="89">
        <f t="shared" si="12"/>
        <v>0</v>
      </c>
      <c r="K248" s="479"/>
      <c r="L248" s="480"/>
      <c r="M248" s="64">
        <f t="shared" si="13"/>
        <v>0</v>
      </c>
      <c r="N248" s="90">
        <f t="shared" si="14"/>
        <v>0</v>
      </c>
      <c r="O248" s="139">
        <f t="shared" si="15"/>
        <v>0</v>
      </c>
      <c r="P248" s="481"/>
      <c r="Q248" s="1770"/>
      <c r="R248" s="1771"/>
      <c r="S248" s="1772"/>
    </row>
    <row r="249" spans="1:19" s="85" customFormat="1" ht="13">
      <c r="A249" s="472"/>
      <c r="B249" s="473"/>
      <c r="C249" s="474"/>
      <c r="D249" s="474"/>
      <c r="E249" s="475"/>
      <c r="F249" s="476"/>
      <c r="G249" s="476"/>
      <c r="H249" s="477"/>
      <c r="I249" s="478"/>
      <c r="J249" s="89">
        <f t="shared" si="12"/>
        <v>0</v>
      </c>
      <c r="K249" s="479"/>
      <c r="L249" s="480"/>
      <c r="M249" s="64">
        <f t="shared" si="13"/>
        <v>0</v>
      </c>
      <c r="N249" s="90">
        <f t="shared" si="14"/>
        <v>0</v>
      </c>
      <c r="O249" s="139">
        <f t="shared" si="15"/>
        <v>0</v>
      </c>
      <c r="P249" s="481"/>
      <c r="Q249" s="1770"/>
      <c r="R249" s="1771"/>
      <c r="S249" s="1772"/>
    </row>
    <row r="250" spans="1:19" s="85" customFormat="1" ht="13">
      <c r="A250" s="472"/>
      <c r="B250" s="473"/>
      <c r="C250" s="474"/>
      <c r="D250" s="474"/>
      <c r="E250" s="475"/>
      <c r="F250" s="476"/>
      <c r="G250" s="476"/>
      <c r="H250" s="477"/>
      <c r="I250" s="478"/>
      <c r="J250" s="89">
        <f t="shared" si="12"/>
        <v>0</v>
      </c>
      <c r="K250" s="479"/>
      <c r="L250" s="480"/>
      <c r="M250" s="64">
        <f t="shared" si="13"/>
        <v>0</v>
      </c>
      <c r="N250" s="90">
        <f t="shared" si="14"/>
        <v>0</v>
      </c>
      <c r="O250" s="139">
        <f t="shared" si="15"/>
        <v>0</v>
      </c>
      <c r="P250" s="481"/>
      <c r="Q250" s="1770"/>
      <c r="R250" s="1771"/>
      <c r="S250" s="1772"/>
    </row>
    <row r="251" spans="1:19" s="85" customFormat="1" ht="13">
      <c r="A251" s="472"/>
      <c r="B251" s="473"/>
      <c r="C251" s="474"/>
      <c r="D251" s="474"/>
      <c r="E251" s="475"/>
      <c r="F251" s="476"/>
      <c r="G251" s="476"/>
      <c r="H251" s="477"/>
      <c r="I251" s="478"/>
      <c r="J251" s="89">
        <f t="shared" si="12"/>
        <v>0</v>
      </c>
      <c r="K251" s="479"/>
      <c r="L251" s="480"/>
      <c r="M251" s="64">
        <f t="shared" si="13"/>
        <v>0</v>
      </c>
      <c r="N251" s="90">
        <f t="shared" si="14"/>
        <v>0</v>
      </c>
      <c r="O251" s="139">
        <f t="shared" si="15"/>
        <v>0</v>
      </c>
      <c r="P251" s="481"/>
      <c r="Q251" s="1770"/>
      <c r="R251" s="1771"/>
      <c r="S251" s="1772"/>
    </row>
    <row r="252" spans="1:19" s="85" customFormat="1" ht="13">
      <c r="A252" s="472"/>
      <c r="B252" s="473"/>
      <c r="C252" s="474"/>
      <c r="D252" s="474"/>
      <c r="E252" s="475"/>
      <c r="F252" s="476"/>
      <c r="G252" s="476"/>
      <c r="H252" s="477"/>
      <c r="I252" s="478"/>
      <c r="J252" s="89">
        <f t="shared" si="12"/>
        <v>0</v>
      </c>
      <c r="K252" s="479"/>
      <c r="L252" s="480"/>
      <c r="M252" s="64">
        <f t="shared" si="13"/>
        <v>0</v>
      </c>
      <c r="N252" s="90">
        <f t="shared" si="14"/>
        <v>0</v>
      </c>
      <c r="O252" s="139">
        <f t="shared" si="15"/>
        <v>0</v>
      </c>
      <c r="P252" s="481"/>
      <c r="Q252" s="1770"/>
      <c r="R252" s="1771"/>
      <c r="S252" s="1772"/>
    </row>
    <row r="253" spans="1:19" s="85" customFormat="1" ht="13">
      <c r="A253" s="472"/>
      <c r="B253" s="473"/>
      <c r="C253" s="474"/>
      <c r="D253" s="474"/>
      <c r="E253" s="475"/>
      <c r="F253" s="476"/>
      <c r="G253" s="476"/>
      <c r="H253" s="477"/>
      <c r="I253" s="478"/>
      <c r="J253" s="89">
        <f t="shared" si="12"/>
        <v>0</v>
      </c>
      <c r="K253" s="479"/>
      <c r="L253" s="480"/>
      <c r="M253" s="64">
        <f t="shared" si="13"/>
        <v>0</v>
      </c>
      <c r="N253" s="90">
        <f t="shared" si="14"/>
        <v>0</v>
      </c>
      <c r="O253" s="139">
        <f t="shared" si="15"/>
        <v>0</v>
      </c>
      <c r="P253" s="481"/>
      <c r="Q253" s="1770"/>
      <c r="R253" s="1771"/>
      <c r="S253" s="1772"/>
    </row>
    <row r="254" spans="1:19" s="85" customFormat="1" ht="13">
      <c r="A254" s="472"/>
      <c r="B254" s="473"/>
      <c r="C254" s="474"/>
      <c r="D254" s="474"/>
      <c r="E254" s="475"/>
      <c r="F254" s="476"/>
      <c r="G254" s="476"/>
      <c r="H254" s="477"/>
      <c r="I254" s="478"/>
      <c r="J254" s="89">
        <f t="shared" si="12"/>
        <v>0</v>
      </c>
      <c r="K254" s="479"/>
      <c r="L254" s="480"/>
      <c r="M254" s="64">
        <f t="shared" si="13"/>
        <v>0</v>
      </c>
      <c r="N254" s="90">
        <f t="shared" si="14"/>
        <v>0</v>
      </c>
      <c r="O254" s="139">
        <f t="shared" si="15"/>
        <v>0</v>
      </c>
      <c r="P254" s="481"/>
      <c r="Q254" s="1770"/>
      <c r="R254" s="1771"/>
      <c r="S254" s="1772"/>
    </row>
    <row r="255" spans="1:19" s="85" customFormat="1" ht="13">
      <c r="A255" s="472"/>
      <c r="B255" s="473"/>
      <c r="C255" s="474"/>
      <c r="D255" s="474"/>
      <c r="E255" s="475"/>
      <c r="F255" s="476"/>
      <c r="G255" s="476"/>
      <c r="H255" s="477"/>
      <c r="I255" s="478"/>
      <c r="J255" s="89">
        <f t="shared" si="12"/>
        <v>0</v>
      </c>
      <c r="K255" s="479"/>
      <c r="L255" s="480"/>
      <c r="M255" s="64">
        <f t="shared" si="13"/>
        <v>0</v>
      </c>
      <c r="N255" s="90">
        <f t="shared" si="14"/>
        <v>0</v>
      </c>
      <c r="O255" s="139">
        <f t="shared" si="15"/>
        <v>0</v>
      </c>
      <c r="P255" s="481"/>
      <c r="Q255" s="1770"/>
      <c r="R255" s="1771"/>
      <c r="S255" s="1772"/>
    </row>
    <row r="256" spans="1:19" s="85" customFormat="1" ht="13">
      <c r="A256" s="472"/>
      <c r="B256" s="473"/>
      <c r="C256" s="474"/>
      <c r="D256" s="474"/>
      <c r="E256" s="475"/>
      <c r="F256" s="476"/>
      <c r="G256" s="476"/>
      <c r="H256" s="477"/>
      <c r="I256" s="478"/>
      <c r="J256" s="89">
        <f t="shared" si="12"/>
        <v>0</v>
      </c>
      <c r="K256" s="479"/>
      <c r="L256" s="480"/>
      <c r="M256" s="64">
        <f t="shared" si="13"/>
        <v>0</v>
      </c>
      <c r="N256" s="90">
        <f t="shared" si="14"/>
        <v>0</v>
      </c>
      <c r="O256" s="139">
        <f t="shared" si="15"/>
        <v>0</v>
      </c>
      <c r="P256" s="481"/>
      <c r="Q256" s="1770"/>
      <c r="R256" s="1771"/>
      <c r="S256" s="1772"/>
    </row>
    <row r="257" spans="1:19" s="85" customFormat="1" ht="13">
      <c r="A257" s="472"/>
      <c r="B257" s="473"/>
      <c r="C257" s="474"/>
      <c r="D257" s="474"/>
      <c r="E257" s="475"/>
      <c r="F257" s="476"/>
      <c r="G257" s="476"/>
      <c r="H257" s="477"/>
      <c r="I257" s="478"/>
      <c r="J257" s="89">
        <f t="shared" si="12"/>
        <v>0</v>
      </c>
      <c r="K257" s="479"/>
      <c r="L257" s="480"/>
      <c r="M257" s="64">
        <f t="shared" si="13"/>
        <v>0</v>
      </c>
      <c r="N257" s="90">
        <f t="shared" si="14"/>
        <v>0</v>
      </c>
      <c r="O257" s="139">
        <f t="shared" si="15"/>
        <v>0</v>
      </c>
      <c r="P257" s="481"/>
      <c r="Q257" s="1770"/>
      <c r="R257" s="1771"/>
      <c r="S257" s="1772"/>
    </row>
    <row r="258" spans="1:19" s="85" customFormat="1" ht="13">
      <c r="A258" s="472"/>
      <c r="B258" s="473"/>
      <c r="C258" s="474"/>
      <c r="D258" s="474"/>
      <c r="E258" s="475"/>
      <c r="F258" s="476"/>
      <c r="G258" s="476"/>
      <c r="H258" s="477"/>
      <c r="I258" s="478"/>
      <c r="J258" s="89">
        <f t="shared" si="12"/>
        <v>0</v>
      </c>
      <c r="K258" s="479"/>
      <c r="L258" s="480"/>
      <c r="M258" s="64">
        <f t="shared" si="13"/>
        <v>0</v>
      </c>
      <c r="N258" s="90">
        <f t="shared" si="14"/>
        <v>0</v>
      </c>
      <c r="O258" s="139">
        <f t="shared" si="15"/>
        <v>0</v>
      </c>
      <c r="P258" s="481"/>
      <c r="Q258" s="1770"/>
      <c r="R258" s="1771"/>
      <c r="S258" s="1772"/>
    </row>
    <row r="259" spans="1:19" s="85" customFormat="1" ht="13">
      <c r="A259" s="472"/>
      <c r="B259" s="473"/>
      <c r="C259" s="474"/>
      <c r="D259" s="474"/>
      <c r="E259" s="475"/>
      <c r="F259" s="476"/>
      <c r="G259" s="476"/>
      <c r="H259" s="477"/>
      <c r="I259" s="478"/>
      <c r="J259" s="89">
        <f t="shared" si="12"/>
        <v>0</v>
      </c>
      <c r="K259" s="479"/>
      <c r="L259" s="480"/>
      <c r="M259" s="64">
        <f t="shared" si="13"/>
        <v>0</v>
      </c>
      <c r="N259" s="90">
        <f t="shared" si="14"/>
        <v>0</v>
      </c>
      <c r="O259" s="139">
        <f t="shared" si="15"/>
        <v>0</v>
      </c>
      <c r="P259" s="481"/>
      <c r="Q259" s="1770"/>
      <c r="R259" s="1771"/>
      <c r="S259" s="1772"/>
    </row>
    <row r="260" spans="1:19" s="85" customFormat="1" ht="13">
      <c r="A260" s="472"/>
      <c r="B260" s="473"/>
      <c r="C260" s="474"/>
      <c r="D260" s="474"/>
      <c r="E260" s="475"/>
      <c r="F260" s="476"/>
      <c r="G260" s="476"/>
      <c r="H260" s="477"/>
      <c r="I260" s="478"/>
      <c r="J260" s="89">
        <f t="shared" si="12"/>
        <v>0</v>
      </c>
      <c r="K260" s="479"/>
      <c r="L260" s="480"/>
      <c r="M260" s="64">
        <f t="shared" si="13"/>
        <v>0</v>
      </c>
      <c r="N260" s="90">
        <f t="shared" si="14"/>
        <v>0</v>
      </c>
      <c r="O260" s="139">
        <f t="shared" si="15"/>
        <v>0</v>
      </c>
      <c r="P260" s="481"/>
      <c r="Q260" s="1770"/>
      <c r="R260" s="1771"/>
      <c r="S260" s="1772"/>
    </row>
    <row r="261" spans="1:19" s="85" customFormat="1" ht="13">
      <c r="A261" s="472"/>
      <c r="B261" s="473"/>
      <c r="C261" s="474"/>
      <c r="D261" s="474"/>
      <c r="E261" s="475"/>
      <c r="F261" s="476"/>
      <c r="G261" s="476"/>
      <c r="H261" s="477"/>
      <c r="I261" s="478"/>
      <c r="J261" s="89">
        <f t="shared" si="12"/>
        <v>0</v>
      </c>
      <c r="K261" s="479"/>
      <c r="L261" s="480"/>
      <c r="M261" s="64">
        <f t="shared" si="13"/>
        <v>0</v>
      </c>
      <c r="N261" s="90">
        <f t="shared" si="14"/>
        <v>0</v>
      </c>
      <c r="O261" s="139">
        <f t="shared" si="15"/>
        <v>0</v>
      </c>
      <c r="P261" s="481"/>
      <c r="Q261" s="1770"/>
      <c r="R261" s="1771"/>
      <c r="S261" s="1772"/>
    </row>
    <row r="262" spans="1:19" s="85" customFormat="1" ht="13">
      <c r="A262" s="472"/>
      <c r="B262" s="473"/>
      <c r="C262" s="474"/>
      <c r="D262" s="474"/>
      <c r="E262" s="475"/>
      <c r="F262" s="476"/>
      <c r="G262" s="476"/>
      <c r="H262" s="477"/>
      <c r="I262" s="478"/>
      <c r="J262" s="89">
        <f t="shared" si="12"/>
        <v>0</v>
      </c>
      <c r="K262" s="479"/>
      <c r="L262" s="480"/>
      <c r="M262" s="64">
        <f t="shared" si="13"/>
        <v>0</v>
      </c>
      <c r="N262" s="90">
        <f t="shared" si="14"/>
        <v>0</v>
      </c>
      <c r="O262" s="139">
        <f t="shared" si="15"/>
        <v>0</v>
      </c>
      <c r="P262" s="481"/>
      <c r="Q262" s="1770"/>
      <c r="R262" s="1771"/>
      <c r="S262" s="1772"/>
    </row>
    <row r="263" spans="1:19" s="85" customFormat="1" ht="13">
      <c r="A263" s="472"/>
      <c r="B263" s="473"/>
      <c r="C263" s="474"/>
      <c r="D263" s="474"/>
      <c r="E263" s="475"/>
      <c r="F263" s="476"/>
      <c r="G263" s="476"/>
      <c r="H263" s="477"/>
      <c r="I263" s="478"/>
      <c r="J263" s="89">
        <f t="shared" si="12"/>
        <v>0</v>
      </c>
      <c r="K263" s="479"/>
      <c r="L263" s="480"/>
      <c r="M263" s="64">
        <f t="shared" si="13"/>
        <v>0</v>
      </c>
      <c r="N263" s="90">
        <f t="shared" si="14"/>
        <v>0</v>
      </c>
      <c r="O263" s="139">
        <f t="shared" si="15"/>
        <v>0</v>
      </c>
      <c r="P263" s="481"/>
      <c r="Q263" s="1770"/>
      <c r="R263" s="1771"/>
      <c r="S263" s="1772"/>
    </row>
    <row r="264" spans="1:19" s="85" customFormat="1" ht="13">
      <c r="A264" s="472"/>
      <c r="B264" s="473"/>
      <c r="C264" s="474"/>
      <c r="D264" s="474"/>
      <c r="E264" s="475"/>
      <c r="F264" s="476"/>
      <c r="G264" s="476"/>
      <c r="H264" s="477"/>
      <c r="I264" s="478"/>
      <c r="J264" s="89">
        <f t="shared" si="12"/>
        <v>0</v>
      </c>
      <c r="K264" s="479"/>
      <c r="L264" s="480"/>
      <c r="M264" s="64">
        <f t="shared" si="13"/>
        <v>0</v>
      </c>
      <c r="N264" s="90">
        <f t="shared" si="14"/>
        <v>0</v>
      </c>
      <c r="O264" s="139">
        <f t="shared" si="15"/>
        <v>0</v>
      </c>
      <c r="P264" s="481"/>
      <c r="Q264" s="1770"/>
      <c r="R264" s="1771"/>
      <c r="S264" s="1772"/>
    </row>
    <row r="265" spans="1:19" s="85" customFormat="1" ht="13">
      <c r="A265" s="472"/>
      <c r="B265" s="473"/>
      <c r="C265" s="474"/>
      <c r="D265" s="474"/>
      <c r="E265" s="475"/>
      <c r="F265" s="476"/>
      <c r="G265" s="476"/>
      <c r="H265" s="477"/>
      <c r="I265" s="478"/>
      <c r="J265" s="89">
        <f t="shared" si="12"/>
        <v>0</v>
      </c>
      <c r="K265" s="479"/>
      <c r="L265" s="480"/>
      <c r="M265" s="64">
        <f t="shared" si="13"/>
        <v>0</v>
      </c>
      <c r="N265" s="90">
        <f t="shared" si="14"/>
        <v>0</v>
      </c>
      <c r="O265" s="139">
        <f t="shared" si="15"/>
        <v>0</v>
      </c>
      <c r="P265" s="481"/>
      <c r="Q265" s="1770"/>
      <c r="R265" s="1771"/>
      <c r="S265" s="1772"/>
    </row>
    <row r="266" spans="1:19" s="85" customFormat="1" ht="13">
      <c r="A266" s="472"/>
      <c r="B266" s="473"/>
      <c r="C266" s="474"/>
      <c r="D266" s="474"/>
      <c r="E266" s="475"/>
      <c r="F266" s="476"/>
      <c r="G266" s="476"/>
      <c r="H266" s="477"/>
      <c r="I266" s="478"/>
      <c r="J266" s="89">
        <f t="shared" si="12"/>
        <v>0</v>
      </c>
      <c r="K266" s="479"/>
      <c r="L266" s="480"/>
      <c r="M266" s="64">
        <f t="shared" si="13"/>
        <v>0</v>
      </c>
      <c r="N266" s="90">
        <f t="shared" si="14"/>
        <v>0</v>
      </c>
      <c r="O266" s="139">
        <f t="shared" si="15"/>
        <v>0</v>
      </c>
      <c r="P266" s="481"/>
      <c r="Q266" s="1770"/>
      <c r="R266" s="1771"/>
      <c r="S266" s="1772"/>
    </row>
    <row r="267" spans="1:19" s="85" customFormat="1" ht="13">
      <c r="A267" s="472"/>
      <c r="B267" s="473"/>
      <c r="C267" s="474"/>
      <c r="D267" s="474"/>
      <c r="E267" s="475"/>
      <c r="F267" s="476"/>
      <c r="G267" s="476"/>
      <c r="H267" s="477"/>
      <c r="I267" s="478"/>
      <c r="J267" s="89">
        <f t="shared" ref="J267:J330" si="16">IF(H267=0,0,(+I267)/H267)</f>
        <v>0</v>
      </c>
      <c r="K267" s="479"/>
      <c r="L267" s="480"/>
      <c r="M267" s="64">
        <f t="shared" ref="M267:M330" si="17">+K267*L267</f>
        <v>0</v>
      </c>
      <c r="N267" s="90">
        <f t="shared" ref="N267:N330" si="18">+K267-H267</f>
        <v>0</v>
      </c>
      <c r="O267" s="139">
        <f t="shared" ref="O267:O330" si="19">+M267-I267</f>
        <v>0</v>
      </c>
      <c r="P267" s="481"/>
      <c r="Q267" s="1770"/>
      <c r="R267" s="1771"/>
      <c r="S267" s="1772"/>
    </row>
    <row r="268" spans="1:19" s="85" customFormat="1" ht="13">
      <c r="A268" s="472"/>
      <c r="B268" s="473"/>
      <c r="C268" s="474"/>
      <c r="D268" s="474"/>
      <c r="E268" s="475"/>
      <c r="F268" s="476"/>
      <c r="G268" s="476"/>
      <c r="H268" s="477"/>
      <c r="I268" s="478"/>
      <c r="J268" s="89">
        <f t="shared" si="16"/>
        <v>0</v>
      </c>
      <c r="K268" s="479"/>
      <c r="L268" s="480"/>
      <c r="M268" s="64">
        <f t="shared" si="17"/>
        <v>0</v>
      </c>
      <c r="N268" s="90">
        <f t="shared" si="18"/>
        <v>0</v>
      </c>
      <c r="O268" s="139">
        <f t="shared" si="19"/>
        <v>0</v>
      </c>
      <c r="P268" s="481"/>
      <c r="Q268" s="1770"/>
      <c r="R268" s="1771"/>
      <c r="S268" s="1772"/>
    </row>
    <row r="269" spans="1:19" s="85" customFormat="1" ht="13">
      <c r="A269" s="472"/>
      <c r="B269" s="473"/>
      <c r="C269" s="474"/>
      <c r="D269" s="474"/>
      <c r="E269" s="475"/>
      <c r="F269" s="476"/>
      <c r="G269" s="476"/>
      <c r="H269" s="477"/>
      <c r="I269" s="478"/>
      <c r="J269" s="89">
        <f t="shared" si="16"/>
        <v>0</v>
      </c>
      <c r="K269" s="479"/>
      <c r="L269" s="480"/>
      <c r="M269" s="64">
        <f t="shared" si="17"/>
        <v>0</v>
      </c>
      <c r="N269" s="90">
        <f t="shared" si="18"/>
        <v>0</v>
      </c>
      <c r="O269" s="139">
        <f t="shared" si="19"/>
        <v>0</v>
      </c>
      <c r="P269" s="481"/>
      <c r="Q269" s="1770"/>
      <c r="R269" s="1771"/>
      <c r="S269" s="1772"/>
    </row>
    <row r="270" spans="1:19" s="85" customFormat="1" ht="13">
      <c r="A270" s="472"/>
      <c r="B270" s="473"/>
      <c r="C270" s="474"/>
      <c r="D270" s="474"/>
      <c r="E270" s="475"/>
      <c r="F270" s="476"/>
      <c r="G270" s="476"/>
      <c r="H270" s="477"/>
      <c r="I270" s="478"/>
      <c r="J270" s="89">
        <f t="shared" si="16"/>
        <v>0</v>
      </c>
      <c r="K270" s="479"/>
      <c r="L270" s="480"/>
      <c r="M270" s="64">
        <f t="shared" si="17"/>
        <v>0</v>
      </c>
      <c r="N270" s="90">
        <f t="shared" si="18"/>
        <v>0</v>
      </c>
      <c r="O270" s="139">
        <f t="shared" si="19"/>
        <v>0</v>
      </c>
      <c r="P270" s="481"/>
      <c r="Q270" s="1770"/>
      <c r="R270" s="1771"/>
      <c r="S270" s="1772"/>
    </row>
    <row r="271" spans="1:19" s="85" customFormat="1" ht="13">
      <c r="A271" s="472"/>
      <c r="B271" s="473"/>
      <c r="C271" s="474"/>
      <c r="D271" s="474"/>
      <c r="E271" s="475"/>
      <c r="F271" s="476"/>
      <c r="G271" s="476"/>
      <c r="H271" s="477"/>
      <c r="I271" s="478"/>
      <c r="J271" s="89">
        <f t="shared" si="16"/>
        <v>0</v>
      </c>
      <c r="K271" s="479"/>
      <c r="L271" s="480"/>
      <c r="M271" s="64">
        <f t="shared" si="17"/>
        <v>0</v>
      </c>
      <c r="N271" s="90">
        <f t="shared" si="18"/>
        <v>0</v>
      </c>
      <c r="O271" s="139">
        <f t="shared" si="19"/>
        <v>0</v>
      </c>
      <c r="P271" s="481"/>
      <c r="Q271" s="1770"/>
      <c r="R271" s="1771"/>
      <c r="S271" s="1772"/>
    </row>
    <row r="272" spans="1:19" s="85" customFormat="1" ht="13">
      <c r="A272" s="472"/>
      <c r="B272" s="473"/>
      <c r="C272" s="474"/>
      <c r="D272" s="474"/>
      <c r="E272" s="475"/>
      <c r="F272" s="476"/>
      <c r="G272" s="476"/>
      <c r="H272" s="477"/>
      <c r="I272" s="478"/>
      <c r="J272" s="89">
        <f t="shared" si="16"/>
        <v>0</v>
      </c>
      <c r="K272" s="479"/>
      <c r="L272" s="480"/>
      <c r="M272" s="64">
        <f t="shared" si="17"/>
        <v>0</v>
      </c>
      <c r="N272" s="90">
        <f t="shared" si="18"/>
        <v>0</v>
      </c>
      <c r="O272" s="139">
        <f t="shared" si="19"/>
        <v>0</v>
      </c>
      <c r="P272" s="481"/>
      <c r="Q272" s="1770"/>
      <c r="R272" s="1771"/>
      <c r="S272" s="1772"/>
    </row>
    <row r="273" spans="1:19" s="85" customFormat="1" ht="13">
      <c r="A273" s="472"/>
      <c r="B273" s="473"/>
      <c r="C273" s="474"/>
      <c r="D273" s="474"/>
      <c r="E273" s="475"/>
      <c r="F273" s="476"/>
      <c r="G273" s="476"/>
      <c r="H273" s="477"/>
      <c r="I273" s="478"/>
      <c r="J273" s="89">
        <f t="shared" si="16"/>
        <v>0</v>
      </c>
      <c r="K273" s="479"/>
      <c r="L273" s="480"/>
      <c r="M273" s="64">
        <f t="shared" si="17"/>
        <v>0</v>
      </c>
      <c r="N273" s="90">
        <f t="shared" si="18"/>
        <v>0</v>
      </c>
      <c r="O273" s="139">
        <f t="shared" si="19"/>
        <v>0</v>
      </c>
      <c r="P273" s="481"/>
      <c r="Q273" s="1770"/>
      <c r="R273" s="1771"/>
      <c r="S273" s="1772"/>
    </row>
    <row r="274" spans="1:19" s="85" customFormat="1" ht="13">
      <c r="A274" s="472"/>
      <c r="B274" s="473"/>
      <c r="C274" s="474"/>
      <c r="D274" s="474"/>
      <c r="E274" s="475"/>
      <c r="F274" s="476"/>
      <c r="G274" s="476"/>
      <c r="H274" s="477"/>
      <c r="I274" s="478"/>
      <c r="J274" s="89">
        <f t="shared" si="16"/>
        <v>0</v>
      </c>
      <c r="K274" s="479"/>
      <c r="L274" s="480"/>
      <c r="M274" s="64">
        <f t="shared" si="17"/>
        <v>0</v>
      </c>
      <c r="N274" s="90">
        <f t="shared" si="18"/>
        <v>0</v>
      </c>
      <c r="O274" s="139">
        <f t="shared" si="19"/>
        <v>0</v>
      </c>
      <c r="P274" s="481"/>
      <c r="Q274" s="1770"/>
      <c r="R274" s="1771"/>
      <c r="S274" s="1772"/>
    </row>
    <row r="275" spans="1:19" s="85" customFormat="1" ht="13">
      <c r="A275" s="472"/>
      <c r="B275" s="473"/>
      <c r="C275" s="474"/>
      <c r="D275" s="474"/>
      <c r="E275" s="475"/>
      <c r="F275" s="476"/>
      <c r="G275" s="476"/>
      <c r="H275" s="477"/>
      <c r="I275" s="478"/>
      <c r="J275" s="89">
        <f t="shared" si="16"/>
        <v>0</v>
      </c>
      <c r="K275" s="479"/>
      <c r="L275" s="480"/>
      <c r="M275" s="64">
        <f t="shared" si="17"/>
        <v>0</v>
      </c>
      <c r="N275" s="90">
        <f t="shared" si="18"/>
        <v>0</v>
      </c>
      <c r="O275" s="139">
        <f t="shared" si="19"/>
        <v>0</v>
      </c>
      <c r="P275" s="481"/>
      <c r="Q275" s="1770"/>
      <c r="R275" s="1771"/>
      <c r="S275" s="1772"/>
    </row>
    <row r="276" spans="1:19" s="85" customFormat="1" ht="13">
      <c r="A276" s="472"/>
      <c r="B276" s="473"/>
      <c r="C276" s="474"/>
      <c r="D276" s="474"/>
      <c r="E276" s="475"/>
      <c r="F276" s="476"/>
      <c r="G276" s="476"/>
      <c r="H276" s="477"/>
      <c r="I276" s="478"/>
      <c r="J276" s="89">
        <f t="shared" si="16"/>
        <v>0</v>
      </c>
      <c r="K276" s="479"/>
      <c r="L276" s="480"/>
      <c r="M276" s="64">
        <f t="shared" si="17"/>
        <v>0</v>
      </c>
      <c r="N276" s="90">
        <f t="shared" si="18"/>
        <v>0</v>
      </c>
      <c r="O276" s="139">
        <f t="shared" si="19"/>
        <v>0</v>
      </c>
      <c r="P276" s="481"/>
      <c r="Q276" s="1770"/>
      <c r="R276" s="1771"/>
      <c r="S276" s="1772"/>
    </row>
    <row r="277" spans="1:19" s="85" customFormat="1" ht="13">
      <c r="A277" s="472"/>
      <c r="B277" s="473"/>
      <c r="C277" s="474"/>
      <c r="D277" s="474"/>
      <c r="E277" s="475"/>
      <c r="F277" s="476"/>
      <c r="G277" s="476"/>
      <c r="H277" s="477"/>
      <c r="I277" s="478"/>
      <c r="J277" s="89">
        <f t="shared" si="16"/>
        <v>0</v>
      </c>
      <c r="K277" s="479"/>
      <c r="L277" s="480"/>
      <c r="M277" s="64">
        <f t="shared" si="17"/>
        <v>0</v>
      </c>
      <c r="N277" s="90">
        <f t="shared" si="18"/>
        <v>0</v>
      </c>
      <c r="O277" s="139">
        <f t="shared" si="19"/>
        <v>0</v>
      </c>
      <c r="P277" s="481"/>
      <c r="Q277" s="1770"/>
      <c r="R277" s="1771"/>
      <c r="S277" s="1772"/>
    </row>
    <row r="278" spans="1:19" s="85" customFormat="1" ht="13">
      <c r="A278" s="472"/>
      <c r="B278" s="473"/>
      <c r="C278" s="474"/>
      <c r="D278" s="474"/>
      <c r="E278" s="475"/>
      <c r="F278" s="476"/>
      <c r="G278" s="476"/>
      <c r="H278" s="477"/>
      <c r="I278" s="478"/>
      <c r="J278" s="89">
        <f t="shared" si="16"/>
        <v>0</v>
      </c>
      <c r="K278" s="479"/>
      <c r="L278" s="480"/>
      <c r="M278" s="64">
        <f t="shared" si="17"/>
        <v>0</v>
      </c>
      <c r="N278" s="90">
        <f t="shared" si="18"/>
        <v>0</v>
      </c>
      <c r="O278" s="139">
        <f t="shared" si="19"/>
        <v>0</v>
      </c>
      <c r="P278" s="481"/>
      <c r="Q278" s="1770"/>
      <c r="R278" s="1771"/>
      <c r="S278" s="1772"/>
    </row>
    <row r="279" spans="1:19" s="85" customFormat="1" ht="13">
      <c r="A279" s="472"/>
      <c r="B279" s="473"/>
      <c r="C279" s="474"/>
      <c r="D279" s="474"/>
      <c r="E279" s="475"/>
      <c r="F279" s="476"/>
      <c r="G279" s="476"/>
      <c r="H279" s="477"/>
      <c r="I279" s="478"/>
      <c r="J279" s="89">
        <f t="shared" si="16"/>
        <v>0</v>
      </c>
      <c r="K279" s="479"/>
      <c r="L279" s="480"/>
      <c r="M279" s="64">
        <f t="shared" si="17"/>
        <v>0</v>
      </c>
      <c r="N279" s="90">
        <f t="shared" si="18"/>
        <v>0</v>
      </c>
      <c r="O279" s="139">
        <f t="shared" si="19"/>
        <v>0</v>
      </c>
      <c r="P279" s="481"/>
      <c r="Q279" s="1770"/>
      <c r="R279" s="1771"/>
      <c r="S279" s="1772"/>
    </row>
    <row r="280" spans="1:19" s="85" customFormat="1" ht="13">
      <c r="A280" s="472"/>
      <c r="B280" s="473"/>
      <c r="C280" s="474"/>
      <c r="D280" s="474"/>
      <c r="E280" s="475"/>
      <c r="F280" s="476"/>
      <c r="G280" s="476"/>
      <c r="H280" s="477"/>
      <c r="I280" s="478"/>
      <c r="J280" s="89">
        <f t="shared" si="16"/>
        <v>0</v>
      </c>
      <c r="K280" s="479"/>
      <c r="L280" s="480"/>
      <c r="M280" s="64">
        <f t="shared" si="17"/>
        <v>0</v>
      </c>
      <c r="N280" s="90">
        <f t="shared" si="18"/>
        <v>0</v>
      </c>
      <c r="O280" s="139">
        <f t="shared" si="19"/>
        <v>0</v>
      </c>
      <c r="P280" s="481"/>
      <c r="Q280" s="1770"/>
      <c r="R280" s="1771"/>
      <c r="S280" s="1772"/>
    </row>
    <row r="281" spans="1:19" s="85" customFormat="1" ht="13">
      <c r="A281" s="472"/>
      <c r="B281" s="473"/>
      <c r="C281" s="474"/>
      <c r="D281" s="474"/>
      <c r="E281" s="475"/>
      <c r="F281" s="476"/>
      <c r="G281" s="476"/>
      <c r="H281" s="477"/>
      <c r="I281" s="478"/>
      <c r="J281" s="89">
        <f t="shared" si="16"/>
        <v>0</v>
      </c>
      <c r="K281" s="479"/>
      <c r="L281" s="480"/>
      <c r="M281" s="64">
        <f t="shared" si="17"/>
        <v>0</v>
      </c>
      <c r="N281" s="90">
        <f t="shared" si="18"/>
        <v>0</v>
      </c>
      <c r="O281" s="139">
        <f t="shared" si="19"/>
        <v>0</v>
      </c>
      <c r="P281" s="481"/>
      <c r="Q281" s="1770"/>
      <c r="R281" s="1771"/>
      <c r="S281" s="1772"/>
    </row>
    <row r="282" spans="1:19" s="85" customFormat="1" ht="13">
      <c r="A282" s="472"/>
      <c r="B282" s="473"/>
      <c r="C282" s="474"/>
      <c r="D282" s="474"/>
      <c r="E282" s="475"/>
      <c r="F282" s="476"/>
      <c r="G282" s="476"/>
      <c r="H282" s="477"/>
      <c r="I282" s="478"/>
      <c r="J282" s="89">
        <f t="shared" si="16"/>
        <v>0</v>
      </c>
      <c r="K282" s="479"/>
      <c r="L282" s="480"/>
      <c r="M282" s="64">
        <f t="shared" si="17"/>
        <v>0</v>
      </c>
      <c r="N282" s="90">
        <f t="shared" si="18"/>
        <v>0</v>
      </c>
      <c r="O282" s="139">
        <f t="shared" si="19"/>
        <v>0</v>
      </c>
      <c r="P282" s="481"/>
      <c r="Q282" s="1770"/>
      <c r="R282" s="1771"/>
      <c r="S282" s="1772"/>
    </row>
    <row r="283" spans="1:19" s="85" customFormat="1" ht="13">
      <c r="A283" s="472"/>
      <c r="B283" s="473"/>
      <c r="C283" s="474"/>
      <c r="D283" s="474"/>
      <c r="E283" s="475"/>
      <c r="F283" s="476"/>
      <c r="G283" s="476"/>
      <c r="H283" s="477"/>
      <c r="I283" s="478"/>
      <c r="J283" s="89">
        <f t="shared" si="16"/>
        <v>0</v>
      </c>
      <c r="K283" s="479"/>
      <c r="L283" s="480"/>
      <c r="M283" s="64">
        <f t="shared" si="17"/>
        <v>0</v>
      </c>
      <c r="N283" s="90">
        <f t="shared" si="18"/>
        <v>0</v>
      </c>
      <c r="O283" s="139">
        <f t="shared" si="19"/>
        <v>0</v>
      </c>
      <c r="P283" s="481"/>
      <c r="Q283" s="1770"/>
      <c r="R283" s="1771"/>
      <c r="S283" s="1772"/>
    </row>
    <row r="284" spans="1:19" s="85" customFormat="1" ht="13">
      <c r="A284" s="472"/>
      <c r="B284" s="473"/>
      <c r="C284" s="474"/>
      <c r="D284" s="474"/>
      <c r="E284" s="475"/>
      <c r="F284" s="476"/>
      <c r="G284" s="476"/>
      <c r="H284" s="477"/>
      <c r="I284" s="478"/>
      <c r="J284" s="89">
        <f t="shared" si="16"/>
        <v>0</v>
      </c>
      <c r="K284" s="479"/>
      <c r="L284" s="480"/>
      <c r="M284" s="64">
        <f t="shared" si="17"/>
        <v>0</v>
      </c>
      <c r="N284" s="90">
        <f t="shared" si="18"/>
        <v>0</v>
      </c>
      <c r="O284" s="139">
        <f t="shared" si="19"/>
        <v>0</v>
      </c>
      <c r="P284" s="481"/>
      <c r="Q284" s="1770"/>
      <c r="R284" s="1771"/>
      <c r="S284" s="1772"/>
    </row>
    <row r="285" spans="1:19" s="85" customFormat="1" ht="13">
      <c r="A285" s="472"/>
      <c r="B285" s="473"/>
      <c r="C285" s="474"/>
      <c r="D285" s="474"/>
      <c r="E285" s="475"/>
      <c r="F285" s="476"/>
      <c r="G285" s="476"/>
      <c r="H285" s="477"/>
      <c r="I285" s="478"/>
      <c r="J285" s="89">
        <f t="shared" si="16"/>
        <v>0</v>
      </c>
      <c r="K285" s="479"/>
      <c r="L285" s="480"/>
      <c r="M285" s="64">
        <f t="shared" si="17"/>
        <v>0</v>
      </c>
      <c r="N285" s="90">
        <f t="shared" si="18"/>
        <v>0</v>
      </c>
      <c r="O285" s="139">
        <f t="shared" si="19"/>
        <v>0</v>
      </c>
      <c r="P285" s="481"/>
      <c r="Q285" s="1770"/>
      <c r="R285" s="1771"/>
      <c r="S285" s="1772"/>
    </row>
    <row r="286" spans="1:19" s="85" customFormat="1" ht="13">
      <c r="A286" s="472"/>
      <c r="B286" s="473"/>
      <c r="C286" s="474"/>
      <c r="D286" s="474"/>
      <c r="E286" s="475"/>
      <c r="F286" s="476"/>
      <c r="G286" s="476"/>
      <c r="H286" s="477"/>
      <c r="I286" s="478"/>
      <c r="J286" s="89">
        <f t="shared" si="16"/>
        <v>0</v>
      </c>
      <c r="K286" s="479"/>
      <c r="L286" s="480"/>
      <c r="M286" s="64">
        <f t="shared" si="17"/>
        <v>0</v>
      </c>
      <c r="N286" s="90">
        <f t="shared" si="18"/>
        <v>0</v>
      </c>
      <c r="O286" s="139">
        <f t="shared" si="19"/>
        <v>0</v>
      </c>
      <c r="P286" s="481"/>
      <c r="Q286" s="1770"/>
      <c r="R286" s="1771"/>
      <c r="S286" s="1772"/>
    </row>
    <row r="287" spans="1:19" s="85" customFormat="1" ht="13">
      <c r="A287" s="472"/>
      <c r="B287" s="473"/>
      <c r="C287" s="474"/>
      <c r="D287" s="474"/>
      <c r="E287" s="475"/>
      <c r="F287" s="476"/>
      <c r="G287" s="476"/>
      <c r="H287" s="477"/>
      <c r="I287" s="478"/>
      <c r="J287" s="89">
        <f t="shared" si="16"/>
        <v>0</v>
      </c>
      <c r="K287" s="479"/>
      <c r="L287" s="480"/>
      <c r="M287" s="64">
        <f t="shared" si="17"/>
        <v>0</v>
      </c>
      <c r="N287" s="90">
        <f t="shared" si="18"/>
        <v>0</v>
      </c>
      <c r="O287" s="139">
        <f t="shared" si="19"/>
        <v>0</v>
      </c>
      <c r="P287" s="481"/>
      <c r="Q287" s="1770"/>
      <c r="R287" s="1771"/>
      <c r="S287" s="1772"/>
    </row>
    <row r="288" spans="1:19" s="85" customFormat="1" ht="13">
      <c r="A288" s="472"/>
      <c r="B288" s="473"/>
      <c r="C288" s="474"/>
      <c r="D288" s="474"/>
      <c r="E288" s="475"/>
      <c r="F288" s="476"/>
      <c r="G288" s="476"/>
      <c r="H288" s="477"/>
      <c r="I288" s="478"/>
      <c r="J288" s="89">
        <f t="shared" si="16"/>
        <v>0</v>
      </c>
      <c r="K288" s="479"/>
      <c r="L288" s="480"/>
      <c r="M288" s="64">
        <f t="shared" si="17"/>
        <v>0</v>
      </c>
      <c r="N288" s="90">
        <f t="shared" si="18"/>
        <v>0</v>
      </c>
      <c r="O288" s="139">
        <f t="shared" si="19"/>
        <v>0</v>
      </c>
      <c r="P288" s="481"/>
      <c r="Q288" s="1770"/>
      <c r="R288" s="1771"/>
      <c r="S288" s="1772"/>
    </row>
    <row r="289" spans="1:19" s="85" customFormat="1" ht="13">
      <c r="A289" s="472"/>
      <c r="B289" s="473"/>
      <c r="C289" s="474"/>
      <c r="D289" s="474"/>
      <c r="E289" s="475"/>
      <c r="F289" s="476"/>
      <c r="G289" s="476"/>
      <c r="H289" s="477"/>
      <c r="I289" s="478"/>
      <c r="J289" s="89">
        <f t="shared" si="16"/>
        <v>0</v>
      </c>
      <c r="K289" s="479"/>
      <c r="L289" s="480"/>
      <c r="M289" s="64">
        <f t="shared" si="17"/>
        <v>0</v>
      </c>
      <c r="N289" s="90">
        <f t="shared" si="18"/>
        <v>0</v>
      </c>
      <c r="O289" s="139">
        <f t="shared" si="19"/>
        <v>0</v>
      </c>
      <c r="P289" s="481"/>
      <c r="Q289" s="1770"/>
      <c r="R289" s="1771"/>
      <c r="S289" s="1772"/>
    </row>
    <row r="290" spans="1:19" s="85" customFormat="1" ht="13">
      <c r="A290" s="472"/>
      <c r="B290" s="473"/>
      <c r="C290" s="474"/>
      <c r="D290" s="474"/>
      <c r="E290" s="475"/>
      <c r="F290" s="476"/>
      <c r="G290" s="476"/>
      <c r="H290" s="477"/>
      <c r="I290" s="478"/>
      <c r="J290" s="89">
        <f t="shared" si="16"/>
        <v>0</v>
      </c>
      <c r="K290" s="479"/>
      <c r="L290" s="480"/>
      <c r="M290" s="64">
        <f t="shared" si="17"/>
        <v>0</v>
      </c>
      <c r="N290" s="90">
        <f t="shared" si="18"/>
        <v>0</v>
      </c>
      <c r="O290" s="139">
        <f t="shared" si="19"/>
        <v>0</v>
      </c>
      <c r="P290" s="481"/>
      <c r="Q290" s="1770"/>
      <c r="R290" s="1771"/>
      <c r="S290" s="1772"/>
    </row>
    <row r="291" spans="1:19" s="85" customFormat="1" ht="13">
      <c r="A291" s="472"/>
      <c r="B291" s="473"/>
      <c r="C291" s="474"/>
      <c r="D291" s="474"/>
      <c r="E291" s="475"/>
      <c r="F291" s="476"/>
      <c r="G291" s="476"/>
      <c r="H291" s="477"/>
      <c r="I291" s="478"/>
      <c r="J291" s="89">
        <f t="shared" si="16"/>
        <v>0</v>
      </c>
      <c r="K291" s="479"/>
      <c r="L291" s="480"/>
      <c r="M291" s="64">
        <f t="shared" si="17"/>
        <v>0</v>
      </c>
      <c r="N291" s="90">
        <f t="shared" si="18"/>
        <v>0</v>
      </c>
      <c r="O291" s="139">
        <f t="shared" si="19"/>
        <v>0</v>
      </c>
      <c r="P291" s="481"/>
      <c r="Q291" s="1770"/>
      <c r="R291" s="1771"/>
      <c r="S291" s="1772"/>
    </row>
    <row r="292" spans="1:19" s="85" customFormat="1" ht="13">
      <c r="A292" s="472"/>
      <c r="B292" s="473"/>
      <c r="C292" s="474"/>
      <c r="D292" s="474"/>
      <c r="E292" s="475"/>
      <c r="F292" s="476"/>
      <c r="G292" s="476"/>
      <c r="H292" s="477"/>
      <c r="I292" s="478"/>
      <c r="J292" s="89">
        <f t="shared" si="16"/>
        <v>0</v>
      </c>
      <c r="K292" s="479"/>
      <c r="L292" s="480"/>
      <c r="M292" s="64">
        <f t="shared" si="17"/>
        <v>0</v>
      </c>
      <c r="N292" s="90">
        <f t="shared" si="18"/>
        <v>0</v>
      </c>
      <c r="O292" s="139">
        <f t="shared" si="19"/>
        <v>0</v>
      </c>
      <c r="P292" s="481"/>
      <c r="Q292" s="1770"/>
      <c r="R292" s="1771"/>
      <c r="S292" s="1772"/>
    </row>
    <row r="293" spans="1:19" s="85" customFormat="1" ht="13">
      <c r="A293" s="472"/>
      <c r="B293" s="473"/>
      <c r="C293" s="474"/>
      <c r="D293" s="474"/>
      <c r="E293" s="475"/>
      <c r="F293" s="476"/>
      <c r="G293" s="476"/>
      <c r="H293" s="477"/>
      <c r="I293" s="478"/>
      <c r="J293" s="89">
        <f t="shared" si="16"/>
        <v>0</v>
      </c>
      <c r="K293" s="479"/>
      <c r="L293" s="480"/>
      <c r="M293" s="64">
        <f t="shared" si="17"/>
        <v>0</v>
      </c>
      <c r="N293" s="90">
        <f t="shared" si="18"/>
        <v>0</v>
      </c>
      <c r="O293" s="139">
        <f t="shared" si="19"/>
        <v>0</v>
      </c>
      <c r="P293" s="481"/>
      <c r="Q293" s="1770"/>
      <c r="R293" s="1771"/>
      <c r="S293" s="1772"/>
    </row>
    <row r="294" spans="1:19" s="85" customFormat="1" ht="13">
      <c r="A294" s="472"/>
      <c r="B294" s="473"/>
      <c r="C294" s="474"/>
      <c r="D294" s="474"/>
      <c r="E294" s="475"/>
      <c r="F294" s="476"/>
      <c r="G294" s="476"/>
      <c r="H294" s="477"/>
      <c r="I294" s="478"/>
      <c r="J294" s="89">
        <f t="shared" si="16"/>
        <v>0</v>
      </c>
      <c r="K294" s="479"/>
      <c r="L294" s="480"/>
      <c r="M294" s="64">
        <f t="shared" si="17"/>
        <v>0</v>
      </c>
      <c r="N294" s="90">
        <f t="shared" si="18"/>
        <v>0</v>
      </c>
      <c r="O294" s="139">
        <f t="shared" si="19"/>
        <v>0</v>
      </c>
      <c r="P294" s="481"/>
      <c r="Q294" s="1770"/>
      <c r="R294" s="1771"/>
      <c r="S294" s="1772"/>
    </row>
    <row r="295" spans="1:19" s="85" customFormat="1" ht="13">
      <c r="A295" s="472"/>
      <c r="B295" s="473"/>
      <c r="C295" s="474"/>
      <c r="D295" s="474"/>
      <c r="E295" s="475"/>
      <c r="F295" s="476"/>
      <c r="G295" s="476"/>
      <c r="H295" s="477"/>
      <c r="I295" s="478"/>
      <c r="J295" s="89">
        <f t="shared" si="16"/>
        <v>0</v>
      </c>
      <c r="K295" s="479"/>
      <c r="L295" s="480"/>
      <c r="M295" s="64">
        <f t="shared" si="17"/>
        <v>0</v>
      </c>
      <c r="N295" s="90">
        <f t="shared" si="18"/>
        <v>0</v>
      </c>
      <c r="O295" s="139">
        <f t="shared" si="19"/>
        <v>0</v>
      </c>
      <c r="P295" s="481"/>
      <c r="Q295" s="1770"/>
      <c r="R295" s="1771"/>
      <c r="S295" s="1772"/>
    </row>
    <row r="296" spans="1:19" s="85" customFormat="1" ht="13">
      <c r="A296" s="472"/>
      <c r="B296" s="473"/>
      <c r="C296" s="474"/>
      <c r="D296" s="474"/>
      <c r="E296" s="475"/>
      <c r="F296" s="476"/>
      <c r="G296" s="476"/>
      <c r="H296" s="477"/>
      <c r="I296" s="478"/>
      <c r="J296" s="89">
        <f t="shared" si="16"/>
        <v>0</v>
      </c>
      <c r="K296" s="479"/>
      <c r="L296" s="480"/>
      <c r="M296" s="64">
        <f t="shared" si="17"/>
        <v>0</v>
      </c>
      <c r="N296" s="90">
        <f t="shared" si="18"/>
        <v>0</v>
      </c>
      <c r="O296" s="139">
        <f t="shared" si="19"/>
        <v>0</v>
      </c>
      <c r="P296" s="481"/>
      <c r="Q296" s="1770"/>
      <c r="R296" s="1771"/>
      <c r="S296" s="1772"/>
    </row>
    <row r="297" spans="1:19" s="85" customFormat="1" ht="13">
      <c r="A297" s="472"/>
      <c r="B297" s="473"/>
      <c r="C297" s="474"/>
      <c r="D297" s="474"/>
      <c r="E297" s="475"/>
      <c r="F297" s="476"/>
      <c r="G297" s="476"/>
      <c r="H297" s="477"/>
      <c r="I297" s="478"/>
      <c r="J297" s="89">
        <f t="shared" si="16"/>
        <v>0</v>
      </c>
      <c r="K297" s="479"/>
      <c r="L297" s="480"/>
      <c r="M297" s="64">
        <f t="shared" si="17"/>
        <v>0</v>
      </c>
      <c r="N297" s="90">
        <f t="shared" si="18"/>
        <v>0</v>
      </c>
      <c r="O297" s="139">
        <f t="shared" si="19"/>
        <v>0</v>
      </c>
      <c r="P297" s="481"/>
      <c r="Q297" s="1770"/>
      <c r="R297" s="1771"/>
      <c r="S297" s="1772"/>
    </row>
    <row r="298" spans="1:19" s="85" customFormat="1" ht="13">
      <c r="A298" s="472"/>
      <c r="B298" s="473"/>
      <c r="C298" s="474"/>
      <c r="D298" s="474"/>
      <c r="E298" s="475"/>
      <c r="F298" s="476"/>
      <c r="G298" s="476"/>
      <c r="H298" s="477"/>
      <c r="I298" s="478"/>
      <c r="J298" s="89">
        <f t="shared" si="16"/>
        <v>0</v>
      </c>
      <c r="K298" s="479"/>
      <c r="L298" s="480"/>
      <c r="M298" s="64">
        <f t="shared" si="17"/>
        <v>0</v>
      </c>
      <c r="N298" s="90">
        <f t="shared" si="18"/>
        <v>0</v>
      </c>
      <c r="O298" s="139">
        <f t="shared" si="19"/>
        <v>0</v>
      </c>
      <c r="P298" s="481"/>
      <c r="Q298" s="1770"/>
      <c r="R298" s="1771"/>
      <c r="S298" s="1772"/>
    </row>
    <row r="299" spans="1:19" s="85" customFormat="1" ht="13">
      <c r="A299" s="472"/>
      <c r="B299" s="473"/>
      <c r="C299" s="474"/>
      <c r="D299" s="474"/>
      <c r="E299" s="475"/>
      <c r="F299" s="476"/>
      <c r="G299" s="476"/>
      <c r="H299" s="477"/>
      <c r="I299" s="478"/>
      <c r="J299" s="89">
        <f t="shared" si="16"/>
        <v>0</v>
      </c>
      <c r="K299" s="479"/>
      <c r="L299" s="480"/>
      <c r="M299" s="64">
        <f t="shared" si="17"/>
        <v>0</v>
      </c>
      <c r="N299" s="90">
        <f t="shared" si="18"/>
        <v>0</v>
      </c>
      <c r="O299" s="139">
        <f t="shared" si="19"/>
        <v>0</v>
      </c>
      <c r="P299" s="481"/>
      <c r="Q299" s="1770"/>
      <c r="R299" s="1771"/>
      <c r="S299" s="1772"/>
    </row>
    <row r="300" spans="1:19" s="85" customFormat="1" ht="13">
      <c r="A300" s="472"/>
      <c r="B300" s="473"/>
      <c r="C300" s="474"/>
      <c r="D300" s="474"/>
      <c r="E300" s="475"/>
      <c r="F300" s="476"/>
      <c r="G300" s="476"/>
      <c r="H300" s="477"/>
      <c r="I300" s="478"/>
      <c r="J300" s="89">
        <f t="shared" si="16"/>
        <v>0</v>
      </c>
      <c r="K300" s="479"/>
      <c r="L300" s="480"/>
      <c r="M300" s="64">
        <f t="shared" si="17"/>
        <v>0</v>
      </c>
      <c r="N300" s="90">
        <f t="shared" si="18"/>
        <v>0</v>
      </c>
      <c r="O300" s="139">
        <f t="shared" si="19"/>
        <v>0</v>
      </c>
      <c r="P300" s="481"/>
      <c r="Q300" s="1770"/>
      <c r="R300" s="1771"/>
      <c r="S300" s="1772"/>
    </row>
    <row r="301" spans="1:19" s="85" customFormat="1" ht="13">
      <c r="A301" s="472"/>
      <c r="B301" s="473"/>
      <c r="C301" s="474"/>
      <c r="D301" s="474"/>
      <c r="E301" s="475"/>
      <c r="F301" s="476"/>
      <c r="G301" s="476"/>
      <c r="H301" s="477"/>
      <c r="I301" s="478"/>
      <c r="J301" s="89">
        <f t="shared" si="16"/>
        <v>0</v>
      </c>
      <c r="K301" s="479"/>
      <c r="L301" s="480"/>
      <c r="M301" s="64">
        <f t="shared" si="17"/>
        <v>0</v>
      </c>
      <c r="N301" s="90">
        <f t="shared" si="18"/>
        <v>0</v>
      </c>
      <c r="O301" s="139">
        <f t="shared" si="19"/>
        <v>0</v>
      </c>
      <c r="P301" s="481"/>
      <c r="Q301" s="1770"/>
      <c r="R301" s="1771"/>
      <c r="S301" s="1772"/>
    </row>
    <row r="302" spans="1:19" s="85" customFormat="1" ht="13">
      <c r="A302" s="472"/>
      <c r="B302" s="473"/>
      <c r="C302" s="474"/>
      <c r="D302" s="474"/>
      <c r="E302" s="475"/>
      <c r="F302" s="476"/>
      <c r="G302" s="476"/>
      <c r="H302" s="477"/>
      <c r="I302" s="478"/>
      <c r="J302" s="89">
        <f t="shared" si="16"/>
        <v>0</v>
      </c>
      <c r="K302" s="479"/>
      <c r="L302" s="480"/>
      <c r="M302" s="64">
        <f t="shared" si="17"/>
        <v>0</v>
      </c>
      <c r="N302" s="90">
        <f t="shared" si="18"/>
        <v>0</v>
      </c>
      <c r="O302" s="139">
        <f t="shared" si="19"/>
        <v>0</v>
      </c>
      <c r="P302" s="481"/>
      <c r="Q302" s="1770"/>
      <c r="R302" s="1771"/>
      <c r="S302" s="1772"/>
    </row>
    <row r="303" spans="1:19" s="85" customFormat="1" ht="13">
      <c r="A303" s="472"/>
      <c r="B303" s="473"/>
      <c r="C303" s="474"/>
      <c r="D303" s="474"/>
      <c r="E303" s="475"/>
      <c r="F303" s="476"/>
      <c r="G303" s="476"/>
      <c r="H303" s="477"/>
      <c r="I303" s="478"/>
      <c r="J303" s="89">
        <f t="shared" si="16"/>
        <v>0</v>
      </c>
      <c r="K303" s="479"/>
      <c r="L303" s="480"/>
      <c r="M303" s="64">
        <f t="shared" si="17"/>
        <v>0</v>
      </c>
      <c r="N303" s="90">
        <f t="shared" si="18"/>
        <v>0</v>
      </c>
      <c r="O303" s="139">
        <f t="shared" si="19"/>
        <v>0</v>
      </c>
      <c r="P303" s="481"/>
      <c r="Q303" s="1770"/>
      <c r="R303" s="1771"/>
      <c r="S303" s="1772"/>
    </row>
    <row r="304" spans="1:19" s="85" customFormat="1" ht="13">
      <c r="A304" s="472"/>
      <c r="B304" s="473"/>
      <c r="C304" s="474"/>
      <c r="D304" s="474"/>
      <c r="E304" s="475"/>
      <c r="F304" s="476"/>
      <c r="G304" s="476"/>
      <c r="H304" s="477"/>
      <c r="I304" s="478"/>
      <c r="J304" s="89">
        <f t="shared" si="16"/>
        <v>0</v>
      </c>
      <c r="K304" s="479"/>
      <c r="L304" s="480"/>
      <c r="M304" s="64">
        <f t="shared" si="17"/>
        <v>0</v>
      </c>
      <c r="N304" s="90">
        <f t="shared" si="18"/>
        <v>0</v>
      </c>
      <c r="O304" s="139">
        <f t="shared" si="19"/>
        <v>0</v>
      </c>
      <c r="P304" s="481"/>
      <c r="Q304" s="1770"/>
      <c r="R304" s="1771"/>
      <c r="S304" s="1772"/>
    </row>
    <row r="305" spans="1:19" s="85" customFormat="1" ht="13">
      <c r="A305" s="472"/>
      <c r="B305" s="473"/>
      <c r="C305" s="474"/>
      <c r="D305" s="474"/>
      <c r="E305" s="475"/>
      <c r="F305" s="476"/>
      <c r="G305" s="476"/>
      <c r="H305" s="477"/>
      <c r="I305" s="478"/>
      <c r="J305" s="89">
        <f t="shared" si="16"/>
        <v>0</v>
      </c>
      <c r="K305" s="479"/>
      <c r="L305" s="480"/>
      <c r="M305" s="64">
        <f t="shared" si="17"/>
        <v>0</v>
      </c>
      <c r="N305" s="90">
        <f t="shared" si="18"/>
        <v>0</v>
      </c>
      <c r="O305" s="139">
        <f t="shared" si="19"/>
        <v>0</v>
      </c>
      <c r="P305" s="481"/>
      <c r="Q305" s="1770"/>
      <c r="R305" s="1771"/>
      <c r="S305" s="1772"/>
    </row>
    <row r="306" spans="1:19" s="85" customFormat="1" ht="13">
      <c r="A306" s="472"/>
      <c r="B306" s="473"/>
      <c r="C306" s="474"/>
      <c r="D306" s="474"/>
      <c r="E306" s="475"/>
      <c r="F306" s="476"/>
      <c r="G306" s="476"/>
      <c r="H306" s="477"/>
      <c r="I306" s="478"/>
      <c r="J306" s="89">
        <f t="shared" si="16"/>
        <v>0</v>
      </c>
      <c r="K306" s="479"/>
      <c r="L306" s="480"/>
      <c r="M306" s="64">
        <f t="shared" si="17"/>
        <v>0</v>
      </c>
      <c r="N306" s="90">
        <f t="shared" si="18"/>
        <v>0</v>
      </c>
      <c r="O306" s="139">
        <f t="shared" si="19"/>
        <v>0</v>
      </c>
      <c r="P306" s="481"/>
      <c r="Q306" s="1770"/>
      <c r="R306" s="1771"/>
      <c r="S306" s="1772"/>
    </row>
    <row r="307" spans="1:19" s="85" customFormat="1" ht="13">
      <c r="A307" s="472"/>
      <c r="B307" s="473"/>
      <c r="C307" s="474"/>
      <c r="D307" s="474"/>
      <c r="E307" s="475"/>
      <c r="F307" s="476"/>
      <c r="G307" s="476"/>
      <c r="H307" s="477"/>
      <c r="I307" s="478"/>
      <c r="J307" s="89">
        <f t="shared" si="16"/>
        <v>0</v>
      </c>
      <c r="K307" s="479"/>
      <c r="L307" s="480"/>
      <c r="M307" s="64">
        <f t="shared" si="17"/>
        <v>0</v>
      </c>
      <c r="N307" s="90">
        <f t="shared" si="18"/>
        <v>0</v>
      </c>
      <c r="O307" s="139">
        <f t="shared" si="19"/>
        <v>0</v>
      </c>
      <c r="P307" s="481"/>
      <c r="Q307" s="1770"/>
      <c r="R307" s="1771"/>
      <c r="S307" s="1772"/>
    </row>
    <row r="308" spans="1:19" s="85" customFormat="1" ht="13">
      <c r="A308" s="472"/>
      <c r="B308" s="473"/>
      <c r="C308" s="474"/>
      <c r="D308" s="474"/>
      <c r="E308" s="475"/>
      <c r="F308" s="476"/>
      <c r="G308" s="476"/>
      <c r="H308" s="477"/>
      <c r="I308" s="478"/>
      <c r="J308" s="89">
        <f t="shared" si="16"/>
        <v>0</v>
      </c>
      <c r="K308" s="479"/>
      <c r="L308" s="480"/>
      <c r="M308" s="64">
        <f t="shared" si="17"/>
        <v>0</v>
      </c>
      <c r="N308" s="90">
        <f t="shared" si="18"/>
        <v>0</v>
      </c>
      <c r="O308" s="139">
        <f t="shared" si="19"/>
        <v>0</v>
      </c>
      <c r="P308" s="481"/>
      <c r="Q308" s="1770"/>
      <c r="R308" s="1771"/>
      <c r="S308" s="1772"/>
    </row>
    <row r="309" spans="1:19" s="85" customFormat="1" ht="13">
      <c r="A309" s="472"/>
      <c r="B309" s="473"/>
      <c r="C309" s="474"/>
      <c r="D309" s="474"/>
      <c r="E309" s="475"/>
      <c r="F309" s="476"/>
      <c r="G309" s="476"/>
      <c r="H309" s="477"/>
      <c r="I309" s="478"/>
      <c r="J309" s="89">
        <f t="shared" si="16"/>
        <v>0</v>
      </c>
      <c r="K309" s="479"/>
      <c r="L309" s="480"/>
      <c r="M309" s="64">
        <f t="shared" si="17"/>
        <v>0</v>
      </c>
      <c r="N309" s="90">
        <f t="shared" si="18"/>
        <v>0</v>
      </c>
      <c r="O309" s="139">
        <f t="shared" si="19"/>
        <v>0</v>
      </c>
      <c r="P309" s="481"/>
      <c r="Q309" s="1770"/>
      <c r="R309" s="1771"/>
      <c r="S309" s="1772"/>
    </row>
    <row r="310" spans="1:19" s="85" customFormat="1" ht="13">
      <c r="A310" s="472"/>
      <c r="B310" s="473"/>
      <c r="C310" s="474"/>
      <c r="D310" s="474"/>
      <c r="E310" s="475"/>
      <c r="F310" s="476"/>
      <c r="G310" s="476"/>
      <c r="H310" s="477"/>
      <c r="I310" s="478"/>
      <c r="J310" s="89">
        <f t="shared" si="16"/>
        <v>0</v>
      </c>
      <c r="K310" s="479"/>
      <c r="L310" s="480"/>
      <c r="M310" s="64">
        <f t="shared" si="17"/>
        <v>0</v>
      </c>
      <c r="N310" s="90">
        <f t="shared" si="18"/>
        <v>0</v>
      </c>
      <c r="O310" s="139">
        <f t="shared" si="19"/>
        <v>0</v>
      </c>
      <c r="P310" s="481"/>
      <c r="Q310" s="1770"/>
      <c r="R310" s="1771"/>
      <c r="S310" s="1772"/>
    </row>
    <row r="311" spans="1:19" s="85" customFormat="1" ht="13">
      <c r="A311" s="472"/>
      <c r="B311" s="473"/>
      <c r="C311" s="474"/>
      <c r="D311" s="474"/>
      <c r="E311" s="475"/>
      <c r="F311" s="476"/>
      <c r="G311" s="476"/>
      <c r="H311" s="477"/>
      <c r="I311" s="478"/>
      <c r="J311" s="89">
        <f t="shared" si="16"/>
        <v>0</v>
      </c>
      <c r="K311" s="479"/>
      <c r="L311" s="480"/>
      <c r="M311" s="64">
        <f t="shared" si="17"/>
        <v>0</v>
      </c>
      <c r="N311" s="90">
        <f t="shared" si="18"/>
        <v>0</v>
      </c>
      <c r="O311" s="139">
        <f t="shared" si="19"/>
        <v>0</v>
      </c>
      <c r="P311" s="481"/>
      <c r="Q311" s="1770"/>
      <c r="R311" s="1771"/>
      <c r="S311" s="1772"/>
    </row>
    <row r="312" spans="1:19" s="85" customFormat="1" ht="13">
      <c r="A312" s="472"/>
      <c r="B312" s="473"/>
      <c r="C312" s="474"/>
      <c r="D312" s="474"/>
      <c r="E312" s="475"/>
      <c r="F312" s="476"/>
      <c r="G312" s="476"/>
      <c r="H312" s="477"/>
      <c r="I312" s="478"/>
      <c r="J312" s="89">
        <f t="shared" si="16"/>
        <v>0</v>
      </c>
      <c r="K312" s="479"/>
      <c r="L312" s="480"/>
      <c r="M312" s="64">
        <f t="shared" si="17"/>
        <v>0</v>
      </c>
      <c r="N312" s="90">
        <f t="shared" si="18"/>
        <v>0</v>
      </c>
      <c r="O312" s="139">
        <f t="shared" si="19"/>
        <v>0</v>
      </c>
      <c r="P312" s="481"/>
      <c r="Q312" s="1770"/>
      <c r="R312" s="1771"/>
      <c r="S312" s="1772"/>
    </row>
    <row r="313" spans="1:19" s="85" customFormat="1" ht="13">
      <c r="A313" s="472"/>
      <c r="B313" s="473"/>
      <c r="C313" s="474"/>
      <c r="D313" s="474"/>
      <c r="E313" s="475"/>
      <c r="F313" s="476"/>
      <c r="G313" s="476"/>
      <c r="H313" s="477"/>
      <c r="I313" s="478"/>
      <c r="J313" s="89">
        <f t="shared" si="16"/>
        <v>0</v>
      </c>
      <c r="K313" s="479"/>
      <c r="L313" s="480"/>
      <c r="M313" s="64">
        <f t="shared" si="17"/>
        <v>0</v>
      </c>
      <c r="N313" s="90">
        <f t="shared" si="18"/>
        <v>0</v>
      </c>
      <c r="O313" s="139">
        <f t="shared" si="19"/>
        <v>0</v>
      </c>
      <c r="P313" s="481"/>
      <c r="Q313" s="1770"/>
      <c r="R313" s="1771"/>
      <c r="S313" s="1772"/>
    </row>
    <row r="314" spans="1:19" s="85" customFormat="1" ht="13">
      <c r="A314" s="472"/>
      <c r="B314" s="473"/>
      <c r="C314" s="474"/>
      <c r="D314" s="474"/>
      <c r="E314" s="475"/>
      <c r="F314" s="476"/>
      <c r="G314" s="476"/>
      <c r="H314" s="477"/>
      <c r="I314" s="478"/>
      <c r="J314" s="89">
        <f t="shared" si="16"/>
        <v>0</v>
      </c>
      <c r="K314" s="479"/>
      <c r="L314" s="480"/>
      <c r="M314" s="64">
        <f t="shared" si="17"/>
        <v>0</v>
      </c>
      <c r="N314" s="90">
        <f t="shared" si="18"/>
        <v>0</v>
      </c>
      <c r="O314" s="139">
        <f t="shared" si="19"/>
        <v>0</v>
      </c>
      <c r="P314" s="481"/>
      <c r="Q314" s="1770"/>
      <c r="R314" s="1771"/>
      <c r="S314" s="1772"/>
    </row>
    <row r="315" spans="1:19" s="85" customFormat="1" ht="13">
      <c r="A315" s="472"/>
      <c r="B315" s="473"/>
      <c r="C315" s="474"/>
      <c r="D315" s="474"/>
      <c r="E315" s="475"/>
      <c r="F315" s="476"/>
      <c r="G315" s="476"/>
      <c r="H315" s="477"/>
      <c r="I315" s="478"/>
      <c r="J315" s="89">
        <f t="shared" si="16"/>
        <v>0</v>
      </c>
      <c r="K315" s="479"/>
      <c r="L315" s="480"/>
      <c r="M315" s="64">
        <f t="shared" si="17"/>
        <v>0</v>
      </c>
      <c r="N315" s="90">
        <f t="shared" si="18"/>
        <v>0</v>
      </c>
      <c r="O315" s="139">
        <f t="shared" si="19"/>
        <v>0</v>
      </c>
      <c r="P315" s="481"/>
      <c r="Q315" s="1770"/>
      <c r="R315" s="1771"/>
      <c r="S315" s="1772"/>
    </row>
    <row r="316" spans="1:19" s="85" customFormat="1" ht="13">
      <c r="A316" s="472"/>
      <c r="B316" s="473"/>
      <c r="C316" s="474"/>
      <c r="D316" s="474"/>
      <c r="E316" s="475"/>
      <c r="F316" s="476"/>
      <c r="G316" s="476"/>
      <c r="H316" s="477"/>
      <c r="I316" s="478"/>
      <c r="J316" s="89">
        <f t="shared" si="16"/>
        <v>0</v>
      </c>
      <c r="K316" s="479"/>
      <c r="L316" s="480"/>
      <c r="M316" s="64">
        <f t="shared" si="17"/>
        <v>0</v>
      </c>
      <c r="N316" s="90">
        <f t="shared" si="18"/>
        <v>0</v>
      </c>
      <c r="O316" s="139">
        <f t="shared" si="19"/>
        <v>0</v>
      </c>
      <c r="P316" s="481"/>
      <c r="Q316" s="1770"/>
      <c r="R316" s="1771"/>
      <c r="S316" s="1772"/>
    </row>
    <row r="317" spans="1:19" s="85" customFormat="1" ht="13">
      <c r="A317" s="472"/>
      <c r="B317" s="473"/>
      <c r="C317" s="474"/>
      <c r="D317" s="474"/>
      <c r="E317" s="475"/>
      <c r="F317" s="476"/>
      <c r="G317" s="476"/>
      <c r="H317" s="477"/>
      <c r="I317" s="478"/>
      <c r="J317" s="89">
        <f t="shared" si="16"/>
        <v>0</v>
      </c>
      <c r="K317" s="479"/>
      <c r="L317" s="480"/>
      <c r="M317" s="64">
        <f t="shared" si="17"/>
        <v>0</v>
      </c>
      <c r="N317" s="90">
        <f t="shared" si="18"/>
        <v>0</v>
      </c>
      <c r="O317" s="139">
        <f t="shared" si="19"/>
        <v>0</v>
      </c>
      <c r="P317" s="481"/>
      <c r="Q317" s="1770"/>
      <c r="R317" s="1771"/>
      <c r="S317" s="1772"/>
    </row>
    <row r="318" spans="1:19" s="85" customFormat="1" ht="13">
      <c r="A318" s="472"/>
      <c r="B318" s="473"/>
      <c r="C318" s="474"/>
      <c r="D318" s="474"/>
      <c r="E318" s="475"/>
      <c r="F318" s="476"/>
      <c r="G318" s="476"/>
      <c r="H318" s="477"/>
      <c r="I318" s="478"/>
      <c r="J318" s="89">
        <f t="shared" si="16"/>
        <v>0</v>
      </c>
      <c r="K318" s="479"/>
      <c r="L318" s="480"/>
      <c r="M318" s="64">
        <f t="shared" si="17"/>
        <v>0</v>
      </c>
      <c r="N318" s="90">
        <f t="shared" si="18"/>
        <v>0</v>
      </c>
      <c r="O318" s="139">
        <f t="shared" si="19"/>
        <v>0</v>
      </c>
      <c r="P318" s="481"/>
      <c r="Q318" s="1770"/>
      <c r="R318" s="1771"/>
      <c r="S318" s="1772"/>
    </row>
    <row r="319" spans="1:19" s="85" customFormat="1" ht="13">
      <c r="A319" s="472"/>
      <c r="B319" s="473"/>
      <c r="C319" s="474"/>
      <c r="D319" s="474"/>
      <c r="E319" s="475"/>
      <c r="F319" s="476"/>
      <c r="G319" s="476"/>
      <c r="H319" s="477"/>
      <c r="I319" s="478"/>
      <c r="J319" s="89">
        <f t="shared" si="16"/>
        <v>0</v>
      </c>
      <c r="K319" s="479"/>
      <c r="L319" s="480"/>
      <c r="M319" s="64">
        <f t="shared" si="17"/>
        <v>0</v>
      </c>
      <c r="N319" s="90">
        <f t="shared" si="18"/>
        <v>0</v>
      </c>
      <c r="O319" s="139">
        <f t="shared" si="19"/>
        <v>0</v>
      </c>
      <c r="P319" s="481"/>
      <c r="Q319" s="1770"/>
      <c r="R319" s="1771"/>
      <c r="S319" s="1772"/>
    </row>
    <row r="320" spans="1:19" s="85" customFormat="1" ht="13">
      <c r="A320" s="472"/>
      <c r="B320" s="473"/>
      <c r="C320" s="474"/>
      <c r="D320" s="474"/>
      <c r="E320" s="475"/>
      <c r="F320" s="476"/>
      <c r="G320" s="476"/>
      <c r="H320" s="477"/>
      <c r="I320" s="478"/>
      <c r="J320" s="89">
        <f t="shared" si="16"/>
        <v>0</v>
      </c>
      <c r="K320" s="479"/>
      <c r="L320" s="480"/>
      <c r="M320" s="64">
        <f t="shared" si="17"/>
        <v>0</v>
      </c>
      <c r="N320" s="90">
        <f t="shared" si="18"/>
        <v>0</v>
      </c>
      <c r="O320" s="139">
        <f t="shared" si="19"/>
        <v>0</v>
      </c>
      <c r="P320" s="481"/>
      <c r="Q320" s="1770"/>
      <c r="R320" s="1771"/>
      <c r="S320" s="1772"/>
    </row>
    <row r="321" spans="1:19" s="85" customFormat="1" ht="13">
      <c r="A321" s="472"/>
      <c r="B321" s="473"/>
      <c r="C321" s="474"/>
      <c r="D321" s="474"/>
      <c r="E321" s="475"/>
      <c r="F321" s="476"/>
      <c r="G321" s="476"/>
      <c r="H321" s="477"/>
      <c r="I321" s="478"/>
      <c r="J321" s="89">
        <f t="shared" si="16"/>
        <v>0</v>
      </c>
      <c r="K321" s="479"/>
      <c r="L321" s="480"/>
      <c r="M321" s="64">
        <f t="shared" si="17"/>
        <v>0</v>
      </c>
      <c r="N321" s="90">
        <f t="shared" si="18"/>
        <v>0</v>
      </c>
      <c r="O321" s="139">
        <f t="shared" si="19"/>
        <v>0</v>
      </c>
      <c r="P321" s="481"/>
      <c r="Q321" s="1770"/>
      <c r="R321" s="1771"/>
      <c r="S321" s="1772"/>
    </row>
    <row r="322" spans="1:19" s="85" customFormat="1" ht="13">
      <c r="A322" s="472"/>
      <c r="B322" s="473"/>
      <c r="C322" s="474"/>
      <c r="D322" s="474"/>
      <c r="E322" s="475"/>
      <c r="F322" s="476"/>
      <c r="G322" s="476"/>
      <c r="H322" s="477"/>
      <c r="I322" s="478"/>
      <c r="J322" s="89">
        <f t="shared" si="16"/>
        <v>0</v>
      </c>
      <c r="K322" s="479"/>
      <c r="L322" s="480"/>
      <c r="M322" s="64">
        <f t="shared" si="17"/>
        <v>0</v>
      </c>
      <c r="N322" s="90">
        <f t="shared" si="18"/>
        <v>0</v>
      </c>
      <c r="O322" s="139">
        <f t="shared" si="19"/>
        <v>0</v>
      </c>
      <c r="P322" s="481"/>
      <c r="Q322" s="1770"/>
      <c r="R322" s="1771"/>
      <c r="S322" s="1772"/>
    </row>
    <row r="323" spans="1:19" s="85" customFormat="1" ht="13">
      <c r="A323" s="472"/>
      <c r="B323" s="473"/>
      <c r="C323" s="474"/>
      <c r="D323" s="474"/>
      <c r="E323" s="475"/>
      <c r="F323" s="476"/>
      <c r="G323" s="476"/>
      <c r="H323" s="477"/>
      <c r="I323" s="478"/>
      <c r="J323" s="89">
        <f t="shared" si="16"/>
        <v>0</v>
      </c>
      <c r="K323" s="479"/>
      <c r="L323" s="480"/>
      <c r="M323" s="64">
        <f t="shared" si="17"/>
        <v>0</v>
      </c>
      <c r="N323" s="90">
        <f t="shared" si="18"/>
        <v>0</v>
      </c>
      <c r="O323" s="139">
        <f t="shared" si="19"/>
        <v>0</v>
      </c>
      <c r="P323" s="481"/>
      <c r="Q323" s="1770"/>
      <c r="R323" s="1771"/>
      <c r="S323" s="1772"/>
    </row>
    <row r="324" spans="1:19" s="85" customFormat="1" ht="13">
      <c r="A324" s="472"/>
      <c r="B324" s="473"/>
      <c r="C324" s="474"/>
      <c r="D324" s="474"/>
      <c r="E324" s="475"/>
      <c r="F324" s="476"/>
      <c r="G324" s="476"/>
      <c r="H324" s="477"/>
      <c r="I324" s="478"/>
      <c r="J324" s="89">
        <f t="shared" si="16"/>
        <v>0</v>
      </c>
      <c r="K324" s="479"/>
      <c r="L324" s="480"/>
      <c r="M324" s="64">
        <f t="shared" si="17"/>
        <v>0</v>
      </c>
      <c r="N324" s="90">
        <f t="shared" si="18"/>
        <v>0</v>
      </c>
      <c r="O324" s="139">
        <f t="shared" si="19"/>
        <v>0</v>
      </c>
      <c r="P324" s="481"/>
      <c r="Q324" s="1770"/>
      <c r="R324" s="1771"/>
      <c r="S324" s="1772"/>
    </row>
    <row r="325" spans="1:19" s="85" customFormat="1" ht="13">
      <c r="A325" s="472"/>
      <c r="B325" s="473"/>
      <c r="C325" s="474"/>
      <c r="D325" s="474"/>
      <c r="E325" s="475"/>
      <c r="F325" s="476"/>
      <c r="G325" s="476"/>
      <c r="H325" s="477"/>
      <c r="I325" s="478"/>
      <c r="J325" s="89">
        <f t="shared" si="16"/>
        <v>0</v>
      </c>
      <c r="K325" s="479"/>
      <c r="L325" s="480"/>
      <c r="M325" s="64">
        <f t="shared" si="17"/>
        <v>0</v>
      </c>
      <c r="N325" s="90">
        <f t="shared" si="18"/>
        <v>0</v>
      </c>
      <c r="O325" s="139">
        <f t="shared" si="19"/>
        <v>0</v>
      </c>
      <c r="P325" s="481"/>
      <c r="Q325" s="1770"/>
      <c r="R325" s="1771"/>
      <c r="S325" s="1772"/>
    </row>
    <row r="326" spans="1:19" s="85" customFormat="1" ht="13">
      <c r="A326" s="472"/>
      <c r="B326" s="473"/>
      <c r="C326" s="474"/>
      <c r="D326" s="474"/>
      <c r="E326" s="475"/>
      <c r="F326" s="476"/>
      <c r="G326" s="476"/>
      <c r="H326" s="477"/>
      <c r="I326" s="478"/>
      <c r="J326" s="89">
        <f t="shared" si="16"/>
        <v>0</v>
      </c>
      <c r="K326" s="479"/>
      <c r="L326" s="480"/>
      <c r="M326" s="64">
        <f t="shared" si="17"/>
        <v>0</v>
      </c>
      <c r="N326" s="90">
        <f t="shared" si="18"/>
        <v>0</v>
      </c>
      <c r="O326" s="139">
        <f t="shared" si="19"/>
        <v>0</v>
      </c>
      <c r="P326" s="481"/>
      <c r="Q326" s="1770"/>
      <c r="R326" s="1771"/>
      <c r="S326" s="1772"/>
    </row>
    <row r="327" spans="1:19" s="85" customFormat="1" ht="13">
      <c r="A327" s="472"/>
      <c r="B327" s="473"/>
      <c r="C327" s="474"/>
      <c r="D327" s="474"/>
      <c r="E327" s="475"/>
      <c r="F327" s="476"/>
      <c r="G327" s="476"/>
      <c r="H327" s="477"/>
      <c r="I327" s="478"/>
      <c r="J327" s="89">
        <f t="shared" si="16"/>
        <v>0</v>
      </c>
      <c r="K327" s="479"/>
      <c r="L327" s="480"/>
      <c r="M327" s="64">
        <f t="shared" si="17"/>
        <v>0</v>
      </c>
      <c r="N327" s="90">
        <f t="shared" si="18"/>
        <v>0</v>
      </c>
      <c r="O327" s="139">
        <f t="shared" si="19"/>
        <v>0</v>
      </c>
      <c r="P327" s="481"/>
      <c r="Q327" s="1770"/>
      <c r="R327" s="1771"/>
      <c r="S327" s="1772"/>
    </row>
    <row r="328" spans="1:19" s="85" customFormat="1" ht="13">
      <c r="A328" s="472"/>
      <c r="B328" s="473"/>
      <c r="C328" s="474"/>
      <c r="D328" s="474"/>
      <c r="E328" s="475"/>
      <c r="F328" s="476"/>
      <c r="G328" s="476"/>
      <c r="H328" s="477"/>
      <c r="I328" s="478"/>
      <c r="J328" s="89">
        <f t="shared" si="16"/>
        <v>0</v>
      </c>
      <c r="K328" s="479"/>
      <c r="L328" s="480"/>
      <c r="M328" s="64">
        <f t="shared" si="17"/>
        <v>0</v>
      </c>
      <c r="N328" s="90">
        <f t="shared" si="18"/>
        <v>0</v>
      </c>
      <c r="O328" s="139">
        <f t="shared" si="19"/>
        <v>0</v>
      </c>
      <c r="P328" s="481"/>
      <c r="Q328" s="1770"/>
      <c r="R328" s="1771"/>
      <c r="S328" s="1772"/>
    </row>
    <row r="329" spans="1:19" s="85" customFormat="1" ht="13">
      <c r="A329" s="472"/>
      <c r="B329" s="473"/>
      <c r="C329" s="474"/>
      <c r="D329" s="474"/>
      <c r="E329" s="475"/>
      <c r="F329" s="476"/>
      <c r="G329" s="476"/>
      <c r="H329" s="477"/>
      <c r="I329" s="478"/>
      <c r="J329" s="89">
        <f t="shared" si="16"/>
        <v>0</v>
      </c>
      <c r="K329" s="479"/>
      <c r="L329" s="480"/>
      <c r="M329" s="64">
        <f t="shared" si="17"/>
        <v>0</v>
      </c>
      <c r="N329" s="90">
        <f t="shared" si="18"/>
        <v>0</v>
      </c>
      <c r="O329" s="139">
        <f t="shared" si="19"/>
        <v>0</v>
      </c>
      <c r="P329" s="481"/>
      <c r="Q329" s="1770"/>
      <c r="R329" s="1771"/>
      <c r="S329" s="1772"/>
    </row>
    <row r="330" spans="1:19" s="85" customFormat="1" ht="13">
      <c r="A330" s="472"/>
      <c r="B330" s="473"/>
      <c r="C330" s="474"/>
      <c r="D330" s="474"/>
      <c r="E330" s="475"/>
      <c r="F330" s="476"/>
      <c r="G330" s="476"/>
      <c r="H330" s="477"/>
      <c r="I330" s="478"/>
      <c r="J330" s="89">
        <f t="shared" si="16"/>
        <v>0</v>
      </c>
      <c r="K330" s="479"/>
      <c r="L330" s="480"/>
      <c r="M330" s="64">
        <f t="shared" si="17"/>
        <v>0</v>
      </c>
      <c r="N330" s="90">
        <f t="shared" si="18"/>
        <v>0</v>
      </c>
      <c r="O330" s="139">
        <f t="shared" si="19"/>
        <v>0</v>
      </c>
      <c r="P330" s="481"/>
      <c r="Q330" s="1770"/>
      <c r="R330" s="1771"/>
      <c r="S330" s="1772"/>
    </row>
    <row r="331" spans="1:19" s="85" customFormat="1" ht="13">
      <c r="A331" s="472"/>
      <c r="B331" s="473"/>
      <c r="C331" s="474"/>
      <c r="D331" s="474"/>
      <c r="E331" s="475"/>
      <c r="F331" s="476"/>
      <c r="G331" s="476"/>
      <c r="H331" s="477"/>
      <c r="I331" s="478"/>
      <c r="J331" s="89">
        <f t="shared" ref="J331:J371" si="20">IF(H331=0,0,(+I331)/H331)</f>
        <v>0</v>
      </c>
      <c r="K331" s="479"/>
      <c r="L331" s="480"/>
      <c r="M331" s="64">
        <f t="shared" ref="M331:M371" si="21">+K331*L331</f>
        <v>0</v>
      </c>
      <c r="N331" s="90">
        <f t="shared" ref="N331:N371" si="22">+K331-H331</f>
        <v>0</v>
      </c>
      <c r="O331" s="139">
        <f t="shared" ref="O331:O371" si="23">+M331-I331</f>
        <v>0</v>
      </c>
      <c r="P331" s="481"/>
      <c r="Q331" s="1770"/>
      <c r="R331" s="1771"/>
      <c r="S331" s="1772"/>
    </row>
    <row r="332" spans="1:19" s="85" customFormat="1" ht="13">
      <c r="A332" s="472"/>
      <c r="B332" s="473"/>
      <c r="C332" s="474"/>
      <c r="D332" s="474"/>
      <c r="E332" s="475"/>
      <c r="F332" s="476"/>
      <c r="G332" s="476"/>
      <c r="H332" s="477"/>
      <c r="I332" s="478"/>
      <c r="J332" s="89">
        <f t="shared" si="20"/>
        <v>0</v>
      </c>
      <c r="K332" s="479"/>
      <c r="L332" s="480"/>
      <c r="M332" s="64">
        <f t="shared" si="21"/>
        <v>0</v>
      </c>
      <c r="N332" s="90">
        <f t="shared" si="22"/>
        <v>0</v>
      </c>
      <c r="O332" s="139">
        <f t="shared" si="23"/>
        <v>0</v>
      </c>
      <c r="P332" s="481"/>
      <c r="Q332" s="1770"/>
      <c r="R332" s="1771"/>
      <c r="S332" s="1772"/>
    </row>
    <row r="333" spans="1:19" s="85" customFormat="1" ht="13">
      <c r="A333" s="472"/>
      <c r="B333" s="473"/>
      <c r="C333" s="474"/>
      <c r="D333" s="474"/>
      <c r="E333" s="475"/>
      <c r="F333" s="476"/>
      <c r="G333" s="476"/>
      <c r="H333" s="477"/>
      <c r="I333" s="478"/>
      <c r="J333" s="89">
        <f t="shared" si="20"/>
        <v>0</v>
      </c>
      <c r="K333" s="479"/>
      <c r="L333" s="480"/>
      <c r="M333" s="64">
        <f t="shared" si="21"/>
        <v>0</v>
      </c>
      <c r="N333" s="90">
        <f t="shared" si="22"/>
        <v>0</v>
      </c>
      <c r="O333" s="139">
        <f t="shared" si="23"/>
        <v>0</v>
      </c>
      <c r="P333" s="481"/>
      <c r="Q333" s="1770"/>
      <c r="R333" s="1771"/>
      <c r="S333" s="1772"/>
    </row>
    <row r="334" spans="1:19" s="85" customFormat="1" ht="13">
      <c r="A334" s="472"/>
      <c r="B334" s="473"/>
      <c r="C334" s="474"/>
      <c r="D334" s="474"/>
      <c r="E334" s="475"/>
      <c r="F334" s="476"/>
      <c r="G334" s="476"/>
      <c r="H334" s="477"/>
      <c r="I334" s="478"/>
      <c r="J334" s="89">
        <f t="shared" si="20"/>
        <v>0</v>
      </c>
      <c r="K334" s="479"/>
      <c r="L334" s="480"/>
      <c r="M334" s="64">
        <f t="shared" si="21"/>
        <v>0</v>
      </c>
      <c r="N334" s="90">
        <f t="shared" si="22"/>
        <v>0</v>
      </c>
      <c r="O334" s="139">
        <f t="shared" si="23"/>
        <v>0</v>
      </c>
      <c r="P334" s="481"/>
      <c r="Q334" s="1770"/>
      <c r="R334" s="1771"/>
      <c r="S334" s="1772"/>
    </row>
    <row r="335" spans="1:19" s="85" customFormat="1" ht="13">
      <c r="A335" s="472"/>
      <c r="B335" s="473"/>
      <c r="C335" s="474"/>
      <c r="D335" s="474"/>
      <c r="E335" s="475"/>
      <c r="F335" s="476"/>
      <c r="G335" s="476"/>
      <c r="H335" s="477"/>
      <c r="I335" s="478"/>
      <c r="J335" s="89">
        <f t="shared" si="20"/>
        <v>0</v>
      </c>
      <c r="K335" s="479"/>
      <c r="L335" s="480"/>
      <c r="M335" s="64">
        <f t="shared" si="21"/>
        <v>0</v>
      </c>
      <c r="N335" s="90">
        <f t="shared" si="22"/>
        <v>0</v>
      </c>
      <c r="O335" s="139">
        <f t="shared" si="23"/>
        <v>0</v>
      </c>
      <c r="P335" s="481"/>
      <c r="Q335" s="1770"/>
      <c r="R335" s="1771"/>
      <c r="S335" s="1772"/>
    </row>
    <row r="336" spans="1:19" s="85" customFormat="1" ht="13">
      <c r="A336" s="472"/>
      <c r="B336" s="473"/>
      <c r="C336" s="474"/>
      <c r="D336" s="474"/>
      <c r="E336" s="475"/>
      <c r="F336" s="476"/>
      <c r="G336" s="476"/>
      <c r="H336" s="477"/>
      <c r="I336" s="478"/>
      <c r="J336" s="89">
        <f t="shared" si="20"/>
        <v>0</v>
      </c>
      <c r="K336" s="479"/>
      <c r="L336" s="480"/>
      <c r="M336" s="64">
        <f t="shared" si="21"/>
        <v>0</v>
      </c>
      <c r="N336" s="90">
        <f t="shared" si="22"/>
        <v>0</v>
      </c>
      <c r="O336" s="139">
        <f t="shared" si="23"/>
        <v>0</v>
      </c>
      <c r="P336" s="481"/>
      <c r="Q336" s="1770"/>
      <c r="R336" s="1771"/>
      <c r="S336" s="1772"/>
    </row>
    <row r="337" spans="1:19" s="85" customFormat="1" ht="13">
      <c r="A337" s="472"/>
      <c r="B337" s="473"/>
      <c r="C337" s="474"/>
      <c r="D337" s="474"/>
      <c r="E337" s="475"/>
      <c r="F337" s="476"/>
      <c r="G337" s="476"/>
      <c r="H337" s="477"/>
      <c r="I337" s="478"/>
      <c r="J337" s="89">
        <f t="shared" si="20"/>
        <v>0</v>
      </c>
      <c r="K337" s="479"/>
      <c r="L337" s="480"/>
      <c r="M337" s="64">
        <f t="shared" si="21"/>
        <v>0</v>
      </c>
      <c r="N337" s="90">
        <f t="shared" si="22"/>
        <v>0</v>
      </c>
      <c r="O337" s="139">
        <f t="shared" si="23"/>
        <v>0</v>
      </c>
      <c r="P337" s="481"/>
      <c r="Q337" s="1770"/>
      <c r="R337" s="1771"/>
      <c r="S337" s="1772"/>
    </row>
    <row r="338" spans="1:19" s="85" customFormat="1" ht="13">
      <c r="A338" s="472"/>
      <c r="B338" s="473"/>
      <c r="C338" s="474"/>
      <c r="D338" s="474"/>
      <c r="E338" s="475"/>
      <c r="F338" s="476"/>
      <c r="G338" s="476"/>
      <c r="H338" s="477"/>
      <c r="I338" s="478"/>
      <c r="J338" s="89">
        <f t="shared" si="20"/>
        <v>0</v>
      </c>
      <c r="K338" s="479"/>
      <c r="L338" s="480"/>
      <c r="M338" s="64">
        <f t="shared" si="21"/>
        <v>0</v>
      </c>
      <c r="N338" s="90">
        <f t="shared" si="22"/>
        <v>0</v>
      </c>
      <c r="O338" s="139">
        <f t="shared" si="23"/>
        <v>0</v>
      </c>
      <c r="P338" s="481"/>
      <c r="Q338" s="1770"/>
      <c r="R338" s="1771"/>
      <c r="S338" s="1772"/>
    </row>
    <row r="339" spans="1:19" s="85" customFormat="1" ht="13">
      <c r="A339" s="472"/>
      <c r="B339" s="473"/>
      <c r="C339" s="474"/>
      <c r="D339" s="474"/>
      <c r="E339" s="475"/>
      <c r="F339" s="476"/>
      <c r="G339" s="476"/>
      <c r="H339" s="477"/>
      <c r="I339" s="478"/>
      <c r="J339" s="89">
        <f t="shared" si="20"/>
        <v>0</v>
      </c>
      <c r="K339" s="479"/>
      <c r="L339" s="480"/>
      <c r="M339" s="64">
        <f t="shared" si="21"/>
        <v>0</v>
      </c>
      <c r="N339" s="90">
        <f t="shared" si="22"/>
        <v>0</v>
      </c>
      <c r="O339" s="139">
        <f t="shared" si="23"/>
        <v>0</v>
      </c>
      <c r="P339" s="481"/>
      <c r="Q339" s="1770"/>
      <c r="R339" s="1771"/>
      <c r="S339" s="1772"/>
    </row>
    <row r="340" spans="1:19" s="85" customFormat="1" ht="13">
      <c r="A340" s="472"/>
      <c r="B340" s="473"/>
      <c r="C340" s="474"/>
      <c r="D340" s="474"/>
      <c r="E340" s="475"/>
      <c r="F340" s="476"/>
      <c r="G340" s="476"/>
      <c r="H340" s="477"/>
      <c r="I340" s="478"/>
      <c r="J340" s="89">
        <f t="shared" si="20"/>
        <v>0</v>
      </c>
      <c r="K340" s="479"/>
      <c r="L340" s="480"/>
      <c r="M340" s="64">
        <f t="shared" si="21"/>
        <v>0</v>
      </c>
      <c r="N340" s="90">
        <f t="shared" si="22"/>
        <v>0</v>
      </c>
      <c r="O340" s="139">
        <f t="shared" si="23"/>
        <v>0</v>
      </c>
      <c r="P340" s="481"/>
      <c r="Q340" s="1770"/>
      <c r="R340" s="1771"/>
      <c r="S340" s="1772"/>
    </row>
    <row r="341" spans="1:19" s="85" customFormat="1" ht="13">
      <c r="A341" s="472"/>
      <c r="B341" s="473"/>
      <c r="C341" s="474"/>
      <c r="D341" s="474"/>
      <c r="E341" s="475"/>
      <c r="F341" s="476"/>
      <c r="G341" s="476"/>
      <c r="H341" s="477"/>
      <c r="I341" s="478"/>
      <c r="J341" s="89">
        <f t="shared" si="20"/>
        <v>0</v>
      </c>
      <c r="K341" s="479"/>
      <c r="L341" s="480"/>
      <c r="M341" s="64">
        <f t="shared" si="21"/>
        <v>0</v>
      </c>
      <c r="N341" s="90">
        <f t="shared" si="22"/>
        <v>0</v>
      </c>
      <c r="O341" s="139">
        <f t="shared" si="23"/>
        <v>0</v>
      </c>
      <c r="P341" s="481"/>
      <c r="Q341" s="1770"/>
      <c r="R341" s="1771"/>
      <c r="S341" s="1772"/>
    </row>
    <row r="342" spans="1:19" s="85" customFormat="1" ht="13">
      <c r="A342" s="472"/>
      <c r="B342" s="473"/>
      <c r="C342" s="474"/>
      <c r="D342" s="474"/>
      <c r="E342" s="475"/>
      <c r="F342" s="476"/>
      <c r="G342" s="476"/>
      <c r="H342" s="477"/>
      <c r="I342" s="478"/>
      <c r="J342" s="89">
        <f t="shared" si="20"/>
        <v>0</v>
      </c>
      <c r="K342" s="479"/>
      <c r="L342" s="480"/>
      <c r="M342" s="64">
        <f t="shared" si="21"/>
        <v>0</v>
      </c>
      <c r="N342" s="90">
        <f t="shared" si="22"/>
        <v>0</v>
      </c>
      <c r="O342" s="139">
        <f t="shared" si="23"/>
        <v>0</v>
      </c>
      <c r="P342" s="481"/>
      <c r="Q342" s="1770"/>
      <c r="R342" s="1771"/>
      <c r="S342" s="1772"/>
    </row>
    <row r="343" spans="1:19" s="85" customFormat="1" ht="13">
      <c r="A343" s="472"/>
      <c r="B343" s="473"/>
      <c r="C343" s="474"/>
      <c r="D343" s="474"/>
      <c r="E343" s="475"/>
      <c r="F343" s="476"/>
      <c r="G343" s="476"/>
      <c r="H343" s="477"/>
      <c r="I343" s="478"/>
      <c r="J343" s="89">
        <f t="shared" si="20"/>
        <v>0</v>
      </c>
      <c r="K343" s="479"/>
      <c r="L343" s="480"/>
      <c r="M343" s="64">
        <f t="shared" si="21"/>
        <v>0</v>
      </c>
      <c r="N343" s="90">
        <f t="shared" si="22"/>
        <v>0</v>
      </c>
      <c r="O343" s="139">
        <f t="shared" si="23"/>
        <v>0</v>
      </c>
      <c r="P343" s="481"/>
      <c r="Q343" s="1770"/>
      <c r="R343" s="1771"/>
      <c r="S343" s="1772"/>
    </row>
    <row r="344" spans="1:19" s="85" customFormat="1" ht="13">
      <c r="A344" s="472"/>
      <c r="B344" s="473"/>
      <c r="C344" s="474"/>
      <c r="D344" s="474"/>
      <c r="E344" s="475"/>
      <c r="F344" s="476"/>
      <c r="G344" s="476"/>
      <c r="H344" s="477"/>
      <c r="I344" s="478"/>
      <c r="J344" s="89">
        <f t="shared" si="20"/>
        <v>0</v>
      </c>
      <c r="K344" s="479"/>
      <c r="L344" s="480"/>
      <c r="M344" s="64">
        <f t="shared" si="21"/>
        <v>0</v>
      </c>
      <c r="N344" s="90">
        <f t="shared" si="22"/>
        <v>0</v>
      </c>
      <c r="O344" s="139">
        <f t="shared" si="23"/>
        <v>0</v>
      </c>
      <c r="P344" s="481"/>
      <c r="Q344" s="1770"/>
      <c r="R344" s="1771"/>
      <c r="S344" s="1772"/>
    </row>
    <row r="345" spans="1:19" s="85" customFormat="1" ht="13">
      <c r="A345" s="472"/>
      <c r="B345" s="473"/>
      <c r="C345" s="474"/>
      <c r="D345" s="474"/>
      <c r="E345" s="475"/>
      <c r="F345" s="476"/>
      <c r="G345" s="476"/>
      <c r="H345" s="477"/>
      <c r="I345" s="478"/>
      <c r="J345" s="89">
        <f t="shared" si="20"/>
        <v>0</v>
      </c>
      <c r="K345" s="479"/>
      <c r="L345" s="480"/>
      <c r="M345" s="64">
        <f t="shared" si="21"/>
        <v>0</v>
      </c>
      <c r="N345" s="90">
        <f t="shared" si="22"/>
        <v>0</v>
      </c>
      <c r="O345" s="139">
        <f t="shared" si="23"/>
        <v>0</v>
      </c>
      <c r="P345" s="481"/>
      <c r="Q345" s="1770"/>
      <c r="R345" s="1771"/>
      <c r="S345" s="1772"/>
    </row>
    <row r="346" spans="1:19" s="85" customFormat="1" ht="13">
      <c r="A346" s="472"/>
      <c r="B346" s="473"/>
      <c r="C346" s="474"/>
      <c r="D346" s="474"/>
      <c r="E346" s="475"/>
      <c r="F346" s="476"/>
      <c r="G346" s="476"/>
      <c r="H346" s="477"/>
      <c r="I346" s="478"/>
      <c r="J346" s="89">
        <f t="shared" si="20"/>
        <v>0</v>
      </c>
      <c r="K346" s="479"/>
      <c r="L346" s="480"/>
      <c r="M346" s="64">
        <f t="shared" si="21"/>
        <v>0</v>
      </c>
      <c r="N346" s="90">
        <f t="shared" si="22"/>
        <v>0</v>
      </c>
      <c r="O346" s="139">
        <f t="shared" si="23"/>
        <v>0</v>
      </c>
      <c r="P346" s="481"/>
      <c r="Q346" s="1770"/>
      <c r="R346" s="1771"/>
      <c r="S346" s="1772"/>
    </row>
    <row r="347" spans="1:19" s="85" customFormat="1" ht="13">
      <c r="A347" s="472"/>
      <c r="B347" s="473"/>
      <c r="C347" s="474"/>
      <c r="D347" s="474"/>
      <c r="E347" s="475"/>
      <c r="F347" s="476"/>
      <c r="G347" s="476"/>
      <c r="H347" s="477"/>
      <c r="I347" s="478"/>
      <c r="J347" s="89">
        <f t="shared" si="20"/>
        <v>0</v>
      </c>
      <c r="K347" s="479"/>
      <c r="L347" s="480"/>
      <c r="M347" s="64">
        <f t="shared" si="21"/>
        <v>0</v>
      </c>
      <c r="N347" s="90">
        <f t="shared" si="22"/>
        <v>0</v>
      </c>
      <c r="O347" s="139">
        <f t="shared" si="23"/>
        <v>0</v>
      </c>
      <c r="P347" s="481"/>
      <c r="Q347" s="1770"/>
      <c r="R347" s="1771"/>
      <c r="S347" s="1772"/>
    </row>
    <row r="348" spans="1:19" s="85" customFormat="1" ht="13">
      <c r="A348" s="472"/>
      <c r="B348" s="473"/>
      <c r="C348" s="474"/>
      <c r="D348" s="474"/>
      <c r="E348" s="475"/>
      <c r="F348" s="476"/>
      <c r="G348" s="476"/>
      <c r="H348" s="477"/>
      <c r="I348" s="478"/>
      <c r="J348" s="89">
        <f t="shared" si="20"/>
        <v>0</v>
      </c>
      <c r="K348" s="479"/>
      <c r="L348" s="480"/>
      <c r="M348" s="64">
        <f t="shared" si="21"/>
        <v>0</v>
      </c>
      <c r="N348" s="90">
        <f t="shared" si="22"/>
        <v>0</v>
      </c>
      <c r="O348" s="139">
        <f t="shared" si="23"/>
        <v>0</v>
      </c>
      <c r="P348" s="481"/>
      <c r="Q348" s="1770"/>
      <c r="R348" s="1771"/>
      <c r="S348" s="1772"/>
    </row>
    <row r="349" spans="1:19" s="85" customFormat="1" ht="13">
      <c r="A349" s="472"/>
      <c r="B349" s="473"/>
      <c r="C349" s="474"/>
      <c r="D349" s="474"/>
      <c r="E349" s="475"/>
      <c r="F349" s="476"/>
      <c r="G349" s="476"/>
      <c r="H349" s="477"/>
      <c r="I349" s="478"/>
      <c r="J349" s="89">
        <f t="shared" si="20"/>
        <v>0</v>
      </c>
      <c r="K349" s="479"/>
      <c r="L349" s="480"/>
      <c r="M349" s="64">
        <f t="shared" si="21"/>
        <v>0</v>
      </c>
      <c r="N349" s="90">
        <f t="shared" si="22"/>
        <v>0</v>
      </c>
      <c r="O349" s="139">
        <f t="shared" si="23"/>
        <v>0</v>
      </c>
      <c r="P349" s="481"/>
      <c r="Q349" s="1770"/>
      <c r="R349" s="1771"/>
      <c r="S349" s="1772"/>
    </row>
    <row r="350" spans="1:19" s="85" customFormat="1" ht="13">
      <c r="A350" s="472"/>
      <c r="B350" s="473"/>
      <c r="C350" s="474"/>
      <c r="D350" s="474"/>
      <c r="E350" s="475"/>
      <c r="F350" s="476"/>
      <c r="G350" s="476"/>
      <c r="H350" s="477"/>
      <c r="I350" s="478"/>
      <c r="J350" s="89">
        <f t="shared" si="20"/>
        <v>0</v>
      </c>
      <c r="K350" s="479"/>
      <c r="L350" s="480"/>
      <c r="M350" s="64">
        <f t="shared" si="21"/>
        <v>0</v>
      </c>
      <c r="N350" s="90">
        <f t="shared" si="22"/>
        <v>0</v>
      </c>
      <c r="O350" s="139">
        <f t="shared" si="23"/>
        <v>0</v>
      </c>
      <c r="P350" s="481"/>
      <c r="Q350" s="1770"/>
      <c r="R350" s="1771"/>
      <c r="S350" s="1772"/>
    </row>
    <row r="351" spans="1:19" s="85" customFormat="1" ht="13">
      <c r="A351" s="472"/>
      <c r="B351" s="473"/>
      <c r="C351" s="474"/>
      <c r="D351" s="474"/>
      <c r="E351" s="475"/>
      <c r="F351" s="476"/>
      <c r="G351" s="476"/>
      <c r="H351" s="477"/>
      <c r="I351" s="478"/>
      <c r="J351" s="89">
        <f t="shared" si="20"/>
        <v>0</v>
      </c>
      <c r="K351" s="479"/>
      <c r="L351" s="480"/>
      <c r="M351" s="64">
        <f t="shared" si="21"/>
        <v>0</v>
      </c>
      <c r="N351" s="90">
        <f t="shared" si="22"/>
        <v>0</v>
      </c>
      <c r="O351" s="139">
        <f t="shared" si="23"/>
        <v>0</v>
      </c>
      <c r="P351" s="481"/>
      <c r="Q351" s="1770"/>
      <c r="R351" s="1771"/>
      <c r="S351" s="1772"/>
    </row>
    <row r="352" spans="1:19" s="85" customFormat="1" ht="13">
      <c r="A352" s="472"/>
      <c r="B352" s="473"/>
      <c r="C352" s="474"/>
      <c r="D352" s="474"/>
      <c r="E352" s="475"/>
      <c r="F352" s="476"/>
      <c r="G352" s="476"/>
      <c r="H352" s="477"/>
      <c r="I352" s="478"/>
      <c r="J352" s="89">
        <f t="shared" si="20"/>
        <v>0</v>
      </c>
      <c r="K352" s="479"/>
      <c r="L352" s="480"/>
      <c r="M352" s="64">
        <f t="shared" si="21"/>
        <v>0</v>
      </c>
      <c r="N352" s="90">
        <f t="shared" si="22"/>
        <v>0</v>
      </c>
      <c r="O352" s="139">
        <f t="shared" si="23"/>
        <v>0</v>
      </c>
      <c r="P352" s="481"/>
      <c r="Q352" s="1770"/>
      <c r="R352" s="1771"/>
      <c r="S352" s="1772"/>
    </row>
    <row r="353" spans="1:19" s="85" customFormat="1" ht="13">
      <c r="A353" s="472"/>
      <c r="B353" s="473"/>
      <c r="C353" s="474"/>
      <c r="D353" s="474"/>
      <c r="E353" s="475"/>
      <c r="F353" s="476"/>
      <c r="G353" s="476"/>
      <c r="H353" s="477"/>
      <c r="I353" s="478"/>
      <c r="J353" s="89">
        <f t="shared" si="20"/>
        <v>0</v>
      </c>
      <c r="K353" s="479"/>
      <c r="L353" s="480"/>
      <c r="M353" s="64">
        <f t="shared" si="21"/>
        <v>0</v>
      </c>
      <c r="N353" s="90">
        <f t="shared" si="22"/>
        <v>0</v>
      </c>
      <c r="O353" s="139">
        <f t="shared" si="23"/>
        <v>0</v>
      </c>
      <c r="P353" s="481"/>
      <c r="Q353" s="1770"/>
      <c r="R353" s="1771"/>
      <c r="S353" s="1772"/>
    </row>
    <row r="354" spans="1:19" s="85" customFormat="1" ht="13">
      <c r="A354" s="472"/>
      <c r="B354" s="473"/>
      <c r="C354" s="474"/>
      <c r="D354" s="474"/>
      <c r="E354" s="475"/>
      <c r="F354" s="476"/>
      <c r="G354" s="476"/>
      <c r="H354" s="477"/>
      <c r="I354" s="478"/>
      <c r="J354" s="89">
        <f t="shared" si="20"/>
        <v>0</v>
      </c>
      <c r="K354" s="479"/>
      <c r="L354" s="480"/>
      <c r="M354" s="64">
        <f t="shared" si="21"/>
        <v>0</v>
      </c>
      <c r="N354" s="90">
        <f t="shared" si="22"/>
        <v>0</v>
      </c>
      <c r="O354" s="139">
        <f t="shared" si="23"/>
        <v>0</v>
      </c>
      <c r="P354" s="481"/>
      <c r="Q354" s="1770"/>
      <c r="R354" s="1771"/>
      <c r="S354" s="1772"/>
    </row>
    <row r="355" spans="1:19" s="85" customFormat="1" ht="13">
      <c r="A355" s="472"/>
      <c r="B355" s="473"/>
      <c r="C355" s="474"/>
      <c r="D355" s="474"/>
      <c r="E355" s="475"/>
      <c r="F355" s="476"/>
      <c r="G355" s="476"/>
      <c r="H355" s="477"/>
      <c r="I355" s="478"/>
      <c r="J355" s="89">
        <f t="shared" si="20"/>
        <v>0</v>
      </c>
      <c r="K355" s="479"/>
      <c r="L355" s="480"/>
      <c r="M355" s="64">
        <f t="shared" si="21"/>
        <v>0</v>
      </c>
      <c r="N355" s="90">
        <f t="shared" si="22"/>
        <v>0</v>
      </c>
      <c r="O355" s="139">
        <f t="shared" si="23"/>
        <v>0</v>
      </c>
      <c r="P355" s="481"/>
      <c r="Q355" s="1770"/>
      <c r="R355" s="1771"/>
      <c r="S355" s="1772"/>
    </row>
    <row r="356" spans="1:19" s="85" customFormat="1" ht="13">
      <c r="A356" s="472"/>
      <c r="B356" s="473"/>
      <c r="C356" s="474"/>
      <c r="D356" s="474"/>
      <c r="E356" s="475"/>
      <c r="F356" s="476"/>
      <c r="G356" s="476"/>
      <c r="H356" s="477"/>
      <c r="I356" s="478"/>
      <c r="J356" s="89">
        <f t="shared" si="20"/>
        <v>0</v>
      </c>
      <c r="K356" s="479"/>
      <c r="L356" s="480"/>
      <c r="M356" s="64">
        <f t="shared" si="21"/>
        <v>0</v>
      </c>
      <c r="N356" s="90">
        <f t="shared" si="22"/>
        <v>0</v>
      </c>
      <c r="O356" s="139">
        <f t="shared" si="23"/>
        <v>0</v>
      </c>
      <c r="P356" s="481"/>
      <c r="Q356" s="1770"/>
      <c r="R356" s="1771"/>
      <c r="S356" s="1772"/>
    </row>
    <row r="357" spans="1:19" s="85" customFormat="1" ht="13">
      <c r="A357" s="472"/>
      <c r="B357" s="473"/>
      <c r="C357" s="474"/>
      <c r="D357" s="474"/>
      <c r="E357" s="475"/>
      <c r="F357" s="476"/>
      <c r="G357" s="476"/>
      <c r="H357" s="477"/>
      <c r="I357" s="478"/>
      <c r="J357" s="89">
        <f t="shared" si="20"/>
        <v>0</v>
      </c>
      <c r="K357" s="479"/>
      <c r="L357" s="480"/>
      <c r="M357" s="64">
        <f t="shared" si="21"/>
        <v>0</v>
      </c>
      <c r="N357" s="90">
        <f t="shared" si="22"/>
        <v>0</v>
      </c>
      <c r="O357" s="139">
        <f t="shared" si="23"/>
        <v>0</v>
      </c>
      <c r="P357" s="481"/>
      <c r="Q357" s="1770"/>
      <c r="R357" s="1771"/>
      <c r="S357" s="1772"/>
    </row>
    <row r="358" spans="1:19" s="85" customFormat="1" ht="13">
      <c r="A358" s="472"/>
      <c r="B358" s="473"/>
      <c r="C358" s="474"/>
      <c r="D358" s="474"/>
      <c r="E358" s="475"/>
      <c r="F358" s="476"/>
      <c r="G358" s="476"/>
      <c r="H358" s="477"/>
      <c r="I358" s="478"/>
      <c r="J358" s="89">
        <f t="shared" si="20"/>
        <v>0</v>
      </c>
      <c r="K358" s="479"/>
      <c r="L358" s="480"/>
      <c r="M358" s="64">
        <f t="shared" si="21"/>
        <v>0</v>
      </c>
      <c r="N358" s="90">
        <f t="shared" si="22"/>
        <v>0</v>
      </c>
      <c r="O358" s="139">
        <f t="shared" si="23"/>
        <v>0</v>
      </c>
      <c r="P358" s="481"/>
      <c r="Q358" s="1770"/>
      <c r="R358" s="1771"/>
      <c r="S358" s="1772"/>
    </row>
    <row r="359" spans="1:19" s="85" customFormat="1" ht="13">
      <c r="A359" s="472"/>
      <c r="B359" s="473"/>
      <c r="C359" s="474"/>
      <c r="D359" s="474"/>
      <c r="E359" s="475"/>
      <c r="F359" s="476"/>
      <c r="G359" s="476"/>
      <c r="H359" s="477"/>
      <c r="I359" s="478"/>
      <c r="J359" s="89">
        <f t="shared" si="20"/>
        <v>0</v>
      </c>
      <c r="K359" s="479"/>
      <c r="L359" s="480"/>
      <c r="M359" s="64">
        <f t="shared" si="21"/>
        <v>0</v>
      </c>
      <c r="N359" s="90">
        <f t="shared" si="22"/>
        <v>0</v>
      </c>
      <c r="O359" s="139">
        <f t="shared" si="23"/>
        <v>0</v>
      </c>
      <c r="P359" s="481"/>
      <c r="Q359" s="1770"/>
      <c r="R359" s="1771"/>
      <c r="S359" s="1772"/>
    </row>
    <row r="360" spans="1:19" s="85" customFormat="1" ht="13">
      <c r="A360" s="472"/>
      <c r="B360" s="473"/>
      <c r="C360" s="474"/>
      <c r="D360" s="474"/>
      <c r="E360" s="475"/>
      <c r="F360" s="476"/>
      <c r="G360" s="476"/>
      <c r="H360" s="477"/>
      <c r="I360" s="478"/>
      <c r="J360" s="89">
        <f t="shared" si="20"/>
        <v>0</v>
      </c>
      <c r="K360" s="479"/>
      <c r="L360" s="480"/>
      <c r="M360" s="64">
        <f t="shared" si="21"/>
        <v>0</v>
      </c>
      <c r="N360" s="90">
        <f t="shared" si="22"/>
        <v>0</v>
      </c>
      <c r="O360" s="139">
        <f t="shared" si="23"/>
        <v>0</v>
      </c>
      <c r="P360" s="481"/>
      <c r="Q360" s="1770"/>
      <c r="R360" s="1771"/>
      <c r="S360" s="1772"/>
    </row>
    <row r="361" spans="1:19" s="85" customFormat="1" ht="13">
      <c r="A361" s="472"/>
      <c r="B361" s="473"/>
      <c r="C361" s="474"/>
      <c r="D361" s="474"/>
      <c r="E361" s="475"/>
      <c r="F361" s="476"/>
      <c r="G361" s="476"/>
      <c r="H361" s="477"/>
      <c r="I361" s="478"/>
      <c r="J361" s="89">
        <f t="shared" si="20"/>
        <v>0</v>
      </c>
      <c r="K361" s="479"/>
      <c r="L361" s="480"/>
      <c r="M361" s="64">
        <f t="shared" si="21"/>
        <v>0</v>
      </c>
      <c r="N361" s="90">
        <f t="shared" si="22"/>
        <v>0</v>
      </c>
      <c r="O361" s="139">
        <f t="shared" si="23"/>
        <v>0</v>
      </c>
      <c r="P361" s="481"/>
      <c r="Q361" s="1770"/>
      <c r="R361" s="1771"/>
      <c r="S361" s="1772"/>
    </row>
    <row r="362" spans="1:19" s="85" customFormat="1" ht="13">
      <c r="A362" s="472"/>
      <c r="B362" s="473"/>
      <c r="C362" s="474"/>
      <c r="D362" s="474"/>
      <c r="E362" s="475"/>
      <c r="F362" s="476"/>
      <c r="G362" s="476"/>
      <c r="H362" s="477"/>
      <c r="I362" s="478"/>
      <c r="J362" s="89">
        <f t="shared" si="20"/>
        <v>0</v>
      </c>
      <c r="K362" s="479"/>
      <c r="L362" s="480"/>
      <c r="M362" s="64">
        <f t="shared" si="21"/>
        <v>0</v>
      </c>
      <c r="N362" s="90">
        <f t="shared" si="22"/>
        <v>0</v>
      </c>
      <c r="O362" s="139">
        <f t="shared" si="23"/>
        <v>0</v>
      </c>
      <c r="P362" s="481"/>
      <c r="Q362" s="1770"/>
      <c r="R362" s="1771"/>
      <c r="S362" s="1772"/>
    </row>
    <row r="363" spans="1:19" s="85" customFormat="1" ht="13">
      <c r="A363" s="472"/>
      <c r="B363" s="473"/>
      <c r="C363" s="474"/>
      <c r="D363" s="474"/>
      <c r="E363" s="475"/>
      <c r="F363" s="476"/>
      <c r="G363" s="476"/>
      <c r="H363" s="477"/>
      <c r="I363" s="478"/>
      <c r="J363" s="89">
        <f t="shared" si="20"/>
        <v>0</v>
      </c>
      <c r="K363" s="479"/>
      <c r="L363" s="480"/>
      <c r="M363" s="64">
        <f t="shared" si="21"/>
        <v>0</v>
      </c>
      <c r="N363" s="90">
        <f t="shared" si="22"/>
        <v>0</v>
      </c>
      <c r="O363" s="139">
        <f t="shared" si="23"/>
        <v>0</v>
      </c>
      <c r="P363" s="481"/>
      <c r="Q363" s="1770"/>
      <c r="R363" s="1771"/>
      <c r="S363" s="1772"/>
    </row>
    <row r="364" spans="1:19" s="85" customFormat="1" ht="13">
      <c r="A364" s="472"/>
      <c r="B364" s="473"/>
      <c r="C364" s="474"/>
      <c r="D364" s="474"/>
      <c r="E364" s="475"/>
      <c r="F364" s="476"/>
      <c r="G364" s="476"/>
      <c r="H364" s="477"/>
      <c r="I364" s="478"/>
      <c r="J364" s="89">
        <f t="shared" si="20"/>
        <v>0</v>
      </c>
      <c r="K364" s="479"/>
      <c r="L364" s="480"/>
      <c r="M364" s="64">
        <f t="shared" si="21"/>
        <v>0</v>
      </c>
      <c r="N364" s="90">
        <f t="shared" si="22"/>
        <v>0</v>
      </c>
      <c r="O364" s="139">
        <f t="shared" si="23"/>
        <v>0</v>
      </c>
      <c r="P364" s="481"/>
      <c r="Q364" s="1770"/>
      <c r="R364" s="1771"/>
      <c r="S364" s="1772"/>
    </row>
    <row r="365" spans="1:19" s="85" customFormat="1" ht="13">
      <c r="A365" s="472"/>
      <c r="B365" s="473"/>
      <c r="C365" s="474"/>
      <c r="D365" s="474"/>
      <c r="E365" s="475"/>
      <c r="F365" s="476"/>
      <c r="G365" s="476"/>
      <c r="H365" s="477"/>
      <c r="I365" s="478"/>
      <c r="J365" s="89">
        <f t="shared" si="20"/>
        <v>0</v>
      </c>
      <c r="K365" s="479"/>
      <c r="L365" s="480"/>
      <c r="M365" s="64">
        <f t="shared" si="21"/>
        <v>0</v>
      </c>
      <c r="N365" s="90">
        <f t="shared" si="22"/>
        <v>0</v>
      </c>
      <c r="O365" s="139">
        <f t="shared" si="23"/>
        <v>0</v>
      </c>
      <c r="P365" s="481"/>
      <c r="Q365" s="1770"/>
      <c r="R365" s="1771"/>
      <c r="S365" s="1772"/>
    </row>
    <row r="366" spans="1:19" s="85" customFormat="1" ht="13">
      <c r="A366" s="472"/>
      <c r="B366" s="473"/>
      <c r="C366" s="474"/>
      <c r="D366" s="474"/>
      <c r="E366" s="475"/>
      <c r="F366" s="476"/>
      <c r="G366" s="476"/>
      <c r="H366" s="477"/>
      <c r="I366" s="478"/>
      <c r="J366" s="89">
        <f t="shared" si="20"/>
        <v>0</v>
      </c>
      <c r="K366" s="479"/>
      <c r="L366" s="480"/>
      <c r="M366" s="64">
        <f t="shared" si="21"/>
        <v>0</v>
      </c>
      <c r="N366" s="90">
        <f t="shared" si="22"/>
        <v>0</v>
      </c>
      <c r="O366" s="139">
        <f t="shared" si="23"/>
        <v>0</v>
      </c>
      <c r="P366" s="481"/>
      <c r="Q366" s="1770"/>
      <c r="R366" s="1771"/>
      <c r="S366" s="1772"/>
    </row>
    <row r="367" spans="1:19" s="85" customFormat="1" ht="13">
      <c r="A367" s="472"/>
      <c r="B367" s="473"/>
      <c r="C367" s="474"/>
      <c r="D367" s="474"/>
      <c r="E367" s="475"/>
      <c r="F367" s="476"/>
      <c r="G367" s="476"/>
      <c r="H367" s="477"/>
      <c r="I367" s="478"/>
      <c r="J367" s="89">
        <f t="shared" si="20"/>
        <v>0</v>
      </c>
      <c r="K367" s="479"/>
      <c r="L367" s="480"/>
      <c r="M367" s="64">
        <f t="shared" si="21"/>
        <v>0</v>
      </c>
      <c r="N367" s="90">
        <f t="shared" si="22"/>
        <v>0</v>
      </c>
      <c r="O367" s="139">
        <f t="shared" si="23"/>
        <v>0</v>
      </c>
      <c r="P367" s="481"/>
      <c r="Q367" s="1770"/>
      <c r="R367" s="1771"/>
      <c r="S367" s="1772"/>
    </row>
    <row r="368" spans="1:19" s="85" customFormat="1" ht="13">
      <c r="A368" s="472"/>
      <c r="B368" s="473"/>
      <c r="C368" s="474"/>
      <c r="D368" s="474"/>
      <c r="E368" s="475"/>
      <c r="F368" s="476"/>
      <c r="G368" s="476"/>
      <c r="H368" s="477"/>
      <c r="I368" s="478"/>
      <c r="J368" s="89">
        <f t="shared" si="20"/>
        <v>0</v>
      </c>
      <c r="K368" s="479"/>
      <c r="L368" s="480"/>
      <c r="M368" s="64">
        <f t="shared" si="21"/>
        <v>0</v>
      </c>
      <c r="N368" s="90">
        <f t="shared" si="22"/>
        <v>0</v>
      </c>
      <c r="O368" s="139">
        <f t="shared" si="23"/>
        <v>0</v>
      </c>
      <c r="P368" s="481"/>
      <c r="Q368" s="1770"/>
      <c r="R368" s="1771"/>
      <c r="S368" s="1772"/>
    </row>
    <row r="369" spans="1:19" s="85" customFormat="1" ht="13">
      <c r="A369" s="472"/>
      <c r="B369" s="473"/>
      <c r="C369" s="474"/>
      <c r="D369" s="474"/>
      <c r="E369" s="475"/>
      <c r="F369" s="476"/>
      <c r="G369" s="476"/>
      <c r="H369" s="477"/>
      <c r="I369" s="478"/>
      <c r="J369" s="89">
        <f t="shared" si="20"/>
        <v>0</v>
      </c>
      <c r="K369" s="479"/>
      <c r="L369" s="480"/>
      <c r="M369" s="64">
        <f t="shared" si="21"/>
        <v>0</v>
      </c>
      <c r="N369" s="90">
        <f t="shared" si="22"/>
        <v>0</v>
      </c>
      <c r="O369" s="139">
        <f t="shared" si="23"/>
        <v>0</v>
      </c>
      <c r="P369" s="481"/>
      <c r="Q369" s="1770"/>
      <c r="R369" s="1771"/>
      <c r="S369" s="1772"/>
    </row>
    <row r="370" spans="1:19" s="85" customFormat="1" ht="13">
      <c r="A370" s="472"/>
      <c r="B370" s="473"/>
      <c r="C370" s="474"/>
      <c r="D370" s="474"/>
      <c r="E370" s="475"/>
      <c r="F370" s="476"/>
      <c r="G370" s="476"/>
      <c r="H370" s="477"/>
      <c r="I370" s="478"/>
      <c r="J370" s="89">
        <f t="shared" si="20"/>
        <v>0</v>
      </c>
      <c r="K370" s="479"/>
      <c r="L370" s="480"/>
      <c r="M370" s="64">
        <f t="shared" si="21"/>
        <v>0</v>
      </c>
      <c r="N370" s="90">
        <f t="shared" si="22"/>
        <v>0</v>
      </c>
      <c r="O370" s="139">
        <f t="shared" si="23"/>
        <v>0</v>
      </c>
      <c r="P370" s="481"/>
      <c r="Q370" s="1770"/>
      <c r="R370" s="1771"/>
      <c r="S370" s="1772"/>
    </row>
    <row r="371" spans="1:19" s="85" customFormat="1" ht="13">
      <c r="A371" s="472"/>
      <c r="B371" s="473"/>
      <c r="C371" s="474"/>
      <c r="D371" s="474"/>
      <c r="E371" s="475"/>
      <c r="F371" s="476"/>
      <c r="G371" s="476"/>
      <c r="H371" s="477"/>
      <c r="I371" s="478"/>
      <c r="J371" s="89">
        <f t="shared" si="20"/>
        <v>0</v>
      </c>
      <c r="K371" s="479"/>
      <c r="L371" s="480"/>
      <c r="M371" s="64">
        <f t="shared" si="21"/>
        <v>0</v>
      </c>
      <c r="N371" s="90">
        <f t="shared" si="22"/>
        <v>0</v>
      </c>
      <c r="O371" s="139">
        <f t="shared" si="23"/>
        <v>0</v>
      </c>
      <c r="P371" s="481"/>
      <c r="Q371" s="1770"/>
      <c r="R371" s="1771"/>
      <c r="S371" s="1772"/>
    </row>
  </sheetData>
  <sheetProtection password="A541" sheet="1" objects="1" scenarios="1" selectLockedCells="1"/>
  <customSheetViews>
    <customSheetView guid="{A81B7E59-6D30-48F0-895B-EADA4D6F68AC}" state="hidden">
      <pane ySplit="9" topLeftCell="A10" activePane="bottomLeft" state="frozen"/>
      <selection pane="bottomLeft" activeCell="A10" sqref="A1:XFD1048576"/>
      <pageMargins left="0.25" right="0.25" top="0.87" bottom="0.53" header="0.25" footer="0.25"/>
      <printOptions horizontalCentered="1"/>
      <pageSetup scale="77" fitToHeight="5" orientation="landscape" r:id="rId1"/>
      <headerFooter>
        <oddHeader>&amp;L&amp;"Arial,Regular"&amp;8Texas Department of Aging 
and Disability Services&amp;C&amp;"Arial,Bold"&amp;12ASSISTED LIVING/RESIDENTIAL CARE (AL/RC) /
OUT OF HOME RESPITE (OHR)
OHR REIMBURSEMENT&amp;R&amp;"Arial,Regular"&amp;8Form TBD
Page &amp;P</oddHeader>
      </headerFooter>
    </customSheetView>
    <customSheetView guid="{B2091B36-14EA-49EC-93AF-D5AA205EF0C1}">
      <selection activeCell="A10" sqref="A10"/>
      <pageMargins left="0.25" right="0.25" top="0.87" bottom="0.53" header="0.25" footer="0.25"/>
      <printOptions horizontalCentered="1"/>
      <pageSetup scale="77" fitToHeight="5" orientation="landscape" r:id="rId2"/>
      <headerFooter>
        <oddHeader>&amp;L&amp;"Arial,Regular"&amp;8Texas Department of Aging
and Disability Services&amp;C&amp;"Arial,Bold"&amp;12ASSISTED LIVING/RESIDENTIAL CARE (AL/RC) /
OUT OF HOME RESPITE (OHR)
OHR REIMBURSEMENT&amp;R&amp;"Arial,Regular"&amp;8Form TBD
Page &amp;P</oddHeader>
      </headerFooter>
    </customSheetView>
    <customSheetView guid="{965C3FE4-50BF-43C0-B1D0-366B904E9BAB}" topLeftCell="A7">
      <selection activeCell="K10" sqref="K10"/>
      <rowBreaks count="1" manualBreakCount="1">
        <brk id="27" max="16383" man="1"/>
      </rowBreaks>
      <pageMargins left="0.25" right="0.25" top="0.87" bottom="0.53" header="0.25" footer="0.25"/>
      <printOptions horizontalCentered="1"/>
      <pageSetup scale="77" fitToHeight="5" orientation="landscape" r:id="rId3"/>
      <headerFooter>
        <oddHeader>&amp;L&amp;"Arial,Regular"&amp;8Texas Department of Aging
and Disability Services&amp;C&amp;"Arial,Bold"&amp;12ASSISTED LIVING/RESIDENTIAL CARE (AL/RC) /
OUT OF HOME RESPITE (OHR)
OHR REIMBURSEMENT&amp;R&amp;"Arial,Regular"&amp;8Form TBD
Page &amp;P</oddHeader>
      </headerFooter>
    </customSheetView>
    <customSheetView guid="{5C7A2EDE-CAF2-41B7-8EBC-2EB35225299B}" topLeftCell="A7">
      <selection activeCell="K10" sqref="K10"/>
      <rowBreaks count="1" manualBreakCount="1">
        <brk id="27" max="16383" man="1"/>
      </rowBreaks>
      <pageMargins left="0.25" right="0.25" top="0.87" bottom="0.53" header="0.25" footer="0.25"/>
      <printOptions horizontalCentered="1"/>
      <pageSetup scale="77" fitToHeight="5" orientation="landscape" r:id="rId4"/>
      <headerFooter>
        <oddHeader>&amp;L&amp;"Arial,Regular"&amp;8Texas Department of Aging
and Disability Services&amp;C&amp;"Arial,Bold"&amp;12ASSISTED LIVING/RESIDENTIAL CARE (AL/RC) /
OUT OF HOME RESPITE (OHR)
OHR REIMBURSEMENT&amp;R&amp;"Arial,Regular"&amp;8Form TBD
Page &amp;P</oddHeader>
      </headerFooter>
    </customSheetView>
    <customSheetView guid="{15DD4F60-D491-4D73-A014-FE6349F17583}" topLeftCell="A7">
      <selection activeCell="K10" sqref="K10"/>
      <rowBreaks count="1" manualBreakCount="1">
        <brk id="27" max="16383" man="1"/>
      </rowBreaks>
      <pageMargins left="0.25" right="0.25" top="0.87" bottom="0.53" header="0.25" footer="0.25"/>
      <printOptions horizontalCentered="1"/>
      <pageSetup scale="77" fitToHeight="5" orientation="landscape" r:id="rId5"/>
      <headerFooter>
        <oddHeader>&amp;L&amp;"Arial,Regular"&amp;8Texas Department of Aging
and Disability Services&amp;C&amp;"Arial,Bold"&amp;12ASSISTED LIVING/RESIDENTIAL CARE (AL/RC) /
OUT OF HOME RESPITE (OHR)
OHR REIMBURSEMENT&amp;R&amp;"Arial,Regular"&amp;8Form TBD
Page &amp;P</oddHeader>
      </headerFooter>
    </customSheetView>
    <customSheetView guid="{A9399441-FD69-4FCC-BF3B-6E447DD9FB6A}">
      <selection activeCell="A10" sqref="A10"/>
      <pageMargins left="0.25" right="0.25" top="0.87" bottom="0.53" header="0.25" footer="0.25"/>
      <printOptions horizontalCentered="1"/>
      <pageSetup scale="77" fitToHeight="5" orientation="landscape" r:id="rId6"/>
      <headerFooter>
        <oddHeader>&amp;L&amp;"Arial,Regular"&amp;8Texas Department of Aging
and Disability Services&amp;C&amp;"Arial,Bold"&amp;12ASSISTED LIVING/RESIDENTIAL CARE (AL/RC) /
OUT OF HOME RESPITE (OHR)
OHR REIMBURSEMENT&amp;R&amp;"Arial,Regular"&amp;8Form TBD
Page &amp;P</oddHeader>
      </headerFooter>
    </customSheetView>
  </customSheetViews>
  <mergeCells count="403">
    <mergeCell ref="Q370:S370"/>
    <mergeCell ref="Q371:S371"/>
    <mergeCell ref="Q365:S365"/>
    <mergeCell ref="Q366:S366"/>
    <mergeCell ref="Q367:S367"/>
    <mergeCell ref="Q368:S368"/>
    <mergeCell ref="Q369:S369"/>
    <mergeCell ref="Q360:S360"/>
    <mergeCell ref="Q361:S361"/>
    <mergeCell ref="Q362:S362"/>
    <mergeCell ref="Q363:S363"/>
    <mergeCell ref="Q364:S364"/>
    <mergeCell ref="Q355:S355"/>
    <mergeCell ref="Q356:S356"/>
    <mergeCell ref="Q357:S357"/>
    <mergeCell ref="Q358:S358"/>
    <mergeCell ref="Q359:S359"/>
    <mergeCell ref="Q350:S350"/>
    <mergeCell ref="Q351:S351"/>
    <mergeCell ref="Q352:S352"/>
    <mergeCell ref="Q353:S353"/>
    <mergeCell ref="Q354:S354"/>
    <mergeCell ref="Q345:S345"/>
    <mergeCell ref="Q346:S346"/>
    <mergeCell ref="Q347:S347"/>
    <mergeCell ref="Q348:S348"/>
    <mergeCell ref="Q349:S349"/>
    <mergeCell ref="Q340:S340"/>
    <mergeCell ref="Q341:S341"/>
    <mergeCell ref="Q342:S342"/>
    <mergeCell ref="Q343:S343"/>
    <mergeCell ref="Q344:S344"/>
    <mergeCell ref="Q335:S335"/>
    <mergeCell ref="Q336:S336"/>
    <mergeCell ref="Q337:S337"/>
    <mergeCell ref="Q338:S338"/>
    <mergeCell ref="Q339:S339"/>
    <mergeCell ref="Q330:S330"/>
    <mergeCell ref="Q331:S331"/>
    <mergeCell ref="Q332:S332"/>
    <mergeCell ref="Q333:S333"/>
    <mergeCell ref="Q334:S334"/>
    <mergeCell ref="Q325:S325"/>
    <mergeCell ref="Q326:S326"/>
    <mergeCell ref="Q327:S327"/>
    <mergeCell ref="Q328:S328"/>
    <mergeCell ref="Q329:S329"/>
    <mergeCell ref="Q320:S320"/>
    <mergeCell ref="Q321:S321"/>
    <mergeCell ref="Q322:S322"/>
    <mergeCell ref="Q323:S323"/>
    <mergeCell ref="Q324:S324"/>
    <mergeCell ref="Q315:S315"/>
    <mergeCell ref="Q316:S316"/>
    <mergeCell ref="Q317:S317"/>
    <mergeCell ref="Q318:S318"/>
    <mergeCell ref="Q319:S319"/>
    <mergeCell ref="Q310:S310"/>
    <mergeCell ref="Q311:S311"/>
    <mergeCell ref="Q312:S312"/>
    <mergeCell ref="Q313:S313"/>
    <mergeCell ref="Q314:S314"/>
    <mergeCell ref="Q305:S305"/>
    <mergeCell ref="Q306:S306"/>
    <mergeCell ref="Q307:S307"/>
    <mergeCell ref="Q308:S308"/>
    <mergeCell ref="Q309:S309"/>
    <mergeCell ref="Q300:S300"/>
    <mergeCell ref="Q301:S301"/>
    <mergeCell ref="Q302:S302"/>
    <mergeCell ref="Q303:S303"/>
    <mergeCell ref="Q304:S304"/>
    <mergeCell ref="Q295:S295"/>
    <mergeCell ref="Q296:S296"/>
    <mergeCell ref="Q297:S297"/>
    <mergeCell ref="Q298:S298"/>
    <mergeCell ref="Q299:S299"/>
    <mergeCell ref="Q290:S290"/>
    <mergeCell ref="Q291:S291"/>
    <mergeCell ref="Q292:S292"/>
    <mergeCell ref="Q293:S293"/>
    <mergeCell ref="Q294:S294"/>
    <mergeCell ref="Q285:S285"/>
    <mergeCell ref="Q286:S286"/>
    <mergeCell ref="Q287:S287"/>
    <mergeCell ref="Q288:S288"/>
    <mergeCell ref="Q289:S289"/>
    <mergeCell ref="Q280:S280"/>
    <mergeCell ref="Q281:S281"/>
    <mergeCell ref="Q282:S282"/>
    <mergeCell ref="Q283:S283"/>
    <mergeCell ref="Q284:S284"/>
    <mergeCell ref="Q275:S275"/>
    <mergeCell ref="Q276:S276"/>
    <mergeCell ref="Q277:S277"/>
    <mergeCell ref="Q278:S278"/>
    <mergeCell ref="Q279:S279"/>
    <mergeCell ref="Q270:S270"/>
    <mergeCell ref="Q271:S271"/>
    <mergeCell ref="Q272:S272"/>
    <mergeCell ref="Q273:S273"/>
    <mergeCell ref="Q274:S274"/>
    <mergeCell ref="Q265:S265"/>
    <mergeCell ref="Q266:S266"/>
    <mergeCell ref="Q267:S267"/>
    <mergeCell ref="Q268:S268"/>
    <mergeCell ref="Q269:S269"/>
    <mergeCell ref="Q260:S260"/>
    <mergeCell ref="Q261:S261"/>
    <mergeCell ref="Q262:S262"/>
    <mergeCell ref="Q263:S263"/>
    <mergeCell ref="Q264:S264"/>
    <mergeCell ref="Q255:S255"/>
    <mergeCell ref="Q256:S256"/>
    <mergeCell ref="Q257:S257"/>
    <mergeCell ref="Q258:S258"/>
    <mergeCell ref="Q259:S259"/>
    <mergeCell ref="Q250:S250"/>
    <mergeCell ref="Q251:S251"/>
    <mergeCell ref="Q252:S252"/>
    <mergeCell ref="Q253:S253"/>
    <mergeCell ref="Q254:S254"/>
    <mergeCell ref="Q245:S245"/>
    <mergeCell ref="Q246:S246"/>
    <mergeCell ref="Q247:S247"/>
    <mergeCell ref="Q248:S248"/>
    <mergeCell ref="Q249:S249"/>
    <mergeCell ref="Q240:S240"/>
    <mergeCell ref="Q241:S241"/>
    <mergeCell ref="Q242:S242"/>
    <mergeCell ref="Q243:S243"/>
    <mergeCell ref="Q244:S244"/>
    <mergeCell ref="Q235:S235"/>
    <mergeCell ref="Q236:S236"/>
    <mergeCell ref="Q237:S237"/>
    <mergeCell ref="Q238:S238"/>
    <mergeCell ref="Q239:S239"/>
    <mergeCell ref="Q230:S230"/>
    <mergeCell ref="Q231:S231"/>
    <mergeCell ref="Q232:S232"/>
    <mergeCell ref="Q233:S233"/>
    <mergeCell ref="Q234:S234"/>
    <mergeCell ref="Q225:S225"/>
    <mergeCell ref="Q226:S226"/>
    <mergeCell ref="Q227:S227"/>
    <mergeCell ref="Q228:S228"/>
    <mergeCell ref="Q229:S229"/>
    <mergeCell ref="Q220:S220"/>
    <mergeCell ref="Q221:S221"/>
    <mergeCell ref="Q222:S222"/>
    <mergeCell ref="Q223:S223"/>
    <mergeCell ref="Q224:S224"/>
    <mergeCell ref="Q215:S215"/>
    <mergeCell ref="Q216:S216"/>
    <mergeCell ref="Q217:S217"/>
    <mergeCell ref="Q218:S218"/>
    <mergeCell ref="Q219:S219"/>
    <mergeCell ref="Q210:S210"/>
    <mergeCell ref="Q211:S211"/>
    <mergeCell ref="Q212:S212"/>
    <mergeCell ref="Q213:S213"/>
    <mergeCell ref="Q214:S214"/>
    <mergeCell ref="Q205:S205"/>
    <mergeCell ref="Q206:S206"/>
    <mergeCell ref="Q207:S207"/>
    <mergeCell ref="Q208:S208"/>
    <mergeCell ref="Q209:S209"/>
    <mergeCell ref="Q200:S200"/>
    <mergeCell ref="Q201:S201"/>
    <mergeCell ref="Q202:S202"/>
    <mergeCell ref="Q203:S203"/>
    <mergeCell ref="Q204:S204"/>
    <mergeCell ref="Q195:S195"/>
    <mergeCell ref="Q196:S196"/>
    <mergeCell ref="Q197:S197"/>
    <mergeCell ref="Q198:S198"/>
    <mergeCell ref="Q199:S199"/>
    <mergeCell ref="Q190:S190"/>
    <mergeCell ref="Q191:S191"/>
    <mergeCell ref="Q192:S192"/>
    <mergeCell ref="Q193:S193"/>
    <mergeCell ref="Q194:S194"/>
    <mergeCell ref="Q185:S185"/>
    <mergeCell ref="Q186:S186"/>
    <mergeCell ref="Q187:S187"/>
    <mergeCell ref="Q188:S188"/>
    <mergeCell ref="Q189:S189"/>
    <mergeCell ref="Q180:S180"/>
    <mergeCell ref="Q181:S181"/>
    <mergeCell ref="Q182:S182"/>
    <mergeCell ref="Q183:S183"/>
    <mergeCell ref="Q184:S184"/>
    <mergeCell ref="Q175:S175"/>
    <mergeCell ref="Q176:S176"/>
    <mergeCell ref="Q177:S177"/>
    <mergeCell ref="Q178:S178"/>
    <mergeCell ref="Q179:S179"/>
    <mergeCell ref="Q170:S170"/>
    <mergeCell ref="Q171:S171"/>
    <mergeCell ref="Q172:S172"/>
    <mergeCell ref="Q173:S173"/>
    <mergeCell ref="Q174:S174"/>
    <mergeCell ref="Q165:S165"/>
    <mergeCell ref="Q166:S166"/>
    <mergeCell ref="Q167:S167"/>
    <mergeCell ref="Q168:S168"/>
    <mergeCell ref="Q169:S169"/>
    <mergeCell ref="Q160:S160"/>
    <mergeCell ref="Q161:S161"/>
    <mergeCell ref="Q162:S162"/>
    <mergeCell ref="Q163:S163"/>
    <mergeCell ref="Q164:S164"/>
    <mergeCell ref="Q155:S155"/>
    <mergeCell ref="Q156:S156"/>
    <mergeCell ref="Q157:S157"/>
    <mergeCell ref="Q158:S158"/>
    <mergeCell ref="Q159:S159"/>
    <mergeCell ref="Q150:S150"/>
    <mergeCell ref="Q151:S151"/>
    <mergeCell ref="Q152:S152"/>
    <mergeCell ref="Q153:S153"/>
    <mergeCell ref="Q154:S154"/>
    <mergeCell ref="Q145:S145"/>
    <mergeCell ref="Q146:S146"/>
    <mergeCell ref="Q147:S147"/>
    <mergeCell ref="Q148:S148"/>
    <mergeCell ref="Q149:S149"/>
    <mergeCell ref="Q140:S140"/>
    <mergeCell ref="Q141:S141"/>
    <mergeCell ref="Q142:S142"/>
    <mergeCell ref="Q143:S143"/>
    <mergeCell ref="Q144:S144"/>
    <mergeCell ref="Q135:S135"/>
    <mergeCell ref="Q136:S136"/>
    <mergeCell ref="Q137:S137"/>
    <mergeCell ref="Q138:S138"/>
    <mergeCell ref="Q139:S139"/>
    <mergeCell ref="Q130:S130"/>
    <mergeCell ref="Q131:S131"/>
    <mergeCell ref="Q132:S132"/>
    <mergeCell ref="Q133:S133"/>
    <mergeCell ref="Q134:S134"/>
    <mergeCell ref="Q125:S125"/>
    <mergeCell ref="Q126:S126"/>
    <mergeCell ref="Q127:S127"/>
    <mergeCell ref="Q128:S128"/>
    <mergeCell ref="Q129:S129"/>
    <mergeCell ref="Q120:S120"/>
    <mergeCell ref="Q121:S121"/>
    <mergeCell ref="Q122:S122"/>
    <mergeCell ref="Q123:S123"/>
    <mergeCell ref="Q124:S124"/>
    <mergeCell ref="Q115:S115"/>
    <mergeCell ref="Q116:S116"/>
    <mergeCell ref="Q117:S117"/>
    <mergeCell ref="Q118:S118"/>
    <mergeCell ref="Q119:S119"/>
    <mergeCell ref="Q110:S110"/>
    <mergeCell ref="Q111:S111"/>
    <mergeCell ref="Q112:S112"/>
    <mergeCell ref="Q113:S113"/>
    <mergeCell ref="Q114:S114"/>
    <mergeCell ref="Q105:S105"/>
    <mergeCell ref="Q106:S106"/>
    <mergeCell ref="Q107:S107"/>
    <mergeCell ref="Q108:S108"/>
    <mergeCell ref="Q109:S109"/>
    <mergeCell ref="Q100:S100"/>
    <mergeCell ref="Q101:S101"/>
    <mergeCell ref="Q102:S102"/>
    <mergeCell ref="Q103:S103"/>
    <mergeCell ref="Q104:S104"/>
    <mergeCell ref="Q95:S95"/>
    <mergeCell ref="Q96:S96"/>
    <mergeCell ref="Q97:S97"/>
    <mergeCell ref="Q98:S98"/>
    <mergeCell ref="Q99:S99"/>
    <mergeCell ref="Q90:S90"/>
    <mergeCell ref="Q91:S91"/>
    <mergeCell ref="Q92:S92"/>
    <mergeCell ref="Q93:S93"/>
    <mergeCell ref="Q94:S94"/>
    <mergeCell ref="Q85:S85"/>
    <mergeCell ref="Q86:S86"/>
    <mergeCell ref="Q87:S87"/>
    <mergeCell ref="Q88:S88"/>
    <mergeCell ref="Q89:S89"/>
    <mergeCell ref="Q80:S80"/>
    <mergeCell ref="Q81:S81"/>
    <mergeCell ref="Q82:S82"/>
    <mergeCell ref="Q83:S83"/>
    <mergeCell ref="Q84:S84"/>
    <mergeCell ref="Q75:S75"/>
    <mergeCell ref="Q76:S76"/>
    <mergeCell ref="Q77:S77"/>
    <mergeCell ref="Q78:S78"/>
    <mergeCell ref="Q79:S79"/>
    <mergeCell ref="Q70:S70"/>
    <mergeCell ref="Q71:S71"/>
    <mergeCell ref="Q72:S72"/>
    <mergeCell ref="Q73:S73"/>
    <mergeCell ref="Q74:S74"/>
    <mergeCell ref="Q65:S65"/>
    <mergeCell ref="Q66:S66"/>
    <mergeCell ref="Q67:S67"/>
    <mergeCell ref="Q68:S68"/>
    <mergeCell ref="Q69:S69"/>
    <mergeCell ref="Q60:S60"/>
    <mergeCell ref="Q61:S61"/>
    <mergeCell ref="Q62:S62"/>
    <mergeCell ref="Q63:S63"/>
    <mergeCell ref="Q64:S64"/>
    <mergeCell ref="Q55:S55"/>
    <mergeCell ref="Q56:S56"/>
    <mergeCell ref="Q57:S57"/>
    <mergeCell ref="Q58:S58"/>
    <mergeCell ref="Q59:S59"/>
    <mergeCell ref="Q50:S50"/>
    <mergeCell ref="Q51:S51"/>
    <mergeCell ref="Q52:S52"/>
    <mergeCell ref="Q53:S53"/>
    <mergeCell ref="Q54:S54"/>
    <mergeCell ref="Q45:S45"/>
    <mergeCell ref="Q46:S46"/>
    <mergeCell ref="Q47:S47"/>
    <mergeCell ref="Q48:S48"/>
    <mergeCell ref="Q49:S49"/>
    <mergeCell ref="Q40:S40"/>
    <mergeCell ref="Q41:S41"/>
    <mergeCell ref="Q42:S42"/>
    <mergeCell ref="Q43:S43"/>
    <mergeCell ref="Q44:S44"/>
    <mergeCell ref="Q35:S35"/>
    <mergeCell ref="Q36:S36"/>
    <mergeCell ref="Q37:S37"/>
    <mergeCell ref="Q38:S38"/>
    <mergeCell ref="Q39:S39"/>
    <mergeCell ref="Q30:S30"/>
    <mergeCell ref="Q31:S31"/>
    <mergeCell ref="Q32:S32"/>
    <mergeCell ref="Q33:S33"/>
    <mergeCell ref="Q34:S34"/>
    <mergeCell ref="Q25:S25"/>
    <mergeCell ref="Q26:S26"/>
    <mergeCell ref="Q27:S27"/>
    <mergeCell ref="Q28:S28"/>
    <mergeCell ref="Q29:S29"/>
    <mergeCell ref="Q20:S20"/>
    <mergeCell ref="Q21:S21"/>
    <mergeCell ref="Q22:S22"/>
    <mergeCell ref="Q23:S23"/>
    <mergeCell ref="Q24:S24"/>
    <mergeCell ref="Q15:S15"/>
    <mergeCell ref="Q16:S16"/>
    <mergeCell ref="Q17:S17"/>
    <mergeCell ref="Q18:S18"/>
    <mergeCell ref="Q19:S19"/>
    <mergeCell ref="Q10:S10"/>
    <mergeCell ref="Q11:S11"/>
    <mergeCell ref="Q12:S12"/>
    <mergeCell ref="Q13:S13"/>
    <mergeCell ref="Q14:S14"/>
    <mergeCell ref="K6:L6"/>
    <mergeCell ref="P6:S6"/>
    <mergeCell ref="F7:G7"/>
    <mergeCell ref="B8:B9"/>
    <mergeCell ref="E8:E9"/>
    <mergeCell ref="F8:G8"/>
    <mergeCell ref="H8:H9"/>
    <mergeCell ref="I8:I9"/>
    <mergeCell ref="C8:D8"/>
    <mergeCell ref="A7:D7"/>
    <mergeCell ref="A8:A9"/>
    <mergeCell ref="Q9:S9"/>
    <mergeCell ref="J8:J9"/>
    <mergeCell ref="P7:S7"/>
    <mergeCell ref="K8:K9"/>
    <mergeCell ref="L8:L9"/>
    <mergeCell ref="N8:N9"/>
    <mergeCell ref="O8:O9"/>
    <mergeCell ref="M8:M9"/>
    <mergeCell ref="M6:O6"/>
    <mergeCell ref="P8:S8"/>
    <mergeCell ref="A1:D1"/>
    <mergeCell ref="E1:F1"/>
    <mergeCell ref="G1:H1"/>
    <mergeCell ref="I1:J1"/>
    <mergeCell ref="A2:D2"/>
    <mergeCell ref="E2:F2"/>
    <mergeCell ref="G2:H2"/>
    <mergeCell ref="I2:J2"/>
    <mergeCell ref="A6:J6"/>
    <mergeCell ref="A3:B3"/>
    <mergeCell ref="I3:J3"/>
    <mergeCell ref="C3:D3"/>
    <mergeCell ref="C4:D4"/>
    <mergeCell ref="C5:D5"/>
    <mergeCell ref="E3:F3"/>
    <mergeCell ref="E4:F4"/>
    <mergeCell ref="E5:F5"/>
    <mergeCell ref="G3:H3"/>
    <mergeCell ref="G4:H4"/>
    <mergeCell ref="G5:H5"/>
  </mergeCells>
  <dataValidations count="13">
    <dataValidation type="list" allowBlank="1" showInputMessage="1" showErrorMessage="1" sqref="P10:P371" xr:uid="{00000000-0002-0000-2500-000000000000}">
      <formula1>"Y,N"</formula1>
    </dataValidation>
    <dataValidation type="decimal" operator="greaterThanOrEqual" allowBlank="1" showInputMessage="1" showErrorMessage="1" prompt="Enter the billable rate per floor plan and observation" sqref="L10:L371" xr:uid="{00000000-0002-0000-2500-000001000000}">
      <formula1>0</formula1>
    </dataValidation>
    <dataValidation type="decimal" operator="greaterThanOrEqual" allowBlank="1" showInputMessage="1" showErrorMessage="1" prompt="Enter the number of billable/documented units/days from daily census. Refer to F3251" sqref="K10:K371" xr:uid="{00000000-0002-0000-2500-000002000000}">
      <formula1>0</formula1>
    </dataValidation>
    <dataValidation type="date" operator="greaterThanOrEqual" allowBlank="1" showInputMessage="1" showErrorMessage="1" prompt="For the service code in column &quot;B&quot; enter the begin date for the last 2 months of service during the review period and any month in which a break in service delivery took place" sqref="F10:F371" xr:uid="{00000000-0002-0000-2500-000003000000}">
      <formula1>1</formula1>
    </dataValidation>
    <dataValidation type="decimal" operator="greaterThanOrEqual" allowBlank="1" showInputMessage="1" showErrorMessage="1" prompt="Enter the total amount paid by DADS for the service code in column &quot;B&quot; for the month in review. If DADS paid more than once during the month for the same service code enter the total amount paid by DADS for the month in review" sqref="I10:I371" xr:uid="{00000000-0002-0000-2500-000004000000}">
      <formula1>0</formula1>
    </dataValidation>
    <dataValidation type="decimal" operator="greaterThanOrEqual" allowBlank="1" showInputMessage="1" showErrorMessage="1" prompt="Enter the total number of units/days billed for the service code in column &quot;B&quot; for the month in review" sqref="H10:H371" xr:uid="{00000000-0002-0000-2500-000005000000}">
      <formula1>0</formula1>
    </dataValidation>
    <dataValidation type="textLength" operator="lessThanOrEqual" allowBlank="1" showInputMessage="1" showErrorMessage="1" prompt="Enter comments/explanation you deem necessary" sqref="Q10:S371" xr:uid="{00000000-0002-0000-2500-000006000000}">
      <formula1>255</formula1>
    </dataValidation>
    <dataValidation type="date" operator="greaterThanOrEqual" allowBlank="1" showInputMessage="1" showErrorMessage="1" errorTitle="Date Error" error="Service end date cannot be earlier than the begin date." prompt="For the service code in column &quot;B&quot; enter the end date for the last 2 months of service during the review period and any month in which a break in service delivery took place" sqref="G10:G371" xr:uid="{00000000-0002-0000-2500-000007000000}">
      <formula1>F10</formula1>
    </dataValidation>
    <dataValidation type="list" allowBlank="1" showInputMessage="1" showErrorMessage="1" sqref="A10:A371" xr:uid="{00000000-0002-0000-2500-000008000000}">
      <formula1>"CBA-OHR"</formula1>
    </dataValidation>
    <dataValidation type="textLength" operator="lessThanOrEqual" allowBlank="1" showInputMessage="1" showErrorMessage="1" prompt="Enter the Clients ID number" sqref="B10:B371" xr:uid="{00000000-0002-0000-2500-000009000000}">
      <formula1>255</formula1>
    </dataValidation>
    <dataValidation type="textLength" operator="lessThanOrEqual" allowBlank="1" showInputMessage="1" showErrorMessage="1" prompt="Enter the Clients Last Name" sqref="C10:C371" xr:uid="{00000000-0002-0000-2500-00000A000000}">
      <formula1>255</formula1>
    </dataValidation>
    <dataValidation type="textLength" operator="lessThanOrEqual" allowBlank="1" showInputMessage="1" showErrorMessage="1" prompt="Enter the Clients First Name" sqref="D10:D371" xr:uid="{00000000-0002-0000-2500-00000B000000}">
      <formula1>255</formula1>
    </dataValidation>
    <dataValidation type="textLength" operator="lessThanOrEqual" allowBlank="1" showInputMessage="1" showErrorMessage="1" prompt="Enter applicable service code 11C,11D or 11E" sqref="E10:E371" xr:uid="{00000000-0002-0000-2500-00000C000000}">
      <formula1>255</formula1>
    </dataValidation>
  </dataValidations>
  <printOptions horizontalCentered="1"/>
  <pageMargins left="0.25" right="0.25" top="0.87" bottom="0.53" header="0.25" footer="0.25"/>
  <pageSetup scale="77" fitToHeight="5" orientation="landscape" r:id="rId7"/>
  <headerFooter>
    <oddHeader>&amp;L&amp;"Arial,Regular"&amp;8Texas Department of Aging 
and Disability Services&amp;C&amp;"Arial,Bold"&amp;12ASSISTED LIVING/RESIDENTIAL CARE (AL/RC) /
OUT OF HOME RESPITE (OHR)
OHR REIMBURSEMENT&amp;R&amp;"Arial,Regular"&amp;8Form TBD
Page &amp;P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pageSetUpPr fitToPage="1"/>
  </sheetPr>
  <dimension ref="A1:K40"/>
  <sheetViews>
    <sheetView zoomScaleNormal="100" workbookViewId="0">
      <selection activeCell="I3" sqref="I3:J3"/>
    </sheetView>
  </sheetViews>
  <sheetFormatPr defaultRowHeight="14.5"/>
  <cols>
    <col min="2" max="2" width="20.08984375" customWidth="1"/>
    <col min="4" max="4" width="7.36328125" customWidth="1"/>
    <col min="6" max="6" width="6.90625" customWidth="1"/>
    <col min="8" max="8" width="7.08984375" customWidth="1"/>
    <col min="9" max="9" width="10.08984375" customWidth="1"/>
    <col min="10" max="10" width="11.453125" customWidth="1"/>
  </cols>
  <sheetData>
    <row r="1" spans="1:11" s="1" customFormat="1" ht="30" customHeight="1" thickTop="1">
      <c r="A1" s="838" t="s">
        <v>0</v>
      </c>
      <c r="B1" s="839"/>
      <c r="C1" s="839"/>
      <c r="D1" s="840"/>
      <c r="E1" s="499"/>
      <c r="F1" s="501"/>
      <c r="G1" s="499" t="s">
        <v>1</v>
      </c>
      <c r="H1" s="501"/>
      <c r="I1" s="499" t="s">
        <v>2</v>
      </c>
      <c r="J1" s="501"/>
      <c r="K1" s="23"/>
    </row>
    <row r="2" spans="1:11" s="1" customFormat="1" ht="31.5" customHeight="1" thickBot="1">
      <c r="A2" s="1495" t="str">
        <f>IF(AND(CCADRCcontractNumber="",CBAALcontractNumber=""),"",NameOfLegalEntity)</f>
        <v/>
      </c>
      <c r="B2" s="1496"/>
      <c r="C2" s="1496"/>
      <c r="D2" s="1497"/>
      <c r="E2" s="1498" t="str">
        <f>IF(AND(CCADRCcontractNumber="",CBAALcontractNumber=""),"",SingleCare3Facility)</f>
        <v/>
      </c>
      <c r="F2" s="1499"/>
      <c r="G2" s="1498" t="str">
        <f>IF(AND(CCADRCcontractNumber="",CBAALcontractNumber=""),"",ReviewLevel)</f>
        <v/>
      </c>
      <c r="H2" s="1499"/>
      <c r="I2" s="1498">
        <f>ReviewType</f>
        <v>0</v>
      </c>
      <c r="J2" s="1499"/>
      <c r="K2" s="23"/>
    </row>
    <row r="3" spans="1:11" s="1" customFormat="1" ht="15.75" customHeight="1" thickTop="1">
      <c r="A3" s="1500" t="s">
        <v>3</v>
      </c>
      <c r="B3" s="1356"/>
      <c r="C3" s="499" t="s">
        <v>4</v>
      </c>
      <c r="D3" s="501"/>
      <c r="E3" s="499" t="s">
        <v>5</v>
      </c>
      <c r="F3" s="501"/>
      <c r="G3" s="499" t="s">
        <v>5</v>
      </c>
      <c r="H3" s="501"/>
      <c r="I3" s="499" t="s">
        <v>6</v>
      </c>
      <c r="J3" s="501"/>
      <c r="K3" s="23"/>
    </row>
    <row r="4" spans="1:11" s="1" customFormat="1" ht="15" customHeight="1">
      <c r="A4" s="11" t="s">
        <v>7</v>
      </c>
      <c r="B4" s="289" t="str">
        <f>IF(AND(CCADRCcontractNumber="",CBAALcontractNumber=""),"",CompletedByLastName)</f>
        <v/>
      </c>
      <c r="C4" s="502" t="s">
        <v>8</v>
      </c>
      <c r="D4" s="504"/>
      <c r="E4" s="502" t="s">
        <v>9</v>
      </c>
      <c r="F4" s="504"/>
      <c r="G4" s="502" t="s">
        <v>1430</v>
      </c>
      <c r="H4" s="504"/>
      <c r="I4" s="2" t="s">
        <v>10</v>
      </c>
      <c r="J4" s="291" t="str">
        <f>IF(AND(CCADRCcontractNumber="",CBAALcontractNumber=""),"",IF(MonitoringPeriodBeginDate="","",MonitoringPeriodBeginDate))</f>
        <v/>
      </c>
      <c r="K4" s="23"/>
    </row>
    <row r="5" spans="1:11" s="1" customFormat="1" ht="16.5" customHeight="1" thickBot="1">
      <c r="A5" s="11" t="s">
        <v>11</v>
      </c>
      <c r="B5" s="292" t="str">
        <f>IF(AND(CCADRCcontractNumber="",CBAALcontractNumber=""),"",CompletedByFirstName)</f>
        <v/>
      </c>
      <c r="C5" s="1501" t="str">
        <f>IF(AND(CCADRCcontractNumber="",CBAALcontractNumber=""),"",IF(DateOfEntrance="","",DateOfEntrance))</f>
        <v/>
      </c>
      <c r="D5" s="1502"/>
      <c r="E5" s="1501" t="str">
        <f>IF(AND(CCADRCcontractNumber="",CBAALcontractNumber=""),"",IF(DateOfExit="","",DateOfExit))</f>
        <v/>
      </c>
      <c r="F5" s="1502"/>
      <c r="G5" s="1501" t="str">
        <f>IF(AND(CCADRCcontractNumber="",CBAALcontractNumber=""),"",IF(DateOfRevisedExit="","",DateOfRevisedExit))</f>
        <v/>
      </c>
      <c r="H5" s="1502"/>
      <c r="I5" s="2" t="s">
        <v>12</v>
      </c>
      <c r="J5" s="295" t="str">
        <f>IF(AND(CCADRCcontractNumber="",CBAALcontractNumber=""),"",IF(MonitoringPeriodEndDate="","",MonitoringPeriodEndDate))</f>
        <v/>
      </c>
      <c r="K5" s="23"/>
    </row>
    <row r="6" spans="1:11" s="1" customFormat="1" ht="15.75" customHeight="1" thickTop="1" thickBot="1">
      <c r="A6" s="1492" t="s">
        <v>13</v>
      </c>
      <c r="B6" s="1493"/>
      <c r="C6" s="1493" t="s">
        <v>53</v>
      </c>
      <c r="D6" s="1493"/>
      <c r="E6" s="1494"/>
      <c r="F6" s="499"/>
      <c r="G6" s="500"/>
      <c r="H6" s="500"/>
      <c r="I6" s="500"/>
      <c r="J6" s="501"/>
      <c r="K6" s="23"/>
    </row>
    <row r="7" spans="1:11" s="1" customFormat="1" ht="15" customHeight="1" thickBot="1">
      <c r="A7" s="1503" t="s">
        <v>74</v>
      </c>
      <c r="B7" s="1504"/>
      <c r="C7" s="1505">
        <f>CCADRCcontractNumber</f>
        <v>0</v>
      </c>
      <c r="D7" s="1506"/>
      <c r="E7" s="1507"/>
      <c r="F7" s="502"/>
      <c r="G7" s="503"/>
      <c r="H7" s="503"/>
      <c r="I7" s="503"/>
      <c r="J7" s="504"/>
      <c r="K7" s="23"/>
    </row>
    <row r="8" spans="1:11" s="1" customFormat="1" ht="15" hidden="1" customHeight="1" thickBot="1">
      <c r="A8" s="1503" t="s">
        <v>75</v>
      </c>
      <c r="B8" s="1504"/>
      <c r="C8" s="1505">
        <f>CBAALcontractNumber</f>
        <v>0</v>
      </c>
      <c r="D8" s="1506"/>
      <c r="E8" s="1507"/>
      <c r="F8" s="1776"/>
      <c r="G8" s="505"/>
      <c r="H8" s="505"/>
      <c r="I8" s="505"/>
      <c r="J8" s="506"/>
      <c r="K8" s="23"/>
    </row>
    <row r="9" spans="1:11" s="1" customFormat="1" ht="17.25" customHeight="1" thickTop="1" thickBot="1">
      <c r="A9" s="624" t="s">
        <v>207</v>
      </c>
      <c r="B9" s="625"/>
      <c r="C9" s="625"/>
      <c r="D9" s="625"/>
      <c r="E9" s="625"/>
      <c r="F9" s="625"/>
      <c r="G9" s="625"/>
      <c r="H9" s="625"/>
      <c r="I9" s="625"/>
      <c r="J9" s="626"/>
    </row>
    <row r="10" spans="1:11" s="1" customFormat="1" ht="16.5" customHeight="1" thickTop="1">
      <c r="A10" s="700" t="s">
        <v>22</v>
      </c>
      <c r="B10" s="701"/>
      <c r="C10" s="701"/>
      <c r="D10" s="701"/>
      <c r="E10" s="701"/>
      <c r="F10" s="702"/>
      <c r="G10" s="140" t="s">
        <v>23</v>
      </c>
      <c r="H10" s="140" t="s">
        <v>24</v>
      </c>
      <c r="I10" s="140" t="s">
        <v>25</v>
      </c>
      <c r="J10" s="140" t="s">
        <v>26</v>
      </c>
    </row>
    <row r="11" spans="1:11" s="1" customFormat="1" ht="17.25" customHeight="1">
      <c r="A11" s="1798"/>
      <c r="B11" s="1799"/>
      <c r="C11" s="1799"/>
      <c r="D11" s="1799"/>
      <c r="E11" s="1799"/>
      <c r="F11" s="1800"/>
      <c r="G11" s="1804" t="s">
        <v>17</v>
      </c>
      <c r="H11" s="1804" t="s">
        <v>18</v>
      </c>
      <c r="I11" s="141" t="s">
        <v>27</v>
      </c>
      <c r="J11" s="141" t="s">
        <v>28</v>
      </c>
    </row>
    <row r="12" spans="1:11" s="1" customFormat="1" ht="16" thickBot="1">
      <c r="A12" s="1801"/>
      <c r="B12" s="1802"/>
      <c r="C12" s="1802"/>
      <c r="D12" s="1802"/>
      <c r="E12" s="1802"/>
      <c r="F12" s="1803"/>
      <c r="G12" s="1542"/>
      <c r="H12" s="1542"/>
      <c r="I12" s="142" t="s">
        <v>29</v>
      </c>
      <c r="J12" s="142" t="s">
        <v>30</v>
      </c>
    </row>
    <row r="13" spans="1:11" s="1" customFormat="1" ht="16.5" customHeight="1" thickTop="1">
      <c r="A13" s="1789" t="s">
        <v>31</v>
      </c>
      <c r="B13" s="1790"/>
      <c r="C13" s="1790"/>
      <c r="D13" s="1790"/>
      <c r="E13" s="1790"/>
      <c r="F13" s="1791"/>
      <c r="G13" s="1779">
        <f>IF(AND(CCADRCcontractNumber="",CBAALcontractNumber=""),0, Standard_I_Total_Yes)</f>
        <v>0</v>
      </c>
      <c r="H13" s="1779">
        <f>IF(AND(CCADRCcontractNumber="",CBAALcontractNumber=""),0, Standard_I_Total_No)</f>
        <v>0</v>
      </c>
      <c r="I13" s="1779">
        <f>G13+H13</f>
        <v>0</v>
      </c>
      <c r="J13" s="1777" t="str">
        <f>IF(I13 &lt;&gt; 0, G13/I13, "")</f>
        <v/>
      </c>
    </row>
    <row r="14" spans="1:11" s="1" customFormat="1" ht="16.5" customHeight="1" thickBot="1">
      <c r="A14" s="1783" t="s">
        <v>212</v>
      </c>
      <c r="B14" s="1784"/>
      <c r="C14" s="1784"/>
      <c r="D14" s="1784"/>
      <c r="E14" s="1784"/>
      <c r="F14" s="1785"/>
      <c r="G14" s="1780"/>
      <c r="H14" s="1780"/>
      <c r="I14" s="1780"/>
      <c r="J14" s="1778"/>
    </row>
    <row r="15" spans="1:11" s="1" customFormat="1" ht="15.75" customHeight="1" thickTop="1">
      <c r="A15" s="1786" t="s">
        <v>32</v>
      </c>
      <c r="B15" s="1787"/>
      <c r="C15" s="1787"/>
      <c r="D15" s="1787"/>
      <c r="E15" s="1787"/>
      <c r="F15" s="1788"/>
      <c r="G15" s="1779">
        <f>IF(AND(CCADRCcontractNumber="",CBAALcontractNumber=""),0,  Standard_II_Total_Yes)</f>
        <v>0</v>
      </c>
      <c r="H15" s="1779">
        <f>IF(AND(CCADRCcontractNumber="",CBAALcontractNumber=""),0, Standard_II_Total_No)</f>
        <v>0</v>
      </c>
      <c r="I15" s="1779">
        <f t="shared" ref="I15" si="0">G15+H15</f>
        <v>0</v>
      </c>
      <c r="J15" s="1777" t="str">
        <f>IF(I15 &lt;&gt; 0, G15/I15, "")</f>
        <v/>
      </c>
    </row>
    <row r="16" spans="1:11" s="1" customFormat="1" ht="15.75" customHeight="1" thickBot="1">
      <c r="A16" s="1783" t="s">
        <v>211</v>
      </c>
      <c r="B16" s="1784"/>
      <c r="C16" s="1784"/>
      <c r="D16" s="1784"/>
      <c r="E16" s="1784"/>
      <c r="F16" s="1785"/>
      <c r="G16" s="1780"/>
      <c r="H16" s="1780"/>
      <c r="I16" s="1780"/>
      <c r="J16" s="1778"/>
    </row>
    <row r="17" spans="1:10" s="1" customFormat="1" ht="15.75" customHeight="1" thickTop="1">
      <c r="A17" s="1786" t="s">
        <v>33</v>
      </c>
      <c r="B17" s="1787"/>
      <c r="C17" s="1787"/>
      <c r="D17" s="1787"/>
      <c r="E17" s="1787"/>
      <c r="F17" s="1788"/>
      <c r="G17" s="1779">
        <f xml:space="preserve"> IF(AND(CCADRCcontractNumber="",CBAALcontractNumber=""),0, Standard_III_Total_Yes)</f>
        <v>0</v>
      </c>
      <c r="H17" s="1779">
        <f>IF(AND(CCADRCcontractNumber="",CBAALcontractNumber=""),0, Standard_III_Total_No)</f>
        <v>0</v>
      </c>
      <c r="I17" s="1779">
        <f t="shared" ref="I17" si="1">G17+H17</f>
        <v>0</v>
      </c>
      <c r="J17" s="1777" t="str">
        <f>IF(I17 &lt;&gt; 0, G17/I17, "")</f>
        <v/>
      </c>
    </row>
    <row r="18" spans="1:10" s="1" customFormat="1" ht="15.75" customHeight="1" thickBot="1">
      <c r="A18" s="1783" t="s">
        <v>213</v>
      </c>
      <c r="B18" s="1784"/>
      <c r="C18" s="1784"/>
      <c r="D18" s="1784"/>
      <c r="E18" s="1784"/>
      <c r="F18" s="1785"/>
      <c r="G18" s="1780"/>
      <c r="H18" s="1780"/>
      <c r="I18" s="1780"/>
      <c r="J18" s="1778"/>
    </row>
    <row r="19" spans="1:10" s="1" customFormat="1" ht="16.5" customHeight="1" thickTop="1">
      <c r="A19" s="1786" t="s">
        <v>34</v>
      </c>
      <c r="B19" s="1787"/>
      <c r="C19" s="1787"/>
      <c r="D19" s="1787"/>
      <c r="E19" s="1787"/>
      <c r="F19" s="1788"/>
      <c r="G19" s="1779">
        <f>IF(AND(CCADRCcontractNumber="",CBAALcontractNumber=""),0, Standard_IV_Total_Yes)</f>
        <v>0</v>
      </c>
      <c r="H19" s="1779">
        <f>IF(AND(CCADRCcontractNumber="",CBAALcontractNumber=""),0, Standard_IV_Total_No)</f>
        <v>0</v>
      </c>
      <c r="I19" s="1779">
        <f t="shared" ref="I19" si="2">G19+H19</f>
        <v>0</v>
      </c>
      <c r="J19" s="1777" t="str">
        <f>IF(I19 &lt;&gt; 0, G19/I19, "")</f>
        <v/>
      </c>
    </row>
    <row r="20" spans="1:10" s="1" customFormat="1" ht="15.75" customHeight="1" thickBot="1">
      <c r="A20" s="1783" t="s">
        <v>214</v>
      </c>
      <c r="B20" s="1784"/>
      <c r="C20" s="1784"/>
      <c r="D20" s="1784"/>
      <c r="E20" s="1784"/>
      <c r="F20" s="1785"/>
      <c r="G20" s="1780"/>
      <c r="H20" s="1780"/>
      <c r="I20" s="1780"/>
      <c r="J20" s="1778"/>
    </row>
    <row r="21" spans="1:10" s="1" customFormat="1" ht="16.5" customHeight="1" thickTop="1">
      <c r="A21" s="1786" t="s">
        <v>35</v>
      </c>
      <c r="B21" s="1787"/>
      <c r="C21" s="1787"/>
      <c r="D21" s="1787"/>
      <c r="E21" s="1787"/>
      <c r="F21" s="1788"/>
      <c r="G21" s="1779">
        <f>IF(AND(CCADRCcontractNumber="",CBAALcontractNumber=""),0, Standard_V_Total_Yes)</f>
        <v>0</v>
      </c>
      <c r="H21" s="1779">
        <f>IF(AND(CCADRCcontractNumber="",CBAALcontractNumber=""),0, Standard_V_Total_No)</f>
        <v>0</v>
      </c>
      <c r="I21" s="1779">
        <f t="shared" ref="I21" si="3">G21+H21</f>
        <v>0</v>
      </c>
      <c r="J21" s="1777" t="str">
        <f>IF(I21 &lt;&gt; 0, G21/I21, "")</f>
        <v/>
      </c>
    </row>
    <row r="22" spans="1:10" s="1" customFormat="1" ht="15.75" customHeight="1" thickBot="1">
      <c r="A22" s="1783" t="s">
        <v>215</v>
      </c>
      <c r="B22" s="1784"/>
      <c r="C22" s="1784"/>
      <c r="D22" s="1784"/>
      <c r="E22" s="1784"/>
      <c r="F22" s="1785"/>
      <c r="G22" s="1780"/>
      <c r="H22" s="1780"/>
      <c r="I22" s="1780"/>
      <c r="J22" s="1778"/>
    </row>
    <row r="23" spans="1:10" s="1" customFormat="1" ht="16.5" customHeight="1" thickTop="1">
      <c r="A23" s="1786" t="s">
        <v>36</v>
      </c>
      <c r="B23" s="1787"/>
      <c r="C23" s="1787"/>
      <c r="D23" s="1787"/>
      <c r="E23" s="1787"/>
      <c r="F23" s="1788"/>
      <c r="G23" s="1779">
        <f>IF(AND(CCADRCcontractNumber="",CBAALcontractNumber=""),0, IF(Standard_VI_1 = "Y", 1, 0))</f>
        <v>0</v>
      </c>
      <c r="H23" s="1779">
        <f>IF(AND(CCADRCcontractNumber="",CBAALcontractNumber=""),0, IF(Standard_VI_1 = "N", 1, 0))</f>
        <v>0</v>
      </c>
      <c r="I23" s="1779">
        <f t="shared" ref="I23" si="4">G23+H23</f>
        <v>0</v>
      </c>
      <c r="J23" s="1777" t="str">
        <f>IF(I23 &lt;&gt; 0, G23/I23, "")</f>
        <v/>
      </c>
    </row>
    <row r="24" spans="1:10" s="1" customFormat="1" ht="15.75" customHeight="1" thickBot="1">
      <c r="A24" s="1783" t="s">
        <v>216</v>
      </c>
      <c r="B24" s="1784"/>
      <c r="C24" s="1784"/>
      <c r="D24" s="1784"/>
      <c r="E24" s="1784"/>
      <c r="F24" s="1785"/>
      <c r="G24" s="1780"/>
      <c r="H24" s="1780"/>
      <c r="I24" s="1780"/>
      <c r="J24" s="1778"/>
    </row>
    <row r="25" spans="1:10" s="1" customFormat="1" ht="16.5" customHeight="1" thickTop="1">
      <c r="A25" s="1786" t="s">
        <v>37</v>
      </c>
      <c r="B25" s="1787"/>
      <c r="C25" s="1787"/>
      <c r="D25" s="1787"/>
      <c r="E25" s="1787"/>
      <c r="F25" s="1788"/>
      <c r="G25" s="1779">
        <f>IF(AND(CCADRCcontractNumber="",CBAALcontractNumber=""),0, Standard_VII_Total_Yes)</f>
        <v>0</v>
      </c>
      <c r="H25" s="1779">
        <f>IF(AND(CCADRCcontractNumber="",CBAALcontractNumber=""),0, Standard_VII_Total_No)</f>
        <v>0</v>
      </c>
      <c r="I25" s="1779">
        <f t="shared" ref="I25" si="5">G25+H25</f>
        <v>0</v>
      </c>
      <c r="J25" s="1777" t="str">
        <f>IF(I25 &lt;&gt; 0, G25/I25, "")</f>
        <v/>
      </c>
    </row>
    <row r="26" spans="1:10" s="1" customFormat="1" ht="16.5" customHeight="1" thickBot="1">
      <c r="A26" s="1783" t="s">
        <v>217</v>
      </c>
      <c r="B26" s="1784"/>
      <c r="C26" s="1784"/>
      <c r="D26" s="1784"/>
      <c r="E26" s="1784"/>
      <c r="F26" s="1785"/>
      <c r="G26" s="1780"/>
      <c r="H26" s="1780"/>
      <c r="I26" s="1780"/>
      <c r="J26" s="1778"/>
    </row>
    <row r="27" spans="1:10" s="1" customFormat="1" ht="16.5" customHeight="1" thickTop="1">
      <c r="A27" s="1786" t="s">
        <v>38</v>
      </c>
      <c r="B27" s="1787"/>
      <c r="C27" s="1787"/>
      <c r="D27" s="1787"/>
      <c r="E27" s="1787"/>
      <c r="F27" s="1788"/>
      <c r="G27" s="1779">
        <f>IF(AND(CCADRCcontractNumber="",CBAALcontractNumber=""),0, IF(Standard_VIII = "Y", 1, 0))</f>
        <v>0</v>
      </c>
      <c r="H27" s="1779">
        <f>IF(AND(CCADRCcontractNumber="",CBAALcontractNumber=""),0, IF(Standard_VIII = "N", 1, 0))</f>
        <v>0</v>
      </c>
      <c r="I27" s="1779">
        <f t="shared" ref="I27" si="6">G27+H27</f>
        <v>0</v>
      </c>
      <c r="J27" s="1777" t="str">
        <f>IF(I27 &lt;&gt; 0, G27/I27, "")</f>
        <v/>
      </c>
    </row>
    <row r="28" spans="1:10" s="1" customFormat="1" ht="16.5" customHeight="1" thickBot="1">
      <c r="A28" s="1783" t="s">
        <v>218</v>
      </c>
      <c r="B28" s="1784"/>
      <c r="C28" s="1784"/>
      <c r="D28" s="1784"/>
      <c r="E28" s="1784"/>
      <c r="F28" s="1785"/>
      <c r="G28" s="1780"/>
      <c r="H28" s="1780"/>
      <c r="I28" s="1780"/>
      <c r="J28" s="1778"/>
    </row>
    <row r="29" spans="1:10" s="1" customFormat="1" ht="16.5" customHeight="1" thickTop="1">
      <c r="A29" s="1786" t="s">
        <v>39</v>
      </c>
      <c r="B29" s="1787"/>
      <c r="C29" s="1787"/>
      <c r="D29" s="1787"/>
      <c r="E29" s="1787"/>
      <c r="F29" s="1788"/>
      <c r="G29" s="1779">
        <f>IF(AND(CCADRCcontractNumber="",CBAALcontractNumber=""),0, Standard_IX_Total_Yes)</f>
        <v>0</v>
      </c>
      <c r="H29" s="1779">
        <f>IF(AND(CCADRCcontractNumber="",CBAALcontractNumber=""),0, Standard_IX_Total_No)</f>
        <v>0</v>
      </c>
      <c r="I29" s="1779">
        <f t="shared" ref="I29" si="7">G29+H29</f>
        <v>0</v>
      </c>
      <c r="J29" s="1777" t="str">
        <f>IF(I29 &lt;&gt; 0, G29/I29, "")</f>
        <v/>
      </c>
    </row>
    <row r="30" spans="1:10" s="1" customFormat="1" ht="15.75" customHeight="1" thickBot="1">
      <c r="A30" s="1783" t="s">
        <v>219</v>
      </c>
      <c r="B30" s="1784"/>
      <c r="C30" s="1784"/>
      <c r="D30" s="1784"/>
      <c r="E30" s="1784"/>
      <c r="F30" s="1785"/>
      <c r="G30" s="1780"/>
      <c r="H30" s="1780"/>
      <c r="I30" s="1780"/>
      <c r="J30" s="1778"/>
    </row>
    <row r="31" spans="1:10" s="1" customFormat="1" ht="16.5" customHeight="1" thickTop="1">
      <c r="A31" s="1786" t="s">
        <v>209</v>
      </c>
      <c r="B31" s="1787"/>
      <c r="C31" s="1787"/>
      <c r="D31" s="1787"/>
      <c r="E31" s="1787"/>
      <c r="F31" s="1788"/>
      <c r="G31" s="1779">
        <f>IF(AND(CCADRCcontractNumber="",CBAALcontractNumber=""),0, Standard_X_Total_Yes)</f>
        <v>0</v>
      </c>
      <c r="H31" s="1779">
        <f>IF(AND(CCADRCcontractNumber="",CBAALcontractNumber=""),0, Standard_X_Total_No)</f>
        <v>0</v>
      </c>
      <c r="I31" s="1779">
        <f t="shared" ref="I31" si="8">G31+H31</f>
        <v>0</v>
      </c>
      <c r="J31" s="1777" t="str">
        <f>IF(I31 &lt;&gt; 0, G31/I31, "")</f>
        <v/>
      </c>
    </row>
    <row r="32" spans="1:10" s="1" customFormat="1" ht="15.75" customHeight="1" thickBot="1">
      <c r="A32" s="1783" t="s">
        <v>220</v>
      </c>
      <c r="B32" s="1784"/>
      <c r="C32" s="1784"/>
      <c r="D32" s="1784"/>
      <c r="E32" s="1784"/>
      <c r="F32" s="1785"/>
      <c r="G32" s="1780"/>
      <c r="H32" s="1780"/>
      <c r="I32" s="1780"/>
      <c r="J32" s="1778"/>
    </row>
    <row r="33" spans="1:10" s="1" customFormat="1" ht="15.75" customHeight="1" thickTop="1">
      <c r="A33" s="1786" t="s">
        <v>210</v>
      </c>
      <c r="B33" s="1787"/>
      <c r="C33" s="1787"/>
      <c r="D33" s="1787"/>
      <c r="E33" s="1787"/>
      <c r="F33" s="1788"/>
      <c r="G33" s="1779">
        <f>IF(AND(CCADRCcontractNumber="",CBAALcontractNumber=""),0, Standard_XI_Total_Yes)</f>
        <v>0</v>
      </c>
      <c r="H33" s="1779">
        <f>IF(AND(CCADRCcontractNumber="",CBAALcontractNumber=""),0, Standard_XI_Total_No)</f>
        <v>0</v>
      </c>
      <c r="I33" s="1779">
        <f t="shared" ref="I33" si="9">G33+H33</f>
        <v>0</v>
      </c>
      <c r="J33" s="1777" t="str">
        <f>IF(I33 &lt;&gt; 0, G33/I33, "")</f>
        <v/>
      </c>
    </row>
    <row r="34" spans="1:10" s="1" customFormat="1" ht="16" thickBot="1">
      <c r="A34" s="1783" t="s">
        <v>221</v>
      </c>
      <c r="B34" s="1784"/>
      <c r="C34" s="1784"/>
      <c r="D34" s="1784"/>
      <c r="E34" s="1784"/>
      <c r="F34" s="1785"/>
      <c r="G34" s="1780"/>
      <c r="H34" s="1780"/>
      <c r="I34" s="1780"/>
      <c r="J34" s="1778"/>
    </row>
    <row r="35" spans="1:10" s="1" customFormat="1" ht="16.5" customHeight="1" thickTop="1" thickBot="1">
      <c r="A35" s="1819" t="s">
        <v>208</v>
      </c>
      <c r="B35" s="1820"/>
      <c r="C35" s="1820"/>
      <c r="D35" s="1820"/>
      <c r="E35" s="1820"/>
      <c r="F35" s="1821"/>
      <c r="G35" s="28">
        <f>SUM(G13:G34)</f>
        <v>0</v>
      </c>
      <c r="H35" s="28">
        <f>SUM(H13:H34)</f>
        <v>0</v>
      </c>
      <c r="I35" s="28">
        <f>SUM(I13:I34)</f>
        <v>0</v>
      </c>
      <c r="J35" s="29" t="str">
        <f>IF(ReviewLevel="FULL",IF(I35 &lt;&gt; 0, G35/I35, ""),"")</f>
        <v/>
      </c>
    </row>
    <row r="36" spans="1:10" s="1" customFormat="1" ht="16.5" customHeight="1" thickTop="1" thickBot="1">
      <c r="A36" s="1813" t="s">
        <v>223</v>
      </c>
      <c r="B36" s="1814"/>
      <c r="C36" s="1814"/>
      <c r="D36" s="1814"/>
      <c r="E36" s="1814"/>
      <c r="F36" s="1815"/>
      <c r="G36" s="1811" t="s">
        <v>74</v>
      </c>
      <c r="H36" s="1812"/>
      <c r="I36" s="1811"/>
      <c r="J36" s="1812"/>
    </row>
    <row r="37" spans="1:10" s="1" customFormat="1" ht="18" customHeight="1" thickBot="1">
      <c r="A37" s="1816"/>
      <c r="B37" s="1817"/>
      <c r="C37" s="1817"/>
      <c r="D37" s="1817"/>
      <c r="E37" s="1817"/>
      <c r="F37" s="1818"/>
      <c r="G37" s="1781">
        <f>'Demand for Pmt Notice (Print)'!H8</f>
        <v>0</v>
      </c>
      <c r="H37" s="1782"/>
      <c r="I37" s="1781"/>
      <c r="J37" s="1782"/>
    </row>
    <row r="38" spans="1:10" s="1" customFormat="1" ht="16" thickTop="1">
      <c r="A38" s="1792" t="s">
        <v>1497</v>
      </c>
      <c r="B38" s="1793"/>
      <c r="C38" s="1793"/>
      <c r="D38" s="1793"/>
      <c r="E38" s="1793"/>
      <c r="F38" s="1794"/>
      <c r="G38" s="1805" t="s">
        <v>222</v>
      </c>
      <c r="H38" s="1805"/>
      <c r="I38" s="1807">
        <f>SUM(G37,I37)</f>
        <v>0</v>
      </c>
      <c r="J38" s="1808"/>
    </row>
    <row r="39" spans="1:10" s="1" customFormat="1" ht="16" thickBot="1">
      <c r="A39" s="1795"/>
      <c r="B39" s="1796"/>
      <c r="C39" s="1796"/>
      <c r="D39" s="1796"/>
      <c r="E39" s="1796"/>
      <c r="F39" s="1797"/>
      <c r="G39" s="1806"/>
      <c r="H39" s="1806"/>
      <c r="I39" s="1809"/>
      <c r="J39" s="1810"/>
    </row>
    <row r="40" spans="1:10" ht="15" thickTop="1"/>
  </sheetData>
  <sheetProtection algorithmName="SHA-512" hashValue="T3k2oKNpWDKu2/8WHou79L1SjEx6YsQ/CIEt/vhPZsWRWdISAdpn6a0MbZaT1/R/j08Li2bNRn0yms+aNTwkvA==" saltValue="hTxbhCUFHohL5mkdPJL8nA==" spinCount="100000" sheet="1" selectLockedCells="1"/>
  <customSheetViews>
    <customSheetView guid="{A81B7E59-6D30-48F0-895B-EADA4D6F68AC}" fitToPage="1" hiddenRows="1">
      <selection activeCell="I3" sqref="I3:J3"/>
      <pageMargins left="0.7" right="0.7" top="1.1299999999999999" bottom="0.75" header="0.3" footer="0.3"/>
      <pageSetup scale="83" fitToHeight="3" orientation="portrait" r:id="rId1"/>
      <headerFooter>
        <oddHeader>&amp;L&amp;"Arial,Regular"&amp;8Texas Department of Aging 
and Disability Services&amp;C&amp;"Arial,Bold"&amp;12RESIDENTIAL CARE (RC)
RC COMPLIANCE SUMMARY&amp;R&amp;"Arial,Regular"&amp;8Form TBD
Page &amp;P</oddHeader>
      </headerFooter>
    </customSheetView>
    <customSheetView guid="{B2091B36-14EA-49EC-93AF-D5AA205EF0C1}" fitToPage="1">
      <selection sqref="A1:D1"/>
      <pageMargins left="0.7" right="0.7" top="1.1299999999999999" bottom="0.75" header="0.3" footer="0.3"/>
      <pageSetup scale="83" fitToHeight="3" orientation="portrait" r:id="rId2"/>
      <headerFooter>
        <oddHeader>&amp;L&amp;"Arial,Regular"&amp;8Texas Department of Aging
and Disability Services&amp;C&amp;"Arial,Bold"&amp;12ASSISTED LIVING/RESIDENTIAL CARE (AL/RC) /
OUT OF HOME RESPITE (OHR)
 AL/RC COMPLIANCE SUMMARY&amp;R&amp;"Arial,Regular"&amp;8Form TBD
Page &amp;P</oddHeader>
      </headerFooter>
    </customSheetView>
    <customSheetView guid="{965C3FE4-50BF-43C0-B1D0-366B904E9BAB}" fitToPage="1" topLeftCell="A7">
      <selection activeCell="K1" sqref="K1"/>
      <pageMargins left="0.7" right="0.7" top="1.1299999999999999" bottom="0.75" header="0.3" footer="0.3"/>
      <pageSetup scale="90" fitToHeight="3" orientation="portrait" r:id="rId3"/>
      <headerFooter>
        <oddHeader>&amp;L&amp;"Arial,Regular"&amp;8Texas Department of Aging
and Disability Services&amp;C&amp;"Arial,Bold"&amp;12ASSISTED LIVING/RESIDENTIAL CARE (AL/RC) /
OUT OF HOME RESPITE (OHR)
 AL/RC COMPLIANCE SUMMARY&amp;R&amp;"Arial,Regular"&amp;8Form TBD
Page &amp;P</oddHeader>
      </headerFooter>
    </customSheetView>
    <customSheetView guid="{5C7A2EDE-CAF2-41B7-8EBC-2EB35225299B}" fitToPage="1" topLeftCell="A7">
      <selection activeCell="K1" sqref="K1"/>
      <pageMargins left="0.7" right="0.7" top="1.1299999999999999" bottom="0.75" header="0.3" footer="0.3"/>
      <pageSetup scale="90" fitToHeight="3" orientation="portrait" r:id="rId4"/>
      <headerFooter>
        <oddHeader>&amp;L&amp;"Arial,Regular"&amp;8Texas Department of Aging
and Disability Services&amp;C&amp;"Arial,Bold"&amp;12ASSISTED LIVING/RESIDENTIAL CARE (AL/RC) /
OUT OF HOME RESPITE (OHR)
 AL/RC COMPLIANCE SUMMARY&amp;R&amp;"Arial,Regular"&amp;8Form TBD
Page &amp;P</oddHeader>
      </headerFooter>
    </customSheetView>
    <customSheetView guid="{15DD4F60-D491-4D73-A014-FE6349F17583}" fitToPage="1" topLeftCell="A7">
      <selection activeCell="K1" sqref="K1"/>
      <pageMargins left="0.7" right="0.7" top="1.1299999999999999" bottom="0.75" header="0.3" footer="0.3"/>
      <pageSetup scale="90" fitToHeight="3" orientation="portrait" r:id="rId5"/>
      <headerFooter>
        <oddHeader>&amp;L&amp;"Arial,Regular"&amp;8Texas Department of Aging
and Disability Services&amp;C&amp;"Arial,Bold"&amp;12ASSISTED LIVING/RESIDENTIAL CARE (AL/RC) /
OUT OF HOME RESPITE (OHR)
 AL/RC COMPLIANCE SUMMARY&amp;R&amp;"Arial,Regular"&amp;8Form TBD
Page &amp;P</oddHeader>
      </headerFooter>
    </customSheetView>
    <customSheetView guid="{A9399441-FD69-4FCC-BF3B-6E447DD9FB6A}" fitToPage="1">
      <selection sqref="A1:D1"/>
      <pageMargins left="0.7" right="0.7" top="1.1299999999999999" bottom="0.75" header="0.3" footer="0.3"/>
      <pageSetup scale="83" fitToHeight="3" orientation="portrait" r:id="rId6"/>
      <headerFooter>
        <oddHeader>&amp;L&amp;"Arial,Regular"&amp;8Texas Department of Aging
and Disability Services&amp;C&amp;"Arial,Bold"&amp;12ASSISTED LIVING/RESIDENTIAL CARE (AL/RC) /
OUT OF HOME RESPITE (OHR)
 AL/RC COMPLIANCE SUMMARY&amp;R&amp;"Arial,Regular"&amp;8Form TBD
Page &amp;P</oddHeader>
      </headerFooter>
    </customSheetView>
  </customSheetViews>
  <mergeCells count="105">
    <mergeCell ref="H31:H32"/>
    <mergeCell ref="G36:H36"/>
    <mergeCell ref="I36:J36"/>
    <mergeCell ref="G21:G22"/>
    <mergeCell ref="A22:F22"/>
    <mergeCell ref="H17:H18"/>
    <mergeCell ref="I17:I18"/>
    <mergeCell ref="J17:J18"/>
    <mergeCell ref="H19:H20"/>
    <mergeCell ref="I19:I20"/>
    <mergeCell ref="J25:J26"/>
    <mergeCell ref="J27:J28"/>
    <mergeCell ref="A36:F37"/>
    <mergeCell ref="A35:F35"/>
    <mergeCell ref="A33:F33"/>
    <mergeCell ref="G33:G34"/>
    <mergeCell ref="H33:H34"/>
    <mergeCell ref="I33:I34"/>
    <mergeCell ref="J33:J34"/>
    <mergeCell ref="A27:F27"/>
    <mergeCell ref="G29:G30"/>
    <mergeCell ref="H29:H30"/>
    <mergeCell ref="I29:I30"/>
    <mergeCell ref="J23:J24"/>
    <mergeCell ref="A38:F39"/>
    <mergeCell ref="A10:F12"/>
    <mergeCell ref="G11:G12"/>
    <mergeCell ref="H11:H12"/>
    <mergeCell ref="I27:I28"/>
    <mergeCell ref="H21:H22"/>
    <mergeCell ref="I21:I22"/>
    <mergeCell ref="A25:F25"/>
    <mergeCell ref="A32:F32"/>
    <mergeCell ref="A31:F31"/>
    <mergeCell ref="A30:F30"/>
    <mergeCell ref="A29:F29"/>
    <mergeCell ref="A28:F28"/>
    <mergeCell ref="G15:G16"/>
    <mergeCell ref="G25:G26"/>
    <mergeCell ref="A14:F14"/>
    <mergeCell ref="A17:F17"/>
    <mergeCell ref="H25:H26"/>
    <mergeCell ref="I25:I26"/>
    <mergeCell ref="G27:G28"/>
    <mergeCell ref="H27:H28"/>
    <mergeCell ref="A26:F26"/>
    <mergeCell ref="G38:H39"/>
    <mergeCell ref="I38:J39"/>
    <mergeCell ref="A21:F21"/>
    <mergeCell ref="J13:J14"/>
    <mergeCell ref="J19:J20"/>
    <mergeCell ref="H15:H16"/>
    <mergeCell ref="I15:I16"/>
    <mergeCell ref="G17:G18"/>
    <mergeCell ref="A18:F18"/>
    <mergeCell ref="A19:F19"/>
    <mergeCell ref="I13:I14"/>
    <mergeCell ref="J29:J30"/>
    <mergeCell ref="G31:G32"/>
    <mergeCell ref="G37:H37"/>
    <mergeCell ref="I37:J37"/>
    <mergeCell ref="A34:F34"/>
    <mergeCell ref="I31:I32"/>
    <mergeCell ref="J31:J32"/>
    <mergeCell ref="A8:B8"/>
    <mergeCell ref="C8:E8"/>
    <mergeCell ref="A9:J9"/>
    <mergeCell ref="A23:F23"/>
    <mergeCell ref="G23:G24"/>
    <mergeCell ref="H23:H24"/>
    <mergeCell ref="I23:I24"/>
    <mergeCell ref="A24:F24"/>
    <mergeCell ref="A13:F13"/>
    <mergeCell ref="G13:G14"/>
    <mergeCell ref="H13:H14"/>
    <mergeCell ref="J21:J22"/>
    <mergeCell ref="A15:F15"/>
    <mergeCell ref="J15:J16"/>
    <mergeCell ref="A16:F16"/>
    <mergeCell ref="G19:G20"/>
    <mergeCell ref="A20:F20"/>
    <mergeCell ref="A1:D1"/>
    <mergeCell ref="E1:F1"/>
    <mergeCell ref="G1:H1"/>
    <mergeCell ref="I1:J1"/>
    <mergeCell ref="A2:D2"/>
    <mergeCell ref="E2:F2"/>
    <mergeCell ref="G2:H2"/>
    <mergeCell ref="I2:J2"/>
    <mergeCell ref="F6:J8"/>
    <mergeCell ref="A7:B7"/>
    <mergeCell ref="C7:E7"/>
    <mergeCell ref="A6:B6"/>
    <mergeCell ref="C6:E6"/>
    <mergeCell ref="A3:B3"/>
    <mergeCell ref="C3:D3"/>
    <mergeCell ref="C4:D4"/>
    <mergeCell ref="C5:D5"/>
    <mergeCell ref="E3:F3"/>
    <mergeCell ref="E4:F4"/>
    <mergeCell ref="E5:F5"/>
    <mergeCell ref="G3:H3"/>
    <mergeCell ref="G4:H4"/>
    <mergeCell ref="G5:H5"/>
    <mergeCell ref="I3:J3"/>
  </mergeCells>
  <conditionalFormatting sqref="J13:J35">
    <cfRule type="cellIs" dxfId="2" priority="1" operator="lessThan">
      <formula>0.9</formula>
    </cfRule>
  </conditionalFormatting>
  <pageMargins left="0.7" right="0.7" top="1.1299999999999999" bottom="0.75" header="0.3" footer="0.3"/>
  <pageSetup scale="83" fitToHeight="3" orientation="portrait" r:id="rId7"/>
  <headerFooter>
    <oddHeader>&amp;L&amp;"Arial,Regular"&amp;8Texas Department of Aging 
and Disability Services&amp;C&amp;"Arial,Bold"&amp;12RESIDENTIAL CARE (RC)
RC COMPLIANCE SUMMARY&amp;R&amp;"Arial,Regular"&amp;8Form TBD
Page &amp;P</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3</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boWttDCnT7UMcaEA4lmhBEbc3PNw02viMHe8MI+yLP64Gc5VeNBKcMOJOtrxWGGYIMXE8k/0QLoWOEb5gAaW3Q==" saltValue="hu5yM/8Q/HOGmR27VTTx5w=="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58" priority="2" operator="lessThan">
      <formula>0</formula>
    </cfRule>
  </conditionalFormatting>
  <conditionalFormatting sqref="I274:I277">
    <cfRule type="cellIs" dxfId="57" priority="1" operator="equal">
      <formula>0</formula>
    </cfRule>
  </conditionalFormatting>
  <dataValidations count="21">
    <dataValidation operator="greaterThanOrEqual" allowBlank="1" showInputMessage="1" showErrorMessage="1" sqref="K2 D144:E144 I144:K144 I156:K156 D156:E156" xr:uid="{00000000-0002-0000-0300-000000000000}"/>
    <dataValidation type="date" allowBlank="1" showInputMessage="1" showErrorMessage="1" errorTitle="Date Error" error="Date must be within Dates of Review Period." sqref="D37:E37 I37:K37" xr:uid="{00000000-0002-0000-0300-000001000000}">
      <formula1>$G$2</formula1>
      <formula2>$I$2</formula2>
    </dataValidation>
    <dataValidation type="decimal" operator="greaterThanOrEqual" allowBlank="1" showInputMessage="1" showErrorMessage="1" sqref="D242:E242" xr:uid="{00000000-0002-0000-0300-000002000000}">
      <formula1>MINVALDBL</formula1>
    </dataValidation>
    <dataValidation type="list" allowBlank="1" showInputMessage="1" showErrorMessage="1" promptTitle="X.6.a Entry Guidance" prompt="X.6.a cannot be &quot;NA&quot; if Column D above (Total Refund Due) is greater than $0.00." sqref="J243:K243" xr:uid="{00000000-0002-0000-03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0300-000004000000}">
      <formula1>A47</formula1>
    </dataValidation>
    <dataValidation type="whole" allowBlank="1" showInputMessage="1" showErrorMessage="1" sqref="H349:H354" xr:uid="{00000000-0002-0000-0300-000005000000}">
      <formula1>1</formula1>
      <formula2>31</formula2>
    </dataValidation>
    <dataValidation type="textLength" operator="greaterThan" allowBlank="1" showInputMessage="1" showErrorMessage="1" sqref="D3:D4" xr:uid="{00000000-0002-0000-0300-000006000000}">
      <formula1>1</formula1>
    </dataValidation>
    <dataValidation type="whole" allowBlank="1" showInputMessage="1" showErrorMessage="1" sqref="A2" xr:uid="{00000000-0002-0000-0300-000007000000}">
      <formula1>1</formula1>
      <formula2>99</formula2>
    </dataValidation>
    <dataValidation type="whole" operator="greaterThan" allowBlank="1" showInputMessage="1" showErrorMessage="1" sqref="E121:E130 A121:A130" xr:uid="{00000000-0002-0000-0300-000008000000}">
      <formula1>0</formula1>
    </dataValidation>
    <dataValidation type="textLength" operator="lessThanOrEqual" allowBlank="1" showInputMessage="1" showErrorMessage="1" sqref="N242:Q242 E196:K215 E172:K181 A295:E299 E225:K234" xr:uid="{00000000-0002-0000-0300-000009000000}">
      <formula1>255</formula1>
    </dataValidation>
    <dataValidation type="date" operator="greaterThan" allowBlank="1" showInputMessage="1" showErrorMessage="1" sqref="R242:S242" xr:uid="{00000000-0002-0000-0300-00000A000000}">
      <formula1>1</formula1>
    </dataValidation>
    <dataValidation type="whole" allowBlank="1" showInputMessage="1" showErrorMessage="1" sqref="C349:C354" xr:uid="{00000000-0002-0000-0300-00000B000000}">
      <formula1>1</formula1>
      <formula2>999</formula2>
    </dataValidation>
    <dataValidation type="decimal" operator="greaterThan" allowBlank="1" showInputMessage="1" showErrorMessage="1" sqref="J301:K301" xr:uid="{00000000-0002-0000-0300-00000C000000}">
      <formula1>0</formula1>
    </dataValidation>
    <dataValidation type="decimal" operator="greaterThanOrEqual" allowBlank="1" showInputMessage="1" showErrorMessage="1" sqref="F295:I299" xr:uid="{00000000-0002-0000-03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0300-00000E000000}">
      <formula1>0</formula1>
    </dataValidation>
    <dataValidation type="list" allowBlank="1" showInputMessage="1" showErrorMessage="1" sqref="B242" xr:uid="{00000000-0002-0000-0300-00000F000000}">
      <formula1>"DEATH,DISCHARGE"</formula1>
    </dataValidation>
    <dataValidation type="list" allowBlank="1" showInputMessage="1" showErrorMessage="1" sqref="J337:K341 K63:L65 K15:L16 G37 B37 J364:K365 J304:K305 J329:K334 J324 J53:K54 J56" xr:uid="{00000000-0002-0000-03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03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0300-000012000000}">
      <formula1>1</formula1>
    </dataValidation>
    <dataValidation type="date" operator="greaterThan" allowBlank="1" showInputMessage="1" showErrorMessage="1" errorTitle="Date Error" error="&quot;From&quot; date must be later than previous &quot;To&quot; date." sqref="A350:A354" xr:uid="{00000000-0002-0000-0300-000013000000}">
      <formula1>B349</formula1>
    </dataValidation>
    <dataValidation type="date" operator="greaterThanOrEqual" allowBlank="1" showInputMessage="1" showErrorMessage="1" errorTitle="Date Error" error="&quot;To&quot; date cannot be earlier than &quot;From&quot; date." sqref="B349:B354" xr:uid="{00000000-0002-0000-03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84001"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84002"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84003"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84004"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84005"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84006"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84007"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84008"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84009"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84010"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84011"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84012"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84013"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03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03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03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0300-000018000000}">
          <x14:formula1>
            <xm:f>'Samples (Print)'!B2</xm:f>
          </x14:formula1>
          <x14:formula2>
            <xm:f>'Samples (Print)'!D2</xm:f>
          </x14:formula2>
          <xm:sqref>A47:E47</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pageSetUpPr fitToPage="1"/>
  </sheetPr>
  <dimension ref="A1:K40"/>
  <sheetViews>
    <sheetView zoomScaleNormal="100" workbookViewId="0">
      <selection sqref="A1:XFD1048576"/>
    </sheetView>
  </sheetViews>
  <sheetFormatPr defaultRowHeight="14.5"/>
  <cols>
    <col min="2" max="2" width="18.6328125" customWidth="1"/>
    <col min="4" max="4" width="7.36328125" customWidth="1"/>
    <col min="6" max="7" width="7" customWidth="1"/>
    <col min="8" max="8" width="7.453125" customWidth="1"/>
    <col min="9" max="9" width="11.08984375" customWidth="1"/>
    <col min="10" max="10" width="12.08984375" customWidth="1"/>
  </cols>
  <sheetData>
    <row r="1" spans="1:11" s="1" customFormat="1" ht="30" customHeight="1" thickTop="1">
      <c r="A1" s="838" t="s">
        <v>0</v>
      </c>
      <c r="B1" s="839"/>
      <c r="C1" s="839"/>
      <c r="D1" s="840"/>
      <c r="E1" s="499" t="s">
        <v>1294</v>
      </c>
      <c r="F1" s="501"/>
      <c r="G1" s="499" t="s">
        <v>1</v>
      </c>
      <c r="H1" s="501"/>
      <c r="I1" s="499" t="s">
        <v>2</v>
      </c>
      <c r="J1" s="501"/>
      <c r="K1" s="23"/>
    </row>
    <row r="2" spans="1:11" s="1" customFormat="1" ht="16" thickBot="1">
      <c r="A2" s="1495" t="str">
        <f>IF(CBAOHRcontractNumber="","",NameOfLegalEntity)</f>
        <v/>
      </c>
      <c r="B2" s="1496"/>
      <c r="C2" s="1496"/>
      <c r="D2" s="1497"/>
      <c r="E2" s="1498" t="str">
        <f>IF(CBAOHRcontractNumber="","",SingleCare3Facility)</f>
        <v/>
      </c>
      <c r="F2" s="1499"/>
      <c r="G2" s="1498" t="str">
        <f>IF(CBAOHRcontractNumber="","",ReviewLevel)</f>
        <v/>
      </c>
      <c r="H2" s="1499"/>
      <c r="I2" s="1498" t="str">
        <f>IF(CBAOHRcontractNumber="","",ReviewType)</f>
        <v/>
      </c>
      <c r="J2" s="1499"/>
      <c r="K2" s="23"/>
    </row>
    <row r="3" spans="1:11" s="298" customFormat="1" ht="15.75" customHeight="1" thickTop="1">
      <c r="A3" s="1500" t="s">
        <v>3</v>
      </c>
      <c r="B3" s="1356"/>
      <c r="C3" s="499" t="s">
        <v>4</v>
      </c>
      <c r="D3" s="501"/>
      <c r="E3" s="499" t="s">
        <v>5</v>
      </c>
      <c r="F3" s="501"/>
      <c r="G3" s="499" t="s">
        <v>5</v>
      </c>
      <c r="H3" s="501"/>
      <c r="I3" s="499" t="s">
        <v>1381</v>
      </c>
      <c r="J3" s="501"/>
      <c r="K3" s="297"/>
    </row>
    <row r="4" spans="1:11" s="298" customFormat="1" ht="15" customHeight="1">
      <c r="A4" s="11" t="s">
        <v>7</v>
      </c>
      <c r="B4" s="289" t="str">
        <f>IF(CBAOHRcontractNumber="","",CompletedByLastName)</f>
        <v/>
      </c>
      <c r="C4" s="502" t="s">
        <v>8</v>
      </c>
      <c r="D4" s="504"/>
      <c r="E4" s="502" t="s">
        <v>9</v>
      </c>
      <c r="F4" s="504"/>
      <c r="G4" s="502" t="s">
        <v>1430</v>
      </c>
      <c r="H4" s="504"/>
      <c r="I4" s="2" t="s">
        <v>10</v>
      </c>
      <c r="J4" s="290" t="str">
        <f>IF(CBAOHRcontractNumber="","",IF(MonitoringPeriodBeginDate="","",MonitoringPeriodBeginDate))</f>
        <v/>
      </c>
      <c r="K4" s="297"/>
    </row>
    <row r="5" spans="1:11" s="298" customFormat="1" ht="16.5" customHeight="1" thickBot="1">
      <c r="A5" s="11" t="s">
        <v>11</v>
      </c>
      <c r="B5" s="292" t="str">
        <f>IF(CBAOHRcontractNumber="","",CompletedByFirstName)</f>
        <v/>
      </c>
      <c r="C5" s="1501" t="str">
        <f>IF(CBAOHRcontractNumber="","",IF(DateOfEntrance="","",DateOfEntrance))</f>
        <v/>
      </c>
      <c r="D5" s="1502"/>
      <c r="E5" s="1501" t="str">
        <f>IF(CBAOHRcontractNumber="","",IF(DateOfExit="","",DateOfExit))</f>
        <v/>
      </c>
      <c r="F5" s="1502"/>
      <c r="G5" s="1501" t="str">
        <f>IF(CBAOHRcontractNumber="","",IF(DateOfRevisedExit="","",DateOfRevisedExit))</f>
        <v/>
      </c>
      <c r="H5" s="1502"/>
      <c r="I5" s="2" t="s">
        <v>12</v>
      </c>
      <c r="J5" s="294" t="str">
        <f>IF(CBAOHRcontractNumber="","",IF(MonitoringPeriodEndDate="","",MonitoringPeriodEndDate))</f>
        <v/>
      </c>
      <c r="K5" s="297"/>
    </row>
    <row r="6" spans="1:11" s="1" customFormat="1" ht="15.75" customHeight="1" thickTop="1" thickBot="1">
      <c r="A6" s="1492" t="s">
        <v>13</v>
      </c>
      <c r="B6" s="1493"/>
      <c r="C6" s="1493" t="s">
        <v>53</v>
      </c>
      <c r="D6" s="1493"/>
      <c r="E6" s="1494"/>
      <c r="F6" s="499"/>
      <c r="G6" s="500"/>
      <c r="H6" s="500"/>
      <c r="I6" s="500"/>
      <c r="J6" s="501"/>
      <c r="K6" s="23"/>
    </row>
    <row r="7" spans="1:11" s="1" customFormat="1" ht="15" customHeight="1" thickBot="1">
      <c r="A7" s="1503" t="s">
        <v>76</v>
      </c>
      <c r="B7" s="1504"/>
      <c r="C7" s="1505">
        <f>CBAOHRcontractNumber</f>
        <v>0</v>
      </c>
      <c r="D7" s="1506"/>
      <c r="E7" s="1507"/>
      <c r="F7" s="502"/>
      <c r="G7" s="503"/>
      <c r="H7" s="503"/>
      <c r="I7" s="503"/>
      <c r="J7" s="504"/>
      <c r="K7" s="23"/>
    </row>
    <row r="8" spans="1:11" s="1" customFormat="1" ht="15" hidden="1" customHeight="1" thickBot="1">
      <c r="A8" s="1503"/>
      <c r="B8" s="1504"/>
      <c r="C8" s="1505"/>
      <c r="D8" s="1506"/>
      <c r="E8" s="1507"/>
      <c r="F8" s="1776"/>
      <c r="G8" s="505"/>
      <c r="H8" s="505"/>
      <c r="I8" s="505"/>
      <c r="J8" s="506"/>
      <c r="K8" s="23"/>
    </row>
    <row r="9" spans="1:11" s="1" customFormat="1" ht="17.25" customHeight="1" thickTop="1" thickBot="1">
      <c r="A9" s="624" t="s">
        <v>224</v>
      </c>
      <c r="B9" s="625"/>
      <c r="C9" s="625"/>
      <c r="D9" s="625"/>
      <c r="E9" s="625"/>
      <c r="F9" s="625"/>
      <c r="G9" s="625"/>
      <c r="H9" s="625"/>
      <c r="I9" s="625"/>
      <c r="J9" s="626"/>
    </row>
    <row r="10" spans="1:11" s="1" customFormat="1" ht="16.5" customHeight="1" thickTop="1" thickBot="1">
      <c r="A10" s="1853" t="s">
        <v>225</v>
      </c>
      <c r="B10" s="1854"/>
      <c r="C10" s="1854"/>
      <c r="D10" s="1854"/>
      <c r="E10" s="1854"/>
      <c r="F10" s="1854"/>
      <c r="G10" s="1854"/>
      <c r="H10" s="1854"/>
      <c r="I10" s="1854"/>
      <c r="J10" s="1855"/>
    </row>
    <row r="11" spans="1:11" s="1" customFormat="1" ht="15.75" customHeight="1" thickTop="1">
      <c r="A11" s="700" t="s">
        <v>22</v>
      </c>
      <c r="B11" s="701"/>
      <c r="C11" s="701"/>
      <c r="D11" s="701"/>
      <c r="E11" s="701"/>
      <c r="F11" s="702"/>
      <c r="G11" s="140" t="s">
        <v>23</v>
      </c>
      <c r="H11" s="140" t="s">
        <v>24</v>
      </c>
      <c r="I11" s="140" t="s">
        <v>25</v>
      </c>
      <c r="J11" s="140" t="s">
        <v>26</v>
      </c>
    </row>
    <row r="12" spans="1:11" s="1" customFormat="1" ht="15" customHeight="1">
      <c r="A12" s="1798"/>
      <c r="B12" s="1799"/>
      <c r="C12" s="1799"/>
      <c r="D12" s="1799"/>
      <c r="E12" s="1799"/>
      <c r="F12" s="1800"/>
      <c r="G12" s="1804" t="s">
        <v>17</v>
      </c>
      <c r="H12" s="1804" t="s">
        <v>18</v>
      </c>
      <c r="I12" s="141" t="s">
        <v>27</v>
      </c>
      <c r="J12" s="141" t="s">
        <v>28</v>
      </c>
    </row>
    <row r="13" spans="1:11" s="1" customFormat="1" ht="16" thickBot="1">
      <c r="A13" s="1801"/>
      <c r="B13" s="1802"/>
      <c r="C13" s="1802"/>
      <c r="D13" s="1802"/>
      <c r="E13" s="1802"/>
      <c r="F13" s="1803"/>
      <c r="G13" s="1542"/>
      <c r="H13" s="1542"/>
      <c r="I13" s="142" t="s">
        <v>29</v>
      </c>
      <c r="J13" s="142" t="s">
        <v>30</v>
      </c>
    </row>
    <row r="14" spans="1:11" s="1" customFormat="1" ht="15.75" customHeight="1" thickTop="1">
      <c r="A14" s="1789" t="s">
        <v>226</v>
      </c>
      <c r="B14" s="1790"/>
      <c r="C14" s="1790"/>
      <c r="D14" s="1790"/>
      <c r="E14" s="1790"/>
      <c r="F14" s="1791"/>
      <c r="G14" s="1779">
        <f xml:space="preserve"> IF(CBAOHRcontractNumber="",0, IF(COUNTIF('Monitoring Workbook'!H7:H8, "") = 3, 0, Standard_I_Total_Yes))</f>
        <v>0</v>
      </c>
      <c r="H14" s="1779">
        <f xml:space="preserve"> IF(CBAOHRcontractNumber="",0, IF(COUNTIF('Monitoring Workbook'!H7:H8, "") = 3, 0, Standard_I_Total_No))</f>
        <v>0</v>
      </c>
      <c r="I14" s="1779">
        <f xml:space="preserve"> G14+H14</f>
        <v>0</v>
      </c>
      <c r="J14" s="1777" t="str">
        <f>IF(I14 &lt;&gt; 0, G14/I14, "")</f>
        <v/>
      </c>
    </row>
    <row r="15" spans="1:11" s="1" customFormat="1" ht="15.75" customHeight="1" thickBot="1">
      <c r="A15" s="1783" t="s">
        <v>212</v>
      </c>
      <c r="B15" s="1784"/>
      <c r="C15" s="1784"/>
      <c r="D15" s="1784"/>
      <c r="E15" s="1784"/>
      <c r="F15" s="1785"/>
      <c r="G15" s="1780"/>
      <c r="H15" s="1780"/>
      <c r="I15" s="1780"/>
      <c r="J15" s="1778"/>
    </row>
    <row r="16" spans="1:11" s="1" customFormat="1" ht="15.75" customHeight="1" thickTop="1">
      <c r="A16" s="1786" t="s">
        <v>227</v>
      </c>
      <c r="B16" s="1787"/>
      <c r="C16" s="1787"/>
      <c r="D16" s="1787"/>
      <c r="E16" s="1787"/>
      <c r="F16" s="1788"/>
      <c r="G16" s="1779">
        <f xml:space="preserve"> IF(CBAOHRcontractNumber="",0,IF(COUNTIF('Monitoring Workbook'!H7:H8,"")=3,0,Standard_II_Total_Yes))</f>
        <v>0</v>
      </c>
      <c r="H16" s="1779">
        <f xml:space="preserve"> IF(CBAOHRcontractNumber="",0,IF(COUNTIF('Monitoring Workbook'!H7:H8, "") = 3, 0, Standard_II_Total_No))</f>
        <v>0</v>
      </c>
      <c r="I16" s="1779">
        <f t="shared" ref="I16" si="0" xml:space="preserve"> G16+H16</f>
        <v>0</v>
      </c>
      <c r="J16" s="1777" t="str">
        <f>IF(I16 &lt;&gt; 0, G16/I16, "")</f>
        <v/>
      </c>
    </row>
    <row r="17" spans="1:10" s="1" customFormat="1" ht="15.75" customHeight="1" thickBot="1">
      <c r="A17" s="1783" t="s">
        <v>211</v>
      </c>
      <c r="B17" s="1784"/>
      <c r="C17" s="1784"/>
      <c r="D17" s="1784"/>
      <c r="E17" s="1784"/>
      <c r="F17" s="1785"/>
      <c r="G17" s="1780"/>
      <c r="H17" s="1780"/>
      <c r="I17" s="1780"/>
      <c r="J17" s="1778"/>
    </row>
    <row r="18" spans="1:10" s="1" customFormat="1" ht="15.75" customHeight="1" thickTop="1">
      <c r="A18" s="1786" t="s">
        <v>228</v>
      </c>
      <c r="B18" s="1787"/>
      <c r="C18" s="1787"/>
      <c r="D18" s="1787"/>
      <c r="E18" s="1787"/>
      <c r="F18" s="1788"/>
      <c r="G18" s="1779">
        <f xml:space="preserve"> IF(CBAOHRcontractNumber="",0,  IF(COUNTIF('Monitoring Workbook'!H7:H8, "") = 3, 0, Standard_III_Total_Yes))</f>
        <v>0</v>
      </c>
      <c r="H18" s="1779">
        <f xml:space="preserve"> IF(CBAOHRcontractNumber="",0, IF(COUNTIF('Monitoring Workbook'!H7:H8, "") = 3, 0, Standard_III_Total_No))</f>
        <v>0</v>
      </c>
      <c r="I18" s="1779">
        <f t="shared" ref="I18" si="1" xml:space="preserve"> G18+H18</f>
        <v>0</v>
      </c>
      <c r="J18" s="1777" t="str">
        <f>IF(I18 &lt;&gt; 0, G18/I18, "")</f>
        <v/>
      </c>
    </row>
    <row r="19" spans="1:10" s="1" customFormat="1" ht="15.75" customHeight="1" thickBot="1">
      <c r="A19" s="1783" t="s">
        <v>213</v>
      </c>
      <c r="B19" s="1784"/>
      <c r="C19" s="1784"/>
      <c r="D19" s="1784"/>
      <c r="E19" s="1784"/>
      <c r="F19" s="1785"/>
      <c r="G19" s="1780"/>
      <c r="H19" s="1780"/>
      <c r="I19" s="1780"/>
      <c r="J19" s="1778"/>
    </row>
    <row r="20" spans="1:10" s="1" customFormat="1" ht="15.75" customHeight="1" thickTop="1">
      <c r="A20" s="1786" t="s">
        <v>229</v>
      </c>
      <c r="B20" s="1787"/>
      <c r="C20" s="1787"/>
      <c r="D20" s="1787"/>
      <c r="E20" s="1787"/>
      <c r="F20" s="1788"/>
      <c r="G20" s="1779">
        <f xml:space="preserve"> IF(CBAOHRcontractNumber="",0, IF(COUNTIF('Monitoring Workbook'!H7:H8, "") = 3, 0, Standard_IV_Total_Yes))</f>
        <v>0</v>
      </c>
      <c r="H20" s="1779">
        <f xml:space="preserve"> IF(CBAOHRcontractNumber="",0, IF(COUNTIF('Monitoring Workbook'!H7:H8, "") = 3, 0, Standard_IV_Total_No))</f>
        <v>0</v>
      </c>
      <c r="I20" s="1779">
        <f t="shared" ref="I20" si="2" xml:space="preserve"> G20+H20</f>
        <v>0</v>
      </c>
      <c r="J20" s="1777" t="str">
        <f>IF(I20 &lt;&gt; 0, G20/I20, "")</f>
        <v/>
      </c>
    </row>
    <row r="21" spans="1:10" s="1" customFormat="1" ht="15.75" customHeight="1" thickBot="1">
      <c r="A21" s="1783" t="s">
        <v>214</v>
      </c>
      <c r="B21" s="1784"/>
      <c r="C21" s="1784"/>
      <c r="D21" s="1784"/>
      <c r="E21" s="1784"/>
      <c r="F21" s="1785"/>
      <c r="G21" s="1780"/>
      <c r="H21" s="1780"/>
      <c r="I21" s="1780"/>
      <c r="J21" s="1778"/>
    </row>
    <row r="22" spans="1:10" s="1" customFormat="1" ht="16.5" customHeight="1" thickTop="1">
      <c r="A22" s="1822" t="s">
        <v>230</v>
      </c>
      <c r="B22" s="1823"/>
      <c r="C22" s="1823"/>
      <c r="D22" s="1823"/>
      <c r="E22" s="1823"/>
      <c r="F22" s="1824"/>
      <c r="G22" s="1831"/>
      <c r="H22" s="1832"/>
      <c r="I22" s="1832"/>
      <c r="J22" s="1833"/>
    </row>
    <row r="23" spans="1:10" s="1" customFormat="1" ht="16.5" customHeight="1" thickBot="1">
      <c r="A23" s="1825" t="s">
        <v>215</v>
      </c>
      <c r="B23" s="1826"/>
      <c r="C23" s="1826"/>
      <c r="D23" s="1826"/>
      <c r="E23" s="1826"/>
      <c r="F23" s="1827"/>
      <c r="G23" s="1834"/>
      <c r="H23" s="1835"/>
      <c r="I23" s="1835"/>
      <c r="J23" s="1836"/>
    </row>
    <row r="24" spans="1:10" s="1" customFormat="1" ht="16.5" customHeight="1" thickTop="1">
      <c r="A24" s="1822" t="s">
        <v>231</v>
      </c>
      <c r="B24" s="1823"/>
      <c r="C24" s="1823"/>
      <c r="D24" s="1823"/>
      <c r="E24" s="1823"/>
      <c r="F24" s="1824"/>
      <c r="G24" s="1834"/>
      <c r="H24" s="1835"/>
      <c r="I24" s="1835"/>
      <c r="J24" s="1836"/>
    </row>
    <row r="25" spans="1:10" s="1" customFormat="1" ht="16.5" customHeight="1" thickBot="1">
      <c r="A25" s="1825" t="s">
        <v>216</v>
      </c>
      <c r="B25" s="1826"/>
      <c r="C25" s="1826"/>
      <c r="D25" s="1826"/>
      <c r="E25" s="1826"/>
      <c r="F25" s="1827"/>
      <c r="G25" s="1834"/>
      <c r="H25" s="1835"/>
      <c r="I25" s="1835"/>
      <c r="J25" s="1836"/>
    </row>
    <row r="26" spans="1:10" s="1" customFormat="1" ht="16.5" customHeight="1" thickTop="1">
      <c r="A26" s="1822" t="s">
        <v>232</v>
      </c>
      <c r="B26" s="1823"/>
      <c r="C26" s="1823"/>
      <c r="D26" s="1823"/>
      <c r="E26" s="1823"/>
      <c r="F26" s="1824"/>
      <c r="G26" s="1834"/>
      <c r="H26" s="1835"/>
      <c r="I26" s="1835"/>
      <c r="J26" s="1836"/>
    </row>
    <row r="27" spans="1:10" s="1" customFormat="1" ht="16.5" customHeight="1" thickBot="1">
      <c r="A27" s="1825" t="s">
        <v>217</v>
      </c>
      <c r="B27" s="1826"/>
      <c r="C27" s="1826"/>
      <c r="D27" s="1826"/>
      <c r="E27" s="1826"/>
      <c r="F27" s="1827"/>
      <c r="G27" s="1834"/>
      <c r="H27" s="1835"/>
      <c r="I27" s="1835"/>
      <c r="J27" s="1836"/>
    </row>
    <row r="28" spans="1:10" s="1" customFormat="1" ht="16.5" customHeight="1" thickTop="1">
      <c r="A28" s="1822" t="s">
        <v>233</v>
      </c>
      <c r="B28" s="1823"/>
      <c r="C28" s="1823"/>
      <c r="D28" s="1823"/>
      <c r="E28" s="1823"/>
      <c r="F28" s="1824"/>
      <c r="G28" s="1834"/>
      <c r="H28" s="1835"/>
      <c r="I28" s="1835"/>
      <c r="J28" s="1836"/>
    </row>
    <row r="29" spans="1:10" s="1" customFormat="1" ht="16.5" customHeight="1" thickBot="1">
      <c r="A29" s="1825" t="s">
        <v>218</v>
      </c>
      <c r="B29" s="1826"/>
      <c r="C29" s="1826"/>
      <c r="D29" s="1826"/>
      <c r="E29" s="1826"/>
      <c r="F29" s="1827"/>
      <c r="G29" s="1834"/>
      <c r="H29" s="1835"/>
      <c r="I29" s="1835"/>
      <c r="J29" s="1836"/>
    </row>
    <row r="30" spans="1:10" s="1" customFormat="1" ht="16.5" customHeight="1" thickTop="1">
      <c r="A30" s="1822" t="s">
        <v>234</v>
      </c>
      <c r="B30" s="1823"/>
      <c r="C30" s="1823"/>
      <c r="D30" s="1823"/>
      <c r="E30" s="1823"/>
      <c r="F30" s="1824"/>
      <c r="G30" s="1834"/>
      <c r="H30" s="1835"/>
      <c r="I30" s="1835"/>
      <c r="J30" s="1836"/>
    </row>
    <row r="31" spans="1:10" s="1" customFormat="1" ht="16.5" customHeight="1" thickBot="1">
      <c r="A31" s="1825" t="s">
        <v>219</v>
      </c>
      <c r="B31" s="1826"/>
      <c r="C31" s="1826"/>
      <c r="D31" s="1826"/>
      <c r="E31" s="1826"/>
      <c r="F31" s="1827"/>
      <c r="G31" s="1834"/>
      <c r="H31" s="1835"/>
      <c r="I31" s="1835"/>
      <c r="J31" s="1836"/>
    </row>
    <row r="32" spans="1:10" s="1" customFormat="1" ht="16.5" customHeight="1" thickTop="1">
      <c r="A32" s="1822" t="s">
        <v>235</v>
      </c>
      <c r="B32" s="1823"/>
      <c r="C32" s="1823"/>
      <c r="D32" s="1823"/>
      <c r="E32" s="1823"/>
      <c r="F32" s="1824"/>
      <c r="G32" s="1834"/>
      <c r="H32" s="1835"/>
      <c r="I32" s="1835"/>
      <c r="J32" s="1836"/>
    </row>
    <row r="33" spans="1:10" s="1" customFormat="1" ht="16.5" customHeight="1" thickBot="1">
      <c r="A33" s="1825" t="s">
        <v>220</v>
      </c>
      <c r="B33" s="1826"/>
      <c r="C33" s="1826"/>
      <c r="D33" s="1826"/>
      <c r="E33" s="1826"/>
      <c r="F33" s="1827"/>
      <c r="G33" s="1837"/>
      <c r="H33" s="1838"/>
      <c r="I33" s="1838"/>
      <c r="J33" s="1839"/>
    </row>
    <row r="34" spans="1:10" s="1" customFormat="1" ht="15.75" customHeight="1" thickTop="1">
      <c r="A34" s="1786" t="s">
        <v>236</v>
      </c>
      <c r="B34" s="1787"/>
      <c r="C34" s="1787"/>
      <c r="D34" s="1787"/>
      <c r="E34" s="1787"/>
      <c r="F34" s="1788"/>
      <c r="G34" s="1779">
        <f xml:space="preserve"> IF(CBAOHRcontractNumber="",0, IF(COUNTIF('Monitoring Workbook'!H7:H8, "") = 3, 0, Standard_XI_Total_Yes))</f>
        <v>0</v>
      </c>
      <c r="H34" s="1779">
        <f xml:space="preserve"> IF(CBAOHRcontractNumber="",0, IF(COUNTIF('Monitoring Workbook'!H7:H8, "") = 3, 0, Standard_XI_Total_No))</f>
        <v>0</v>
      </c>
      <c r="I34" s="1779">
        <f xml:space="preserve"> G34+H34</f>
        <v>0</v>
      </c>
      <c r="J34" s="1777" t="str">
        <f>IF(I34 &lt;&gt; 0, G34/I34, "")</f>
        <v/>
      </c>
    </row>
    <row r="35" spans="1:10" s="1" customFormat="1" ht="15.75" customHeight="1" thickBot="1">
      <c r="A35" s="1783" t="s">
        <v>237</v>
      </c>
      <c r="B35" s="1784"/>
      <c r="C35" s="1784"/>
      <c r="D35" s="1784"/>
      <c r="E35" s="1784"/>
      <c r="F35" s="1785"/>
      <c r="G35" s="1780"/>
      <c r="H35" s="1780"/>
      <c r="I35" s="1780"/>
      <c r="J35" s="1778"/>
    </row>
    <row r="36" spans="1:10" s="1" customFormat="1" ht="16.5" customHeight="1" thickTop="1" thickBot="1">
      <c r="A36" s="1828" t="s">
        <v>208</v>
      </c>
      <c r="B36" s="1829"/>
      <c r="C36" s="1829"/>
      <c r="D36" s="1829"/>
      <c r="E36" s="1829"/>
      <c r="F36" s="1830"/>
      <c r="G36" s="28">
        <f>SUM(G14:G35)</f>
        <v>0</v>
      </c>
      <c r="H36" s="28">
        <f>SUM(H14:H35)</f>
        <v>0</v>
      </c>
      <c r="I36" s="28">
        <f>SUM(I14:I35)</f>
        <v>0</v>
      </c>
      <c r="J36" s="29" t="str">
        <f>IF(ReviewLevel="FULL",IF(I36 &lt;&gt; 0, G36/I36, ""),"")</f>
        <v/>
      </c>
    </row>
    <row r="37" spans="1:10" s="1" customFormat="1" ht="16.5" customHeight="1" thickTop="1" thickBot="1">
      <c r="A37" s="1813" t="s">
        <v>223</v>
      </c>
      <c r="B37" s="1814"/>
      <c r="C37" s="1814"/>
      <c r="D37" s="1814"/>
      <c r="E37" s="1814"/>
      <c r="F37" s="1815"/>
      <c r="G37" s="1811" t="s">
        <v>76</v>
      </c>
      <c r="H37" s="1852"/>
      <c r="I37" s="1852"/>
      <c r="J37" s="1812"/>
    </row>
    <row r="38" spans="1:10" s="1" customFormat="1" ht="16.5" customHeight="1" thickTop="1">
      <c r="A38" s="1848" t="s">
        <v>1497</v>
      </c>
      <c r="B38" s="1849"/>
      <c r="C38" s="1849"/>
      <c r="D38" s="1849"/>
      <c r="E38" s="1849"/>
      <c r="F38" s="1846" t="s">
        <v>140</v>
      </c>
      <c r="G38" s="1840">
        <f>'Demand for Pmt Notice (Print)'!H10</f>
        <v>0</v>
      </c>
      <c r="H38" s="1841"/>
      <c r="I38" s="1841"/>
      <c r="J38" s="1842"/>
    </row>
    <row r="39" spans="1:10" s="1" customFormat="1" ht="15.75" customHeight="1" thickBot="1">
      <c r="A39" s="1850"/>
      <c r="B39" s="1851"/>
      <c r="C39" s="1851"/>
      <c r="D39" s="1851"/>
      <c r="E39" s="1851"/>
      <c r="F39" s="1847"/>
      <c r="G39" s="1843"/>
      <c r="H39" s="1844"/>
      <c r="I39" s="1844"/>
      <c r="J39" s="1845"/>
    </row>
    <row r="40" spans="1:10" ht="15" thickTop="1"/>
  </sheetData>
  <sheetProtection password="A541" sheet="1" objects="1" scenarios="1" selectLockedCells="1"/>
  <customSheetViews>
    <customSheetView guid="{A81B7E59-6D30-48F0-895B-EADA4D6F68AC}" fitToPage="1" hiddenRows="1" state="hidden">
      <selection sqref="A1:XFD1048576"/>
      <pageMargins left="0.7" right="0.7" top="1.24" bottom="0.75" header="0.3" footer="0.3"/>
      <pageSetup scale="84" fitToHeight="3" orientation="portrait" r:id="rId1"/>
      <headerFooter>
        <oddHeader>&amp;L&amp;"Arial,Regular"&amp;8Texas Department of Aging 
and Disability Services&amp;C&amp;"Arial,Bold"&amp;12ASSISTED LIVING/RESIDENTIAL CARE (AL/RC) /
OUT OF HOME RESPITE (OHR)
 OHR COMPLIANCE SUMMARY&amp;R&amp;"Arial,Regular"&amp;8Form TBD
Page &amp;P</oddHeader>
      </headerFooter>
    </customSheetView>
    <customSheetView guid="{B2091B36-14EA-49EC-93AF-D5AA205EF0C1}" fitToPage="1" hiddenRows="1">
      <selection sqref="A1:D1"/>
      <pageMargins left="0.7" right="0.7" top="1.24" bottom="0.75" header="0.3" footer="0.3"/>
      <pageSetup scale="84" fitToHeight="3" orientation="portrait" r:id="rId2"/>
      <headerFooter>
        <oddHeader>&amp;L&amp;"Arial,Regular"&amp;8Texas Department of Aging
and Disability Services&amp;C&amp;"Arial,Bold"&amp;12ASSISTED LIVING/RESIDENTIAL CARE (AL/RC) /
OUT OF HOME RESPITE (OHR)
 OHR COMPLIANCE SUMMARY&amp;R&amp;"Arial,Regular"&amp;8Form TBD
Page &amp;P</oddHeader>
      </headerFooter>
    </customSheetView>
    <customSheetView guid="{965C3FE4-50BF-43C0-B1D0-366B904E9BAB}" fitToPage="1" topLeftCell="A6">
      <selection activeCell="G14" sqref="G14:G15"/>
      <pageMargins left="0.7" right="0.7" top="1.24" bottom="0.75" header="0.3" footer="0.3"/>
      <pageSetup scale="90" fitToHeight="3" orientation="portrait" r:id="rId3"/>
      <headerFooter>
        <oddHeader>&amp;L&amp;"Arial,Regular"&amp;8Texas Department of Aging
and Disability Services&amp;C&amp;"Arial,Bold"&amp;12ASSISTED LIVING/RESIDENTIAL CARE (AL/RC) /
OUT OF HOME RESPITE (OHR)
 OHR COMPLIANCE SUMMARY&amp;R&amp;"Arial,Regular"&amp;8Form TBD
Page &amp;P</oddHeader>
      </headerFooter>
    </customSheetView>
    <customSheetView guid="{5C7A2EDE-CAF2-41B7-8EBC-2EB35225299B}" fitToPage="1" topLeftCell="A3">
      <selection activeCell="G14" sqref="G14:G15"/>
      <pageMargins left="0.7" right="0.7" top="1.24" bottom="0.75" header="0.3" footer="0.3"/>
      <pageSetup scale="90" fitToHeight="3" orientation="portrait" r:id="rId4"/>
      <headerFooter>
        <oddHeader>&amp;L&amp;"Arial,Regular"&amp;8Texas Department of Aging
and Disability Services&amp;C&amp;"Arial,Bold"&amp;12ASSISTED LIVING/RESIDENTIAL CARE (AL/RC) /
OUT OF HOME RESPITE (OHR)
 OHR COMPLIANCE SUMMARY&amp;R&amp;"Arial,Regular"&amp;8Form TBD
Page &amp;P</oddHeader>
      </headerFooter>
    </customSheetView>
    <customSheetView guid="{15DD4F60-D491-4D73-A014-FE6349F17583}" fitToPage="1" topLeftCell="A3">
      <selection activeCell="G14" sqref="G14:G15"/>
      <pageMargins left="0.7" right="0.7" top="1.24" bottom="0.75" header="0.3" footer="0.3"/>
      <pageSetup scale="90" fitToHeight="3" orientation="portrait" r:id="rId5"/>
      <headerFooter>
        <oddHeader>&amp;L&amp;"Arial,Regular"&amp;8Texas Department of Aging
and Disability Services&amp;C&amp;"Arial,Bold"&amp;12ASSISTED LIVING/RESIDENTIAL CARE (AL/RC) /
OUT OF HOME RESPITE (OHR)
 OHR COMPLIANCE SUMMARY&amp;R&amp;"Arial,Regular"&amp;8Form TBD
Page &amp;P</oddHeader>
      </headerFooter>
    </customSheetView>
    <customSheetView guid="{A9399441-FD69-4FCC-BF3B-6E447DD9FB6A}" fitToPage="1" hiddenRows="1">
      <selection sqref="A1:D1"/>
      <pageMargins left="0.7" right="0.7" top="1.24" bottom="0.75" header="0.3" footer="0.3"/>
      <pageSetup scale="84" fitToHeight="3" orientation="portrait" r:id="rId6"/>
      <headerFooter>
        <oddHeader>&amp;L&amp;"Arial,Regular"&amp;8Texas Department of Aging
and Disability Services&amp;C&amp;"Arial,Bold"&amp;12ASSISTED LIVING/RESIDENTIAL CARE (AL/RC) /
OUT OF HOME RESPITE (OHR)
 OHR COMPLIANCE SUMMARY&amp;R&amp;"Arial,Regular"&amp;8Form TBD
Page &amp;P</oddHeader>
      </headerFooter>
    </customSheetView>
  </customSheetViews>
  <mergeCells count="80">
    <mergeCell ref="G3:H3"/>
    <mergeCell ref="G4:H4"/>
    <mergeCell ref="G5:H5"/>
    <mergeCell ref="I3:J3"/>
    <mergeCell ref="A3:B3"/>
    <mergeCell ref="C3:D3"/>
    <mergeCell ref="C4:D4"/>
    <mergeCell ref="C5:D5"/>
    <mergeCell ref="E3:F3"/>
    <mergeCell ref="E4:F4"/>
    <mergeCell ref="E5:F5"/>
    <mergeCell ref="A10:J10"/>
    <mergeCell ref="A11:F13"/>
    <mergeCell ref="G12:G13"/>
    <mergeCell ref="H12:H13"/>
    <mergeCell ref="A9:J9"/>
    <mergeCell ref="J18:J19"/>
    <mergeCell ref="A19:F19"/>
    <mergeCell ref="H14:H15"/>
    <mergeCell ref="I14:I15"/>
    <mergeCell ref="J14:J15"/>
    <mergeCell ref="A15:F15"/>
    <mergeCell ref="A16:F16"/>
    <mergeCell ref="G16:G17"/>
    <mergeCell ref="H16:H17"/>
    <mergeCell ref="I16:I17"/>
    <mergeCell ref="J16:J17"/>
    <mergeCell ref="A17:F17"/>
    <mergeCell ref="A14:F14"/>
    <mergeCell ref="G14:G15"/>
    <mergeCell ref="A18:F18"/>
    <mergeCell ref="G18:G19"/>
    <mergeCell ref="H18:H19"/>
    <mergeCell ref="I18:I19"/>
    <mergeCell ref="A20:F20"/>
    <mergeCell ref="G20:G21"/>
    <mergeCell ref="H20:H21"/>
    <mergeCell ref="I20:I21"/>
    <mergeCell ref="G38:J39"/>
    <mergeCell ref="F38:F39"/>
    <mergeCell ref="A38:E39"/>
    <mergeCell ref="G37:J37"/>
    <mergeCell ref="A37:F37"/>
    <mergeCell ref="A28:F28"/>
    <mergeCell ref="A29:F29"/>
    <mergeCell ref="J20:J21"/>
    <mergeCell ref="A21:F21"/>
    <mergeCell ref="G22:J33"/>
    <mergeCell ref="A25:F25"/>
    <mergeCell ref="A22:F22"/>
    <mergeCell ref="A23:F23"/>
    <mergeCell ref="A24:F24"/>
    <mergeCell ref="A36:F36"/>
    <mergeCell ref="A30:F30"/>
    <mergeCell ref="A31:F31"/>
    <mergeCell ref="A32:F32"/>
    <mergeCell ref="A35:F35"/>
    <mergeCell ref="A33:F33"/>
    <mergeCell ref="A34:F34"/>
    <mergeCell ref="G34:G35"/>
    <mergeCell ref="H34:H35"/>
    <mergeCell ref="I34:I35"/>
    <mergeCell ref="J34:J35"/>
    <mergeCell ref="A1:D1"/>
    <mergeCell ref="E1:F1"/>
    <mergeCell ref="G1:H1"/>
    <mergeCell ref="I1:J1"/>
    <mergeCell ref="A2:D2"/>
    <mergeCell ref="E2:F2"/>
    <mergeCell ref="G2:H2"/>
    <mergeCell ref="I2:J2"/>
    <mergeCell ref="A8:B8"/>
    <mergeCell ref="C8:E8"/>
    <mergeCell ref="A26:F26"/>
    <mergeCell ref="A27:F27"/>
    <mergeCell ref="A7:B7"/>
    <mergeCell ref="C7:E7"/>
    <mergeCell ref="A6:B6"/>
    <mergeCell ref="C6:E6"/>
    <mergeCell ref="F6:J8"/>
  </mergeCells>
  <conditionalFormatting sqref="J14 J16 J18 J20">
    <cfRule type="cellIs" dxfId="1" priority="2" operator="lessThan">
      <formula>0.9</formula>
    </cfRule>
  </conditionalFormatting>
  <conditionalFormatting sqref="J34:J36">
    <cfRule type="cellIs" dxfId="0" priority="1" operator="lessThan">
      <formula>0.9</formula>
    </cfRule>
  </conditionalFormatting>
  <pageMargins left="0.7" right="0.7" top="1.24" bottom="0.75" header="0.3" footer="0.3"/>
  <pageSetup scale="84" fitToHeight="3" orientation="portrait" r:id="rId7"/>
  <headerFooter>
    <oddHeader>&amp;L&amp;"Arial,Regular"&amp;8Texas Department of Aging 
and Disability Services&amp;C&amp;"Arial,Bold"&amp;12ASSISTED LIVING/RESIDENTIAL CARE (AL/RC) /
OUT OF HOME RESPITE (OHR)
 OHR COMPLIANCE SUMMARY&amp;R&amp;"Arial,Regular"&amp;8Form TBD
Page &amp;P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fitToPage="1"/>
  </sheetPr>
  <dimension ref="A1:N2016"/>
  <sheetViews>
    <sheetView zoomScaleNormal="100" workbookViewId="0">
      <selection activeCell="I2" sqref="I2:L2"/>
    </sheetView>
  </sheetViews>
  <sheetFormatPr defaultRowHeight="14.5"/>
  <cols>
    <col min="1" max="1" width="9" customWidth="1"/>
    <col min="2" max="2" width="6.6328125" customWidth="1"/>
    <col min="3" max="3" width="8.6328125" customWidth="1"/>
    <col min="4" max="4" width="13.6328125" customWidth="1"/>
    <col min="5" max="5" width="5.6328125" customWidth="1"/>
    <col min="6" max="6" width="6.6328125" customWidth="1"/>
    <col min="7" max="8" width="8.6328125" customWidth="1"/>
    <col min="9" max="9" width="7.6328125" customWidth="1"/>
    <col min="10" max="10" width="8.6328125" customWidth="1"/>
    <col min="11" max="11" width="9.6328125" customWidth="1"/>
    <col min="12" max="12" width="38.54296875" customWidth="1"/>
  </cols>
  <sheetData>
    <row r="1" spans="1:14" s="1" customFormat="1" ht="24.9" customHeight="1" thickTop="1">
      <c r="A1" s="1892" t="s">
        <v>0</v>
      </c>
      <c r="B1" s="1893"/>
      <c r="C1" s="1893"/>
      <c r="D1" s="1888"/>
      <c r="E1" s="1889"/>
      <c r="F1" s="1888" t="s">
        <v>1</v>
      </c>
      <c r="G1" s="1893"/>
      <c r="H1" s="1889"/>
      <c r="I1" s="1897" t="s">
        <v>2</v>
      </c>
      <c r="J1" s="1898"/>
      <c r="K1" s="1898"/>
      <c r="L1" s="1899"/>
    </row>
    <row r="2" spans="1:14" s="1" customFormat="1" ht="16.5" customHeight="1" thickBot="1">
      <c r="A2" s="1894">
        <f>NameOfLegalEntity</f>
        <v>0</v>
      </c>
      <c r="B2" s="1895"/>
      <c r="C2" s="1895"/>
      <c r="D2" s="1890">
        <f>SingleCare3Facility</f>
        <v>0</v>
      </c>
      <c r="E2" s="1891"/>
      <c r="F2" s="1890">
        <f>ReviewLevel</f>
        <v>0</v>
      </c>
      <c r="G2" s="1896"/>
      <c r="H2" s="1891"/>
      <c r="I2" s="1890">
        <f>ReviewType</f>
        <v>0</v>
      </c>
      <c r="J2" s="1896"/>
      <c r="K2" s="1896"/>
      <c r="L2" s="1900"/>
    </row>
    <row r="3" spans="1:14" s="1" customFormat="1" ht="24.9" customHeight="1">
      <c r="A3" s="1909" t="s">
        <v>3</v>
      </c>
      <c r="B3" s="1898"/>
      <c r="C3" s="1910"/>
      <c r="D3" s="1897" t="s">
        <v>4</v>
      </c>
      <c r="E3" s="1910"/>
      <c r="F3" s="1897" t="s">
        <v>5</v>
      </c>
      <c r="G3" s="1910"/>
      <c r="H3" s="1897" t="s">
        <v>5</v>
      </c>
      <c r="I3" s="1914"/>
      <c r="J3" s="1897" t="s">
        <v>1381</v>
      </c>
      <c r="K3" s="1898"/>
      <c r="L3" s="1899"/>
    </row>
    <row r="4" spans="1:14" s="1" customFormat="1" ht="15.75" customHeight="1">
      <c r="A4" s="11" t="s">
        <v>7</v>
      </c>
      <c r="B4" s="1911">
        <f>CompletedByLastName</f>
        <v>0</v>
      </c>
      <c r="C4" s="1912"/>
      <c r="D4" s="1913" t="s">
        <v>8</v>
      </c>
      <c r="E4" s="1914"/>
      <c r="F4" s="1913" t="s">
        <v>9</v>
      </c>
      <c r="G4" s="1914"/>
      <c r="H4" s="1913" t="s">
        <v>1430</v>
      </c>
      <c r="I4" s="1914"/>
      <c r="J4" s="327" t="s">
        <v>10</v>
      </c>
      <c r="K4" s="1905" t="str">
        <f>IF(MonitoringPeriodBeginDate="","",MonitoringPeriodBeginDate)</f>
        <v/>
      </c>
      <c r="L4" s="1906"/>
    </row>
    <row r="5" spans="1:14" s="1" customFormat="1" ht="16.5" customHeight="1" thickBot="1">
      <c r="A5" s="11" t="s">
        <v>11</v>
      </c>
      <c r="B5" s="1911">
        <f>CompletedByFirstName</f>
        <v>0</v>
      </c>
      <c r="C5" s="1912"/>
      <c r="D5" s="1915" t="str">
        <f>IF(DateOfEntrance="","",DateOfEntrance)</f>
        <v/>
      </c>
      <c r="E5" s="1916"/>
      <c r="F5" s="1915" t="str">
        <f>IF(DateOfExit="","",DateOfExit)</f>
        <v/>
      </c>
      <c r="G5" s="1916"/>
      <c r="H5" s="1915" t="str">
        <f>IF(DateOfRevisedExit="","",DateOfRevisedExit)</f>
        <v/>
      </c>
      <c r="I5" s="1916"/>
      <c r="J5" s="327" t="s">
        <v>12</v>
      </c>
      <c r="K5" s="1907" t="str">
        <f>IF(MonitoringPeriodEndDate="","",MonitoringPeriodEndDate)</f>
        <v/>
      </c>
      <c r="L5" s="1908"/>
    </row>
    <row r="6" spans="1:14" ht="17.25" customHeight="1" thickTop="1" thickBot="1">
      <c r="A6" s="1860" t="s">
        <v>71</v>
      </c>
      <c r="B6" s="1861"/>
      <c r="C6" s="1861"/>
      <c r="D6" s="1861"/>
      <c r="E6" s="1861"/>
      <c r="F6" s="1861"/>
      <c r="G6" s="1861"/>
      <c r="H6" s="1861"/>
      <c r="I6" s="1861"/>
      <c r="J6" s="1861"/>
      <c r="K6" s="1861"/>
      <c r="L6" s="1862"/>
      <c r="M6" s="1"/>
      <c r="N6" s="1"/>
    </row>
    <row r="7" spans="1:14" ht="16.5" customHeight="1" thickTop="1" thickBot="1">
      <c r="A7" s="1863" t="s">
        <v>782</v>
      </c>
      <c r="B7" s="1864"/>
      <c r="C7" s="1864"/>
      <c r="D7" s="1864"/>
      <c r="E7" s="1864"/>
      <c r="F7" s="1864"/>
      <c r="G7" s="1864"/>
      <c r="H7" s="1865"/>
      <c r="I7" s="1865"/>
      <c r="J7" s="1865"/>
      <c r="K7" s="1865"/>
      <c r="L7" s="1866"/>
      <c r="M7" s="1"/>
    </row>
    <row r="8" spans="1:14" ht="15.75" customHeight="1" thickTop="1" thickBot="1">
      <c r="A8" s="1882" t="s">
        <v>74</v>
      </c>
      <c r="B8" s="1883"/>
      <c r="C8" s="1883"/>
      <c r="D8" s="1883"/>
      <c r="E8" s="1883"/>
      <c r="F8" s="1883"/>
      <c r="G8" s="1883"/>
      <c r="H8" s="1867">
        <f>SUMIF($A$16:$A$2016, "CCAD-RC",$K$16:$K$2016)</f>
        <v>0</v>
      </c>
      <c r="I8" s="1868"/>
      <c r="J8" s="1868"/>
      <c r="K8" s="1868"/>
      <c r="L8" s="1869"/>
    </row>
    <row r="9" spans="1:14" ht="15" hidden="1" thickBot="1">
      <c r="A9" s="1884"/>
      <c r="B9" s="1885"/>
      <c r="C9" s="1885"/>
      <c r="D9" s="1885"/>
      <c r="E9" s="1885"/>
      <c r="F9" s="1885"/>
      <c r="G9" s="1885"/>
      <c r="H9" s="1901">
        <f>SUMIF($A$16:$A$2016, "CBA-AL",$K$16:$K$2016)</f>
        <v>0</v>
      </c>
      <c r="I9" s="1901"/>
      <c r="J9" s="1901"/>
      <c r="K9" s="1902"/>
      <c r="L9" s="482"/>
    </row>
    <row r="10" spans="1:14" ht="15.75" hidden="1" customHeight="1" thickBot="1">
      <c r="A10" s="1886"/>
      <c r="B10" s="1887"/>
      <c r="C10" s="1887"/>
      <c r="D10" s="1887"/>
      <c r="E10" s="1887"/>
      <c r="F10" s="1887"/>
      <c r="G10" s="1887"/>
      <c r="H10" s="1903">
        <f>SUMIF($A$16:$A$2016, "CBA-OHR",$K$16:$K$2016)</f>
        <v>0</v>
      </c>
      <c r="I10" s="1903"/>
      <c r="J10" s="1903"/>
      <c r="K10" s="1904"/>
      <c r="L10" s="482"/>
    </row>
    <row r="11" spans="1:14" ht="54" customHeight="1" thickTop="1" thickBot="1">
      <c r="A11" s="624" t="s">
        <v>1375</v>
      </c>
      <c r="B11" s="625"/>
      <c r="C11" s="625"/>
      <c r="D11" s="625"/>
      <c r="E11" s="625"/>
      <c r="F11" s="625"/>
      <c r="G11" s="625"/>
      <c r="H11" s="625"/>
      <c r="I11" s="625"/>
      <c r="J11" s="625"/>
      <c r="K11" s="625"/>
      <c r="L11" s="1859"/>
    </row>
    <row r="12" spans="1:14" ht="51" customHeight="1" thickTop="1" thickBot="1">
      <c r="A12" s="1876" t="s">
        <v>1345</v>
      </c>
      <c r="B12" s="1877"/>
      <c r="C12" s="1877"/>
      <c r="D12" s="1877"/>
      <c r="E12" s="1878"/>
      <c r="F12" s="1871" t="s">
        <v>781</v>
      </c>
      <c r="G12" s="1872"/>
      <c r="H12" s="1872"/>
      <c r="I12" s="1872"/>
      <c r="J12" s="1873"/>
      <c r="K12" s="1874" t="s">
        <v>1627</v>
      </c>
      <c r="L12" s="1856" t="s">
        <v>1656</v>
      </c>
      <c r="M12" s="1"/>
      <c r="N12" s="1"/>
    </row>
    <row r="13" spans="1:14" ht="18.75" customHeight="1" thickBot="1">
      <c r="A13" s="1879"/>
      <c r="B13" s="1880"/>
      <c r="C13" s="1880"/>
      <c r="D13" s="1880"/>
      <c r="E13" s="1881"/>
      <c r="F13" s="143" t="s">
        <v>319</v>
      </c>
      <c r="G13" s="144" t="s">
        <v>320</v>
      </c>
      <c r="H13" s="144" t="s">
        <v>320</v>
      </c>
      <c r="I13" s="144" t="s">
        <v>321</v>
      </c>
      <c r="J13" s="145" t="s">
        <v>322</v>
      </c>
      <c r="K13" s="1875"/>
      <c r="L13" s="1857"/>
      <c r="M13" s="95"/>
    </row>
    <row r="14" spans="1:14" ht="15.75" customHeight="1" thickBot="1">
      <c r="A14" s="1870" t="s">
        <v>72</v>
      </c>
      <c r="B14" s="306" t="s">
        <v>56</v>
      </c>
      <c r="C14" s="307" t="s">
        <v>57</v>
      </c>
      <c r="D14" s="307" t="s">
        <v>58</v>
      </c>
      <c r="E14" s="308" t="s">
        <v>59</v>
      </c>
      <c r="F14" s="309" t="s">
        <v>60</v>
      </c>
      <c r="G14" s="306" t="s">
        <v>61</v>
      </c>
      <c r="H14" s="306" t="s">
        <v>62</v>
      </c>
      <c r="I14" s="306" t="s">
        <v>63</v>
      </c>
      <c r="J14" s="308" t="s">
        <v>64</v>
      </c>
      <c r="K14" s="310" t="s">
        <v>91</v>
      </c>
      <c r="L14" s="1857"/>
    </row>
    <row r="15" spans="1:14" ht="71.25" customHeight="1" thickBot="1">
      <c r="A15" s="1870"/>
      <c r="B15" s="335" t="s">
        <v>43</v>
      </c>
      <c r="C15" s="302" t="s">
        <v>65</v>
      </c>
      <c r="D15" s="302" t="s">
        <v>42</v>
      </c>
      <c r="E15" s="303" t="s">
        <v>66</v>
      </c>
      <c r="F15" s="304" t="s">
        <v>67</v>
      </c>
      <c r="G15" s="305" t="s">
        <v>68</v>
      </c>
      <c r="H15" s="305" t="s">
        <v>69</v>
      </c>
      <c r="I15" s="305" t="s">
        <v>323</v>
      </c>
      <c r="J15" s="303" t="s">
        <v>70</v>
      </c>
      <c r="K15" s="299" t="s">
        <v>1300</v>
      </c>
      <c r="L15" s="1858"/>
    </row>
    <row r="16" spans="1:14" ht="15.5" thickTop="1" thickBot="1">
      <c r="A16" s="328"/>
      <c r="B16" s="257"/>
      <c r="C16" s="257"/>
      <c r="D16" s="329"/>
      <c r="E16" s="330"/>
      <c r="F16" s="331"/>
      <c r="G16" s="256"/>
      <c r="H16" s="256"/>
      <c r="I16" s="332"/>
      <c r="J16" s="333"/>
      <c r="K16" s="334"/>
      <c r="L16" s="483"/>
    </row>
    <row r="17" spans="1:12" ht="15" thickBot="1">
      <c r="A17" s="328"/>
      <c r="B17" s="257"/>
      <c r="C17" s="257"/>
      <c r="D17" s="329"/>
      <c r="E17" s="330"/>
      <c r="F17" s="331"/>
      <c r="G17" s="256"/>
      <c r="H17" s="256"/>
      <c r="I17" s="332"/>
      <c r="J17" s="333"/>
      <c r="K17" s="334"/>
      <c r="L17" s="484"/>
    </row>
    <row r="18" spans="1:12" ht="15" thickBot="1">
      <c r="A18" s="328"/>
      <c r="B18" s="257"/>
      <c r="C18" s="257"/>
      <c r="D18" s="329"/>
      <c r="E18" s="330"/>
      <c r="F18" s="331"/>
      <c r="G18" s="256"/>
      <c r="H18" s="256"/>
      <c r="I18" s="332"/>
      <c r="J18" s="333"/>
      <c r="K18" s="334"/>
      <c r="L18" s="484"/>
    </row>
    <row r="19" spans="1:12" ht="15" thickBot="1">
      <c r="A19" s="328"/>
      <c r="B19" s="257"/>
      <c r="C19" s="257"/>
      <c r="D19" s="329"/>
      <c r="E19" s="330"/>
      <c r="F19" s="331"/>
      <c r="G19" s="256"/>
      <c r="H19" s="256"/>
      <c r="I19" s="332"/>
      <c r="J19" s="333"/>
      <c r="K19" s="334"/>
      <c r="L19" s="484"/>
    </row>
    <row r="20" spans="1:12" ht="15" thickBot="1">
      <c r="A20" s="328"/>
      <c r="B20" s="257"/>
      <c r="C20" s="257"/>
      <c r="D20" s="329"/>
      <c r="E20" s="330"/>
      <c r="F20" s="331"/>
      <c r="G20" s="256"/>
      <c r="H20" s="256"/>
      <c r="I20" s="332"/>
      <c r="J20" s="333"/>
      <c r="K20" s="334"/>
      <c r="L20" s="484"/>
    </row>
    <row r="21" spans="1:12" ht="15" thickBot="1">
      <c r="A21" s="328"/>
      <c r="B21" s="257"/>
      <c r="C21" s="257"/>
      <c r="D21" s="329"/>
      <c r="E21" s="330"/>
      <c r="F21" s="331"/>
      <c r="G21" s="256"/>
      <c r="H21" s="256"/>
      <c r="I21" s="332"/>
      <c r="J21" s="333"/>
      <c r="K21" s="334"/>
      <c r="L21" s="484"/>
    </row>
    <row r="22" spans="1:12" ht="15" thickBot="1">
      <c r="A22" s="328"/>
      <c r="B22" s="257"/>
      <c r="C22" s="257"/>
      <c r="D22" s="329"/>
      <c r="E22" s="330"/>
      <c r="F22" s="331"/>
      <c r="G22" s="256"/>
      <c r="H22" s="256"/>
      <c r="I22" s="332"/>
      <c r="J22" s="333"/>
      <c r="K22" s="334"/>
      <c r="L22" s="484"/>
    </row>
    <row r="23" spans="1:12" ht="15" thickBot="1">
      <c r="A23" s="328"/>
      <c r="B23" s="257"/>
      <c r="C23" s="257"/>
      <c r="D23" s="329"/>
      <c r="E23" s="330"/>
      <c r="F23" s="331"/>
      <c r="G23" s="256"/>
      <c r="H23" s="256"/>
      <c r="I23" s="332"/>
      <c r="J23" s="333"/>
      <c r="K23" s="334"/>
      <c r="L23" s="484"/>
    </row>
    <row r="24" spans="1:12" ht="15" thickBot="1">
      <c r="A24" s="328"/>
      <c r="B24" s="257"/>
      <c r="C24" s="257"/>
      <c r="D24" s="329"/>
      <c r="E24" s="330"/>
      <c r="F24" s="331"/>
      <c r="G24" s="256"/>
      <c r="H24" s="256"/>
      <c r="I24" s="332"/>
      <c r="J24" s="333"/>
      <c r="K24" s="334"/>
      <c r="L24" s="484"/>
    </row>
    <row r="25" spans="1:12" ht="15" thickBot="1">
      <c r="A25" s="328"/>
      <c r="B25" s="257"/>
      <c r="C25" s="257"/>
      <c r="D25" s="329"/>
      <c r="E25" s="330"/>
      <c r="F25" s="331"/>
      <c r="G25" s="256"/>
      <c r="H25" s="256"/>
      <c r="I25" s="332"/>
      <c r="J25" s="333"/>
      <c r="K25" s="334"/>
      <c r="L25" s="484"/>
    </row>
    <row r="26" spans="1:12" ht="15" thickBot="1">
      <c r="A26" s="328"/>
      <c r="B26" s="257"/>
      <c r="C26" s="257"/>
      <c r="D26" s="329"/>
      <c r="E26" s="330"/>
      <c r="F26" s="331"/>
      <c r="G26" s="256"/>
      <c r="H26" s="256"/>
      <c r="I26" s="332"/>
      <c r="J26" s="333"/>
      <c r="K26" s="334"/>
      <c r="L26" s="484"/>
    </row>
    <row r="27" spans="1:12" ht="15" thickBot="1">
      <c r="A27" s="328"/>
      <c r="B27" s="257"/>
      <c r="C27" s="257"/>
      <c r="D27" s="329"/>
      <c r="E27" s="330"/>
      <c r="F27" s="331"/>
      <c r="G27" s="256"/>
      <c r="H27" s="256"/>
      <c r="I27" s="332"/>
      <c r="J27" s="333"/>
      <c r="K27" s="334"/>
      <c r="L27" s="484"/>
    </row>
    <row r="28" spans="1:12" ht="15" thickBot="1">
      <c r="A28" s="328"/>
      <c r="B28" s="257"/>
      <c r="C28" s="257"/>
      <c r="D28" s="329"/>
      <c r="E28" s="330"/>
      <c r="F28" s="331"/>
      <c r="G28" s="256"/>
      <c r="H28" s="256"/>
      <c r="I28" s="332"/>
      <c r="J28" s="333"/>
      <c r="K28" s="334"/>
      <c r="L28" s="484"/>
    </row>
    <row r="29" spans="1:12" ht="15" thickBot="1">
      <c r="A29" s="328"/>
      <c r="B29" s="257"/>
      <c r="C29" s="257"/>
      <c r="D29" s="329"/>
      <c r="E29" s="330"/>
      <c r="F29" s="331"/>
      <c r="G29" s="256"/>
      <c r="H29" s="256"/>
      <c r="I29" s="332"/>
      <c r="J29" s="333"/>
      <c r="K29" s="334"/>
      <c r="L29" s="484"/>
    </row>
    <row r="30" spans="1:12" ht="15" thickBot="1">
      <c r="A30" s="328"/>
      <c r="B30" s="257"/>
      <c r="C30" s="257"/>
      <c r="D30" s="329"/>
      <c r="E30" s="330"/>
      <c r="F30" s="331"/>
      <c r="G30" s="256"/>
      <c r="H30" s="256"/>
      <c r="I30" s="332"/>
      <c r="J30" s="333"/>
      <c r="K30" s="334"/>
      <c r="L30" s="484"/>
    </row>
    <row r="31" spans="1:12" ht="15" thickBot="1">
      <c r="A31" s="328"/>
      <c r="B31" s="257"/>
      <c r="C31" s="257"/>
      <c r="D31" s="329"/>
      <c r="E31" s="330"/>
      <c r="F31" s="331"/>
      <c r="G31" s="256"/>
      <c r="H31" s="256"/>
      <c r="I31" s="332"/>
      <c r="J31" s="333"/>
      <c r="K31" s="334"/>
      <c r="L31" s="484"/>
    </row>
    <row r="32" spans="1:12" ht="15" thickBot="1">
      <c r="A32" s="328"/>
      <c r="B32" s="257"/>
      <c r="C32" s="257"/>
      <c r="D32" s="329"/>
      <c r="E32" s="330"/>
      <c r="F32" s="331"/>
      <c r="G32" s="256"/>
      <c r="H32" s="256"/>
      <c r="I32" s="332"/>
      <c r="J32" s="333"/>
      <c r="K32" s="334"/>
      <c r="L32" s="484"/>
    </row>
    <row r="33" spans="1:12" ht="15" thickBot="1">
      <c r="A33" s="328"/>
      <c r="B33" s="257"/>
      <c r="C33" s="257"/>
      <c r="D33" s="329"/>
      <c r="E33" s="330"/>
      <c r="F33" s="331"/>
      <c r="G33" s="256"/>
      <c r="H33" s="256"/>
      <c r="I33" s="332"/>
      <c r="J33" s="333"/>
      <c r="K33" s="334"/>
      <c r="L33" s="484"/>
    </row>
    <row r="34" spans="1:12" ht="15" thickBot="1">
      <c r="A34" s="328"/>
      <c r="B34" s="257"/>
      <c r="C34" s="257"/>
      <c r="D34" s="329"/>
      <c r="E34" s="330"/>
      <c r="F34" s="331"/>
      <c r="G34" s="256"/>
      <c r="H34" s="256"/>
      <c r="I34" s="332"/>
      <c r="J34" s="333"/>
      <c r="K34" s="334"/>
      <c r="L34" s="484"/>
    </row>
    <row r="35" spans="1:12" ht="15" thickBot="1">
      <c r="A35" s="328"/>
      <c r="B35" s="257"/>
      <c r="C35" s="257"/>
      <c r="D35" s="329"/>
      <c r="E35" s="330"/>
      <c r="F35" s="331"/>
      <c r="G35" s="256"/>
      <c r="H35" s="256"/>
      <c r="I35" s="332"/>
      <c r="J35" s="333"/>
      <c r="K35" s="334"/>
      <c r="L35" s="484"/>
    </row>
    <row r="36" spans="1:12" ht="15" thickBot="1">
      <c r="A36" s="328"/>
      <c r="B36" s="257"/>
      <c r="C36" s="257"/>
      <c r="D36" s="329"/>
      <c r="E36" s="330"/>
      <c r="F36" s="331"/>
      <c r="G36" s="256"/>
      <c r="H36" s="256"/>
      <c r="I36" s="332"/>
      <c r="J36" s="333"/>
      <c r="K36" s="334"/>
      <c r="L36" s="484"/>
    </row>
    <row r="37" spans="1:12" ht="15" thickBot="1">
      <c r="A37" s="328"/>
      <c r="B37" s="257"/>
      <c r="C37" s="257"/>
      <c r="D37" s="329"/>
      <c r="E37" s="330"/>
      <c r="F37" s="331"/>
      <c r="G37" s="256"/>
      <c r="H37" s="256"/>
      <c r="I37" s="332"/>
      <c r="J37" s="333"/>
      <c r="K37" s="334"/>
      <c r="L37" s="484"/>
    </row>
    <row r="38" spans="1:12" ht="15" thickBot="1">
      <c r="A38" s="328"/>
      <c r="B38" s="257"/>
      <c r="C38" s="257"/>
      <c r="D38" s="329"/>
      <c r="E38" s="330"/>
      <c r="F38" s="331"/>
      <c r="G38" s="256"/>
      <c r="H38" s="256"/>
      <c r="I38" s="332"/>
      <c r="J38" s="333"/>
      <c r="K38" s="334"/>
      <c r="L38" s="484"/>
    </row>
    <row r="39" spans="1:12" ht="15" thickBot="1">
      <c r="A39" s="328"/>
      <c r="B39" s="257"/>
      <c r="C39" s="257"/>
      <c r="D39" s="329"/>
      <c r="E39" s="330"/>
      <c r="F39" s="331"/>
      <c r="G39" s="256"/>
      <c r="H39" s="256"/>
      <c r="I39" s="332"/>
      <c r="J39" s="333"/>
      <c r="K39" s="334"/>
      <c r="L39" s="484"/>
    </row>
    <row r="40" spans="1:12" ht="15" thickBot="1">
      <c r="A40" s="328"/>
      <c r="B40" s="257"/>
      <c r="C40" s="257"/>
      <c r="D40" s="329"/>
      <c r="E40" s="330"/>
      <c r="F40" s="331"/>
      <c r="G40" s="256"/>
      <c r="H40" s="256"/>
      <c r="I40" s="332"/>
      <c r="J40" s="333"/>
      <c r="K40" s="334"/>
      <c r="L40" s="484"/>
    </row>
    <row r="41" spans="1:12" ht="15" thickBot="1">
      <c r="A41" s="328"/>
      <c r="B41" s="257"/>
      <c r="C41" s="257"/>
      <c r="D41" s="329"/>
      <c r="E41" s="330"/>
      <c r="F41" s="331"/>
      <c r="G41" s="256"/>
      <c r="H41" s="256"/>
      <c r="I41" s="332"/>
      <c r="J41" s="333"/>
      <c r="K41" s="334"/>
      <c r="L41" s="484"/>
    </row>
    <row r="42" spans="1:12" ht="15" thickBot="1">
      <c r="A42" s="328"/>
      <c r="B42" s="257"/>
      <c r="C42" s="257"/>
      <c r="D42" s="329"/>
      <c r="E42" s="330"/>
      <c r="F42" s="331"/>
      <c r="G42" s="256"/>
      <c r="H42" s="256"/>
      <c r="I42" s="332"/>
      <c r="J42" s="333"/>
      <c r="K42" s="334"/>
      <c r="L42" s="484"/>
    </row>
    <row r="43" spans="1:12" ht="15" thickBot="1">
      <c r="A43" s="328"/>
      <c r="B43" s="257"/>
      <c r="C43" s="257"/>
      <c r="D43" s="329"/>
      <c r="E43" s="330"/>
      <c r="F43" s="331"/>
      <c r="G43" s="256"/>
      <c r="H43" s="256"/>
      <c r="I43" s="332"/>
      <c r="J43" s="333"/>
      <c r="K43" s="334"/>
      <c r="L43" s="484"/>
    </row>
    <row r="44" spans="1:12" ht="15" thickBot="1">
      <c r="A44" s="328"/>
      <c r="B44" s="257"/>
      <c r="C44" s="257"/>
      <c r="D44" s="329"/>
      <c r="E44" s="330"/>
      <c r="F44" s="331"/>
      <c r="G44" s="256"/>
      <c r="H44" s="256"/>
      <c r="I44" s="332"/>
      <c r="J44" s="333"/>
      <c r="K44" s="334"/>
      <c r="L44" s="484"/>
    </row>
    <row r="45" spans="1:12" ht="15" thickBot="1">
      <c r="A45" s="328"/>
      <c r="B45" s="257"/>
      <c r="C45" s="257"/>
      <c r="D45" s="329"/>
      <c r="E45" s="330"/>
      <c r="F45" s="331"/>
      <c r="G45" s="256"/>
      <c r="H45" s="256"/>
      <c r="I45" s="332"/>
      <c r="J45" s="333"/>
      <c r="K45" s="334"/>
      <c r="L45" s="484"/>
    </row>
    <row r="46" spans="1:12" ht="15" thickBot="1">
      <c r="A46" s="328"/>
      <c r="B46" s="257"/>
      <c r="C46" s="257"/>
      <c r="D46" s="329"/>
      <c r="E46" s="330"/>
      <c r="F46" s="331"/>
      <c r="G46" s="256"/>
      <c r="H46" s="256"/>
      <c r="I46" s="332"/>
      <c r="J46" s="333"/>
      <c r="K46" s="334"/>
      <c r="L46" s="484"/>
    </row>
    <row r="47" spans="1:12" ht="15" thickBot="1">
      <c r="A47" s="328"/>
      <c r="B47" s="257"/>
      <c r="C47" s="257"/>
      <c r="D47" s="329"/>
      <c r="E47" s="330"/>
      <c r="F47" s="331"/>
      <c r="G47" s="256"/>
      <c r="H47" s="256"/>
      <c r="I47" s="332"/>
      <c r="J47" s="333"/>
      <c r="K47" s="334"/>
      <c r="L47" s="484"/>
    </row>
    <row r="48" spans="1:12" ht="15" thickBot="1">
      <c r="A48" s="328"/>
      <c r="B48" s="257"/>
      <c r="C48" s="257"/>
      <c r="D48" s="329"/>
      <c r="E48" s="330"/>
      <c r="F48" s="331"/>
      <c r="G48" s="256"/>
      <c r="H48" s="256"/>
      <c r="I48" s="332"/>
      <c r="J48" s="333"/>
      <c r="K48" s="334"/>
      <c r="L48" s="484"/>
    </row>
    <row r="49" spans="1:12" ht="15" thickBot="1">
      <c r="A49" s="328"/>
      <c r="B49" s="257"/>
      <c r="C49" s="257"/>
      <c r="D49" s="329"/>
      <c r="E49" s="330"/>
      <c r="F49" s="331"/>
      <c r="G49" s="256"/>
      <c r="H49" s="256"/>
      <c r="I49" s="332"/>
      <c r="J49" s="333"/>
      <c r="K49" s="334"/>
      <c r="L49" s="484"/>
    </row>
    <row r="50" spans="1:12" ht="15" thickBot="1">
      <c r="A50" s="328"/>
      <c r="B50" s="257"/>
      <c r="C50" s="257"/>
      <c r="D50" s="329"/>
      <c r="E50" s="330"/>
      <c r="F50" s="331"/>
      <c r="G50" s="256"/>
      <c r="H50" s="256"/>
      <c r="I50" s="332"/>
      <c r="J50" s="333"/>
      <c r="K50" s="334"/>
      <c r="L50" s="484"/>
    </row>
    <row r="51" spans="1:12" ht="15" thickBot="1">
      <c r="A51" s="328"/>
      <c r="B51" s="257"/>
      <c r="C51" s="257"/>
      <c r="D51" s="329"/>
      <c r="E51" s="330"/>
      <c r="F51" s="331"/>
      <c r="G51" s="256"/>
      <c r="H51" s="256"/>
      <c r="I51" s="332"/>
      <c r="J51" s="333"/>
      <c r="K51" s="334"/>
      <c r="L51" s="484"/>
    </row>
    <row r="52" spans="1:12" ht="15" thickBot="1">
      <c r="A52" s="328"/>
      <c r="B52" s="257"/>
      <c r="C52" s="257"/>
      <c r="D52" s="329"/>
      <c r="E52" s="330"/>
      <c r="F52" s="331"/>
      <c r="G52" s="256"/>
      <c r="H52" s="256"/>
      <c r="I52" s="332"/>
      <c r="J52" s="333"/>
      <c r="K52" s="334"/>
      <c r="L52" s="484"/>
    </row>
    <row r="53" spans="1:12" ht="15" thickBot="1">
      <c r="A53" s="328"/>
      <c r="B53" s="257"/>
      <c r="C53" s="257"/>
      <c r="D53" s="329"/>
      <c r="E53" s="330"/>
      <c r="F53" s="331"/>
      <c r="G53" s="256"/>
      <c r="H53" s="256"/>
      <c r="I53" s="332"/>
      <c r="J53" s="333"/>
      <c r="K53" s="334"/>
      <c r="L53" s="484"/>
    </row>
    <row r="54" spans="1:12" ht="15" thickBot="1">
      <c r="A54" s="328"/>
      <c r="B54" s="257"/>
      <c r="C54" s="257"/>
      <c r="D54" s="329"/>
      <c r="E54" s="330"/>
      <c r="F54" s="331"/>
      <c r="G54" s="256"/>
      <c r="H54" s="256"/>
      <c r="I54" s="332"/>
      <c r="J54" s="333"/>
      <c r="K54" s="334"/>
      <c r="L54" s="484"/>
    </row>
    <row r="55" spans="1:12" ht="15" thickBot="1">
      <c r="A55" s="328"/>
      <c r="B55" s="257"/>
      <c r="C55" s="257"/>
      <c r="D55" s="329"/>
      <c r="E55" s="330"/>
      <c r="F55" s="331"/>
      <c r="G55" s="256"/>
      <c r="H55" s="256"/>
      <c r="I55" s="332"/>
      <c r="J55" s="333"/>
      <c r="K55" s="334"/>
      <c r="L55" s="484"/>
    </row>
    <row r="56" spans="1:12" ht="15" thickBot="1">
      <c r="A56" s="328"/>
      <c r="B56" s="257"/>
      <c r="C56" s="257"/>
      <c r="D56" s="329"/>
      <c r="E56" s="330"/>
      <c r="F56" s="331"/>
      <c r="G56" s="256"/>
      <c r="H56" s="256"/>
      <c r="I56" s="332"/>
      <c r="J56" s="333"/>
      <c r="K56" s="334"/>
      <c r="L56" s="484"/>
    </row>
    <row r="57" spans="1:12" ht="15" thickBot="1">
      <c r="A57" s="328"/>
      <c r="B57" s="257"/>
      <c r="C57" s="257"/>
      <c r="D57" s="329"/>
      <c r="E57" s="330"/>
      <c r="F57" s="331"/>
      <c r="G57" s="256"/>
      <c r="H57" s="256"/>
      <c r="I57" s="332"/>
      <c r="J57" s="333"/>
      <c r="K57" s="334"/>
      <c r="L57" s="484"/>
    </row>
    <row r="58" spans="1:12" ht="15" thickBot="1">
      <c r="A58" s="328"/>
      <c r="B58" s="257"/>
      <c r="C58" s="257"/>
      <c r="D58" s="329"/>
      <c r="E58" s="330"/>
      <c r="F58" s="331"/>
      <c r="G58" s="256"/>
      <c r="H58" s="256"/>
      <c r="I58" s="332"/>
      <c r="J58" s="333"/>
      <c r="K58" s="334"/>
      <c r="L58" s="484"/>
    </row>
    <row r="59" spans="1:12" ht="15" thickBot="1">
      <c r="A59" s="328"/>
      <c r="B59" s="257"/>
      <c r="C59" s="257"/>
      <c r="D59" s="329"/>
      <c r="E59" s="330"/>
      <c r="F59" s="331"/>
      <c r="G59" s="256"/>
      <c r="H59" s="256"/>
      <c r="I59" s="332"/>
      <c r="J59" s="333"/>
      <c r="K59" s="334"/>
      <c r="L59" s="484"/>
    </row>
    <row r="60" spans="1:12" ht="15" thickBot="1">
      <c r="A60" s="328"/>
      <c r="B60" s="257"/>
      <c r="C60" s="257"/>
      <c r="D60" s="329"/>
      <c r="E60" s="330"/>
      <c r="F60" s="331"/>
      <c r="G60" s="256"/>
      <c r="H60" s="256"/>
      <c r="I60" s="332"/>
      <c r="J60" s="333"/>
      <c r="K60" s="334"/>
      <c r="L60" s="484"/>
    </row>
    <row r="61" spans="1:12" ht="15" thickBot="1">
      <c r="A61" s="328"/>
      <c r="B61" s="257"/>
      <c r="C61" s="257"/>
      <c r="D61" s="329"/>
      <c r="E61" s="330"/>
      <c r="F61" s="331"/>
      <c r="G61" s="256"/>
      <c r="H61" s="256"/>
      <c r="I61" s="332"/>
      <c r="J61" s="333"/>
      <c r="K61" s="334"/>
      <c r="L61" s="484"/>
    </row>
    <row r="62" spans="1:12" ht="15" thickBot="1">
      <c r="A62" s="328"/>
      <c r="B62" s="257"/>
      <c r="C62" s="257"/>
      <c r="D62" s="329"/>
      <c r="E62" s="330"/>
      <c r="F62" s="331"/>
      <c r="G62" s="256"/>
      <c r="H62" s="256"/>
      <c r="I62" s="332"/>
      <c r="J62" s="333"/>
      <c r="K62" s="334"/>
      <c r="L62" s="484"/>
    </row>
    <row r="63" spans="1:12" ht="15" thickBot="1">
      <c r="A63" s="328"/>
      <c r="B63" s="257"/>
      <c r="C63" s="257"/>
      <c r="D63" s="329"/>
      <c r="E63" s="330"/>
      <c r="F63" s="331"/>
      <c r="G63" s="256"/>
      <c r="H63" s="256"/>
      <c r="I63" s="332"/>
      <c r="J63" s="333"/>
      <c r="K63" s="334"/>
      <c r="L63" s="484"/>
    </row>
    <row r="64" spans="1:12" ht="15" thickBot="1">
      <c r="A64" s="328"/>
      <c r="B64" s="257"/>
      <c r="C64" s="257"/>
      <c r="D64" s="329"/>
      <c r="E64" s="330"/>
      <c r="F64" s="331"/>
      <c r="G64" s="256"/>
      <c r="H64" s="256"/>
      <c r="I64" s="332"/>
      <c r="J64" s="333"/>
      <c r="K64" s="334"/>
      <c r="L64" s="484"/>
    </row>
    <row r="65" spans="1:12" ht="15" thickBot="1">
      <c r="A65" s="328"/>
      <c r="B65" s="257"/>
      <c r="C65" s="257"/>
      <c r="D65" s="329"/>
      <c r="E65" s="330"/>
      <c r="F65" s="331"/>
      <c r="G65" s="256"/>
      <c r="H65" s="256"/>
      <c r="I65" s="332"/>
      <c r="J65" s="333"/>
      <c r="K65" s="334"/>
      <c r="L65" s="484"/>
    </row>
    <row r="66" spans="1:12" ht="15" thickBot="1">
      <c r="A66" s="328"/>
      <c r="B66" s="257"/>
      <c r="C66" s="257"/>
      <c r="D66" s="329"/>
      <c r="E66" s="330"/>
      <c r="F66" s="331"/>
      <c r="G66" s="256"/>
      <c r="H66" s="256"/>
      <c r="I66" s="332"/>
      <c r="J66" s="333"/>
      <c r="K66" s="334"/>
      <c r="L66" s="484"/>
    </row>
    <row r="67" spans="1:12" ht="15" thickBot="1">
      <c r="A67" s="328"/>
      <c r="B67" s="257"/>
      <c r="C67" s="257"/>
      <c r="D67" s="329"/>
      <c r="E67" s="330"/>
      <c r="F67" s="331"/>
      <c r="G67" s="256"/>
      <c r="H67" s="256"/>
      <c r="I67" s="332"/>
      <c r="J67" s="333"/>
      <c r="K67" s="334"/>
      <c r="L67" s="484"/>
    </row>
    <row r="68" spans="1:12" ht="15" thickBot="1">
      <c r="A68" s="328"/>
      <c r="B68" s="257"/>
      <c r="C68" s="257"/>
      <c r="D68" s="329"/>
      <c r="E68" s="330"/>
      <c r="F68" s="331"/>
      <c r="G68" s="256"/>
      <c r="H68" s="256"/>
      <c r="I68" s="332"/>
      <c r="J68" s="333"/>
      <c r="K68" s="334"/>
      <c r="L68" s="484"/>
    </row>
    <row r="69" spans="1:12" ht="15" thickBot="1">
      <c r="A69" s="328"/>
      <c r="B69" s="257"/>
      <c r="C69" s="257"/>
      <c r="D69" s="329"/>
      <c r="E69" s="330"/>
      <c r="F69" s="331"/>
      <c r="G69" s="256"/>
      <c r="H69" s="256"/>
      <c r="I69" s="332"/>
      <c r="J69" s="333"/>
      <c r="K69" s="334"/>
      <c r="L69" s="484"/>
    </row>
    <row r="70" spans="1:12" ht="15" thickBot="1">
      <c r="A70" s="328"/>
      <c r="B70" s="257"/>
      <c r="C70" s="257"/>
      <c r="D70" s="329"/>
      <c r="E70" s="330"/>
      <c r="F70" s="331"/>
      <c r="G70" s="256"/>
      <c r="H70" s="256"/>
      <c r="I70" s="332"/>
      <c r="J70" s="333"/>
      <c r="K70" s="334"/>
      <c r="L70" s="484"/>
    </row>
    <row r="71" spans="1:12" ht="15" thickBot="1">
      <c r="A71" s="328"/>
      <c r="B71" s="257"/>
      <c r="C71" s="257"/>
      <c r="D71" s="329"/>
      <c r="E71" s="330"/>
      <c r="F71" s="331"/>
      <c r="G71" s="256"/>
      <c r="H71" s="256"/>
      <c r="I71" s="332"/>
      <c r="J71" s="333"/>
      <c r="K71" s="334"/>
      <c r="L71" s="484"/>
    </row>
    <row r="72" spans="1:12" ht="15" thickBot="1">
      <c r="A72" s="328"/>
      <c r="B72" s="257"/>
      <c r="C72" s="257"/>
      <c r="D72" s="329"/>
      <c r="E72" s="330"/>
      <c r="F72" s="331"/>
      <c r="G72" s="256"/>
      <c r="H72" s="256"/>
      <c r="I72" s="332"/>
      <c r="J72" s="333"/>
      <c r="K72" s="334"/>
      <c r="L72" s="484"/>
    </row>
    <row r="73" spans="1:12" ht="15" thickBot="1">
      <c r="A73" s="328"/>
      <c r="B73" s="257"/>
      <c r="C73" s="257"/>
      <c r="D73" s="329"/>
      <c r="E73" s="330"/>
      <c r="F73" s="331"/>
      <c r="G73" s="256"/>
      <c r="H73" s="256"/>
      <c r="I73" s="332"/>
      <c r="J73" s="333"/>
      <c r="K73" s="334"/>
      <c r="L73" s="484"/>
    </row>
    <row r="74" spans="1:12" ht="15" thickBot="1">
      <c r="A74" s="328"/>
      <c r="B74" s="257"/>
      <c r="C74" s="257"/>
      <c r="D74" s="329"/>
      <c r="E74" s="330"/>
      <c r="F74" s="331"/>
      <c r="G74" s="256"/>
      <c r="H74" s="256"/>
      <c r="I74" s="332"/>
      <c r="J74" s="333"/>
      <c r="K74" s="334"/>
      <c r="L74" s="484"/>
    </row>
    <row r="75" spans="1:12" ht="15" thickBot="1">
      <c r="A75" s="328"/>
      <c r="B75" s="257"/>
      <c r="C75" s="257"/>
      <c r="D75" s="329"/>
      <c r="E75" s="330"/>
      <c r="F75" s="331"/>
      <c r="G75" s="256"/>
      <c r="H75" s="256"/>
      <c r="I75" s="332"/>
      <c r="J75" s="333"/>
      <c r="K75" s="334"/>
      <c r="L75" s="484"/>
    </row>
    <row r="76" spans="1:12" ht="15" thickBot="1">
      <c r="A76" s="328"/>
      <c r="B76" s="257"/>
      <c r="C76" s="257"/>
      <c r="D76" s="329"/>
      <c r="E76" s="330"/>
      <c r="F76" s="331"/>
      <c r="G76" s="256"/>
      <c r="H76" s="256"/>
      <c r="I76" s="332"/>
      <c r="J76" s="333"/>
      <c r="K76" s="334"/>
      <c r="L76" s="484"/>
    </row>
    <row r="77" spans="1:12" ht="15" thickBot="1">
      <c r="A77" s="328"/>
      <c r="B77" s="257"/>
      <c r="C77" s="257"/>
      <c r="D77" s="329"/>
      <c r="E77" s="330"/>
      <c r="F77" s="331"/>
      <c r="G77" s="256"/>
      <c r="H77" s="256"/>
      <c r="I77" s="332"/>
      <c r="J77" s="333"/>
      <c r="K77" s="334"/>
      <c r="L77" s="484"/>
    </row>
    <row r="78" spans="1:12" ht="15" thickBot="1">
      <c r="A78" s="328"/>
      <c r="B78" s="257"/>
      <c r="C78" s="257"/>
      <c r="D78" s="329"/>
      <c r="E78" s="330"/>
      <c r="F78" s="331"/>
      <c r="G78" s="256"/>
      <c r="H78" s="256"/>
      <c r="I78" s="332"/>
      <c r="J78" s="333"/>
      <c r="K78" s="334"/>
      <c r="L78" s="484"/>
    </row>
    <row r="79" spans="1:12" ht="15" thickBot="1">
      <c r="A79" s="328"/>
      <c r="B79" s="257"/>
      <c r="C79" s="257"/>
      <c r="D79" s="329"/>
      <c r="E79" s="330"/>
      <c r="F79" s="331"/>
      <c r="G79" s="256"/>
      <c r="H79" s="256"/>
      <c r="I79" s="332"/>
      <c r="J79" s="333"/>
      <c r="K79" s="334"/>
      <c r="L79" s="484"/>
    </row>
    <row r="80" spans="1:12" ht="15" thickBot="1">
      <c r="A80" s="328"/>
      <c r="B80" s="257"/>
      <c r="C80" s="257"/>
      <c r="D80" s="329"/>
      <c r="E80" s="330"/>
      <c r="F80" s="331"/>
      <c r="G80" s="256"/>
      <c r="H80" s="256"/>
      <c r="I80" s="332"/>
      <c r="J80" s="333"/>
      <c r="K80" s="334"/>
      <c r="L80" s="484"/>
    </row>
    <row r="81" spans="1:12" ht="15" thickBot="1">
      <c r="A81" s="328"/>
      <c r="B81" s="257"/>
      <c r="C81" s="257"/>
      <c r="D81" s="329"/>
      <c r="E81" s="330"/>
      <c r="F81" s="331"/>
      <c r="G81" s="256"/>
      <c r="H81" s="256"/>
      <c r="I81" s="332"/>
      <c r="J81" s="333"/>
      <c r="K81" s="334"/>
      <c r="L81" s="484"/>
    </row>
    <row r="82" spans="1:12" ht="15" thickBot="1">
      <c r="A82" s="328"/>
      <c r="B82" s="257"/>
      <c r="C82" s="257"/>
      <c r="D82" s="329"/>
      <c r="E82" s="330"/>
      <c r="F82" s="331"/>
      <c r="G82" s="256"/>
      <c r="H82" s="256"/>
      <c r="I82" s="332"/>
      <c r="J82" s="333"/>
      <c r="K82" s="334"/>
      <c r="L82" s="484"/>
    </row>
    <row r="83" spans="1:12" ht="15" thickBot="1">
      <c r="A83" s="328"/>
      <c r="B83" s="257"/>
      <c r="C83" s="257"/>
      <c r="D83" s="329"/>
      <c r="E83" s="330"/>
      <c r="F83" s="331"/>
      <c r="G83" s="256"/>
      <c r="H83" s="256"/>
      <c r="I83" s="332"/>
      <c r="J83" s="333"/>
      <c r="K83" s="334"/>
      <c r="L83" s="484"/>
    </row>
    <row r="84" spans="1:12" ht="15" thickBot="1">
      <c r="A84" s="328"/>
      <c r="B84" s="257"/>
      <c r="C84" s="257"/>
      <c r="D84" s="329"/>
      <c r="E84" s="330"/>
      <c r="F84" s="331"/>
      <c r="G84" s="256"/>
      <c r="H84" s="256"/>
      <c r="I84" s="332"/>
      <c r="J84" s="333"/>
      <c r="K84" s="334"/>
      <c r="L84" s="484"/>
    </row>
    <row r="85" spans="1:12" ht="15" thickBot="1">
      <c r="A85" s="328"/>
      <c r="B85" s="257"/>
      <c r="C85" s="257"/>
      <c r="D85" s="329"/>
      <c r="E85" s="330"/>
      <c r="F85" s="331"/>
      <c r="G85" s="256"/>
      <c r="H85" s="256"/>
      <c r="I85" s="332"/>
      <c r="J85" s="333"/>
      <c r="K85" s="334"/>
      <c r="L85" s="484"/>
    </row>
    <row r="86" spans="1:12" ht="15" thickBot="1">
      <c r="A86" s="328"/>
      <c r="B86" s="257"/>
      <c r="C86" s="257"/>
      <c r="D86" s="329"/>
      <c r="E86" s="330"/>
      <c r="F86" s="331"/>
      <c r="G86" s="256"/>
      <c r="H86" s="256"/>
      <c r="I86" s="332"/>
      <c r="J86" s="333"/>
      <c r="K86" s="334"/>
      <c r="L86" s="484"/>
    </row>
    <row r="87" spans="1:12" ht="15" thickBot="1">
      <c r="A87" s="328"/>
      <c r="B87" s="257"/>
      <c r="C87" s="257"/>
      <c r="D87" s="329"/>
      <c r="E87" s="330"/>
      <c r="F87" s="331"/>
      <c r="G87" s="256"/>
      <c r="H87" s="256"/>
      <c r="I87" s="332"/>
      <c r="J87" s="333"/>
      <c r="K87" s="334"/>
      <c r="L87" s="484"/>
    </row>
    <row r="88" spans="1:12" ht="15" thickBot="1">
      <c r="A88" s="328"/>
      <c r="B88" s="257"/>
      <c r="C88" s="257"/>
      <c r="D88" s="329"/>
      <c r="E88" s="330"/>
      <c r="F88" s="331"/>
      <c r="G88" s="256"/>
      <c r="H88" s="256"/>
      <c r="I88" s="332"/>
      <c r="J88" s="333"/>
      <c r="K88" s="334"/>
      <c r="L88" s="484"/>
    </row>
    <row r="89" spans="1:12" ht="15" thickBot="1">
      <c r="A89" s="328"/>
      <c r="B89" s="257"/>
      <c r="C89" s="257"/>
      <c r="D89" s="329"/>
      <c r="E89" s="330"/>
      <c r="F89" s="331"/>
      <c r="G89" s="256"/>
      <c r="H89" s="256"/>
      <c r="I89" s="332"/>
      <c r="J89" s="333"/>
      <c r="K89" s="334"/>
      <c r="L89" s="484"/>
    </row>
    <row r="90" spans="1:12" ht="15" thickBot="1">
      <c r="A90" s="328"/>
      <c r="B90" s="257"/>
      <c r="C90" s="257"/>
      <c r="D90" s="329"/>
      <c r="E90" s="330"/>
      <c r="F90" s="331"/>
      <c r="G90" s="256"/>
      <c r="H90" s="256"/>
      <c r="I90" s="332"/>
      <c r="J90" s="333"/>
      <c r="K90" s="334"/>
      <c r="L90" s="484"/>
    </row>
    <row r="91" spans="1:12" ht="15" thickBot="1">
      <c r="A91" s="328"/>
      <c r="B91" s="257"/>
      <c r="C91" s="257"/>
      <c r="D91" s="329"/>
      <c r="E91" s="330"/>
      <c r="F91" s="331"/>
      <c r="G91" s="256"/>
      <c r="H91" s="256"/>
      <c r="I91" s="332"/>
      <c r="J91" s="333"/>
      <c r="K91" s="334"/>
      <c r="L91" s="484"/>
    </row>
    <row r="92" spans="1:12" ht="15" thickBot="1">
      <c r="A92" s="328"/>
      <c r="B92" s="257"/>
      <c r="C92" s="257"/>
      <c r="D92" s="329"/>
      <c r="E92" s="330"/>
      <c r="F92" s="331"/>
      <c r="G92" s="256"/>
      <c r="H92" s="256"/>
      <c r="I92" s="332"/>
      <c r="J92" s="333"/>
      <c r="K92" s="334"/>
      <c r="L92" s="484"/>
    </row>
    <row r="93" spans="1:12" ht="15" thickBot="1">
      <c r="A93" s="328"/>
      <c r="B93" s="257"/>
      <c r="C93" s="257"/>
      <c r="D93" s="329"/>
      <c r="E93" s="330"/>
      <c r="F93" s="331"/>
      <c r="G93" s="256"/>
      <c r="H93" s="256"/>
      <c r="I93" s="332"/>
      <c r="J93" s="333"/>
      <c r="K93" s="334"/>
      <c r="L93" s="484"/>
    </row>
    <row r="94" spans="1:12" ht="15" thickBot="1">
      <c r="A94" s="328"/>
      <c r="B94" s="257"/>
      <c r="C94" s="257"/>
      <c r="D94" s="329"/>
      <c r="E94" s="330"/>
      <c r="F94" s="331"/>
      <c r="G94" s="256"/>
      <c r="H94" s="256"/>
      <c r="I94" s="332"/>
      <c r="J94" s="333"/>
      <c r="K94" s="334"/>
      <c r="L94" s="484"/>
    </row>
    <row r="95" spans="1:12" ht="15" thickBot="1">
      <c r="A95" s="328"/>
      <c r="B95" s="257"/>
      <c r="C95" s="257"/>
      <c r="D95" s="329"/>
      <c r="E95" s="330"/>
      <c r="F95" s="331"/>
      <c r="G95" s="256"/>
      <c r="H95" s="256"/>
      <c r="I95" s="332"/>
      <c r="J95" s="333"/>
      <c r="K95" s="334"/>
      <c r="L95" s="484"/>
    </row>
    <row r="96" spans="1:12" ht="15" thickBot="1">
      <c r="A96" s="328"/>
      <c r="B96" s="257"/>
      <c r="C96" s="257"/>
      <c r="D96" s="329"/>
      <c r="E96" s="330"/>
      <c r="F96" s="331"/>
      <c r="G96" s="256"/>
      <c r="H96" s="256"/>
      <c r="I96" s="332"/>
      <c r="J96" s="333"/>
      <c r="K96" s="334"/>
      <c r="L96" s="484"/>
    </row>
    <row r="97" spans="1:12" ht="15" thickBot="1">
      <c r="A97" s="328"/>
      <c r="B97" s="257"/>
      <c r="C97" s="257"/>
      <c r="D97" s="329"/>
      <c r="E97" s="330"/>
      <c r="F97" s="331"/>
      <c r="G97" s="256"/>
      <c r="H97" s="256"/>
      <c r="I97" s="332"/>
      <c r="J97" s="333"/>
      <c r="K97" s="334"/>
      <c r="L97" s="484"/>
    </row>
    <row r="98" spans="1:12" ht="15" thickBot="1">
      <c r="A98" s="328"/>
      <c r="B98" s="257"/>
      <c r="C98" s="257"/>
      <c r="D98" s="329"/>
      <c r="E98" s="330"/>
      <c r="F98" s="331"/>
      <c r="G98" s="256"/>
      <c r="H98" s="256"/>
      <c r="I98" s="332"/>
      <c r="J98" s="333"/>
      <c r="K98" s="334"/>
      <c r="L98" s="484"/>
    </row>
    <row r="99" spans="1:12" ht="15" thickBot="1">
      <c r="A99" s="328"/>
      <c r="B99" s="257"/>
      <c r="C99" s="257"/>
      <c r="D99" s="329"/>
      <c r="E99" s="330"/>
      <c r="F99" s="331"/>
      <c r="G99" s="256"/>
      <c r="H99" s="256"/>
      <c r="I99" s="332"/>
      <c r="J99" s="333"/>
      <c r="K99" s="334"/>
      <c r="L99" s="484"/>
    </row>
    <row r="100" spans="1:12" ht="15" thickBot="1">
      <c r="A100" s="328"/>
      <c r="B100" s="257"/>
      <c r="C100" s="257"/>
      <c r="D100" s="329"/>
      <c r="E100" s="330"/>
      <c r="F100" s="331"/>
      <c r="G100" s="256"/>
      <c r="H100" s="256"/>
      <c r="I100" s="332"/>
      <c r="J100" s="333"/>
      <c r="K100" s="334"/>
      <c r="L100" s="484"/>
    </row>
    <row r="101" spans="1:12" ht="15" thickBot="1">
      <c r="A101" s="328"/>
      <c r="B101" s="257"/>
      <c r="C101" s="257"/>
      <c r="D101" s="329"/>
      <c r="E101" s="330"/>
      <c r="F101" s="331"/>
      <c r="G101" s="256"/>
      <c r="H101" s="256"/>
      <c r="I101" s="332"/>
      <c r="J101" s="333"/>
      <c r="K101" s="334"/>
      <c r="L101" s="484"/>
    </row>
    <row r="102" spans="1:12" ht="15" thickBot="1">
      <c r="A102" s="328"/>
      <c r="B102" s="257"/>
      <c r="C102" s="257"/>
      <c r="D102" s="329"/>
      <c r="E102" s="330"/>
      <c r="F102" s="331"/>
      <c r="G102" s="256"/>
      <c r="H102" s="256"/>
      <c r="I102" s="332"/>
      <c r="J102" s="333"/>
      <c r="K102" s="334"/>
      <c r="L102" s="484"/>
    </row>
    <row r="103" spans="1:12" ht="15" thickBot="1">
      <c r="A103" s="328"/>
      <c r="B103" s="257"/>
      <c r="C103" s="257"/>
      <c r="D103" s="329"/>
      <c r="E103" s="330"/>
      <c r="F103" s="331"/>
      <c r="G103" s="256"/>
      <c r="H103" s="256"/>
      <c r="I103" s="332"/>
      <c r="J103" s="333"/>
      <c r="K103" s="334"/>
      <c r="L103" s="484"/>
    </row>
    <row r="104" spans="1:12" ht="15" thickBot="1">
      <c r="A104" s="328"/>
      <c r="B104" s="257"/>
      <c r="C104" s="257"/>
      <c r="D104" s="329"/>
      <c r="E104" s="330"/>
      <c r="F104" s="331"/>
      <c r="G104" s="256"/>
      <c r="H104" s="256"/>
      <c r="I104" s="332"/>
      <c r="J104" s="333"/>
      <c r="K104" s="334"/>
      <c r="L104" s="484"/>
    </row>
    <row r="105" spans="1:12" ht="15" thickBot="1">
      <c r="A105" s="328"/>
      <c r="B105" s="257"/>
      <c r="C105" s="257"/>
      <c r="D105" s="329"/>
      <c r="E105" s="330"/>
      <c r="F105" s="331"/>
      <c r="G105" s="256"/>
      <c r="H105" s="256"/>
      <c r="I105" s="332"/>
      <c r="J105" s="333"/>
      <c r="K105" s="334"/>
      <c r="L105" s="484"/>
    </row>
    <row r="106" spans="1:12" ht="15" thickBot="1">
      <c r="A106" s="328"/>
      <c r="B106" s="257"/>
      <c r="C106" s="257"/>
      <c r="D106" s="329"/>
      <c r="E106" s="330"/>
      <c r="F106" s="331"/>
      <c r="G106" s="256"/>
      <c r="H106" s="256"/>
      <c r="I106" s="332"/>
      <c r="J106" s="333"/>
      <c r="K106" s="334"/>
      <c r="L106" s="484"/>
    </row>
    <row r="107" spans="1:12" ht="15" thickBot="1">
      <c r="A107" s="328"/>
      <c r="B107" s="257"/>
      <c r="C107" s="257"/>
      <c r="D107" s="329"/>
      <c r="E107" s="330"/>
      <c r="F107" s="331"/>
      <c r="G107" s="256"/>
      <c r="H107" s="256"/>
      <c r="I107" s="332"/>
      <c r="J107" s="333"/>
      <c r="K107" s="334"/>
      <c r="L107" s="484"/>
    </row>
    <row r="108" spans="1:12" ht="15" thickBot="1">
      <c r="A108" s="328"/>
      <c r="B108" s="257"/>
      <c r="C108" s="257"/>
      <c r="D108" s="329"/>
      <c r="E108" s="330"/>
      <c r="F108" s="331"/>
      <c r="G108" s="256"/>
      <c r="H108" s="256"/>
      <c r="I108" s="332"/>
      <c r="J108" s="333"/>
      <c r="K108" s="334"/>
      <c r="L108" s="484"/>
    </row>
    <row r="109" spans="1:12" ht="15" thickBot="1">
      <c r="A109" s="328"/>
      <c r="B109" s="257"/>
      <c r="C109" s="257"/>
      <c r="D109" s="329"/>
      <c r="E109" s="330"/>
      <c r="F109" s="331"/>
      <c r="G109" s="256"/>
      <c r="H109" s="256"/>
      <c r="I109" s="332"/>
      <c r="J109" s="333"/>
      <c r="K109" s="334"/>
      <c r="L109" s="484"/>
    </row>
    <row r="110" spans="1:12" ht="15" thickBot="1">
      <c r="A110" s="328"/>
      <c r="B110" s="257"/>
      <c r="C110" s="257"/>
      <c r="D110" s="329"/>
      <c r="E110" s="330"/>
      <c r="F110" s="331"/>
      <c r="G110" s="256"/>
      <c r="H110" s="256"/>
      <c r="I110" s="332"/>
      <c r="J110" s="333"/>
      <c r="K110" s="334"/>
      <c r="L110" s="484"/>
    </row>
    <row r="111" spans="1:12" ht="15" thickBot="1">
      <c r="A111" s="328"/>
      <c r="B111" s="257"/>
      <c r="C111" s="257"/>
      <c r="D111" s="329"/>
      <c r="E111" s="330"/>
      <c r="F111" s="331"/>
      <c r="G111" s="256"/>
      <c r="H111" s="256"/>
      <c r="I111" s="332"/>
      <c r="J111" s="333"/>
      <c r="K111" s="334"/>
      <c r="L111" s="484"/>
    </row>
    <row r="112" spans="1:12" ht="15" thickBot="1">
      <c r="A112" s="328"/>
      <c r="B112" s="257"/>
      <c r="C112" s="257"/>
      <c r="D112" s="329"/>
      <c r="E112" s="330"/>
      <c r="F112" s="331"/>
      <c r="G112" s="256"/>
      <c r="H112" s="256"/>
      <c r="I112" s="332"/>
      <c r="J112" s="333"/>
      <c r="K112" s="334"/>
      <c r="L112" s="484"/>
    </row>
    <row r="113" spans="1:12" ht="15" thickBot="1">
      <c r="A113" s="328"/>
      <c r="B113" s="257"/>
      <c r="C113" s="257"/>
      <c r="D113" s="329"/>
      <c r="E113" s="330"/>
      <c r="F113" s="331"/>
      <c r="G113" s="256"/>
      <c r="H113" s="256"/>
      <c r="I113" s="332"/>
      <c r="J113" s="333"/>
      <c r="K113" s="334"/>
      <c r="L113" s="484"/>
    </row>
    <row r="114" spans="1:12" ht="15" thickBot="1">
      <c r="A114" s="328"/>
      <c r="B114" s="257"/>
      <c r="C114" s="257"/>
      <c r="D114" s="329"/>
      <c r="E114" s="330"/>
      <c r="F114" s="331"/>
      <c r="G114" s="256"/>
      <c r="H114" s="256"/>
      <c r="I114" s="332"/>
      <c r="J114" s="333"/>
      <c r="K114" s="334"/>
      <c r="L114" s="484"/>
    </row>
    <row r="115" spans="1:12" ht="15" thickBot="1">
      <c r="A115" s="328"/>
      <c r="B115" s="257"/>
      <c r="C115" s="257"/>
      <c r="D115" s="329"/>
      <c r="E115" s="330"/>
      <c r="F115" s="331"/>
      <c r="G115" s="256"/>
      <c r="H115" s="256"/>
      <c r="I115" s="332"/>
      <c r="J115" s="333"/>
      <c r="K115" s="334"/>
      <c r="L115" s="484"/>
    </row>
    <row r="116" spans="1:12" ht="15" thickBot="1">
      <c r="A116" s="328"/>
      <c r="B116" s="257"/>
      <c r="C116" s="257"/>
      <c r="D116" s="329"/>
      <c r="E116" s="330"/>
      <c r="F116" s="331"/>
      <c r="G116" s="256"/>
      <c r="H116" s="256"/>
      <c r="I116" s="332"/>
      <c r="J116" s="333"/>
      <c r="K116" s="334"/>
      <c r="L116" s="484"/>
    </row>
    <row r="117" spans="1:12" ht="15" thickBot="1">
      <c r="A117" s="328"/>
      <c r="B117" s="257"/>
      <c r="C117" s="257"/>
      <c r="D117" s="329"/>
      <c r="E117" s="330"/>
      <c r="F117" s="331"/>
      <c r="G117" s="256"/>
      <c r="H117" s="256"/>
      <c r="I117" s="332"/>
      <c r="J117" s="333"/>
      <c r="K117" s="334"/>
      <c r="L117" s="484"/>
    </row>
    <row r="118" spans="1:12" ht="15" thickBot="1">
      <c r="A118" s="328"/>
      <c r="B118" s="257"/>
      <c r="C118" s="257"/>
      <c r="D118" s="329"/>
      <c r="E118" s="330"/>
      <c r="F118" s="331"/>
      <c r="G118" s="256"/>
      <c r="H118" s="256"/>
      <c r="I118" s="332"/>
      <c r="J118" s="333"/>
      <c r="K118" s="334"/>
      <c r="L118" s="484"/>
    </row>
    <row r="119" spans="1:12" ht="15" thickBot="1">
      <c r="A119" s="328"/>
      <c r="B119" s="257"/>
      <c r="C119" s="257"/>
      <c r="D119" s="329"/>
      <c r="E119" s="330"/>
      <c r="F119" s="331"/>
      <c r="G119" s="256"/>
      <c r="H119" s="256"/>
      <c r="I119" s="332"/>
      <c r="J119" s="333"/>
      <c r="K119" s="334"/>
      <c r="L119" s="484"/>
    </row>
    <row r="120" spans="1:12" ht="15" thickBot="1">
      <c r="A120" s="328"/>
      <c r="B120" s="257"/>
      <c r="C120" s="257"/>
      <c r="D120" s="329"/>
      <c r="E120" s="330"/>
      <c r="F120" s="331"/>
      <c r="G120" s="256"/>
      <c r="H120" s="256"/>
      <c r="I120" s="332"/>
      <c r="J120" s="333"/>
      <c r="K120" s="334"/>
      <c r="L120" s="484"/>
    </row>
    <row r="121" spans="1:12" ht="15" thickBot="1">
      <c r="A121" s="328"/>
      <c r="B121" s="257"/>
      <c r="C121" s="257"/>
      <c r="D121" s="329"/>
      <c r="E121" s="330"/>
      <c r="F121" s="331"/>
      <c r="G121" s="256"/>
      <c r="H121" s="256"/>
      <c r="I121" s="332"/>
      <c r="J121" s="333"/>
      <c r="K121" s="334"/>
      <c r="L121" s="484"/>
    </row>
    <row r="122" spans="1:12" ht="15" thickBot="1">
      <c r="A122" s="328"/>
      <c r="B122" s="257"/>
      <c r="C122" s="257"/>
      <c r="D122" s="329"/>
      <c r="E122" s="330"/>
      <c r="F122" s="331"/>
      <c r="G122" s="256"/>
      <c r="H122" s="256"/>
      <c r="I122" s="332"/>
      <c r="J122" s="333"/>
      <c r="K122" s="334"/>
      <c r="L122" s="484"/>
    </row>
    <row r="123" spans="1:12" ht="15" thickBot="1">
      <c r="A123" s="328"/>
      <c r="B123" s="257"/>
      <c r="C123" s="257"/>
      <c r="D123" s="329"/>
      <c r="E123" s="330"/>
      <c r="F123" s="331"/>
      <c r="G123" s="256"/>
      <c r="H123" s="256"/>
      <c r="I123" s="332"/>
      <c r="J123" s="333"/>
      <c r="K123" s="334"/>
      <c r="L123" s="484"/>
    </row>
    <row r="124" spans="1:12" ht="15" thickBot="1">
      <c r="A124" s="328"/>
      <c r="B124" s="257"/>
      <c r="C124" s="257"/>
      <c r="D124" s="329"/>
      <c r="E124" s="330"/>
      <c r="F124" s="331"/>
      <c r="G124" s="256"/>
      <c r="H124" s="256"/>
      <c r="I124" s="332"/>
      <c r="J124" s="333"/>
      <c r="K124" s="334"/>
      <c r="L124" s="484"/>
    </row>
    <row r="125" spans="1:12" ht="15" thickBot="1">
      <c r="A125" s="328"/>
      <c r="B125" s="257"/>
      <c r="C125" s="257"/>
      <c r="D125" s="329"/>
      <c r="E125" s="330"/>
      <c r="F125" s="331"/>
      <c r="G125" s="256"/>
      <c r="H125" s="256"/>
      <c r="I125" s="332"/>
      <c r="J125" s="333"/>
      <c r="K125" s="334"/>
      <c r="L125" s="484"/>
    </row>
    <row r="126" spans="1:12" ht="15" thickBot="1">
      <c r="A126" s="328"/>
      <c r="B126" s="257"/>
      <c r="C126" s="257"/>
      <c r="D126" s="329"/>
      <c r="E126" s="330"/>
      <c r="F126" s="331"/>
      <c r="G126" s="256"/>
      <c r="H126" s="256"/>
      <c r="I126" s="332"/>
      <c r="J126" s="333"/>
      <c r="K126" s="334"/>
      <c r="L126" s="484"/>
    </row>
    <row r="127" spans="1:12" ht="15" thickBot="1">
      <c r="A127" s="328"/>
      <c r="B127" s="257"/>
      <c r="C127" s="257"/>
      <c r="D127" s="329"/>
      <c r="E127" s="330"/>
      <c r="F127" s="331"/>
      <c r="G127" s="256"/>
      <c r="H127" s="256"/>
      <c r="I127" s="332"/>
      <c r="J127" s="333"/>
      <c r="K127" s="334"/>
      <c r="L127" s="484"/>
    </row>
    <row r="128" spans="1:12" ht="15" thickBot="1">
      <c r="A128" s="328"/>
      <c r="B128" s="257"/>
      <c r="C128" s="257"/>
      <c r="D128" s="329"/>
      <c r="E128" s="330"/>
      <c r="F128" s="331"/>
      <c r="G128" s="256"/>
      <c r="H128" s="256"/>
      <c r="I128" s="332"/>
      <c r="J128" s="333"/>
      <c r="K128" s="334"/>
      <c r="L128" s="484"/>
    </row>
    <row r="129" spans="1:12" ht="15" thickBot="1">
      <c r="A129" s="328"/>
      <c r="B129" s="257"/>
      <c r="C129" s="257"/>
      <c r="D129" s="329"/>
      <c r="E129" s="330"/>
      <c r="F129" s="331"/>
      <c r="G129" s="256"/>
      <c r="H129" s="256"/>
      <c r="I129" s="332"/>
      <c r="J129" s="333"/>
      <c r="K129" s="334"/>
      <c r="L129" s="484"/>
    </row>
    <row r="130" spans="1:12" ht="15" thickBot="1">
      <c r="A130" s="328"/>
      <c r="B130" s="257"/>
      <c r="C130" s="257"/>
      <c r="D130" s="329"/>
      <c r="E130" s="330"/>
      <c r="F130" s="331"/>
      <c r="G130" s="256"/>
      <c r="H130" s="256"/>
      <c r="I130" s="332"/>
      <c r="J130" s="333"/>
      <c r="K130" s="334"/>
      <c r="L130" s="484"/>
    </row>
    <row r="131" spans="1:12" ht="15" thickBot="1">
      <c r="A131" s="328"/>
      <c r="B131" s="257"/>
      <c r="C131" s="257"/>
      <c r="D131" s="329"/>
      <c r="E131" s="330"/>
      <c r="F131" s="331"/>
      <c r="G131" s="256"/>
      <c r="H131" s="256"/>
      <c r="I131" s="332"/>
      <c r="J131" s="333"/>
      <c r="K131" s="334"/>
      <c r="L131" s="484"/>
    </row>
    <row r="132" spans="1:12" ht="15" thickBot="1">
      <c r="A132" s="328"/>
      <c r="B132" s="257"/>
      <c r="C132" s="257"/>
      <c r="D132" s="329"/>
      <c r="E132" s="330"/>
      <c r="F132" s="331"/>
      <c r="G132" s="256"/>
      <c r="H132" s="256"/>
      <c r="I132" s="332"/>
      <c r="J132" s="333"/>
      <c r="K132" s="334"/>
      <c r="L132" s="484"/>
    </row>
    <row r="133" spans="1:12" ht="15" thickBot="1">
      <c r="A133" s="328"/>
      <c r="B133" s="257"/>
      <c r="C133" s="257"/>
      <c r="D133" s="329"/>
      <c r="E133" s="330"/>
      <c r="F133" s="331"/>
      <c r="G133" s="256"/>
      <c r="H133" s="256"/>
      <c r="I133" s="332"/>
      <c r="J133" s="333"/>
      <c r="K133" s="334"/>
      <c r="L133" s="484"/>
    </row>
    <row r="134" spans="1:12" ht="15" thickBot="1">
      <c r="A134" s="328"/>
      <c r="B134" s="257"/>
      <c r="C134" s="257"/>
      <c r="D134" s="329"/>
      <c r="E134" s="330"/>
      <c r="F134" s="331"/>
      <c r="G134" s="256"/>
      <c r="H134" s="256"/>
      <c r="I134" s="332"/>
      <c r="J134" s="333"/>
      <c r="K134" s="334"/>
      <c r="L134" s="484"/>
    </row>
    <row r="135" spans="1:12" ht="15" thickBot="1">
      <c r="A135" s="328"/>
      <c r="B135" s="257"/>
      <c r="C135" s="257"/>
      <c r="D135" s="329"/>
      <c r="E135" s="330"/>
      <c r="F135" s="331"/>
      <c r="G135" s="256"/>
      <c r="H135" s="256"/>
      <c r="I135" s="332"/>
      <c r="J135" s="333"/>
      <c r="K135" s="334"/>
      <c r="L135" s="484"/>
    </row>
    <row r="136" spans="1:12" ht="15" thickBot="1">
      <c r="A136" s="328"/>
      <c r="B136" s="257"/>
      <c r="C136" s="257"/>
      <c r="D136" s="329"/>
      <c r="E136" s="330"/>
      <c r="F136" s="331"/>
      <c r="G136" s="256"/>
      <c r="H136" s="256"/>
      <c r="I136" s="332"/>
      <c r="J136" s="333"/>
      <c r="K136" s="334"/>
      <c r="L136" s="484"/>
    </row>
    <row r="137" spans="1:12" ht="15" thickBot="1">
      <c r="A137" s="328"/>
      <c r="B137" s="257"/>
      <c r="C137" s="257"/>
      <c r="D137" s="329"/>
      <c r="E137" s="330"/>
      <c r="F137" s="331"/>
      <c r="G137" s="256"/>
      <c r="H137" s="256"/>
      <c r="I137" s="332"/>
      <c r="J137" s="333"/>
      <c r="K137" s="334"/>
      <c r="L137" s="484"/>
    </row>
    <row r="138" spans="1:12" ht="15" thickBot="1">
      <c r="A138" s="328"/>
      <c r="B138" s="257"/>
      <c r="C138" s="257"/>
      <c r="D138" s="329"/>
      <c r="E138" s="330"/>
      <c r="F138" s="331"/>
      <c r="G138" s="256"/>
      <c r="H138" s="256"/>
      <c r="I138" s="332"/>
      <c r="J138" s="333"/>
      <c r="K138" s="334"/>
      <c r="L138" s="484"/>
    </row>
    <row r="139" spans="1:12" ht="15" thickBot="1">
      <c r="A139" s="328"/>
      <c r="B139" s="257"/>
      <c r="C139" s="257"/>
      <c r="D139" s="329"/>
      <c r="E139" s="330"/>
      <c r="F139" s="331"/>
      <c r="G139" s="256"/>
      <c r="H139" s="256"/>
      <c r="I139" s="332"/>
      <c r="J139" s="333"/>
      <c r="K139" s="334"/>
      <c r="L139" s="484"/>
    </row>
    <row r="140" spans="1:12" ht="15" thickBot="1">
      <c r="A140" s="328"/>
      <c r="B140" s="257"/>
      <c r="C140" s="257"/>
      <c r="D140" s="329"/>
      <c r="E140" s="330"/>
      <c r="F140" s="331"/>
      <c r="G140" s="256"/>
      <c r="H140" s="256"/>
      <c r="I140" s="332"/>
      <c r="J140" s="333"/>
      <c r="K140" s="334"/>
      <c r="L140" s="484"/>
    </row>
    <row r="141" spans="1:12" ht="15" thickBot="1">
      <c r="A141" s="328"/>
      <c r="B141" s="257"/>
      <c r="C141" s="257"/>
      <c r="D141" s="329"/>
      <c r="E141" s="330"/>
      <c r="F141" s="331"/>
      <c r="G141" s="256"/>
      <c r="H141" s="256"/>
      <c r="I141" s="332"/>
      <c r="J141" s="333"/>
      <c r="K141" s="334"/>
      <c r="L141" s="484"/>
    </row>
    <row r="142" spans="1:12" ht="15" thickBot="1">
      <c r="A142" s="328"/>
      <c r="B142" s="257"/>
      <c r="C142" s="257"/>
      <c r="D142" s="329"/>
      <c r="E142" s="330"/>
      <c r="F142" s="331"/>
      <c r="G142" s="256"/>
      <c r="H142" s="256"/>
      <c r="I142" s="332"/>
      <c r="J142" s="333"/>
      <c r="K142" s="334"/>
      <c r="L142" s="484"/>
    </row>
    <row r="143" spans="1:12" ht="15" thickBot="1">
      <c r="A143" s="328"/>
      <c r="B143" s="257"/>
      <c r="C143" s="257"/>
      <c r="D143" s="329"/>
      <c r="E143" s="330"/>
      <c r="F143" s="331"/>
      <c r="G143" s="256"/>
      <c r="H143" s="256"/>
      <c r="I143" s="332"/>
      <c r="J143" s="333"/>
      <c r="K143" s="334"/>
      <c r="L143" s="484"/>
    </row>
    <row r="144" spans="1:12" ht="15" thickBot="1">
      <c r="A144" s="328"/>
      <c r="B144" s="257"/>
      <c r="C144" s="257"/>
      <c r="D144" s="329"/>
      <c r="E144" s="330"/>
      <c r="F144" s="331"/>
      <c r="G144" s="256"/>
      <c r="H144" s="256"/>
      <c r="I144" s="332"/>
      <c r="J144" s="333"/>
      <c r="K144" s="334"/>
      <c r="L144" s="484"/>
    </row>
    <row r="145" spans="1:12" ht="15" thickBot="1">
      <c r="A145" s="328"/>
      <c r="B145" s="257"/>
      <c r="C145" s="257"/>
      <c r="D145" s="329"/>
      <c r="E145" s="330"/>
      <c r="F145" s="331"/>
      <c r="G145" s="256"/>
      <c r="H145" s="256"/>
      <c r="I145" s="332"/>
      <c r="J145" s="333"/>
      <c r="K145" s="334"/>
      <c r="L145" s="484"/>
    </row>
    <row r="146" spans="1:12" ht="15" thickBot="1">
      <c r="A146" s="328"/>
      <c r="B146" s="257"/>
      <c r="C146" s="257"/>
      <c r="D146" s="329"/>
      <c r="E146" s="330"/>
      <c r="F146" s="331"/>
      <c r="G146" s="256"/>
      <c r="H146" s="256"/>
      <c r="I146" s="332"/>
      <c r="J146" s="333"/>
      <c r="K146" s="334"/>
      <c r="L146" s="484"/>
    </row>
    <row r="147" spans="1:12" ht="15" thickBot="1">
      <c r="A147" s="328"/>
      <c r="B147" s="257"/>
      <c r="C147" s="257"/>
      <c r="D147" s="329"/>
      <c r="E147" s="330"/>
      <c r="F147" s="331"/>
      <c r="G147" s="256"/>
      <c r="H147" s="256"/>
      <c r="I147" s="332"/>
      <c r="J147" s="333"/>
      <c r="K147" s="334"/>
      <c r="L147" s="484"/>
    </row>
    <row r="148" spans="1:12" ht="15" thickBot="1">
      <c r="A148" s="328"/>
      <c r="B148" s="257"/>
      <c r="C148" s="257"/>
      <c r="D148" s="329"/>
      <c r="E148" s="330"/>
      <c r="F148" s="331"/>
      <c r="G148" s="256"/>
      <c r="H148" s="256"/>
      <c r="I148" s="332"/>
      <c r="J148" s="333"/>
      <c r="K148" s="334"/>
      <c r="L148" s="484"/>
    </row>
    <row r="149" spans="1:12" ht="15" thickBot="1">
      <c r="A149" s="328"/>
      <c r="B149" s="257"/>
      <c r="C149" s="257"/>
      <c r="D149" s="329"/>
      <c r="E149" s="330"/>
      <c r="F149" s="331"/>
      <c r="G149" s="256"/>
      <c r="H149" s="256"/>
      <c r="I149" s="332"/>
      <c r="J149" s="333"/>
      <c r="K149" s="334"/>
      <c r="L149" s="484"/>
    </row>
    <row r="150" spans="1:12" ht="15" thickBot="1">
      <c r="A150" s="328"/>
      <c r="B150" s="257"/>
      <c r="C150" s="257"/>
      <c r="D150" s="329"/>
      <c r="E150" s="330"/>
      <c r="F150" s="331"/>
      <c r="G150" s="256"/>
      <c r="H150" s="256"/>
      <c r="I150" s="332"/>
      <c r="J150" s="333"/>
      <c r="K150" s="334"/>
      <c r="L150" s="484"/>
    </row>
    <row r="151" spans="1:12" ht="15" thickBot="1">
      <c r="A151" s="328"/>
      <c r="B151" s="257"/>
      <c r="C151" s="257"/>
      <c r="D151" s="329"/>
      <c r="E151" s="330"/>
      <c r="F151" s="331"/>
      <c r="G151" s="256"/>
      <c r="H151" s="256"/>
      <c r="I151" s="332"/>
      <c r="J151" s="333"/>
      <c r="K151" s="334"/>
      <c r="L151" s="484"/>
    </row>
    <row r="152" spans="1:12" ht="15" thickBot="1">
      <c r="A152" s="328"/>
      <c r="B152" s="257"/>
      <c r="C152" s="257"/>
      <c r="D152" s="329"/>
      <c r="E152" s="330"/>
      <c r="F152" s="331"/>
      <c r="G152" s="256"/>
      <c r="H152" s="256"/>
      <c r="I152" s="332"/>
      <c r="J152" s="333"/>
      <c r="K152" s="334"/>
      <c r="L152" s="484"/>
    </row>
    <row r="153" spans="1:12" ht="15" thickBot="1">
      <c r="A153" s="328"/>
      <c r="B153" s="257"/>
      <c r="C153" s="257"/>
      <c r="D153" s="329"/>
      <c r="E153" s="330"/>
      <c r="F153" s="331"/>
      <c r="G153" s="256"/>
      <c r="H153" s="256"/>
      <c r="I153" s="332"/>
      <c r="J153" s="333"/>
      <c r="K153" s="334"/>
      <c r="L153" s="484"/>
    </row>
    <row r="154" spans="1:12" ht="15" thickBot="1">
      <c r="A154" s="328"/>
      <c r="B154" s="257"/>
      <c r="C154" s="257"/>
      <c r="D154" s="329"/>
      <c r="E154" s="330"/>
      <c r="F154" s="331"/>
      <c r="G154" s="256"/>
      <c r="H154" s="256"/>
      <c r="I154" s="332"/>
      <c r="J154" s="333"/>
      <c r="K154" s="334"/>
      <c r="L154" s="484"/>
    </row>
    <row r="155" spans="1:12" ht="15" thickBot="1">
      <c r="A155" s="328"/>
      <c r="B155" s="257"/>
      <c r="C155" s="257"/>
      <c r="D155" s="329"/>
      <c r="E155" s="330"/>
      <c r="F155" s="331"/>
      <c r="G155" s="256"/>
      <c r="H155" s="256"/>
      <c r="I155" s="332"/>
      <c r="J155" s="333"/>
      <c r="K155" s="334"/>
      <c r="L155" s="484"/>
    </row>
    <row r="156" spans="1:12" ht="15" thickBot="1">
      <c r="A156" s="328"/>
      <c r="B156" s="257"/>
      <c r="C156" s="257"/>
      <c r="D156" s="329"/>
      <c r="E156" s="330"/>
      <c r="F156" s="331"/>
      <c r="G156" s="256"/>
      <c r="H156" s="256"/>
      <c r="I156" s="332"/>
      <c r="J156" s="333"/>
      <c r="K156" s="334"/>
      <c r="L156" s="484"/>
    </row>
    <row r="157" spans="1:12" ht="15" thickBot="1">
      <c r="A157" s="328"/>
      <c r="B157" s="257"/>
      <c r="C157" s="257"/>
      <c r="D157" s="329"/>
      <c r="E157" s="330"/>
      <c r="F157" s="331"/>
      <c r="G157" s="256"/>
      <c r="H157" s="256"/>
      <c r="I157" s="332"/>
      <c r="J157" s="333"/>
      <c r="K157" s="334"/>
      <c r="L157" s="484"/>
    </row>
    <row r="158" spans="1:12" ht="15" thickBot="1">
      <c r="A158" s="328"/>
      <c r="B158" s="257"/>
      <c r="C158" s="257"/>
      <c r="D158" s="329"/>
      <c r="E158" s="330"/>
      <c r="F158" s="331"/>
      <c r="G158" s="256"/>
      <c r="H158" s="256"/>
      <c r="I158" s="332"/>
      <c r="J158" s="333"/>
      <c r="K158" s="334"/>
      <c r="L158" s="484"/>
    </row>
    <row r="159" spans="1:12" ht="15" thickBot="1">
      <c r="A159" s="328"/>
      <c r="B159" s="257"/>
      <c r="C159" s="257"/>
      <c r="D159" s="329"/>
      <c r="E159" s="330"/>
      <c r="F159" s="331"/>
      <c r="G159" s="256"/>
      <c r="H159" s="256"/>
      <c r="I159" s="332"/>
      <c r="J159" s="333"/>
      <c r="K159" s="334"/>
      <c r="L159" s="484"/>
    </row>
    <row r="160" spans="1:12" ht="15" thickBot="1">
      <c r="A160" s="328"/>
      <c r="B160" s="257"/>
      <c r="C160" s="257"/>
      <c r="D160" s="329"/>
      <c r="E160" s="330"/>
      <c r="F160" s="331"/>
      <c r="G160" s="256"/>
      <c r="H160" s="256"/>
      <c r="I160" s="332"/>
      <c r="J160" s="333"/>
      <c r="K160" s="334"/>
      <c r="L160" s="484"/>
    </row>
    <row r="161" spans="1:12" ht="15" thickBot="1">
      <c r="A161" s="328"/>
      <c r="B161" s="257"/>
      <c r="C161" s="257"/>
      <c r="D161" s="329"/>
      <c r="E161" s="330"/>
      <c r="F161" s="331"/>
      <c r="G161" s="256"/>
      <c r="H161" s="256"/>
      <c r="I161" s="332"/>
      <c r="J161" s="333"/>
      <c r="K161" s="334"/>
      <c r="L161" s="484"/>
    </row>
    <row r="162" spans="1:12" ht="15" thickBot="1">
      <c r="A162" s="328"/>
      <c r="B162" s="257"/>
      <c r="C162" s="257"/>
      <c r="D162" s="329"/>
      <c r="E162" s="330"/>
      <c r="F162" s="331"/>
      <c r="G162" s="256"/>
      <c r="H162" s="256"/>
      <c r="I162" s="332"/>
      <c r="J162" s="333"/>
      <c r="K162" s="334"/>
      <c r="L162" s="484"/>
    </row>
    <row r="163" spans="1:12" ht="15" thickBot="1">
      <c r="A163" s="328"/>
      <c r="B163" s="257"/>
      <c r="C163" s="257"/>
      <c r="D163" s="329"/>
      <c r="E163" s="330"/>
      <c r="F163" s="331"/>
      <c r="G163" s="256"/>
      <c r="H163" s="256"/>
      <c r="I163" s="332"/>
      <c r="J163" s="333"/>
      <c r="K163" s="334"/>
      <c r="L163" s="484"/>
    </row>
    <row r="164" spans="1:12" ht="15" thickBot="1">
      <c r="A164" s="328"/>
      <c r="B164" s="257"/>
      <c r="C164" s="257"/>
      <c r="D164" s="329"/>
      <c r="E164" s="330"/>
      <c r="F164" s="331"/>
      <c r="G164" s="256"/>
      <c r="H164" s="256"/>
      <c r="I164" s="332"/>
      <c r="J164" s="333"/>
      <c r="K164" s="334"/>
      <c r="L164" s="484"/>
    </row>
    <row r="165" spans="1:12" ht="15" thickBot="1">
      <c r="A165" s="328"/>
      <c r="B165" s="257"/>
      <c r="C165" s="257"/>
      <c r="D165" s="329"/>
      <c r="E165" s="330"/>
      <c r="F165" s="331"/>
      <c r="G165" s="256"/>
      <c r="H165" s="256"/>
      <c r="I165" s="332"/>
      <c r="J165" s="333"/>
      <c r="K165" s="334"/>
      <c r="L165" s="484"/>
    </row>
    <row r="166" spans="1:12" ht="15" thickBot="1">
      <c r="A166" s="328"/>
      <c r="B166" s="257"/>
      <c r="C166" s="257"/>
      <c r="D166" s="329"/>
      <c r="E166" s="330"/>
      <c r="F166" s="331"/>
      <c r="G166" s="256"/>
      <c r="H166" s="256"/>
      <c r="I166" s="332"/>
      <c r="J166" s="333"/>
      <c r="K166" s="334"/>
      <c r="L166" s="484"/>
    </row>
    <row r="167" spans="1:12" ht="15" thickBot="1">
      <c r="A167" s="328"/>
      <c r="B167" s="257"/>
      <c r="C167" s="257"/>
      <c r="D167" s="329"/>
      <c r="E167" s="330"/>
      <c r="F167" s="331"/>
      <c r="G167" s="256"/>
      <c r="H167" s="256"/>
      <c r="I167" s="332"/>
      <c r="J167" s="333"/>
      <c r="K167" s="334"/>
      <c r="L167" s="484"/>
    </row>
    <row r="168" spans="1:12" ht="15" thickBot="1">
      <c r="A168" s="328"/>
      <c r="B168" s="257"/>
      <c r="C168" s="257"/>
      <c r="D168" s="329"/>
      <c r="E168" s="330"/>
      <c r="F168" s="331"/>
      <c r="G168" s="256"/>
      <c r="H168" s="256"/>
      <c r="I168" s="332"/>
      <c r="J168" s="333"/>
      <c r="K168" s="334"/>
      <c r="L168" s="484"/>
    </row>
    <row r="169" spans="1:12" ht="15" thickBot="1">
      <c r="A169" s="328"/>
      <c r="B169" s="257"/>
      <c r="C169" s="257"/>
      <c r="D169" s="329"/>
      <c r="E169" s="330"/>
      <c r="F169" s="331"/>
      <c r="G169" s="256"/>
      <c r="H169" s="256"/>
      <c r="I169" s="332"/>
      <c r="J169" s="333"/>
      <c r="K169" s="334"/>
      <c r="L169" s="484"/>
    </row>
    <row r="170" spans="1:12" ht="15" thickBot="1">
      <c r="A170" s="328"/>
      <c r="B170" s="257"/>
      <c r="C170" s="257"/>
      <c r="D170" s="329"/>
      <c r="E170" s="330"/>
      <c r="F170" s="331"/>
      <c r="G170" s="256"/>
      <c r="H170" s="256"/>
      <c r="I170" s="332"/>
      <c r="J170" s="333"/>
      <c r="K170" s="334"/>
      <c r="L170" s="484"/>
    </row>
    <row r="171" spans="1:12" ht="15" thickBot="1">
      <c r="A171" s="328"/>
      <c r="B171" s="257"/>
      <c r="C171" s="257"/>
      <c r="D171" s="329"/>
      <c r="E171" s="330"/>
      <c r="F171" s="331"/>
      <c r="G171" s="256"/>
      <c r="H171" s="256"/>
      <c r="I171" s="332"/>
      <c r="J171" s="333"/>
      <c r="K171" s="334"/>
      <c r="L171" s="484"/>
    </row>
    <row r="172" spans="1:12" ht="15" thickBot="1">
      <c r="A172" s="328"/>
      <c r="B172" s="257"/>
      <c r="C172" s="257"/>
      <c r="D172" s="329"/>
      <c r="E172" s="330"/>
      <c r="F172" s="331"/>
      <c r="G172" s="256"/>
      <c r="H172" s="256"/>
      <c r="I172" s="332"/>
      <c r="J172" s="333"/>
      <c r="K172" s="334"/>
      <c r="L172" s="484"/>
    </row>
    <row r="173" spans="1:12" ht="15" thickBot="1">
      <c r="A173" s="328"/>
      <c r="B173" s="257"/>
      <c r="C173" s="257"/>
      <c r="D173" s="329"/>
      <c r="E173" s="330"/>
      <c r="F173" s="331"/>
      <c r="G173" s="256"/>
      <c r="H173" s="256"/>
      <c r="I173" s="332"/>
      <c r="J173" s="333"/>
      <c r="K173" s="334"/>
      <c r="L173" s="484"/>
    </row>
    <row r="174" spans="1:12" ht="15" thickBot="1">
      <c r="A174" s="328"/>
      <c r="B174" s="257"/>
      <c r="C174" s="257"/>
      <c r="D174" s="329"/>
      <c r="E174" s="330"/>
      <c r="F174" s="331"/>
      <c r="G174" s="256"/>
      <c r="H174" s="256"/>
      <c r="I174" s="332"/>
      <c r="J174" s="333"/>
      <c r="K174" s="334"/>
      <c r="L174" s="484"/>
    </row>
    <row r="175" spans="1:12" ht="15" thickBot="1">
      <c r="A175" s="328"/>
      <c r="B175" s="257"/>
      <c r="C175" s="257"/>
      <c r="D175" s="329"/>
      <c r="E175" s="330"/>
      <c r="F175" s="331"/>
      <c r="G175" s="256"/>
      <c r="H175" s="256"/>
      <c r="I175" s="332"/>
      <c r="J175" s="333"/>
      <c r="K175" s="334"/>
      <c r="L175" s="484"/>
    </row>
    <row r="176" spans="1:12" ht="15" thickBot="1">
      <c r="A176" s="328"/>
      <c r="B176" s="257"/>
      <c r="C176" s="257"/>
      <c r="D176" s="329"/>
      <c r="E176" s="330"/>
      <c r="F176" s="331"/>
      <c r="G176" s="256"/>
      <c r="H176" s="256"/>
      <c r="I176" s="332"/>
      <c r="J176" s="333"/>
      <c r="K176" s="334"/>
      <c r="L176" s="484"/>
    </row>
    <row r="177" spans="1:12" ht="15" thickBot="1">
      <c r="A177" s="328"/>
      <c r="B177" s="257"/>
      <c r="C177" s="257"/>
      <c r="D177" s="329"/>
      <c r="E177" s="330"/>
      <c r="F177" s="331"/>
      <c r="G177" s="256"/>
      <c r="H177" s="256"/>
      <c r="I177" s="332"/>
      <c r="J177" s="333"/>
      <c r="K177" s="334"/>
      <c r="L177" s="484"/>
    </row>
    <row r="178" spans="1:12" ht="15" thickBot="1">
      <c r="A178" s="328"/>
      <c r="B178" s="257"/>
      <c r="C178" s="257"/>
      <c r="D178" s="329"/>
      <c r="E178" s="330"/>
      <c r="F178" s="331"/>
      <c r="G178" s="256"/>
      <c r="H178" s="256"/>
      <c r="I178" s="332"/>
      <c r="J178" s="333"/>
      <c r="K178" s="334"/>
      <c r="L178" s="484"/>
    </row>
    <row r="179" spans="1:12" ht="15" thickBot="1">
      <c r="A179" s="328"/>
      <c r="B179" s="257"/>
      <c r="C179" s="257"/>
      <c r="D179" s="329"/>
      <c r="E179" s="330"/>
      <c r="F179" s="331"/>
      <c r="G179" s="256"/>
      <c r="H179" s="256"/>
      <c r="I179" s="332"/>
      <c r="J179" s="333"/>
      <c r="K179" s="334"/>
      <c r="L179" s="484"/>
    </row>
    <row r="180" spans="1:12" ht="15" thickBot="1">
      <c r="A180" s="328"/>
      <c r="B180" s="257"/>
      <c r="C180" s="257"/>
      <c r="D180" s="329"/>
      <c r="E180" s="330"/>
      <c r="F180" s="331"/>
      <c r="G180" s="256"/>
      <c r="H180" s="256"/>
      <c r="I180" s="332"/>
      <c r="J180" s="333"/>
      <c r="K180" s="334"/>
      <c r="L180" s="484"/>
    </row>
    <row r="181" spans="1:12" ht="15" thickBot="1">
      <c r="A181" s="328"/>
      <c r="B181" s="257"/>
      <c r="C181" s="257"/>
      <c r="D181" s="329"/>
      <c r="E181" s="330"/>
      <c r="F181" s="331"/>
      <c r="G181" s="256"/>
      <c r="H181" s="256"/>
      <c r="I181" s="332"/>
      <c r="J181" s="333"/>
      <c r="K181" s="334"/>
      <c r="L181" s="484"/>
    </row>
    <row r="182" spans="1:12" ht="15" thickBot="1">
      <c r="A182" s="328"/>
      <c r="B182" s="257"/>
      <c r="C182" s="257"/>
      <c r="D182" s="329"/>
      <c r="E182" s="330"/>
      <c r="F182" s="331"/>
      <c r="G182" s="256"/>
      <c r="H182" s="256"/>
      <c r="I182" s="332"/>
      <c r="J182" s="333"/>
      <c r="K182" s="334"/>
      <c r="L182" s="484"/>
    </row>
    <row r="183" spans="1:12" ht="15" thickBot="1">
      <c r="A183" s="328"/>
      <c r="B183" s="257"/>
      <c r="C183" s="257"/>
      <c r="D183" s="329"/>
      <c r="E183" s="330"/>
      <c r="F183" s="331"/>
      <c r="G183" s="256"/>
      <c r="H183" s="256"/>
      <c r="I183" s="332"/>
      <c r="J183" s="333"/>
      <c r="K183" s="334"/>
      <c r="L183" s="484"/>
    </row>
    <row r="184" spans="1:12" ht="15" thickBot="1">
      <c r="A184" s="328"/>
      <c r="B184" s="257"/>
      <c r="C184" s="257"/>
      <c r="D184" s="329"/>
      <c r="E184" s="330"/>
      <c r="F184" s="331"/>
      <c r="G184" s="256"/>
      <c r="H184" s="256"/>
      <c r="I184" s="332"/>
      <c r="J184" s="333"/>
      <c r="K184" s="334"/>
      <c r="L184" s="484"/>
    </row>
    <row r="185" spans="1:12" ht="15" thickBot="1">
      <c r="A185" s="328"/>
      <c r="B185" s="257"/>
      <c r="C185" s="257"/>
      <c r="D185" s="329"/>
      <c r="E185" s="330"/>
      <c r="F185" s="331"/>
      <c r="G185" s="256"/>
      <c r="H185" s="256"/>
      <c r="I185" s="332"/>
      <c r="J185" s="333"/>
      <c r="K185" s="334"/>
      <c r="L185" s="484"/>
    </row>
    <row r="186" spans="1:12" ht="15" thickBot="1">
      <c r="A186" s="328"/>
      <c r="B186" s="257"/>
      <c r="C186" s="257"/>
      <c r="D186" s="329"/>
      <c r="E186" s="330"/>
      <c r="F186" s="331"/>
      <c r="G186" s="256"/>
      <c r="H186" s="256"/>
      <c r="I186" s="332"/>
      <c r="J186" s="333"/>
      <c r="K186" s="334"/>
      <c r="L186" s="484"/>
    </row>
    <row r="187" spans="1:12" ht="15" thickBot="1">
      <c r="A187" s="328"/>
      <c r="B187" s="257"/>
      <c r="C187" s="257"/>
      <c r="D187" s="329"/>
      <c r="E187" s="330"/>
      <c r="F187" s="331"/>
      <c r="G187" s="256"/>
      <c r="H187" s="256"/>
      <c r="I187" s="332"/>
      <c r="J187" s="333"/>
      <c r="K187" s="334"/>
      <c r="L187" s="484"/>
    </row>
    <row r="188" spans="1:12" ht="15" thickBot="1">
      <c r="A188" s="328"/>
      <c r="B188" s="257"/>
      <c r="C188" s="257"/>
      <c r="D188" s="329"/>
      <c r="E188" s="330"/>
      <c r="F188" s="331"/>
      <c r="G188" s="256"/>
      <c r="H188" s="256"/>
      <c r="I188" s="332"/>
      <c r="J188" s="333"/>
      <c r="K188" s="334"/>
      <c r="L188" s="484"/>
    </row>
    <row r="189" spans="1:12" ht="15" thickBot="1">
      <c r="A189" s="328"/>
      <c r="B189" s="257"/>
      <c r="C189" s="257"/>
      <c r="D189" s="329"/>
      <c r="E189" s="330"/>
      <c r="F189" s="331"/>
      <c r="G189" s="256"/>
      <c r="H189" s="256"/>
      <c r="I189" s="332"/>
      <c r="J189" s="333"/>
      <c r="K189" s="334"/>
      <c r="L189" s="484"/>
    </row>
    <row r="190" spans="1:12" ht="15" thickBot="1">
      <c r="A190" s="328"/>
      <c r="B190" s="257"/>
      <c r="C190" s="257"/>
      <c r="D190" s="329"/>
      <c r="E190" s="330"/>
      <c r="F190" s="331"/>
      <c r="G190" s="256"/>
      <c r="H190" s="256"/>
      <c r="I190" s="332"/>
      <c r="J190" s="333"/>
      <c r="K190" s="334"/>
      <c r="L190" s="484"/>
    </row>
    <row r="191" spans="1:12" ht="15" thickBot="1">
      <c r="A191" s="328"/>
      <c r="B191" s="257"/>
      <c r="C191" s="257"/>
      <c r="D191" s="329"/>
      <c r="E191" s="330"/>
      <c r="F191" s="331"/>
      <c r="G191" s="256"/>
      <c r="H191" s="256"/>
      <c r="I191" s="332"/>
      <c r="J191" s="333"/>
      <c r="K191" s="334"/>
      <c r="L191" s="484"/>
    </row>
    <row r="192" spans="1:12" ht="15" thickBot="1">
      <c r="A192" s="328"/>
      <c r="B192" s="257"/>
      <c r="C192" s="257"/>
      <c r="D192" s="329"/>
      <c r="E192" s="330"/>
      <c r="F192" s="331"/>
      <c r="G192" s="256"/>
      <c r="H192" s="256"/>
      <c r="I192" s="332"/>
      <c r="J192" s="333"/>
      <c r="K192" s="334"/>
      <c r="L192" s="484"/>
    </row>
    <row r="193" spans="1:12" ht="15" thickBot="1">
      <c r="A193" s="328"/>
      <c r="B193" s="257"/>
      <c r="C193" s="257"/>
      <c r="D193" s="329"/>
      <c r="E193" s="330"/>
      <c r="F193" s="331"/>
      <c r="G193" s="256"/>
      <c r="H193" s="256"/>
      <c r="I193" s="332"/>
      <c r="J193" s="333"/>
      <c r="K193" s="334"/>
      <c r="L193" s="484"/>
    </row>
    <row r="194" spans="1:12" ht="15" thickBot="1">
      <c r="A194" s="328"/>
      <c r="B194" s="257"/>
      <c r="C194" s="257"/>
      <c r="D194" s="329"/>
      <c r="E194" s="330"/>
      <c r="F194" s="331"/>
      <c r="G194" s="256"/>
      <c r="H194" s="256"/>
      <c r="I194" s="332"/>
      <c r="J194" s="333"/>
      <c r="K194" s="334"/>
      <c r="L194" s="484"/>
    </row>
    <row r="195" spans="1:12" ht="15" thickBot="1">
      <c r="A195" s="328"/>
      <c r="B195" s="257"/>
      <c r="C195" s="257"/>
      <c r="D195" s="329"/>
      <c r="E195" s="330"/>
      <c r="F195" s="331"/>
      <c r="G195" s="256"/>
      <c r="H195" s="256"/>
      <c r="I195" s="332"/>
      <c r="J195" s="333"/>
      <c r="K195" s="334"/>
      <c r="L195" s="484"/>
    </row>
    <row r="196" spans="1:12" ht="15" thickBot="1">
      <c r="A196" s="328"/>
      <c r="B196" s="257"/>
      <c r="C196" s="257"/>
      <c r="D196" s="329"/>
      <c r="E196" s="330"/>
      <c r="F196" s="331"/>
      <c r="G196" s="256"/>
      <c r="H196" s="256"/>
      <c r="I196" s="332"/>
      <c r="J196" s="333"/>
      <c r="K196" s="334"/>
      <c r="L196" s="484"/>
    </row>
    <row r="197" spans="1:12" ht="15" thickBot="1">
      <c r="A197" s="328"/>
      <c r="B197" s="257"/>
      <c r="C197" s="257"/>
      <c r="D197" s="329"/>
      <c r="E197" s="330"/>
      <c r="F197" s="331"/>
      <c r="G197" s="256"/>
      <c r="H197" s="256"/>
      <c r="I197" s="332"/>
      <c r="J197" s="333"/>
      <c r="K197" s="334"/>
      <c r="L197" s="484"/>
    </row>
    <row r="198" spans="1:12" ht="15" thickBot="1">
      <c r="A198" s="328"/>
      <c r="B198" s="257"/>
      <c r="C198" s="257"/>
      <c r="D198" s="329"/>
      <c r="E198" s="330"/>
      <c r="F198" s="331"/>
      <c r="G198" s="256"/>
      <c r="H198" s="256"/>
      <c r="I198" s="332"/>
      <c r="J198" s="333"/>
      <c r="K198" s="334"/>
      <c r="L198" s="484"/>
    </row>
    <row r="199" spans="1:12" ht="15" thickBot="1">
      <c r="A199" s="328"/>
      <c r="B199" s="257"/>
      <c r="C199" s="257"/>
      <c r="D199" s="329"/>
      <c r="E199" s="330"/>
      <c r="F199" s="331"/>
      <c r="G199" s="256"/>
      <c r="H199" s="256"/>
      <c r="I199" s="332"/>
      <c r="J199" s="333"/>
      <c r="K199" s="334"/>
      <c r="L199" s="484"/>
    </row>
    <row r="200" spans="1:12" ht="15" thickBot="1">
      <c r="A200" s="328"/>
      <c r="B200" s="257"/>
      <c r="C200" s="257"/>
      <c r="D200" s="329"/>
      <c r="E200" s="330"/>
      <c r="F200" s="331"/>
      <c r="G200" s="256"/>
      <c r="H200" s="256"/>
      <c r="I200" s="332"/>
      <c r="J200" s="333"/>
      <c r="K200" s="334"/>
      <c r="L200" s="484"/>
    </row>
    <row r="201" spans="1:12" ht="15" thickBot="1">
      <c r="A201" s="328"/>
      <c r="B201" s="257"/>
      <c r="C201" s="257"/>
      <c r="D201" s="329"/>
      <c r="E201" s="330"/>
      <c r="F201" s="331"/>
      <c r="G201" s="256"/>
      <c r="H201" s="256"/>
      <c r="I201" s="332"/>
      <c r="J201" s="333"/>
      <c r="K201" s="334"/>
      <c r="L201" s="484"/>
    </row>
    <row r="202" spans="1:12" ht="15" thickBot="1">
      <c r="A202" s="328"/>
      <c r="B202" s="257"/>
      <c r="C202" s="257"/>
      <c r="D202" s="329"/>
      <c r="E202" s="330"/>
      <c r="F202" s="331"/>
      <c r="G202" s="256"/>
      <c r="H202" s="256"/>
      <c r="I202" s="332"/>
      <c r="J202" s="333"/>
      <c r="K202" s="334"/>
      <c r="L202" s="484"/>
    </row>
    <row r="203" spans="1:12" ht="15" thickBot="1">
      <c r="A203" s="328"/>
      <c r="B203" s="257"/>
      <c r="C203" s="257"/>
      <c r="D203" s="329"/>
      <c r="E203" s="330"/>
      <c r="F203" s="331"/>
      <c r="G203" s="256"/>
      <c r="H203" s="256"/>
      <c r="I203" s="332"/>
      <c r="J203" s="333"/>
      <c r="K203" s="334"/>
      <c r="L203" s="484"/>
    </row>
    <row r="204" spans="1:12" ht="15" thickBot="1">
      <c r="A204" s="328"/>
      <c r="B204" s="257"/>
      <c r="C204" s="257"/>
      <c r="D204" s="329"/>
      <c r="E204" s="330"/>
      <c r="F204" s="331"/>
      <c r="G204" s="256"/>
      <c r="H204" s="256"/>
      <c r="I204" s="332"/>
      <c r="J204" s="333"/>
      <c r="K204" s="334"/>
      <c r="L204" s="484"/>
    </row>
    <row r="205" spans="1:12" ht="15" thickBot="1">
      <c r="A205" s="328"/>
      <c r="B205" s="257"/>
      <c r="C205" s="257"/>
      <c r="D205" s="329"/>
      <c r="E205" s="330"/>
      <c r="F205" s="331"/>
      <c r="G205" s="256"/>
      <c r="H205" s="256"/>
      <c r="I205" s="332"/>
      <c r="J205" s="333"/>
      <c r="K205" s="334"/>
      <c r="L205" s="484"/>
    </row>
    <row r="206" spans="1:12" ht="15" thickBot="1">
      <c r="A206" s="328"/>
      <c r="B206" s="257"/>
      <c r="C206" s="257"/>
      <c r="D206" s="329"/>
      <c r="E206" s="330"/>
      <c r="F206" s="331"/>
      <c r="G206" s="256"/>
      <c r="H206" s="256"/>
      <c r="I206" s="332"/>
      <c r="J206" s="333"/>
      <c r="K206" s="334"/>
      <c r="L206" s="484"/>
    </row>
    <row r="207" spans="1:12" ht="15" thickBot="1">
      <c r="A207" s="328"/>
      <c r="B207" s="257"/>
      <c r="C207" s="257"/>
      <c r="D207" s="329"/>
      <c r="E207" s="330"/>
      <c r="F207" s="331"/>
      <c r="G207" s="256"/>
      <c r="H207" s="256"/>
      <c r="I207" s="332"/>
      <c r="J207" s="333"/>
      <c r="K207" s="334"/>
      <c r="L207" s="484"/>
    </row>
    <row r="208" spans="1:12" ht="15" thickBot="1">
      <c r="A208" s="328"/>
      <c r="B208" s="257"/>
      <c r="C208" s="257"/>
      <c r="D208" s="329"/>
      <c r="E208" s="330"/>
      <c r="F208" s="331"/>
      <c r="G208" s="256"/>
      <c r="H208" s="256"/>
      <c r="I208" s="332"/>
      <c r="J208" s="333"/>
      <c r="K208" s="334"/>
      <c r="L208" s="484"/>
    </row>
    <row r="209" spans="1:12" ht="15" thickBot="1">
      <c r="A209" s="328"/>
      <c r="B209" s="257"/>
      <c r="C209" s="257"/>
      <c r="D209" s="329"/>
      <c r="E209" s="330"/>
      <c r="F209" s="331"/>
      <c r="G209" s="256"/>
      <c r="H209" s="256"/>
      <c r="I209" s="332"/>
      <c r="J209" s="333"/>
      <c r="K209" s="334"/>
      <c r="L209" s="484"/>
    </row>
    <row r="210" spans="1:12" ht="15" thickBot="1">
      <c r="A210" s="328"/>
      <c r="B210" s="257"/>
      <c r="C210" s="257"/>
      <c r="D210" s="329"/>
      <c r="E210" s="330"/>
      <c r="F210" s="331"/>
      <c r="G210" s="256"/>
      <c r="H210" s="256"/>
      <c r="I210" s="332"/>
      <c r="J210" s="333"/>
      <c r="K210" s="334"/>
      <c r="L210" s="484"/>
    </row>
    <row r="211" spans="1:12" ht="15" thickBot="1">
      <c r="A211" s="328"/>
      <c r="B211" s="257"/>
      <c r="C211" s="257"/>
      <c r="D211" s="329"/>
      <c r="E211" s="330"/>
      <c r="F211" s="331"/>
      <c r="G211" s="256"/>
      <c r="H211" s="256"/>
      <c r="I211" s="332"/>
      <c r="J211" s="333"/>
      <c r="K211" s="334"/>
      <c r="L211" s="484"/>
    </row>
    <row r="212" spans="1:12" ht="15" thickBot="1">
      <c r="A212" s="328"/>
      <c r="B212" s="257"/>
      <c r="C212" s="257"/>
      <c r="D212" s="329"/>
      <c r="E212" s="330"/>
      <c r="F212" s="331"/>
      <c r="G212" s="256"/>
      <c r="H212" s="256"/>
      <c r="I212" s="332"/>
      <c r="J212" s="333"/>
      <c r="K212" s="334"/>
      <c r="L212" s="484"/>
    </row>
    <row r="213" spans="1:12" ht="15" thickBot="1">
      <c r="A213" s="328"/>
      <c r="B213" s="257"/>
      <c r="C213" s="257"/>
      <c r="D213" s="329"/>
      <c r="E213" s="330"/>
      <c r="F213" s="331"/>
      <c r="G213" s="256"/>
      <c r="H213" s="256"/>
      <c r="I213" s="332"/>
      <c r="J213" s="333"/>
      <c r="K213" s="334"/>
      <c r="L213" s="484"/>
    </row>
    <row r="214" spans="1:12" ht="15" thickBot="1">
      <c r="A214" s="328"/>
      <c r="B214" s="257"/>
      <c r="C214" s="257"/>
      <c r="D214" s="329"/>
      <c r="E214" s="330"/>
      <c r="F214" s="331"/>
      <c r="G214" s="256"/>
      <c r="H214" s="256"/>
      <c r="I214" s="332"/>
      <c r="J214" s="333"/>
      <c r="K214" s="334"/>
      <c r="L214" s="484"/>
    </row>
    <row r="215" spans="1:12" ht="15" thickBot="1">
      <c r="A215" s="328"/>
      <c r="B215" s="257"/>
      <c r="C215" s="257"/>
      <c r="D215" s="329"/>
      <c r="E215" s="330"/>
      <c r="F215" s="331"/>
      <c r="G215" s="256"/>
      <c r="H215" s="256"/>
      <c r="I215" s="332"/>
      <c r="J215" s="333"/>
      <c r="K215" s="334"/>
      <c r="L215" s="484"/>
    </row>
    <row r="216" spans="1:12" ht="15" thickBot="1">
      <c r="A216" s="328"/>
      <c r="B216" s="257"/>
      <c r="C216" s="257"/>
      <c r="D216" s="329"/>
      <c r="E216" s="330"/>
      <c r="F216" s="331"/>
      <c r="G216" s="256"/>
      <c r="H216" s="256"/>
      <c r="I216" s="332"/>
      <c r="J216" s="333"/>
      <c r="K216" s="334"/>
      <c r="L216" s="484"/>
    </row>
    <row r="217" spans="1:12" ht="15" thickBot="1">
      <c r="A217" s="328"/>
      <c r="B217" s="257"/>
      <c r="C217" s="257"/>
      <c r="D217" s="329"/>
      <c r="E217" s="330"/>
      <c r="F217" s="331"/>
      <c r="G217" s="256"/>
      <c r="H217" s="256"/>
      <c r="I217" s="332"/>
      <c r="J217" s="333"/>
      <c r="K217" s="334"/>
      <c r="L217" s="484"/>
    </row>
    <row r="218" spans="1:12" ht="15" thickBot="1">
      <c r="A218" s="328"/>
      <c r="B218" s="257"/>
      <c r="C218" s="257"/>
      <c r="D218" s="329"/>
      <c r="E218" s="330"/>
      <c r="F218" s="331"/>
      <c r="G218" s="256"/>
      <c r="H218" s="256"/>
      <c r="I218" s="332"/>
      <c r="J218" s="333"/>
      <c r="K218" s="334"/>
      <c r="L218" s="484"/>
    </row>
    <row r="219" spans="1:12" ht="15" thickBot="1">
      <c r="A219" s="328"/>
      <c r="B219" s="257"/>
      <c r="C219" s="257"/>
      <c r="D219" s="329"/>
      <c r="E219" s="330"/>
      <c r="F219" s="331"/>
      <c r="G219" s="256"/>
      <c r="H219" s="256"/>
      <c r="I219" s="332"/>
      <c r="J219" s="333"/>
      <c r="K219" s="334"/>
      <c r="L219" s="484"/>
    </row>
    <row r="220" spans="1:12" ht="15" thickBot="1">
      <c r="A220" s="328"/>
      <c r="B220" s="257"/>
      <c r="C220" s="257"/>
      <c r="D220" s="329"/>
      <c r="E220" s="330"/>
      <c r="F220" s="331"/>
      <c r="G220" s="256"/>
      <c r="H220" s="256"/>
      <c r="I220" s="332"/>
      <c r="J220" s="333"/>
      <c r="K220" s="334"/>
      <c r="L220" s="484"/>
    </row>
    <row r="221" spans="1:12" ht="15" thickBot="1">
      <c r="A221" s="328"/>
      <c r="B221" s="257"/>
      <c r="C221" s="257"/>
      <c r="D221" s="329"/>
      <c r="E221" s="330"/>
      <c r="F221" s="331"/>
      <c r="G221" s="256"/>
      <c r="H221" s="256"/>
      <c r="I221" s="332"/>
      <c r="J221" s="333"/>
      <c r="K221" s="334"/>
      <c r="L221" s="484"/>
    </row>
    <row r="222" spans="1:12" ht="15" thickBot="1">
      <c r="A222" s="328"/>
      <c r="B222" s="257"/>
      <c r="C222" s="257"/>
      <c r="D222" s="329"/>
      <c r="E222" s="330"/>
      <c r="F222" s="331"/>
      <c r="G222" s="256"/>
      <c r="H222" s="256"/>
      <c r="I222" s="332"/>
      <c r="J222" s="333"/>
      <c r="K222" s="334"/>
      <c r="L222" s="484"/>
    </row>
    <row r="223" spans="1:12" ht="15" thickBot="1">
      <c r="A223" s="328"/>
      <c r="B223" s="257"/>
      <c r="C223" s="257"/>
      <c r="D223" s="329"/>
      <c r="E223" s="330"/>
      <c r="F223" s="331"/>
      <c r="G223" s="256"/>
      <c r="H223" s="256"/>
      <c r="I223" s="332"/>
      <c r="J223" s="333"/>
      <c r="K223" s="334"/>
      <c r="L223" s="484"/>
    </row>
    <row r="224" spans="1:12" ht="15" thickBot="1">
      <c r="A224" s="328"/>
      <c r="B224" s="257"/>
      <c r="C224" s="257"/>
      <c r="D224" s="329"/>
      <c r="E224" s="330"/>
      <c r="F224" s="331"/>
      <c r="G224" s="256"/>
      <c r="H224" s="256"/>
      <c r="I224" s="332"/>
      <c r="J224" s="333"/>
      <c r="K224" s="334"/>
      <c r="L224" s="484"/>
    </row>
    <row r="225" spans="1:12" ht="15" thickBot="1">
      <c r="A225" s="328"/>
      <c r="B225" s="257"/>
      <c r="C225" s="257"/>
      <c r="D225" s="329"/>
      <c r="E225" s="330"/>
      <c r="F225" s="331"/>
      <c r="G225" s="256"/>
      <c r="H225" s="256"/>
      <c r="I225" s="332"/>
      <c r="J225" s="333"/>
      <c r="K225" s="334"/>
      <c r="L225" s="484"/>
    </row>
    <row r="226" spans="1:12" ht="15" thickBot="1">
      <c r="A226" s="328"/>
      <c r="B226" s="257"/>
      <c r="C226" s="257"/>
      <c r="D226" s="329"/>
      <c r="E226" s="330"/>
      <c r="F226" s="331"/>
      <c r="G226" s="256"/>
      <c r="H226" s="256"/>
      <c r="I226" s="332"/>
      <c r="J226" s="333"/>
      <c r="K226" s="334"/>
      <c r="L226" s="484"/>
    </row>
    <row r="227" spans="1:12" ht="15" thickBot="1">
      <c r="A227" s="328"/>
      <c r="B227" s="257"/>
      <c r="C227" s="257"/>
      <c r="D227" s="329"/>
      <c r="E227" s="330"/>
      <c r="F227" s="331"/>
      <c r="G227" s="256"/>
      <c r="H227" s="256"/>
      <c r="I227" s="332"/>
      <c r="J227" s="333"/>
      <c r="K227" s="334"/>
      <c r="L227" s="484"/>
    </row>
    <row r="228" spans="1:12" ht="15" thickBot="1">
      <c r="A228" s="328"/>
      <c r="B228" s="257"/>
      <c r="C228" s="257"/>
      <c r="D228" s="329"/>
      <c r="E228" s="330"/>
      <c r="F228" s="331"/>
      <c r="G228" s="256"/>
      <c r="H228" s="256"/>
      <c r="I228" s="332"/>
      <c r="J228" s="333"/>
      <c r="K228" s="334"/>
      <c r="L228" s="484"/>
    </row>
    <row r="229" spans="1:12" ht="15" thickBot="1">
      <c r="A229" s="328"/>
      <c r="B229" s="257"/>
      <c r="C229" s="257"/>
      <c r="D229" s="329"/>
      <c r="E229" s="330"/>
      <c r="F229" s="331"/>
      <c r="G229" s="256"/>
      <c r="H229" s="256"/>
      <c r="I229" s="332"/>
      <c r="J229" s="333"/>
      <c r="K229" s="334"/>
      <c r="L229" s="484"/>
    </row>
    <row r="230" spans="1:12" ht="15" thickBot="1">
      <c r="A230" s="328"/>
      <c r="B230" s="257"/>
      <c r="C230" s="257"/>
      <c r="D230" s="329"/>
      <c r="E230" s="330"/>
      <c r="F230" s="331"/>
      <c r="G230" s="256"/>
      <c r="H230" s="256"/>
      <c r="I230" s="332"/>
      <c r="J230" s="333"/>
      <c r="K230" s="334"/>
      <c r="L230" s="484"/>
    </row>
    <row r="231" spans="1:12" ht="15" thickBot="1">
      <c r="A231" s="328"/>
      <c r="B231" s="257"/>
      <c r="C231" s="257"/>
      <c r="D231" s="329"/>
      <c r="E231" s="330"/>
      <c r="F231" s="331"/>
      <c r="G231" s="256"/>
      <c r="H231" s="256"/>
      <c r="I231" s="332"/>
      <c r="J231" s="333"/>
      <c r="K231" s="334"/>
      <c r="L231" s="484"/>
    </row>
    <row r="232" spans="1:12" ht="15" thickBot="1">
      <c r="A232" s="328"/>
      <c r="B232" s="257"/>
      <c r="C232" s="257"/>
      <c r="D232" s="329"/>
      <c r="E232" s="330"/>
      <c r="F232" s="331"/>
      <c r="G232" s="256"/>
      <c r="H232" s="256"/>
      <c r="I232" s="332"/>
      <c r="J232" s="333"/>
      <c r="K232" s="334"/>
      <c r="L232" s="484"/>
    </row>
    <row r="233" spans="1:12" ht="15" thickBot="1">
      <c r="A233" s="328"/>
      <c r="B233" s="257"/>
      <c r="C233" s="257"/>
      <c r="D233" s="329"/>
      <c r="E233" s="330"/>
      <c r="F233" s="331"/>
      <c r="G233" s="256"/>
      <c r="H233" s="256"/>
      <c r="I233" s="332"/>
      <c r="J233" s="333"/>
      <c r="K233" s="334"/>
      <c r="L233" s="484"/>
    </row>
    <row r="234" spans="1:12" ht="15" thickBot="1">
      <c r="A234" s="328"/>
      <c r="B234" s="257"/>
      <c r="C234" s="257"/>
      <c r="D234" s="329"/>
      <c r="E234" s="330"/>
      <c r="F234" s="331"/>
      <c r="G234" s="256"/>
      <c r="H234" s="256"/>
      <c r="I234" s="332"/>
      <c r="J234" s="333"/>
      <c r="K234" s="334"/>
      <c r="L234" s="484"/>
    </row>
    <row r="235" spans="1:12" ht="15" thickBot="1">
      <c r="A235" s="328"/>
      <c r="B235" s="257"/>
      <c r="C235" s="257"/>
      <c r="D235" s="329"/>
      <c r="E235" s="330"/>
      <c r="F235" s="331"/>
      <c r="G235" s="256"/>
      <c r="H235" s="256"/>
      <c r="I235" s="332"/>
      <c r="J235" s="333"/>
      <c r="K235" s="334"/>
      <c r="L235" s="484"/>
    </row>
    <row r="236" spans="1:12" ht="15" thickBot="1">
      <c r="A236" s="328"/>
      <c r="B236" s="257"/>
      <c r="C236" s="257"/>
      <c r="D236" s="329"/>
      <c r="E236" s="330"/>
      <c r="F236" s="331"/>
      <c r="G236" s="256"/>
      <c r="H236" s="256"/>
      <c r="I236" s="332"/>
      <c r="J236" s="333"/>
      <c r="K236" s="334"/>
      <c r="L236" s="484"/>
    </row>
    <row r="237" spans="1:12" ht="15" thickBot="1">
      <c r="A237" s="328"/>
      <c r="B237" s="257"/>
      <c r="C237" s="257"/>
      <c r="D237" s="329"/>
      <c r="E237" s="330"/>
      <c r="F237" s="331"/>
      <c r="G237" s="256"/>
      <c r="H237" s="256"/>
      <c r="I237" s="332"/>
      <c r="J237" s="333"/>
      <c r="K237" s="334"/>
      <c r="L237" s="484"/>
    </row>
    <row r="238" spans="1:12" ht="15" thickBot="1">
      <c r="A238" s="328"/>
      <c r="B238" s="257"/>
      <c r="C238" s="257"/>
      <c r="D238" s="329"/>
      <c r="E238" s="330"/>
      <c r="F238" s="331"/>
      <c r="G238" s="256"/>
      <c r="H238" s="256"/>
      <c r="I238" s="332"/>
      <c r="J238" s="333"/>
      <c r="K238" s="334"/>
      <c r="L238" s="484"/>
    </row>
    <row r="239" spans="1:12" ht="15" thickBot="1">
      <c r="A239" s="328"/>
      <c r="B239" s="257"/>
      <c r="C239" s="257"/>
      <c r="D239" s="329"/>
      <c r="E239" s="330"/>
      <c r="F239" s="331"/>
      <c r="G239" s="256"/>
      <c r="H239" s="256"/>
      <c r="I239" s="332"/>
      <c r="J239" s="333"/>
      <c r="K239" s="334"/>
      <c r="L239" s="484"/>
    </row>
    <row r="240" spans="1:12" ht="15" thickBot="1">
      <c r="A240" s="328"/>
      <c r="B240" s="257"/>
      <c r="C240" s="257"/>
      <c r="D240" s="329"/>
      <c r="E240" s="330"/>
      <c r="F240" s="331"/>
      <c r="G240" s="256"/>
      <c r="H240" s="256"/>
      <c r="I240" s="332"/>
      <c r="J240" s="333"/>
      <c r="K240" s="334"/>
      <c r="L240" s="484"/>
    </row>
    <row r="241" spans="1:12" ht="15" thickBot="1">
      <c r="A241" s="328"/>
      <c r="B241" s="257"/>
      <c r="C241" s="257"/>
      <c r="D241" s="329"/>
      <c r="E241" s="330"/>
      <c r="F241" s="331"/>
      <c r="G241" s="256"/>
      <c r="H241" s="256"/>
      <c r="I241" s="332"/>
      <c r="J241" s="333"/>
      <c r="K241" s="334"/>
      <c r="L241" s="484"/>
    </row>
    <row r="242" spans="1:12" ht="15" thickBot="1">
      <c r="A242" s="328"/>
      <c r="B242" s="257"/>
      <c r="C242" s="257"/>
      <c r="D242" s="329"/>
      <c r="E242" s="330"/>
      <c r="F242" s="331"/>
      <c r="G242" s="256"/>
      <c r="H242" s="256"/>
      <c r="I242" s="332"/>
      <c r="J242" s="333"/>
      <c r="K242" s="334"/>
      <c r="L242" s="484"/>
    </row>
    <row r="243" spans="1:12" ht="15" thickBot="1">
      <c r="A243" s="328"/>
      <c r="B243" s="257"/>
      <c r="C243" s="257"/>
      <c r="D243" s="329"/>
      <c r="E243" s="330"/>
      <c r="F243" s="331"/>
      <c r="G243" s="256"/>
      <c r="H243" s="256"/>
      <c r="I243" s="332"/>
      <c r="J243" s="333"/>
      <c r="K243" s="334"/>
      <c r="L243" s="484"/>
    </row>
    <row r="244" spans="1:12" ht="15" thickBot="1">
      <c r="A244" s="328"/>
      <c r="B244" s="257"/>
      <c r="C244" s="257"/>
      <c r="D244" s="329"/>
      <c r="E244" s="330"/>
      <c r="F244" s="331"/>
      <c r="G244" s="256"/>
      <c r="H244" s="256"/>
      <c r="I244" s="332"/>
      <c r="J244" s="333"/>
      <c r="K244" s="334"/>
      <c r="L244" s="484"/>
    </row>
    <row r="245" spans="1:12" ht="15" thickBot="1">
      <c r="A245" s="328"/>
      <c r="B245" s="257"/>
      <c r="C245" s="257"/>
      <c r="D245" s="329"/>
      <c r="E245" s="330"/>
      <c r="F245" s="331"/>
      <c r="G245" s="256"/>
      <c r="H245" s="256"/>
      <c r="I245" s="332"/>
      <c r="J245" s="333"/>
      <c r="K245" s="334"/>
      <c r="L245" s="484"/>
    </row>
    <row r="246" spans="1:12" ht="15" thickBot="1">
      <c r="A246" s="328"/>
      <c r="B246" s="257"/>
      <c r="C246" s="257"/>
      <c r="D246" s="329"/>
      <c r="E246" s="330"/>
      <c r="F246" s="331"/>
      <c r="G246" s="256"/>
      <c r="H246" s="256"/>
      <c r="I246" s="332"/>
      <c r="J246" s="333"/>
      <c r="K246" s="334"/>
      <c r="L246" s="484"/>
    </row>
    <row r="247" spans="1:12" ht="15" thickBot="1">
      <c r="A247" s="328"/>
      <c r="B247" s="257"/>
      <c r="C247" s="257"/>
      <c r="D247" s="329"/>
      <c r="E247" s="330"/>
      <c r="F247" s="331"/>
      <c r="G247" s="256"/>
      <c r="H247" s="256"/>
      <c r="I247" s="332"/>
      <c r="J247" s="333"/>
      <c r="K247" s="334"/>
      <c r="L247" s="484"/>
    </row>
    <row r="248" spans="1:12" ht="15" thickBot="1">
      <c r="A248" s="328"/>
      <c r="B248" s="257"/>
      <c r="C248" s="257"/>
      <c r="D248" s="329"/>
      <c r="E248" s="330"/>
      <c r="F248" s="331"/>
      <c r="G248" s="256"/>
      <c r="H248" s="256"/>
      <c r="I248" s="332"/>
      <c r="J248" s="333"/>
      <c r="K248" s="334"/>
      <c r="L248" s="484"/>
    </row>
    <row r="249" spans="1:12" ht="15" thickBot="1">
      <c r="A249" s="328"/>
      <c r="B249" s="257"/>
      <c r="C249" s="257"/>
      <c r="D249" s="329"/>
      <c r="E249" s="330"/>
      <c r="F249" s="331"/>
      <c r="G249" s="256"/>
      <c r="H249" s="256"/>
      <c r="I249" s="332"/>
      <c r="J249" s="333"/>
      <c r="K249" s="334"/>
      <c r="L249" s="484"/>
    </row>
    <row r="250" spans="1:12" ht="15" thickBot="1">
      <c r="A250" s="328"/>
      <c r="B250" s="257"/>
      <c r="C250" s="257"/>
      <c r="D250" s="329"/>
      <c r="E250" s="330"/>
      <c r="F250" s="331"/>
      <c r="G250" s="256"/>
      <c r="H250" s="256"/>
      <c r="I250" s="332"/>
      <c r="J250" s="333"/>
      <c r="K250" s="334"/>
      <c r="L250" s="484"/>
    </row>
    <row r="251" spans="1:12" ht="15" thickBot="1">
      <c r="A251" s="328"/>
      <c r="B251" s="257"/>
      <c r="C251" s="257"/>
      <c r="D251" s="329"/>
      <c r="E251" s="330"/>
      <c r="F251" s="331"/>
      <c r="G251" s="256"/>
      <c r="H251" s="256"/>
      <c r="I251" s="332"/>
      <c r="J251" s="333"/>
      <c r="K251" s="334"/>
      <c r="L251" s="484"/>
    </row>
    <row r="252" spans="1:12" ht="15" thickBot="1">
      <c r="A252" s="328"/>
      <c r="B252" s="257"/>
      <c r="C252" s="257"/>
      <c r="D252" s="329"/>
      <c r="E252" s="330"/>
      <c r="F252" s="331"/>
      <c r="G252" s="256"/>
      <c r="H252" s="256"/>
      <c r="I252" s="332"/>
      <c r="J252" s="333"/>
      <c r="K252" s="334"/>
      <c r="L252" s="484"/>
    </row>
    <row r="253" spans="1:12" ht="15" thickBot="1">
      <c r="A253" s="328"/>
      <c r="B253" s="257"/>
      <c r="C253" s="257"/>
      <c r="D253" s="329"/>
      <c r="E253" s="330"/>
      <c r="F253" s="331"/>
      <c r="G253" s="256"/>
      <c r="H253" s="256"/>
      <c r="I253" s="332"/>
      <c r="J253" s="333"/>
      <c r="K253" s="334"/>
      <c r="L253" s="484"/>
    </row>
    <row r="254" spans="1:12" ht="15" thickBot="1">
      <c r="A254" s="328"/>
      <c r="B254" s="257"/>
      <c r="C254" s="257"/>
      <c r="D254" s="329"/>
      <c r="E254" s="330"/>
      <c r="F254" s="331"/>
      <c r="G254" s="256"/>
      <c r="H254" s="256"/>
      <c r="I254" s="332"/>
      <c r="J254" s="333"/>
      <c r="K254" s="334"/>
      <c r="L254" s="484"/>
    </row>
    <row r="255" spans="1:12" ht="15" thickBot="1">
      <c r="A255" s="328"/>
      <c r="B255" s="257"/>
      <c r="C255" s="257"/>
      <c r="D255" s="329"/>
      <c r="E255" s="330"/>
      <c r="F255" s="331"/>
      <c r="G255" s="256"/>
      <c r="H255" s="256"/>
      <c r="I255" s="332"/>
      <c r="J255" s="333"/>
      <c r="K255" s="334"/>
      <c r="L255" s="484"/>
    </row>
    <row r="256" spans="1:12" ht="15" thickBot="1">
      <c r="A256" s="328"/>
      <c r="B256" s="257"/>
      <c r="C256" s="257"/>
      <c r="D256" s="329"/>
      <c r="E256" s="330"/>
      <c r="F256" s="331"/>
      <c r="G256" s="256"/>
      <c r="H256" s="256"/>
      <c r="I256" s="332"/>
      <c r="J256" s="333"/>
      <c r="K256" s="334"/>
      <c r="L256" s="484"/>
    </row>
    <row r="257" spans="1:12" ht="15" thickBot="1">
      <c r="A257" s="328"/>
      <c r="B257" s="257"/>
      <c r="C257" s="257"/>
      <c r="D257" s="329"/>
      <c r="E257" s="330"/>
      <c r="F257" s="331"/>
      <c r="G257" s="256"/>
      <c r="H257" s="256"/>
      <c r="I257" s="332"/>
      <c r="J257" s="333"/>
      <c r="K257" s="334"/>
      <c r="L257" s="484"/>
    </row>
    <row r="258" spans="1:12" ht="15" thickBot="1">
      <c r="A258" s="328"/>
      <c r="B258" s="257"/>
      <c r="C258" s="257"/>
      <c r="D258" s="329"/>
      <c r="E258" s="330"/>
      <c r="F258" s="331"/>
      <c r="G258" s="256"/>
      <c r="H258" s="256"/>
      <c r="I258" s="332"/>
      <c r="J258" s="333"/>
      <c r="K258" s="334"/>
      <c r="L258" s="484"/>
    </row>
    <row r="259" spans="1:12" ht="15" thickBot="1">
      <c r="A259" s="328"/>
      <c r="B259" s="257"/>
      <c r="C259" s="257"/>
      <c r="D259" s="329"/>
      <c r="E259" s="330"/>
      <c r="F259" s="331"/>
      <c r="G259" s="256"/>
      <c r="H259" s="256"/>
      <c r="I259" s="332"/>
      <c r="J259" s="333"/>
      <c r="K259" s="334"/>
      <c r="L259" s="484"/>
    </row>
    <row r="260" spans="1:12" ht="15" thickBot="1">
      <c r="A260" s="328"/>
      <c r="B260" s="257"/>
      <c r="C260" s="257"/>
      <c r="D260" s="329"/>
      <c r="E260" s="330"/>
      <c r="F260" s="331"/>
      <c r="G260" s="256"/>
      <c r="H260" s="256"/>
      <c r="I260" s="332"/>
      <c r="J260" s="333"/>
      <c r="K260" s="334"/>
      <c r="L260" s="484"/>
    </row>
    <row r="261" spans="1:12" ht="15" thickBot="1">
      <c r="A261" s="328"/>
      <c r="B261" s="257"/>
      <c r="C261" s="257"/>
      <c r="D261" s="329"/>
      <c r="E261" s="330"/>
      <c r="F261" s="331"/>
      <c r="G261" s="256"/>
      <c r="H261" s="256"/>
      <c r="I261" s="332"/>
      <c r="J261" s="333"/>
      <c r="K261" s="334"/>
      <c r="L261" s="484"/>
    </row>
    <row r="262" spans="1:12" ht="15" thickBot="1">
      <c r="A262" s="328"/>
      <c r="B262" s="257"/>
      <c r="C262" s="257"/>
      <c r="D262" s="329"/>
      <c r="E262" s="330"/>
      <c r="F262" s="331"/>
      <c r="G262" s="256"/>
      <c r="H262" s="256"/>
      <c r="I262" s="332"/>
      <c r="J262" s="333"/>
      <c r="K262" s="334"/>
      <c r="L262" s="484"/>
    </row>
    <row r="263" spans="1:12" ht="15" thickBot="1">
      <c r="A263" s="328"/>
      <c r="B263" s="257"/>
      <c r="C263" s="257"/>
      <c r="D263" s="329"/>
      <c r="E263" s="330"/>
      <c r="F263" s="331"/>
      <c r="G263" s="256"/>
      <c r="H263" s="256"/>
      <c r="I263" s="332"/>
      <c r="J263" s="333"/>
      <c r="K263" s="334"/>
      <c r="L263" s="484"/>
    </row>
    <row r="264" spans="1:12" ht="15" thickBot="1">
      <c r="A264" s="328"/>
      <c r="B264" s="257"/>
      <c r="C264" s="257"/>
      <c r="D264" s="329"/>
      <c r="E264" s="330"/>
      <c r="F264" s="331"/>
      <c r="G264" s="256"/>
      <c r="H264" s="256"/>
      <c r="I264" s="332"/>
      <c r="J264" s="333"/>
      <c r="K264" s="334"/>
      <c r="L264" s="484"/>
    </row>
    <row r="265" spans="1:12" ht="15" thickBot="1">
      <c r="A265" s="328"/>
      <c r="B265" s="257"/>
      <c r="C265" s="257"/>
      <c r="D265" s="329"/>
      <c r="E265" s="330"/>
      <c r="F265" s="331"/>
      <c r="G265" s="256"/>
      <c r="H265" s="256"/>
      <c r="I265" s="332"/>
      <c r="J265" s="333"/>
      <c r="K265" s="334"/>
      <c r="L265" s="484"/>
    </row>
    <row r="266" spans="1:12" ht="15" thickBot="1">
      <c r="A266" s="328"/>
      <c r="B266" s="257"/>
      <c r="C266" s="257"/>
      <c r="D266" s="329"/>
      <c r="E266" s="330"/>
      <c r="F266" s="331"/>
      <c r="G266" s="256"/>
      <c r="H266" s="256"/>
      <c r="I266" s="332"/>
      <c r="J266" s="333"/>
      <c r="K266" s="334"/>
      <c r="L266" s="484"/>
    </row>
    <row r="267" spans="1:12" ht="15" thickBot="1">
      <c r="A267" s="328"/>
      <c r="B267" s="257"/>
      <c r="C267" s="257"/>
      <c r="D267" s="329"/>
      <c r="E267" s="330"/>
      <c r="F267" s="331"/>
      <c r="G267" s="256"/>
      <c r="H267" s="256"/>
      <c r="I267" s="332"/>
      <c r="J267" s="333"/>
      <c r="K267" s="334"/>
      <c r="L267" s="484"/>
    </row>
    <row r="268" spans="1:12" ht="15" thickBot="1">
      <c r="A268" s="328"/>
      <c r="B268" s="257"/>
      <c r="C268" s="257"/>
      <c r="D268" s="329"/>
      <c r="E268" s="330"/>
      <c r="F268" s="331"/>
      <c r="G268" s="256"/>
      <c r="H268" s="256"/>
      <c r="I268" s="332"/>
      <c r="J268" s="333"/>
      <c r="K268" s="334"/>
      <c r="L268" s="484"/>
    </row>
    <row r="269" spans="1:12" ht="15" thickBot="1">
      <c r="A269" s="328"/>
      <c r="B269" s="257"/>
      <c r="C269" s="257"/>
      <c r="D269" s="329"/>
      <c r="E269" s="330"/>
      <c r="F269" s="331"/>
      <c r="G269" s="256"/>
      <c r="H269" s="256"/>
      <c r="I269" s="332"/>
      <c r="J269" s="333"/>
      <c r="K269" s="334"/>
      <c r="L269" s="484"/>
    </row>
    <row r="270" spans="1:12" ht="15" thickBot="1">
      <c r="A270" s="328"/>
      <c r="B270" s="257"/>
      <c r="C270" s="257"/>
      <c r="D270" s="329"/>
      <c r="E270" s="330"/>
      <c r="F270" s="331"/>
      <c r="G270" s="256"/>
      <c r="H270" s="256"/>
      <c r="I270" s="332"/>
      <c r="J270" s="333"/>
      <c r="K270" s="334"/>
      <c r="L270" s="484"/>
    </row>
    <row r="271" spans="1:12" ht="15" thickBot="1">
      <c r="A271" s="328"/>
      <c r="B271" s="257"/>
      <c r="C271" s="257"/>
      <c r="D271" s="329"/>
      <c r="E271" s="330"/>
      <c r="F271" s="331"/>
      <c r="G271" s="256"/>
      <c r="H271" s="256"/>
      <c r="I271" s="332"/>
      <c r="J271" s="333"/>
      <c r="K271" s="334"/>
      <c r="L271" s="484"/>
    </row>
    <row r="272" spans="1:12" ht="15" thickBot="1">
      <c r="A272" s="328"/>
      <c r="B272" s="257"/>
      <c r="C272" s="257"/>
      <c r="D272" s="329"/>
      <c r="E272" s="330"/>
      <c r="F272" s="331"/>
      <c r="G272" s="256"/>
      <c r="H272" s="256"/>
      <c r="I272" s="332"/>
      <c r="J272" s="333"/>
      <c r="K272" s="334"/>
      <c r="L272" s="484"/>
    </row>
    <row r="273" spans="1:12" ht="15" thickBot="1">
      <c r="A273" s="328"/>
      <c r="B273" s="257"/>
      <c r="C273" s="257"/>
      <c r="D273" s="329"/>
      <c r="E273" s="330"/>
      <c r="F273" s="331"/>
      <c r="G273" s="256"/>
      <c r="H273" s="256"/>
      <c r="I273" s="332"/>
      <c r="J273" s="333"/>
      <c r="K273" s="334"/>
      <c r="L273" s="484"/>
    </row>
    <row r="274" spans="1:12" ht="15" thickBot="1">
      <c r="A274" s="328"/>
      <c r="B274" s="257"/>
      <c r="C274" s="257"/>
      <c r="D274" s="329"/>
      <c r="E274" s="330"/>
      <c r="F274" s="331"/>
      <c r="G274" s="256"/>
      <c r="H274" s="256"/>
      <c r="I274" s="332"/>
      <c r="J274" s="333"/>
      <c r="K274" s="334"/>
      <c r="L274" s="484"/>
    </row>
    <row r="275" spans="1:12" ht="15" thickBot="1">
      <c r="A275" s="328"/>
      <c r="B275" s="257"/>
      <c r="C275" s="257"/>
      <c r="D275" s="329"/>
      <c r="E275" s="330"/>
      <c r="F275" s="331"/>
      <c r="G275" s="256"/>
      <c r="H275" s="256"/>
      <c r="I275" s="332"/>
      <c r="J275" s="333"/>
      <c r="K275" s="334"/>
      <c r="L275" s="484"/>
    </row>
    <row r="276" spans="1:12" ht="15" thickBot="1">
      <c r="A276" s="328"/>
      <c r="B276" s="257"/>
      <c r="C276" s="257"/>
      <c r="D276" s="329"/>
      <c r="E276" s="330"/>
      <c r="F276" s="331"/>
      <c r="G276" s="256"/>
      <c r="H276" s="256"/>
      <c r="I276" s="332"/>
      <c r="J276" s="333"/>
      <c r="K276" s="334"/>
      <c r="L276" s="484"/>
    </row>
    <row r="277" spans="1:12" ht="15" thickBot="1">
      <c r="A277" s="328"/>
      <c r="B277" s="257"/>
      <c r="C277" s="257"/>
      <c r="D277" s="329"/>
      <c r="E277" s="330"/>
      <c r="F277" s="331"/>
      <c r="G277" s="256"/>
      <c r="H277" s="256"/>
      <c r="I277" s="332"/>
      <c r="J277" s="333"/>
      <c r="K277" s="334"/>
      <c r="L277" s="484"/>
    </row>
    <row r="278" spans="1:12" ht="15" thickBot="1">
      <c r="A278" s="328"/>
      <c r="B278" s="257"/>
      <c r="C278" s="257"/>
      <c r="D278" s="329"/>
      <c r="E278" s="330"/>
      <c r="F278" s="331"/>
      <c r="G278" s="256"/>
      <c r="H278" s="256"/>
      <c r="I278" s="332"/>
      <c r="J278" s="333"/>
      <c r="K278" s="334"/>
      <c r="L278" s="484"/>
    </row>
    <row r="279" spans="1:12" ht="15" thickBot="1">
      <c r="A279" s="328"/>
      <c r="B279" s="257"/>
      <c r="C279" s="257"/>
      <c r="D279" s="329"/>
      <c r="E279" s="330"/>
      <c r="F279" s="331"/>
      <c r="G279" s="256"/>
      <c r="H279" s="256"/>
      <c r="I279" s="332"/>
      <c r="J279" s="333"/>
      <c r="K279" s="334"/>
      <c r="L279" s="484"/>
    </row>
    <row r="280" spans="1:12" ht="15" thickBot="1">
      <c r="A280" s="328"/>
      <c r="B280" s="257"/>
      <c r="C280" s="257"/>
      <c r="D280" s="329"/>
      <c r="E280" s="330"/>
      <c r="F280" s="331"/>
      <c r="G280" s="256"/>
      <c r="H280" s="256"/>
      <c r="I280" s="332"/>
      <c r="J280" s="333"/>
      <c r="K280" s="334"/>
      <c r="L280" s="484"/>
    </row>
    <row r="281" spans="1:12" ht="15" thickBot="1">
      <c r="A281" s="328"/>
      <c r="B281" s="257"/>
      <c r="C281" s="257"/>
      <c r="D281" s="329"/>
      <c r="E281" s="330"/>
      <c r="F281" s="331"/>
      <c r="G281" s="256"/>
      <c r="H281" s="256"/>
      <c r="I281" s="332"/>
      <c r="J281" s="333"/>
      <c r="K281" s="334"/>
      <c r="L281" s="484"/>
    </row>
    <row r="282" spans="1:12" ht="15" thickBot="1">
      <c r="A282" s="328"/>
      <c r="B282" s="257"/>
      <c r="C282" s="257"/>
      <c r="D282" s="329"/>
      <c r="E282" s="330"/>
      <c r="F282" s="331"/>
      <c r="G282" s="256"/>
      <c r="H282" s="256"/>
      <c r="I282" s="332"/>
      <c r="J282" s="333"/>
      <c r="K282" s="334"/>
      <c r="L282" s="484"/>
    </row>
    <row r="283" spans="1:12" ht="15" thickBot="1">
      <c r="A283" s="328"/>
      <c r="B283" s="257"/>
      <c r="C283" s="257"/>
      <c r="D283" s="329"/>
      <c r="E283" s="330"/>
      <c r="F283" s="331"/>
      <c r="G283" s="256"/>
      <c r="H283" s="256"/>
      <c r="I283" s="332"/>
      <c r="J283" s="333"/>
      <c r="K283" s="334"/>
      <c r="L283" s="484"/>
    </row>
    <row r="284" spans="1:12" ht="15" thickBot="1">
      <c r="A284" s="328"/>
      <c r="B284" s="257"/>
      <c r="C284" s="257"/>
      <c r="D284" s="329"/>
      <c r="E284" s="330"/>
      <c r="F284" s="331"/>
      <c r="G284" s="256"/>
      <c r="H284" s="256"/>
      <c r="I284" s="332"/>
      <c r="J284" s="333"/>
      <c r="K284" s="334"/>
      <c r="L284" s="484"/>
    </row>
    <row r="285" spans="1:12" ht="15" thickBot="1">
      <c r="A285" s="328"/>
      <c r="B285" s="257"/>
      <c r="C285" s="257"/>
      <c r="D285" s="329"/>
      <c r="E285" s="330"/>
      <c r="F285" s="331"/>
      <c r="G285" s="256"/>
      <c r="H285" s="256"/>
      <c r="I285" s="332"/>
      <c r="J285" s="333"/>
      <c r="K285" s="334"/>
      <c r="L285" s="484"/>
    </row>
    <row r="286" spans="1:12" ht="15" thickBot="1">
      <c r="A286" s="328"/>
      <c r="B286" s="257"/>
      <c r="C286" s="257"/>
      <c r="D286" s="329"/>
      <c r="E286" s="330"/>
      <c r="F286" s="331"/>
      <c r="G286" s="256"/>
      <c r="H286" s="256"/>
      <c r="I286" s="332"/>
      <c r="J286" s="333"/>
      <c r="K286" s="334"/>
      <c r="L286" s="484"/>
    </row>
    <row r="287" spans="1:12" ht="15" thickBot="1">
      <c r="A287" s="328"/>
      <c r="B287" s="257"/>
      <c r="C287" s="257"/>
      <c r="D287" s="329"/>
      <c r="E287" s="330"/>
      <c r="F287" s="331"/>
      <c r="G287" s="256"/>
      <c r="H287" s="256"/>
      <c r="I287" s="332"/>
      <c r="J287" s="333"/>
      <c r="K287" s="334"/>
      <c r="L287" s="484"/>
    </row>
    <row r="288" spans="1:12" ht="15" thickBot="1">
      <c r="A288" s="328"/>
      <c r="B288" s="257"/>
      <c r="C288" s="257"/>
      <c r="D288" s="329"/>
      <c r="E288" s="330"/>
      <c r="F288" s="331"/>
      <c r="G288" s="256"/>
      <c r="H288" s="256"/>
      <c r="I288" s="332"/>
      <c r="J288" s="333"/>
      <c r="K288" s="334"/>
      <c r="L288" s="484"/>
    </row>
    <row r="289" spans="1:12" ht="15" thickBot="1">
      <c r="A289" s="328"/>
      <c r="B289" s="257"/>
      <c r="C289" s="257"/>
      <c r="D289" s="329"/>
      <c r="E289" s="330"/>
      <c r="F289" s="331"/>
      <c r="G289" s="256"/>
      <c r="H289" s="256"/>
      <c r="I289" s="332"/>
      <c r="J289" s="333"/>
      <c r="K289" s="334"/>
      <c r="L289" s="484"/>
    </row>
    <row r="290" spans="1:12" ht="15" thickBot="1">
      <c r="A290" s="328"/>
      <c r="B290" s="257"/>
      <c r="C290" s="257"/>
      <c r="D290" s="329"/>
      <c r="E290" s="330"/>
      <c r="F290" s="331"/>
      <c r="G290" s="256"/>
      <c r="H290" s="256"/>
      <c r="I290" s="332"/>
      <c r="J290" s="333"/>
      <c r="K290" s="334"/>
      <c r="L290" s="484"/>
    </row>
    <row r="291" spans="1:12" ht="15" thickBot="1">
      <c r="A291" s="328"/>
      <c r="B291" s="257"/>
      <c r="C291" s="257"/>
      <c r="D291" s="329"/>
      <c r="E291" s="330"/>
      <c r="F291" s="331"/>
      <c r="G291" s="256"/>
      <c r="H291" s="256"/>
      <c r="I291" s="332"/>
      <c r="J291" s="333"/>
      <c r="K291" s="334"/>
      <c r="L291" s="484"/>
    </row>
    <row r="292" spans="1:12" ht="15" thickBot="1">
      <c r="A292" s="328"/>
      <c r="B292" s="257"/>
      <c r="C292" s="257"/>
      <c r="D292" s="329"/>
      <c r="E292" s="330"/>
      <c r="F292" s="331"/>
      <c r="G292" s="256"/>
      <c r="H292" s="256"/>
      <c r="I292" s="332"/>
      <c r="J292" s="333"/>
      <c r="K292" s="334"/>
      <c r="L292" s="484"/>
    </row>
    <row r="293" spans="1:12" ht="15" thickBot="1">
      <c r="A293" s="328"/>
      <c r="B293" s="257"/>
      <c r="C293" s="257"/>
      <c r="D293" s="329"/>
      <c r="E293" s="330"/>
      <c r="F293" s="331"/>
      <c r="G293" s="256"/>
      <c r="H293" s="256"/>
      <c r="I293" s="332"/>
      <c r="J293" s="333"/>
      <c r="K293" s="334"/>
      <c r="L293" s="484"/>
    </row>
    <row r="294" spans="1:12" ht="15" thickBot="1">
      <c r="A294" s="328"/>
      <c r="B294" s="257"/>
      <c r="C294" s="257"/>
      <c r="D294" s="329"/>
      <c r="E294" s="330"/>
      <c r="F294" s="331"/>
      <c r="G294" s="256"/>
      <c r="H294" s="256"/>
      <c r="I294" s="332"/>
      <c r="J294" s="333"/>
      <c r="K294" s="334"/>
      <c r="L294" s="484"/>
    </row>
    <row r="295" spans="1:12" ht="15" thickBot="1">
      <c r="A295" s="328"/>
      <c r="B295" s="257"/>
      <c r="C295" s="257"/>
      <c r="D295" s="329"/>
      <c r="E295" s="330"/>
      <c r="F295" s="331"/>
      <c r="G295" s="256"/>
      <c r="H295" s="256"/>
      <c r="I295" s="332"/>
      <c r="J295" s="333"/>
      <c r="K295" s="334"/>
      <c r="L295" s="484"/>
    </row>
    <row r="296" spans="1:12" ht="15" thickBot="1">
      <c r="A296" s="328"/>
      <c r="B296" s="257"/>
      <c r="C296" s="257"/>
      <c r="D296" s="329"/>
      <c r="E296" s="330"/>
      <c r="F296" s="331"/>
      <c r="G296" s="256"/>
      <c r="H296" s="256"/>
      <c r="I296" s="332"/>
      <c r="J296" s="333"/>
      <c r="K296" s="334"/>
      <c r="L296" s="484"/>
    </row>
    <row r="297" spans="1:12" ht="15" thickBot="1">
      <c r="A297" s="328"/>
      <c r="B297" s="257"/>
      <c r="C297" s="257"/>
      <c r="D297" s="329"/>
      <c r="E297" s="330"/>
      <c r="F297" s="331"/>
      <c r="G297" s="256"/>
      <c r="H297" s="256"/>
      <c r="I297" s="332"/>
      <c r="J297" s="333"/>
      <c r="K297" s="334"/>
      <c r="L297" s="484"/>
    </row>
    <row r="298" spans="1:12" ht="15" thickBot="1">
      <c r="A298" s="328"/>
      <c r="B298" s="257"/>
      <c r="C298" s="257"/>
      <c r="D298" s="329"/>
      <c r="E298" s="330"/>
      <c r="F298" s="331"/>
      <c r="G298" s="256"/>
      <c r="H298" s="256"/>
      <c r="I298" s="332"/>
      <c r="J298" s="333"/>
      <c r="K298" s="334"/>
      <c r="L298" s="484"/>
    </row>
    <row r="299" spans="1:12" ht="15" thickBot="1">
      <c r="A299" s="328"/>
      <c r="B299" s="257"/>
      <c r="C299" s="257"/>
      <c r="D299" s="329"/>
      <c r="E299" s="330"/>
      <c r="F299" s="331"/>
      <c r="G299" s="256"/>
      <c r="H299" s="256"/>
      <c r="I299" s="332"/>
      <c r="J299" s="333"/>
      <c r="K299" s="334"/>
      <c r="L299" s="484"/>
    </row>
    <row r="300" spans="1:12" ht="15" thickBot="1">
      <c r="A300" s="328"/>
      <c r="B300" s="257"/>
      <c r="C300" s="257"/>
      <c r="D300" s="329"/>
      <c r="E300" s="330"/>
      <c r="F300" s="331"/>
      <c r="G300" s="256"/>
      <c r="H300" s="256"/>
      <c r="I300" s="332"/>
      <c r="J300" s="333"/>
      <c r="K300" s="334"/>
      <c r="L300" s="484"/>
    </row>
    <row r="301" spans="1:12" ht="15" thickBot="1">
      <c r="A301" s="328"/>
      <c r="B301" s="257"/>
      <c r="C301" s="257"/>
      <c r="D301" s="329"/>
      <c r="E301" s="330"/>
      <c r="F301" s="331"/>
      <c r="G301" s="256"/>
      <c r="H301" s="256"/>
      <c r="I301" s="332"/>
      <c r="J301" s="333"/>
      <c r="K301" s="334"/>
      <c r="L301" s="484"/>
    </row>
    <row r="302" spans="1:12" ht="15" thickBot="1">
      <c r="A302" s="328"/>
      <c r="B302" s="257"/>
      <c r="C302" s="257"/>
      <c r="D302" s="329"/>
      <c r="E302" s="330"/>
      <c r="F302" s="331"/>
      <c r="G302" s="256"/>
      <c r="H302" s="256"/>
      <c r="I302" s="332"/>
      <c r="J302" s="333"/>
      <c r="K302" s="334"/>
      <c r="L302" s="484"/>
    </row>
    <row r="303" spans="1:12" ht="15" thickBot="1">
      <c r="A303" s="328"/>
      <c r="B303" s="257"/>
      <c r="C303" s="257"/>
      <c r="D303" s="329"/>
      <c r="E303" s="330"/>
      <c r="F303" s="331"/>
      <c r="G303" s="256"/>
      <c r="H303" s="256"/>
      <c r="I303" s="332"/>
      <c r="J303" s="333"/>
      <c r="K303" s="334"/>
      <c r="L303" s="484"/>
    </row>
    <row r="304" spans="1:12" ht="15" thickBot="1">
      <c r="A304" s="328"/>
      <c r="B304" s="257"/>
      <c r="C304" s="257"/>
      <c r="D304" s="329"/>
      <c r="E304" s="330"/>
      <c r="F304" s="331"/>
      <c r="G304" s="256"/>
      <c r="H304" s="256"/>
      <c r="I304" s="332"/>
      <c r="J304" s="333"/>
      <c r="K304" s="334"/>
      <c r="L304" s="484"/>
    </row>
    <row r="305" spans="1:12" ht="15" thickBot="1">
      <c r="A305" s="328"/>
      <c r="B305" s="257"/>
      <c r="C305" s="257"/>
      <c r="D305" s="329"/>
      <c r="E305" s="330"/>
      <c r="F305" s="331"/>
      <c r="G305" s="256"/>
      <c r="H305" s="256"/>
      <c r="I305" s="332"/>
      <c r="J305" s="333"/>
      <c r="K305" s="334"/>
      <c r="L305" s="484"/>
    </row>
    <row r="306" spans="1:12" ht="15" thickBot="1">
      <c r="A306" s="328"/>
      <c r="B306" s="257"/>
      <c r="C306" s="257"/>
      <c r="D306" s="329"/>
      <c r="E306" s="330"/>
      <c r="F306" s="331"/>
      <c r="G306" s="256"/>
      <c r="H306" s="256"/>
      <c r="I306" s="332"/>
      <c r="J306" s="333"/>
      <c r="K306" s="334"/>
      <c r="L306" s="484"/>
    </row>
    <row r="307" spans="1:12" ht="15" thickBot="1">
      <c r="A307" s="328"/>
      <c r="B307" s="257"/>
      <c r="C307" s="257"/>
      <c r="D307" s="329"/>
      <c r="E307" s="330"/>
      <c r="F307" s="331"/>
      <c r="G307" s="256"/>
      <c r="H307" s="256"/>
      <c r="I307" s="332"/>
      <c r="J307" s="333"/>
      <c r="K307" s="334"/>
      <c r="L307" s="484"/>
    </row>
    <row r="308" spans="1:12" ht="15" thickBot="1">
      <c r="A308" s="328"/>
      <c r="B308" s="257"/>
      <c r="C308" s="257"/>
      <c r="D308" s="329"/>
      <c r="E308" s="330"/>
      <c r="F308" s="331"/>
      <c r="G308" s="256"/>
      <c r="H308" s="256"/>
      <c r="I308" s="332"/>
      <c r="J308" s="333"/>
      <c r="K308" s="334"/>
      <c r="L308" s="484"/>
    </row>
    <row r="309" spans="1:12" ht="15" thickBot="1">
      <c r="A309" s="328"/>
      <c r="B309" s="257"/>
      <c r="C309" s="257"/>
      <c r="D309" s="329"/>
      <c r="E309" s="330"/>
      <c r="F309" s="331"/>
      <c r="G309" s="256"/>
      <c r="H309" s="256"/>
      <c r="I309" s="332"/>
      <c r="J309" s="333"/>
      <c r="K309" s="334"/>
      <c r="L309" s="484"/>
    </row>
    <row r="310" spans="1:12" ht="15" thickBot="1">
      <c r="A310" s="328"/>
      <c r="B310" s="257"/>
      <c r="C310" s="257"/>
      <c r="D310" s="329"/>
      <c r="E310" s="330"/>
      <c r="F310" s="331"/>
      <c r="G310" s="256"/>
      <c r="H310" s="256"/>
      <c r="I310" s="332"/>
      <c r="J310" s="333"/>
      <c r="K310" s="334"/>
      <c r="L310" s="484"/>
    </row>
    <row r="311" spans="1:12" ht="15" thickBot="1">
      <c r="A311" s="328"/>
      <c r="B311" s="257"/>
      <c r="C311" s="257"/>
      <c r="D311" s="329"/>
      <c r="E311" s="330"/>
      <c r="F311" s="331"/>
      <c r="G311" s="256"/>
      <c r="H311" s="256"/>
      <c r="I311" s="332"/>
      <c r="J311" s="333"/>
      <c r="K311" s="334"/>
      <c r="L311" s="484"/>
    </row>
    <row r="312" spans="1:12" ht="15" thickBot="1">
      <c r="A312" s="328"/>
      <c r="B312" s="257"/>
      <c r="C312" s="257"/>
      <c r="D312" s="329"/>
      <c r="E312" s="330"/>
      <c r="F312" s="331"/>
      <c r="G312" s="256"/>
      <c r="H312" s="256"/>
      <c r="I312" s="332"/>
      <c r="J312" s="333"/>
      <c r="K312" s="334"/>
      <c r="L312" s="484"/>
    </row>
    <row r="313" spans="1:12" ht="15" thickBot="1">
      <c r="A313" s="328"/>
      <c r="B313" s="257"/>
      <c r="C313" s="257"/>
      <c r="D313" s="329"/>
      <c r="E313" s="330"/>
      <c r="F313" s="331"/>
      <c r="G313" s="256"/>
      <c r="H313" s="256"/>
      <c r="I313" s="332"/>
      <c r="J313" s="333"/>
      <c r="K313" s="334"/>
      <c r="L313" s="484"/>
    </row>
    <row r="314" spans="1:12" ht="15" thickBot="1">
      <c r="A314" s="328"/>
      <c r="B314" s="257"/>
      <c r="C314" s="257"/>
      <c r="D314" s="329"/>
      <c r="E314" s="330"/>
      <c r="F314" s="331"/>
      <c r="G314" s="256"/>
      <c r="H314" s="256"/>
      <c r="I314" s="332"/>
      <c r="J314" s="333"/>
      <c r="K314" s="334"/>
      <c r="L314" s="484"/>
    </row>
    <row r="315" spans="1:12" ht="15" thickBot="1">
      <c r="A315" s="328"/>
      <c r="B315" s="257"/>
      <c r="C315" s="257"/>
      <c r="D315" s="329"/>
      <c r="E315" s="330"/>
      <c r="F315" s="331"/>
      <c r="G315" s="256"/>
      <c r="H315" s="256"/>
      <c r="I315" s="332"/>
      <c r="J315" s="333"/>
      <c r="K315" s="334"/>
      <c r="L315" s="484"/>
    </row>
    <row r="316" spans="1:12" ht="15" thickBot="1">
      <c r="A316" s="328"/>
      <c r="B316" s="257"/>
      <c r="C316" s="257"/>
      <c r="D316" s="329"/>
      <c r="E316" s="330"/>
      <c r="F316" s="331"/>
      <c r="G316" s="256"/>
      <c r="H316" s="256"/>
      <c r="I316" s="332"/>
      <c r="J316" s="333"/>
      <c r="K316" s="334"/>
      <c r="L316" s="484"/>
    </row>
    <row r="317" spans="1:12" ht="15" thickBot="1">
      <c r="A317" s="328"/>
      <c r="B317" s="257"/>
      <c r="C317" s="257"/>
      <c r="D317" s="329"/>
      <c r="E317" s="330"/>
      <c r="F317" s="331"/>
      <c r="G317" s="256"/>
      <c r="H317" s="256"/>
      <c r="I317" s="332"/>
      <c r="J317" s="333"/>
      <c r="K317" s="334"/>
      <c r="L317" s="484"/>
    </row>
    <row r="318" spans="1:12" ht="15" thickBot="1">
      <c r="A318" s="328"/>
      <c r="B318" s="257"/>
      <c r="C318" s="257"/>
      <c r="D318" s="329"/>
      <c r="E318" s="330"/>
      <c r="F318" s="331"/>
      <c r="G318" s="256"/>
      <c r="H318" s="256"/>
      <c r="I318" s="332"/>
      <c r="J318" s="333"/>
      <c r="K318" s="334"/>
      <c r="L318" s="484"/>
    </row>
    <row r="319" spans="1:12" ht="15" thickBot="1">
      <c r="A319" s="328"/>
      <c r="B319" s="257"/>
      <c r="C319" s="257"/>
      <c r="D319" s="329"/>
      <c r="E319" s="330"/>
      <c r="F319" s="331"/>
      <c r="G319" s="256"/>
      <c r="H319" s="256"/>
      <c r="I319" s="332"/>
      <c r="J319" s="333"/>
      <c r="K319" s="334"/>
      <c r="L319" s="484"/>
    </row>
    <row r="320" spans="1:12" ht="15" thickBot="1">
      <c r="A320" s="328"/>
      <c r="B320" s="257"/>
      <c r="C320" s="257"/>
      <c r="D320" s="329"/>
      <c r="E320" s="330"/>
      <c r="F320" s="331"/>
      <c r="G320" s="256"/>
      <c r="H320" s="256"/>
      <c r="I320" s="332"/>
      <c r="J320" s="333"/>
      <c r="K320" s="334"/>
      <c r="L320" s="484"/>
    </row>
    <row r="321" spans="1:12" ht="15" thickBot="1">
      <c r="A321" s="328"/>
      <c r="B321" s="257"/>
      <c r="C321" s="257"/>
      <c r="D321" s="329"/>
      <c r="E321" s="330"/>
      <c r="F321" s="331"/>
      <c r="G321" s="256"/>
      <c r="H321" s="256"/>
      <c r="I321" s="332"/>
      <c r="J321" s="333"/>
      <c r="K321" s="334"/>
      <c r="L321" s="484"/>
    </row>
    <row r="322" spans="1:12" ht="15" thickBot="1">
      <c r="A322" s="328"/>
      <c r="B322" s="257"/>
      <c r="C322" s="257"/>
      <c r="D322" s="329"/>
      <c r="E322" s="330"/>
      <c r="F322" s="331"/>
      <c r="G322" s="256"/>
      <c r="H322" s="256"/>
      <c r="I322" s="332"/>
      <c r="J322" s="333"/>
      <c r="K322" s="334"/>
      <c r="L322" s="484"/>
    </row>
    <row r="323" spans="1:12" ht="15" thickBot="1">
      <c r="A323" s="328"/>
      <c r="B323" s="257"/>
      <c r="C323" s="257"/>
      <c r="D323" s="329"/>
      <c r="E323" s="330"/>
      <c r="F323" s="331"/>
      <c r="G323" s="256"/>
      <c r="H323" s="256"/>
      <c r="I323" s="332"/>
      <c r="J323" s="333"/>
      <c r="K323" s="334"/>
      <c r="L323" s="484"/>
    </row>
    <row r="324" spans="1:12" ht="15" thickBot="1">
      <c r="A324" s="328"/>
      <c r="B324" s="257"/>
      <c r="C324" s="257"/>
      <c r="D324" s="329"/>
      <c r="E324" s="330"/>
      <c r="F324" s="331"/>
      <c r="G324" s="256"/>
      <c r="H324" s="256"/>
      <c r="I324" s="332"/>
      <c r="J324" s="333"/>
      <c r="K324" s="334"/>
      <c r="L324" s="484"/>
    </row>
    <row r="325" spans="1:12" ht="15" thickBot="1">
      <c r="A325" s="328"/>
      <c r="B325" s="257"/>
      <c r="C325" s="257"/>
      <c r="D325" s="329"/>
      <c r="E325" s="330"/>
      <c r="F325" s="331"/>
      <c r="G325" s="256"/>
      <c r="H325" s="256"/>
      <c r="I325" s="332"/>
      <c r="J325" s="333"/>
      <c r="K325" s="334"/>
      <c r="L325" s="484"/>
    </row>
    <row r="326" spans="1:12" ht="15" thickBot="1">
      <c r="A326" s="328"/>
      <c r="B326" s="257"/>
      <c r="C326" s="257"/>
      <c r="D326" s="329"/>
      <c r="E326" s="330"/>
      <c r="F326" s="331"/>
      <c r="G326" s="256"/>
      <c r="H326" s="256"/>
      <c r="I326" s="332"/>
      <c r="J326" s="333"/>
      <c r="K326" s="334"/>
      <c r="L326" s="484"/>
    </row>
    <row r="327" spans="1:12" ht="15" thickBot="1">
      <c r="A327" s="328"/>
      <c r="B327" s="257"/>
      <c r="C327" s="257"/>
      <c r="D327" s="329"/>
      <c r="E327" s="330"/>
      <c r="F327" s="331"/>
      <c r="G327" s="256"/>
      <c r="H327" s="256"/>
      <c r="I327" s="332"/>
      <c r="J327" s="333"/>
      <c r="K327" s="334"/>
      <c r="L327" s="484"/>
    </row>
    <row r="328" spans="1:12" ht="15" thickBot="1">
      <c r="A328" s="328"/>
      <c r="B328" s="257"/>
      <c r="C328" s="257"/>
      <c r="D328" s="329"/>
      <c r="E328" s="330"/>
      <c r="F328" s="331"/>
      <c r="G328" s="256"/>
      <c r="H328" s="256"/>
      <c r="I328" s="332"/>
      <c r="J328" s="333"/>
      <c r="K328" s="334"/>
      <c r="L328" s="484"/>
    </row>
    <row r="329" spans="1:12" ht="15" thickBot="1">
      <c r="A329" s="328"/>
      <c r="B329" s="257"/>
      <c r="C329" s="257"/>
      <c r="D329" s="329"/>
      <c r="E329" s="330"/>
      <c r="F329" s="331"/>
      <c r="G329" s="256"/>
      <c r="H329" s="256"/>
      <c r="I329" s="332"/>
      <c r="J329" s="333"/>
      <c r="K329" s="334"/>
      <c r="L329" s="484"/>
    </row>
    <row r="330" spans="1:12" ht="15" thickBot="1">
      <c r="A330" s="328"/>
      <c r="B330" s="257"/>
      <c r="C330" s="257"/>
      <c r="D330" s="329"/>
      <c r="E330" s="330"/>
      <c r="F330" s="331"/>
      <c r="G330" s="256"/>
      <c r="H330" s="256"/>
      <c r="I330" s="332"/>
      <c r="J330" s="333"/>
      <c r="K330" s="334"/>
      <c r="L330" s="484"/>
    </row>
    <row r="331" spans="1:12" ht="15" thickBot="1">
      <c r="A331" s="328"/>
      <c r="B331" s="257"/>
      <c r="C331" s="257"/>
      <c r="D331" s="329"/>
      <c r="E331" s="330"/>
      <c r="F331" s="331"/>
      <c r="G331" s="256"/>
      <c r="H331" s="256"/>
      <c r="I331" s="332"/>
      <c r="J331" s="333"/>
      <c r="K331" s="334"/>
      <c r="L331" s="484"/>
    </row>
    <row r="332" spans="1:12" ht="15" thickBot="1">
      <c r="A332" s="328"/>
      <c r="B332" s="257"/>
      <c r="C332" s="257"/>
      <c r="D332" s="329"/>
      <c r="E332" s="330"/>
      <c r="F332" s="331"/>
      <c r="G332" s="256"/>
      <c r="H332" s="256"/>
      <c r="I332" s="332"/>
      <c r="J332" s="333"/>
      <c r="K332" s="334"/>
      <c r="L332" s="484"/>
    </row>
    <row r="333" spans="1:12" ht="15" thickBot="1">
      <c r="A333" s="328"/>
      <c r="B333" s="257"/>
      <c r="C333" s="257"/>
      <c r="D333" s="329"/>
      <c r="E333" s="330"/>
      <c r="F333" s="331"/>
      <c r="G333" s="256"/>
      <c r="H333" s="256"/>
      <c r="I333" s="332"/>
      <c r="J333" s="333"/>
      <c r="K333" s="334"/>
      <c r="L333" s="484"/>
    </row>
    <row r="334" spans="1:12" ht="15" thickBot="1">
      <c r="A334" s="328"/>
      <c r="B334" s="257"/>
      <c r="C334" s="257"/>
      <c r="D334" s="329"/>
      <c r="E334" s="330"/>
      <c r="F334" s="331"/>
      <c r="G334" s="256"/>
      <c r="H334" s="256"/>
      <c r="I334" s="332"/>
      <c r="J334" s="333"/>
      <c r="K334" s="334"/>
      <c r="L334" s="484"/>
    </row>
    <row r="335" spans="1:12" ht="15" thickBot="1">
      <c r="A335" s="328"/>
      <c r="B335" s="257"/>
      <c r="C335" s="257"/>
      <c r="D335" s="329"/>
      <c r="E335" s="330"/>
      <c r="F335" s="331"/>
      <c r="G335" s="256"/>
      <c r="H335" s="256"/>
      <c r="I335" s="332"/>
      <c r="J335" s="333"/>
      <c r="K335" s="334"/>
      <c r="L335" s="484"/>
    </row>
    <row r="336" spans="1:12" ht="15" thickBot="1">
      <c r="A336" s="328"/>
      <c r="B336" s="257"/>
      <c r="C336" s="257"/>
      <c r="D336" s="329"/>
      <c r="E336" s="330"/>
      <c r="F336" s="331"/>
      <c r="G336" s="256"/>
      <c r="H336" s="256"/>
      <c r="I336" s="332"/>
      <c r="J336" s="333"/>
      <c r="K336" s="334"/>
      <c r="L336" s="484"/>
    </row>
    <row r="337" spans="1:12" ht="15" thickBot="1">
      <c r="A337" s="328"/>
      <c r="B337" s="257"/>
      <c r="C337" s="257"/>
      <c r="D337" s="329"/>
      <c r="E337" s="330"/>
      <c r="F337" s="331"/>
      <c r="G337" s="256"/>
      <c r="H337" s="256"/>
      <c r="I337" s="332"/>
      <c r="J337" s="333"/>
      <c r="K337" s="334"/>
      <c r="L337" s="484"/>
    </row>
    <row r="338" spans="1:12" ht="15" thickBot="1">
      <c r="A338" s="328"/>
      <c r="B338" s="257"/>
      <c r="C338" s="257"/>
      <c r="D338" s="329"/>
      <c r="E338" s="330"/>
      <c r="F338" s="331"/>
      <c r="G338" s="256"/>
      <c r="H338" s="256"/>
      <c r="I338" s="332"/>
      <c r="J338" s="333"/>
      <c r="K338" s="334"/>
      <c r="L338" s="484"/>
    </row>
    <row r="339" spans="1:12" ht="15" thickBot="1">
      <c r="A339" s="328"/>
      <c r="B339" s="257"/>
      <c r="C339" s="257"/>
      <c r="D339" s="329"/>
      <c r="E339" s="330"/>
      <c r="F339" s="331"/>
      <c r="G339" s="256"/>
      <c r="H339" s="256"/>
      <c r="I339" s="332"/>
      <c r="J339" s="333"/>
      <c r="K339" s="334"/>
      <c r="L339" s="484"/>
    </row>
    <row r="340" spans="1:12" ht="15" thickBot="1">
      <c r="A340" s="328"/>
      <c r="B340" s="257"/>
      <c r="C340" s="257"/>
      <c r="D340" s="329"/>
      <c r="E340" s="330"/>
      <c r="F340" s="331"/>
      <c r="G340" s="256"/>
      <c r="H340" s="256"/>
      <c r="I340" s="332"/>
      <c r="J340" s="333"/>
      <c r="K340" s="334"/>
      <c r="L340" s="484"/>
    </row>
    <row r="341" spans="1:12" ht="15" thickBot="1">
      <c r="A341" s="328"/>
      <c r="B341" s="257"/>
      <c r="C341" s="257"/>
      <c r="D341" s="329"/>
      <c r="E341" s="330"/>
      <c r="F341" s="331"/>
      <c r="G341" s="256"/>
      <c r="H341" s="256"/>
      <c r="I341" s="332"/>
      <c r="J341" s="333"/>
      <c r="K341" s="334"/>
      <c r="L341" s="484"/>
    </row>
    <row r="342" spans="1:12" ht="15" thickBot="1">
      <c r="A342" s="328"/>
      <c r="B342" s="257"/>
      <c r="C342" s="257"/>
      <c r="D342" s="329"/>
      <c r="E342" s="330"/>
      <c r="F342" s="331"/>
      <c r="G342" s="256"/>
      <c r="H342" s="256"/>
      <c r="I342" s="332"/>
      <c r="J342" s="333"/>
      <c r="K342" s="334"/>
      <c r="L342" s="484"/>
    </row>
    <row r="343" spans="1:12" ht="15" thickBot="1">
      <c r="A343" s="328"/>
      <c r="B343" s="257"/>
      <c r="C343" s="257"/>
      <c r="D343" s="329"/>
      <c r="E343" s="330"/>
      <c r="F343" s="331"/>
      <c r="G343" s="256"/>
      <c r="H343" s="256"/>
      <c r="I343" s="332"/>
      <c r="J343" s="333"/>
      <c r="K343" s="334"/>
      <c r="L343" s="484"/>
    </row>
    <row r="344" spans="1:12" ht="15" thickBot="1">
      <c r="A344" s="328"/>
      <c r="B344" s="257"/>
      <c r="C344" s="257"/>
      <c r="D344" s="329"/>
      <c r="E344" s="330"/>
      <c r="F344" s="331"/>
      <c r="G344" s="256"/>
      <c r="H344" s="256"/>
      <c r="I344" s="332"/>
      <c r="J344" s="333"/>
      <c r="K344" s="334"/>
      <c r="L344" s="484"/>
    </row>
    <row r="345" spans="1:12" ht="15" thickBot="1">
      <c r="A345" s="328"/>
      <c r="B345" s="257"/>
      <c r="C345" s="257"/>
      <c r="D345" s="329"/>
      <c r="E345" s="330"/>
      <c r="F345" s="331"/>
      <c r="G345" s="256"/>
      <c r="H345" s="256"/>
      <c r="I345" s="332"/>
      <c r="J345" s="333"/>
      <c r="K345" s="334"/>
      <c r="L345" s="484"/>
    </row>
    <row r="346" spans="1:12" ht="15" thickBot="1">
      <c r="A346" s="328"/>
      <c r="B346" s="257"/>
      <c r="C346" s="257"/>
      <c r="D346" s="329"/>
      <c r="E346" s="330"/>
      <c r="F346" s="331"/>
      <c r="G346" s="256"/>
      <c r="H346" s="256"/>
      <c r="I346" s="332"/>
      <c r="J346" s="333"/>
      <c r="K346" s="334"/>
      <c r="L346" s="484"/>
    </row>
    <row r="347" spans="1:12" ht="15" thickBot="1">
      <c r="A347" s="328"/>
      <c r="B347" s="257"/>
      <c r="C347" s="257"/>
      <c r="D347" s="329"/>
      <c r="E347" s="330"/>
      <c r="F347" s="331"/>
      <c r="G347" s="256"/>
      <c r="H347" s="256"/>
      <c r="I347" s="332"/>
      <c r="J347" s="333"/>
      <c r="K347" s="334"/>
      <c r="L347" s="484"/>
    </row>
    <row r="348" spans="1:12" ht="15" thickBot="1">
      <c r="A348" s="328"/>
      <c r="B348" s="257"/>
      <c r="C348" s="257"/>
      <c r="D348" s="329"/>
      <c r="E348" s="330"/>
      <c r="F348" s="331"/>
      <c r="G348" s="256"/>
      <c r="H348" s="256"/>
      <c r="I348" s="332"/>
      <c r="J348" s="333"/>
      <c r="K348" s="334"/>
      <c r="L348" s="484"/>
    </row>
    <row r="349" spans="1:12" ht="15" thickBot="1">
      <c r="A349" s="328"/>
      <c r="B349" s="257"/>
      <c r="C349" s="257"/>
      <c r="D349" s="329"/>
      <c r="E349" s="330"/>
      <c r="F349" s="331"/>
      <c r="G349" s="256"/>
      <c r="H349" s="256"/>
      <c r="I349" s="332"/>
      <c r="J349" s="333"/>
      <c r="K349" s="334"/>
      <c r="L349" s="484"/>
    </row>
    <row r="350" spans="1:12" ht="15" thickBot="1">
      <c r="A350" s="328"/>
      <c r="B350" s="257"/>
      <c r="C350" s="257"/>
      <c r="D350" s="329"/>
      <c r="E350" s="330"/>
      <c r="F350" s="331"/>
      <c r="G350" s="256"/>
      <c r="H350" s="256"/>
      <c r="I350" s="332"/>
      <c r="J350" s="333"/>
      <c r="K350" s="334"/>
      <c r="L350" s="484"/>
    </row>
    <row r="351" spans="1:12" ht="15" thickBot="1">
      <c r="A351" s="328"/>
      <c r="B351" s="257"/>
      <c r="C351" s="257"/>
      <c r="D351" s="329"/>
      <c r="E351" s="330"/>
      <c r="F351" s="331"/>
      <c r="G351" s="256"/>
      <c r="H351" s="256"/>
      <c r="I351" s="332"/>
      <c r="J351" s="333"/>
      <c r="K351" s="334"/>
      <c r="L351" s="484"/>
    </row>
    <row r="352" spans="1:12" ht="15" thickBot="1">
      <c r="A352" s="328"/>
      <c r="B352" s="257"/>
      <c r="C352" s="257"/>
      <c r="D352" s="329"/>
      <c r="E352" s="330"/>
      <c r="F352" s="331"/>
      <c r="G352" s="256"/>
      <c r="H352" s="256"/>
      <c r="I352" s="332"/>
      <c r="J352" s="333"/>
      <c r="K352" s="334"/>
      <c r="L352" s="484"/>
    </row>
    <row r="353" spans="1:12" ht="15" thickBot="1">
      <c r="A353" s="328"/>
      <c r="B353" s="257"/>
      <c r="C353" s="257"/>
      <c r="D353" s="329"/>
      <c r="E353" s="330"/>
      <c r="F353" s="331"/>
      <c r="G353" s="256"/>
      <c r="H353" s="256"/>
      <c r="I353" s="332"/>
      <c r="J353" s="333"/>
      <c r="K353" s="334"/>
      <c r="L353" s="484"/>
    </row>
    <row r="354" spans="1:12" ht="15" thickBot="1">
      <c r="A354" s="328"/>
      <c r="B354" s="257"/>
      <c r="C354" s="257"/>
      <c r="D354" s="329"/>
      <c r="E354" s="330"/>
      <c r="F354" s="331"/>
      <c r="G354" s="256"/>
      <c r="H354" s="256"/>
      <c r="I354" s="332"/>
      <c r="J354" s="333"/>
      <c r="K354" s="334"/>
      <c r="L354" s="484"/>
    </row>
    <row r="355" spans="1:12" ht="15" thickBot="1">
      <c r="A355" s="328"/>
      <c r="B355" s="257"/>
      <c r="C355" s="257"/>
      <c r="D355" s="329"/>
      <c r="E355" s="330"/>
      <c r="F355" s="331"/>
      <c r="G355" s="256"/>
      <c r="H355" s="256"/>
      <c r="I355" s="332"/>
      <c r="J355" s="333"/>
      <c r="K355" s="334"/>
      <c r="L355" s="484"/>
    </row>
    <row r="356" spans="1:12" ht="15" thickBot="1">
      <c r="A356" s="328"/>
      <c r="B356" s="257"/>
      <c r="C356" s="257"/>
      <c r="D356" s="329"/>
      <c r="E356" s="330"/>
      <c r="F356" s="331"/>
      <c r="G356" s="256"/>
      <c r="H356" s="256"/>
      <c r="I356" s="332"/>
      <c r="J356" s="333"/>
      <c r="K356" s="334"/>
      <c r="L356" s="484"/>
    </row>
    <row r="357" spans="1:12" ht="15" thickBot="1">
      <c r="A357" s="328"/>
      <c r="B357" s="257"/>
      <c r="C357" s="257"/>
      <c r="D357" s="329"/>
      <c r="E357" s="330"/>
      <c r="F357" s="331"/>
      <c r="G357" s="256"/>
      <c r="H357" s="256"/>
      <c r="I357" s="332"/>
      <c r="J357" s="333"/>
      <c r="K357" s="334"/>
      <c r="L357" s="484"/>
    </row>
    <row r="358" spans="1:12" ht="15" thickBot="1">
      <c r="A358" s="328"/>
      <c r="B358" s="257"/>
      <c r="C358" s="257"/>
      <c r="D358" s="329"/>
      <c r="E358" s="330"/>
      <c r="F358" s="331"/>
      <c r="G358" s="256"/>
      <c r="H358" s="256"/>
      <c r="I358" s="332"/>
      <c r="J358" s="333"/>
      <c r="K358" s="334"/>
      <c r="L358" s="484"/>
    </row>
    <row r="359" spans="1:12" ht="15" thickBot="1">
      <c r="A359" s="328"/>
      <c r="B359" s="257"/>
      <c r="C359" s="257"/>
      <c r="D359" s="329"/>
      <c r="E359" s="330"/>
      <c r="F359" s="331"/>
      <c r="G359" s="256"/>
      <c r="H359" s="256"/>
      <c r="I359" s="332"/>
      <c r="J359" s="333"/>
      <c r="K359" s="334"/>
      <c r="L359" s="484"/>
    </row>
    <row r="360" spans="1:12" ht="15" thickBot="1">
      <c r="A360" s="328"/>
      <c r="B360" s="257"/>
      <c r="C360" s="257"/>
      <c r="D360" s="329"/>
      <c r="E360" s="330"/>
      <c r="F360" s="331"/>
      <c r="G360" s="256"/>
      <c r="H360" s="256"/>
      <c r="I360" s="332"/>
      <c r="J360" s="333"/>
      <c r="K360" s="334"/>
      <c r="L360" s="484"/>
    </row>
    <row r="361" spans="1:12" ht="15" thickBot="1">
      <c r="A361" s="328"/>
      <c r="B361" s="257"/>
      <c r="C361" s="257"/>
      <c r="D361" s="329"/>
      <c r="E361" s="330"/>
      <c r="F361" s="331"/>
      <c r="G361" s="256"/>
      <c r="H361" s="256"/>
      <c r="I361" s="332"/>
      <c r="J361" s="333"/>
      <c r="K361" s="334"/>
      <c r="L361" s="484"/>
    </row>
    <row r="362" spans="1:12" ht="15" thickBot="1">
      <c r="A362" s="328"/>
      <c r="B362" s="257"/>
      <c r="C362" s="257"/>
      <c r="D362" s="329"/>
      <c r="E362" s="330"/>
      <c r="F362" s="331"/>
      <c r="G362" s="256"/>
      <c r="H362" s="256"/>
      <c r="I362" s="332"/>
      <c r="J362" s="333"/>
      <c r="K362" s="334"/>
      <c r="L362" s="484"/>
    </row>
    <row r="363" spans="1:12" ht="15" thickBot="1">
      <c r="A363" s="328"/>
      <c r="B363" s="257"/>
      <c r="C363" s="257"/>
      <c r="D363" s="329"/>
      <c r="E363" s="330"/>
      <c r="F363" s="331"/>
      <c r="G363" s="256"/>
      <c r="H363" s="256"/>
      <c r="I363" s="332"/>
      <c r="J363" s="333"/>
      <c r="K363" s="334"/>
      <c r="L363" s="484"/>
    </row>
    <row r="364" spans="1:12" ht="15" thickBot="1">
      <c r="A364" s="328"/>
      <c r="B364" s="257"/>
      <c r="C364" s="257"/>
      <c r="D364" s="329"/>
      <c r="E364" s="330"/>
      <c r="F364" s="331"/>
      <c r="G364" s="256"/>
      <c r="H364" s="256"/>
      <c r="I364" s="332"/>
      <c r="J364" s="333"/>
      <c r="K364" s="334"/>
      <c r="L364" s="484"/>
    </row>
    <row r="365" spans="1:12" ht="15" thickBot="1">
      <c r="A365" s="328"/>
      <c r="B365" s="257"/>
      <c r="C365" s="257"/>
      <c r="D365" s="329"/>
      <c r="E365" s="330"/>
      <c r="F365" s="331"/>
      <c r="G365" s="256"/>
      <c r="H365" s="256"/>
      <c r="I365" s="332"/>
      <c r="J365" s="333"/>
      <c r="K365" s="334"/>
      <c r="L365" s="484"/>
    </row>
    <row r="366" spans="1:12" ht="15" thickBot="1">
      <c r="A366" s="328"/>
      <c r="B366" s="257"/>
      <c r="C366" s="257"/>
      <c r="D366" s="329"/>
      <c r="E366" s="330"/>
      <c r="F366" s="331"/>
      <c r="G366" s="256"/>
      <c r="H366" s="256"/>
      <c r="I366" s="332"/>
      <c r="J366" s="333"/>
      <c r="K366" s="334"/>
      <c r="L366" s="484"/>
    </row>
    <row r="367" spans="1:12" ht="15" thickBot="1">
      <c r="A367" s="328"/>
      <c r="B367" s="257"/>
      <c r="C367" s="257"/>
      <c r="D367" s="329"/>
      <c r="E367" s="330"/>
      <c r="F367" s="331"/>
      <c r="G367" s="256"/>
      <c r="H367" s="256"/>
      <c r="I367" s="332"/>
      <c r="J367" s="333"/>
      <c r="K367" s="334"/>
      <c r="L367" s="484"/>
    </row>
    <row r="368" spans="1:12" ht="15" thickBot="1">
      <c r="A368" s="328"/>
      <c r="B368" s="257"/>
      <c r="C368" s="257"/>
      <c r="D368" s="329"/>
      <c r="E368" s="330"/>
      <c r="F368" s="331"/>
      <c r="G368" s="256"/>
      <c r="H368" s="256"/>
      <c r="I368" s="332"/>
      <c r="J368" s="333"/>
      <c r="K368" s="334"/>
      <c r="L368" s="484"/>
    </row>
    <row r="369" spans="1:12" ht="15" thickBot="1">
      <c r="A369" s="328"/>
      <c r="B369" s="257"/>
      <c r="C369" s="257"/>
      <c r="D369" s="329"/>
      <c r="E369" s="330"/>
      <c r="F369" s="331"/>
      <c r="G369" s="256"/>
      <c r="H369" s="256"/>
      <c r="I369" s="332"/>
      <c r="J369" s="333"/>
      <c r="K369" s="334"/>
      <c r="L369" s="484"/>
    </row>
    <row r="370" spans="1:12" ht="15" thickBot="1">
      <c r="A370" s="328"/>
      <c r="B370" s="257"/>
      <c r="C370" s="257"/>
      <c r="D370" s="329"/>
      <c r="E370" s="330"/>
      <c r="F370" s="331"/>
      <c r="G370" s="256"/>
      <c r="H370" s="256"/>
      <c r="I370" s="332"/>
      <c r="J370" s="333"/>
      <c r="K370" s="334"/>
      <c r="L370" s="484"/>
    </row>
    <row r="371" spans="1:12" ht="15" thickBot="1">
      <c r="A371" s="328"/>
      <c r="B371" s="257"/>
      <c r="C371" s="257"/>
      <c r="D371" s="329"/>
      <c r="E371" s="330"/>
      <c r="F371" s="331"/>
      <c r="G371" s="256"/>
      <c r="H371" s="256"/>
      <c r="I371" s="332"/>
      <c r="J371" s="333"/>
      <c r="K371" s="334"/>
      <c r="L371" s="484"/>
    </row>
    <row r="372" spans="1:12" ht="15" thickBot="1">
      <c r="A372" s="328"/>
      <c r="B372" s="257"/>
      <c r="C372" s="257"/>
      <c r="D372" s="329"/>
      <c r="E372" s="330"/>
      <c r="F372" s="331"/>
      <c r="G372" s="256"/>
      <c r="H372" s="256"/>
      <c r="I372" s="332"/>
      <c r="J372" s="333"/>
      <c r="K372" s="334"/>
      <c r="L372" s="484"/>
    </row>
    <row r="373" spans="1:12" ht="15" thickBot="1">
      <c r="A373" s="328"/>
      <c r="B373" s="257"/>
      <c r="C373" s="257"/>
      <c r="D373" s="329"/>
      <c r="E373" s="330"/>
      <c r="F373" s="331"/>
      <c r="G373" s="256"/>
      <c r="H373" s="256"/>
      <c r="I373" s="332"/>
      <c r="J373" s="333"/>
      <c r="K373" s="334"/>
      <c r="L373" s="484"/>
    </row>
    <row r="374" spans="1:12" ht="15" thickBot="1">
      <c r="A374" s="328"/>
      <c r="B374" s="257"/>
      <c r="C374" s="257"/>
      <c r="D374" s="329"/>
      <c r="E374" s="330"/>
      <c r="F374" s="331"/>
      <c r="G374" s="256"/>
      <c r="H374" s="256"/>
      <c r="I374" s="332"/>
      <c r="J374" s="333"/>
      <c r="K374" s="334"/>
      <c r="L374" s="484"/>
    </row>
    <row r="375" spans="1:12" ht="15" thickBot="1">
      <c r="A375" s="328"/>
      <c r="B375" s="257"/>
      <c r="C375" s="257"/>
      <c r="D375" s="329"/>
      <c r="E375" s="330"/>
      <c r="F375" s="331"/>
      <c r="G375" s="256"/>
      <c r="H375" s="256"/>
      <c r="I375" s="332"/>
      <c r="J375" s="333"/>
      <c r="K375" s="334"/>
      <c r="L375" s="484"/>
    </row>
    <row r="376" spans="1:12" ht="15" thickBot="1">
      <c r="A376" s="328"/>
      <c r="B376" s="257"/>
      <c r="C376" s="257"/>
      <c r="D376" s="329"/>
      <c r="E376" s="330"/>
      <c r="F376" s="331"/>
      <c r="G376" s="256"/>
      <c r="H376" s="256"/>
      <c r="I376" s="332"/>
      <c r="J376" s="333"/>
      <c r="K376" s="334"/>
      <c r="L376" s="484"/>
    </row>
    <row r="377" spans="1:12" ht="15" thickBot="1">
      <c r="A377" s="328"/>
      <c r="B377" s="257"/>
      <c r="C377" s="257"/>
      <c r="D377" s="329"/>
      <c r="E377" s="330"/>
      <c r="F377" s="331"/>
      <c r="G377" s="256"/>
      <c r="H377" s="256"/>
      <c r="I377" s="332"/>
      <c r="J377" s="333"/>
      <c r="K377" s="334"/>
      <c r="L377" s="484"/>
    </row>
    <row r="378" spans="1:12" ht="15" thickBot="1">
      <c r="A378" s="328"/>
      <c r="B378" s="257"/>
      <c r="C378" s="257"/>
      <c r="D378" s="329"/>
      <c r="E378" s="330"/>
      <c r="F378" s="331"/>
      <c r="G378" s="256"/>
      <c r="H378" s="256"/>
      <c r="I378" s="332"/>
      <c r="J378" s="333"/>
      <c r="K378" s="334"/>
      <c r="L378" s="484"/>
    </row>
    <row r="379" spans="1:12" ht="15" thickBot="1">
      <c r="A379" s="328"/>
      <c r="B379" s="257"/>
      <c r="C379" s="257"/>
      <c r="D379" s="329"/>
      <c r="E379" s="330"/>
      <c r="F379" s="331"/>
      <c r="G379" s="256"/>
      <c r="H379" s="256"/>
      <c r="I379" s="332"/>
      <c r="J379" s="333"/>
      <c r="K379" s="334"/>
      <c r="L379" s="484"/>
    </row>
    <row r="380" spans="1:12" ht="15" thickBot="1">
      <c r="A380" s="328"/>
      <c r="B380" s="257"/>
      <c r="C380" s="257"/>
      <c r="D380" s="329"/>
      <c r="E380" s="330"/>
      <c r="F380" s="331"/>
      <c r="G380" s="256"/>
      <c r="H380" s="256"/>
      <c r="I380" s="332"/>
      <c r="J380" s="333"/>
      <c r="K380" s="334"/>
      <c r="L380" s="484"/>
    </row>
    <row r="381" spans="1:12" ht="15" thickBot="1">
      <c r="A381" s="328"/>
      <c r="B381" s="257"/>
      <c r="C381" s="257"/>
      <c r="D381" s="329"/>
      <c r="E381" s="330"/>
      <c r="F381" s="331"/>
      <c r="G381" s="256"/>
      <c r="H381" s="256"/>
      <c r="I381" s="332"/>
      <c r="J381" s="333"/>
      <c r="K381" s="334"/>
      <c r="L381" s="484"/>
    </row>
    <row r="382" spans="1:12" ht="15" thickBot="1">
      <c r="A382" s="328"/>
      <c r="B382" s="257"/>
      <c r="C382" s="257"/>
      <c r="D382" s="329"/>
      <c r="E382" s="330"/>
      <c r="F382" s="331"/>
      <c r="G382" s="256"/>
      <c r="H382" s="256"/>
      <c r="I382" s="332"/>
      <c r="J382" s="333"/>
      <c r="K382" s="334"/>
      <c r="L382" s="484"/>
    </row>
    <row r="383" spans="1:12" ht="15" thickBot="1">
      <c r="A383" s="328"/>
      <c r="B383" s="257"/>
      <c r="C383" s="257"/>
      <c r="D383" s="329"/>
      <c r="E383" s="330"/>
      <c r="F383" s="331"/>
      <c r="G383" s="256"/>
      <c r="H383" s="256"/>
      <c r="I383" s="332"/>
      <c r="J383" s="333"/>
      <c r="K383" s="334"/>
      <c r="L383" s="484"/>
    </row>
    <row r="384" spans="1:12" ht="15" thickBot="1">
      <c r="A384" s="328"/>
      <c r="B384" s="257"/>
      <c r="C384" s="257"/>
      <c r="D384" s="329"/>
      <c r="E384" s="330"/>
      <c r="F384" s="331"/>
      <c r="G384" s="256"/>
      <c r="H384" s="256"/>
      <c r="I384" s="332"/>
      <c r="J384" s="333"/>
      <c r="K384" s="334"/>
      <c r="L384" s="484"/>
    </row>
    <row r="385" spans="1:12" ht="15" thickBot="1">
      <c r="A385" s="328"/>
      <c r="B385" s="257"/>
      <c r="C385" s="257"/>
      <c r="D385" s="329"/>
      <c r="E385" s="330"/>
      <c r="F385" s="331"/>
      <c r="G385" s="256"/>
      <c r="H385" s="256"/>
      <c r="I385" s="332"/>
      <c r="J385" s="333"/>
      <c r="K385" s="334"/>
      <c r="L385" s="484"/>
    </row>
    <row r="386" spans="1:12" ht="15" thickBot="1">
      <c r="A386" s="328"/>
      <c r="B386" s="257"/>
      <c r="C386" s="257"/>
      <c r="D386" s="329"/>
      <c r="E386" s="330"/>
      <c r="F386" s="331"/>
      <c r="G386" s="256"/>
      <c r="H386" s="256"/>
      <c r="I386" s="332"/>
      <c r="J386" s="333"/>
      <c r="K386" s="334"/>
      <c r="L386" s="484"/>
    </row>
    <row r="387" spans="1:12" ht="15" thickBot="1">
      <c r="A387" s="328"/>
      <c r="B387" s="257"/>
      <c r="C387" s="257"/>
      <c r="D387" s="329"/>
      <c r="E387" s="330"/>
      <c r="F387" s="331"/>
      <c r="G387" s="256"/>
      <c r="H387" s="256"/>
      <c r="I387" s="332"/>
      <c r="J387" s="333"/>
      <c r="K387" s="334"/>
      <c r="L387" s="484"/>
    </row>
    <row r="388" spans="1:12" ht="15" thickBot="1">
      <c r="A388" s="328"/>
      <c r="B388" s="257"/>
      <c r="C388" s="257"/>
      <c r="D388" s="329"/>
      <c r="E388" s="330"/>
      <c r="F388" s="331"/>
      <c r="G388" s="256"/>
      <c r="H388" s="256"/>
      <c r="I388" s="332"/>
      <c r="J388" s="333"/>
      <c r="K388" s="334"/>
      <c r="L388" s="484"/>
    </row>
    <row r="389" spans="1:12" ht="15" thickBot="1">
      <c r="A389" s="328"/>
      <c r="B389" s="257"/>
      <c r="C389" s="257"/>
      <c r="D389" s="329"/>
      <c r="E389" s="330"/>
      <c r="F389" s="331"/>
      <c r="G389" s="256"/>
      <c r="H389" s="256"/>
      <c r="I389" s="332"/>
      <c r="J389" s="333"/>
      <c r="K389" s="334"/>
      <c r="L389" s="484"/>
    </row>
    <row r="390" spans="1:12" ht="15" thickBot="1">
      <c r="A390" s="328"/>
      <c r="B390" s="257"/>
      <c r="C390" s="257"/>
      <c r="D390" s="329"/>
      <c r="E390" s="330"/>
      <c r="F390" s="331"/>
      <c r="G390" s="256"/>
      <c r="H390" s="256"/>
      <c r="I390" s="332"/>
      <c r="J390" s="333"/>
      <c r="K390" s="334"/>
      <c r="L390" s="484"/>
    </row>
    <row r="391" spans="1:12" ht="15" thickBot="1">
      <c r="A391" s="328"/>
      <c r="B391" s="257"/>
      <c r="C391" s="257"/>
      <c r="D391" s="329"/>
      <c r="E391" s="330"/>
      <c r="F391" s="331"/>
      <c r="G391" s="256"/>
      <c r="H391" s="256"/>
      <c r="I391" s="332"/>
      <c r="J391" s="333"/>
      <c r="K391" s="334"/>
      <c r="L391" s="484"/>
    </row>
    <row r="392" spans="1:12" ht="15" thickBot="1">
      <c r="A392" s="328"/>
      <c r="B392" s="257"/>
      <c r="C392" s="257"/>
      <c r="D392" s="329"/>
      <c r="E392" s="330"/>
      <c r="F392" s="331"/>
      <c r="G392" s="256"/>
      <c r="H392" s="256"/>
      <c r="I392" s="332"/>
      <c r="J392" s="333"/>
      <c r="K392" s="334"/>
      <c r="L392" s="484"/>
    </row>
    <row r="393" spans="1:12" ht="15" thickBot="1">
      <c r="A393" s="328"/>
      <c r="B393" s="257"/>
      <c r="C393" s="257"/>
      <c r="D393" s="329"/>
      <c r="E393" s="330"/>
      <c r="F393" s="331"/>
      <c r="G393" s="256"/>
      <c r="H393" s="256"/>
      <c r="I393" s="332"/>
      <c r="J393" s="333"/>
      <c r="K393" s="334"/>
      <c r="L393" s="484"/>
    </row>
    <row r="394" spans="1:12" ht="15" thickBot="1">
      <c r="A394" s="328"/>
      <c r="B394" s="257"/>
      <c r="C394" s="257"/>
      <c r="D394" s="329"/>
      <c r="E394" s="330"/>
      <c r="F394" s="331"/>
      <c r="G394" s="256"/>
      <c r="H394" s="256"/>
      <c r="I394" s="332"/>
      <c r="J394" s="333"/>
      <c r="K394" s="334"/>
      <c r="L394" s="484"/>
    </row>
    <row r="395" spans="1:12" ht="15" thickBot="1">
      <c r="A395" s="328"/>
      <c r="B395" s="257"/>
      <c r="C395" s="257"/>
      <c r="D395" s="329"/>
      <c r="E395" s="330"/>
      <c r="F395" s="331"/>
      <c r="G395" s="256"/>
      <c r="H395" s="256"/>
      <c r="I395" s="332"/>
      <c r="J395" s="333"/>
      <c r="K395" s="334"/>
      <c r="L395" s="484"/>
    </row>
    <row r="396" spans="1:12" ht="15" thickBot="1">
      <c r="A396" s="328"/>
      <c r="B396" s="257"/>
      <c r="C396" s="257"/>
      <c r="D396" s="329"/>
      <c r="E396" s="330"/>
      <c r="F396" s="331"/>
      <c r="G396" s="256"/>
      <c r="H396" s="256"/>
      <c r="I396" s="332"/>
      <c r="J396" s="333"/>
      <c r="K396" s="334"/>
      <c r="L396" s="484"/>
    </row>
    <row r="397" spans="1:12" ht="15" thickBot="1">
      <c r="A397" s="328"/>
      <c r="B397" s="257"/>
      <c r="C397" s="257"/>
      <c r="D397" s="329"/>
      <c r="E397" s="330"/>
      <c r="F397" s="331"/>
      <c r="G397" s="256"/>
      <c r="H397" s="256"/>
      <c r="I397" s="332"/>
      <c r="J397" s="333"/>
      <c r="K397" s="334"/>
      <c r="L397" s="484"/>
    </row>
    <row r="398" spans="1:12" ht="15" thickBot="1">
      <c r="A398" s="328"/>
      <c r="B398" s="257"/>
      <c r="C398" s="257"/>
      <c r="D398" s="329"/>
      <c r="E398" s="330"/>
      <c r="F398" s="331"/>
      <c r="G398" s="256"/>
      <c r="H398" s="256"/>
      <c r="I398" s="332"/>
      <c r="J398" s="333"/>
      <c r="K398" s="334"/>
      <c r="L398" s="484"/>
    </row>
    <row r="399" spans="1:12" ht="15" thickBot="1">
      <c r="A399" s="328"/>
      <c r="B399" s="257"/>
      <c r="C399" s="257"/>
      <c r="D399" s="329"/>
      <c r="E399" s="330"/>
      <c r="F399" s="331"/>
      <c r="G399" s="256"/>
      <c r="H399" s="256"/>
      <c r="I399" s="332"/>
      <c r="J399" s="333"/>
      <c r="K399" s="334"/>
      <c r="L399" s="484"/>
    </row>
    <row r="400" spans="1:12" ht="15" thickBot="1">
      <c r="A400" s="328"/>
      <c r="B400" s="257"/>
      <c r="C400" s="257"/>
      <c r="D400" s="329"/>
      <c r="E400" s="330"/>
      <c r="F400" s="331"/>
      <c r="G400" s="256"/>
      <c r="H400" s="256"/>
      <c r="I400" s="332"/>
      <c r="J400" s="333"/>
      <c r="K400" s="334"/>
      <c r="L400" s="484"/>
    </row>
    <row r="401" spans="1:12" ht="15" thickBot="1">
      <c r="A401" s="328"/>
      <c r="B401" s="257"/>
      <c r="C401" s="257"/>
      <c r="D401" s="329"/>
      <c r="E401" s="330"/>
      <c r="F401" s="331"/>
      <c r="G401" s="256"/>
      <c r="H401" s="256"/>
      <c r="I401" s="332"/>
      <c r="J401" s="333"/>
      <c r="K401" s="334"/>
      <c r="L401" s="484"/>
    </row>
    <row r="402" spans="1:12" ht="15" thickBot="1">
      <c r="A402" s="328"/>
      <c r="B402" s="257"/>
      <c r="C402" s="257"/>
      <c r="D402" s="329"/>
      <c r="E402" s="330"/>
      <c r="F402" s="331"/>
      <c r="G402" s="256"/>
      <c r="H402" s="256"/>
      <c r="I402" s="332"/>
      <c r="J402" s="333"/>
      <c r="K402" s="334"/>
      <c r="L402" s="484"/>
    </row>
    <row r="403" spans="1:12" ht="15" thickBot="1">
      <c r="A403" s="328"/>
      <c r="B403" s="257"/>
      <c r="C403" s="257"/>
      <c r="D403" s="329"/>
      <c r="E403" s="330"/>
      <c r="F403" s="331"/>
      <c r="G403" s="256"/>
      <c r="H403" s="256"/>
      <c r="I403" s="332"/>
      <c r="J403" s="333"/>
      <c r="K403" s="334"/>
      <c r="L403" s="484"/>
    </row>
    <row r="404" spans="1:12" ht="15" thickBot="1">
      <c r="A404" s="328"/>
      <c r="B404" s="257"/>
      <c r="C404" s="257"/>
      <c r="D404" s="329"/>
      <c r="E404" s="330"/>
      <c r="F404" s="331"/>
      <c r="G404" s="256"/>
      <c r="H404" s="256"/>
      <c r="I404" s="332"/>
      <c r="J404" s="333"/>
      <c r="K404" s="334"/>
      <c r="L404" s="484"/>
    </row>
    <row r="405" spans="1:12" ht="15" thickBot="1">
      <c r="A405" s="328"/>
      <c r="B405" s="257"/>
      <c r="C405" s="257"/>
      <c r="D405" s="329"/>
      <c r="E405" s="330"/>
      <c r="F405" s="331"/>
      <c r="G405" s="256"/>
      <c r="H405" s="256"/>
      <c r="I405" s="332"/>
      <c r="J405" s="333"/>
      <c r="K405" s="334"/>
      <c r="L405" s="484"/>
    </row>
    <row r="406" spans="1:12" ht="15" thickBot="1">
      <c r="A406" s="328"/>
      <c r="B406" s="257"/>
      <c r="C406" s="257"/>
      <c r="D406" s="329"/>
      <c r="E406" s="330"/>
      <c r="F406" s="331"/>
      <c r="G406" s="256"/>
      <c r="H406" s="256"/>
      <c r="I406" s="332"/>
      <c r="J406" s="333"/>
      <c r="K406" s="334"/>
      <c r="L406" s="484"/>
    </row>
    <row r="407" spans="1:12" ht="15" thickBot="1">
      <c r="A407" s="328"/>
      <c r="B407" s="257"/>
      <c r="C407" s="257"/>
      <c r="D407" s="329"/>
      <c r="E407" s="330"/>
      <c r="F407" s="331"/>
      <c r="G407" s="256"/>
      <c r="H407" s="256"/>
      <c r="I407" s="332"/>
      <c r="J407" s="333"/>
      <c r="K407" s="334"/>
      <c r="L407" s="484"/>
    </row>
    <row r="408" spans="1:12" ht="15" thickBot="1">
      <c r="A408" s="328"/>
      <c r="B408" s="257"/>
      <c r="C408" s="257"/>
      <c r="D408" s="329"/>
      <c r="E408" s="330"/>
      <c r="F408" s="331"/>
      <c r="G408" s="256"/>
      <c r="H408" s="256"/>
      <c r="I408" s="332"/>
      <c r="J408" s="333"/>
      <c r="K408" s="334"/>
      <c r="L408" s="484"/>
    </row>
    <row r="409" spans="1:12" ht="15" thickBot="1">
      <c r="A409" s="328"/>
      <c r="B409" s="257"/>
      <c r="C409" s="257"/>
      <c r="D409" s="329"/>
      <c r="E409" s="330"/>
      <c r="F409" s="331"/>
      <c r="G409" s="256"/>
      <c r="H409" s="256"/>
      <c r="I409" s="332"/>
      <c r="J409" s="333"/>
      <c r="K409" s="334"/>
      <c r="L409" s="484"/>
    </row>
    <row r="410" spans="1:12" ht="15" thickBot="1">
      <c r="A410" s="328"/>
      <c r="B410" s="257"/>
      <c r="C410" s="257"/>
      <c r="D410" s="329"/>
      <c r="E410" s="330"/>
      <c r="F410" s="331"/>
      <c r="G410" s="256"/>
      <c r="H410" s="256"/>
      <c r="I410" s="332"/>
      <c r="J410" s="333"/>
      <c r="K410" s="334"/>
      <c r="L410" s="484"/>
    </row>
    <row r="411" spans="1:12" ht="15" thickBot="1">
      <c r="A411" s="328"/>
      <c r="B411" s="257"/>
      <c r="C411" s="257"/>
      <c r="D411" s="329"/>
      <c r="E411" s="330"/>
      <c r="F411" s="331"/>
      <c r="G411" s="256"/>
      <c r="H411" s="256"/>
      <c r="I411" s="332"/>
      <c r="J411" s="333"/>
      <c r="K411" s="334"/>
      <c r="L411" s="484"/>
    </row>
    <row r="412" spans="1:12" ht="15" thickBot="1">
      <c r="A412" s="328"/>
      <c r="B412" s="257"/>
      <c r="C412" s="257"/>
      <c r="D412" s="329"/>
      <c r="E412" s="330"/>
      <c r="F412" s="331"/>
      <c r="G412" s="256"/>
      <c r="H412" s="256"/>
      <c r="I412" s="332"/>
      <c r="J412" s="333"/>
      <c r="K412" s="334"/>
      <c r="L412" s="484"/>
    </row>
    <row r="413" spans="1:12" ht="15" thickBot="1">
      <c r="A413" s="328"/>
      <c r="B413" s="257"/>
      <c r="C413" s="257"/>
      <c r="D413" s="329"/>
      <c r="E413" s="330"/>
      <c r="F413" s="331"/>
      <c r="G413" s="256"/>
      <c r="H413" s="256"/>
      <c r="I413" s="332"/>
      <c r="J413" s="333"/>
      <c r="K413" s="334"/>
      <c r="L413" s="484"/>
    </row>
    <row r="414" spans="1:12" ht="15" thickBot="1">
      <c r="A414" s="328"/>
      <c r="B414" s="257"/>
      <c r="C414" s="257"/>
      <c r="D414" s="329"/>
      <c r="E414" s="330"/>
      <c r="F414" s="331"/>
      <c r="G414" s="256"/>
      <c r="H414" s="256"/>
      <c r="I414" s="332"/>
      <c r="J414" s="333"/>
      <c r="K414" s="334"/>
      <c r="L414" s="484"/>
    </row>
    <row r="415" spans="1:12" ht="15" thickBot="1">
      <c r="A415" s="328"/>
      <c r="B415" s="257"/>
      <c r="C415" s="257"/>
      <c r="D415" s="329"/>
      <c r="E415" s="330"/>
      <c r="F415" s="331"/>
      <c r="G415" s="256"/>
      <c r="H415" s="256"/>
      <c r="I415" s="332"/>
      <c r="J415" s="333"/>
      <c r="K415" s="334"/>
      <c r="L415" s="484"/>
    </row>
    <row r="416" spans="1:12" ht="15" thickBot="1">
      <c r="A416" s="328"/>
      <c r="B416" s="257"/>
      <c r="C416" s="257"/>
      <c r="D416" s="329"/>
      <c r="E416" s="330"/>
      <c r="F416" s="331"/>
      <c r="G416" s="256"/>
      <c r="H416" s="256"/>
      <c r="I416" s="332"/>
      <c r="J416" s="333"/>
      <c r="K416" s="334"/>
      <c r="L416" s="484"/>
    </row>
    <row r="417" spans="1:12" ht="15" thickBot="1">
      <c r="A417" s="328"/>
      <c r="B417" s="257"/>
      <c r="C417" s="257"/>
      <c r="D417" s="329"/>
      <c r="E417" s="330"/>
      <c r="F417" s="331"/>
      <c r="G417" s="256"/>
      <c r="H417" s="256"/>
      <c r="I417" s="332"/>
      <c r="J417" s="333"/>
      <c r="K417" s="334"/>
      <c r="L417" s="484"/>
    </row>
    <row r="418" spans="1:12" ht="15" thickBot="1">
      <c r="A418" s="328"/>
      <c r="B418" s="257"/>
      <c r="C418" s="257"/>
      <c r="D418" s="329"/>
      <c r="E418" s="330"/>
      <c r="F418" s="331"/>
      <c r="G418" s="256"/>
      <c r="H418" s="256"/>
      <c r="I418" s="332"/>
      <c r="J418" s="333"/>
      <c r="K418" s="334"/>
      <c r="L418" s="484"/>
    </row>
    <row r="419" spans="1:12" ht="15" thickBot="1">
      <c r="A419" s="328"/>
      <c r="B419" s="257"/>
      <c r="C419" s="257"/>
      <c r="D419" s="329"/>
      <c r="E419" s="330"/>
      <c r="F419" s="331"/>
      <c r="G419" s="256"/>
      <c r="H419" s="256"/>
      <c r="I419" s="332"/>
      <c r="J419" s="333"/>
      <c r="K419" s="334"/>
      <c r="L419" s="484"/>
    </row>
    <row r="420" spans="1:12" ht="15" thickBot="1">
      <c r="A420" s="328"/>
      <c r="B420" s="257"/>
      <c r="C420" s="257"/>
      <c r="D420" s="329"/>
      <c r="E420" s="330"/>
      <c r="F420" s="331"/>
      <c r="G420" s="256"/>
      <c r="H420" s="256"/>
      <c r="I420" s="332"/>
      <c r="J420" s="333"/>
      <c r="K420" s="334"/>
      <c r="L420" s="484"/>
    </row>
    <row r="421" spans="1:12" ht="15" thickBot="1">
      <c r="A421" s="328"/>
      <c r="B421" s="257"/>
      <c r="C421" s="257"/>
      <c r="D421" s="329"/>
      <c r="E421" s="330"/>
      <c r="F421" s="331"/>
      <c r="G421" s="256"/>
      <c r="H421" s="256"/>
      <c r="I421" s="332"/>
      <c r="J421" s="333"/>
      <c r="K421" s="334"/>
      <c r="L421" s="484"/>
    </row>
    <row r="422" spans="1:12" ht="15" thickBot="1">
      <c r="A422" s="328"/>
      <c r="B422" s="257"/>
      <c r="C422" s="257"/>
      <c r="D422" s="329"/>
      <c r="E422" s="330"/>
      <c r="F422" s="331"/>
      <c r="G422" s="256"/>
      <c r="H422" s="256"/>
      <c r="I422" s="332"/>
      <c r="J422" s="333"/>
      <c r="K422" s="334"/>
      <c r="L422" s="484"/>
    </row>
    <row r="423" spans="1:12" ht="15" thickBot="1">
      <c r="A423" s="328"/>
      <c r="B423" s="257"/>
      <c r="C423" s="257"/>
      <c r="D423" s="329"/>
      <c r="E423" s="330"/>
      <c r="F423" s="331"/>
      <c r="G423" s="256"/>
      <c r="H423" s="256"/>
      <c r="I423" s="332"/>
      <c r="J423" s="333"/>
      <c r="K423" s="334"/>
      <c r="L423" s="484"/>
    </row>
    <row r="424" spans="1:12" ht="15" thickBot="1">
      <c r="A424" s="328"/>
      <c r="B424" s="257"/>
      <c r="C424" s="257"/>
      <c r="D424" s="329"/>
      <c r="E424" s="330"/>
      <c r="F424" s="331"/>
      <c r="G424" s="256"/>
      <c r="H424" s="256"/>
      <c r="I424" s="332"/>
      <c r="J424" s="333"/>
      <c r="K424" s="334"/>
      <c r="L424" s="484"/>
    </row>
    <row r="425" spans="1:12" ht="15" thickBot="1">
      <c r="A425" s="328"/>
      <c r="B425" s="257"/>
      <c r="C425" s="257"/>
      <c r="D425" s="329"/>
      <c r="E425" s="330"/>
      <c r="F425" s="331"/>
      <c r="G425" s="256"/>
      <c r="H425" s="256"/>
      <c r="I425" s="332"/>
      <c r="J425" s="333"/>
      <c r="K425" s="334"/>
      <c r="L425" s="484"/>
    </row>
    <row r="426" spans="1:12" ht="15" thickBot="1">
      <c r="A426" s="328"/>
      <c r="B426" s="257"/>
      <c r="C426" s="257"/>
      <c r="D426" s="329"/>
      <c r="E426" s="330"/>
      <c r="F426" s="331"/>
      <c r="G426" s="256"/>
      <c r="H426" s="256"/>
      <c r="I426" s="332"/>
      <c r="J426" s="333"/>
      <c r="K426" s="334"/>
      <c r="L426" s="484"/>
    </row>
    <row r="427" spans="1:12" ht="15" thickBot="1">
      <c r="A427" s="328"/>
      <c r="B427" s="257"/>
      <c r="C427" s="257"/>
      <c r="D427" s="329"/>
      <c r="E427" s="330"/>
      <c r="F427" s="331"/>
      <c r="G427" s="256"/>
      <c r="H427" s="256"/>
      <c r="I427" s="332"/>
      <c r="J427" s="333"/>
      <c r="K427" s="334"/>
      <c r="L427" s="484"/>
    </row>
    <row r="428" spans="1:12" ht="15" thickBot="1">
      <c r="A428" s="328"/>
      <c r="B428" s="257"/>
      <c r="C428" s="257"/>
      <c r="D428" s="329"/>
      <c r="E428" s="330"/>
      <c r="F428" s="331"/>
      <c r="G428" s="256"/>
      <c r="H428" s="256"/>
      <c r="I428" s="332"/>
      <c r="J428" s="333"/>
      <c r="K428" s="334"/>
      <c r="L428" s="484"/>
    </row>
    <row r="429" spans="1:12" ht="15" thickBot="1">
      <c r="A429" s="328"/>
      <c r="B429" s="257"/>
      <c r="C429" s="257"/>
      <c r="D429" s="329"/>
      <c r="E429" s="330"/>
      <c r="F429" s="331"/>
      <c r="G429" s="256"/>
      <c r="H429" s="256"/>
      <c r="I429" s="332"/>
      <c r="J429" s="333"/>
      <c r="K429" s="334"/>
      <c r="L429" s="484"/>
    </row>
    <row r="430" spans="1:12" ht="15" thickBot="1">
      <c r="A430" s="328"/>
      <c r="B430" s="257"/>
      <c r="C430" s="257"/>
      <c r="D430" s="329"/>
      <c r="E430" s="330"/>
      <c r="F430" s="331"/>
      <c r="G430" s="256"/>
      <c r="H430" s="256"/>
      <c r="I430" s="332"/>
      <c r="J430" s="333"/>
      <c r="K430" s="334"/>
      <c r="L430" s="484"/>
    </row>
    <row r="431" spans="1:12" ht="15" thickBot="1">
      <c r="A431" s="328"/>
      <c r="B431" s="257"/>
      <c r="C431" s="257"/>
      <c r="D431" s="329"/>
      <c r="E431" s="330"/>
      <c r="F431" s="331"/>
      <c r="G431" s="256"/>
      <c r="H431" s="256"/>
      <c r="I431" s="332"/>
      <c r="J431" s="333"/>
      <c r="K431" s="334"/>
      <c r="L431" s="484"/>
    </row>
    <row r="432" spans="1:12" ht="15" thickBot="1">
      <c r="A432" s="328"/>
      <c r="B432" s="257"/>
      <c r="C432" s="257"/>
      <c r="D432" s="329"/>
      <c r="E432" s="330"/>
      <c r="F432" s="331"/>
      <c r="G432" s="256"/>
      <c r="H432" s="256"/>
      <c r="I432" s="332"/>
      <c r="J432" s="333"/>
      <c r="K432" s="334"/>
      <c r="L432" s="484"/>
    </row>
    <row r="433" spans="1:12" ht="15" thickBot="1">
      <c r="A433" s="328"/>
      <c r="B433" s="257"/>
      <c r="C433" s="257"/>
      <c r="D433" s="329"/>
      <c r="E433" s="330"/>
      <c r="F433" s="331"/>
      <c r="G433" s="256"/>
      <c r="H433" s="256"/>
      <c r="I433" s="332"/>
      <c r="J433" s="333"/>
      <c r="K433" s="334"/>
      <c r="L433" s="484"/>
    </row>
    <row r="434" spans="1:12" ht="15" thickBot="1">
      <c r="A434" s="328"/>
      <c r="B434" s="257"/>
      <c r="C434" s="257"/>
      <c r="D434" s="329"/>
      <c r="E434" s="330"/>
      <c r="F434" s="331"/>
      <c r="G434" s="256"/>
      <c r="H434" s="256"/>
      <c r="I434" s="332"/>
      <c r="J434" s="333"/>
      <c r="K434" s="334"/>
      <c r="L434" s="484"/>
    </row>
    <row r="435" spans="1:12" ht="15" thickBot="1">
      <c r="A435" s="328"/>
      <c r="B435" s="257"/>
      <c r="C435" s="257"/>
      <c r="D435" s="329"/>
      <c r="E435" s="330"/>
      <c r="F435" s="331"/>
      <c r="G435" s="256"/>
      <c r="H435" s="256"/>
      <c r="I435" s="332"/>
      <c r="J435" s="333"/>
      <c r="K435" s="334"/>
      <c r="L435" s="484"/>
    </row>
    <row r="436" spans="1:12" ht="15" thickBot="1">
      <c r="A436" s="328"/>
      <c r="B436" s="257"/>
      <c r="C436" s="257"/>
      <c r="D436" s="329"/>
      <c r="E436" s="330"/>
      <c r="F436" s="331"/>
      <c r="G436" s="256"/>
      <c r="H436" s="256"/>
      <c r="I436" s="332"/>
      <c r="J436" s="333"/>
      <c r="K436" s="334"/>
      <c r="L436" s="484"/>
    </row>
    <row r="437" spans="1:12" ht="15" thickBot="1">
      <c r="A437" s="328"/>
      <c r="B437" s="257"/>
      <c r="C437" s="257"/>
      <c r="D437" s="329"/>
      <c r="E437" s="330"/>
      <c r="F437" s="331"/>
      <c r="G437" s="256"/>
      <c r="H437" s="256"/>
      <c r="I437" s="332"/>
      <c r="J437" s="333"/>
      <c r="K437" s="334"/>
      <c r="L437" s="484"/>
    </row>
    <row r="438" spans="1:12" ht="15" thickBot="1">
      <c r="A438" s="328"/>
      <c r="B438" s="257"/>
      <c r="C438" s="257"/>
      <c r="D438" s="329"/>
      <c r="E438" s="330"/>
      <c r="F438" s="331"/>
      <c r="G438" s="256"/>
      <c r="H438" s="256"/>
      <c r="I438" s="332"/>
      <c r="J438" s="333"/>
      <c r="K438" s="334"/>
      <c r="L438" s="484"/>
    </row>
    <row r="439" spans="1:12" ht="15" thickBot="1">
      <c r="A439" s="328"/>
      <c r="B439" s="257"/>
      <c r="C439" s="257"/>
      <c r="D439" s="329"/>
      <c r="E439" s="330"/>
      <c r="F439" s="331"/>
      <c r="G439" s="256"/>
      <c r="H439" s="256"/>
      <c r="I439" s="332"/>
      <c r="J439" s="333"/>
      <c r="K439" s="334"/>
      <c r="L439" s="484"/>
    </row>
    <row r="440" spans="1:12" ht="15" thickBot="1">
      <c r="A440" s="328"/>
      <c r="B440" s="257"/>
      <c r="C440" s="257"/>
      <c r="D440" s="329"/>
      <c r="E440" s="330"/>
      <c r="F440" s="331"/>
      <c r="G440" s="256"/>
      <c r="H440" s="256"/>
      <c r="I440" s="332"/>
      <c r="J440" s="333"/>
      <c r="K440" s="334"/>
      <c r="L440" s="484"/>
    </row>
    <row r="441" spans="1:12" ht="15" thickBot="1">
      <c r="A441" s="328"/>
      <c r="B441" s="257"/>
      <c r="C441" s="257"/>
      <c r="D441" s="329"/>
      <c r="E441" s="330"/>
      <c r="F441" s="331"/>
      <c r="G441" s="256"/>
      <c r="H441" s="256"/>
      <c r="I441" s="332"/>
      <c r="J441" s="333"/>
      <c r="K441" s="334"/>
      <c r="L441" s="484"/>
    </row>
    <row r="442" spans="1:12" ht="15" thickBot="1">
      <c r="A442" s="328"/>
      <c r="B442" s="257"/>
      <c r="C442" s="257"/>
      <c r="D442" s="329"/>
      <c r="E442" s="330"/>
      <c r="F442" s="331"/>
      <c r="G442" s="256"/>
      <c r="H442" s="256"/>
      <c r="I442" s="332"/>
      <c r="J442" s="333"/>
      <c r="K442" s="334"/>
      <c r="L442" s="484"/>
    </row>
    <row r="443" spans="1:12" ht="15" thickBot="1">
      <c r="A443" s="328"/>
      <c r="B443" s="257"/>
      <c r="C443" s="257"/>
      <c r="D443" s="329"/>
      <c r="E443" s="330"/>
      <c r="F443" s="331"/>
      <c r="G443" s="256"/>
      <c r="H443" s="256"/>
      <c r="I443" s="332"/>
      <c r="J443" s="333"/>
      <c r="K443" s="334"/>
      <c r="L443" s="484"/>
    </row>
    <row r="444" spans="1:12" ht="15" thickBot="1">
      <c r="A444" s="328"/>
      <c r="B444" s="257"/>
      <c r="C444" s="257"/>
      <c r="D444" s="329"/>
      <c r="E444" s="330"/>
      <c r="F444" s="331"/>
      <c r="G444" s="256"/>
      <c r="H444" s="256"/>
      <c r="I444" s="332"/>
      <c r="J444" s="333"/>
      <c r="K444" s="334"/>
      <c r="L444" s="484"/>
    </row>
    <row r="445" spans="1:12" ht="15" thickBot="1">
      <c r="A445" s="328"/>
      <c r="B445" s="257"/>
      <c r="C445" s="257"/>
      <c r="D445" s="329"/>
      <c r="E445" s="330"/>
      <c r="F445" s="331"/>
      <c r="G445" s="256"/>
      <c r="H445" s="256"/>
      <c r="I445" s="332"/>
      <c r="J445" s="333"/>
      <c r="K445" s="334"/>
      <c r="L445" s="484"/>
    </row>
    <row r="446" spans="1:12" ht="15" thickBot="1">
      <c r="A446" s="328"/>
      <c r="B446" s="257"/>
      <c r="C446" s="257"/>
      <c r="D446" s="329"/>
      <c r="E446" s="330"/>
      <c r="F446" s="331"/>
      <c r="G446" s="256"/>
      <c r="H446" s="256"/>
      <c r="I446" s="332"/>
      <c r="J446" s="333"/>
      <c r="K446" s="334"/>
      <c r="L446" s="484"/>
    </row>
    <row r="447" spans="1:12" ht="15" thickBot="1">
      <c r="A447" s="328"/>
      <c r="B447" s="257"/>
      <c r="C447" s="257"/>
      <c r="D447" s="329"/>
      <c r="E447" s="330"/>
      <c r="F447" s="331"/>
      <c r="G447" s="256"/>
      <c r="H447" s="256"/>
      <c r="I447" s="332"/>
      <c r="J447" s="333"/>
      <c r="K447" s="334"/>
      <c r="L447" s="484"/>
    </row>
    <row r="448" spans="1:12" ht="15" thickBot="1">
      <c r="A448" s="328"/>
      <c r="B448" s="257"/>
      <c r="C448" s="257"/>
      <c r="D448" s="329"/>
      <c r="E448" s="330"/>
      <c r="F448" s="331"/>
      <c r="G448" s="256"/>
      <c r="H448" s="256"/>
      <c r="I448" s="332"/>
      <c r="J448" s="333"/>
      <c r="K448" s="334"/>
      <c r="L448" s="484"/>
    </row>
    <row r="449" spans="1:12" ht="15" thickBot="1">
      <c r="A449" s="328"/>
      <c r="B449" s="257"/>
      <c r="C449" s="257"/>
      <c r="D449" s="329"/>
      <c r="E449" s="330"/>
      <c r="F449" s="331"/>
      <c r="G449" s="256"/>
      <c r="H449" s="256"/>
      <c r="I449" s="332"/>
      <c r="J449" s="333"/>
      <c r="K449" s="334"/>
      <c r="L449" s="484"/>
    </row>
    <row r="450" spans="1:12" ht="15" thickBot="1">
      <c r="A450" s="328"/>
      <c r="B450" s="257"/>
      <c r="C450" s="257"/>
      <c r="D450" s="329"/>
      <c r="E450" s="330"/>
      <c r="F450" s="331"/>
      <c r="G450" s="256"/>
      <c r="H450" s="256"/>
      <c r="I450" s="332"/>
      <c r="J450" s="333"/>
      <c r="K450" s="334"/>
      <c r="L450" s="484"/>
    </row>
    <row r="451" spans="1:12" ht="15" thickBot="1">
      <c r="A451" s="328"/>
      <c r="B451" s="257"/>
      <c r="C451" s="257"/>
      <c r="D451" s="329"/>
      <c r="E451" s="330"/>
      <c r="F451" s="331"/>
      <c r="G451" s="256"/>
      <c r="H451" s="256"/>
      <c r="I451" s="332"/>
      <c r="J451" s="333"/>
      <c r="K451" s="334"/>
      <c r="L451" s="484"/>
    </row>
    <row r="452" spans="1:12" ht="15" thickBot="1">
      <c r="A452" s="328"/>
      <c r="B452" s="257"/>
      <c r="C452" s="257"/>
      <c r="D452" s="329"/>
      <c r="E452" s="330"/>
      <c r="F452" s="331"/>
      <c r="G452" s="256"/>
      <c r="H452" s="256"/>
      <c r="I452" s="332"/>
      <c r="J452" s="333"/>
      <c r="K452" s="334"/>
      <c r="L452" s="484"/>
    </row>
    <row r="453" spans="1:12" ht="15" thickBot="1">
      <c r="A453" s="328"/>
      <c r="B453" s="257"/>
      <c r="C453" s="257"/>
      <c r="D453" s="329"/>
      <c r="E453" s="330"/>
      <c r="F453" s="331"/>
      <c r="G453" s="256"/>
      <c r="H453" s="256"/>
      <c r="I453" s="332"/>
      <c r="J453" s="333"/>
      <c r="K453" s="334"/>
      <c r="L453" s="484"/>
    </row>
    <row r="454" spans="1:12" ht="15" thickBot="1">
      <c r="A454" s="328"/>
      <c r="B454" s="257"/>
      <c r="C454" s="257"/>
      <c r="D454" s="329"/>
      <c r="E454" s="330"/>
      <c r="F454" s="331"/>
      <c r="G454" s="256"/>
      <c r="H454" s="256"/>
      <c r="I454" s="332"/>
      <c r="J454" s="333"/>
      <c r="K454" s="334"/>
      <c r="L454" s="484"/>
    </row>
    <row r="455" spans="1:12" ht="15" thickBot="1">
      <c r="A455" s="328"/>
      <c r="B455" s="257"/>
      <c r="C455" s="257"/>
      <c r="D455" s="329"/>
      <c r="E455" s="330"/>
      <c r="F455" s="331"/>
      <c r="G455" s="256"/>
      <c r="H455" s="256"/>
      <c r="I455" s="332"/>
      <c r="J455" s="333"/>
      <c r="K455" s="334"/>
      <c r="L455" s="484"/>
    </row>
    <row r="456" spans="1:12" ht="15" thickBot="1">
      <c r="A456" s="328"/>
      <c r="B456" s="257"/>
      <c r="C456" s="257"/>
      <c r="D456" s="329"/>
      <c r="E456" s="330"/>
      <c r="F456" s="331"/>
      <c r="G456" s="256"/>
      <c r="H456" s="256"/>
      <c r="I456" s="332"/>
      <c r="J456" s="333"/>
      <c r="K456" s="334"/>
      <c r="L456" s="484"/>
    </row>
    <row r="457" spans="1:12" ht="15" thickBot="1">
      <c r="A457" s="328"/>
      <c r="B457" s="257"/>
      <c r="C457" s="257"/>
      <c r="D457" s="329"/>
      <c r="E457" s="330"/>
      <c r="F457" s="331"/>
      <c r="G457" s="256"/>
      <c r="H457" s="256"/>
      <c r="I457" s="332"/>
      <c r="J457" s="333"/>
      <c r="K457" s="334"/>
      <c r="L457" s="484"/>
    </row>
    <row r="458" spans="1:12" ht="15" thickBot="1">
      <c r="A458" s="328"/>
      <c r="B458" s="257"/>
      <c r="C458" s="257"/>
      <c r="D458" s="329"/>
      <c r="E458" s="330"/>
      <c r="F458" s="331"/>
      <c r="G458" s="256"/>
      <c r="H458" s="256"/>
      <c r="I458" s="332"/>
      <c r="J458" s="333"/>
      <c r="K458" s="334"/>
      <c r="L458" s="484"/>
    </row>
    <row r="459" spans="1:12" ht="15" thickBot="1">
      <c r="A459" s="328"/>
      <c r="B459" s="257"/>
      <c r="C459" s="257"/>
      <c r="D459" s="329"/>
      <c r="E459" s="330"/>
      <c r="F459" s="331"/>
      <c r="G459" s="256"/>
      <c r="H459" s="256"/>
      <c r="I459" s="332"/>
      <c r="J459" s="333"/>
      <c r="K459" s="334"/>
      <c r="L459" s="484"/>
    </row>
    <row r="460" spans="1:12" ht="15" thickBot="1">
      <c r="A460" s="328"/>
      <c r="B460" s="257"/>
      <c r="C460" s="257"/>
      <c r="D460" s="329"/>
      <c r="E460" s="330"/>
      <c r="F460" s="331"/>
      <c r="G460" s="256"/>
      <c r="H460" s="256"/>
      <c r="I460" s="332"/>
      <c r="J460" s="333"/>
      <c r="K460" s="334"/>
      <c r="L460" s="484"/>
    </row>
    <row r="461" spans="1:12" ht="15" thickBot="1">
      <c r="A461" s="328"/>
      <c r="B461" s="257"/>
      <c r="C461" s="257"/>
      <c r="D461" s="329"/>
      <c r="E461" s="330"/>
      <c r="F461" s="331"/>
      <c r="G461" s="256"/>
      <c r="H461" s="256"/>
      <c r="I461" s="332"/>
      <c r="J461" s="333"/>
      <c r="K461" s="334"/>
      <c r="L461" s="484"/>
    </row>
    <row r="462" spans="1:12" ht="15" thickBot="1">
      <c r="A462" s="328"/>
      <c r="B462" s="257"/>
      <c r="C462" s="257"/>
      <c r="D462" s="329"/>
      <c r="E462" s="330"/>
      <c r="F462" s="331"/>
      <c r="G462" s="256"/>
      <c r="H462" s="256"/>
      <c r="I462" s="332"/>
      <c r="J462" s="333"/>
      <c r="K462" s="334"/>
      <c r="L462" s="484"/>
    </row>
    <row r="463" spans="1:12" ht="15" thickBot="1">
      <c r="A463" s="328"/>
      <c r="B463" s="257"/>
      <c r="C463" s="257"/>
      <c r="D463" s="329"/>
      <c r="E463" s="330"/>
      <c r="F463" s="331"/>
      <c r="G463" s="256"/>
      <c r="H463" s="256"/>
      <c r="I463" s="332"/>
      <c r="J463" s="333"/>
      <c r="K463" s="334"/>
      <c r="L463" s="484"/>
    </row>
    <row r="464" spans="1:12" ht="15" thickBot="1">
      <c r="A464" s="328"/>
      <c r="B464" s="257"/>
      <c r="C464" s="257"/>
      <c r="D464" s="329"/>
      <c r="E464" s="330"/>
      <c r="F464" s="331"/>
      <c r="G464" s="256"/>
      <c r="H464" s="256"/>
      <c r="I464" s="332"/>
      <c r="J464" s="333"/>
      <c r="K464" s="334"/>
      <c r="L464" s="484"/>
    </row>
    <row r="465" spans="1:12" ht="15" thickBot="1">
      <c r="A465" s="328"/>
      <c r="B465" s="257"/>
      <c r="C465" s="257"/>
      <c r="D465" s="329"/>
      <c r="E465" s="330"/>
      <c r="F465" s="331"/>
      <c r="G465" s="256"/>
      <c r="H465" s="256"/>
      <c r="I465" s="332"/>
      <c r="J465" s="333"/>
      <c r="K465" s="334"/>
      <c r="L465" s="484"/>
    </row>
    <row r="466" spans="1:12" ht="15" thickBot="1">
      <c r="A466" s="328"/>
      <c r="B466" s="257"/>
      <c r="C466" s="257"/>
      <c r="D466" s="329"/>
      <c r="E466" s="330"/>
      <c r="F466" s="331"/>
      <c r="G466" s="256"/>
      <c r="H466" s="256"/>
      <c r="I466" s="332"/>
      <c r="J466" s="333"/>
      <c r="K466" s="334"/>
      <c r="L466" s="484"/>
    </row>
    <row r="467" spans="1:12" ht="15" thickBot="1">
      <c r="A467" s="328"/>
      <c r="B467" s="257"/>
      <c r="C467" s="257"/>
      <c r="D467" s="329"/>
      <c r="E467" s="330"/>
      <c r="F467" s="331"/>
      <c r="G467" s="256"/>
      <c r="H467" s="256"/>
      <c r="I467" s="332"/>
      <c r="J467" s="333"/>
      <c r="K467" s="334"/>
      <c r="L467" s="484"/>
    </row>
    <row r="468" spans="1:12" ht="15" thickBot="1">
      <c r="A468" s="328"/>
      <c r="B468" s="257"/>
      <c r="C468" s="257"/>
      <c r="D468" s="329"/>
      <c r="E468" s="330"/>
      <c r="F468" s="331"/>
      <c r="G468" s="256"/>
      <c r="H468" s="256"/>
      <c r="I468" s="332"/>
      <c r="J468" s="333"/>
      <c r="K468" s="334"/>
      <c r="L468" s="484"/>
    </row>
    <row r="469" spans="1:12" ht="15" thickBot="1">
      <c r="A469" s="328"/>
      <c r="B469" s="257"/>
      <c r="C469" s="257"/>
      <c r="D469" s="329"/>
      <c r="E469" s="330"/>
      <c r="F469" s="331"/>
      <c r="G469" s="256"/>
      <c r="H469" s="256"/>
      <c r="I469" s="332"/>
      <c r="J469" s="333"/>
      <c r="K469" s="334"/>
      <c r="L469" s="484"/>
    </row>
    <row r="470" spans="1:12" ht="15" thickBot="1">
      <c r="A470" s="328"/>
      <c r="B470" s="257"/>
      <c r="C470" s="257"/>
      <c r="D470" s="329"/>
      <c r="E470" s="330"/>
      <c r="F470" s="331"/>
      <c r="G470" s="256"/>
      <c r="H470" s="256"/>
      <c r="I470" s="332"/>
      <c r="J470" s="333"/>
      <c r="K470" s="334"/>
      <c r="L470" s="484"/>
    </row>
    <row r="471" spans="1:12" ht="15" thickBot="1">
      <c r="A471" s="328"/>
      <c r="B471" s="257"/>
      <c r="C471" s="257"/>
      <c r="D471" s="329"/>
      <c r="E471" s="330"/>
      <c r="F471" s="331"/>
      <c r="G471" s="256"/>
      <c r="H471" s="256"/>
      <c r="I471" s="332"/>
      <c r="J471" s="333"/>
      <c r="K471" s="334"/>
      <c r="L471" s="484"/>
    </row>
    <row r="472" spans="1:12" ht="15" thickBot="1">
      <c r="A472" s="328"/>
      <c r="B472" s="257"/>
      <c r="C472" s="257"/>
      <c r="D472" s="329"/>
      <c r="E472" s="330"/>
      <c r="F472" s="331"/>
      <c r="G472" s="256"/>
      <c r="H472" s="256"/>
      <c r="I472" s="332"/>
      <c r="J472" s="333"/>
      <c r="K472" s="334"/>
      <c r="L472" s="484"/>
    </row>
    <row r="473" spans="1:12" ht="15" thickBot="1">
      <c r="A473" s="328"/>
      <c r="B473" s="257"/>
      <c r="C473" s="257"/>
      <c r="D473" s="329"/>
      <c r="E473" s="330"/>
      <c r="F473" s="331"/>
      <c r="G473" s="256"/>
      <c r="H473" s="256"/>
      <c r="I473" s="332"/>
      <c r="J473" s="333"/>
      <c r="K473" s="334"/>
      <c r="L473" s="484"/>
    </row>
    <row r="474" spans="1:12" ht="15" thickBot="1">
      <c r="A474" s="328"/>
      <c r="B474" s="257"/>
      <c r="C474" s="257"/>
      <c r="D474" s="329"/>
      <c r="E474" s="330"/>
      <c r="F474" s="331"/>
      <c r="G474" s="256"/>
      <c r="H474" s="256"/>
      <c r="I474" s="332"/>
      <c r="J474" s="333"/>
      <c r="K474" s="334"/>
      <c r="L474" s="484"/>
    </row>
    <row r="475" spans="1:12" ht="15" thickBot="1">
      <c r="A475" s="328"/>
      <c r="B475" s="257"/>
      <c r="C475" s="257"/>
      <c r="D475" s="329"/>
      <c r="E475" s="330"/>
      <c r="F475" s="331"/>
      <c r="G475" s="256"/>
      <c r="H475" s="256"/>
      <c r="I475" s="332"/>
      <c r="J475" s="333"/>
      <c r="K475" s="334"/>
      <c r="L475" s="484"/>
    </row>
    <row r="476" spans="1:12" ht="15" thickBot="1">
      <c r="A476" s="328"/>
      <c r="B476" s="257"/>
      <c r="C476" s="257"/>
      <c r="D476" s="329"/>
      <c r="E476" s="330"/>
      <c r="F476" s="331"/>
      <c r="G476" s="256"/>
      <c r="H476" s="256"/>
      <c r="I476" s="332"/>
      <c r="J476" s="333"/>
      <c r="K476" s="334"/>
      <c r="L476" s="484"/>
    </row>
    <row r="477" spans="1:12" ht="15" thickBot="1">
      <c r="A477" s="328"/>
      <c r="B477" s="257"/>
      <c r="C477" s="257"/>
      <c r="D477" s="329"/>
      <c r="E477" s="330"/>
      <c r="F477" s="331"/>
      <c r="G477" s="256"/>
      <c r="H477" s="256"/>
      <c r="I477" s="332"/>
      <c r="J477" s="333"/>
      <c r="K477" s="334"/>
      <c r="L477" s="484"/>
    </row>
    <row r="478" spans="1:12" ht="15" thickBot="1">
      <c r="A478" s="328"/>
      <c r="B478" s="257"/>
      <c r="C478" s="257"/>
      <c r="D478" s="329"/>
      <c r="E478" s="330"/>
      <c r="F478" s="331"/>
      <c r="G478" s="256"/>
      <c r="H478" s="256"/>
      <c r="I478" s="332"/>
      <c r="J478" s="333"/>
      <c r="K478" s="334"/>
      <c r="L478" s="484"/>
    </row>
    <row r="479" spans="1:12" ht="15" thickBot="1">
      <c r="A479" s="328"/>
      <c r="B479" s="257"/>
      <c r="C479" s="257"/>
      <c r="D479" s="329"/>
      <c r="E479" s="330"/>
      <c r="F479" s="331"/>
      <c r="G479" s="256"/>
      <c r="H479" s="256"/>
      <c r="I479" s="332"/>
      <c r="J479" s="333"/>
      <c r="K479" s="334"/>
      <c r="L479" s="484"/>
    </row>
    <row r="480" spans="1:12" ht="15" thickBot="1">
      <c r="A480" s="328"/>
      <c r="B480" s="257"/>
      <c r="C480" s="257"/>
      <c r="D480" s="329"/>
      <c r="E480" s="330"/>
      <c r="F480" s="331"/>
      <c r="G480" s="256"/>
      <c r="H480" s="256"/>
      <c r="I480" s="332"/>
      <c r="J480" s="333"/>
      <c r="K480" s="334"/>
      <c r="L480" s="484"/>
    </row>
    <row r="481" spans="1:12" ht="15" thickBot="1">
      <c r="A481" s="328"/>
      <c r="B481" s="257"/>
      <c r="C481" s="257"/>
      <c r="D481" s="329"/>
      <c r="E481" s="330"/>
      <c r="F481" s="331"/>
      <c r="G481" s="256"/>
      <c r="H481" s="256"/>
      <c r="I481" s="332"/>
      <c r="J481" s="333"/>
      <c r="K481" s="334"/>
      <c r="L481" s="484"/>
    </row>
    <row r="482" spans="1:12" ht="15" thickBot="1">
      <c r="A482" s="328"/>
      <c r="B482" s="257"/>
      <c r="C482" s="257"/>
      <c r="D482" s="329"/>
      <c r="E482" s="330"/>
      <c r="F482" s="331"/>
      <c r="G482" s="256"/>
      <c r="H482" s="256"/>
      <c r="I482" s="332"/>
      <c r="J482" s="333"/>
      <c r="K482" s="334"/>
      <c r="L482" s="484"/>
    </row>
    <row r="483" spans="1:12" ht="15" thickBot="1">
      <c r="A483" s="328"/>
      <c r="B483" s="257"/>
      <c r="C483" s="257"/>
      <c r="D483" s="329"/>
      <c r="E483" s="330"/>
      <c r="F483" s="331"/>
      <c r="G483" s="256"/>
      <c r="H483" s="256"/>
      <c r="I483" s="332"/>
      <c r="J483" s="333"/>
      <c r="K483" s="334"/>
      <c r="L483" s="484"/>
    </row>
    <row r="484" spans="1:12" ht="15" thickBot="1">
      <c r="A484" s="328"/>
      <c r="B484" s="257"/>
      <c r="C484" s="257"/>
      <c r="D484" s="329"/>
      <c r="E484" s="330"/>
      <c r="F484" s="331"/>
      <c r="G484" s="256"/>
      <c r="H484" s="256"/>
      <c r="I484" s="332"/>
      <c r="J484" s="333"/>
      <c r="K484" s="334"/>
      <c r="L484" s="484"/>
    </row>
    <row r="485" spans="1:12" ht="15" thickBot="1">
      <c r="A485" s="328"/>
      <c r="B485" s="257"/>
      <c r="C485" s="257"/>
      <c r="D485" s="329"/>
      <c r="E485" s="330"/>
      <c r="F485" s="331"/>
      <c r="G485" s="256"/>
      <c r="H485" s="256"/>
      <c r="I485" s="332"/>
      <c r="J485" s="333"/>
      <c r="K485" s="334"/>
      <c r="L485" s="484"/>
    </row>
    <row r="486" spans="1:12" ht="15" thickBot="1">
      <c r="A486" s="328"/>
      <c r="B486" s="257"/>
      <c r="C486" s="257"/>
      <c r="D486" s="329"/>
      <c r="E486" s="330"/>
      <c r="F486" s="331"/>
      <c r="G486" s="256"/>
      <c r="H486" s="256"/>
      <c r="I486" s="332"/>
      <c r="J486" s="333"/>
      <c r="K486" s="334"/>
      <c r="L486" s="484"/>
    </row>
    <row r="487" spans="1:12" ht="15" thickBot="1">
      <c r="A487" s="328"/>
      <c r="B487" s="257"/>
      <c r="C487" s="257"/>
      <c r="D487" s="329"/>
      <c r="E487" s="330"/>
      <c r="F487" s="331"/>
      <c r="G487" s="256"/>
      <c r="H487" s="256"/>
      <c r="I487" s="332"/>
      <c r="J487" s="333"/>
      <c r="K487" s="334"/>
      <c r="L487" s="484"/>
    </row>
    <row r="488" spans="1:12" ht="15" thickBot="1">
      <c r="A488" s="328"/>
      <c r="B488" s="257"/>
      <c r="C488" s="257"/>
      <c r="D488" s="329"/>
      <c r="E488" s="330"/>
      <c r="F488" s="331"/>
      <c r="G488" s="256"/>
      <c r="H488" s="256"/>
      <c r="I488" s="332"/>
      <c r="J488" s="333"/>
      <c r="K488" s="334"/>
      <c r="L488" s="484"/>
    </row>
    <row r="489" spans="1:12" ht="15" thickBot="1">
      <c r="A489" s="328"/>
      <c r="B489" s="257"/>
      <c r="C489" s="257"/>
      <c r="D489" s="329"/>
      <c r="E489" s="330"/>
      <c r="F489" s="331"/>
      <c r="G489" s="256"/>
      <c r="H489" s="256"/>
      <c r="I489" s="332"/>
      <c r="J489" s="333"/>
      <c r="K489" s="334"/>
      <c r="L489" s="484"/>
    </row>
    <row r="490" spans="1:12" ht="15" thickBot="1">
      <c r="A490" s="328"/>
      <c r="B490" s="257"/>
      <c r="C490" s="257"/>
      <c r="D490" s="329"/>
      <c r="E490" s="330"/>
      <c r="F490" s="331"/>
      <c r="G490" s="256"/>
      <c r="H490" s="256"/>
      <c r="I490" s="332"/>
      <c r="J490" s="333"/>
      <c r="K490" s="334"/>
      <c r="L490" s="484"/>
    </row>
    <row r="491" spans="1:12" ht="15" thickBot="1">
      <c r="A491" s="328"/>
      <c r="B491" s="257"/>
      <c r="C491" s="257"/>
      <c r="D491" s="329"/>
      <c r="E491" s="330"/>
      <c r="F491" s="331"/>
      <c r="G491" s="256"/>
      <c r="H491" s="256"/>
      <c r="I491" s="332"/>
      <c r="J491" s="333"/>
      <c r="K491" s="334"/>
      <c r="L491" s="484"/>
    </row>
    <row r="492" spans="1:12" ht="15" thickBot="1">
      <c r="A492" s="328"/>
      <c r="B492" s="257"/>
      <c r="C492" s="257"/>
      <c r="D492" s="329"/>
      <c r="E492" s="330"/>
      <c r="F492" s="331"/>
      <c r="G492" s="256"/>
      <c r="H492" s="256"/>
      <c r="I492" s="332"/>
      <c r="J492" s="333"/>
      <c r="K492" s="334"/>
      <c r="L492" s="484"/>
    </row>
    <row r="493" spans="1:12" ht="15" thickBot="1">
      <c r="A493" s="328"/>
      <c r="B493" s="257"/>
      <c r="C493" s="257"/>
      <c r="D493" s="329"/>
      <c r="E493" s="330"/>
      <c r="F493" s="331"/>
      <c r="G493" s="256"/>
      <c r="H493" s="256"/>
      <c r="I493" s="332"/>
      <c r="J493" s="333"/>
      <c r="K493" s="334"/>
      <c r="L493" s="484"/>
    </row>
    <row r="494" spans="1:12" ht="15" thickBot="1">
      <c r="A494" s="328"/>
      <c r="B494" s="257"/>
      <c r="C494" s="257"/>
      <c r="D494" s="329"/>
      <c r="E494" s="330"/>
      <c r="F494" s="331"/>
      <c r="G494" s="256"/>
      <c r="H494" s="256"/>
      <c r="I494" s="332"/>
      <c r="J494" s="333"/>
      <c r="K494" s="334"/>
      <c r="L494" s="484"/>
    </row>
    <row r="495" spans="1:12" ht="15" thickBot="1">
      <c r="A495" s="328"/>
      <c r="B495" s="257"/>
      <c r="C495" s="257"/>
      <c r="D495" s="329"/>
      <c r="E495" s="330"/>
      <c r="F495" s="331"/>
      <c r="G495" s="256"/>
      <c r="H495" s="256"/>
      <c r="I495" s="332"/>
      <c r="J495" s="333"/>
      <c r="K495" s="334"/>
      <c r="L495" s="484"/>
    </row>
    <row r="496" spans="1:12" ht="15" thickBot="1">
      <c r="A496" s="328"/>
      <c r="B496" s="257"/>
      <c r="C496" s="257"/>
      <c r="D496" s="329"/>
      <c r="E496" s="330"/>
      <c r="F496" s="331"/>
      <c r="G496" s="256"/>
      <c r="H496" s="256"/>
      <c r="I496" s="332"/>
      <c r="J496" s="333"/>
      <c r="K496" s="334"/>
      <c r="L496" s="484"/>
    </row>
    <row r="497" spans="1:12" ht="15" thickBot="1">
      <c r="A497" s="328"/>
      <c r="B497" s="257"/>
      <c r="C497" s="257"/>
      <c r="D497" s="329"/>
      <c r="E497" s="330"/>
      <c r="F497" s="331"/>
      <c r="G497" s="256"/>
      <c r="H497" s="256"/>
      <c r="I497" s="332"/>
      <c r="J497" s="333"/>
      <c r="K497" s="334"/>
      <c r="L497" s="484"/>
    </row>
    <row r="498" spans="1:12" ht="15" thickBot="1">
      <c r="A498" s="328"/>
      <c r="B498" s="257"/>
      <c r="C498" s="257"/>
      <c r="D498" s="329"/>
      <c r="E498" s="330"/>
      <c r="F498" s="331"/>
      <c r="G498" s="256"/>
      <c r="H498" s="256"/>
      <c r="I498" s="332"/>
      <c r="J498" s="333"/>
      <c r="K498" s="334"/>
      <c r="L498" s="484"/>
    </row>
    <row r="499" spans="1:12" ht="15" thickBot="1">
      <c r="A499" s="328"/>
      <c r="B499" s="257"/>
      <c r="C499" s="257"/>
      <c r="D499" s="329"/>
      <c r="E499" s="330"/>
      <c r="F499" s="331"/>
      <c r="G499" s="256"/>
      <c r="H499" s="256"/>
      <c r="I499" s="332"/>
      <c r="J499" s="333"/>
      <c r="K499" s="334"/>
      <c r="L499" s="484"/>
    </row>
    <row r="500" spans="1:12" ht="15" thickBot="1">
      <c r="A500" s="328"/>
      <c r="B500" s="257"/>
      <c r="C500" s="257"/>
      <c r="D500" s="329"/>
      <c r="E500" s="330"/>
      <c r="F500" s="331"/>
      <c r="G500" s="256"/>
      <c r="H500" s="256"/>
      <c r="I500" s="332"/>
      <c r="J500" s="333"/>
      <c r="K500" s="334"/>
      <c r="L500" s="484"/>
    </row>
    <row r="501" spans="1:12" ht="15" thickBot="1">
      <c r="A501" s="328"/>
      <c r="B501" s="257"/>
      <c r="C501" s="257"/>
      <c r="D501" s="329"/>
      <c r="E501" s="330"/>
      <c r="F501" s="331"/>
      <c r="G501" s="256"/>
      <c r="H501" s="256"/>
      <c r="I501" s="332"/>
      <c r="J501" s="333"/>
      <c r="K501" s="334"/>
      <c r="L501" s="484"/>
    </row>
    <row r="502" spans="1:12" ht="15" thickBot="1">
      <c r="A502" s="328"/>
      <c r="B502" s="257"/>
      <c r="C502" s="257"/>
      <c r="D502" s="329"/>
      <c r="E502" s="330"/>
      <c r="F502" s="331"/>
      <c r="G502" s="256"/>
      <c r="H502" s="256"/>
      <c r="I502" s="332"/>
      <c r="J502" s="333"/>
      <c r="K502" s="334"/>
      <c r="L502" s="484"/>
    </row>
    <row r="503" spans="1:12" ht="15" thickBot="1">
      <c r="A503" s="328"/>
      <c r="B503" s="257"/>
      <c r="C503" s="257"/>
      <c r="D503" s="329"/>
      <c r="E503" s="330"/>
      <c r="F503" s="331"/>
      <c r="G503" s="256"/>
      <c r="H503" s="256"/>
      <c r="I503" s="332"/>
      <c r="J503" s="333"/>
      <c r="K503" s="334"/>
      <c r="L503" s="484"/>
    </row>
    <row r="504" spans="1:12" ht="15" thickBot="1">
      <c r="A504" s="328"/>
      <c r="B504" s="257"/>
      <c r="C504" s="257"/>
      <c r="D504" s="329"/>
      <c r="E504" s="330"/>
      <c r="F504" s="331"/>
      <c r="G504" s="256"/>
      <c r="H504" s="256"/>
      <c r="I504" s="332"/>
      <c r="J504" s="333"/>
      <c r="K504" s="334"/>
      <c r="L504" s="484"/>
    </row>
    <row r="505" spans="1:12" ht="15" thickBot="1">
      <c r="A505" s="328"/>
      <c r="B505" s="257"/>
      <c r="C505" s="257"/>
      <c r="D505" s="329"/>
      <c r="E505" s="330"/>
      <c r="F505" s="331"/>
      <c r="G505" s="256"/>
      <c r="H505" s="256"/>
      <c r="I505" s="332"/>
      <c r="J505" s="333"/>
      <c r="K505" s="334"/>
      <c r="L505" s="484"/>
    </row>
    <row r="506" spans="1:12" ht="15" thickBot="1">
      <c r="A506" s="328"/>
      <c r="B506" s="257"/>
      <c r="C506" s="257"/>
      <c r="D506" s="329"/>
      <c r="E506" s="330"/>
      <c r="F506" s="331"/>
      <c r="G506" s="256"/>
      <c r="H506" s="256"/>
      <c r="I506" s="332"/>
      <c r="J506" s="333"/>
      <c r="K506" s="334"/>
      <c r="L506" s="484"/>
    </row>
    <row r="507" spans="1:12" ht="15" thickBot="1">
      <c r="A507" s="328"/>
      <c r="B507" s="257"/>
      <c r="C507" s="257"/>
      <c r="D507" s="329"/>
      <c r="E507" s="330"/>
      <c r="F507" s="331"/>
      <c r="G507" s="256"/>
      <c r="H507" s="256"/>
      <c r="I507" s="332"/>
      <c r="J507" s="333"/>
      <c r="K507" s="334"/>
      <c r="L507" s="484"/>
    </row>
    <row r="508" spans="1:12" ht="15" thickBot="1">
      <c r="A508" s="328"/>
      <c r="B508" s="257"/>
      <c r="C508" s="257"/>
      <c r="D508" s="329"/>
      <c r="E508" s="330"/>
      <c r="F508" s="331"/>
      <c r="G508" s="256"/>
      <c r="H508" s="256"/>
      <c r="I508" s="332"/>
      <c r="J508" s="333"/>
      <c r="K508" s="334"/>
      <c r="L508" s="484"/>
    </row>
    <row r="509" spans="1:12" ht="15" thickBot="1">
      <c r="A509" s="328"/>
      <c r="B509" s="257"/>
      <c r="C509" s="257"/>
      <c r="D509" s="329"/>
      <c r="E509" s="330"/>
      <c r="F509" s="331"/>
      <c r="G509" s="256"/>
      <c r="H509" s="256"/>
      <c r="I509" s="332"/>
      <c r="J509" s="333"/>
      <c r="K509" s="334"/>
      <c r="L509" s="484"/>
    </row>
    <row r="510" spans="1:12" ht="15" thickBot="1">
      <c r="A510" s="328"/>
      <c r="B510" s="257"/>
      <c r="C510" s="257"/>
      <c r="D510" s="329"/>
      <c r="E510" s="330"/>
      <c r="F510" s="331"/>
      <c r="G510" s="256"/>
      <c r="H510" s="256"/>
      <c r="I510" s="332"/>
      <c r="J510" s="333"/>
      <c r="K510" s="334"/>
      <c r="L510" s="484"/>
    </row>
    <row r="511" spans="1:12" ht="15" thickBot="1">
      <c r="A511" s="328"/>
      <c r="B511" s="257"/>
      <c r="C511" s="257"/>
      <c r="D511" s="329"/>
      <c r="E511" s="330"/>
      <c r="F511" s="331"/>
      <c r="G511" s="256"/>
      <c r="H511" s="256"/>
      <c r="I511" s="332"/>
      <c r="J511" s="333"/>
      <c r="K511" s="334"/>
      <c r="L511" s="484"/>
    </row>
    <row r="512" spans="1:12" ht="15" thickBot="1">
      <c r="A512" s="328"/>
      <c r="B512" s="257"/>
      <c r="C512" s="257"/>
      <c r="D512" s="329"/>
      <c r="E512" s="330"/>
      <c r="F512" s="331"/>
      <c r="G512" s="256"/>
      <c r="H512" s="256"/>
      <c r="I512" s="332"/>
      <c r="J512" s="333"/>
      <c r="K512" s="334"/>
      <c r="L512" s="484"/>
    </row>
    <row r="513" spans="1:12" ht="15" thickBot="1">
      <c r="A513" s="328"/>
      <c r="B513" s="257"/>
      <c r="C513" s="257"/>
      <c r="D513" s="329"/>
      <c r="E513" s="330"/>
      <c r="F513" s="331"/>
      <c r="G513" s="256"/>
      <c r="H513" s="256"/>
      <c r="I513" s="332"/>
      <c r="J513" s="333"/>
      <c r="K513" s="334"/>
      <c r="L513" s="484"/>
    </row>
    <row r="514" spans="1:12" ht="15" thickBot="1">
      <c r="A514" s="328"/>
      <c r="B514" s="257"/>
      <c r="C514" s="257"/>
      <c r="D514" s="329"/>
      <c r="E514" s="330"/>
      <c r="F514" s="331"/>
      <c r="G514" s="256"/>
      <c r="H514" s="256"/>
      <c r="I514" s="332"/>
      <c r="J514" s="333"/>
      <c r="K514" s="334"/>
      <c r="L514" s="484"/>
    </row>
    <row r="515" spans="1:12" ht="15" thickBot="1">
      <c r="A515" s="328"/>
      <c r="B515" s="257"/>
      <c r="C515" s="257"/>
      <c r="D515" s="329"/>
      <c r="E515" s="330"/>
      <c r="F515" s="331"/>
      <c r="G515" s="256"/>
      <c r="H515" s="256"/>
      <c r="I515" s="332"/>
      <c r="J515" s="333"/>
      <c r="K515" s="334"/>
      <c r="L515" s="484"/>
    </row>
    <row r="516" spans="1:12" ht="15" thickBot="1">
      <c r="A516" s="328"/>
      <c r="B516" s="257"/>
      <c r="C516" s="257"/>
      <c r="D516" s="329"/>
      <c r="E516" s="330"/>
      <c r="F516" s="331"/>
      <c r="G516" s="256"/>
      <c r="H516" s="256"/>
      <c r="I516" s="332"/>
      <c r="J516" s="333"/>
      <c r="K516" s="334"/>
      <c r="L516" s="484"/>
    </row>
    <row r="517" spans="1:12" ht="15" thickBot="1">
      <c r="A517" s="328"/>
      <c r="B517" s="257"/>
      <c r="C517" s="257"/>
      <c r="D517" s="329"/>
      <c r="E517" s="330"/>
      <c r="F517" s="331"/>
      <c r="G517" s="256"/>
      <c r="H517" s="256"/>
      <c r="I517" s="332"/>
      <c r="J517" s="333"/>
      <c r="K517" s="334"/>
      <c r="L517" s="484"/>
    </row>
    <row r="518" spans="1:12" ht="15" thickBot="1">
      <c r="A518" s="328"/>
      <c r="B518" s="257"/>
      <c r="C518" s="257"/>
      <c r="D518" s="329"/>
      <c r="E518" s="330"/>
      <c r="F518" s="331"/>
      <c r="G518" s="256"/>
      <c r="H518" s="256"/>
      <c r="I518" s="332"/>
      <c r="J518" s="333"/>
      <c r="K518" s="334"/>
      <c r="L518" s="484"/>
    </row>
    <row r="519" spans="1:12" ht="15" thickBot="1">
      <c r="A519" s="328"/>
      <c r="B519" s="257"/>
      <c r="C519" s="257"/>
      <c r="D519" s="329"/>
      <c r="E519" s="330"/>
      <c r="F519" s="331"/>
      <c r="G519" s="256"/>
      <c r="H519" s="256"/>
      <c r="I519" s="332"/>
      <c r="J519" s="333"/>
      <c r="K519" s="334"/>
      <c r="L519" s="484"/>
    </row>
    <row r="520" spans="1:12" ht="15" thickBot="1">
      <c r="A520" s="328"/>
      <c r="B520" s="257"/>
      <c r="C520" s="257"/>
      <c r="D520" s="329"/>
      <c r="E520" s="330"/>
      <c r="F520" s="331"/>
      <c r="G520" s="256"/>
      <c r="H520" s="256"/>
      <c r="I520" s="332"/>
      <c r="J520" s="333"/>
      <c r="K520" s="334"/>
      <c r="L520" s="484"/>
    </row>
    <row r="521" spans="1:12" ht="15" thickBot="1">
      <c r="A521" s="328"/>
      <c r="B521" s="257"/>
      <c r="C521" s="257"/>
      <c r="D521" s="329"/>
      <c r="E521" s="330"/>
      <c r="F521" s="331"/>
      <c r="G521" s="256"/>
      <c r="H521" s="256"/>
      <c r="I521" s="332"/>
      <c r="J521" s="333"/>
      <c r="K521" s="334"/>
      <c r="L521" s="484"/>
    </row>
    <row r="522" spans="1:12" ht="15" thickBot="1">
      <c r="A522" s="328"/>
      <c r="B522" s="257"/>
      <c r="C522" s="257"/>
      <c r="D522" s="329"/>
      <c r="E522" s="330"/>
      <c r="F522" s="331"/>
      <c r="G522" s="256"/>
      <c r="H522" s="256"/>
      <c r="I522" s="332"/>
      <c r="J522" s="333"/>
      <c r="K522" s="334"/>
      <c r="L522" s="484"/>
    </row>
    <row r="523" spans="1:12" ht="15" thickBot="1">
      <c r="A523" s="328"/>
      <c r="B523" s="257"/>
      <c r="C523" s="257"/>
      <c r="D523" s="329"/>
      <c r="E523" s="330"/>
      <c r="F523" s="331"/>
      <c r="G523" s="256"/>
      <c r="H523" s="256"/>
      <c r="I523" s="332"/>
      <c r="J523" s="333"/>
      <c r="K523" s="334"/>
      <c r="L523" s="484"/>
    </row>
    <row r="524" spans="1:12" ht="15" thickBot="1">
      <c r="A524" s="328"/>
      <c r="B524" s="257"/>
      <c r="C524" s="257"/>
      <c r="D524" s="329"/>
      <c r="E524" s="330"/>
      <c r="F524" s="331"/>
      <c r="G524" s="256"/>
      <c r="H524" s="256"/>
      <c r="I524" s="332"/>
      <c r="J524" s="333"/>
      <c r="K524" s="334"/>
      <c r="L524" s="484"/>
    </row>
    <row r="525" spans="1:12" ht="15" thickBot="1">
      <c r="A525" s="328"/>
      <c r="B525" s="257"/>
      <c r="C525" s="257"/>
      <c r="D525" s="329"/>
      <c r="E525" s="330"/>
      <c r="F525" s="331"/>
      <c r="G525" s="256"/>
      <c r="H525" s="256"/>
      <c r="I525" s="332"/>
      <c r="J525" s="333"/>
      <c r="K525" s="334"/>
      <c r="L525" s="484"/>
    </row>
    <row r="526" spans="1:12" ht="15" thickBot="1">
      <c r="A526" s="328"/>
      <c r="B526" s="257"/>
      <c r="C526" s="257"/>
      <c r="D526" s="329"/>
      <c r="E526" s="330"/>
      <c r="F526" s="331"/>
      <c r="G526" s="256"/>
      <c r="H526" s="256"/>
      <c r="I526" s="332"/>
      <c r="J526" s="333"/>
      <c r="K526" s="334"/>
      <c r="L526" s="484"/>
    </row>
    <row r="527" spans="1:12" ht="15" thickBot="1">
      <c r="A527" s="328"/>
      <c r="B527" s="257"/>
      <c r="C527" s="257"/>
      <c r="D527" s="329"/>
      <c r="E527" s="330"/>
      <c r="F527" s="331"/>
      <c r="G527" s="256"/>
      <c r="H527" s="256"/>
      <c r="I527" s="332"/>
      <c r="J527" s="333"/>
      <c r="K527" s="334"/>
      <c r="L527" s="484"/>
    </row>
    <row r="528" spans="1:12" ht="15" thickBot="1">
      <c r="A528" s="328"/>
      <c r="B528" s="257"/>
      <c r="C528" s="257"/>
      <c r="D528" s="329"/>
      <c r="E528" s="330"/>
      <c r="F528" s="331"/>
      <c r="G528" s="256"/>
      <c r="H528" s="256"/>
      <c r="I528" s="332"/>
      <c r="J528" s="333"/>
      <c r="K528" s="334"/>
      <c r="L528" s="484"/>
    </row>
    <row r="529" spans="1:12" ht="15" thickBot="1">
      <c r="A529" s="328"/>
      <c r="B529" s="257"/>
      <c r="C529" s="257"/>
      <c r="D529" s="329"/>
      <c r="E529" s="330"/>
      <c r="F529" s="331"/>
      <c r="G529" s="256"/>
      <c r="H529" s="256"/>
      <c r="I529" s="332"/>
      <c r="J529" s="333"/>
      <c r="K529" s="334"/>
      <c r="L529" s="484"/>
    </row>
    <row r="530" spans="1:12" ht="15" thickBot="1">
      <c r="A530" s="328"/>
      <c r="B530" s="257"/>
      <c r="C530" s="257"/>
      <c r="D530" s="329"/>
      <c r="E530" s="330"/>
      <c r="F530" s="331"/>
      <c r="G530" s="256"/>
      <c r="H530" s="256"/>
      <c r="I530" s="332"/>
      <c r="J530" s="333"/>
      <c r="K530" s="334"/>
      <c r="L530" s="484"/>
    </row>
    <row r="531" spans="1:12" ht="15" thickBot="1">
      <c r="A531" s="328"/>
      <c r="B531" s="257"/>
      <c r="C531" s="257"/>
      <c r="D531" s="329"/>
      <c r="E531" s="330"/>
      <c r="F531" s="331"/>
      <c r="G531" s="256"/>
      <c r="H531" s="256"/>
      <c r="I531" s="332"/>
      <c r="J531" s="333"/>
      <c r="K531" s="334"/>
      <c r="L531" s="484"/>
    </row>
    <row r="532" spans="1:12" ht="15" thickBot="1">
      <c r="A532" s="328"/>
      <c r="B532" s="257"/>
      <c r="C532" s="257"/>
      <c r="D532" s="329"/>
      <c r="E532" s="330"/>
      <c r="F532" s="331"/>
      <c r="G532" s="256"/>
      <c r="H532" s="256"/>
      <c r="I532" s="332"/>
      <c r="J532" s="333"/>
      <c r="K532" s="334"/>
      <c r="L532" s="484"/>
    </row>
    <row r="533" spans="1:12" ht="15" thickBot="1">
      <c r="A533" s="328"/>
      <c r="B533" s="257"/>
      <c r="C533" s="257"/>
      <c r="D533" s="329"/>
      <c r="E533" s="330"/>
      <c r="F533" s="331"/>
      <c r="G533" s="256"/>
      <c r="H533" s="256"/>
      <c r="I533" s="332"/>
      <c r="J533" s="333"/>
      <c r="K533" s="334"/>
      <c r="L533" s="484"/>
    </row>
    <row r="534" spans="1:12" ht="15" thickBot="1">
      <c r="A534" s="328"/>
      <c r="B534" s="257"/>
      <c r="C534" s="257"/>
      <c r="D534" s="329"/>
      <c r="E534" s="330"/>
      <c r="F534" s="331"/>
      <c r="G534" s="256"/>
      <c r="H534" s="256"/>
      <c r="I534" s="332"/>
      <c r="J534" s="333"/>
      <c r="K534" s="334"/>
      <c r="L534" s="484"/>
    </row>
    <row r="535" spans="1:12" ht="15" thickBot="1">
      <c r="A535" s="328"/>
      <c r="B535" s="257"/>
      <c r="C535" s="257"/>
      <c r="D535" s="329"/>
      <c r="E535" s="330"/>
      <c r="F535" s="331"/>
      <c r="G535" s="256"/>
      <c r="H535" s="256"/>
      <c r="I535" s="332"/>
      <c r="J535" s="333"/>
      <c r="K535" s="334"/>
      <c r="L535" s="484"/>
    </row>
    <row r="536" spans="1:12" ht="15" thickBot="1">
      <c r="A536" s="328"/>
      <c r="B536" s="257"/>
      <c r="C536" s="257"/>
      <c r="D536" s="329"/>
      <c r="E536" s="330"/>
      <c r="F536" s="331"/>
      <c r="G536" s="256"/>
      <c r="H536" s="256"/>
      <c r="I536" s="332"/>
      <c r="J536" s="333"/>
      <c r="K536" s="334"/>
      <c r="L536" s="484"/>
    </row>
    <row r="537" spans="1:12" ht="15" thickBot="1">
      <c r="A537" s="328"/>
      <c r="B537" s="257"/>
      <c r="C537" s="257"/>
      <c r="D537" s="329"/>
      <c r="E537" s="330"/>
      <c r="F537" s="331"/>
      <c r="G537" s="256"/>
      <c r="H537" s="256"/>
      <c r="I537" s="332"/>
      <c r="J537" s="333"/>
      <c r="K537" s="334"/>
      <c r="L537" s="484"/>
    </row>
    <row r="538" spans="1:12" ht="15" thickBot="1">
      <c r="A538" s="328"/>
      <c r="B538" s="257"/>
      <c r="C538" s="257"/>
      <c r="D538" s="329"/>
      <c r="E538" s="330"/>
      <c r="F538" s="331"/>
      <c r="G538" s="256"/>
      <c r="H538" s="256"/>
      <c r="I538" s="332"/>
      <c r="J538" s="333"/>
      <c r="K538" s="334"/>
      <c r="L538" s="484"/>
    </row>
    <row r="539" spans="1:12" ht="15" thickBot="1">
      <c r="A539" s="328"/>
      <c r="B539" s="257"/>
      <c r="C539" s="257"/>
      <c r="D539" s="329"/>
      <c r="E539" s="330"/>
      <c r="F539" s="331"/>
      <c r="G539" s="256"/>
      <c r="H539" s="256"/>
      <c r="I539" s="332"/>
      <c r="J539" s="333"/>
      <c r="K539" s="334"/>
      <c r="L539" s="484"/>
    </row>
    <row r="540" spans="1:12" ht="15" thickBot="1">
      <c r="A540" s="328"/>
      <c r="B540" s="257"/>
      <c r="C540" s="257"/>
      <c r="D540" s="329"/>
      <c r="E540" s="330"/>
      <c r="F540" s="331"/>
      <c r="G540" s="256"/>
      <c r="H540" s="256"/>
      <c r="I540" s="332"/>
      <c r="J540" s="333"/>
      <c r="K540" s="334"/>
      <c r="L540" s="484"/>
    </row>
    <row r="541" spans="1:12" ht="15" thickBot="1">
      <c r="A541" s="328"/>
      <c r="B541" s="257"/>
      <c r="C541" s="257"/>
      <c r="D541" s="329"/>
      <c r="E541" s="330"/>
      <c r="F541" s="331"/>
      <c r="G541" s="256"/>
      <c r="H541" s="256"/>
      <c r="I541" s="332"/>
      <c r="J541" s="333"/>
      <c r="K541" s="334"/>
      <c r="L541" s="484"/>
    </row>
    <row r="542" spans="1:12" ht="15" thickBot="1">
      <c r="A542" s="328"/>
      <c r="B542" s="257"/>
      <c r="C542" s="257"/>
      <c r="D542" s="329"/>
      <c r="E542" s="330"/>
      <c r="F542" s="331"/>
      <c r="G542" s="256"/>
      <c r="H542" s="256"/>
      <c r="I542" s="332"/>
      <c r="J542" s="333"/>
      <c r="K542" s="334"/>
      <c r="L542" s="484"/>
    </row>
    <row r="543" spans="1:12" ht="15" thickBot="1">
      <c r="A543" s="328"/>
      <c r="B543" s="257"/>
      <c r="C543" s="257"/>
      <c r="D543" s="329"/>
      <c r="E543" s="330"/>
      <c r="F543" s="331"/>
      <c r="G543" s="256"/>
      <c r="H543" s="256"/>
      <c r="I543" s="332"/>
      <c r="J543" s="333"/>
      <c r="K543" s="334"/>
      <c r="L543" s="484"/>
    </row>
    <row r="544" spans="1:12" ht="15" thickBot="1">
      <c r="A544" s="328"/>
      <c r="B544" s="257"/>
      <c r="C544" s="257"/>
      <c r="D544" s="329"/>
      <c r="E544" s="330"/>
      <c r="F544" s="331"/>
      <c r="G544" s="256"/>
      <c r="H544" s="256"/>
      <c r="I544" s="332"/>
      <c r="J544" s="333"/>
      <c r="K544" s="334"/>
      <c r="L544" s="484"/>
    </row>
    <row r="545" spans="1:12" ht="15" thickBot="1">
      <c r="A545" s="328"/>
      <c r="B545" s="257"/>
      <c r="C545" s="257"/>
      <c r="D545" s="329"/>
      <c r="E545" s="330"/>
      <c r="F545" s="331"/>
      <c r="G545" s="256"/>
      <c r="H545" s="256"/>
      <c r="I545" s="332"/>
      <c r="J545" s="333"/>
      <c r="K545" s="334"/>
      <c r="L545" s="484"/>
    </row>
    <row r="546" spans="1:12" ht="15" thickBot="1">
      <c r="A546" s="328"/>
      <c r="B546" s="257"/>
      <c r="C546" s="257"/>
      <c r="D546" s="329"/>
      <c r="E546" s="330"/>
      <c r="F546" s="331"/>
      <c r="G546" s="256"/>
      <c r="H546" s="256"/>
      <c r="I546" s="332"/>
      <c r="J546" s="333"/>
      <c r="K546" s="334"/>
      <c r="L546" s="484"/>
    </row>
    <row r="547" spans="1:12" ht="15" thickBot="1">
      <c r="A547" s="328"/>
      <c r="B547" s="257"/>
      <c r="C547" s="257"/>
      <c r="D547" s="329"/>
      <c r="E547" s="330"/>
      <c r="F547" s="331"/>
      <c r="G547" s="256"/>
      <c r="H547" s="256"/>
      <c r="I547" s="332"/>
      <c r="J547" s="333"/>
      <c r="K547" s="334"/>
      <c r="L547" s="484"/>
    </row>
    <row r="548" spans="1:12" ht="15" thickBot="1">
      <c r="A548" s="328"/>
      <c r="B548" s="257"/>
      <c r="C548" s="257"/>
      <c r="D548" s="329"/>
      <c r="E548" s="330"/>
      <c r="F548" s="331"/>
      <c r="G548" s="256"/>
      <c r="H548" s="256"/>
      <c r="I548" s="332"/>
      <c r="J548" s="333"/>
      <c r="K548" s="334"/>
      <c r="L548" s="484"/>
    </row>
    <row r="549" spans="1:12" ht="15" thickBot="1">
      <c r="A549" s="328"/>
      <c r="B549" s="257"/>
      <c r="C549" s="257"/>
      <c r="D549" s="329"/>
      <c r="E549" s="330"/>
      <c r="F549" s="331"/>
      <c r="G549" s="256"/>
      <c r="H549" s="256"/>
      <c r="I549" s="332"/>
      <c r="J549" s="333"/>
      <c r="K549" s="334"/>
      <c r="L549" s="484"/>
    </row>
    <row r="550" spans="1:12" ht="15" thickBot="1">
      <c r="A550" s="328"/>
      <c r="B550" s="257"/>
      <c r="C550" s="257"/>
      <c r="D550" s="329"/>
      <c r="E550" s="330"/>
      <c r="F550" s="331"/>
      <c r="G550" s="256"/>
      <c r="H550" s="256"/>
      <c r="I550" s="332"/>
      <c r="J550" s="333"/>
      <c r="K550" s="334"/>
      <c r="L550" s="484"/>
    </row>
    <row r="551" spans="1:12" ht="15" thickBot="1">
      <c r="A551" s="328"/>
      <c r="B551" s="257"/>
      <c r="C551" s="257"/>
      <c r="D551" s="329"/>
      <c r="E551" s="330"/>
      <c r="F551" s="331"/>
      <c r="G551" s="256"/>
      <c r="H551" s="256"/>
      <c r="I551" s="332"/>
      <c r="J551" s="333"/>
      <c r="K551" s="334"/>
      <c r="L551" s="484"/>
    </row>
    <row r="552" spans="1:12" ht="15" thickBot="1">
      <c r="A552" s="328"/>
      <c r="B552" s="257"/>
      <c r="C552" s="257"/>
      <c r="D552" s="329"/>
      <c r="E552" s="330"/>
      <c r="F552" s="331"/>
      <c r="G552" s="256"/>
      <c r="H552" s="256"/>
      <c r="I552" s="332"/>
      <c r="J552" s="333"/>
      <c r="K552" s="334"/>
      <c r="L552" s="484"/>
    </row>
    <row r="553" spans="1:12" ht="15" thickBot="1">
      <c r="A553" s="328"/>
      <c r="B553" s="257"/>
      <c r="C553" s="257"/>
      <c r="D553" s="329"/>
      <c r="E553" s="330"/>
      <c r="F553" s="331"/>
      <c r="G553" s="256"/>
      <c r="H553" s="256"/>
      <c r="I553" s="332"/>
      <c r="J553" s="333"/>
      <c r="K553" s="334"/>
      <c r="L553" s="484"/>
    </row>
    <row r="554" spans="1:12" ht="15" thickBot="1">
      <c r="A554" s="328"/>
      <c r="B554" s="257"/>
      <c r="C554" s="257"/>
      <c r="D554" s="329"/>
      <c r="E554" s="330"/>
      <c r="F554" s="331"/>
      <c r="G554" s="256"/>
      <c r="H554" s="256"/>
      <c r="I554" s="332"/>
      <c r="J554" s="333"/>
      <c r="K554" s="334"/>
      <c r="L554" s="484"/>
    </row>
    <row r="555" spans="1:12" ht="15" thickBot="1">
      <c r="A555" s="328"/>
      <c r="B555" s="257"/>
      <c r="C555" s="257"/>
      <c r="D555" s="329"/>
      <c r="E555" s="330"/>
      <c r="F555" s="331"/>
      <c r="G555" s="256"/>
      <c r="H555" s="256"/>
      <c r="I555" s="332"/>
      <c r="J555" s="333"/>
      <c r="K555" s="334"/>
      <c r="L555" s="484"/>
    </row>
    <row r="556" spans="1:12" ht="15" thickBot="1">
      <c r="A556" s="328"/>
      <c r="B556" s="257"/>
      <c r="C556" s="257"/>
      <c r="D556" s="329"/>
      <c r="E556" s="330"/>
      <c r="F556" s="331"/>
      <c r="G556" s="256"/>
      <c r="H556" s="256"/>
      <c r="I556" s="332"/>
      <c r="J556" s="333"/>
      <c r="K556" s="334"/>
      <c r="L556" s="484"/>
    </row>
    <row r="557" spans="1:12" ht="15" thickBot="1">
      <c r="A557" s="328"/>
      <c r="B557" s="257"/>
      <c r="C557" s="257"/>
      <c r="D557" s="329"/>
      <c r="E557" s="330"/>
      <c r="F557" s="331"/>
      <c r="G557" s="256"/>
      <c r="H557" s="256"/>
      <c r="I557" s="332"/>
      <c r="J557" s="333"/>
      <c r="K557" s="334"/>
      <c r="L557" s="484"/>
    </row>
    <row r="558" spans="1:12" ht="15" thickBot="1">
      <c r="A558" s="328"/>
      <c r="B558" s="257"/>
      <c r="C558" s="257"/>
      <c r="D558" s="329"/>
      <c r="E558" s="330"/>
      <c r="F558" s="331"/>
      <c r="G558" s="256"/>
      <c r="H558" s="256"/>
      <c r="I558" s="332"/>
      <c r="J558" s="333"/>
      <c r="K558" s="334"/>
      <c r="L558" s="484"/>
    </row>
    <row r="559" spans="1:12" ht="15" thickBot="1">
      <c r="A559" s="328"/>
      <c r="B559" s="257"/>
      <c r="C559" s="257"/>
      <c r="D559" s="329"/>
      <c r="E559" s="330"/>
      <c r="F559" s="331"/>
      <c r="G559" s="256"/>
      <c r="H559" s="256"/>
      <c r="I559" s="332"/>
      <c r="J559" s="333"/>
      <c r="K559" s="334"/>
      <c r="L559" s="484"/>
    </row>
    <row r="560" spans="1:12" ht="15" thickBot="1">
      <c r="A560" s="328"/>
      <c r="B560" s="257"/>
      <c r="C560" s="257"/>
      <c r="D560" s="329"/>
      <c r="E560" s="330"/>
      <c r="F560" s="331"/>
      <c r="G560" s="256"/>
      <c r="H560" s="256"/>
      <c r="I560" s="332"/>
      <c r="J560" s="333"/>
      <c r="K560" s="334"/>
      <c r="L560" s="484"/>
    </row>
    <row r="561" spans="1:12" ht="15" thickBot="1">
      <c r="A561" s="328"/>
      <c r="B561" s="257"/>
      <c r="C561" s="257"/>
      <c r="D561" s="329"/>
      <c r="E561" s="330"/>
      <c r="F561" s="331"/>
      <c r="G561" s="256"/>
      <c r="H561" s="256"/>
      <c r="I561" s="332"/>
      <c r="J561" s="333"/>
      <c r="K561" s="334"/>
      <c r="L561" s="484"/>
    </row>
    <row r="562" spans="1:12" ht="15" thickBot="1">
      <c r="A562" s="328"/>
      <c r="B562" s="257"/>
      <c r="C562" s="257"/>
      <c r="D562" s="329"/>
      <c r="E562" s="330"/>
      <c r="F562" s="331"/>
      <c r="G562" s="256"/>
      <c r="H562" s="256"/>
      <c r="I562" s="332"/>
      <c r="J562" s="333"/>
      <c r="K562" s="334"/>
      <c r="L562" s="484"/>
    </row>
    <row r="563" spans="1:12" ht="15" thickBot="1">
      <c r="A563" s="328"/>
      <c r="B563" s="257"/>
      <c r="C563" s="257"/>
      <c r="D563" s="329"/>
      <c r="E563" s="330"/>
      <c r="F563" s="331"/>
      <c r="G563" s="256"/>
      <c r="H563" s="256"/>
      <c r="I563" s="332"/>
      <c r="J563" s="333"/>
      <c r="K563" s="334"/>
      <c r="L563" s="484"/>
    </row>
    <row r="564" spans="1:12" ht="15" thickBot="1">
      <c r="A564" s="328"/>
      <c r="B564" s="257"/>
      <c r="C564" s="257"/>
      <c r="D564" s="329"/>
      <c r="E564" s="330"/>
      <c r="F564" s="331"/>
      <c r="G564" s="256"/>
      <c r="H564" s="256"/>
      <c r="I564" s="332"/>
      <c r="J564" s="333"/>
      <c r="K564" s="334"/>
      <c r="L564" s="484"/>
    </row>
    <row r="565" spans="1:12" ht="15" thickBot="1">
      <c r="A565" s="328"/>
      <c r="B565" s="257"/>
      <c r="C565" s="257"/>
      <c r="D565" s="329"/>
      <c r="E565" s="330"/>
      <c r="F565" s="331"/>
      <c r="G565" s="256"/>
      <c r="H565" s="256"/>
      <c r="I565" s="332"/>
      <c r="J565" s="333"/>
      <c r="K565" s="334"/>
      <c r="L565" s="484"/>
    </row>
    <row r="566" spans="1:12" ht="15" thickBot="1">
      <c r="A566" s="328"/>
      <c r="B566" s="257"/>
      <c r="C566" s="257"/>
      <c r="D566" s="329"/>
      <c r="E566" s="330"/>
      <c r="F566" s="331"/>
      <c r="G566" s="256"/>
      <c r="H566" s="256"/>
      <c r="I566" s="332"/>
      <c r="J566" s="333"/>
      <c r="K566" s="334"/>
      <c r="L566" s="484"/>
    </row>
    <row r="567" spans="1:12" ht="15" thickBot="1">
      <c r="A567" s="328"/>
      <c r="B567" s="257"/>
      <c r="C567" s="257"/>
      <c r="D567" s="329"/>
      <c r="E567" s="330"/>
      <c r="F567" s="331"/>
      <c r="G567" s="256"/>
      <c r="H567" s="256"/>
      <c r="I567" s="332"/>
      <c r="J567" s="333"/>
      <c r="K567" s="334"/>
      <c r="L567" s="484"/>
    </row>
    <row r="568" spans="1:12" ht="15" thickBot="1">
      <c r="A568" s="328"/>
      <c r="B568" s="257"/>
      <c r="C568" s="257"/>
      <c r="D568" s="329"/>
      <c r="E568" s="330"/>
      <c r="F568" s="331"/>
      <c r="G568" s="256"/>
      <c r="H568" s="256"/>
      <c r="I568" s="332"/>
      <c r="J568" s="333"/>
      <c r="K568" s="334"/>
      <c r="L568" s="484"/>
    </row>
    <row r="569" spans="1:12" ht="15" thickBot="1">
      <c r="A569" s="328"/>
      <c r="B569" s="257"/>
      <c r="C569" s="257"/>
      <c r="D569" s="329"/>
      <c r="E569" s="330"/>
      <c r="F569" s="331"/>
      <c r="G569" s="256"/>
      <c r="H569" s="256"/>
      <c r="I569" s="332"/>
      <c r="J569" s="333"/>
      <c r="K569" s="334"/>
      <c r="L569" s="484"/>
    </row>
    <row r="570" spans="1:12" ht="15" thickBot="1">
      <c r="A570" s="328"/>
      <c r="B570" s="257"/>
      <c r="C570" s="257"/>
      <c r="D570" s="329"/>
      <c r="E570" s="330"/>
      <c r="F570" s="331"/>
      <c r="G570" s="256"/>
      <c r="H570" s="256"/>
      <c r="I570" s="332"/>
      <c r="J570" s="333"/>
      <c r="K570" s="334"/>
      <c r="L570" s="484"/>
    </row>
    <row r="571" spans="1:12" ht="15" thickBot="1">
      <c r="A571" s="328"/>
      <c r="B571" s="257"/>
      <c r="C571" s="257"/>
      <c r="D571" s="329"/>
      <c r="E571" s="330"/>
      <c r="F571" s="331"/>
      <c r="G571" s="256"/>
      <c r="H571" s="256"/>
      <c r="I571" s="332"/>
      <c r="J571" s="333"/>
      <c r="K571" s="334"/>
      <c r="L571" s="484"/>
    </row>
    <row r="572" spans="1:12" ht="15" thickBot="1">
      <c r="A572" s="328"/>
      <c r="B572" s="257"/>
      <c r="C572" s="257"/>
      <c r="D572" s="329"/>
      <c r="E572" s="330"/>
      <c r="F572" s="331"/>
      <c r="G572" s="256"/>
      <c r="H572" s="256"/>
      <c r="I572" s="332"/>
      <c r="J572" s="333"/>
      <c r="K572" s="334"/>
      <c r="L572" s="484"/>
    </row>
    <row r="573" spans="1:12" ht="15" thickBot="1">
      <c r="A573" s="328"/>
      <c r="B573" s="257"/>
      <c r="C573" s="257"/>
      <c r="D573" s="329"/>
      <c r="E573" s="330"/>
      <c r="F573" s="331"/>
      <c r="G573" s="256"/>
      <c r="H573" s="256"/>
      <c r="I573" s="332"/>
      <c r="J573" s="333"/>
      <c r="K573" s="334"/>
      <c r="L573" s="484"/>
    </row>
    <row r="574" spans="1:12" ht="15" thickBot="1">
      <c r="A574" s="328"/>
      <c r="B574" s="257"/>
      <c r="C574" s="257"/>
      <c r="D574" s="329"/>
      <c r="E574" s="330"/>
      <c r="F574" s="331"/>
      <c r="G574" s="256"/>
      <c r="H574" s="256"/>
      <c r="I574" s="332"/>
      <c r="J574" s="333"/>
      <c r="K574" s="334"/>
      <c r="L574" s="484"/>
    </row>
    <row r="575" spans="1:12" ht="15" thickBot="1">
      <c r="A575" s="328"/>
      <c r="B575" s="257"/>
      <c r="C575" s="257"/>
      <c r="D575" s="329"/>
      <c r="E575" s="330"/>
      <c r="F575" s="331"/>
      <c r="G575" s="256"/>
      <c r="H575" s="256"/>
      <c r="I575" s="332"/>
      <c r="J575" s="333"/>
      <c r="K575" s="334"/>
      <c r="L575" s="484"/>
    </row>
    <row r="576" spans="1:12" ht="15" thickBot="1">
      <c r="A576" s="328"/>
      <c r="B576" s="257"/>
      <c r="C576" s="257"/>
      <c r="D576" s="329"/>
      <c r="E576" s="330"/>
      <c r="F576" s="331"/>
      <c r="G576" s="256"/>
      <c r="H576" s="256"/>
      <c r="I576" s="332"/>
      <c r="J576" s="333"/>
      <c r="K576" s="334"/>
      <c r="L576" s="484"/>
    </row>
    <row r="577" spans="1:12" ht="15" thickBot="1">
      <c r="A577" s="328"/>
      <c r="B577" s="257"/>
      <c r="C577" s="257"/>
      <c r="D577" s="329"/>
      <c r="E577" s="330"/>
      <c r="F577" s="331"/>
      <c r="G577" s="256"/>
      <c r="H577" s="256"/>
      <c r="I577" s="332"/>
      <c r="J577" s="333"/>
      <c r="K577" s="334"/>
      <c r="L577" s="484"/>
    </row>
    <row r="578" spans="1:12" ht="15" thickBot="1">
      <c r="A578" s="328"/>
      <c r="B578" s="257"/>
      <c r="C578" s="257"/>
      <c r="D578" s="329"/>
      <c r="E578" s="330"/>
      <c r="F578" s="331"/>
      <c r="G578" s="256"/>
      <c r="H578" s="256"/>
      <c r="I578" s="332"/>
      <c r="J578" s="333"/>
      <c r="K578" s="334"/>
      <c r="L578" s="484"/>
    </row>
    <row r="579" spans="1:12" ht="15" thickBot="1">
      <c r="A579" s="328"/>
      <c r="B579" s="257"/>
      <c r="C579" s="257"/>
      <c r="D579" s="329"/>
      <c r="E579" s="330"/>
      <c r="F579" s="331"/>
      <c r="G579" s="256"/>
      <c r="H579" s="256"/>
      <c r="I579" s="332"/>
      <c r="J579" s="333"/>
      <c r="K579" s="334"/>
      <c r="L579" s="484"/>
    </row>
    <row r="580" spans="1:12" ht="15" thickBot="1">
      <c r="A580" s="328"/>
      <c r="B580" s="257"/>
      <c r="C580" s="257"/>
      <c r="D580" s="329"/>
      <c r="E580" s="330"/>
      <c r="F580" s="331"/>
      <c r="G580" s="256"/>
      <c r="H580" s="256"/>
      <c r="I580" s="332"/>
      <c r="J580" s="333"/>
      <c r="K580" s="334"/>
      <c r="L580" s="484"/>
    </row>
    <row r="581" spans="1:12" ht="15" thickBot="1">
      <c r="A581" s="328"/>
      <c r="B581" s="257"/>
      <c r="C581" s="257"/>
      <c r="D581" s="329"/>
      <c r="E581" s="330"/>
      <c r="F581" s="331"/>
      <c r="G581" s="256"/>
      <c r="H581" s="256"/>
      <c r="I581" s="332"/>
      <c r="J581" s="333"/>
      <c r="K581" s="334"/>
      <c r="L581" s="484"/>
    </row>
    <row r="582" spans="1:12" ht="15" thickBot="1">
      <c r="A582" s="328"/>
      <c r="B582" s="257"/>
      <c r="C582" s="257"/>
      <c r="D582" s="329"/>
      <c r="E582" s="330"/>
      <c r="F582" s="331"/>
      <c r="G582" s="256"/>
      <c r="H582" s="256"/>
      <c r="I582" s="332"/>
      <c r="J582" s="333"/>
      <c r="K582" s="334"/>
      <c r="L582" s="484"/>
    </row>
    <row r="583" spans="1:12" ht="15" thickBot="1">
      <c r="A583" s="328"/>
      <c r="B583" s="257"/>
      <c r="C583" s="257"/>
      <c r="D583" s="329"/>
      <c r="E583" s="330"/>
      <c r="F583" s="331"/>
      <c r="G583" s="256"/>
      <c r="H583" s="256"/>
      <c r="I583" s="332"/>
      <c r="J583" s="333"/>
      <c r="K583" s="334"/>
      <c r="L583" s="484"/>
    </row>
    <row r="584" spans="1:12" ht="15" thickBot="1">
      <c r="A584" s="328"/>
      <c r="B584" s="257"/>
      <c r="C584" s="257"/>
      <c r="D584" s="329"/>
      <c r="E584" s="330"/>
      <c r="F584" s="331"/>
      <c r="G584" s="256"/>
      <c r="H584" s="256"/>
      <c r="I584" s="332"/>
      <c r="J584" s="333"/>
      <c r="K584" s="334"/>
      <c r="L584" s="484"/>
    </row>
    <row r="585" spans="1:12" ht="15" thickBot="1">
      <c r="A585" s="328"/>
      <c r="B585" s="257"/>
      <c r="C585" s="257"/>
      <c r="D585" s="329"/>
      <c r="E585" s="330"/>
      <c r="F585" s="331"/>
      <c r="G585" s="256"/>
      <c r="H585" s="256"/>
      <c r="I585" s="332"/>
      <c r="J585" s="333"/>
      <c r="K585" s="334"/>
      <c r="L585" s="484"/>
    </row>
    <row r="586" spans="1:12" ht="15" thickBot="1">
      <c r="A586" s="328"/>
      <c r="B586" s="257"/>
      <c r="C586" s="257"/>
      <c r="D586" s="329"/>
      <c r="E586" s="330"/>
      <c r="F586" s="331"/>
      <c r="G586" s="256"/>
      <c r="H586" s="256"/>
      <c r="I586" s="332"/>
      <c r="J586" s="333"/>
      <c r="K586" s="334"/>
      <c r="L586" s="484"/>
    </row>
    <row r="587" spans="1:12" ht="15" thickBot="1">
      <c r="A587" s="328"/>
      <c r="B587" s="257"/>
      <c r="C587" s="257"/>
      <c r="D587" s="329"/>
      <c r="E587" s="330"/>
      <c r="F587" s="331"/>
      <c r="G587" s="256"/>
      <c r="H587" s="256"/>
      <c r="I587" s="332"/>
      <c r="J587" s="333"/>
      <c r="K587" s="334"/>
      <c r="L587" s="484"/>
    </row>
    <row r="588" spans="1:12" ht="15" thickBot="1">
      <c r="A588" s="328"/>
      <c r="B588" s="257"/>
      <c r="C588" s="257"/>
      <c r="D588" s="329"/>
      <c r="E588" s="330"/>
      <c r="F588" s="331"/>
      <c r="G588" s="256"/>
      <c r="H588" s="256"/>
      <c r="I588" s="332"/>
      <c r="J588" s="333"/>
      <c r="K588" s="334"/>
      <c r="L588" s="484"/>
    </row>
    <row r="589" spans="1:12" ht="15" thickBot="1">
      <c r="A589" s="328"/>
      <c r="B589" s="257"/>
      <c r="C589" s="257"/>
      <c r="D589" s="329"/>
      <c r="E589" s="330"/>
      <c r="F589" s="331"/>
      <c r="G589" s="256"/>
      <c r="H589" s="256"/>
      <c r="I589" s="332"/>
      <c r="J589" s="333"/>
      <c r="K589" s="334"/>
      <c r="L589" s="484"/>
    </row>
    <row r="590" spans="1:12" ht="15" thickBot="1">
      <c r="A590" s="328"/>
      <c r="B590" s="257"/>
      <c r="C590" s="257"/>
      <c r="D590" s="329"/>
      <c r="E590" s="330"/>
      <c r="F590" s="331"/>
      <c r="G590" s="256"/>
      <c r="H590" s="256"/>
      <c r="I590" s="332"/>
      <c r="J590" s="333"/>
      <c r="K590" s="334"/>
      <c r="L590" s="484"/>
    </row>
    <row r="591" spans="1:12" ht="15" thickBot="1">
      <c r="A591" s="328"/>
      <c r="B591" s="257"/>
      <c r="C591" s="257"/>
      <c r="D591" s="329"/>
      <c r="E591" s="330"/>
      <c r="F591" s="331"/>
      <c r="G591" s="256"/>
      <c r="H591" s="256"/>
      <c r="I591" s="332"/>
      <c r="J591" s="333"/>
      <c r="K591" s="334"/>
      <c r="L591" s="484"/>
    </row>
    <row r="592" spans="1:12" ht="15" thickBot="1">
      <c r="A592" s="328"/>
      <c r="B592" s="257"/>
      <c r="C592" s="257"/>
      <c r="D592" s="329"/>
      <c r="E592" s="330"/>
      <c r="F592" s="331"/>
      <c r="G592" s="256"/>
      <c r="H592" s="256"/>
      <c r="I592" s="332"/>
      <c r="J592" s="333"/>
      <c r="K592" s="334"/>
      <c r="L592" s="484"/>
    </row>
    <row r="593" spans="1:12" ht="15" thickBot="1">
      <c r="A593" s="328"/>
      <c r="B593" s="257"/>
      <c r="C593" s="257"/>
      <c r="D593" s="329"/>
      <c r="E593" s="330"/>
      <c r="F593" s="331"/>
      <c r="G593" s="256"/>
      <c r="H593" s="256"/>
      <c r="I593" s="332"/>
      <c r="J593" s="333"/>
      <c r="K593" s="334"/>
      <c r="L593" s="484"/>
    </row>
    <row r="594" spans="1:12" ht="15" thickBot="1">
      <c r="A594" s="328"/>
      <c r="B594" s="257"/>
      <c r="C594" s="257"/>
      <c r="D594" s="329"/>
      <c r="E594" s="330"/>
      <c r="F594" s="331"/>
      <c r="G594" s="256"/>
      <c r="H594" s="256"/>
      <c r="I594" s="332"/>
      <c r="J594" s="333"/>
      <c r="K594" s="334"/>
      <c r="L594" s="484"/>
    </row>
    <row r="595" spans="1:12" ht="15" thickBot="1">
      <c r="A595" s="328"/>
      <c r="B595" s="257"/>
      <c r="C595" s="257"/>
      <c r="D595" s="329"/>
      <c r="E595" s="330"/>
      <c r="F595" s="331"/>
      <c r="G595" s="256"/>
      <c r="H595" s="256"/>
      <c r="I595" s="332"/>
      <c r="J595" s="333"/>
      <c r="K595" s="334"/>
      <c r="L595" s="484"/>
    </row>
    <row r="596" spans="1:12" ht="15" thickBot="1">
      <c r="A596" s="328"/>
      <c r="B596" s="257"/>
      <c r="C596" s="257"/>
      <c r="D596" s="329"/>
      <c r="E596" s="330"/>
      <c r="F596" s="331"/>
      <c r="G596" s="256"/>
      <c r="H596" s="256"/>
      <c r="I596" s="332"/>
      <c r="J596" s="333"/>
      <c r="K596" s="334"/>
      <c r="L596" s="484"/>
    </row>
    <row r="597" spans="1:12" ht="15" thickBot="1">
      <c r="A597" s="328"/>
      <c r="B597" s="257"/>
      <c r="C597" s="257"/>
      <c r="D597" s="329"/>
      <c r="E597" s="330"/>
      <c r="F597" s="331"/>
      <c r="G597" s="256"/>
      <c r="H597" s="256"/>
      <c r="I597" s="332"/>
      <c r="J597" s="333"/>
      <c r="K597" s="334"/>
      <c r="L597" s="484"/>
    </row>
    <row r="598" spans="1:12" ht="15" thickBot="1">
      <c r="A598" s="328"/>
      <c r="B598" s="257"/>
      <c r="C598" s="257"/>
      <c r="D598" s="329"/>
      <c r="E598" s="330"/>
      <c r="F598" s="331"/>
      <c r="G598" s="256"/>
      <c r="H598" s="256"/>
      <c r="I598" s="332"/>
      <c r="J598" s="333"/>
      <c r="K598" s="334"/>
      <c r="L598" s="484"/>
    </row>
    <row r="599" spans="1:12" ht="15" thickBot="1">
      <c r="A599" s="328"/>
      <c r="B599" s="257"/>
      <c r="C599" s="257"/>
      <c r="D599" s="329"/>
      <c r="E599" s="330"/>
      <c r="F599" s="331"/>
      <c r="G599" s="256"/>
      <c r="H599" s="256"/>
      <c r="I599" s="332"/>
      <c r="J599" s="333"/>
      <c r="K599" s="334"/>
      <c r="L599" s="484"/>
    </row>
    <row r="600" spans="1:12" ht="15" thickBot="1">
      <c r="A600" s="328"/>
      <c r="B600" s="257"/>
      <c r="C600" s="257"/>
      <c r="D600" s="329"/>
      <c r="E600" s="330"/>
      <c r="F600" s="331"/>
      <c r="G600" s="256"/>
      <c r="H600" s="256"/>
      <c r="I600" s="332"/>
      <c r="J600" s="333"/>
      <c r="K600" s="334"/>
      <c r="L600" s="484"/>
    </row>
    <row r="601" spans="1:12" ht="15" thickBot="1">
      <c r="A601" s="328"/>
      <c r="B601" s="257"/>
      <c r="C601" s="257"/>
      <c r="D601" s="329"/>
      <c r="E601" s="330"/>
      <c r="F601" s="331"/>
      <c r="G601" s="256"/>
      <c r="H601" s="256"/>
      <c r="I601" s="332"/>
      <c r="J601" s="333"/>
      <c r="K601" s="334"/>
      <c r="L601" s="484"/>
    </row>
    <row r="602" spans="1:12" ht="15" thickBot="1">
      <c r="A602" s="328"/>
      <c r="B602" s="257"/>
      <c r="C602" s="257"/>
      <c r="D602" s="329"/>
      <c r="E602" s="330"/>
      <c r="F602" s="331"/>
      <c r="G602" s="256"/>
      <c r="H602" s="256"/>
      <c r="I602" s="332"/>
      <c r="J602" s="333"/>
      <c r="K602" s="334"/>
      <c r="L602" s="484"/>
    </row>
    <row r="603" spans="1:12" ht="15" thickBot="1">
      <c r="A603" s="328"/>
      <c r="B603" s="257"/>
      <c r="C603" s="257"/>
      <c r="D603" s="329"/>
      <c r="E603" s="330"/>
      <c r="F603" s="331"/>
      <c r="G603" s="256"/>
      <c r="H603" s="256"/>
      <c r="I603" s="332"/>
      <c r="J603" s="333"/>
      <c r="K603" s="334"/>
      <c r="L603" s="484"/>
    </row>
    <row r="604" spans="1:12" ht="15" thickBot="1">
      <c r="A604" s="328"/>
      <c r="B604" s="257"/>
      <c r="C604" s="257"/>
      <c r="D604" s="329"/>
      <c r="E604" s="330"/>
      <c r="F604" s="331"/>
      <c r="G604" s="256"/>
      <c r="H604" s="256"/>
      <c r="I604" s="332"/>
      <c r="J604" s="333"/>
      <c r="K604" s="334"/>
      <c r="L604" s="484"/>
    </row>
    <row r="605" spans="1:12" ht="15" thickBot="1">
      <c r="A605" s="328"/>
      <c r="B605" s="257"/>
      <c r="C605" s="257"/>
      <c r="D605" s="329"/>
      <c r="E605" s="330"/>
      <c r="F605" s="331"/>
      <c r="G605" s="256"/>
      <c r="H605" s="256"/>
      <c r="I605" s="332"/>
      <c r="J605" s="333"/>
      <c r="K605" s="334"/>
      <c r="L605" s="484"/>
    </row>
    <row r="606" spans="1:12" ht="15" thickBot="1">
      <c r="A606" s="328"/>
      <c r="B606" s="257"/>
      <c r="C606" s="257"/>
      <c r="D606" s="329"/>
      <c r="E606" s="330"/>
      <c r="F606" s="331"/>
      <c r="G606" s="256"/>
      <c r="H606" s="256"/>
      <c r="I606" s="332"/>
      <c r="J606" s="333"/>
      <c r="K606" s="334"/>
      <c r="L606" s="484"/>
    </row>
    <row r="607" spans="1:12" ht="15" thickBot="1">
      <c r="A607" s="328"/>
      <c r="B607" s="257"/>
      <c r="C607" s="257"/>
      <c r="D607" s="329"/>
      <c r="E607" s="330"/>
      <c r="F607" s="331"/>
      <c r="G607" s="256"/>
      <c r="H607" s="256"/>
      <c r="I607" s="332"/>
      <c r="J607" s="333"/>
      <c r="K607" s="334"/>
      <c r="L607" s="484"/>
    </row>
    <row r="608" spans="1:12" ht="15" thickBot="1">
      <c r="A608" s="328"/>
      <c r="B608" s="257"/>
      <c r="C608" s="257"/>
      <c r="D608" s="329"/>
      <c r="E608" s="330"/>
      <c r="F608" s="331"/>
      <c r="G608" s="256"/>
      <c r="H608" s="256"/>
      <c r="I608" s="332"/>
      <c r="J608" s="333"/>
      <c r="K608" s="334"/>
      <c r="L608" s="484"/>
    </row>
    <row r="609" spans="1:12" ht="15" thickBot="1">
      <c r="A609" s="328"/>
      <c r="B609" s="257"/>
      <c r="C609" s="257"/>
      <c r="D609" s="329"/>
      <c r="E609" s="330"/>
      <c r="F609" s="331"/>
      <c r="G609" s="256"/>
      <c r="H609" s="256"/>
      <c r="I609" s="332"/>
      <c r="J609" s="333"/>
      <c r="K609" s="334"/>
      <c r="L609" s="484"/>
    </row>
    <row r="610" spans="1:12" ht="15" thickBot="1">
      <c r="A610" s="328"/>
      <c r="B610" s="257"/>
      <c r="C610" s="257"/>
      <c r="D610" s="329"/>
      <c r="E610" s="330"/>
      <c r="F610" s="331"/>
      <c r="G610" s="256"/>
      <c r="H610" s="256"/>
      <c r="I610" s="332"/>
      <c r="J610" s="333"/>
      <c r="K610" s="334"/>
      <c r="L610" s="484"/>
    </row>
    <row r="611" spans="1:12" ht="15" thickBot="1">
      <c r="A611" s="328"/>
      <c r="B611" s="257"/>
      <c r="C611" s="257"/>
      <c r="D611" s="329"/>
      <c r="E611" s="330"/>
      <c r="F611" s="331"/>
      <c r="G611" s="256"/>
      <c r="H611" s="256"/>
      <c r="I611" s="332"/>
      <c r="J611" s="333"/>
      <c r="K611" s="334"/>
      <c r="L611" s="484"/>
    </row>
    <row r="612" spans="1:12" ht="15" thickBot="1">
      <c r="A612" s="328"/>
      <c r="B612" s="257"/>
      <c r="C612" s="257"/>
      <c r="D612" s="329"/>
      <c r="E612" s="330"/>
      <c r="F612" s="331"/>
      <c r="G612" s="256"/>
      <c r="H612" s="256"/>
      <c r="I612" s="332"/>
      <c r="J612" s="333"/>
      <c r="K612" s="334"/>
      <c r="L612" s="484"/>
    </row>
    <row r="613" spans="1:12" ht="15" thickBot="1">
      <c r="A613" s="328"/>
      <c r="B613" s="257"/>
      <c r="C613" s="257"/>
      <c r="D613" s="329"/>
      <c r="E613" s="330"/>
      <c r="F613" s="331"/>
      <c r="G613" s="256"/>
      <c r="H613" s="256"/>
      <c r="I613" s="332"/>
      <c r="J613" s="333"/>
      <c r="K613" s="334"/>
      <c r="L613" s="484"/>
    </row>
    <row r="614" spans="1:12" ht="15" thickBot="1">
      <c r="A614" s="328"/>
      <c r="B614" s="257"/>
      <c r="C614" s="257"/>
      <c r="D614" s="329"/>
      <c r="E614" s="330"/>
      <c r="F614" s="331"/>
      <c r="G614" s="256"/>
      <c r="H614" s="256"/>
      <c r="I614" s="332"/>
      <c r="J614" s="333"/>
      <c r="K614" s="334"/>
      <c r="L614" s="484"/>
    </row>
    <row r="615" spans="1:12" ht="15" thickBot="1">
      <c r="A615" s="328"/>
      <c r="B615" s="257"/>
      <c r="C615" s="257"/>
      <c r="D615" s="329"/>
      <c r="E615" s="330"/>
      <c r="F615" s="331"/>
      <c r="G615" s="256"/>
      <c r="H615" s="256"/>
      <c r="I615" s="332"/>
      <c r="J615" s="333"/>
      <c r="K615" s="334"/>
      <c r="L615" s="484"/>
    </row>
    <row r="616" spans="1:12" ht="15" thickBot="1">
      <c r="A616" s="328"/>
      <c r="B616" s="257"/>
      <c r="C616" s="257"/>
      <c r="D616" s="329"/>
      <c r="E616" s="330"/>
      <c r="F616" s="331"/>
      <c r="G616" s="256"/>
      <c r="H616" s="256"/>
      <c r="I616" s="332"/>
      <c r="J616" s="333"/>
      <c r="K616" s="334"/>
      <c r="L616" s="484"/>
    </row>
    <row r="617" spans="1:12" ht="15" thickBot="1">
      <c r="A617" s="328"/>
      <c r="B617" s="257"/>
      <c r="C617" s="257"/>
      <c r="D617" s="329"/>
      <c r="E617" s="330"/>
      <c r="F617" s="331"/>
      <c r="G617" s="256"/>
      <c r="H617" s="256"/>
      <c r="I617" s="332"/>
      <c r="J617" s="333"/>
      <c r="K617" s="334"/>
      <c r="L617" s="484"/>
    </row>
    <row r="618" spans="1:12" ht="15" thickBot="1">
      <c r="A618" s="328"/>
      <c r="B618" s="257"/>
      <c r="C618" s="257"/>
      <c r="D618" s="329"/>
      <c r="E618" s="330"/>
      <c r="F618" s="331"/>
      <c r="G618" s="256"/>
      <c r="H618" s="256"/>
      <c r="I618" s="332"/>
      <c r="J618" s="333"/>
      <c r="K618" s="334"/>
      <c r="L618" s="484"/>
    </row>
    <row r="619" spans="1:12" ht="15" thickBot="1">
      <c r="A619" s="328"/>
      <c r="B619" s="257"/>
      <c r="C619" s="257"/>
      <c r="D619" s="329"/>
      <c r="E619" s="330"/>
      <c r="F619" s="331"/>
      <c r="G619" s="256"/>
      <c r="H619" s="256"/>
      <c r="I619" s="332"/>
      <c r="J619" s="333"/>
      <c r="K619" s="334"/>
      <c r="L619" s="484"/>
    </row>
    <row r="620" spans="1:12" ht="15" thickBot="1">
      <c r="A620" s="328"/>
      <c r="B620" s="257"/>
      <c r="C620" s="257"/>
      <c r="D620" s="329"/>
      <c r="E620" s="330"/>
      <c r="F620" s="331"/>
      <c r="G620" s="256"/>
      <c r="H620" s="256"/>
      <c r="I620" s="332"/>
      <c r="J620" s="333"/>
      <c r="K620" s="334"/>
      <c r="L620" s="484"/>
    </row>
    <row r="621" spans="1:12" ht="15" thickBot="1">
      <c r="A621" s="328"/>
      <c r="B621" s="257"/>
      <c r="C621" s="257"/>
      <c r="D621" s="329"/>
      <c r="E621" s="330"/>
      <c r="F621" s="331"/>
      <c r="G621" s="256"/>
      <c r="H621" s="256"/>
      <c r="I621" s="332"/>
      <c r="J621" s="333"/>
      <c r="K621" s="334"/>
      <c r="L621" s="484"/>
    </row>
    <row r="622" spans="1:12" ht="15" thickBot="1">
      <c r="A622" s="328"/>
      <c r="B622" s="257"/>
      <c r="C622" s="257"/>
      <c r="D622" s="329"/>
      <c r="E622" s="330"/>
      <c r="F622" s="331"/>
      <c r="G622" s="256"/>
      <c r="H622" s="256"/>
      <c r="I622" s="332"/>
      <c r="J622" s="333"/>
      <c r="K622" s="334"/>
      <c r="L622" s="484"/>
    </row>
    <row r="623" spans="1:12" ht="15" thickBot="1">
      <c r="A623" s="328"/>
      <c r="B623" s="257"/>
      <c r="C623" s="257"/>
      <c r="D623" s="329"/>
      <c r="E623" s="330"/>
      <c r="F623" s="331"/>
      <c r="G623" s="256"/>
      <c r="H623" s="256"/>
      <c r="I623" s="332"/>
      <c r="J623" s="333"/>
      <c r="K623" s="334"/>
      <c r="L623" s="484"/>
    </row>
    <row r="624" spans="1:12" ht="15" thickBot="1">
      <c r="A624" s="328"/>
      <c r="B624" s="257"/>
      <c r="C624" s="257"/>
      <c r="D624" s="329"/>
      <c r="E624" s="330"/>
      <c r="F624" s="331"/>
      <c r="G624" s="256"/>
      <c r="H624" s="256"/>
      <c r="I624" s="332"/>
      <c r="J624" s="333"/>
      <c r="K624" s="334"/>
      <c r="L624" s="484"/>
    </row>
    <row r="625" spans="1:12" ht="15" thickBot="1">
      <c r="A625" s="328"/>
      <c r="B625" s="257"/>
      <c r="C625" s="257"/>
      <c r="D625" s="329"/>
      <c r="E625" s="330"/>
      <c r="F625" s="331"/>
      <c r="G625" s="256"/>
      <c r="H625" s="256"/>
      <c r="I625" s="332"/>
      <c r="J625" s="333"/>
      <c r="K625" s="334"/>
      <c r="L625" s="484"/>
    </row>
    <row r="626" spans="1:12" ht="15" thickBot="1">
      <c r="A626" s="328"/>
      <c r="B626" s="257"/>
      <c r="C626" s="257"/>
      <c r="D626" s="329"/>
      <c r="E626" s="330"/>
      <c r="F626" s="331"/>
      <c r="G626" s="256"/>
      <c r="H626" s="256"/>
      <c r="I626" s="332"/>
      <c r="J626" s="333"/>
      <c r="K626" s="334"/>
      <c r="L626" s="484"/>
    </row>
    <row r="627" spans="1:12" ht="15" thickBot="1">
      <c r="A627" s="328"/>
      <c r="B627" s="257"/>
      <c r="C627" s="257"/>
      <c r="D627" s="329"/>
      <c r="E627" s="330"/>
      <c r="F627" s="331"/>
      <c r="G627" s="256"/>
      <c r="H627" s="256"/>
      <c r="I627" s="332"/>
      <c r="J627" s="333"/>
      <c r="K627" s="334"/>
      <c r="L627" s="484"/>
    </row>
    <row r="628" spans="1:12" ht="15" thickBot="1">
      <c r="A628" s="328"/>
      <c r="B628" s="257"/>
      <c r="C628" s="257"/>
      <c r="D628" s="329"/>
      <c r="E628" s="330"/>
      <c r="F628" s="331"/>
      <c r="G628" s="256"/>
      <c r="H628" s="256"/>
      <c r="I628" s="332"/>
      <c r="J628" s="333"/>
      <c r="K628" s="334"/>
      <c r="L628" s="484"/>
    </row>
    <row r="629" spans="1:12" ht="15" thickBot="1">
      <c r="A629" s="328"/>
      <c r="B629" s="257"/>
      <c r="C629" s="257"/>
      <c r="D629" s="329"/>
      <c r="E629" s="330"/>
      <c r="F629" s="331"/>
      <c r="G629" s="256"/>
      <c r="H629" s="256"/>
      <c r="I629" s="332"/>
      <c r="J629" s="333"/>
      <c r="K629" s="334"/>
      <c r="L629" s="484"/>
    </row>
    <row r="630" spans="1:12" ht="15" thickBot="1">
      <c r="A630" s="328"/>
      <c r="B630" s="257"/>
      <c r="C630" s="257"/>
      <c r="D630" s="329"/>
      <c r="E630" s="330"/>
      <c r="F630" s="331"/>
      <c r="G630" s="256"/>
      <c r="H630" s="256"/>
      <c r="I630" s="332"/>
      <c r="J630" s="333"/>
      <c r="K630" s="334"/>
      <c r="L630" s="484"/>
    </row>
    <row r="631" spans="1:12" ht="15" thickBot="1">
      <c r="A631" s="328"/>
      <c r="B631" s="257"/>
      <c r="C631" s="257"/>
      <c r="D631" s="329"/>
      <c r="E631" s="330"/>
      <c r="F631" s="331"/>
      <c r="G631" s="256"/>
      <c r="H631" s="256"/>
      <c r="I631" s="332"/>
      <c r="J631" s="333"/>
      <c r="K631" s="334"/>
      <c r="L631" s="484"/>
    </row>
    <row r="632" spans="1:12" ht="15" thickBot="1">
      <c r="A632" s="328"/>
      <c r="B632" s="257"/>
      <c r="C632" s="257"/>
      <c r="D632" s="329"/>
      <c r="E632" s="330"/>
      <c r="F632" s="331"/>
      <c r="G632" s="256"/>
      <c r="H632" s="256"/>
      <c r="I632" s="332"/>
      <c r="J632" s="333"/>
      <c r="K632" s="334"/>
      <c r="L632" s="484"/>
    </row>
    <row r="633" spans="1:12" ht="15" thickBot="1">
      <c r="A633" s="328"/>
      <c r="B633" s="257"/>
      <c r="C633" s="257"/>
      <c r="D633" s="329"/>
      <c r="E633" s="330"/>
      <c r="F633" s="331"/>
      <c r="G633" s="256"/>
      <c r="H633" s="256"/>
      <c r="I633" s="332"/>
      <c r="J633" s="333"/>
      <c r="K633" s="334"/>
      <c r="L633" s="484"/>
    </row>
    <row r="634" spans="1:12" ht="15" thickBot="1">
      <c r="A634" s="328"/>
      <c r="B634" s="257"/>
      <c r="C634" s="257"/>
      <c r="D634" s="329"/>
      <c r="E634" s="330"/>
      <c r="F634" s="331"/>
      <c r="G634" s="256"/>
      <c r="H634" s="256"/>
      <c r="I634" s="332"/>
      <c r="J634" s="333"/>
      <c r="K634" s="334"/>
      <c r="L634" s="484"/>
    </row>
    <row r="635" spans="1:12" ht="15" thickBot="1">
      <c r="A635" s="328"/>
      <c r="B635" s="257"/>
      <c r="C635" s="257"/>
      <c r="D635" s="329"/>
      <c r="E635" s="330"/>
      <c r="F635" s="331"/>
      <c r="G635" s="256"/>
      <c r="H635" s="256"/>
      <c r="I635" s="332"/>
      <c r="J635" s="333"/>
      <c r="K635" s="334"/>
      <c r="L635" s="484"/>
    </row>
    <row r="636" spans="1:12" ht="15" thickBot="1">
      <c r="A636" s="328"/>
      <c r="B636" s="257"/>
      <c r="C636" s="257"/>
      <c r="D636" s="329"/>
      <c r="E636" s="330"/>
      <c r="F636" s="331"/>
      <c r="G636" s="256"/>
      <c r="H636" s="256"/>
      <c r="I636" s="332"/>
      <c r="J636" s="333"/>
      <c r="K636" s="334"/>
      <c r="L636" s="484"/>
    </row>
    <row r="637" spans="1:12" ht="15" thickBot="1">
      <c r="A637" s="328"/>
      <c r="B637" s="257"/>
      <c r="C637" s="257"/>
      <c r="D637" s="329"/>
      <c r="E637" s="330"/>
      <c r="F637" s="331"/>
      <c r="G637" s="256"/>
      <c r="H637" s="256"/>
      <c r="I637" s="332"/>
      <c r="J637" s="333"/>
      <c r="K637" s="334"/>
      <c r="L637" s="484"/>
    </row>
    <row r="638" spans="1:12" ht="15" thickBot="1">
      <c r="A638" s="328"/>
      <c r="B638" s="257"/>
      <c r="C638" s="257"/>
      <c r="D638" s="329"/>
      <c r="E638" s="330"/>
      <c r="F638" s="331"/>
      <c r="G638" s="256"/>
      <c r="H638" s="256"/>
      <c r="I638" s="332"/>
      <c r="J638" s="333"/>
      <c r="K638" s="334"/>
      <c r="L638" s="484"/>
    </row>
    <row r="639" spans="1:12" ht="15" thickBot="1">
      <c r="A639" s="328"/>
      <c r="B639" s="257"/>
      <c r="C639" s="257"/>
      <c r="D639" s="329"/>
      <c r="E639" s="330"/>
      <c r="F639" s="331"/>
      <c r="G639" s="256"/>
      <c r="H639" s="256"/>
      <c r="I639" s="332"/>
      <c r="J639" s="333"/>
      <c r="K639" s="334"/>
      <c r="L639" s="484"/>
    </row>
    <row r="640" spans="1:12" ht="15" thickBot="1">
      <c r="A640" s="328"/>
      <c r="B640" s="257"/>
      <c r="C640" s="257"/>
      <c r="D640" s="329"/>
      <c r="E640" s="330"/>
      <c r="F640" s="331"/>
      <c r="G640" s="256"/>
      <c r="H640" s="256"/>
      <c r="I640" s="332"/>
      <c r="J640" s="333"/>
      <c r="K640" s="334"/>
      <c r="L640" s="484"/>
    </row>
    <row r="641" spans="1:12" ht="15" thickBot="1">
      <c r="A641" s="328"/>
      <c r="B641" s="257"/>
      <c r="C641" s="257"/>
      <c r="D641" s="329"/>
      <c r="E641" s="330"/>
      <c r="F641" s="331"/>
      <c r="G641" s="256"/>
      <c r="H641" s="256"/>
      <c r="I641" s="332"/>
      <c r="J641" s="333"/>
      <c r="K641" s="334"/>
      <c r="L641" s="484"/>
    </row>
    <row r="642" spans="1:12" ht="15" thickBot="1">
      <c r="A642" s="328"/>
      <c r="B642" s="257"/>
      <c r="C642" s="257"/>
      <c r="D642" s="329"/>
      <c r="E642" s="330"/>
      <c r="F642" s="331"/>
      <c r="G642" s="256"/>
      <c r="H642" s="256"/>
      <c r="I642" s="332"/>
      <c r="J642" s="333"/>
      <c r="K642" s="334"/>
      <c r="L642" s="484"/>
    </row>
    <row r="643" spans="1:12" ht="15" thickBot="1">
      <c r="A643" s="328"/>
      <c r="B643" s="257"/>
      <c r="C643" s="257"/>
      <c r="D643" s="329"/>
      <c r="E643" s="330"/>
      <c r="F643" s="331"/>
      <c r="G643" s="256"/>
      <c r="H643" s="256"/>
      <c r="I643" s="332"/>
      <c r="J643" s="333"/>
      <c r="K643" s="334"/>
      <c r="L643" s="484"/>
    </row>
    <row r="644" spans="1:12" ht="15" thickBot="1">
      <c r="A644" s="328"/>
      <c r="B644" s="257"/>
      <c r="C644" s="257"/>
      <c r="D644" s="329"/>
      <c r="E644" s="330"/>
      <c r="F644" s="331"/>
      <c r="G644" s="256"/>
      <c r="H644" s="256"/>
      <c r="I644" s="332"/>
      <c r="J644" s="333"/>
      <c r="K644" s="334"/>
      <c r="L644" s="484"/>
    </row>
    <row r="645" spans="1:12" ht="15" thickBot="1">
      <c r="A645" s="328"/>
      <c r="B645" s="257"/>
      <c r="C645" s="257"/>
      <c r="D645" s="329"/>
      <c r="E645" s="330"/>
      <c r="F645" s="331"/>
      <c r="G645" s="256"/>
      <c r="H645" s="256"/>
      <c r="I645" s="332"/>
      <c r="J645" s="333"/>
      <c r="K645" s="334"/>
      <c r="L645" s="484"/>
    </row>
    <row r="646" spans="1:12" ht="15" thickBot="1">
      <c r="A646" s="328"/>
      <c r="B646" s="257"/>
      <c r="C646" s="257"/>
      <c r="D646" s="329"/>
      <c r="E646" s="330"/>
      <c r="F646" s="331"/>
      <c r="G646" s="256"/>
      <c r="H646" s="256"/>
      <c r="I646" s="332"/>
      <c r="J646" s="333"/>
      <c r="K646" s="334"/>
      <c r="L646" s="484"/>
    </row>
    <row r="647" spans="1:12" ht="15" thickBot="1">
      <c r="A647" s="328"/>
      <c r="B647" s="257"/>
      <c r="C647" s="257"/>
      <c r="D647" s="329"/>
      <c r="E647" s="330"/>
      <c r="F647" s="331"/>
      <c r="G647" s="256"/>
      <c r="H647" s="256"/>
      <c r="I647" s="332"/>
      <c r="J647" s="333"/>
      <c r="K647" s="334"/>
      <c r="L647" s="484"/>
    </row>
    <row r="648" spans="1:12" ht="15" thickBot="1">
      <c r="A648" s="328"/>
      <c r="B648" s="257"/>
      <c r="C648" s="257"/>
      <c r="D648" s="329"/>
      <c r="E648" s="330"/>
      <c r="F648" s="331"/>
      <c r="G648" s="256"/>
      <c r="H648" s="256"/>
      <c r="I648" s="332"/>
      <c r="J648" s="333"/>
      <c r="K648" s="334"/>
      <c r="L648" s="484"/>
    </row>
    <row r="649" spans="1:12" ht="15" thickBot="1">
      <c r="A649" s="328"/>
      <c r="B649" s="257"/>
      <c r="C649" s="257"/>
      <c r="D649" s="329"/>
      <c r="E649" s="330"/>
      <c r="F649" s="331"/>
      <c r="G649" s="256"/>
      <c r="H649" s="256"/>
      <c r="I649" s="332"/>
      <c r="J649" s="333"/>
      <c r="K649" s="334"/>
      <c r="L649" s="484"/>
    </row>
    <row r="650" spans="1:12" ht="15" thickBot="1">
      <c r="A650" s="328"/>
      <c r="B650" s="257"/>
      <c r="C650" s="257"/>
      <c r="D650" s="329"/>
      <c r="E650" s="330"/>
      <c r="F650" s="331"/>
      <c r="G650" s="256"/>
      <c r="H650" s="256"/>
      <c r="I650" s="332"/>
      <c r="J650" s="333"/>
      <c r="K650" s="334"/>
      <c r="L650" s="484"/>
    </row>
    <row r="651" spans="1:12" ht="15" thickBot="1">
      <c r="A651" s="328"/>
      <c r="B651" s="257"/>
      <c r="C651" s="257"/>
      <c r="D651" s="329"/>
      <c r="E651" s="330"/>
      <c r="F651" s="331"/>
      <c r="G651" s="256"/>
      <c r="H651" s="256"/>
      <c r="I651" s="332"/>
      <c r="J651" s="333"/>
      <c r="K651" s="334"/>
      <c r="L651" s="484"/>
    </row>
    <row r="652" spans="1:12" ht="15" thickBot="1">
      <c r="A652" s="328"/>
      <c r="B652" s="257"/>
      <c r="C652" s="257"/>
      <c r="D652" s="329"/>
      <c r="E652" s="330"/>
      <c r="F652" s="331"/>
      <c r="G652" s="256"/>
      <c r="H652" s="256"/>
      <c r="I652" s="332"/>
      <c r="J652" s="333"/>
      <c r="K652" s="334"/>
      <c r="L652" s="484"/>
    </row>
    <row r="653" spans="1:12" ht="15" thickBot="1">
      <c r="A653" s="328"/>
      <c r="B653" s="257"/>
      <c r="C653" s="257"/>
      <c r="D653" s="329"/>
      <c r="E653" s="330"/>
      <c r="F653" s="331"/>
      <c r="G653" s="256"/>
      <c r="H653" s="256"/>
      <c r="I653" s="332"/>
      <c r="J653" s="333"/>
      <c r="K653" s="334"/>
      <c r="L653" s="484"/>
    </row>
    <row r="654" spans="1:12" ht="15" thickBot="1">
      <c r="A654" s="328"/>
      <c r="B654" s="257"/>
      <c r="C654" s="257"/>
      <c r="D654" s="329"/>
      <c r="E654" s="330"/>
      <c r="F654" s="331"/>
      <c r="G654" s="256"/>
      <c r="H654" s="256"/>
      <c r="I654" s="332"/>
      <c r="J654" s="333"/>
      <c r="K654" s="334"/>
      <c r="L654" s="484"/>
    </row>
    <row r="655" spans="1:12" ht="15" thickBot="1">
      <c r="A655" s="328"/>
      <c r="B655" s="257"/>
      <c r="C655" s="257"/>
      <c r="D655" s="329"/>
      <c r="E655" s="330"/>
      <c r="F655" s="331"/>
      <c r="G655" s="256"/>
      <c r="H655" s="256"/>
      <c r="I655" s="332"/>
      <c r="J655" s="333"/>
      <c r="K655" s="334"/>
      <c r="L655" s="484"/>
    </row>
    <row r="656" spans="1:12" ht="15" thickBot="1">
      <c r="A656" s="328"/>
      <c r="B656" s="257"/>
      <c r="C656" s="257"/>
      <c r="D656" s="329"/>
      <c r="E656" s="330"/>
      <c r="F656" s="331"/>
      <c r="G656" s="256"/>
      <c r="H656" s="256"/>
      <c r="I656" s="332"/>
      <c r="J656" s="333"/>
      <c r="K656" s="334"/>
      <c r="L656" s="484"/>
    </row>
    <row r="657" spans="1:12" ht="15" thickBot="1">
      <c r="A657" s="328"/>
      <c r="B657" s="257"/>
      <c r="C657" s="257"/>
      <c r="D657" s="329"/>
      <c r="E657" s="330"/>
      <c r="F657" s="331"/>
      <c r="G657" s="256"/>
      <c r="H657" s="256"/>
      <c r="I657" s="332"/>
      <c r="J657" s="333"/>
      <c r="K657" s="334"/>
      <c r="L657" s="484"/>
    </row>
    <row r="658" spans="1:12" ht="15" thickBot="1">
      <c r="A658" s="328"/>
      <c r="B658" s="257"/>
      <c r="C658" s="257"/>
      <c r="D658" s="329"/>
      <c r="E658" s="330"/>
      <c r="F658" s="331"/>
      <c r="G658" s="256"/>
      <c r="H658" s="256"/>
      <c r="I658" s="332"/>
      <c r="J658" s="333"/>
      <c r="K658" s="334"/>
      <c r="L658" s="484"/>
    </row>
    <row r="659" spans="1:12" ht="15" thickBot="1">
      <c r="A659" s="328"/>
      <c r="B659" s="257"/>
      <c r="C659" s="257"/>
      <c r="D659" s="329"/>
      <c r="E659" s="330"/>
      <c r="F659" s="331"/>
      <c r="G659" s="256"/>
      <c r="H659" s="256"/>
      <c r="I659" s="332"/>
      <c r="J659" s="333"/>
      <c r="K659" s="334"/>
      <c r="L659" s="484"/>
    </row>
    <row r="660" spans="1:12" ht="15" thickBot="1">
      <c r="A660" s="328"/>
      <c r="B660" s="257"/>
      <c r="C660" s="257"/>
      <c r="D660" s="329"/>
      <c r="E660" s="330"/>
      <c r="F660" s="331"/>
      <c r="G660" s="256"/>
      <c r="H660" s="256"/>
      <c r="I660" s="332"/>
      <c r="J660" s="333"/>
      <c r="K660" s="334"/>
      <c r="L660" s="484"/>
    </row>
    <row r="661" spans="1:12" ht="15" thickBot="1">
      <c r="A661" s="328"/>
      <c r="B661" s="257"/>
      <c r="C661" s="257"/>
      <c r="D661" s="329"/>
      <c r="E661" s="330"/>
      <c r="F661" s="331"/>
      <c r="G661" s="256"/>
      <c r="H661" s="256"/>
      <c r="I661" s="332"/>
      <c r="J661" s="333"/>
      <c r="K661" s="334"/>
      <c r="L661" s="484"/>
    </row>
    <row r="662" spans="1:12" ht="15" thickBot="1">
      <c r="A662" s="328"/>
      <c r="B662" s="257"/>
      <c r="C662" s="257"/>
      <c r="D662" s="329"/>
      <c r="E662" s="330"/>
      <c r="F662" s="331"/>
      <c r="G662" s="256"/>
      <c r="H662" s="256"/>
      <c r="I662" s="332"/>
      <c r="J662" s="333"/>
      <c r="K662" s="334"/>
      <c r="L662" s="484"/>
    </row>
    <row r="663" spans="1:12" ht="15" thickBot="1">
      <c r="A663" s="328"/>
      <c r="B663" s="257"/>
      <c r="C663" s="257"/>
      <c r="D663" s="329"/>
      <c r="E663" s="330"/>
      <c r="F663" s="331"/>
      <c r="G663" s="256"/>
      <c r="H663" s="256"/>
      <c r="I663" s="332"/>
      <c r="J663" s="333"/>
      <c r="K663" s="334"/>
      <c r="L663" s="484"/>
    </row>
    <row r="664" spans="1:12" ht="15" thickBot="1">
      <c r="A664" s="328"/>
      <c r="B664" s="257"/>
      <c r="C664" s="257"/>
      <c r="D664" s="329"/>
      <c r="E664" s="330"/>
      <c r="F664" s="331"/>
      <c r="G664" s="256"/>
      <c r="H664" s="256"/>
      <c r="I664" s="332"/>
      <c r="J664" s="333"/>
      <c r="K664" s="334"/>
      <c r="L664" s="484"/>
    </row>
    <row r="665" spans="1:12" ht="15" thickBot="1">
      <c r="A665" s="328"/>
      <c r="B665" s="257"/>
      <c r="C665" s="257"/>
      <c r="D665" s="329"/>
      <c r="E665" s="330"/>
      <c r="F665" s="331"/>
      <c r="G665" s="256"/>
      <c r="H665" s="256"/>
      <c r="I665" s="332"/>
      <c r="J665" s="333"/>
      <c r="K665" s="334"/>
      <c r="L665" s="484"/>
    </row>
    <row r="666" spans="1:12" ht="15" thickBot="1">
      <c r="A666" s="328"/>
      <c r="B666" s="257"/>
      <c r="C666" s="257"/>
      <c r="D666" s="329"/>
      <c r="E666" s="330"/>
      <c r="F666" s="331"/>
      <c r="G666" s="256"/>
      <c r="H666" s="256"/>
      <c r="I666" s="332"/>
      <c r="J666" s="333"/>
      <c r="K666" s="334"/>
      <c r="L666" s="484"/>
    </row>
    <row r="667" spans="1:12" ht="15" thickBot="1">
      <c r="A667" s="328"/>
      <c r="B667" s="257"/>
      <c r="C667" s="257"/>
      <c r="D667" s="329"/>
      <c r="E667" s="330"/>
      <c r="F667" s="331"/>
      <c r="G667" s="256"/>
      <c r="H667" s="256"/>
      <c r="I667" s="332"/>
      <c r="J667" s="333"/>
      <c r="K667" s="334"/>
      <c r="L667" s="484"/>
    </row>
    <row r="668" spans="1:12" ht="15" thickBot="1">
      <c r="A668" s="328"/>
      <c r="B668" s="257"/>
      <c r="C668" s="257"/>
      <c r="D668" s="329"/>
      <c r="E668" s="330"/>
      <c r="F668" s="331"/>
      <c r="G668" s="256"/>
      <c r="H668" s="256"/>
      <c r="I668" s="332"/>
      <c r="J668" s="333"/>
      <c r="K668" s="334"/>
      <c r="L668" s="484"/>
    </row>
    <row r="669" spans="1:12" ht="15" thickBot="1">
      <c r="A669" s="328"/>
      <c r="B669" s="257"/>
      <c r="C669" s="257"/>
      <c r="D669" s="329"/>
      <c r="E669" s="330"/>
      <c r="F669" s="331"/>
      <c r="G669" s="256"/>
      <c r="H669" s="256"/>
      <c r="I669" s="332"/>
      <c r="J669" s="333"/>
      <c r="K669" s="334"/>
      <c r="L669" s="484"/>
    </row>
    <row r="670" spans="1:12" ht="15" thickBot="1">
      <c r="A670" s="328"/>
      <c r="B670" s="257"/>
      <c r="C670" s="257"/>
      <c r="D670" s="329"/>
      <c r="E670" s="330"/>
      <c r="F670" s="331"/>
      <c r="G670" s="256"/>
      <c r="H670" s="256"/>
      <c r="I670" s="332"/>
      <c r="J670" s="333"/>
      <c r="K670" s="334"/>
      <c r="L670" s="484"/>
    </row>
    <row r="671" spans="1:12" ht="15" thickBot="1">
      <c r="A671" s="328"/>
      <c r="B671" s="257"/>
      <c r="C671" s="257"/>
      <c r="D671" s="329"/>
      <c r="E671" s="330"/>
      <c r="F671" s="331"/>
      <c r="G671" s="256"/>
      <c r="H671" s="256"/>
      <c r="I671" s="332"/>
      <c r="J671" s="333"/>
      <c r="K671" s="334"/>
      <c r="L671" s="484"/>
    </row>
    <row r="672" spans="1:12" ht="15" thickBot="1">
      <c r="A672" s="328"/>
      <c r="B672" s="257"/>
      <c r="C672" s="257"/>
      <c r="D672" s="329"/>
      <c r="E672" s="330"/>
      <c r="F672" s="331"/>
      <c r="G672" s="256"/>
      <c r="H672" s="256"/>
      <c r="I672" s="332"/>
      <c r="J672" s="333"/>
      <c r="K672" s="334"/>
      <c r="L672" s="484"/>
    </row>
    <row r="673" spans="1:12" ht="15" thickBot="1">
      <c r="A673" s="328"/>
      <c r="B673" s="257"/>
      <c r="C673" s="257"/>
      <c r="D673" s="329"/>
      <c r="E673" s="330"/>
      <c r="F673" s="331"/>
      <c r="G673" s="256"/>
      <c r="H673" s="256"/>
      <c r="I673" s="332"/>
      <c r="J673" s="333"/>
      <c r="K673" s="334"/>
      <c r="L673" s="484"/>
    </row>
    <row r="674" spans="1:12" ht="15" thickBot="1">
      <c r="A674" s="328"/>
      <c r="B674" s="257"/>
      <c r="C674" s="257"/>
      <c r="D674" s="329"/>
      <c r="E674" s="330"/>
      <c r="F674" s="331"/>
      <c r="G674" s="256"/>
      <c r="H674" s="256"/>
      <c r="I674" s="332"/>
      <c r="J674" s="333"/>
      <c r="K674" s="334"/>
      <c r="L674" s="484"/>
    </row>
    <row r="675" spans="1:12" ht="15" thickBot="1">
      <c r="A675" s="328"/>
      <c r="B675" s="257"/>
      <c r="C675" s="257"/>
      <c r="D675" s="329"/>
      <c r="E675" s="330"/>
      <c r="F675" s="331"/>
      <c r="G675" s="256"/>
      <c r="H675" s="256"/>
      <c r="I675" s="332"/>
      <c r="J675" s="333"/>
      <c r="K675" s="334"/>
      <c r="L675" s="484"/>
    </row>
    <row r="676" spans="1:12" ht="15" thickBot="1">
      <c r="A676" s="328"/>
      <c r="B676" s="257"/>
      <c r="C676" s="257"/>
      <c r="D676" s="329"/>
      <c r="E676" s="330"/>
      <c r="F676" s="331"/>
      <c r="G676" s="256"/>
      <c r="H676" s="256"/>
      <c r="I676" s="332"/>
      <c r="J676" s="333"/>
      <c r="K676" s="334"/>
      <c r="L676" s="484"/>
    </row>
    <row r="677" spans="1:12" ht="15" thickBot="1">
      <c r="A677" s="328"/>
      <c r="B677" s="257"/>
      <c r="C677" s="257"/>
      <c r="D677" s="329"/>
      <c r="E677" s="330"/>
      <c r="F677" s="331"/>
      <c r="G677" s="256"/>
      <c r="H677" s="256"/>
      <c r="I677" s="332"/>
      <c r="J677" s="333"/>
      <c r="K677" s="334"/>
      <c r="L677" s="484"/>
    </row>
    <row r="678" spans="1:12" ht="15" thickBot="1">
      <c r="A678" s="328"/>
      <c r="B678" s="257"/>
      <c r="C678" s="257"/>
      <c r="D678" s="329"/>
      <c r="E678" s="330"/>
      <c r="F678" s="331"/>
      <c r="G678" s="256"/>
      <c r="H678" s="256"/>
      <c r="I678" s="332"/>
      <c r="J678" s="333"/>
      <c r="K678" s="334"/>
      <c r="L678" s="484"/>
    </row>
    <row r="679" spans="1:12" ht="15" thickBot="1">
      <c r="A679" s="328"/>
      <c r="B679" s="257"/>
      <c r="C679" s="257"/>
      <c r="D679" s="329"/>
      <c r="E679" s="330"/>
      <c r="F679" s="331"/>
      <c r="G679" s="256"/>
      <c r="H679" s="256"/>
      <c r="I679" s="332"/>
      <c r="J679" s="333"/>
      <c r="K679" s="334"/>
      <c r="L679" s="484"/>
    </row>
    <row r="680" spans="1:12" ht="15" thickBot="1">
      <c r="A680" s="328"/>
      <c r="B680" s="257"/>
      <c r="C680" s="257"/>
      <c r="D680" s="329"/>
      <c r="E680" s="330"/>
      <c r="F680" s="331"/>
      <c r="G680" s="256"/>
      <c r="H680" s="256"/>
      <c r="I680" s="332"/>
      <c r="J680" s="333"/>
      <c r="K680" s="334"/>
      <c r="L680" s="484"/>
    </row>
    <row r="681" spans="1:12" ht="15" thickBot="1">
      <c r="A681" s="328"/>
      <c r="B681" s="257"/>
      <c r="C681" s="257"/>
      <c r="D681" s="329"/>
      <c r="E681" s="330"/>
      <c r="F681" s="331"/>
      <c r="G681" s="256"/>
      <c r="H681" s="256"/>
      <c r="I681" s="332"/>
      <c r="J681" s="333"/>
      <c r="K681" s="334"/>
      <c r="L681" s="484"/>
    </row>
    <row r="682" spans="1:12" ht="15" thickBot="1">
      <c r="A682" s="328"/>
      <c r="B682" s="257"/>
      <c r="C682" s="257"/>
      <c r="D682" s="329"/>
      <c r="E682" s="330"/>
      <c r="F682" s="331"/>
      <c r="G682" s="256"/>
      <c r="H682" s="256"/>
      <c r="I682" s="332"/>
      <c r="J682" s="333"/>
      <c r="K682" s="334"/>
      <c r="L682" s="484"/>
    </row>
    <row r="683" spans="1:12" ht="15" thickBot="1">
      <c r="A683" s="328"/>
      <c r="B683" s="257"/>
      <c r="C683" s="257"/>
      <c r="D683" s="329"/>
      <c r="E683" s="330"/>
      <c r="F683" s="331"/>
      <c r="G683" s="256"/>
      <c r="H683" s="256"/>
      <c r="I683" s="332"/>
      <c r="J683" s="333"/>
      <c r="K683" s="334"/>
      <c r="L683" s="484"/>
    </row>
    <row r="684" spans="1:12" ht="15" thickBot="1">
      <c r="A684" s="328"/>
      <c r="B684" s="257"/>
      <c r="C684" s="257"/>
      <c r="D684" s="329"/>
      <c r="E684" s="330"/>
      <c r="F684" s="331"/>
      <c r="G684" s="256"/>
      <c r="H684" s="256"/>
      <c r="I684" s="332"/>
      <c r="J684" s="333"/>
      <c r="K684" s="334"/>
      <c r="L684" s="484"/>
    </row>
    <row r="685" spans="1:12" ht="15" thickBot="1">
      <c r="A685" s="328"/>
      <c r="B685" s="257"/>
      <c r="C685" s="257"/>
      <c r="D685" s="329"/>
      <c r="E685" s="330"/>
      <c r="F685" s="331"/>
      <c r="G685" s="256"/>
      <c r="H685" s="256"/>
      <c r="I685" s="332"/>
      <c r="J685" s="333"/>
      <c r="K685" s="334"/>
      <c r="L685" s="484"/>
    </row>
    <row r="686" spans="1:12" ht="15" thickBot="1">
      <c r="A686" s="328"/>
      <c r="B686" s="257"/>
      <c r="C686" s="257"/>
      <c r="D686" s="329"/>
      <c r="E686" s="330"/>
      <c r="F686" s="331"/>
      <c r="G686" s="256"/>
      <c r="H686" s="256"/>
      <c r="I686" s="332"/>
      <c r="J686" s="333"/>
      <c r="K686" s="334"/>
      <c r="L686" s="484"/>
    </row>
    <row r="687" spans="1:12" ht="15" thickBot="1">
      <c r="A687" s="328"/>
      <c r="B687" s="257"/>
      <c r="C687" s="257"/>
      <c r="D687" s="329"/>
      <c r="E687" s="330"/>
      <c r="F687" s="331"/>
      <c r="G687" s="256"/>
      <c r="H687" s="256"/>
      <c r="I687" s="332"/>
      <c r="J687" s="333"/>
      <c r="K687" s="334"/>
      <c r="L687" s="484"/>
    </row>
    <row r="688" spans="1:12" ht="15" thickBot="1">
      <c r="A688" s="328"/>
      <c r="B688" s="257"/>
      <c r="C688" s="257"/>
      <c r="D688" s="329"/>
      <c r="E688" s="330"/>
      <c r="F688" s="331"/>
      <c r="G688" s="256"/>
      <c r="H688" s="256"/>
      <c r="I688" s="332"/>
      <c r="J688" s="333"/>
      <c r="K688" s="334"/>
      <c r="L688" s="484"/>
    </row>
    <row r="689" spans="1:12" ht="15" thickBot="1">
      <c r="A689" s="328"/>
      <c r="B689" s="257"/>
      <c r="C689" s="257"/>
      <c r="D689" s="329"/>
      <c r="E689" s="330"/>
      <c r="F689" s="331"/>
      <c r="G689" s="256"/>
      <c r="H689" s="256"/>
      <c r="I689" s="332"/>
      <c r="J689" s="333"/>
      <c r="K689" s="334"/>
      <c r="L689" s="484"/>
    </row>
    <row r="690" spans="1:12" ht="15" thickBot="1">
      <c r="A690" s="328"/>
      <c r="B690" s="257"/>
      <c r="C690" s="257"/>
      <c r="D690" s="329"/>
      <c r="E690" s="330"/>
      <c r="F690" s="331"/>
      <c r="G690" s="256"/>
      <c r="H690" s="256"/>
      <c r="I690" s="332"/>
      <c r="J690" s="333"/>
      <c r="K690" s="334"/>
      <c r="L690" s="484"/>
    </row>
    <row r="691" spans="1:12" ht="15" thickBot="1">
      <c r="A691" s="328"/>
      <c r="B691" s="257"/>
      <c r="C691" s="257"/>
      <c r="D691" s="329"/>
      <c r="E691" s="330"/>
      <c r="F691" s="331"/>
      <c r="G691" s="256"/>
      <c r="H691" s="256"/>
      <c r="I691" s="332"/>
      <c r="J691" s="333"/>
      <c r="K691" s="334"/>
      <c r="L691" s="484"/>
    </row>
    <row r="692" spans="1:12" ht="15" thickBot="1">
      <c r="A692" s="328"/>
      <c r="B692" s="257"/>
      <c r="C692" s="257"/>
      <c r="D692" s="329"/>
      <c r="E692" s="330"/>
      <c r="F692" s="331"/>
      <c r="G692" s="256"/>
      <c r="H692" s="256"/>
      <c r="I692" s="332"/>
      <c r="J692" s="333"/>
      <c r="K692" s="334"/>
      <c r="L692" s="484"/>
    </row>
    <row r="693" spans="1:12" ht="15" thickBot="1">
      <c r="A693" s="328"/>
      <c r="B693" s="257"/>
      <c r="C693" s="257"/>
      <c r="D693" s="329"/>
      <c r="E693" s="330"/>
      <c r="F693" s="331"/>
      <c r="G693" s="256"/>
      <c r="H693" s="256"/>
      <c r="I693" s="332"/>
      <c r="J693" s="333"/>
      <c r="K693" s="334"/>
      <c r="L693" s="484"/>
    </row>
    <row r="694" spans="1:12" ht="15" thickBot="1">
      <c r="A694" s="328"/>
      <c r="B694" s="257"/>
      <c r="C694" s="257"/>
      <c r="D694" s="329"/>
      <c r="E694" s="330"/>
      <c r="F694" s="331"/>
      <c r="G694" s="256"/>
      <c r="H694" s="256"/>
      <c r="I694" s="332"/>
      <c r="J694" s="333"/>
      <c r="K694" s="334"/>
      <c r="L694" s="484"/>
    </row>
    <row r="695" spans="1:12" ht="15" thickBot="1">
      <c r="A695" s="328"/>
      <c r="B695" s="257"/>
      <c r="C695" s="257"/>
      <c r="D695" s="329"/>
      <c r="E695" s="330"/>
      <c r="F695" s="331"/>
      <c r="G695" s="256"/>
      <c r="H695" s="256"/>
      <c r="I695" s="332"/>
      <c r="J695" s="333"/>
      <c r="K695" s="334"/>
      <c r="L695" s="484"/>
    </row>
    <row r="696" spans="1:12" ht="15" thickBot="1">
      <c r="A696" s="328"/>
      <c r="B696" s="257"/>
      <c r="C696" s="257"/>
      <c r="D696" s="329"/>
      <c r="E696" s="330"/>
      <c r="F696" s="331"/>
      <c r="G696" s="256"/>
      <c r="H696" s="256"/>
      <c r="I696" s="332"/>
      <c r="J696" s="333"/>
      <c r="K696" s="334"/>
      <c r="L696" s="484"/>
    </row>
    <row r="697" spans="1:12" ht="15" thickBot="1">
      <c r="A697" s="328"/>
      <c r="B697" s="257"/>
      <c r="C697" s="257"/>
      <c r="D697" s="329"/>
      <c r="E697" s="330"/>
      <c r="F697" s="331"/>
      <c r="G697" s="256"/>
      <c r="H697" s="256"/>
      <c r="I697" s="332"/>
      <c r="J697" s="333"/>
      <c r="K697" s="334"/>
      <c r="L697" s="484"/>
    </row>
    <row r="698" spans="1:12" ht="15" thickBot="1">
      <c r="A698" s="328"/>
      <c r="B698" s="257"/>
      <c r="C698" s="257"/>
      <c r="D698" s="329"/>
      <c r="E698" s="330"/>
      <c r="F698" s="331"/>
      <c r="G698" s="256"/>
      <c r="H698" s="256"/>
      <c r="I698" s="332"/>
      <c r="J698" s="333"/>
      <c r="K698" s="334"/>
      <c r="L698" s="484"/>
    </row>
    <row r="699" spans="1:12" ht="15" thickBot="1">
      <c r="A699" s="328"/>
      <c r="B699" s="257"/>
      <c r="C699" s="257"/>
      <c r="D699" s="329"/>
      <c r="E699" s="330"/>
      <c r="F699" s="331"/>
      <c r="G699" s="256"/>
      <c r="H699" s="256"/>
      <c r="I699" s="332"/>
      <c r="J699" s="333"/>
      <c r="K699" s="334"/>
      <c r="L699" s="484"/>
    </row>
    <row r="700" spans="1:12" ht="15" thickBot="1">
      <c r="A700" s="328"/>
      <c r="B700" s="257"/>
      <c r="C700" s="257"/>
      <c r="D700" s="329"/>
      <c r="E700" s="330"/>
      <c r="F700" s="331"/>
      <c r="G700" s="256"/>
      <c r="H700" s="256"/>
      <c r="I700" s="332"/>
      <c r="J700" s="333"/>
      <c r="K700" s="334"/>
      <c r="L700" s="484"/>
    </row>
    <row r="701" spans="1:12" ht="15" thickBot="1">
      <c r="A701" s="328"/>
      <c r="B701" s="257"/>
      <c r="C701" s="257"/>
      <c r="D701" s="329"/>
      <c r="E701" s="330"/>
      <c r="F701" s="331"/>
      <c r="G701" s="256"/>
      <c r="H701" s="256"/>
      <c r="I701" s="332"/>
      <c r="J701" s="333"/>
      <c r="K701" s="334"/>
      <c r="L701" s="484"/>
    </row>
    <row r="702" spans="1:12" ht="15" thickBot="1">
      <c r="A702" s="328"/>
      <c r="B702" s="257"/>
      <c r="C702" s="257"/>
      <c r="D702" s="329"/>
      <c r="E702" s="330"/>
      <c r="F702" s="331"/>
      <c r="G702" s="256"/>
      <c r="H702" s="256"/>
      <c r="I702" s="332"/>
      <c r="J702" s="333"/>
      <c r="K702" s="334"/>
      <c r="L702" s="484"/>
    </row>
    <row r="703" spans="1:12" ht="15" thickBot="1">
      <c r="A703" s="328"/>
      <c r="B703" s="257"/>
      <c r="C703" s="257"/>
      <c r="D703" s="329"/>
      <c r="E703" s="330"/>
      <c r="F703" s="331"/>
      <c r="G703" s="256"/>
      <c r="H703" s="256"/>
      <c r="I703" s="332"/>
      <c r="J703" s="333"/>
      <c r="K703" s="334"/>
      <c r="L703" s="484"/>
    </row>
    <row r="704" spans="1:12" ht="15" thickBot="1">
      <c r="A704" s="328"/>
      <c r="B704" s="257"/>
      <c r="C704" s="257"/>
      <c r="D704" s="329"/>
      <c r="E704" s="330"/>
      <c r="F704" s="331"/>
      <c r="G704" s="256"/>
      <c r="H704" s="256"/>
      <c r="I704" s="332"/>
      <c r="J704" s="333"/>
      <c r="K704" s="334"/>
      <c r="L704" s="484"/>
    </row>
    <row r="705" spans="1:12" ht="15" thickBot="1">
      <c r="A705" s="328"/>
      <c r="B705" s="257"/>
      <c r="C705" s="257"/>
      <c r="D705" s="329"/>
      <c r="E705" s="330"/>
      <c r="F705" s="331"/>
      <c r="G705" s="256"/>
      <c r="H705" s="256"/>
      <c r="I705" s="332"/>
      <c r="J705" s="333"/>
      <c r="K705" s="334"/>
      <c r="L705" s="484"/>
    </row>
    <row r="706" spans="1:12" ht="15" thickBot="1">
      <c r="A706" s="328"/>
      <c r="B706" s="257"/>
      <c r="C706" s="257"/>
      <c r="D706" s="329"/>
      <c r="E706" s="330"/>
      <c r="F706" s="331"/>
      <c r="G706" s="256"/>
      <c r="H706" s="256"/>
      <c r="I706" s="332"/>
      <c r="J706" s="333"/>
      <c r="K706" s="334"/>
      <c r="L706" s="484"/>
    </row>
    <row r="707" spans="1:12" ht="15" thickBot="1">
      <c r="A707" s="328"/>
      <c r="B707" s="257"/>
      <c r="C707" s="257"/>
      <c r="D707" s="329"/>
      <c r="E707" s="330"/>
      <c r="F707" s="331"/>
      <c r="G707" s="256"/>
      <c r="H707" s="256"/>
      <c r="I707" s="332"/>
      <c r="J707" s="333"/>
      <c r="K707" s="334"/>
      <c r="L707" s="484"/>
    </row>
    <row r="708" spans="1:12" ht="15" thickBot="1">
      <c r="A708" s="328"/>
      <c r="B708" s="257"/>
      <c r="C708" s="257"/>
      <c r="D708" s="329"/>
      <c r="E708" s="330"/>
      <c r="F708" s="331"/>
      <c r="G708" s="256"/>
      <c r="H708" s="256"/>
      <c r="I708" s="332"/>
      <c r="J708" s="333"/>
      <c r="K708" s="334"/>
      <c r="L708" s="484"/>
    </row>
    <row r="709" spans="1:12" ht="15" thickBot="1">
      <c r="A709" s="328"/>
      <c r="B709" s="257"/>
      <c r="C709" s="257"/>
      <c r="D709" s="329"/>
      <c r="E709" s="330"/>
      <c r="F709" s="331"/>
      <c r="G709" s="256"/>
      <c r="H709" s="256"/>
      <c r="I709" s="332"/>
      <c r="J709" s="333"/>
      <c r="K709" s="334"/>
      <c r="L709" s="484"/>
    </row>
    <row r="710" spans="1:12" ht="15" thickBot="1">
      <c r="A710" s="328"/>
      <c r="B710" s="257"/>
      <c r="C710" s="257"/>
      <c r="D710" s="329"/>
      <c r="E710" s="330"/>
      <c r="F710" s="331"/>
      <c r="G710" s="256"/>
      <c r="H710" s="256"/>
      <c r="I710" s="332"/>
      <c r="J710" s="333"/>
      <c r="K710" s="334"/>
      <c r="L710" s="484"/>
    </row>
    <row r="711" spans="1:12" ht="15" thickBot="1">
      <c r="A711" s="328"/>
      <c r="B711" s="257"/>
      <c r="C711" s="257"/>
      <c r="D711" s="329"/>
      <c r="E711" s="330"/>
      <c r="F711" s="331"/>
      <c r="G711" s="256"/>
      <c r="H711" s="256"/>
      <c r="I711" s="332"/>
      <c r="J711" s="333"/>
      <c r="K711" s="334"/>
      <c r="L711" s="484"/>
    </row>
    <row r="712" spans="1:12" ht="15" thickBot="1">
      <c r="A712" s="328"/>
      <c r="B712" s="257"/>
      <c r="C712" s="257"/>
      <c r="D712" s="329"/>
      <c r="E712" s="330"/>
      <c r="F712" s="331"/>
      <c r="G712" s="256"/>
      <c r="H712" s="256"/>
      <c r="I712" s="332"/>
      <c r="J712" s="333"/>
      <c r="K712" s="334"/>
      <c r="L712" s="484"/>
    </row>
    <row r="713" spans="1:12" ht="15" thickBot="1">
      <c r="A713" s="328"/>
      <c r="B713" s="257"/>
      <c r="C713" s="257"/>
      <c r="D713" s="329"/>
      <c r="E713" s="330"/>
      <c r="F713" s="331"/>
      <c r="G713" s="256"/>
      <c r="H713" s="256"/>
      <c r="I713" s="332"/>
      <c r="J713" s="333"/>
      <c r="K713" s="334"/>
      <c r="L713" s="484"/>
    </row>
    <row r="714" spans="1:12" ht="15" thickBot="1">
      <c r="A714" s="328"/>
      <c r="B714" s="257"/>
      <c r="C714" s="257"/>
      <c r="D714" s="329"/>
      <c r="E714" s="330"/>
      <c r="F714" s="331"/>
      <c r="G714" s="256"/>
      <c r="H714" s="256"/>
      <c r="I714" s="332"/>
      <c r="J714" s="333"/>
      <c r="K714" s="334"/>
      <c r="L714" s="484"/>
    </row>
    <row r="715" spans="1:12" ht="15" thickBot="1">
      <c r="A715" s="328"/>
      <c r="B715" s="257"/>
      <c r="C715" s="257"/>
      <c r="D715" s="329"/>
      <c r="E715" s="330"/>
      <c r="F715" s="331"/>
      <c r="G715" s="256"/>
      <c r="H715" s="256"/>
      <c r="I715" s="332"/>
      <c r="J715" s="333"/>
      <c r="K715" s="334"/>
      <c r="L715" s="484"/>
    </row>
    <row r="716" spans="1:12" ht="15" thickBot="1">
      <c r="A716" s="328"/>
      <c r="B716" s="257"/>
      <c r="C716" s="257"/>
      <c r="D716" s="329"/>
      <c r="E716" s="330"/>
      <c r="F716" s="331"/>
      <c r="G716" s="256"/>
      <c r="H716" s="256"/>
      <c r="I716" s="332"/>
      <c r="J716" s="333"/>
      <c r="K716" s="334"/>
      <c r="L716" s="484"/>
    </row>
    <row r="717" spans="1:12" ht="15" thickBot="1">
      <c r="A717" s="328"/>
      <c r="B717" s="257"/>
      <c r="C717" s="257"/>
      <c r="D717" s="329"/>
      <c r="E717" s="330"/>
      <c r="F717" s="331"/>
      <c r="G717" s="256"/>
      <c r="H717" s="256"/>
      <c r="I717" s="332"/>
      <c r="J717" s="333"/>
      <c r="K717" s="334"/>
      <c r="L717" s="484"/>
    </row>
    <row r="718" spans="1:12" ht="15" thickBot="1">
      <c r="A718" s="328"/>
      <c r="B718" s="257"/>
      <c r="C718" s="257"/>
      <c r="D718" s="329"/>
      <c r="E718" s="330"/>
      <c r="F718" s="331"/>
      <c r="G718" s="256"/>
      <c r="H718" s="256"/>
      <c r="I718" s="332"/>
      <c r="J718" s="333"/>
      <c r="K718" s="334"/>
      <c r="L718" s="484"/>
    </row>
    <row r="719" spans="1:12" ht="15" thickBot="1">
      <c r="A719" s="328"/>
      <c r="B719" s="257"/>
      <c r="C719" s="257"/>
      <c r="D719" s="329"/>
      <c r="E719" s="330"/>
      <c r="F719" s="331"/>
      <c r="G719" s="256"/>
      <c r="H719" s="256"/>
      <c r="I719" s="332"/>
      <c r="J719" s="333"/>
      <c r="K719" s="334"/>
      <c r="L719" s="484"/>
    </row>
    <row r="720" spans="1:12" ht="15" thickBot="1">
      <c r="A720" s="328"/>
      <c r="B720" s="257"/>
      <c r="C720" s="257"/>
      <c r="D720" s="329"/>
      <c r="E720" s="330"/>
      <c r="F720" s="331"/>
      <c r="G720" s="256"/>
      <c r="H720" s="256"/>
      <c r="I720" s="332"/>
      <c r="J720" s="333"/>
      <c r="K720" s="334"/>
      <c r="L720" s="484"/>
    </row>
    <row r="721" spans="1:12" ht="15" thickBot="1">
      <c r="A721" s="328"/>
      <c r="B721" s="257"/>
      <c r="C721" s="257"/>
      <c r="D721" s="329"/>
      <c r="E721" s="330"/>
      <c r="F721" s="331"/>
      <c r="G721" s="256"/>
      <c r="H721" s="256"/>
      <c r="I721" s="332"/>
      <c r="J721" s="333"/>
      <c r="K721" s="334"/>
      <c r="L721" s="484"/>
    </row>
    <row r="722" spans="1:12" ht="15" thickBot="1">
      <c r="A722" s="328"/>
      <c r="B722" s="257"/>
      <c r="C722" s="257"/>
      <c r="D722" s="329"/>
      <c r="E722" s="330"/>
      <c r="F722" s="331"/>
      <c r="G722" s="256"/>
      <c r="H722" s="256"/>
      <c r="I722" s="332"/>
      <c r="J722" s="333"/>
      <c r="K722" s="334"/>
      <c r="L722" s="484"/>
    </row>
    <row r="723" spans="1:12" ht="15" thickBot="1">
      <c r="A723" s="328"/>
      <c r="B723" s="257"/>
      <c r="C723" s="257"/>
      <c r="D723" s="329"/>
      <c r="E723" s="330"/>
      <c r="F723" s="331"/>
      <c r="G723" s="256"/>
      <c r="H723" s="256"/>
      <c r="I723" s="332"/>
      <c r="J723" s="333"/>
      <c r="K723" s="334"/>
      <c r="L723" s="484"/>
    </row>
    <row r="724" spans="1:12" ht="15" thickBot="1">
      <c r="A724" s="328"/>
      <c r="B724" s="257"/>
      <c r="C724" s="257"/>
      <c r="D724" s="329"/>
      <c r="E724" s="330"/>
      <c r="F724" s="331"/>
      <c r="G724" s="256"/>
      <c r="H724" s="256"/>
      <c r="I724" s="332"/>
      <c r="J724" s="333"/>
      <c r="K724" s="334"/>
      <c r="L724" s="484"/>
    </row>
    <row r="725" spans="1:12" ht="15" thickBot="1">
      <c r="A725" s="328"/>
      <c r="B725" s="257"/>
      <c r="C725" s="257"/>
      <c r="D725" s="329"/>
      <c r="E725" s="330"/>
      <c r="F725" s="331"/>
      <c r="G725" s="256"/>
      <c r="H725" s="256"/>
      <c r="I725" s="332"/>
      <c r="J725" s="333"/>
      <c r="K725" s="334"/>
      <c r="L725" s="484"/>
    </row>
    <row r="726" spans="1:12" ht="15" thickBot="1">
      <c r="A726" s="328"/>
      <c r="B726" s="257"/>
      <c r="C726" s="257"/>
      <c r="D726" s="329"/>
      <c r="E726" s="330"/>
      <c r="F726" s="331"/>
      <c r="G726" s="256"/>
      <c r="H726" s="256"/>
      <c r="I726" s="332"/>
      <c r="J726" s="333"/>
      <c r="K726" s="334"/>
      <c r="L726" s="484"/>
    </row>
    <row r="727" spans="1:12" ht="15" thickBot="1">
      <c r="A727" s="328"/>
      <c r="B727" s="257"/>
      <c r="C727" s="257"/>
      <c r="D727" s="329"/>
      <c r="E727" s="330"/>
      <c r="F727" s="331"/>
      <c r="G727" s="256"/>
      <c r="H727" s="256"/>
      <c r="I727" s="332"/>
      <c r="J727" s="333"/>
      <c r="K727" s="334"/>
      <c r="L727" s="484"/>
    </row>
    <row r="728" spans="1:12" ht="15" thickBot="1">
      <c r="A728" s="328"/>
      <c r="B728" s="257"/>
      <c r="C728" s="257"/>
      <c r="D728" s="329"/>
      <c r="E728" s="330"/>
      <c r="F728" s="331"/>
      <c r="G728" s="256"/>
      <c r="H728" s="256"/>
      <c r="I728" s="332"/>
      <c r="J728" s="333"/>
      <c r="K728" s="334"/>
      <c r="L728" s="484"/>
    </row>
    <row r="729" spans="1:12" ht="15" thickBot="1">
      <c r="A729" s="328"/>
      <c r="B729" s="257"/>
      <c r="C729" s="257"/>
      <c r="D729" s="329"/>
      <c r="E729" s="330"/>
      <c r="F729" s="331"/>
      <c r="G729" s="256"/>
      <c r="H729" s="256"/>
      <c r="I729" s="332"/>
      <c r="J729" s="333"/>
      <c r="K729" s="334"/>
      <c r="L729" s="484"/>
    </row>
    <row r="730" spans="1:12" ht="15" thickBot="1">
      <c r="A730" s="328"/>
      <c r="B730" s="257"/>
      <c r="C730" s="257"/>
      <c r="D730" s="329"/>
      <c r="E730" s="330"/>
      <c r="F730" s="331"/>
      <c r="G730" s="256"/>
      <c r="H730" s="256"/>
      <c r="I730" s="332"/>
      <c r="J730" s="333"/>
      <c r="K730" s="334"/>
      <c r="L730" s="484"/>
    </row>
    <row r="731" spans="1:12" ht="15" thickBot="1">
      <c r="A731" s="328"/>
      <c r="B731" s="257"/>
      <c r="C731" s="257"/>
      <c r="D731" s="329"/>
      <c r="E731" s="330"/>
      <c r="F731" s="331"/>
      <c r="G731" s="256"/>
      <c r="H731" s="256"/>
      <c r="I731" s="332"/>
      <c r="J731" s="333"/>
      <c r="K731" s="334"/>
      <c r="L731" s="484"/>
    </row>
    <row r="732" spans="1:12" ht="15" thickBot="1">
      <c r="A732" s="328"/>
      <c r="B732" s="257"/>
      <c r="C732" s="257"/>
      <c r="D732" s="329"/>
      <c r="E732" s="330"/>
      <c r="F732" s="331"/>
      <c r="G732" s="256"/>
      <c r="H732" s="256"/>
      <c r="I732" s="332"/>
      <c r="J732" s="333"/>
      <c r="K732" s="334"/>
      <c r="L732" s="484"/>
    </row>
    <row r="733" spans="1:12" ht="15" thickBot="1">
      <c r="A733" s="328"/>
      <c r="B733" s="257"/>
      <c r="C733" s="257"/>
      <c r="D733" s="329"/>
      <c r="E733" s="330"/>
      <c r="F733" s="331"/>
      <c r="G733" s="256"/>
      <c r="H733" s="256"/>
      <c r="I733" s="332"/>
      <c r="J733" s="333"/>
      <c r="K733" s="334"/>
      <c r="L733" s="484"/>
    </row>
    <row r="734" spans="1:12" ht="15" thickBot="1">
      <c r="A734" s="328"/>
      <c r="B734" s="257"/>
      <c r="C734" s="257"/>
      <c r="D734" s="329"/>
      <c r="E734" s="330"/>
      <c r="F734" s="331"/>
      <c r="G734" s="256"/>
      <c r="H734" s="256"/>
      <c r="I734" s="332"/>
      <c r="J734" s="333"/>
      <c r="K734" s="334"/>
      <c r="L734" s="484"/>
    </row>
    <row r="735" spans="1:12" ht="15" thickBot="1">
      <c r="A735" s="328"/>
      <c r="B735" s="257"/>
      <c r="C735" s="257"/>
      <c r="D735" s="329"/>
      <c r="E735" s="330"/>
      <c r="F735" s="331"/>
      <c r="G735" s="256"/>
      <c r="H735" s="256"/>
      <c r="I735" s="332"/>
      <c r="J735" s="333"/>
      <c r="K735" s="334"/>
      <c r="L735" s="484"/>
    </row>
    <row r="736" spans="1:12" ht="15" thickBot="1">
      <c r="A736" s="328"/>
      <c r="B736" s="257"/>
      <c r="C736" s="257"/>
      <c r="D736" s="329"/>
      <c r="E736" s="330"/>
      <c r="F736" s="331"/>
      <c r="G736" s="256"/>
      <c r="H736" s="256"/>
      <c r="I736" s="332"/>
      <c r="J736" s="333"/>
      <c r="K736" s="334"/>
      <c r="L736" s="484"/>
    </row>
    <row r="737" spans="1:12" ht="15" thickBot="1">
      <c r="A737" s="328"/>
      <c r="B737" s="257"/>
      <c r="C737" s="257"/>
      <c r="D737" s="329"/>
      <c r="E737" s="330"/>
      <c r="F737" s="331"/>
      <c r="G737" s="256"/>
      <c r="H737" s="256"/>
      <c r="I737" s="332"/>
      <c r="J737" s="333"/>
      <c r="K737" s="334"/>
      <c r="L737" s="484"/>
    </row>
    <row r="738" spans="1:12" ht="15" thickBot="1">
      <c r="A738" s="328"/>
      <c r="B738" s="257"/>
      <c r="C738" s="257"/>
      <c r="D738" s="329"/>
      <c r="E738" s="330"/>
      <c r="F738" s="331"/>
      <c r="G738" s="256"/>
      <c r="H738" s="256"/>
      <c r="I738" s="332"/>
      <c r="J738" s="333"/>
      <c r="K738" s="334"/>
      <c r="L738" s="484"/>
    </row>
    <row r="739" spans="1:12" ht="15" thickBot="1">
      <c r="A739" s="328"/>
      <c r="B739" s="257"/>
      <c r="C739" s="257"/>
      <c r="D739" s="329"/>
      <c r="E739" s="330"/>
      <c r="F739" s="331"/>
      <c r="G739" s="256"/>
      <c r="H739" s="256"/>
      <c r="I739" s="332"/>
      <c r="J739" s="333"/>
      <c r="K739" s="334"/>
      <c r="L739" s="484"/>
    </row>
    <row r="740" spans="1:12" ht="15" thickBot="1">
      <c r="A740" s="328"/>
      <c r="B740" s="257"/>
      <c r="C740" s="257"/>
      <c r="D740" s="329"/>
      <c r="E740" s="330"/>
      <c r="F740" s="331"/>
      <c r="G740" s="256"/>
      <c r="H740" s="256"/>
      <c r="I740" s="332"/>
      <c r="J740" s="333"/>
      <c r="K740" s="334"/>
      <c r="L740" s="484"/>
    </row>
    <row r="741" spans="1:12" ht="15" thickBot="1">
      <c r="A741" s="328"/>
      <c r="B741" s="257"/>
      <c r="C741" s="257"/>
      <c r="D741" s="329"/>
      <c r="E741" s="330"/>
      <c r="F741" s="331"/>
      <c r="G741" s="256"/>
      <c r="H741" s="256"/>
      <c r="I741" s="332"/>
      <c r="J741" s="333"/>
      <c r="K741" s="334"/>
      <c r="L741" s="484"/>
    </row>
    <row r="742" spans="1:12" ht="15" thickBot="1">
      <c r="A742" s="328"/>
      <c r="B742" s="257"/>
      <c r="C742" s="257"/>
      <c r="D742" s="329"/>
      <c r="E742" s="330"/>
      <c r="F742" s="331"/>
      <c r="G742" s="256"/>
      <c r="H742" s="256"/>
      <c r="I742" s="332"/>
      <c r="J742" s="333"/>
      <c r="K742" s="334"/>
      <c r="L742" s="484"/>
    </row>
    <row r="743" spans="1:12" ht="15" thickBot="1">
      <c r="A743" s="328"/>
      <c r="B743" s="257"/>
      <c r="C743" s="257"/>
      <c r="D743" s="329"/>
      <c r="E743" s="330"/>
      <c r="F743" s="331"/>
      <c r="G743" s="256"/>
      <c r="H743" s="256"/>
      <c r="I743" s="332"/>
      <c r="J743" s="333"/>
      <c r="K743" s="334"/>
      <c r="L743" s="484"/>
    </row>
    <row r="744" spans="1:12" ht="15" thickBot="1">
      <c r="A744" s="328"/>
      <c r="B744" s="257"/>
      <c r="C744" s="257"/>
      <c r="D744" s="329"/>
      <c r="E744" s="330"/>
      <c r="F744" s="331"/>
      <c r="G744" s="256"/>
      <c r="H744" s="256"/>
      <c r="I744" s="332"/>
      <c r="J744" s="333"/>
      <c r="K744" s="334"/>
      <c r="L744" s="484"/>
    </row>
    <row r="745" spans="1:12" ht="15" thickBot="1">
      <c r="A745" s="328"/>
      <c r="B745" s="257"/>
      <c r="C745" s="257"/>
      <c r="D745" s="329"/>
      <c r="E745" s="330"/>
      <c r="F745" s="331"/>
      <c r="G745" s="256"/>
      <c r="H745" s="256"/>
      <c r="I745" s="332"/>
      <c r="J745" s="333"/>
      <c r="K745" s="334"/>
      <c r="L745" s="484"/>
    </row>
    <row r="746" spans="1:12" ht="15" thickBot="1">
      <c r="A746" s="328"/>
      <c r="B746" s="257"/>
      <c r="C746" s="257"/>
      <c r="D746" s="329"/>
      <c r="E746" s="330"/>
      <c r="F746" s="331"/>
      <c r="G746" s="256"/>
      <c r="H746" s="256"/>
      <c r="I746" s="332"/>
      <c r="J746" s="333"/>
      <c r="K746" s="334"/>
      <c r="L746" s="484"/>
    </row>
    <row r="747" spans="1:12" ht="15" thickBot="1">
      <c r="A747" s="328"/>
      <c r="B747" s="257"/>
      <c r="C747" s="257"/>
      <c r="D747" s="329"/>
      <c r="E747" s="330"/>
      <c r="F747" s="331"/>
      <c r="G747" s="256"/>
      <c r="H747" s="256"/>
      <c r="I747" s="332"/>
      <c r="J747" s="333"/>
      <c r="K747" s="334"/>
      <c r="L747" s="484"/>
    </row>
    <row r="748" spans="1:12" ht="15" thickBot="1">
      <c r="A748" s="328"/>
      <c r="B748" s="257"/>
      <c r="C748" s="257"/>
      <c r="D748" s="329"/>
      <c r="E748" s="330"/>
      <c r="F748" s="331"/>
      <c r="G748" s="256"/>
      <c r="H748" s="256"/>
      <c r="I748" s="332"/>
      <c r="J748" s="333"/>
      <c r="K748" s="334"/>
      <c r="L748" s="484"/>
    </row>
    <row r="749" spans="1:12" ht="15" thickBot="1">
      <c r="A749" s="328"/>
      <c r="B749" s="257"/>
      <c r="C749" s="257"/>
      <c r="D749" s="329"/>
      <c r="E749" s="330"/>
      <c r="F749" s="331"/>
      <c r="G749" s="256"/>
      <c r="H749" s="256"/>
      <c r="I749" s="332"/>
      <c r="J749" s="333"/>
      <c r="K749" s="334"/>
      <c r="L749" s="484"/>
    </row>
    <row r="750" spans="1:12" ht="15" thickBot="1">
      <c r="A750" s="328"/>
      <c r="B750" s="257"/>
      <c r="C750" s="257"/>
      <c r="D750" s="329"/>
      <c r="E750" s="330"/>
      <c r="F750" s="331"/>
      <c r="G750" s="256"/>
      <c r="H750" s="256"/>
      <c r="I750" s="332"/>
      <c r="J750" s="333"/>
      <c r="K750" s="334"/>
      <c r="L750" s="484"/>
    </row>
    <row r="751" spans="1:12" ht="15" thickBot="1">
      <c r="A751" s="328"/>
      <c r="B751" s="257"/>
      <c r="C751" s="257"/>
      <c r="D751" s="329"/>
      <c r="E751" s="330"/>
      <c r="F751" s="331"/>
      <c r="G751" s="256"/>
      <c r="H751" s="256"/>
      <c r="I751" s="332"/>
      <c r="J751" s="333"/>
      <c r="K751" s="334"/>
      <c r="L751" s="484"/>
    </row>
    <row r="752" spans="1:12" ht="15" thickBot="1">
      <c r="A752" s="328"/>
      <c r="B752" s="257"/>
      <c r="C752" s="257"/>
      <c r="D752" s="329"/>
      <c r="E752" s="330"/>
      <c r="F752" s="331"/>
      <c r="G752" s="256"/>
      <c r="H752" s="256"/>
      <c r="I752" s="332"/>
      <c r="J752" s="333"/>
      <c r="K752" s="334"/>
      <c r="L752" s="484"/>
    </row>
    <row r="753" spans="1:12" ht="15" thickBot="1">
      <c r="A753" s="328"/>
      <c r="B753" s="257"/>
      <c r="C753" s="257"/>
      <c r="D753" s="329"/>
      <c r="E753" s="330"/>
      <c r="F753" s="331"/>
      <c r="G753" s="256"/>
      <c r="H753" s="256"/>
      <c r="I753" s="332"/>
      <c r="J753" s="333"/>
      <c r="K753" s="334"/>
      <c r="L753" s="484"/>
    </row>
    <row r="754" spans="1:12" ht="15" thickBot="1">
      <c r="A754" s="328"/>
      <c r="B754" s="257"/>
      <c r="C754" s="257"/>
      <c r="D754" s="329"/>
      <c r="E754" s="330"/>
      <c r="F754" s="331"/>
      <c r="G754" s="256"/>
      <c r="H754" s="256"/>
      <c r="I754" s="332"/>
      <c r="J754" s="333"/>
      <c r="K754" s="334"/>
      <c r="L754" s="484"/>
    </row>
    <row r="755" spans="1:12" ht="15" thickBot="1">
      <c r="A755" s="328"/>
      <c r="B755" s="257"/>
      <c r="C755" s="257"/>
      <c r="D755" s="329"/>
      <c r="E755" s="330"/>
      <c r="F755" s="331"/>
      <c r="G755" s="256"/>
      <c r="H755" s="256"/>
      <c r="I755" s="332"/>
      <c r="J755" s="333"/>
      <c r="K755" s="334"/>
      <c r="L755" s="484"/>
    </row>
    <row r="756" spans="1:12" ht="15" thickBot="1">
      <c r="A756" s="328"/>
      <c r="B756" s="257"/>
      <c r="C756" s="257"/>
      <c r="D756" s="329"/>
      <c r="E756" s="330"/>
      <c r="F756" s="331"/>
      <c r="G756" s="256"/>
      <c r="H756" s="256"/>
      <c r="I756" s="332"/>
      <c r="J756" s="333"/>
      <c r="K756" s="334"/>
      <c r="L756" s="484"/>
    </row>
    <row r="757" spans="1:12" ht="15" thickBot="1">
      <c r="A757" s="328"/>
      <c r="B757" s="257"/>
      <c r="C757" s="257"/>
      <c r="D757" s="329"/>
      <c r="E757" s="330"/>
      <c r="F757" s="331"/>
      <c r="G757" s="256"/>
      <c r="H757" s="256"/>
      <c r="I757" s="332"/>
      <c r="J757" s="333"/>
      <c r="K757" s="334"/>
      <c r="L757" s="484"/>
    </row>
    <row r="758" spans="1:12" ht="15" thickBot="1">
      <c r="A758" s="328"/>
      <c r="B758" s="257"/>
      <c r="C758" s="257"/>
      <c r="D758" s="329"/>
      <c r="E758" s="330"/>
      <c r="F758" s="331"/>
      <c r="G758" s="256"/>
      <c r="H758" s="256"/>
      <c r="I758" s="332"/>
      <c r="J758" s="333"/>
      <c r="K758" s="334"/>
      <c r="L758" s="484"/>
    </row>
    <row r="759" spans="1:12" ht="15" thickBot="1">
      <c r="A759" s="328"/>
      <c r="B759" s="257"/>
      <c r="C759" s="257"/>
      <c r="D759" s="329"/>
      <c r="E759" s="330"/>
      <c r="F759" s="331"/>
      <c r="G759" s="256"/>
      <c r="H759" s="256"/>
      <c r="I759" s="332"/>
      <c r="J759" s="333"/>
      <c r="K759" s="334"/>
      <c r="L759" s="484"/>
    </row>
    <row r="760" spans="1:12" ht="15" thickBot="1">
      <c r="A760" s="328"/>
      <c r="B760" s="257"/>
      <c r="C760" s="257"/>
      <c r="D760" s="329"/>
      <c r="E760" s="330"/>
      <c r="F760" s="331"/>
      <c r="G760" s="256"/>
      <c r="H760" s="256"/>
      <c r="I760" s="332"/>
      <c r="J760" s="333"/>
      <c r="K760" s="334"/>
      <c r="L760" s="484"/>
    </row>
    <row r="761" spans="1:12" ht="15" thickBot="1">
      <c r="A761" s="328"/>
      <c r="B761" s="257"/>
      <c r="C761" s="257"/>
      <c r="D761" s="329"/>
      <c r="E761" s="330"/>
      <c r="F761" s="331"/>
      <c r="G761" s="256"/>
      <c r="H761" s="256"/>
      <c r="I761" s="332"/>
      <c r="J761" s="333"/>
      <c r="K761" s="334"/>
      <c r="L761" s="484"/>
    </row>
    <row r="762" spans="1:12" ht="15" thickBot="1">
      <c r="A762" s="328"/>
      <c r="B762" s="257"/>
      <c r="C762" s="257"/>
      <c r="D762" s="329"/>
      <c r="E762" s="330"/>
      <c r="F762" s="331"/>
      <c r="G762" s="256"/>
      <c r="H762" s="256"/>
      <c r="I762" s="332"/>
      <c r="J762" s="333"/>
      <c r="K762" s="334"/>
      <c r="L762" s="484"/>
    </row>
    <row r="763" spans="1:12" ht="15" thickBot="1">
      <c r="A763" s="328"/>
      <c r="B763" s="257"/>
      <c r="C763" s="257"/>
      <c r="D763" s="329"/>
      <c r="E763" s="330"/>
      <c r="F763" s="331"/>
      <c r="G763" s="256"/>
      <c r="H763" s="256"/>
      <c r="I763" s="332"/>
      <c r="J763" s="333"/>
      <c r="K763" s="334"/>
      <c r="L763" s="484"/>
    </row>
    <row r="764" spans="1:12" ht="15" thickBot="1">
      <c r="A764" s="328"/>
      <c r="B764" s="257"/>
      <c r="C764" s="257"/>
      <c r="D764" s="329"/>
      <c r="E764" s="330"/>
      <c r="F764" s="331"/>
      <c r="G764" s="256"/>
      <c r="H764" s="256"/>
      <c r="I764" s="332"/>
      <c r="J764" s="333"/>
      <c r="K764" s="334"/>
      <c r="L764" s="484"/>
    </row>
    <row r="765" spans="1:12" ht="15" thickBot="1">
      <c r="A765" s="328"/>
      <c r="B765" s="257"/>
      <c r="C765" s="257"/>
      <c r="D765" s="329"/>
      <c r="E765" s="330"/>
      <c r="F765" s="331"/>
      <c r="G765" s="256"/>
      <c r="H765" s="256"/>
      <c r="I765" s="332"/>
      <c r="J765" s="333"/>
      <c r="K765" s="334"/>
      <c r="L765" s="484"/>
    </row>
    <row r="766" spans="1:12" ht="15" thickBot="1">
      <c r="A766" s="328"/>
      <c r="B766" s="257"/>
      <c r="C766" s="257"/>
      <c r="D766" s="329"/>
      <c r="E766" s="330"/>
      <c r="F766" s="331"/>
      <c r="G766" s="256"/>
      <c r="H766" s="256"/>
      <c r="I766" s="332"/>
      <c r="J766" s="333"/>
      <c r="K766" s="334"/>
      <c r="L766" s="484"/>
    </row>
    <row r="767" spans="1:12" ht="15" thickBot="1">
      <c r="A767" s="328"/>
      <c r="B767" s="257"/>
      <c r="C767" s="257"/>
      <c r="D767" s="329"/>
      <c r="E767" s="330"/>
      <c r="F767" s="331"/>
      <c r="G767" s="256"/>
      <c r="H767" s="256"/>
      <c r="I767" s="332"/>
      <c r="J767" s="333"/>
      <c r="K767" s="334"/>
      <c r="L767" s="484"/>
    </row>
    <row r="768" spans="1:12" ht="15" thickBot="1">
      <c r="A768" s="328"/>
      <c r="B768" s="257"/>
      <c r="C768" s="257"/>
      <c r="D768" s="329"/>
      <c r="E768" s="330"/>
      <c r="F768" s="331"/>
      <c r="G768" s="256"/>
      <c r="H768" s="256"/>
      <c r="I768" s="332"/>
      <c r="J768" s="333"/>
      <c r="K768" s="334"/>
      <c r="L768" s="484"/>
    </row>
    <row r="769" spans="1:12" ht="15" thickBot="1">
      <c r="A769" s="328"/>
      <c r="B769" s="257"/>
      <c r="C769" s="257"/>
      <c r="D769" s="329"/>
      <c r="E769" s="330"/>
      <c r="F769" s="331"/>
      <c r="G769" s="256"/>
      <c r="H769" s="256"/>
      <c r="I769" s="332"/>
      <c r="J769" s="333"/>
      <c r="K769" s="334"/>
      <c r="L769" s="484"/>
    </row>
    <row r="770" spans="1:12" ht="15" thickBot="1">
      <c r="A770" s="328"/>
      <c r="B770" s="257"/>
      <c r="C770" s="257"/>
      <c r="D770" s="329"/>
      <c r="E770" s="330"/>
      <c r="F770" s="331"/>
      <c r="G770" s="256"/>
      <c r="H770" s="256"/>
      <c r="I770" s="332"/>
      <c r="J770" s="333"/>
      <c r="K770" s="334"/>
      <c r="L770" s="484"/>
    </row>
    <row r="771" spans="1:12" ht="15" thickBot="1">
      <c r="A771" s="328"/>
      <c r="B771" s="257"/>
      <c r="C771" s="257"/>
      <c r="D771" s="329"/>
      <c r="E771" s="330"/>
      <c r="F771" s="331"/>
      <c r="G771" s="256"/>
      <c r="H771" s="256"/>
      <c r="I771" s="332"/>
      <c r="J771" s="333"/>
      <c r="K771" s="334"/>
      <c r="L771" s="484"/>
    </row>
    <row r="772" spans="1:12" ht="15" thickBot="1">
      <c r="A772" s="328"/>
      <c r="B772" s="257"/>
      <c r="C772" s="257"/>
      <c r="D772" s="329"/>
      <c r="E772" s="330"/>
      <c r="F772" s="331"/>
      <c r="G772" s="256"/>
      <c r="H772" s="256"/>
      <c r="I772" s="332"/>
      <c r="J772" s="333"/>
      <c r="K772" s="334"/>
      <c r="L772" s="484"/>
    </row>
    <row r="773" spans="1:12" ht="15" thickBot="1">
      <c r="A773" s="328"/>
      <c r="B773" s="257"/>
      <c r="C773" s="257"/>
      <c r="D773" s="329"/>
      <c r="E773" s="330"/>
      <c r="F773" s="331"/>
      <c r="G773" s="256"/>
      <c r="H773" s="256"/>
      <c r="I773" s="332"/>
      <c r="J773" s="333"/>
      <c r="K773" s="334"/>
      <c r="L773" s="484"/>
    </row>
    <row r="774" spans="1:12" ht="15" thickBot="1">
      <c r="A774" s="328"/>
      <c r="B774" s="257"/>
      <c r="C774" s="257"/>
      <c r="D774" s="329"/>
      <c r="E774" s="330"/>
      <c r="F774" s="331"/>
      <c r="G774" s="256"/>
      <c r="H774" s="256"/>
      <c r="I774" s="332"/>
      <c r="J774" s="333"/>
      <c r="K774" s="334"/>
      <c r="L774" s="484"/>
    </row>
    <row r="775" spans="1:12" ht="15" thickBot="1">
      <c r="A775" s="328"/>
      <c r="B775" s="257"/>
      <c r="C775" s="257"/>
      <c r="D775" s="329"/>
      <c r="E775" s="330"/>
      <c r="F775" s="331"/>
      <c r="G775" s="256"/>
      <c r="H775" s="256"/>
      <c r="I775" s="332"/>
      <c r="J775" s="333"/>
      <c r="K775" s="334"/>
      <c r="L775" s="484"/>
    </row>
    <row r="776" spans="1:12" ht="15" thickBot="1">
      <c r="A776" s="328"/>
      <c r="B776" s="257"/>
      <c r="C776" s="257"/>
      <c r="D776" s="329"/>
      <c r="E776" s="330"/>
      <c r="F776" s="331"/>
      <c r="G776" s="256"/>
      <c r="H776" s="256"/>
      <c r="I776" s="332"/>
      <c r="J776" s="333"/>
      <c r="K776" s="334"/>
      <c r="L776" s="484"/>
    </row>
    <row r="777" spans="1:12" ht="15" thickBot="1">
      <c r="A777" s="328"/>
      <c r="B777" s="257"/>
      <c r="C777" s="257"/>
      <c r="D777" s="329"/>
      <c r="E777" s="330"/>
      <c r="F777" s="331"/>
      <c r="G777" s="256"/>
      <c r="H777" s="256"/>
      <c r="I777" s="332"/>
      <c r="J777" s="333"/>
      <c r="K777" s="334"/>
      <c r="L777" s="484"/>
    </row>
    <row r="778" spans="1:12" ht="15" thickBot="1">
      <c r="A778" s="328"/>
      <c r="B778" s="257"/>
      <c r="C778" s="257"/>
      <c r="D778" s="329"/>
      <c r="E778" s="330"/>
      <c r="F778" s="331"/>
      <c r="G778" s="256"/>
      <c r="H778" s="256"/>
      <c r="I778" s="332"/>
      <c r="J778" s="333"/>
      <c r="K778" s="334"/>
      <c r="L778" s="484"/>
    </row>
    <row r="779" spans="1:12" ht="15" thickBot="1">
      <c r="A779" s="328"/>
      <c r="B779" s="257"/>
      <c r="C779" s="257"/>
      <c r="D779" s="329"/>
      <c r="E779" s="330"/>
      <c r="F779" s="331"/>
      <c r="G779" s="256"/>
      <c r="H779" s="256"/>
      <c r="I779" s="332"/>
      <c r="J779" s="333"/>
      <c r="K779" s="334"/>
      <c r="L779" s="484"/>
    </row>
    <row r="780" spans="1:12" ht="15" thickBot="1">
      <c r="A780" s="328"/>
      <c r="B780" s="257"/>
      <c r="C780" s="257"/>
      <c r="D780" s="329"/>
      <c r="E780" s="330"/>
      <c r="F780" s="331"/>
      <c r="G780" s="256"/>
      <c r="H780" s="256"/>
      <c r="I780" s="332"/>
      <c r="J780" s="333"/>
      <c r="K780" s="334"/>
      <c r="L780" s="484"/>
    </row>
    <row r="781" spans="1:12" ht="15" thickBot="1">
      <c r="A781" s="328"/>
      <c r="B781" s="257"/>
      <c r="C781" s="257"/>
      <c r="D781" s="329"/>
      <c r="E781" s="330"/>
      <c r="F781" s="331"/>
      <c r="G781" s="256"/>
      <c r="H781" s="256"/>
      <c r="I781" s="332"/>
      <c r="J781" s="333"/>
      <c r="K781" s="334"/>
      <c r="L781" s="484"/>
    </row>
    <row r="782" spans="1:12" ht="15" thickBot="1">
      <c r="A782" s="328"/>
      <c r="B782" s="257"/>
      <c r="C782" s="257"/>
      <c r="D782" s="329"/>
      <c r="E782" s="330"/>
      <c r="F782" s="331"/>
      <c r="G782" s="256"/>
      <c r="H782" s="256"/>
      <c r="I782" s="332"/>
      <c r="J782" s="333"/>
      <c r="K782" s="334"/>
      <c r="L782" s="484"/>
    </row>
    <row r="783" spans="1:12" ht="15" thickBot="1">
      <c r="A783" s="328"/>
      <c r="B783" s="257"/>
      <c r="C783" s="257"/>
      <c r="D783" s="329"/>
      <c r="E783" s="330"/>
      <c r="F783" s="331"/>
      <c r="G783" s="256"/>
      <c r="H783" s="256"/>
      <c r="I783" s="332"/>
      <c r="J783" s="333"/>
      <c r="K783" s="334"/>
      <c r="L783" s="484"/>
    </row>
    <row r="784" spans="1:12" ht="15" thickBot="1">
      <c r="A784" s="328"/>
      <c r="B784" s="257"/>
      <c r="C784" s="257"/>
      <c r="D784" s="329"/>
      <c r="E784" s="330"/>
      <c r="F784" s="331"/>
      <c r="G784" s="256"/>
      <c r="H784" s="256"/>
      <c r="I784" s="332"/>
      <c r="J784" s="333"/>
      <c r="K784" s="334"/>
      <c r="L784" s="484"/>
    </row>
    <row r="785" spans="1:12" ht="15" thickBot="1">
      <c r="A785" s="328"/>
      <c r="B785" s="257"/>
      <c r="C785" s="257"/>
      <c r="D785" s="329"/>
      <c r="E785" s="330"/>
      <c r="F785" s="331"/>
      <c r="G785" s="256"/>
      <c r="H785" s="256"/>
      <c r="I785" s="332"/>
      <c r="J785" s="333"/>
      <c r="K785" s="334"/>
      <c r="L785" s="484"/>
    </row>
    <row r="786" spans="1:12" ht="15" thickBot="1">
      <c r="A786" s="328"/>
      <c r="B786" s="257"/>
      <c r="C786" s="257"/>
      <c r="D786" s="329"/>
      <c r="E786" s="330"/>
      <c r="F786" s="331"/>
      <c r="G786" s="256"/>
      <c r="H786" s="256"/>
      <c r="I786" s="332"/>
      <c r="J786" s="333"/>
      <c r="K786" s="334"/>
      <c r="L786" s="484"/>
    </row>
    <row r="787" spans="1:12" ht="15" thickBot="1">
      <c r="A787" s="328"/>
      <c r="B787" s="257"/>
      <c r="C787" s="257"/>
      <c r="D787" s="329"/>
      <c r="E787" s="330"/>
      <c r="F787" s="331"/>
      <c r="G787" s="256"/>
      <c r="H787" s="256"/>
      <c r="I787" s="332"/>
      <c r="J787" s="333"/>
      <c r="K787" s="334"/>
      <c r="L787" s="484"/>
    </row>
    <row r="788" spans="1:12" ht="15" thickBot="1">
      <c r="A788" s="328"/>
      <c r="B788" s="257"/>
      <c r="C788" s="257"/>
      <c r="D788" s="329"/>
      <c r="E788" s="330"/>
      <c r="F788" s="331"/>
      <c r="G788" s="256"/>
      <c r="H788" s="256"/>
      <c r="I788" s="332"/>
      <c r="J788" s="333"/>
      <c r="K788" s="334"/>
      <c r="L788" s="484"/>
    </row>
    <row r="789" spans="1:12" ht="15" thickBot="1">
      <c r="A789" s="328"/>
      <c r="B789" s="257"/>
      <c r="C789" s="257"/>
      <c r="D789" s="329"/>
      <c r="E789" s="330"/>
      <c r="F789" s="331"/>
      <c r="G789" s="256"/>
      <c r="H789" s="256"/>
      <c r="I789" s="332"/>
      <c r="J789" s="333"/>
      <c r="K789" s="334"/>
      <c r="L789" s="484"/>
    </row>
    <row r="790" spans="1:12" ht="15" thickBot="1">
      <c r="A790" s="328"/>
      <c r="B790" s="257"/>
      <c r="C790" s="257"/>
      <c r="D790" s="329"/>
      <c r="E790" s="330"/>
      <c r="F790" s="331"/>
      <c r="G790" s="256"/>
      <c r="H790" s="256"/>
      <c r="I790" s="332"/>
      <c r="J790" s="333"/>
      <c r="K790" s="334"/>
      <c r="L790" s="484"/>
    </row>
    <row r="791" spans="1:12" ht="15" thickBot="1">
      <c r="A791" s="328"/>
      <c r="B791" s="257"/>
      <c r="C791" s="257"/>
      <c r="D791" s="329"/>
      <c r="E791" s="330"/>
      <c r="F791" s="331"/>
      <c r="G791" s="256"/>
      <c r="H791" s="256"/>
      <c r="I791" s="332"/>
      <c r="J791" s="333"/>
      <c r="K791" s="334"/>
      <c r="L791" s="484"/>
    </row>
    <row r="792" spans="1:12" ht="15" thickBot="1">
      <c r="A792" s="328"/>
      <c r="B792" s="257"/>
      <c r="C792" s="257"/>
      <c r="D792" s="329"/>
      <c r="E792" s="330"/>
      <c r="F792" s="331"/>
      <c r="G792" s="256"/>
      <c r="H792" s="256"/>
      <c r="I792" s="332"/>
      <c r="J792" s="333"/>
      <c r="K792" s="334"/>
      <c r="L792" s="484"/>
    </row>
    <row r="793" spans="1:12" ht="15" thickBot="1">
      <c r="A793" s="328"/>
      <c r="B793" s="257"/>
      <c r="C793" s="257"/>
      <c r="D793" s="329"/>
      <c r="E793" s="330"/>
      <c r="F793" s="331"/>
      <c r="G793" s="256"/>
      <c r="H793" s="256"/>
      <c r="I793" s="332"/>
      <c r="J793" s="333"/>
      <c r="K793" s="334"/>
      <c r="L793" s="484"/>
    </row>
    <row r="794" spans="1:12" ht="15" thickBot="1">
      <c r="A794" s="328"/>
      <c r="B794" s="257"/>
      <c r="C794" s="257"/>
      <c r="D794" s="329"/>
      <c r="E794" s="330"/>
      <c r="F794" s="331"/>
      <c r="G794" s="256"/>
      <c r="H794" s="256"/>
      <c r="I794" s="332"/>
      <c r="J794" s="333"/>
      <c r="K794" s="334"/>
      <c r="L794" s="484"/>
    </row>
    <row r="795" spans="1:12" ht="15" thickBot="1">
      <c r="A795" s="328"/>
      <c r="B795" s="257"/>
      <c r="C795" s="257"/>
      <c r="D795" s="329"/>
      <c r="E795" s="330"/>
      <c r="F795" s="331"/>
      <c r="G795" s="256"/>
      <c r="H795" s="256"/>
      <c r="I795" s="332"/>
      <c r="J795" s="333"/>
      <c r="K795" s="334"/>
      <c r="L795" s="484"/>
    </row>
    <row r="796" spans="1:12" ht="15" thickBot="1">
      <c r="A796" s="328"/>
      <c r="B796" s="257"/>
      <c r="C796" s="257"/>
      <c r="D796" s="329"/>
      <c r="E796" s="330"/>
      <c r="F796" s="331"/>
      <c r="G796" s="256"/>
      <c r="H796" s="256"/>
      <c r="I796" s="332"/>
      <c r="J796" s="333"/>
      <c r="K796" s="334"/>
      <c r="L796" s="484"/>
    </row>
    <row r="797" spans="1:12" ht="15" thickBot="1">
      <c r="A797" s="328"/>
      <c r="B797" s="257"/>
      <c r="C797" s="257"/>
      <c r="D797" s="329"/>
      <c r="E797" s="330"/>
      <c r="F797" s="331"/>
      <c r="G797" s="256"/>
      <c r="H797" s="256"/>
      <c r="I797" s="332"/>
      <c r="J797" s="333"/>
      <c r="K797" s="334"/>
      <c r="L797" s="484"/>
    </row>
    <row r="798" spans="1:12" ht="15" thickBot="1">
      <c r="A798" s="328"/>
      <c r="B798" s="257"/>
      <c r="C798" s="257"/>
      <c r="D798" s="329"/>
      <c r="E798" s="330"/>
      <c r="F798" s="331"/>
      <c r="G798" s="256"/>
      <c r="H798" s="256"/>
      <c r="I798" s="332"/>
      <c r="J798" s="333"/>
      <c r="K798" s="334"/>
      <c r="L798" s="484"/>
    </row>
    <row r="799" spans="1:12" ht="15" thickBot="1">
      <c r="A799" s="328"/>
      <c r="B799" s="257"/>
      <c r="C799" s="257"/>
      <c r="D799" s="329"/>
      <c r="E799" s="330"/>
      <c r="F799" s="331"/>
      <c r="G799" s="256"/>
      <c r="H799" s="256"/>
      <c r="I799" s="332"/>
      <c r="J799" s="333"/>
      <c r="K799" s="334"/>
      <c r="L799" s="484"/>
    </row>
    <row r="800" spans="1:12" ht="15" thickBot="1">
      <c r="A800" s="328"/>
      <c r="B800" s="257"/>
      <c r="C800" s="257"/>
      <c r="D800" s="329"/>
      <c r="E800" s="330"/>
      <c r="F800" s="331"/>
      <c r="G800" s="256"/>
      <c r="H800" s="256"/>
      <c r="I800" s="332"/>
      <c r="J800" s="333"/>
      <c r="K800" s="334"/>
      <c r="L800" s="484"/>
    </row>
    <row r="801" spans="1:12" ht="15" thickBot="1">
      <c r="A801" s="328"/>
      <c r="B801" s="257"/>
      <c r="C801" s="257"/>
      <c r="D801" s="329"/>
      <c r="E801" s="330"/>
      <c r="F801" s="331"/>
      <c r="G801" s="256"/>
      <c r="H801" s="256"/>
      <c r="I801" s="332"/>
      <c r="J801" s="333"/>
      <c r="K801" s="334"/>
      <c r="L801" s="484"/>
    </row>
    <row r="802" spans="1:12" ht="15" thickBot="1">
      <c r="A802" s="328"/>
      <c r="B802" s="257"/>
      <c r="C802" s="257"/>
      <c r="D802" s="329"/>
      <c r="E802" s="330"/>
      <c r="F802" s="331"/>
      <c r="G802" s="256"/>
      <c r="H802" s="256"/>
      <c r="I802" s="332"/>
      <c r="J802" s="333"/>
      <c r="K802" s="334"/>
      <c r="L802" s="484"/>
    </row>
    <row r="803" spans="1:12" ht="15" thickBot="1">
      <c r="A803" s="328"/>
      <c r="B803" s="257"/>
      <c r="C803" s="257"/>
      <c r="D803" s="329"/>
      <c r="E803" s="330"/>
      <c r="F803" s="331"/>
      <c r="G803" s="256"/>
      <c r="H803" s="256"/>
      <c r="I803" s="332"/>
      <c r="J803" s="333"/>
      <c r="K803" s="334"/>
      <c r="L803" s="484"/>
    </row>
    <row r="804" spans="1:12" ht="15" thickBot="1">
      <c r="A804" s="328"/>
      <c r="B804" s="257"/>
      <c r="C804" s="257"/>
      <c r="D804" s="329"/>
      <c r="E804" s="330"/>
      <c r="F804" s="331"/>
      <c r="G804" s="256"/>
      <c r="H804" s="256"/>
      <c r="I804" s="332"/>
      <c r="J804" s="333"/>
      <c r="K804" s="334"/>
      <c r="L804" s="484"/>
    </row>
    <row r="805" spans="1:12" ht="15" thickBot="1">
      <c r="A805" s="328"/>
      <c r="B805" s="257"/>
      <c r="C805" s="257"/>
      <c r="D805" s="329"/>
      <c r="E805" s="330"/>
      <c r="F805" s="331"/>
      <c r="G805" s="256"/>
      <c r="H805" s="256"/>
      <c r="I805" s="332"/>
      <c r="J805" s="333"/>
      <c r="K805" s="334"/>
      <c r="L805" s="484"/>
    </row>
    <row r="806" spans="1:12" ht="15" thickBot="1">
      <c r="A806" s="328"/>
      <c r="B806" s="257"/>
      <c r="C806" s="257"/>
      <c r="D806" s="329"/>
      <c r="E806" s="330"/>
      <c r="F806" s="331"/>
      <c r="G806" s="256"/>
      <c r="H806" s="256"/>
      <c r="I806" s="332"/>
      <c r="J806" s="333"/>
      <c r="K806" s="334"/>
      <c r="L806" s="484"/>
    </row>
    <row r="807" spans="1:12" ht="15" thickBot="1">
      <c r="A807" s="328"/>
      <c r="B807" s="257"/>
      <c r="C807" s="257"/>
      <c r="D807" s="329"/>
      <c r="E807" s="330"/>
      <c r="F807" s="331"/>
      <c r="G807" s="256"/>
      <c r="H807" s="256"/>
      <c r="I807" s="332"/>
      <c r="J807" s="333"/>
      <c r="K807" s="334"/>
      <c r="L807" s="484"/>
    </row>
    <row r="808" spans="1:12" ht="15" thickBot="1">
      <c r="A808" s="328"/>
      <c r="B808" s="257"/>
      <c r="C808" s="257"/>
      <c r="D808" s="329"/>
      <c r="E808" s="330"/>
      <c r="F808" s="331"/>
      <c r="G808" s="256"/>
      <c r="H808" s="256"/>
      <c r="I808" s="332"/>
      <c r="J808" s="333"/>
      <c r="K808" s="334"/>
      <c r="L808" s="484"/>
    </row>
    <row r="809" spans="1:12" ht="15" thickBot="1">
      <c r="A809" s="328"/>
      <c r="B809" s="257"/>
      <c r="C809" s="257"/>
      <c r="D809" s="329"/>
      <c r="E809" s="330"/>
      <c r="F809" s="331"/>
      <c r="G809" s="256"/>
      <c r="H809" s="256"/>
      <c r="I809" s="332"/>
      <c r="J809" s="333"/>
      <c r="K809" s="334"/>
      <c r="L809" s="484"/>
    </row>
    <row r="810" spans="1:12" ht="15" thickBot="1">
      <c r="A810" s="328"/>
      <c r="B810" s="257"/>
      <c r="C810" s="257"/>
      <c r="D810" s="329"/>
      <c r="E810" s="330"/>
      <c r="F810" s="331"/>
      <c r="G810" s="256"/>
      <c r="H810" s="256"/>
      <c r="I810" s="332"/>
      <c r="J810" s="333"/>
      <c r="K810" s="334"/>
      <c r="L810" s="484"/>
    </row>
    <row r="811" spans="1:12" ht="15" thickBot="1">
      <c r="A811" s="328"/>
      <c r="B811" s="257"/>
      <c r="C811" s="257"/>
      <c r="D811" s="329"/>
      <c r="E811" s="330"/>
      <c r="F811" s="331"/>
      <c r="G811" s="256"/>
      <c r="H811" s="256"/>
      <c r="I811" s="332"/>
      <c r="J811" s="333"/>
      <c r="K811" s="334"/>
      <c r="L811" s="484"/>
    </row>
    <row r="812" spans="1:12" ht="15" thickBot="1">
      <c r="A812" s="328"/>
      <c r="B812" s="257"/>
      <c r="C812" s="257"/>
      <c r="D812" s="329"/>
      <c r="E812" s="330"/>
      <c r="F812" s="331"/>
      <c r="G812" s="256"/>
      <c r="H812" s="256"/>
      <c r="I812" s="332"/>
      <c r="J812" s="333"/>
      <c r="K812" s="334"/>
      <c r="L812" s="484"/>
    </row>
    <row r="813" spans="1:12" ht="15" thickBot="1">
      <c r="A813" s="328"/>
      <c r="B813" s="257"/>
      <c r="C813" s="257"/>
      <c r="D813" s="329"/>
      <c r="E813" s="330"/>
      <c r="F813" s="331"/>
      <c r="G813" s="256"/>
      <c r="H813" s="256"/>
      <c r="I813" s="332"/>
      <c r="J813" s="333"/>
      <c r="K813" s="334"/>
      <c r="L813" s="484"/>
    </row>
    <row r="814" spans="1:12" ht="15" thickBot="1">
      <c r="A814" s="328"/>
      <c r="B814" s="257"/>
      <c r="C814" s="257"/>
      <c r="D814" s="329"/>
      <c r="E814" s="330"/>
      <c r="F814" s="331"/>
      <c r="G814" s="256"/>
      <c r="H814" s="256"/>
      <c r="I814" s="332"/>
      <c r="J814" s="333"/>
      <c r="K814" s="334"/>
      <c r="L814" s="484"/>
    </row>
    <row r="815" spans="1:12" ht="15" thickBot="1">
      <c r="A815" s="328"/>
      <c r="B815" s="257"/>
      <c r="C815" s="257"/>
      <c r="D815" s="329"/>
      <c r="E815" s="330"/>
      <c r="F815" s="331"/>
      <c r="G815" s="256"/>
      <c r="H815" s="256"/>
      <c r="I815" s="332"/>
      <c r="J815" s="333"/>
      <c r="K815" s="334"/>
      <c r="L815" s="484"/>
    </row>
    <row r="816" spans="1:12" ht="15" thickBot="1">
      <c r="A816" s="328"/>
      <c r="B816" s="257"/>
      <c r="C816" s="257"/>
      <c r="D816" s="329"/>
      <c r="E816" s="330"/>
      <c r="F816" s="331"/>
      <c r="G816" s="256"/>
      <c r="H816" s="256"/>
      <c r="I816" s="332"/>
      <c r="J816" s="333"/>
      <c r="K816" s="334"/>
      <c r="L816" s="484"/>
    </row>
    <row r="817" spans="1:12" ht="15" thickBot="1">
      <c r="A817" s="328"/>
      <c r="B817" s="257"/>
      <c r="C817" s="257"/>
      <c r="D817" s="329"/>
      <c r="E817" s="330"/>
      <c r="F817" s="331"/>
      <c r="G817" s="256"/>
      <c r="H817" s="256"/>
      <c r="I817" s="332"/>
      <c r="J817" s="333"/>
      <c r="K817" s="334"/>
      <c r="L817" s="484"/>
    </row>
    <row r="818" spans="1:12" ht="15" thickBot="1">
      <c r="A818" s="328"/>
      <c r="B818" s="257"/>
      <c r="C818" s="257"/>
      <c r="D818" s="329"/>
      <c r="E818" s="330"/>
      <c r="F818" s="331"/>
      <c r="G818" s="256"/>
      <c r="H818" s="256"/>
      <c r="I818" s="332"/>
      <c r="J818" s="333"/>
      <c r="K818" s="334"/>
      <c r="L818" s="484"/>
    </row>
    <row r="819" spans="1:12" ht="15" thickBot="1">
      <c r="A819" s="328"/>
      <c r="B819" s="257"/>
      <c r="C819" s="257"/>
      <c r="D819" s="329"/>
      <c r="E819" s="330"/>
      <c r="F819" s="331"/>
      <c r="G819" s="256"/>
      <c r="H819" s="256"/>
      <c r="I819" s="332"/>
      <c r="J819" s="333"/>
      <c r="K819" s="334"/>
      <c r="L819" s="484"/>
    </row>
    <row r="820" spans="1:12" ht="15" thickBot="1">
      <c r="A820" s="328"/>
      <c r="B820" s="257"/>
      <c r="C820" s="257"/>
      <c r="D820" s="329"/>
      <c r="E820" s="330"/>
      <c r="F820" s="331"/>
      <c r="G820" s="256"/>
      <c r="H820" s="256"/>
      <c r="I820" s="332"/>
      <c r="J820" s="333"/>
      <c r="K820" s="334"/>
      <c r="L820" s="484"/>
    </row>
    <row r="821" spans="1:12" ht="15" thickBot="1">
      <c r="A821" s="328"/>
      <c r="B821" s="257"/>
      <c r="C821" s="257"/>
      <c r="D821" s="329"/>
      <c r="E821" s="330"/>
      <c r="F821" s="331"/>
      <c r="G821" s="256"/>
      <c r="H821" s="256"/>
      <c r="I821" s="332"/>
      <c r="J821" s="333"/>
      <c r="K821" s="334"/>
      <c r="L821" s="484"/>
    </row>
    <row r="822" spans="1:12" ht="15" thickBot="1">
      <c r="A822" s="328"/>
      <c r="B822" s="257"/>
      <c r="C822" s="257"/>
      <c r="D822" s="329"/>
      <c r="E822" s="330"/>
      <c r="F822" s="331"/>
      <c r="G822" s="256"/>
      <c r="H822" s="256"/>
      <c r="I822" s="332"/>
      <c r="J822" s="333"/>
      <c r="K822" s="334"/>
      <c r="L822" s="484"/>
    </row>
    <row r="823" spans="1:12" ht="15" thickBot="1">
      <c r="A823" s="328"/>
      <c r="B823" s="257"/>
      <c r="C823" s="257"/>
      <c r="D823" s="329"/>
      <c r="E823" s="330"/>
      <c r="F823" s="331"/>
      <c r="G823" s="256"/>
      <c r="H823" s="256"/>
      <c r="I823" s="332"/>
      <c r="J823" s="333"/>
      <c r="K823" s="334"/>
      <c r="L823" s="484"/>
    </row>
    <row r="824" spans="1:12" ht="15" thickBot="1">
      <c r="A824" s="328"/>
      <c r="B824" s="257"/>
      <c r="C824" s="257"/>
      <c r="D824" s="329"/>
      <c r="E824" s="330"/>
      <c r="F824" s="331"/>
      <c r="G824" s="256"/>
      <c r="H824" s="256"/>
      <c r="I824" s="332"/>
      <c r="J824" s="333"/>
      <c r="K824" s="334"/>
      <c r="L824" s="484"/>
    </row>
    <row r="825" spans="1:12" ht="15" thickBot="1">
      <c r="A825" s="328"/>
      <c r="B825" s="257"/>
      <c r="C825" s="257"/>
      <c r="D825" s="329"/>
      <c r="E825" s="330"/>
      <c r="F825" s="331"/>
      <c r="G825" s="256"/>
      <c r="H825" s="256"/>
      <c r="I825" s="332"/>
      <c r="J825" s="333"/>
      <c r="K825" s="334"/>
      <c r="L825" s="484"/>
    </row>
    <row r="826" spans="1:12" ht="15" thickBot="1">
      <c r="A826" s="328"/>
      <c r="B826" s="257"/>
      <c r="C826" s="257"/>
      <c r="D826" s="329"/>
      <c r="E826" s="330"/>
      <c r="F826" s="331"/>
      <c r="G826" s="256"/>
      <c r="H826" s="256"/>
      <c r="I826" s="332"/>
      <c r="J826" s="333"/>
      <c r="K826" s="334"/>
      <c r="L826" s="484"/>
    </row>
    <row r="827" spans="1:12" ht="15" thickBot="1">
      <c r="A827" s="328"/>
      <c r="B827" s="257"/>
      <c r="C827" s="257"/>
      <c r="D827" s="329"/>
      <c r="E827" s="330"/>
      <c r="F827" s="331"/>
      <c r="G827" s="256"/>
      <c r="H827" s="256"/>
      <c r="I827" s="332"/>
      <c r="J827" s="333"/>
      <c r="K827" s="334"/>
      <c r="L827" s="484"/>
    </row>
    <row r="828" spans="1:12" ht="15" thickBot="1">
      <c r="A828" s="328"/>
      <c r="B828" s="257"/>
      <c r="C828" s="257"/>
      <c r="D828" s="329"/>
      <c r="E828" s="330"/>
      <c r="F828" s="331"/>
      <c r="G828" s="256"/>
      <c r="H828" s="256"/>
      <c r="I828" s="332"/>
      <c r="J828" s="333"/>
      <c r="K828" s="334"/>
      <c r="L828" s="484"/>
    </row>
    <row r="829" spans="1:12" ht="15" thickBot="1">
      <c r="A829" s="328"/>
      <c r="B829" s="257"/>
      <c r="C829" s="257"/>
      <c r="D829" s="329"/>
      <c r="E829" s="330"/>
      <c r="F829" s="331"/>
      <c r="G829" s="256"/>
      <c r="H829" s="256"/>
      <c r="I829" s="332"/>
      <c r="J829" s="333"/>
      <c r="K829" s="334"/>
      <c r="L829" s="484"/>
    </row>
    <row r="830" spans="1:12" ht="15" thickBot="1">
      <c r="A830" s="328"/>
      <c r="B830" s="257"/>
      <c r="C830" s="257"/>
      <c r="D830" s="329"/>
      <c r="E830" s="330"/>
      <c r="F830" s="331"/>
      <c r="G830" s="256"/>
      <c r="H830" s="256"/>
      <c r="I830" s="332"/>
      <c r="J830" s="333"/>
      <c r="K830" s="334"/>
      <c r="L830" s="484"/>
    </row>
    <row r="831" spans="1:12" ht="15" thickBot="1">
      <c r="A831" s="328"/>
      <c r="B831" s="257"/>
      <c r="C831" s="257"/>
      <c r="D831" s="329"/>
      <c r="E831" s="330"/>
      <c r="F831" s="331"/>
      <c r="G831" s="256"/>
      <c r="H831" s="256"/>
      <c r="I831" s="332"/>
      <c r="J831" s="333"/>
      <c r="K831" s="334"/>
      <c r="L831" s="484"/>
    </row>
    <row r="832" spans="1:12" ht="15" thickBot="1">
      <c r="A832" s="328"/>
      <c r="B832" s="257"/>
      <c r="C832" s="257"/>
      <c r="D832" s="329"/>
      <c r="E832" s="330"/>
      <c r="F832" s="331"/>
      <c r="G832" s="256"/>
      <c r="H832" s="256"/>
      <c r="I832" s="332"/>
      <c r="J832" s="333"/>
      <c r="K832" s="334"/>
      <c r="L832" s="484"/>
    </row>
    <row r="833" spans="1:12" ht="15" thickBot="1">
      <c r="A833" s="328"/>
      <c r="B833" s="257"/>
      <c r="C833" s="257"/>
      <c r="D833" s="329"/>
      <c r="E833" s="330"/>
      <c r="F833" s="331"/>
      <c r="G833" s="256"/>
      <c r="H833" s="256"/>
      <c r="I833" s="332"/>
      <c r="J833" s="333"/>
      <c r="K833" s="334"/>
      <c r="L833" s="484"/>
    </row>
    <row r="834" spans="1:12" ht="15" thickBot="1">
      <c r="A834" s="328"/>
      <c r="B834" s="257"/>
      <c r="C834" s="257"/>
      <c r="D834" s="329"/>
      <c r="E834" s="330"/>
      <c r="F834" s="331"/>
      <c r="G834" s="256"/>
      <c r="H834" s="256"/>
      <c r="I834" s="332"/>
      <c r="J834" s="333"/>
      <c r="K834" s="334"/>
      <c r="L834" s="484"/>
    </row>
    <row r="835" spans="1:12" ht="15" thickBot="1">
      <c r="A835" s="328"/>
      <c r="B835" s="257"/>
      <c r="C835" s="257"/>
      <c r="D835" s="329"/>
      <c r="E835" s="330"/>
      <c r="F835" s="331"/>
      <c r="G835" s="256"/>
      <c r="H835" s="256"/>
      <c r="I835" s="332"/>
      <c r="J835" s="333"/>
      <c r="K835" s="334"/>
      <c r="L835" s="484"/>
    </row>
    <row r="836" spans="1:12" ht="15" thickBot="1">
      <c r="A836" s="328"/>
      <c r="B836" s="257"/>
      <c r="C836" s="257"/>
      <c r="D836" s="329"/>
      <c r="E836" s="330"/>
      <c r="F836" s="331"/>
      <c r="G836" s="256"/>
      <c r="H836" s="256"/>
      <c r="I836" s="332"/>
      <c r="J836" s="333"/>
      <c r="K836" s="334"/>
      <c r="L836" s="484"/>
    </row>
    <row r="837" spans="1:12" ht="15" thickBot="1">
      <c r="A837" s="328"/>
      <c r="B837" s="257"/>
      <c r="C837" s="257"/>
      <c r="D837" s="329"/>
      <c r="E837" s="330"/>
      <c r="F837" s="331"/>
      <c r="G837" s="256"/>
      <c r="H837" s="256"/>
      <c r="I837" s="332"/>
      <c r="J837" s="333"/>
      <c r="K837" s="334"/>
      <c r="L837" s="484"/>
    </row>
    <row r="838" spans="1:12" ht="15" thickBot="1">
      <c r="A838" s="328"/>
      <c r="B838" s="257"/>
      <c r="C838" s="257"/>
      <c r="D838" s="329"/>
      <c r="E838" s="330"/>
      <c r="F838" s="331"/>
      <c r="G838" s="256"/>
      <c r="H838" s="256"/>
      <c r="I838" s="332"/>
      <c r="J838" s="333"/>
      <c r="K838" s="334"/>
      <c r="L838" s="484"/>
    </row>
    <row r="839" spans="1:12" ht="15" thickBot="1">
      <c r="A839" s="328"/>
      <c r="B839" s="257"/>
      <c r="C839" s="257"/>
      <c r="D839" s="329"/>
      <c r="E839" s="330"/>
      <c r="F839" s="331"/>
      <c r="G839" s="256"/>
      <c r="H839" s="256"/>
      <c r="I839" s="332"/>
      <c r="J839" s="333"/>
      <c r="K839" s="334"/>
      <c r="L839" s="484"/>
    </row>
    <row r="840" spans="1:12" ht="15" thickBot="1">
      <c r="A840" s="328"/>
      <c r="B840" s="257"/>
      <c r="C840" s="257"/>
      <c r="D840" s="329"/>
      <c r="E840" s="330"/>
      <c r="F840" s="331"/>
      <c r="G840" s="256"/>
      <c r="H840" s="256"/>
      <c r="I840" s="332"/>
      <c r="J840" s="333"/>
      <c r="K840" s="334"/>
      <c r="L840" s="484"/>
    </row>
    <row r="841" spans="1:12" ht="15" thickBot="1">
      <c r="A841" s="328"/>
      <c r="B841" s="257"/>
      <c r="C841" s="257"/>
      <c r="D841" s="329"/>
      <c r="E841" s="330"/>
      <c r="F841" s="331"/>
      <c r="G841" s="256"/>
      <c r="H841" s="256"/>
      <c r="I841" s="332"/>
      <c r="J841" s="333"/>
      <c r="K841" s="334"/>
      <c r="L841" s="484"/>
    </row>
    <row r="842" spans="1:12" ht="15" thickBot="1">
      <c r="A842" s="328"/>
      <c r="B842" s="257"/>
      <c r="C842" s="257"/>
      <c r="D842" s="329"/>
      <c r="E842" s="330"/>
      <c r="F842" s="331"/>
      <c r="G842" s="256"/>
      <c r="H842" s="256"/>
      <c r="I842" s="332"/>
      <c r="J842" s="333"/>
      <c r="K842" s="334"/>
      <c r="L842" s="484"/>
    </row>
    <row r="843" spans="1:12" ht="15" thickBot="1">
      <c r="A843" s="328"/>
      <c r="B843" s="257"/>
      <c r="C843" s="257"/>
      <c r="D843" s="329"/>
      <c r="E843" s="330"/>
      <c r="F843" s="331"/>
      <c r="G843" s="256"/>
      <c r="H843" s="256"/>
      <c r="I843" s="332"/>
      <c r="J843" s="333"/>
      <c r="K843" s="334"/>
      <c r="L843" s="484"/>
    </row>
    <row r="844" spans="1:12" ht="15" thickBot="1">
      <c r="A844" s="328"/>
      <c r="B844" s="257"/>
      <c r="C844" s="257"/>
      <c r="D844" s="329"/>
      <c r="E844" s="330"/>
      <c r="F844" s="331"/>
      <c r="G844" s="256"/>
      <c r="H844" s="256"/>
      <c r="I844" s="332"/>
      <c r="J844" s="333"/>
      <c r="K844" s="334"/>
      <c r="L844" s="484"/>
    </row>
    <row r="845" spans="1:12" ht="15" thickBot="1">
      <c r="A845" s="328"/>
      <c r="B845" s="257"/>
      <c r="C845" s="257"/>
      <c r="D845" s="329"/>
      <c r="E845" s="330"/>
      <c r="F845" s="331"/>
      <c r="G845" s="256"/>
      <c r="H845" s="256"/>
      <c r="I845" s="332"/>
      <c r="J845" s="333"/>
      <c r="K845" s="334"/>
      <c r="L845" s="484"/>
    </row>
    <row r="846" spans="1:12" ht="15" thickBot="1">
      <c r="A846" s="328"/>
      <c r="B846" s="257"/>
      <c r="C846" s="257"/>
      <c r="D846" s="329"/>
      <c r="E846" s="330"/>
      <c r="F846" s="331"/>
      <c r="G846" s="256"/>
      <c r="H846" s="256"/>
      <c r="I846" s="332"/>
      <c r="J846" s="333"/>
      <c r="K846" s="334"/>
      <c r="L846" s="484"/>
    </row>
    <row r="847" spans="1:12" ht="15" thickBot="1">
      <c r="A847" s="328"/>
      <c r="B847" s="257"/>
      <c r="C847" s="257"/>
      <c r="D847" s="329"/>
      <c r="E847" s="330"/>
      <c r="F847" s="331"/>
      <c r="G847" s="256"/>
      <c r="H847" s="256"/>
      <c r="I847" s="332"/>
      <c r="J847" s="333"/>
      <c r="K847" s="334"/>
      <c r="L847" s="484"/>
    </row>
    <row r="848" spans="1:12" ht="15" thickBot="1">
      <c r="A848" s="328"/>
      <c r="B848" s="257"/>
      <c r="C848" s="257"/>
      <c r="D848" s="329"/>
      <c r="E848" s="330"/>
      <c r="F848" s="331"/>
      <c r="G848" s="256"/>
      <c r="H848" s="256"/>
      <c r="I848" s="332"/>
      <c r="J848" s="333"/>
      <c r="K848" s="334"/>
      <c r="L848" s="484"/>
    </row>
    <row r="849" spans="1:12" ht="15" thickBot="1">
      <c r="A849" s="328"/>
      <c r="B849" s="257"/>
      <c r="C849" s="257"/>
      <c r="D849" s="329"/>
      <c r="E849" s="330"/>
      <c r="F849" s="331"/>
      <c r="G849" s="256"/>
      <c r="H849" s="256"/>
      <c r="I849" s="332"/>
      <c r="J849" s="333"/>
      <c r="K849" s="334"/>
      <c r="L849" s="484"/>
    </row>
    <row r="850" spans="1:12" ht="15" thickBot="1">
      <c r="A850" s="328"/>
      <c r="B850" s="257"/>
      <c r="C850" s="257"/>
      <c r="D850" s="329"/>
      <c r="E850" s="330"/>
      <c r="F850" s="331"/>
      <c r="G850" s="256"/>
      <c r="H850" s="256"/>
      <c r="I850" s="332"/>
      <c r="J850" s="333"/>
      <c r="K850" s="334"/>
      <c r="L850" s="484"/>
    </row>
    <row r="851" spans="1:12" ht="15" thickBot="1">
      <c r="A851" s="328"/>
      <c r="B851" s="257"/>
      <c r="C851" s="257"/>
      <c r="D851" s="329"/>
      <c r="E851" s="330"/>
      <c r="F851" s="331"/>
      <c r="G851" s="256"/>
      <c r="H851" s="256"/>
      <c r="I851" s="332"/>
      <c r="J851" s="333"/>
      <c r="K851" s="334"/>
      <c r="L851" s="484"/>
    </row>
    <row r="852" spans="1:12" ht="15" thickBot="1">
      <c r="A852" s="328"/>
      <c r="B852" s="257"/>
      <c r="C852" s="257"/>
      <c r="D852" s="329"/>
      <c r="E852" s="330"/>
      <c r="F852" s="331"/>
      <c r="G852" s="256"/>
      <c r="H852" s="256"/>
      <c r="I852" s="332"/>
      <c r="J852" s="333"/>
      <c r="K852" s="334"/>
      <c r="L852" s="484"/>
    </row>
    <row r="853" spans="1:12" ht="15" thickBot="1">
      <c r="A853" s="328"/>
      <c r="B853" s="257"/>
      <c r="C853" s="257"/>
      <c r="D853" s="329"/>
      <c r="E853" s="330"/>
      <c r="F853" s="331"/>
      <c r="G853" s="256"/>
      <c r="H853" s="256"/>
      <c r="I853" s="332"/>
      <c r="J853" s="333"/>
      <c r="K853" s="334"/>
      <c r="L853" s="484"/>
    </row>
    <row r="854" spans="1:12" ht="15" thickBot="1">
      <c r="A854" s="328"/>
      <c r="B854" s="257"/>
      <c r="C854" s="257"/>
      <c r="D854" s="329"/>
      <c r="E854" s="330"/>
      <c r="F854" s="331"/>
      <c r="G854" s="256"/>
      <c r="H854" s="256"/>
      <c r="I854" s="332"/>
      <c r="J854" s="333"/>
      <c r="K854" s="334"/>
      <c r="L854" s="484"/>
    </row>
    <row r="855" spans="1:12" ht="15" thickBot="1">
      <c r="A855" s="328"/>
      <c r="B855" s="257"/>
      <c r="C855" s="257"/>
      <c r="D855" s="329"/>
      <c r="E855" s="330"/>
      <c r="F855" s="331"/>
      <c r="G855" s="256"/>
      <c r="H855" s="256"/>
      <c r="I855" s="332"/>
      <c r="J855" s="333"/>
      <c r="K855" s="334"/>
      <c r="L855" s="484"/>
    </row>
    <row r="856" spans="1:12" ht="15" thickBot="1">
      <c r="A856" s="328"/>
      <c r="B856" s="257"/>
      <c r="C856" s="257"/>
      <c r="D856" s="329"/>
      <c r="E856" s="330"/>
      <c r="F856" s="331"/>
      <c r="G856" s="256"/>
      <c r="H856" s="256"/>
      <c r="I856" s="332"/>
      <c r="J856" s="333"/>
      <c r="K856" s="334"/>
      <c r="L856" s="484"/>
    </row>
    <row r="857" spans="1:12" ht="15" thickBot="1">
      <c r="A857" s="328"/>
      <c r="B857" s="257"/>
      <c r="C857" s="257"/>
      <c r="D857" s="329"/>
      <c r="E857" s="330"/>
      <c r="F857" s="331"/>
      <c r="G857" s="256"/>
      <c r="H857" s="256"/>
      <c r="I857" s="332"/>
      <c r="J857" s="333"/>
      <c r="K857" s="334"/>
      <c r="L857" s="484"/>
    </row>
    <row r="858" spans="1:12" ht="15" thickBot="1">
      <c r="A858" s="328"/>
      <c r="B858" s="257"/>
      <c r="C858" s="257"/>
      <c r="D858" s="329"/>
      <c r="E858" s="330"/>
      <c r="F858" s="331"/>
      <c r="G858" s="256"/>
      <c r="H858" s="256"/>
      <c r="I858" s="332"/>
      <c r="J858" s="333"/>
      <c r="K858" s="334"/>
      <c r="L858" s="484"/>
    </row>
    <row r="859" spans="1:12" ht="15" thickBot="1">
      <c r="A859" s="328"/>
      <c r="B859" s="257"/>
      <c r="C859" s="257"/>
      <c r="D859" s="329"/>
      <c r="E859" s="330"/>
      <c r="F859" s="331"/>
      <c r="G859" s="256"/>
      <c r="H859" s="256"/>
      <c r="I859" s="332"/>
      <c r="J859" s="333"/>
      <c r="K859" s="334"/>
      <c r="L859" s="484"/>
    </row>
    <row r="860" spans="1:12" ht="15" thickBot="1">
      <c r="A860" s="328"/>
      <c r="B860" s="257"/>
      <c r="C860" s="257"/>
      <c r="D860" s="329"/>
      <c r="E860" s="330"/>
      <c r="F860" s="331"/>
      <c r="G860" s="256"/>
      <c r="H860" s="256"/>
      <c r="I860" s="332"/>
      <c r="J860" s="333"/>
      <c r="K860" s="334"/>
      <c r="L860" s="484"/>
    </row>
    <row r="861" spans="1:12" ht="15" thickBot="1">
      <c r="A861" s="328"/>
      <c r="B861" s="257"/>
      <c r="C861" s="257"/>
      <c r="D861" s="329"/>
      <c r="E861" s="330"/>
      <c r="F861" s="331"/>
      <c r="G861" s="256"/>
      <c r="H861" s="256"/>
      <c r="I861" s="332"/>
      <c r="J861" s="333"/>
      <c r="K861" s="334"/>
      <c r="L861" s="484"/>
    </row>
    <row r="862" spans="1:12" ht="15" thickBot="1">
      <c r="A862" s="328"/>
      <c r="B862" s="257"/>
      <c r="C862" s="257"/>
      <c r="D862" s="329"/>
      <c r="E862" s="330"/>
      <c r="F862" s="331"/>
      <c r="G862" s="256"/>
      <c r="H862" s="256"/>
      <c r="I862" s="332"/>
      <c r="J862" s="333"/>
      <c r="K862" s="334"/>
      <c r="L862" s="484"/>
    </row>
    <row r="863" spans="1:12" ht="15" thickBot="1">
      <c r="A863" s="328"/>
      <c r="B863" s="257"/>
      <c r="C863" s="257"/>
      <c r="D863" s="329"/>
      <c r="E863" s="330"/>
      <c r="F863" s="331"/>
      <c r="G863" s="256"/>
      <c r="H863" s="256"/>
      <c r="I863" s="332"/>
      <c r="J863" s="333"/>
      <c r="K863" s="334"/>
      <c r="L863" s="484"/>
    </row>
    <row r="864" spans="1:12" ht="15" thickBot="1">
      <c r="A864" s="328"/>
      <c r="B864" s="257"/>
      <c r="C864" s="257"/>
      <c r="D864" s="329"/>
      <c r="E864" s="330"/>
      <c r="F864" s="331"/>
      <c r="G864" s="256"/>
      <c r="H864" s="256"/>
      <c r="I864" s="332"/>
      <c r="J864" s="333"/>
      <c r="K864" s="334"/>
      <c r="L864" s="484"/>
    </row>
    <row r="865" spans="1:12" ht="15" thickBot="1">
      <c r="A865" s="328"/>
      <c r="B865" s="257"/>
      <c r="C865" s="257"/>
      <c r="D865" s="329"/>
      <c r="E865" s="330"/>
      <c r="F865" s="331"/>
      <c r="G865" s="256"/>
      <c r="H865" s="256"/>
      <c r="I865" s="332"/>
      <c r="J865" s="333"/>
      <c r="K865" s="334"/>
      <c r="L865" s="484"/>
    </row>
    <row r="866" spans="1:12" ht="15" thickBot="1">
      <c r="A866" s="328"/>
      <c r="B866" s="257"/>
      <c r="C866" s="257"/>
      <c r="D866" s="329"/>
      <c r="E866" s="330"/>
      <c r="F866" s="331"/>
      <c r="G866" s="256"/>
      <c r="H866" s="256"/>
      <c r="I866" s="332"/>
      <c r="J866" s="333"/>
      <c r="K866" s="334"/>
      <c r="L866" s="484"/>
    </row>
    <row r="867" spans="1:12" ht="15" thickBot="1">
      <c r="A867" s="328"/>
      <c r="B867" s="257"/>
      <c r="C867" s="257"/>
      <c r="D867" s="329"/>
      <c r="E867" s="330"/>
      <c r="F867" s="331"/>
      <c r="G867" s="256"/>
      <c r="H867" s="256"/>
      <c r="I867" s="332"/>
      <c r="J867" s="333"/>
      <c r="K867" s="334"/>
      <c r="L867" s="484"/>
    </row>
    <row r="868" spans="1:12" ht="15" thickBot="1">
      <c r="A868" s="328"/>
      <c r="B868" s="257"/>
      <c r="C868" s="257"/>
      <c r="D868" s="329"/>
      <c r="E868" s="330"/>
      <c r="F868" s="331"/>
      <c r="G868" s="256"/>
      <c r="H868" s="256"/>
      <c r="I868" s="332"/>
      <c r="J868" s="333"/>
      <c r="K868" s="334"/>
      <c r="L868" s="484"/>
    </row>
    <row r="869" spans="1:12" ht="15" thickBot="1">
      <c r="A869" s="328"/>
      <c r="B869" s="257"/>
      <c r="C869" s="257"/>
      <c r="D869" s="329"/>
      <c r="E869" s="330"/>
      <c r="F869" s="331"/>
      <c r="G869" s="256"/>
      <c r="H869" s="256"/>
      <c r="I869" s="332"/>
      <c r="J869" s="333"/>
      <c r="K869" s="334"/>
      <c r="L869" s="484"/>
    </row>
    <row r="870" spans="1:12" ht="15" thickBot="1">
      <c r="A870" s="328"/>
      <c r="B870" s="257"/>
      <c r="C870" s="257"/>
      <c r="D870" s="329"/>
      <c r="E870" s="330"/>
      <c r="F870" s="331"/>
      <c r="G870" s="256"/>
      <c r="H870" s="256"/>
      <c r="I870" s="332"/>
      <c r="J870" s="333"/>
      <c r="K870" s="334"/>
      <c r="L870" s="484"/>
    </row>
    <row r="871" spans="1:12" ht="15" thickBot="1">
      <c r="A871" s="328"/>
      <c r="B871" s="257"/>
      <c r="C871" s="257"/>
      <c r="D871" s="329"/>
      <c r="E871" s="330"/>
      <c r="F871" s="331"/>
      <c r="G871" s="256"/>
      <c r="H871" s="256"/>
      <c r="I871" s="332"/>
      <c r="J871" s="333"/>
      <c r="K871" s="334"/>
      <c r="L871" s="484"/>
    </row>
    <row r="872" spans="1:12" ht="15" thickBot="1">
      <c r="A872" s="328"/>
      <c r="B872" s="257"/>
      <c r="C872" s="257"/>
      <c r="D872" s="329"/>
      <c r="E872" s="330"/>
      <c r="F872" s="331"/>
      <c r="G872" s="256"/>
      <c r="H872" s="256"/>
      <c r="I872" s="332"/>
      <c r="J872" s="333"/>
      <c r="K872" s="334"/>
      <c r="L872" s="484"/>
    </row>
    <row r="873" spans="1:12" ht="15" thickBot="1">
      <c r="A873" s="328"/>
      <c r="B873" s="257"/>
      <c r="C873" s="257"/>
      <c r="D873" s="329"/>
      <c r="E873" s="330"/>
      <c r="F873" s="331"/>
      <c r="G873" s="256"/>
      <c r="H873" s="256"/>
      <c r="I873" s="332"/>
      <c r="J873" s="333"/>
      <c r="K873" s="334"/>
      <c r="L873" s="484"/>
    </row>
    <row r="874" spans="1:12" ht="15" thickBot="1">
      <c r="A874" s="328"/>
      <c r="B874" s="257"/>
      <c r="C874" s="257"/>
      <c r="D874" s="329"/>
      <c r="E874" s="330"/>
      <c r="F874" s="331"/>
      <c r="G874" s="256"/>
      <c r="H874" s="256"/>
      <c r="I874" s="332"/>
      <c r="J874" s="333"/>
      <c r="K874" s="334"/>
      <c r="L874" s="484"/>
    </row>
    <row r="875" spans="1:12" ht="15" thickBot="1">
      <c r="A875" s="328"/>
      <c r="B875" s="257"/>
      <c r="C875" s="257"/>
      <c r="D875" s="329"/>
      <c r="E875" s="330"/>
      <c r="F875" s="331"/>
      <c r="G875" s="256"/>
      <c r="H875" s="256"/>
      <c r="I875" s="332"/>
      <c r="J875" s="333"/>
      <c r="K875" s="334"/>
      <c r="L875" s="484"/>
    </row>
    <row r="876" spans="1:12" ht="15" thickBot="1">
      <c r="A876" s="328"/>
      <c r="B876" s="257"/>
      <c r="C876" s="257"/>
      <c r="D876" s="329"/>
      <c r="E876" s="330"/>
      <c r="F876" s="331"/>
      <c r="G876" s="256"/>
      <c r="H876" s="256"/>
      <c r="I876" s="332"/>
      <c r="J876" s="333"/>
      <c r="K876" s="334"/>
      <c r="L876" s="484"/>
    </row>
    <row r="877" spans="1:12" ht="15" thickBot="1">
      <c r="A877" s="328"/>
      <c r="B877" s="257"/>
      <c r="C877" s="257"/>
      <c r="D877" s="329"/>
      <c r="E877" s="330"/>
      <c r="F877" s="331"/>
      <c r="G877" s="256"/>
      <c r="H877" s="256"/>
      <c r="I877" s="332"/>
      <c r="J877" s="333"/>
      <c r="K877" s="334"/>
      <c r="L877" s="484"/>
    </row>
    <row r="878" spans="1:12" ht="15" thickBot="1">
      <c r="A878" s="328"/>
      <c r="B878" s="257"/>
      <c r="C878" s="257"/>
      <c r="D878" s="329"/>
      <c r="E878" s="330"/>
      <c r="F878" s="331"/>
      <c r="G878" s="256"/>
      <c r="H878" s="256"/>
      <c r="I878" s="332"/>
      <c r="J878" s="333"/>
      <c r="K878" s="334"/>
      <c r="L878" s="484"/>
    </row>
    <row r="879" spans="1:12" ht="15" thickBot="1">
      <c r="A879" s="328"/>
      <c r="B879" s="257"/>
      <c r="C879" s="257"/>
      <c r="D879" s="329"/>
      <c r="E879" s="330"/>
      <c r="F879" s="331"/>
      <c r="G879" s="256"/>
      <c r="H879" s="256"/>
      <c r="I879" s="332"/>
      <c r="J879" s="333"/>
      <c r="K879" s="334"/>
      <c r="L879" s="484"/>
    </row>
    <row r="880" spans="1:12" ht="15" thickBot="1">
      <c r="A880" s="328"/>
      <c r="B880" s="257"/>
      <c r="C880" s="257"/>
      <c r="D880" s="329"/>
      <c r="E880" s="330"/>
      <c r="F880" s="331"/>
      <c r="G880" s="256"/>
      <c r="H880" s="256"/>
      <c r="I880" s="332"/>
      <c r="J880" s="333"/>
      <c r="K880" s="334"/>
      <c r="L880" s="484"/>
    </row>
    <row r="881" spans="1:12" ht="15" thickBot="1">
      <c r="A881" s="328"/>
      <c r="B881" s="257"/>
      <c r="C881" s="257"/>
      <c r="D881" s="329"/>
      <c r="E881" s="330"/>
      <c r="F881" s="331"/>
      <c r="G881" s="256"/>
      <c r="H881" s="256"/>
      <c r="I881" s="332"/>
      <c r="J881" s="333"/>
      <c r="K881" s="334"/>
      <c r="L881" s="484"/>
    </row>
    <row r="882" spans="1:12" ht="15" thickBot="1">
      <c r="A882" s="328"/>
      <c r="B882" s="257"/>
      <c r="C882" s="257"/>
      <c r="D882" s="329"/>
      <c r="E882" s="330"/>
      <c r="F882" s="331"/>
      <c r="G882" s="256"/>
      <c r="H882" s="256"/>
      <c r="I882" s="332"/>
      <c r="J882" s="333"/>
      <c r="K882" s="334"/>
      <c r="L882" s="484"/>
    </row>
    <row r="883" spans="1:12" ht="15" thickBot="1">
      <c r="A883" s="328"/>
      <c r="B883" s="257"/>
      <c r="C883" s="257"/>
      <c r="D883" s="329"/>
      <c r="E883" s="330"/>
      <c r="F883" s="331"/>
      <c r="G883" s="256"/>
      <c r="H883" s="256"/>
      <c r="I883" s="332"/>
      <c r="J883" s="333"/>
      <c r="K883" s="334"/>
      <c r="L883" s="484"/>
    </row>
    <row r="884" spans="1:12" ht="15" thickBot="1">
      <c r="A884" s="328"/>
      <c r="B884" s="257"/>
      <c r="C884" s="257"/>
      <c r="D884" s="329"/>
      <c r="E884" s="330"/>
      <c r="F884" s="331"/>
      <c r="G884" s="256"/>
      <c r="H884" s="256"/>
      <c r="I884" s="332"/>
      <c r="J884" s="333"/>
      <c r="K884" s="334"/>
      <c r="L884" s="484"/>
    </row>
    <row r="885" spans="1:12" ht="15" thickBot="1">
      <c r="A885" s="328"/>
      <c r="B885" s="257"/>
      <c r="C885" s="257"/>
      <c r="D885" s="329"/>
      <c r="E885" s="330"/>
      <c r="F885" s="331"/>
      <c r="G885" s="256"/>
      <c r="H885" s="256"/>
      <c r="I885" s="332"/>
      <c r="J885" s="333"/>
      <c r="K885" s="334"/>
      <c r="L885" s="484"/>
    </row>
    <row r="886" spans="1:12" ht="15" thickBot="1">
      <c r="A886" s="328"/>
      <c r="B886" s="257"/>
      <c r="C886" s="257"/>
      <c r="D886" s="329"/>
      <c r="E886" s="330"/>
      <c r="F886" s="331"/>
      <c r="G886" s="256"/>
      <c r="H886" s="256"/>
      <c r="I886" s="332"/>
      <c r="J886" s="333"/>
      <c r="K886" s="334"/>
      <c r="L886" s="484"/>
    </row>
    <row r="887" spans="1:12" ht="15" thickBot="1">
      <c r="A887" s="328"/>
      <c r="B887" s="257"/>
      <c r="C887" s="257"/>
      <c r="D887" s="329"/>
      <c r="E887" s="330"/>
      <c r="F887" s="331"/>
      <c r="G887" s="256"/>
      <c r="H887" s="256"/>
      <c r="I887" s="332"/>
      <c r="J887" s="333"/>
      <c r="K887" s="334"/>
      <c r="L887" s="484"/>
    </row>
    <row r="888" spans="1:12" ht="15" thickBot="1">
      <c r="A888" s="328"/>
      <c r="B888" s="257"/>
      <c r="C888" s="257"/>
      <c r="D888" s="329"/>
      <c r="E888" s="330"/>
      <c r="F888" s="331"/>
      <c r="G888" s="256"/>
      <c r="H888" s="256"/>
      <c r="I888" s="332"/>
      <c r="J888" s="333"/>
      <c r="K888" s="334"/>
      <c r="L888" s="484"/>
    </row>
    <row r="889" spans="1:12" ht="15" thickBot="1">
      <c r="A889" s="328"/>
      <c r="B889" s="257"/>
      <c r="C889" s="257"/>
      <c r="D889" s="329"/>
      <c r="E889" s="330"/>
      <c r="F889" s="331"/>
      <c r="G889" s="256"/>
      <c r="H889" s="256"/>
      <c r="I889" s="332"/>
      <c r="J889" s="333"/>
      <c r="K889" s="334"/>
      <c r="L889" s="484"/>
    </row>
    <row r="890" spans="1:12" ht="15" thickBot="1">
      <c r="A890" s="328"/>
      <c r="B890" s="257"/>
      <c r="C890" s="257"/>
      <c r="D890" s="329"/>
      <c r="E890" s="330"/>
      <c r="F890" s="331"/>
      <c r="G890" s="256"/>
      <c r="H890" s="256"/>
      <c r="I890" s="332"/>
      <c r="J890" s="333"/>
      <c r="K890" s="334"/>
      <c r="L890" s="484"/>
    </row>
    <row r="891" spans="1:12" ht="15" thickBot="1">
      <c r="A891" s="328"/>
      <c r="B891" s="257"/>
      <c r="C891" s="257"/>
      <c r="D891" s="329"/>
      <c r="E891" s="330"/>
      <c r="F891" s="331"/>
      <c r="G891" s="256"/>
      <c r="H891" s="256"/>
      <c r="I891" s="332"/>
      <c r="J891" s="333"/>
      <c r="K891" s="334"/>
      <c r="L891" s="484"/>
    </row>
    <row r="892" spans="1:12" ht="15" thickBot="1">
      <c r="A892" s="328"/>
      <c r="B892" s="257"/>
      <c r="C892" s="257"/>
      <c r="D892" s="329"/>
      <c r="E892" s="330"/>
      <c r="F892" s="331"/>
      <c r="G892" s="256"/>
      <c r="H892" s="256"/>
      <c r="I892" s="332"/>
      <c r="J892" s="333"/>
      <c r="K892" s="334"/>
      <c r="L892" s="484"/>
    </row>
    <row r="893" spans="1:12" ht="15" thickBot="1">
      <c r="A893" s="328"/>
      <c r="B893" s="257"/>
      <c r="C893" s="257"/>
      <c r="D893" s="329"/>
      <c r="E893" s="330"/>
      <c r="F893" s="331"/>
      <c r="G893" s="256"/>
      <c r="H893" s="256"/>
      <c r="I893" s="332"/>
      <c r="J893" s="333"/>
      <c r="K893" s="334"/>
      <c r="L893" s="484"/>
    </row>
    <row r="894" spans="1:12" ht="15" thickBot="1">
      <c r="A894" s="328"/>
      <c r="B894" s="257"/>
      <c r="C894" s="257"/>
      <c r="D894" s="329"/>
      <c r="E894" s="330"/>
      <c r="F894" s="331"/>
      <c r="G894" s="256"/>
      <c r="H894" s="256"/>
      <c r="I894" s="332"/>
      <c r="J894" s="333"/>
      <c r="K894" s="334"/>
      <c r="L894" s="484"/>
    </row>
    <row r="895" spans="1:12" ht="15" thickBot="1">
      <c r="A895" s="328"/>
      <c r="B895" s="257"/>
      <c r="C895" s="257"/>
      <c r="D895" s="329"/>
      <c r="E895" s="330"/>
      <c r="F895" s="331"/>
      <c r="G895" s="256"/>
      <c r="H895" s="256"/>
      <c r="I895" s="332"/>
      <c r="J895" s="333"/>
      <c r="K895" s="334"/>
      <c r="L895" s="484"/>
    </row>
    <row r="896" spans="1:12" ht="15" thickBot="1">
      <c r="A896" s="328"/>
      <c r="B896" s="257"/>
      <c r="C896" s="257"/>
      <c r="D896" s="329"/>
      <c r="E896" s="330"/>
      <c r="F896" s="331"/>
      <c r="G896" s="256"/>
      <c r="H896" s="256"/>
      <c r="I896" s="332"/>
      <c r="J896" s="333"/>
      <c r="K896" s="334"/>
      <c r="L896" s="484"/>
    </row>
    <row r="897" spans="1:12" ht="15" thickBot="1">
      <c r="A897" s="328"/>
      <c r="B897" s="257"/>
      <c r="C897" s="257"/>
      <c r="D897" s="329"/>
      <c r="E897" s="330"/>
      <c r="F897" s="331"/>
      <c r="G897" s="256"/>
      <c r="H897" s="256"/>
      <c r="I897" s="332"/>
      <c r="J897" s="333"/>
      <c r="K897" s="334"/>
      <c r="L897" s="484"/>
    </row>
    <row r="898" spans="1:12" ht="15" thickBot="1">
      <c r="A898" s="328"/>
      <c r="B898" s="257"/>
      <c r="C898" s="257"/>
      <c r="D898" s="329"/>
      <c r="E898" s="330"/>
      <c r="F898" s="331"/>
      <c r="G898" s="256"/>
      <c r="H898" s="256"/>
      <c r="I898" s="332"/>
      <c r="J898" s="333"/>
      <c r="K898" s="334"/>
      <c r="L898" s="484"/>
    </row>
    <row r="899" spans="1:12" ht="15" thickBot="1">
      <c r="A899" s="328"/>
      <c r="B899" s="257"/>
      <c r="C899" s="257"/>
      <c r="D899" s="329"/>
      <c r="E899" s="330"/>
      <c r="F899" s="331"/>
      <c r="G899" s="256"/>
      <c r="H899" s="256"/>
      <c r="I899" s="332"/>
      <c r="J899" s="333"/>
      <c r="K899" s="334"/>
      <c r="L899" s="484"/>
    </row>
    <row r="900" spans="1:12" ht="15" thickBot="1">
      <c r="A900" s="328"/>
      <c r="B900" s="257"/>
      <c r="C900" s="257"/>
      <c r="D900" s="329"/>
      <c r="E900" s="330"/>
      <c r="F900" s="331"/>
      <c r="G900" s="256"/>
      <c r="H900" s="256"/>
      <c r="I900" s="332"/>
      <c r="J900" s="333"/>
      <c r="K900" s="334"/>
      <c r="L900" s="484"/>
    </row>
    <row r="901" spans="1:12" ht="15" thickBot="1">
      <c r="A901" s="328"/>
      <c r="B901" s="257"/>
      <c r="C901" s="257"/>
      <c r="D901" s="329"/>
      <c r="E901" s="330"/>
      <c r="F901" s="331"/>
      <c r="G901" s="256"/>
      <c r="H901" s="256"/>
      <c r="I901" s="332"/>
      <c r="J901" s="333"/>
      <c r="K901" s="334"/>
      <c r="L901" s="484"/>
    </row>
    <row r="902" spans="1:12" ht="15" thickBot="1">
      <c r="A902" s="328"/>
      <c r="B902" s="257"/>
      <c r="C902" s="257"/>
      <c r="D902" s="329"/>
      <c r="E902" s="330"/>
      <c r="F902" s="331"/>
      <c r="G902" s="256"/>
      <c r="H902" s="256"/>
      <c r="I902" s="332"/>
      <c r="J902" s="333"/>
      <c r="K902" s="334"/>
      <c r="L902" s="484"/>
    </row>
    <row r="903" spans="1:12" ht="15" thickBot="1">
      <c r="A903" s="328"/>
      <c r="B903" s="257"/>
      <c r="C903" s="257"/>
      <c r="D903" s="329"/>
      <c r="E903" s="330"/>
      <c r="F903" s="331"/>
      <c r="G903" s="256"/>
      <c r="H903" s="256"/>
      <c r="I903" s="332"/>
      <c r="J903" s="333"/>
      <c r="K903" s="334"/>
      <c r="L903" s="484"/>
    </row>
    <row r="904" spans="1:12" ht="15" thickBot="1">
      <c r="A904" s="328"/>
      <c r="B904" s="257"/>
      <c r="C904" s="257"/>
      <c r="D904" s="329"/>
      <c r="E904" s="330"/>
      <c r="F904" s="331"/>
      <c r="G904" s="256"/>
      <c r="H904" s="256"/>
      <c r="I904" s="332"/>
      <c r="J904" s="333"/>
      <c r="K904" s="334"/>
      <c r="L904" s="484"/>
    </row>
    <row r="905" spans="1:12" ht="15" thickBot="1">
      <c r="A905" s="328"/>
      <c r="B905" s="257"/>
      <c r="C905" s="257"/>
      <c r="D905" s="329"/>
      <c r="E905" s="330"/>
      <c r="F905" s="331"/>
      <c r="G905" s="256"/>
      <c r="H905" s="256"/>
      <c r="I905" s="332"/>
      <c r="J905" s="333"/>
      <c r="K905" s="334"/>
      <c r="L905" s="484"/>
    </row>
    <row r="906" spans="1:12" ht="15" thickBot="1">
      <c r="A906" s="328"/>
      <c r="B906" s="257"/>
      <c r="C906" s="257"/>
      <c r="D906" s="329"/>
      <c r="E906" s="330"/>
      <c r="F906" s="331"/>
      <c r="G906" s="256"/>
      <c r="H906" s="256"/>
      <c r="I906" s="332"/>
      <c r="J906" s="333"/>
      <c r="K906" s="334"/>
      <c r="L906" s="484"/>
    </row>
    <row r="907" spans="1:12" ht="15" thickBot="1">
      <c r="A907" s="328"/>
      <c r="B907" s="257"/>
      <c r="C907" s="257"/>
      <c r="D907" s="329"/>
      <c r="E907" s="330"/>
      <c r="F907" s="331"/>
      <c r="G907" s="256"/>
      <c r="H907" s="256"/>
      <c r="I907" s="332"/>
      <c r="J907" s="333"/>
      <c r="K907" s="334"/>
      <c r="L907" s="484"/>
    </row>
    <row r="908" spans="1:12" ht="15" thickBot="1">
      <c r="A908" s="328"/>
      <c r="B908" s="257"/>
      <c r="C908" s="257"/>
      <c r="D908" s="329"/>
      <c r="E908" s="330"/>
      <c r="F908" s="331"/>
      <c r="G908" s="256"/>
      <c r="H908" s="256"/>
      <c r="I908" s="332"/>
      <c r="J908" s="333"/>
      <c r="K908" s="334"/>
      <c r="L908" s="484"/>
    </row>
    <row r="909" spans="1:12" ht="15" thickBot="1">
      <c r="A909" s="328"/>
      <c r="B909" s="257"/>
      <c r="C909" s="257"/>
      <c r="D909" s="329"/>
      <c r="E909" s="330"/>
      <c r="F909" s="331"/>
      <c r="G909" s="256"/>
      <c r="H909" s="256"/>
      <c r="I909" s="332"/>
      <c r="J909" s="333"/>
      <c r="K909" s="334"/>
      <c r="L909" s="484"/>
    </row>
    <row r="910" spans="1:12" ht="15" thickBot="1">
      <c r="A910" s="328"/>
      <c r="B910" s="257"/>
      <c r="C910" s="257"/>
      <c r="D910" s="329"/>
      <c r="E910" s="330"/>
      <c r="F910" s="331"/>
      <c r="G910" s="256"/>
      <c r="H910" s="256"/>
      <c r="I910" s="332"/>
      <c r="J910" s="333"/>
      <c r="K910" s="334"/>
      <c r="L910" s="484"/>
    </row>
    <row r="911" spans="1:12" ht="15" thickBot="1">
      <c r="A911" s="328"/>
      <c r="B911" s="257"/>
      <c r="C911" s="257"/>
      <c r="D911" s="329"/>
      <c r="E911" s="330"/>
      <c r="F911" s="331"/>
      <c r="G911" s="256"/>
      <c r="H911" s="256"/>
      <c r="I911" s="332"/>
      <c r="J911" s="333"/>
      <c r="K911" s="334"/>
      <c r="L911" s="484"/>
    </row>
    <row r="912" spans="1:12" ht="15" thickBot="1">
      <c r="A912" s="328"/>
      <c r="B912" s="257"/>
      <c r="C912" s="257"/>
      <c r="D912" s="329"/>
      <c r="E912" s="330"/>
      <c r="F912" s="331"/>
      <c r="G912" s="256"/>
      <c r="H912" s="256"/>
      <c r="I912" s="332"/>
      <c r="J912" s="333"/>
      <c r="K912" s="334"/>
      <c r="L912" s="484"/>
    </row>
    <row r="913" spans="1:12" ht="15" thickBot="1">
      <c r="A913" s="328"/>
      <c r="B913" s="257"/>
      <c r="C913" s="257"/>
      <c r="D913" s="329"/>
      <c r="E913" s="330"/>
      <c r="F913" s="331"/>
      <c r="G913" s="256"/>
      <c r="H913" s="256"/>
      <c r="I913" s="332"/>
      <c r="J913" s="333"/>
      <c r="K913" s="334"/>
      <c r="L913" s="484"/>
    </row>
    <row r="914" spans="1:12" ht="15" thickBot="1">
      <c r="A914" s="328"/>
      <c r="B914" s="257"/>
      <c r="C914" s="257"/>
      <c r="D914" s="329"/>
      <c r="E914" s="330"/>
      <c r="F914" s="331"/>
      <c r="G914" s="256"/>
      <c r="H914" s="256"/>
      <c r="I914" s="332"/>
      <c r="J914" s="333"/>
      <c r="K914" s="334"/>
      <c r="L914" s="484"/>
    </row>
    <row r="915" spans="1:12" ht="15" thickBot="1">
      <c r="A915" s="328"/>
      <c r="B915" s="257"/>
      <c r="C915" s="257"/>
      <c r="D915" s="329"/>
      <c r="E915" s="330"/>
      <c r="F915" s="331"/>
      <c r="G915" s="256"/>
      <c r="H915" s="256"/>
      <c r="I915" s="332"/>
      <c r="J915" s="333"/>
      <c r="K915" s="334"/>
      <c r="L915" s="484"/>
    </row>
    <row r="916" spans="1:12" ht="15" thickBot="1">
      <c r="A916" s="328"/>
      <c r="B916" s="257"/>
      <c r="C916" s="257"/>
      <c r="D916" s="329"/>
      <c r="E916" s="330"/>
      <c r="F916" s="331"/>
      <c r="G916" s="256"/>
      <c r="H916" s="256"/>
      <c r="I916" s="332"/>
      <c r="J916" s="333"/>
      <c r="K916" s="334"/>
      <c r="L916" s="484"/>
    </row>
    <row r="917" spans="1:12" ht="15" thickBot="1">
      <c r="A917" s="328"/>
      <c r="B917" s="257"/>
      <c r="C917" s="257"/>
      <c r="D917" s="329"/>
      <c r="E917" s="330"/>
      <c r="F917" s="331"/>
      <c r="G917" s="256"/>
      <c r="H917" s="256"/>
      <c r="I917" s="332"/>
      <c r="J917" s="333"/>
      <c r="K917" s="334"/>
      <c r="L917" s="484"/>
    </row>
    <row r="918" spans="1:12" ht="15" thickBot="1">
      <c r="A918" s="328"/>
      <c r="B918" s="257"/>
      <c r="C918" s="257"/>
      <c r="D918" s="329"/>
      <c r="E918" s="330"/>
      <c r="F918" s="331"/>
      <c r="G918" s="256"/>
      <c r="H918" s="256"/>
      <c r="I918" s="332"/>
      <c r="J918" s="333"/>
      <c r="K918" s="334"/>
      <c r="L918" s="484"/>
    </row>
    <row r="919" spans="1:12" ht="15" thickBot="1">
      <c r="A919" s="328"/>
      <c r="B919" s="257"/>
      <c r="C919" s="257"/>
      <c r="D919" s="329"/>
      <c r="E919" s="330"/>
      <c r="F919" s="331"/>
      <c r="G919" s="256"/>
      <c r="H919" s="256"/>
      <c r="I919" s="332"/>
      <c r="J919" s="333"/>
      <c r="K919" s="334"/>
      <c r="L919" s="484"/>
    </row>
    <row r="920" spans="1:12" ht="15" thickBot="1">
      <c r="A920" s="328"/>
      <c r="B920" s="257"/>
      <c r="C920" s="257"/>
      <c r="D920" s="329"/>
      <c r="E920" s="330"/>
      <c r="F920" s="331"/>
      <c r="G920" s="256"/>
      <c r="H920" s="256"/>
      <c r="I920" s="332"/>
      <c r="J920" s="333"/>
      <c r="K920" s="334"/>
      <c r="L920" s="484"/>
    </row>
    <row r="921" spans="1:12" ht="15" thickBot="1">
      <c r="A921" s="328"/>
      <c r="B921" s="257"/>
      <c r="C921" s="257"/>
      <c r="D921" s="329"/>
      <c r="E921" s="330"/>
      <c r="F921" s="331"/>
      <c r="G921" s="256"/>
      <c r="H921" s="256"/>
      <c r="I921" s="332"/>
      <c r="J921" s="333"/>
      <c r="K921" s="334"/>
      <c r="L921" s="484"/>
    </row>
    <row r="922" spans="1:12" ht="15" thickBot="1">
      <c r="A922" s="328"/>
      <c r="B922" s="257"/>
      <c r="C922" s="257"/>
      <c r="D922" s="329"/>
      <c r="E922" s="330"/>
      <c r="F922" s="331"/>
      <c r="G922" s="256"/>
      <c r="H922" s="256"/>
      <c r="I922" s="332"/>
      <c r="J922" s="333"/>
      <c r="K922" s="334"/>
      <c r="L922" s="484"/>
    </row>
    <row r="923" spans="1:12" ht="15" thickBot="1">
      <c r="A923" s="328"/>
      <c r="B923" s="257"/>
      <c r="C923" s="257"/>
      <c r="D923" s="329"/>
      <c r="E923" s="330"/>
      <c r="F923" s="331"/>
      <c r="G923" s="256"/>
      <c r="H923" s="256"/>
      <c r="I923" s="332"/>
      <c r="J923" s="333"/>
      <c r="K923" s="334"/>
      <c r="L923" s="484"/>
    </row>
    <row r="924" spans="1:12" ht="15" thickBot="1">
      <c r="A924" s="328"/>
      <c r="B924" s="257"/>
      <c r="C924" s="257"/>
      <c r="D924" s="329"/>
      <c r="E924" s="330"/>
      <c r="F924" s="331"/>
      <c r="G924" s="256"/>
      <c r="H924" s="256"/>
      <c r="I924" s="332"/>
      <c r="J924" s="333"/>
      <c r="K924" s="334"/>
      <c r="L924" s="484"/>
    </row>
    <row r="925" spans="1:12" ht="15" thickBot="1">
      <c r="A925" s="328"/>
      <c r="B925" s="257"/>
      <c r="C925" s="257"/>
      <c r="D925" s="329"/>
      <c r="E925" s="330"/>
      <c r="F925" s="331"/>
      <c r="G925" s="256"/>
      <c r="H925" s="256"/>
      <c r="I925" s="332"/>
      <c r="J925" s="333"/>
      <c r="K925" s="334"/>
      <c r="L925" s="484"/>
    </row>
    <row r="926" spans="1:12" ht="15" thickBot="1">
      <c r="A926" s="328"/>
      <c r="B926" s="257"/>
      <c r="C926" s="257"/>
      <c r="D926" s="329"/>
      <c r="E926" s="330"/>
      <c r="F926" s="331"/>
      <c r="G926" s="256"/>
      <c r="H926" s="256"/>
      <c r="I926" s="332"/>
      <c r="J926" s="333"/>
      <c r="K926" s="334"/>
      <c r="L926" s="484"/>
    </row>
    <row r="927" spans="1:12" ht="15" thickBot="1">
      <c r="A927" s="328"/>
      <c r="B927" s="257"/>
      <c r="C927" s="257"/>
      <c r="D927" s="329"/>
      <c r="E927" s="330"/>
      <c r="F927" s="331"/>
      <c r="G927" s="256"/>
      <c r="H927" s="256"/>
      <c r="I927" s="332"/>
      <c r="J927" s="333"/>
      <c r="K927" s="334"/>
      <c r="L927" s="484"/>
    </row>
    <row r="928" spans="1:12" ht="15" thickBot="1">
      <c r="A928" s="328"/>
      <c r="B928" s="257"/>
      <c r="C928" s="257"/>
      <c r="D928" s="329"/>
      <c r="E928" s="330"/>
      <c r="F928" s="331"/>
      <c r="G928" s="256"/>
      <c r="H928" s="256"/>
      <c r="I928" s="332"/>
      <c r="J928" s="333"/>
      <c r="K928" s="334"/>
      <c r="L928" s="484"/>
    </row>
    <row r="929" spans="1:12" ht="15" thickBot="1">
      <c r="A929" s="328"/>
      <c r="B929" s="257"/>
      <c r="C929" s="257"/>
      <c r="D929" s="329"/>
      <c r="E929" s="330"/>
      <c r="F929" s="331"/>
      <c r="G929" s="256"/>
      <c r="H929" s="256"/>
      <c r="I929" s="332"/>
      <c r="J929" s="333"/>
      <c r="K929" s="334"/>
      <c r="L929" s="484"/>
    </row>
    <row r="930" spans="1:12" ht="15" thickBot="1">
      <c r="A930" s="328"/>
      <c r="B930" s="257"/>
      <c r="C930" s="257"/>
      <c r="D930" s="329"/>
      <c r="E930" s="330"/>
      <c r="F930" s="331"/>
      <c r="G930" s="256"/>
      <c r="H930" s="256"/>
      <c r="I930" s="332"/>
      <c r="J930" s="333"/>
      <c r="K930" s="334"/>
      <c r="L930" s="484"/>
    </row>
    <row r="931" spans="1:12" ht="15" thickBot="1">
      <c r="A931" s="328"/>
      <c r="B931" s="257"/>
      <c r="C931" s="257"/>
      <c r="D931" s="329"/>
      <c r="E931" s="330"/>
      <c r="F931" s="331"/>
      <c r="G931" s="256"/>
      <c r="H931" s="256"/>
      <c r="I931" s="332"/>
      <c r="J931" s="333"/>
      <c r="K931" s="334"/>
      <c r="L931" s="484"/>
    </row>
    <row r="932" spans="1:12" ht="15" thickBot="1">
      <c r="A932" s="328"/>
      <c r="B932" s="257"/>
      <c r="C932" s="257"/>
      <c r="D932" s="329"/>
      <c r="E932" s="330"/>
      <c r="F932" s="331"/>
      <c r="G932" s="256"/>
      <c r="H932" s="256"/>
      <c r="I932" s="332"/>
      <c r="J932" s="333"/>
      <c r="K932" s="334"/>
      <c r="L932" s="484"/>
    </row>
    <row r="933" spans="1:12" ht="15" thickBot="1">
      <c r="A933" s="328"/>
      <c r="B933" s="257"/>
      <c r="C933" s="257"/>
      <c r="D933" s="329"/>
      <c r="E933" s="330"/>
      <c r="F933" s="331"/>
      <c r="G933" s="256"/>
      <c r="H933" s="256"/>
      <c r="I933" s="332"/>
      <c r="J933" s="333"/>
      <c r="K933" s="334"/>
      <c r="L933" s="484"/>
    </row>
    <row r="934" spans="1:12" ht="15" thickBot="1">
      <c r="A934" s="328"/>
      <c r="B934" s="257"/>
      <c r="C934" s="257"/>
      <c r="D934" s="329"/>
      <c r="E934" s="330"/>
      <c r="F934" s="331"/>
      <c r="G934" s="256"/>
      <c r="H934" s="256"/>
      <c r="I934" s="332"/>
      <c r="J934" s="333"/>
      <c r="K934" s="334"/>
      <c r="L934" s="484"/>
    </row>
    <row r="935" spans="1:12" ht="15" thickBot="1">
      <c r="A935" s="328"/>
      <c r="B935" s="257"/>
      <c r="C935" s="257"/>
      <c r="D935" s="329"/>
      <c r="E935" s="330"/>
      <c r="F935" s="331"/>
      <c r="G935" s="256"/>
      <c r="H935" s="256"/>
      <c r="I935" s="332"/>
      <c r="J935" s="333"/>
      <c r="K935" s="334"/>
      <c r="L935" s="484"/>
    </row>
    <row r="936" spans="1:12" ht="15" thickBot="1">
      <c r="A936" s="328"/>
      <c r="B936" s="257"/>
      <c r="C936" s="257"/>
      <c r="D936" s="329"/>
      <c r="E936" s="330"/>
      <c r="F936" s="331"/>
      <c r="G936" s="256"/>
      <c r="H936" s="256"/>
      <c r="I936" s="332"/>
      <c r="J936" s="333"/>
      <c r="K936" s="334"/>
      <c r="L936" s="484"/>
    </row>
    <row r="937" spans="1:12" ht="15" thickBot="1">
      <c r="A937" s="328"/>
      <c r="B937" s="257"/>
      <c r="C937" s="257"/>
      <c r="D937" s="329"/>
      <c r="E937" s="330"/>
      <c r="F937" s="331"/>
      <c r="G937" s="256"/>
      <c r="H937" s="256"/>
      <c r="I937" s="332"/>
      <c r="J937" s="333"/>
      <c r="K937" s="334"/>
      <c r="L937" s="484"/>
    </row>
    <row r="938" spans="1:12" ht="15" thickBot="1">
      <c r="A938" s="328"/>
      <c r="B938" s="257"/>
      <c r="C938" s="257"/>
      <c r="D938" s="329"/>
      <c r="E938" s="330"/>
      <c r="F938" s="331"/>
      <c r="G938" s="256"/>
      <c r="H938" s="256"/>
      <c r="I938" s="332"/>
      <c r="J938" s="333"/>
      <c r="K938" s="334"/>
      <c r="L938" s="484"/>
    </row>
    <row r="939" spans="1:12" ht="15" thickBot="1">
      <c r="A939" s="328"/>
      <c r="B939" s="257"/>
      <c r="C939" s="257"/>
      <c r="D939" s="329"/>
      <c r="E939" s="330"/>
      <c r="F939" s="331"/>
      <c r="G939" s="256"/>
      <c r="H939" s="256"/>
      <c r="I939" s="332"/>
      <c r="J939" s="333"/>
      <c r="K939" s="334"/>
      <c r="L939" s="484"/>
    </row>
    <row r="940" spans="1:12" ht="15" thickBot="1">
      <c r="A940" s="328"/>
      <c r="B940" s="257"/>
      <c r="C940" s="257"/>
      <c r="D940" s="329"/>
      <c r="E940" s="330"/>
      <c r="F940" s="331"/>
      <c r="G940" s="256"/>
      <c r="H940" s="256"/>
      <c r="I940" s="332"/>
      <c r="J940" s="333"/>
      <c r="K940" s="334"/>
      <c r="L940" s="484"/>
    </row>
    <row r="941" spans="1:12" ht="15" thickBot="1">
      <c r="A941" s="328"/>
      <c r="B941" s="257"/>
      <c r="C941" s="257"/>
      <c r="D941" s="329"/>
      <c r="E941" s="330"/>
      <c r="F941" s="331"/>
      <c r="G941" s="256"/>
      <c r="H941" s="256"/>
      <c r="I941" s="332"/>
      <c r="J941" s="333"/>
      <c r="K941" s="334"/>
      <c r="L941" s="484"/>
    </row>
    <row r="942" spans="1:12" ht="15" thickBot="1">
      <c r="A942" s="328"/>
      <c r="B942" s="257"/>
      <c r="C942" s="257"/>
      <c r="D942" s="329"/>
      <c r="E942" s="330"/>
      <c r="F942" s="331"/>
      <c r="G942" s="256"/>
      <c r="H942" s="256"/>
      <c r="I942" s="332"/>
      <c r="J942" s="333"/>
      <c r="K942" s="334"/>
      <c r="L942" s="484"/>
    </row>
    <row r="943" spans="1:12" ht="15" thickBot="1">
      <c r="A943" s="328"/>
      <c r="B943" s="257"/>
      <c r="C943" s="257"/>
      <c r="D943" s="329"/>
      <c r="E943" s="330"/>
      <c r="F943" s="331"/>
      <c r="G943" s="256"/>
      <c r="H943" s="256"/>
      <c r="I943" s="332"/>
      <c r="J943" s="333"/>
      <c r="K943" s="334"/>
      <c r="L943" s="484"/>
    </row>
    <row r="944" spans="1:12" ht="15" thickBot="1">
      <c r="A944" s="328"/>
      <c r="B944" s="257"/>
      <c r="C944" s="257"/>
      <c r="D944" s="329"/>
      <c r="E944" s="330"/>
      <c r="F944" s="331"/>
      <c r="G944" s="256"/>
      <c r="H944" s="256"/>
      <c r="I944" s="332"/>
      <c r="J944" s="333"/>
      <c r="K944" s="334"/>
      <c r="L944" s="484"/>
    </row>
    <row r="945" spans="1:12" ht="15" thickBot="1">
      <c r="A945" s="328"/>
      <c r="B945" s="257"/>
      <c r="C945" s="257"/>
      <c r="D945" s="329"/>
      <c r="E945" s="330"/>
      <c r="F945" s="331"/>
      <c r="G945" s="256"/>
      <c r="H945" s="256"/>
      <c r="I945" s="332"/>
      <c r="J945" s="333"/>
      <c r="K945" s="334"/>
      <c r="L945" s="484"/>
    </row>
    <row r="946" spans="1:12" ht="15" thickBot="1">
      <c r="A946" s="328"/>
      <c r="B946" s="257"/>
      <c r="C946" s="257"/>
      <c r="D946" s="329"/>
      <c r="E946" s="330"/>
      <c r="F946" s="331"/>
      <c r="G946" s="256"/>
      <c r="H946" s="256"/>
      <c r="I946" s="332"/>
      <c r="J946" s="333"/>
      <c r="K946" s="334"/>
      <c r="L946" s="484"/>
    </row>
    <row r="947" spans="1:12" ht="15" thickBot="1">
      <c r="A947" s="328"/>
      <c r="B947" s="257"/>
      <c r="C947" s="257"/>
      <c r="D947" s="329"/>
      <c r="E947" s="330"/>
      <c r="F947" s="331"/>
      <c r="G947" s="256"/>
      <c r="H947" s="256"/>
      <c r="I947" s="332"/>
      <c r="J947" s="333"/>
      <c r="K947" s="334"/>
      <c r="L947" s="484"/>
    </row>
    <row r="948" spans="1:12" ht="15" thickBot="1">
      <c r="A948" s="328"/>
      <c r="B948" s="257"/>
      <c r="C948" s="257"/>
      <c r="D948" s="329"/>
      <c r="E948" s="330"/>
      <c r="F948" s="331"/>
      <c r="G948" s="256"/>
      <c r="H948" s="256"/>
      <c r="I948" s="332"/>
      <c r="J948" s="333"/>
      <c r="K948" s="334"/>
      <c r="L948" s="484"/>
    </row>
    <row r="949" spans="1:12" ht="15" thickBot="1">
      <c r="A949" s="328"/>
      <c r="B949" s="257"/>
      <c r="C949" s="257"/>
      <c r="D949" s="329"/>
      <c r="E949" s="330"/>
      <c r="F949" s="331"/>
      <c r="G949" s="256"/>
      <c r="H949" s="256"/>
      <c r="I949" s="332"/>
      <c r="J949" s="333"/>
      <c r="K949" s="334"/>
      <c r="L949" s="484"/>
    </row>
    <row r="950" spans="1:12" ht="15" thickBot="1">
      <c r="A950" s="328"/>
      <c r="B950" s="257"/>
      <c r="C950" s="257"/>
      <c r="D950" s="329"/>
      <c r="E950" s="330"/>
      <c r="F950" s="331"/>
      <c r="G950" s="256"/>
      <c r="H950" s="256"/>
      <c r="I950" s="332"/>
      <c r="J950" s="333"/>
      <c r="K950" s="334"/>
      <c r="L950" s="484"/>
    </row>
    <row r="951" spans="1:12" ht="15" thickBot="1">
      <c r="A951" s="328"/>
      <c r="B951" s="257"/>
      <c r="C951" s="257"/>
      <c r="D951" s="329"/>
      <c r="E951" s="330"/>
      <c r="F951" s="331"/>
      <c r="G951" s="256"/>
      <c r="H951" s="256"/>
      <c r="I951" s="332"/>
      <c r="J951" s="333"/>
      <c r="K951" s="334"/>
      <c r="L951" s="484"/>
    </row>
    <row r="952" spans="1:12" ht="15" thickBot="1">
      <c r="A952" s="328"/>
      <c r="B952" s="257"/>
      <c r="C952" s="257"/>
      <c r="D952" s="329"/>
      <c r="E952" s="330"/>
      <c r="F952" s="331"/>
      <c r="G952" s="256"/>
      <c r="H952" s="256"/>
      <c r="I952" s="332"/>
      <c r="J952" s="333"/>
      <c r="K952" s="334"/>
      <c r="L952" s="484"/>
    </row>
    <row r="953" spans="1:12" ht="15" thickBot="1">
      <c r="A953" s="328"/>
      <c r="B953" s="257"/>
      <c r="C953" s="257"/>
      <c r="D953" s="329"/>
      <c r="E953" s="330"/>
      <c r="F953" s="331"/>
      <c r="G953" s="256"/>
      <c r="H953" s="256"/>
      <c r="I953" s="332"/>
      <c r="J953" s="333"/>
      <c r="K953" s="334"/>
      <c r="L953" s="484"/>
    </row>
    <row r="954" spans="1:12" ht="15" thickBot="1">
      <c r="A954" s="328"/>
      <c r="B954" s="257"/>
      <c r="C954" s="257"/>
      <c r="D954" s="329"/>
      <c r="E954" s="330"/>
      <c r="F954" s="331"/>
      <c r="G954" s="256"/>
      <c r="H954" s="256"/>
      <c r="I954" s="332"/>
      <c r="J954" s="333"/>
      <c r="K954" s="334"/>
      <c r="L954" s="484"/>
    </row>
    <row r="955" spans="1:12" ht="15" thickBot="1">
      <c r="A955" s="328"/>
      <c r="B955" s="257"/>
      <c r="C955" s="257"/>
      <c r="D955" s="329"/>
      <c r="E955" s="330"/>
      <c r="F955" s="331"/>
      <c r="G955" s="256"/>
      <c r="H955" s="256"/>
      <c r="I955" s="332"/>
      <c r="J955" s="333"/>
      <c r="K955" s="334"/>
      <c r="L955" s="484"/>
    </row>
    <row r="956" spans="1:12" ht="15" thickBot="1">
      <c r="A956" s="328"/>
      <c r="B956" s="257"/>
      <c r="C956" s="257"/>
      <c r="D956" s="329"/>
      <c r="E956" s="330"/>
      <c r="F956" s="331"/>
      <c r="G956" s="256"/>
      <c r="H956" s="256"/>
      <c r="I956" s="332"/>
      <c r="J956" s="333"/>
      <c r="K956" s="334"/>
      <c r="L956" s="484"/>
    </row>
    <row r="957" spans="1:12" ht="15" thickBot="1">
      <c r="A957" s="328"/>
      <c r="B957" s="257"/>
      <c r="C957" s="257"/>
      <c r="D957" s="329"/>
      <c r="E957" s="330"/>
      <c r="F957" s="331"/>
      <c r="G957" s="256"/>
      <c r="H957" s="256"/>
      <c r="I957" s="332"/>
      <c r="J957" s="333"/>
      <c r="K957" s="334"/>
      <c r="L957" s="484"/>
    </row>
    <row r="958" spans="1:12" ht="15" thickBot="1">
      <c r="A958" s="328"/>
      <c r="B958" s="257"/>
      <c r="C958" s="257"/>
      <c r="D958" s="329"/>
      <c r="E958" s="330"/>
      <c r="F958" s="331"/>
      <c r="G958" s="256"/>
      <c r="H958" s="256"/>
      <c r="I958" s="332"/>
      <c r="J958" s="333"/>
      <c r="K958" s="334"/>
      <c r="L958" s="484"/>
    </row>
    <row r="959" spans="1:12" ht="15" thickBot="1">
      <c r="A959" s="328"/>
      <c r="B959" s="257"/>
      <c r="C959" s="257"/>
      <c r="D959" s="329"/>
      <c r="E959" s="330"/>
      <c r="F959" s="331"/>
      <c r="G959" s="256"/>
      <c r="H959" s="256"/>
      <c r="I959" s="332"/>
      <c r="J959" s="333"/>
      <c r="K959" s="334"/>
      <c r="L959" s="484"/>
    </row>
    <row r="960" spans="1:12" ht="15" thickBot="1">
      <c r="A960" s="328"/>
      <c r="B960" s="257"/>
      <c r="C960" s="257"/>
      <c r="D960" s="329"/>
      <c r="E960" s="330"/>
      <c r="F960" s="331"/>
      <c r="G960" s="256"/>
      <c r="H960" s="256"/>
      <c r="I960" s="332"/>
      <c r="J960" s="333"/>
      <c r="K960" s="334"/>
      <c r="L960" s="484"/>
    </row>
    <row r="961" spans="1:12" ht="15" thickBot="1">
      <c r="A961" s="328"/>
      <c r="B961" s="257"/>
      <c r="C961" s="257"/>
      <c r="D961" s="329"/>
      <c r="E961" s="330"/>
      <c r="F961" s="331"/>
      <c r="G961" s="256"/>
      <c r="H961" s="256"/>
      <c r="I961" s="332"/>
      <c r="J961" s="333"/>
      <c r="K961" s="334"/>
      <c r="L961" s="484"/>
    </row>
    <row r="962" spans="1:12" ht="15" thickBot="1">
      <c r="A962" s="328"/>
      <c r="B962" s="257"/>
      <c r="C962" s="257"/>
      <c r="D962" s="329"/>
      <c r="E962" s="330"/>
      <c r="F962" s="331"/>
      <c r="G962" s="256"/>
      <c r="H962" s="256"/>
      <c r="I962" s="332"/>
      <c r="J962" s="333"/>
      <c r="K962" s="334"/>
      <c r="L962" s="484"/>
    </row>
    <row r="963" spans="1:12" ht="15" thickBot="1">
      <c r="A963" s="328"/>
      <c r="B963" s="257"/>
      <c r="C963" s="257"/>
      <c r="D963" s="329"/>
      <c r="E963" s="330"/>
      <c r="F963" s="331"/>
      <c r="G963" s="256"/>
      <c r="H963" s="256"/>
      <c r="I963" s="332"/>
      <c r="J963" s="333"/>
      <c r="K963" s="334"/>
      <c r="L963" s="484"/>
    </row>
    <row r="964" spans="1:12" ht="15" thickBot="1">
      <c r="A964" s="328"/>
      <c r="B964" s="257"/>
      <c r="C964" s="257"/>
      <c r="D964" s="329"/>
      <c r="E964" s="330"/>
      <c r="F964" s="331"/>
      <c r="G964" s="256"/>
      <c r="H964" s="256"/>
      <c r="I964" s="332"/>
      <c r="J964" s="333"/>
      <c r="K964" s="334"/>
      <c r="L964" s="484"/>
    </row>
    <row r="965" spans="1:12" ht="15" thickBot="1">
      <c r="A965" s="328"/>
      <c r="B965" s="257"/>
      <c r="C965" s="257"/>
      <c r="D965" s="329"/>
      <c r="E965" s="330"/>
      <c r="F965" s="331"/>
      <c r="G965" s="256"/>
      <c r="H965" s="256"/>
      <c r="I965" s="332"/>
      <c r="J965" s="333"/>
      <c r="K965" s="334"/>
      <c r="L965" s="484"/>
    </row>
    <row r="966" spans="1:12" ht="15" thickBot="1">
      <c r="A966" s="328"/>
      <c r="B966" s="257"/>
      <c r="C966" s="257"/>
      <c r="D966" s="329"/>
      <c r="E966" s="330"/>
      <c r="F966" s="331"/>
      <c r="G966" s="256"/>
      <c r="H966" s="256"/>
      <c r="I966" s="332"/>
      <c r="J966" s="333"/>
      <c r="K966" s="334"/>
      <c r="L966" s="484"/>
    </row>
    <row r="967" spans="1:12" ht="15" thickBot="1">
      <c r="A967" s="328"/>
      <c r="B967" s="257"/>
      <c r="C967" s="257"/>
      <c r="D967" s="329"/>
      <c r="E967" s="330"/>
      <c r="F967" s="331"/>
      <c r="G967" s="256"/>
      <c r="H967" s="256"/>
      <c r="I967" s="332"/>
      <c r="J967" s="333"/>
      <c r="K967" s="334"/>
      <c r="L967" s="484"/>
    </row>
    <row r="968" spans="1:12" ht="15" thickBot="1">
      <c r="A968" s="328"/>
      <c r="B968" s="257"/>
      <c r="C968" s="257"/>
      <c r="D968" s="329"/>
      <c r="E968" s="330"/>
      <c r="F968" s="331"/>
      <c r="G968" s="256"/>
      <c r="H968" s="256"/>
      <c r="I968" s="332"/>
      <c r="J968" s="333"/>
      <c r="K968" s="334"/>
      <c r="L968" s="484"/>
    </row>
    <row r="969" spans="1:12" ht="15" thickBot="1">
      <c r="A969" s="328"/>
      <c r="B969" s="257"/>
      <c r="C969" s="257"/>
      <c r="D969" s="329"/>
      <c r="E969" s="330"/>
      <c r="F969" s="331"/>
      <c r="G969" s="256"/>
      <c r="H969" s="256"/>
      <c r="I969" s="332"/>
      <c r="J969" s="333"/>
      <c r="K969" s="334"/>
      <c r="L969" s="484"/>
    </row>
    <row r="970" spans="1:12" ht="15" thickBot="1">
      <c r="A970" s="328"/>
      <c r="B970" s="257"/>
      <c r="C970" s="257"/>
      <c r="D970" s="329"/>
      <c r="E970" s="330"/>
      <c r="F970" s="331"/>
      <c r="G970" s="256"/>
      <c r="H970" s="256"/>
      <c r="I970" s="332"/>
      <c r="J970" s="333"/>
      <c r="K970" s="334"/>
      <c r="L970" s="484"/>
    </row>
    <row r="971" spans="1:12" ht="15" thickBot="1">
      <c r="A971" s="328"/>
      <c r="B971" s="257"/>
      <c r="C971" s="257"/>
      <c r="D971" s="329"/>
      <c r="E971" s="330"/>
      <c r="F971" s="331"/>
      <c r="G971" s="256"/>
      <c r="H971" s="256"/>
      <c r="I971" s="332"/>
      <c r="J971" s="333"/>
      <c r="K971" s="334"/>
      <c r="L971" s="484"/>
    </row>
    <row r="972" spans="1:12" ht="15" thickBot="1">
      <c r="A972" s="328"/>
      <c r="B972" s="257"/>
      <c r="C972" s="257"/>
      <c r="D972" s="329"/>
      <c r="E972" s="330"/>
      <c r="F972" s="331"/>
      <c r="G972" s="256"/>
      <c r="H972" s="256"/>
      <c r="I972" s="332"/>
      <c r="J972" s="333"/>
      <c r="K972" s="334"/>
      <c r="L972" s="484"/>
    </row>
    <row r="973" spans="1:12" ht="15" thickBot="1">
      <c r="A973" s="328"/>
      <c r="B973" s="257"/>
      <c r="C973" s="257"/>
      <c r="D973" s="329"/>
      <c r="E973" s="330"/>
      <c r="F973" s="331"/>
      <c r="G973" s="256"/>
      <c r="H973" s="256"/>
      <c r="I973" s="332"/>
      <c r="J973" s="333"/>
      <c r="K973" s="334"/>
      <c r="L973" s="484"/>
    </row>
    <row r="974" spans="1:12" ht="15" thickBot="1">
      <c r="A974" s="328"/>
      <c r="B974" s="257"/>
      <c r="C974" s="257"/>
      <c r="D974" s="329"/>
      <c r="E974" s="330"/>
      <c r="F974" s="331"/>
      <c r="G974" s="256"/>
      <c r="H974" s="256"/>
      <c r="I974" s="332"/>
      <c r="J974" s="333"/>
      <c r="K974" s="334"/>
      <c r="L974" s="484"/>
    </row>
    <row r="975" spans="1:12" ht="15" thickBot="1">
      <c r="A975" s="328"/>
      <c r="B975" s="257"/>
      <c r="C975" s="257"/>
      <c r="D975" s="329"/>
      <c r="E975" s="330"/>
      <c r="F975" s="331"/>
      <c r="G975" s="256"/>
      <c r="H975" s="256"/>
      <c r="I975" s="332"/>
      <c r="J975" s="333"/>
      <c r="K975" s="334"/>
      <c r="L975" s="484"/>
    </row>
    <row r="976" spans="1:12" ht="15" thickBot="1">
      <c r="A976" s="328"/>
      <c r="B976" s="257"/>
      <c r="C976" s="257"/>
      <c r="D976" s="329"/>
      <c r="E976" s="330"/>
      <c r="F976" s="331"/>
      <c r="G976" s="256"/>
      <c r="H976" s="256"/>
      <c r="I976" s="332"/>
      <c r="J976" s="333"/>
      <c r="K976" s="334"/>
      <c r="L976" s="484"/>
    </row>
    <row r="977" spans="1:12" ht="15" thickBot="1">
      <c r="A977" s="328"/>
      <c r="B977" s="257"/>
      <c r="C977" s="257"/>
      <c r="D977" s="329"/>
      <c r="E977" s="330"/>
      <c r="F977" s="331"/>
      <c r="G977" s="256"/>
      <c r="H977" s="256"/>
      <c r="I977" s="332"/>
      <c r="J977" s="333"/>
      <c r="K977" s="334"/>
      <c r="L977" s="484"/>
    </row>
    <row r="978" spans="1:12" ht="15" thickBot="1">
      <c r="A978" s="328"/>
      <c r="B978" s="257"/>
      <c r="C978" s="257"/>
      <c r="D978" s="329"/>
      <c r="E978" s="330"/>
      <c r="F978" s="331"/>
      <c r="G978" s="256"/>
      <c r="H978" s="256"/>
      <c r="I978" s="332"/>
      <c r="J978" s="333"/>
      <c r="K978" s="334"/>
      <c r="L978" s="484"/>
    </row>
    <row r="979" spans="1:12" ht="15" thickBot="1">
      <c r="A979" s="328"/>
      <c r="B979" s="257"/>
      <c r="C979" s="257"/>
      <c r="D979" s="329"/>
      <c r="E979" s="330"/>
      <c r="F979" s="331"/>
      <c r="G979" s="256"/>
      <c r="H979" s="256"/>
      <c r="I979" s="332"/>
      <c r="J979" s="333"/>
      <c r="K979" s="334"/>
      <c r="L979" s="484"/>
    </row>
    <row r="980" spans="1:12" ht="15" thickBot="1">
      <c r="A980" s="328"/>
      <c r="B980" s="257"/>
      <c r="C980" s="257"/>
      <c r="D980" s="329"/>
      <c r="E980" s="330"/>
      <c r="F980" s="331"/>
      <c r="G980" s="256"/>
      <c r="H980" s="256"/>
      <c r="I980" s="332"/>
      <c r="J980" s="333"/>
      <c r="K980" s="334"/>
      <c r="L980" s="484"/>
    </row>
    <row r="981" spans="1:12" ht="15" thickBot="1">
      <c r="A981" s="328"/>
      <c r="B981" s="257"/>
      <c r="C981" s="257"/>
      <c r="D981" s="329"/>
      <c r="E981" s="330"/>
      <c r="F981" s="331"/>
      <c r="G981" s="256"/>
      <c r="H981" s="256"/>
      <c r="I981" s="332"/>
      <c r="J981" s="333"/>
      <c r="K981" s="334"/>
      <c r="L981" s="484"/>
    </row>
    <row r="982" spans="1:12" ht="15" thickBot="1">
      <c r="A982" s="328"/>
      <c r="B982" s="257"/>
      <c r="C982" s="257"/>
      <c r="D982" s="329"/>
      <c r="E982" s="330"/>
      <c r="F982" s="331"/>
      <c r="G982" s="256"/>
      <c r="H982" s="256"/>
      <c r="I982" s="332"/>
      <c r="J982" s="333"/>
      <c r="K982" s="334"/>
      <c r="L982" s="484"/>
    </row>
    <row r="983" spans="1:12" ht="15" thickBot="1">
      <c r="A983" s="328"/>
      <c r="B983" s="257"/>
      <c r="C983" s="257"/>
      <c r="D983" s="329"/>
      <c r="E983" s="330"/>
      <c r="F983" s="331"/>
      <c r="G983" s="256"/>
      <c r="H983" s="256"/>
      <c r="I983" s="332"/>
      <c r="J983" s="333"/>
      <c r="K983" s="334"/>
      <c r="L983" s="484"/>
    </row>
    <row r="984" spans="1:12" ht="15" thickBot="1">
      <c r="A984" s="328"/>
      <c r="B984" s="257"/>
      <c r="C984" s="257"/>
      <c r="D984" s="329"/>
      <c r="E984" s="330"/>
      <c r="F984" s="331"/>
      <c r="G984" s="256"/>
      <c r="H984" s="256"/>
      <c r="I984" s="332"/>
      <c r="J984" s="333"/>
      <c r="K984" s="334"/>
      <c r="L984" s="484"/>
    </row>
    <row r="985" spans="1:12" ht="15" thickBot="1">
      <c r="A985" s="328"/>
      <c r="B985" s="257"/>
      <c r="C985" s="257"/>
      <c r="D985" s="329"/>
      <c r="E985" s="330"/>
      <c r="F985" s="331"/>
      <c r="G985" s="256"/>
      <c r="H985" s="256"/>
      <c r="I985" s="332"/>
      <c r="J985" s="333"/>
      <c r="K985" s="334"/>
      <c r="L985" s="484"/>
    </row>
    <row r="986" spans="1:12" ht="15" thickBot="1">
      <c r="A986" s="328"/>
      <c r="B986" s="257"/>
      <c r="C986" s="257"/>
      <c r="D986" s="329"/>
      <c r="E986" s="330"/>
      <c r="F986" s="331"/>
      <c r="G986" s="256"/>
      <c r="H986" s="256"/>
      <c r="I986" s="332"/>
      <c r="J986" s="333"/>
      <c r="K986" s="334"/>
      <c r="L986" s="484"/>
    </row>
    <row r="987" spans="1:12" ht="15" thickBot="1">
      <c r="A987" s="328"/>
      <c r="B987" s="257"/>
      <c r="C987" s="257"/>
      <c r="D987" s="329"/>
      <c r="E987" s="330"/>
      <c r="F987" s="331"/>
      <c r="G987" s="256"/>
      <c r="H987" s="256"/>
      <c r="I987" s="332"/>
      <c r="J987" s="333"/>
      <c r="K987" s="334"/>
      <c r="L987" s="484"/>
    </row>
    <row r="988" spans="1:12" ht="15" thickBot="1">
      <c r="A988" s="328"/>
      <c r="B988" s="257"/>
      <c r="C988" s="257"/>
      <c r="D988" s="329"/>
      <c r="E988" s="330"/>
      <c r="F988" s="331"/>
      <c r="G988" s="256"/>
      <c r="H988" s="256"/>
      <c r="I988" s="332"/>
      <c r="J988" s="333"/>
      <c r="K988" s="334"/>
      <c r="L988" s="484"/>
    </row>
    <row r="989" spans="1:12" ht="15" thickBot="1">
      <c r="A989" s="328"/>
      <c r="B989" s="257"/>
      <c r="C989" s="257"/>
      <c r="D989" s="329"/>
      <c r="E989" s="330"/>
      <c r="F989" s="331"/>
      <c r="G989" s="256"/>
      <c r="H989" s="256"/>
      <c r="I989" s="332"/>
      <c r="J989" s="333"/>
      <c r="K989" s="334"/>
      <c r="L989" s="484"/>
    </row>
    <row r="990" spans="1:12" ht="15" thickBot="1">
      <c r="A990" s="328"/>
      <c r="B990" s="257"/>
      <c r="C990" s="257"/>
      <c r="D990" s="329"/>
      <c r="E990" s="330"/>
      <c r="F990" s="331"/>
      <c r="G990" s="256"/>
      <c r="H990" s="256"/>
      <c r="I990" s="332"/>
      <c r="J990" s="333"/>
      <c r="K990" s="334"/>
      <c r="L990" s="484"/>
    </row>
    <row r="991" spans="1:12" ht="15" thickBot="1">
      <c r="A991" s="328"/>
      <c r="B991" s="257"/>
      <c r="C991" s="257"/>
      <c r="D991" s="329"/>
      <c r="E991" s="330"/>
      <c r="F991" s="331"/>
      <c r="G991" s="256"/>
      <c r="H991" s="256"/>
      <c r="I991" s="332"/>
      <c r="J991" s="333"/>
      <c r="K991" s="334"/>
      <c r="L991" s="484"/>
    </row>
    <row r="992" spans="1:12" ht="15" thickBot="1">
      <c r="A992" s="328"/>
      <c r="B992" s="257"/>
      <c r="C992" s="257"/>
      <c r="D992" s="329"/>
      <c r="E992" s="330"/>
      <c r="F992" s="331"/>
      <c r="G992" s="256"/>
      <c r="H992" s="256"/>
      <c r="I992" s="332"/>
      <c r="J992" s="333"/>
      <c r="K992" s="334"/>
      <c r="L992" s="484"/>
    </row>
    <row r="993" spans="1:12" ht="15" thickBot="1">
      <c r="A993" s="328"/>
      <c r="B993" s="257"/>
      <c r="C993" s="257"/>
      <c r="D993" s="329"/>
      <c r="E993" s="330"/>
      <c r="F993" s="331"/>
      <c r="G993" s="256"/>
      <c r="H993" s="256"/>
      <c r="I993" s="332"/>
      <c r="J993" s="333"/>
      <c r="K993" s="334"/>
      <c r="L993" s="484"/>
    </row>
    <row r="994" spans="1:12" ht="15" thickBot="1">
      <c r="A994" s="328"/>
      <c r="B994" s="257"/>
      <c r="C994" s="257"/>
      <c r="D994" s="329"/>
      <c r="E994" s="330"/>
      <c r="F994" s="331"/>
      <c r="G994" s="256"/>
      <c r="H994" s="256"/>
      <c r="I994" s="332"/>
      <c r="J994" s="333"/>
      <c r="K994" s="334"/>
      <c r="L994" s="484"/>
    </row>
    <row r="995" spans="1:12" ht="15" thickBot="1">
      <c r="A995" s="328"/>
      <c r="B995" s="257"/>
      <c r="C995" s="257"/>
      <c r="D995" s="329"/>
      <c r="E995" s="330"/>
      <c r="F995" s="331"/>
      <c r="G995" s="256"/>
      <c r="H995" s="256"/>
      <c r="I995" s="332"/>
      <c r="J995" s="333"/>
      <c r="K995" s="334"/>
      <c r="L995" s="484"/>
    </row>
    <row r="996" spans="1:12" ht="15" thickBot="1">
      <c r="A996" s="328"/>
      <c r="B996" s="257"/>
      <c r="C996" s="257"/>
      <c r="D996" s="329"/>
      <c r="E996" s="330"/>
      <c r="F996" s="331"/>
      <c r="G996" s="256"/>
      <c r="H996" s="256"/>
      <c r="I996" s="332"/>
      <c r="J996" s="333"/>
      <c r="K996" s="334"/>
      <c r="L996" s="484"/>
    </row>
    <row r="997" spans="1:12" ht="15" thickBot="1">
      <c r="A997" s="328"/>
      <c r="B997" s="257"/>
      <c r="C997" s="257"/>
      <c r="D997" s="329"/>
      <c r="E997" s="330"/>
      <c r="F997" s="331"/>
      <c r="G997" s="256"/>
      <c r="H997" s="256"/>
      <c r="I997" s="332"/>
      <c r="J997" s="333"/>
      <c r="K997" s="334"/>
      <c r="L997" s="484"/>
    </row>
    <row r="998" spans="1:12" ht="15" thickBot="1">
      <c r="A998" s="328"/>
      <c r="B998" s="257"/>
      <c r="C998" s="257"/>
      <c r="D998" s="329"/>
      <c r="E998" s="330"/>
      <c r="F998" s="331"/>
      <c r="G998" s="256"/>
      <c r="H998" s="256"/>
      <c r="I998" s="332"/>
      <c r="J998" s="333"/>
      <c r="K998" s="334"/>
      <c r="L998" s="484"/>
    </row>
    <row r="999" spans="1:12" ht="15" thickBot="1">
      <c r="A999" s="328"/>
      <c r="B999" s="257"/>
      <c r="C999" s="257"/>
      <c r="D999" s="329"/>
      <c r="E999" s="330"/>
      <c r="F999" s="331"/>
      <c r="G999" s="256"/>
      <c r="H999" s="256"/>
      <c r="I999" s="332"/>
      <c r="J999" s="333"/>
      <c r="K999" s="334"/>
      <c r="L999" s="484"/>
    </row>
    <row r="1000" spans="1:12" ht="15" thickBot="1">
      <c r="A1000" s="328"/>
      <c r="B1000" s="257"/>
      <c r="C1000" s="257"/>
      <c r="D1000" s="329"/>
      <c r="E1000" s="330"/>
      <c r="F1000" s="331"/>
      <c r="G1000" s="256"/>
      <c r="H1000" s="256"/>
      <c r="I1000" s="332"/>
      <c r="J1000" s="333"/>
      <c r="K1000" s="334"/>
      <c r="L1000" s="484"/>
    </row>
    <row r="1001" spans="1:12" ht="15" thickBot="1">
      <c r="A1001" s="328"/>
      <c r="B1001" s="257"/>
      <c r="C1001" s="257"/>
      <c r="D1001" s="329"/>
      <c r="E1001" s="330"/>
      <c r="F1001" s="331"/>
      <c r="G1001" s="256"/>
      <c r="H1001" s="256"/>
      <c r="I1001" s="332"/>
      <c r="J1001" s="333"/>
      <c r="K1001" s="334"/>
      <c r="L1001" s="484"/>
    </row>
    <row r="1002" spans="1:12" ht="15" thickBot="1">
      <c r="A1002" s="328"/>
      <c r="B1002" s="257"/>
      <c r="C1002" s="257"/>
      <c r="D1002" s="329"/>
      <c r="E1002" s="330"/>
      <c r="F1002" s="331"/>
      <c r="G1002" s="256"/>
      <c r="H1002" s="256"/>
      <c r="I1002" s="332"/>
      <c r="J1002" s="333"/>
      <c r="K1002" s="334"/>
      <c r="L1002" s="484"/>
    </row>
    <row r="1003" spans="1:12" ht="15" thickBot="1">
      <c r="A1003" s="328"/>
      <c r="B1003" s="257"/>
      <c r="C1003" s="257"/>
      <c r="D1003" s="329"/>
      <c r="E1003" s="330"/>
      <c r="F1003" s="331"/>
      <c r="G1003" s="256"/>
      <c r="H1003" s="256"/>
      <c r="I1003" s="332"/>
      <c r="J1003" s="333"/>
      <c r="K1003" s="334"/>
      <c r="L1003" s="484"/>
    </row>
    <row r="1004" spans="1:12" ht="15" thickBot="1">
      <c r="A1004" s="328"/>
      <c r="B1004" s="257"/>
      <c r="C1004" s="257"/>
      <c r="D1004" s="329"/>
      <c r="E1004" s="330"/>
      <c r="F1004" s="331"/>
      <c r="G1004" s="256"/>
      <c r="H1004" s="256"/>
      <c r="I1004" s="332"/>
      <c r="J1004" s="333"/>
      <c r="K1004" s="334"/>
      <c r="L1004" s="484"/>
    </row>
    <row r="1005" spans="1:12" ht="15" thickBot="1">
      <c r="A1005" s="328"/>
      <c r="B1005" s="257"/>
      <c r="C1005" s="257"/>
      <c r="D1005" s="329"/>
      <c r="E1005" s="330"/>
      <c r="F1005" s="331"/>
      <c r="G1005" s="256"/>
      <c r="H1005" s="256"/>
      <c r="I1005" s="332"/>
      <c r="J1005" s="333"/>
      <c r="K1005" s="334"/>
      <c r="L1005" s="484"/>
    </row>
    <row r="1006" spans="1:12" ht="15" thickBot="1">
      <c r="A1006" s="328"/>
      <c r="B1006" s="257"/>
      <c r="C1006" s="257"/>
      <c r="D1006" s="329"/>
      <c r="E1006" s="330"/>
      <c r="F1006" s="331"/>
      <c r="G1006" s="256"/>
      <c r="H1006" s="256"/>
      <c r="I1006" s="332"/>
      <c r="J1006" s="333"/>
      <c r="K1006" s="334"/>
      <c r="L1006" s="484"/>
    </row>
    <row r="1007" spans="1:12" ht="15" thickBot="1">
      <c r="A1007" s="328"/>
      <c r="B1007" s="257"/>
      <c r="C1007" s="257"/>
      <c r="D1007" s="329"/>
      <c r="E1007" s="330"/>
      <c r="F1007" s="331"/>
      <c r="G1007" s="256"/>
      <c r="H1007" s="256"/>
      <c r="I1007" s="332"/>
      <c r="J1007" s="333"/>
      <c r="K1007" s="334"/>
      <c r="L1007" s="484"/>
    </row>
    <row r="1008" spans="1:12" ht="15" thickBot="1">
      <c r="A1008" s="328"/>
      <c r="B1008" s="257"/>
      <c r="C1008" s="257"/>
      <c r="D1008" s="329"/>
      <c r="E1008" s="330"/>
      <c r="F1008" s="331"/>
      <c r="G1008" s="256"/>
      <c r="H1008" s="256"/>
      <c r="I1008" s="332"/>
      <c r="J1008" s="333"/>
      <c r="K1008" s="334"/>
      <c r="L1008" s="484"/>
    </row>
    <row r="1009" spans="1:12" ht="15" thickBot="1">
      <c r="A1009" s="328"/>
      <c r="B1009" s="257"/>
      <c r="C1009" s="257"/>
      <c r="D1009" s="329"/>
      <c r="E1009" s="330"/>
      <c r="F1009" s="331"/>
      <c r="G1009" s="256"/>
      <c r="H1009" s="256"/>
      <c r="I1009" s="332"/>
      <c r="J1009" s="333"/>
      <c r="K1009" s="334"/>
      <c r="L1009" s="484"/>
    </row>
    <row r="1010" spans="1:12" ht="15" thickBot="1">
      <c r="A1010" s="328"/>
      <c r="B1010" s="257"/>
      <c r="C1010" s="257"/>
      <c r="D1010" s="329"/>
      <c r="E1010" s="330"/>
      <c r="F1010" s="331"/>
      <c r="G1010" s="256"/>
      <c r="H1010" s="256"/>
      <c r="I1010" s="332"/>
      <c r="J1010" s="333"/>
      <c r="K1010" s="334"/>
      <c r="L1010" s="484"/>
    </row>
    <row r="1011" spans="1:12" ht="15" thickBot="1">
      <c r="A1011" s="328"/>
      <c r="B1011" s="257"/>
      <c r="C1011" s="257"/>
      <c r="D1011" s="329"/>
      <c r="E1011" s="330"/>
      <c r="F1011" s="331"/>
      <c r="G1011" s="256"/>
      <c r="H1011" s="256"/>
      <c r="I1011" s="332"/>
      <c r="J1011" s="333"/>
      <c r="K1011" s="334"/>
      <c r="L1011" s="484"/>
    </row>
    <row r="1012" spans="1:12" ht="15" thickBot="1">
      <c r="A1012" s="328"/>
      <c r="B1012" s="257"/>
      <c r="C1012" s="257"/>
      <c r="D1012" s="329"/>
      <c r="E1012" s="330"/>
      <c r="F1012" s="331"/>
      <c r="G1012" s="256"/>
      <c r="H1012" s="256"/>
      <c r="I1012" s="332"/>
      <c r="J1012" s="333"/>
      <c r="K1012" s="334"/>
      <c r="L1012" s="484"/>
    </row>
    <row r="1013" spans="1:12" ht="15" thickBot="1">
      <c r="A1013" s="328"/>
      <c r="B1013" s="257"/>
      <c r="C1013" s="257"/>
      <c r="D1013" s="329"/>
      <c r="E1013" s="330"/>
      <c r="F1013" s="331"/>
      <c r="G1013" s="256"/>
      <c r="H1013" s="256"/>
      <c r="I1013" s="332"/>
      <c r="J1013" s="333"/>
      <c r="K1013" s="334"/>
      <c r="L1013" s="484"/>
    </row>
    <row r="1014" spans="1:12" ht="15" thickBot="1">
      <c r="A1014" s="328"/>
      <c r="B1014" s="257"/>
      <c r="C1014" s="257"/>
      <c r="D1014" s="329"/>
      <c r="E1014" s="330"/>
      <c r="F1014" s="331"/>
      <c r="G1014" s="256"/>
      <c r="H1014" s="256"/>
      <c r="I1014" s="332"/>
      <c r="J1014" s="333"/>
      <c r="K1014" s="334"/>
      <c r="L1014" s="484"/>
    </row>
    <row r="1015" spans="1:12" ht="15" thickBot="1">
      <c r="A1015" s="328"/>
      <c r="B1015" s="257"/>
      <c r="C1015" s="257"/>
      <c r="D1015" s="329"/>
      <c r="E1015" s="330"/>
      <c r="F1015" s="331"/>
      <c r="G1015" s="256"/>
      <c r="H1015" s="256"/>
      <c r="I1015" s="332"/>
      <c r="J1015" s="333"/>
      <c r="K1015" s="334"/>
      <c r="L1015" s="484"/>
    </row>
    <row r="1016" spans="1:12" ht="15" thickBot="1">
      <c r="A1016" s="328"/>
      <c r="B1016" s="257"/>
      <c r="C1016" s="257"/>
      <c r="D1016" s="329"/>
      <c r="E1016" s="330"/>
      <c r="F1016" s="331"/>
      <c r="G1016" s="256"/>
      <c r="H1016" s="256"/>
      <c r="I1016" s="332"/>
      <c r="J1016" s="333"/>
      <c r="K1016" s="334"/>
      <c r="L1016" s="484"/>
    </row>
    <row r="1017" spans="1:12" ht="15" thickBot="1">
      <c r="A1017" s="328"/>
      <c r="B1017" s="257"/>
      <c r="C1017" s="257"/>
      <c r="D1017" s="329"/>
      <c r="E1017" s="330"/>
      <c r="F1017" s="331"/>
      <c r="G1017" s="256"/>
      <c r="H1017" s="256"/>
      <c r="I1017" s="332"/>
      <c r="J1017" s="333"/>
      <c r="K1017" s="334"/>
      <c r="L1017" s="484"/>
    </row>
    <row r="1018" spans="1:12" ht="15" thickBot="1">
      <c r="A1018" s="328"/>
      <c r="B1018" s="257"/>
      <c r="C1018" s="257"/>
      <c r="D1018" s="329"/>
      <c r="E1018" s="330"/>
      <c r="F1018" s="331"/>
      <c r="G1018" s="256"/>
      <c r="H1018" s="256"/>
      <c r="I1018" s="332"/>
      <c r="J1018" s="333"/>
      <c r="K1018" s="334"/>
      <c r="L1018" s="484"/>
    </row>
    <row r="1019" spans="1:12" ht="15" thickBot="1">
      <c r="A1019" s="328"/>
      <c r="B1019" s="257"/>
      <c r="C1019" s="257"/>
      <c r="D1019" s="329"/>
      <c r="E1019" s="330"/>
      <c r="F1019" s="331"/>
      <c r="G1019" s="256"/>
      <c r="H1019" s="256"/>
      <c r="I1019" s="332"/>
      <c r="J1019" s="333"/>
      <c r="K1019" s="334"/>
      <c r="L1019" s="484"/>
    </row>
    <row r="1020" spans="1:12" ht="15" thickBot="1">
      <c r="A1020" s="328"/>
      <c r="B1020" s="257"/>
      <c r="C1020" s="257"/>
      <c r="D1020" s="329"/>
      <c r="E1020" s="330"/>
      <c r="F1020" s="331"/>
      <c r="G1020" s="256"/>
      <c r="H1020" s="256"/>
      <c r="I1020" s="332"/>
      <c r="J1020" s="333"/>
      <c r="K1020" s="334"/>
      <c r="L1020" s="484"/>
    </row>
    <row r="1021" spans="1:12" ht="15" thickBot="1">
      <c r="A1021" s="328"/>
      <c r="B1021" s="257"/>
      <c r="C1021" s="257"/>
      <c r="D1021" s="329"/>
      <c r="E1021" s="330"/>
      <c r="F1021" s="331"/>
      <c r="G1021" s="256"/>
      <c r="H1021" s="256"/>
      <c r="I1021" s="332"/>
      <c r="J1021" s="333"/>
      <c r="K1021" s="334"/>
      <c r="L1021" s="484"/>
    </row>
    <row r="1022" spans="1:12" ht="15" thickBot="1">
      <c r="A1022" s="328"/>
      <c r="B1022" s="257"/>
      <c r="C1022" s="257"/>
      <c r="D1022" s="329"/>
      <c r="E1022" s="330"/>
      <c r="F1022" s="331"/>
      <c r="G1022" s="256"/>
      <c r="H1022" s="256"/>
      <c r="I1022" s="332"/>
      <c r="J1022" s="333"/>
      <c r="K1022" s="334"/>
      <c r="L1022" s="484"/>
    </row>
    <row r="1023" spans="1:12" ht="15" thickBot="1">
      <c r="A1023" s="328"/>
      <c r="B1023" s="257"/>
      <c r="C1023" s="257"/>
      <c r="D1023" s="329"/>
      <c r="E1023" s="330"/>
      <c r="F1023" s="331"/>
      <c r="G1023" s="256"/>
      <c r="H1023" s="256"/>
      <c r="I1023" s="332"/>
      <c r="J1023" s="333"/>
      <c r="K1023" s="334"/>
      <c r="L1023" s="484"/>
    </row>
    <row r="1024" spans="1:12" ht="15" thickBot="1">
      <c r="A1024" s="328"/>
      <c r="B1024" s="257"/>
      <c r="C1024" s="257"/>
      <c r="D1024" s="329"/>
      <c r="E1024" s="330"/>
      <c r="F1024" s="331"/>
      <c r="G1024" s="256"/>
      <c r="H1024" s="256"/>
      <c r="I1024" s="332"/>
      <c r="J1024" s="333"/>
      <c r="K1024" s="334"/>
      <c r="L1024" s="484"/>
    </row>
    <row r="1025" spans="1:12" ht="15" thickBot="1">
      <c r="A1025" s="328"/>
      <c r="B1025" s="257"/>
      <c r="C1025" s="257"/>
      <c r="D1025" s="329"/>
      <c r="E1025" s="330"/>
      <c r="F1025" s="331"/>
      <c r="G1025" s="256"/>
      <c r="H1025" s="256"/>
      <c r="I1025" s="332"/>
      <c r="J1025" s="333"/>
      <c r="K1025" s="334"/>
      <c r="L1025" s="484"/>
    </row>
    <row r="1026" spans="1:12" ht="15" thickBot="1">
      <c r="A1026" s="328"/>
      <c r="B1026" s="257"/>
      <c r="C1026" s="257"/>
      <c r="D1026" s="329"/>
      <c r="E1026" s="330"/>
      <c r="F1026" s="331"/>
      <c r="G1026" s="256"/>
      <c r="H1026" s="256"/>
      <c r="I1026" s="332"/>
      <c r="J1026" s="333"/>
      <c r="K1026" s="334"/>
      <c r="L1026" s="484"/>
    </row>
    <row r="1027" spans="1:12" ht="15" thickBot="1">
      <c r="A1027" s="328"/>
      <c r="B1027" s="257"/>
      <c r="C1027" s="257"/>
      <c r="D1027" s="329"/>
      <c r="E1027" s="330"/>
      <c r="F1027" s="331"/>
      <c r="G1027" s="256"/>
      <c r="H1027" s="256"/>
      <c r="I1027" s="332"/>
      <c r="J1027" s="333"/>
      <c r="K1027" s="334"/>
      <c r="L1027" s="484"/>
    </row>
    <row r="1028" spans="1:12" ht="15" thickBot="1">
      <c r="A1028" s="328"/>
      <c r="B1028" s="257"/>
      <c r="C1028" s="257"/>
      <c r="D1028" s="329"/>
      <c r="E1028" s="330"/>
      <c r="F1028" s="331"/>
      <c r="G1028" s="256"/>
      <c r="H1028" s="256"/>
      <c r="I1028" s="332"/>
      <c r="J1028" s="333"/>
      <c r="K1028" s="334"/>
      <c r="L1028" s="484"/>
    </row>
    <row r="1029" spans="1:12" ht="15" thickBot="1">
      <c r="A1029" s="328"/>
      <c r="B1029" s="257"/>
      <c r="C1029" s="257"/>
      <c r="D1029" s="329"/>
      <c r="E1029" s="330"/>
      <c r="F1029" s="331"/>
      <c r="G1029" s="256"/>
      <c r="H1029" s="256"/>
      <c r="I1029" s="332"/>
      <c r="J1029" s="333"/>
      <c r="K1029" s="334"/>
      <c r="L1029" s="484"/>
    </row>
    <row r="1030" spans="1:12" ht="15" thickBot="1">
      <c r="A1030" s="328"/>
      <c r="B1030" s="257"/>
      <c r="C1030" s="257"/>
      <c r="D1030" s="329"/>
      <c r="E1030" s="330"/>
      <c r="F1030" s="331"/>
      <c r="G1030" s="256"/>
      <c r="H1030" s="256"/>
      <c r="I1030" s="332"/>
      <c r="J1030" s="333"/>
      <c r="K1030" s="334"/>
      <c r="L1030" s="484"/>
    </row>
    <row r="1031" spans="1:12" ht="15" thickBot="1">
      <c r="A1031" s="328"/>
      <c r="B1031" s="257"/>
      <c r="C1031" s="257"/>
      <c r="D1031" s="329"/>
      <c r="E1031" s="330"/>
      <c r="F1031" s="331"/>
      <c r="G1031" s="256"/>
      <c r="H1031" s="256"/>
      <c r="I1031" s="332"/>
      <c r="J1031" s="333"/>
      <c r="K1031" s="334"/>
      <c r="L1031" s="484"/>
    </row>
    <row r="1032" spans="1:12" ht="15" thickBot="1">
      <c r="A1032" s="328"/>
      <c r="B1032" s="257"/>
      <c r="C1032" s="257"/>
      <c r="D1032" s="329"/>
      <c r="E1032" s="330"/>
      <c r="F1032" s="331"/>
      <c r="G1032" s="256"/>
      <c r="H1032" s="256"/>
      <c r="I1032" s="332"/>
      <c r="J1032" s="333"/>
      <c r="K1032" s="334"/>
      <c r="L1032" s="484"/>
    </row>
    <row r="1033" spans="1:12" ht="15" thickBot="1">
      <c r="A1033" s="328"/>
      <c r="B1033" s="257"/>
      <c r="C1033" s="257"/>
      <c r="D1033" s="329"/>
      <c r="E1033" s="330"/>
      <c r="F1033" s="331"/>
      <c r="G1033" s="256"/>
      <c r="H1033" s="256"/>
      <c r="I1033" s="332"/>
      <c r="J1033" s="333"/>
      <c r="K1033" s="334"/>
      <c r="L1033" s="484"/>
    </row>
    <row r="1034" spans="1:12" ht="15" thickBot="1">
      <c r="A1034" s="328"/>
      <c r="B1034" s="257"/>
      <c r="C1034" s="257"/>
      <c r="D1034" s="329"/>
      <c r="E1034" s="330"/>
      <c r="F1034" s="331"/>
      <c r="G1034" s="256"/>
      <c r="H1034" s="256"/>
      <c r="I1034" s="332"/>
      <c r="J1034" s="333"/>
      <c r="K1034" s="334"/>
      <c r="L1034" s="484"/>
    </row>
    <row r="1035" spans="1:12" ht="15" thickBot="1">
      <c r="A1035" s="328"/>
      <c r="B1035" s="257"/>
      <c r="C1035" s="257"/>
      <c r="D1035" s="329"/>
      <c r="E1035" s="330"/>
      <c r="F1035" s="331"/>
      <c r="G1035" s="256"/>
      <c r="H1035" s="256"/>
      <c r="I1035" s="332"/>
      <c r="J1035" s="333"/>
      <c r="K1035" s="334"/>
      <c r="L1035" s="484"/>
    </row>
    <row r="1036" spans="1:12" ht="15" thickBot="1">
      <c r="A1036" s="328"/>
      <c r="B1036" s="257"/>
      <c r="C1036" s="257"/>
      <c r="D1036" s="329"/>
      <c r="E1036" s="330"/>
      <c r="F1036" s="331"/>
      <c r="G1036" s="256"/>
      <c r="H1036" s="256"/>
      <c r="I1036" s="332"/>
      <c r="J1036" s="333"/>
      <c r="K1036" s="334"/>
      <c r="L1036" s="484"/>
    </row>
    <row r="1037" spans="1:12" ht="15" thickBot="1">
      <c r="A1037" s="328"/>
      <c r="B1037" s="257"/>
      <c r="C1037" s="257"/>
      <c r="D1037" s="329"/>
      <c r="E1037" s="330"/>
      <c r="F1037" s="331"/>
      <c r="G1037" s="256"/>
      <c r="H1037" s="256"/>
      <c r="I1037" s="332"/>
      <c r="J1037" s="333"/>
      <c r="K1037" s="334"/>
      <c r="L1037" s="484"/>
    </row>
    <row r="1038" spans="1:12" ht="15" thickBot="1">
      <c r="A1038" s="328"/>
      <c r="B1038" s="257"/>
      <c r="C1038" s="257"/>
      <c r="D1038" s="329"/>
      <c r="E1038" s="330"/>
      <c r="F1038" s="331"/>
      <c r="G1038" s="256"/>
      <c r="H1038" s="256"/>
      <c r="I1038" s="332"/>
      <c r="J1038" s="333"/>
      <c r="K1038" s="334"/>
      <c r="L1038" s="484"/>
    </row>
    <row r="1039" spans="1:12" ht="15" thickBot="1">
      <c r="A1039" s="328"/>
      <c r="B1039" s="257"/>
      <c r="C1039" s="257"/>
      <c r="D1039" s="329"/>
      <c r="E1039" s="330"/>
      <c r="F1039" s="331"/>
      <c r="G1039" s="256"/>
      <c r="H1039" s="256"/>
      <c r="I1039" s="332"/>
      <c r="J1039" s="333"/>
      <c r="K1039" s="334"/>
      <c r="L1039" s="484"/>
    </row>
    <row r="1040" spans="1:12" ht="15" thickBot="1">
      <c r="A1040" s="328"/>
      <c r="B1040" s="257"/>
      <c r="C1040" s="257"/>
      <c r="D1040" s="329"/>
      <c r="E1040" s="330"/>
      <c r="F1040" s="331"/>
      <c r="G1040" s="256"/>
      <c r="H1040" s="256"/>
      <c r="I1040" s="332"/>
      <c r="J1040" s="333"/>
      <c r="K1040" s="334"/>
      <c r="L1040" s="484"/>
    </row>
    <row r="1041" spans="1:12" ht="15" thickBot="1">
      <c r="A1041" s="328"/>
      <c r="B1041" s="257"/>
      <c r="C1041" s="257"/>
      <c r="D1041" s="329"/>
      <c r="E1041" s="330"/>
      <c r="F1041" s="331"/>
      <c r="G1041" s="256"/>
      <c r="H1041" s="256"/>
      <c r="I1041" s="332"/>
      <c r="J1041" s="333"/>
      <c r="K1041" s="334"/>
      <c r="L1041" s="484"/>
    </row>
    <row r="1042" spans="1:12" ht="15" thickBot="1">
      <c r="A1042" s="328"/>
      <c r="B1042" s="257"/>
      <c r="C1042" s="257"/>
      <c r="D1042" s="329"/>
      <c r="E1042" s="330"/>
      <c r="F1042" s="331"/>
      <c r="G1042" s="256"/>
      <c r="H1042" s="256"/>
      <c r="I1042" s="332"/>
      <c r="J1042" s="333"/>
      <c r="K1042" s="334"/>
      <c r="L1042" s="484"/>
    </row>
    <row r="1043" spans="1:12" ht="15" thickBot="1">
      <c r="A1043" s="328"/>
      <c r="B1043" s="257"/>
      <c r="C1043" s="257"/>
      <c r="D1043" s="329"/>
      <c r="E1043" s="330"/>
      <c r="F1043" s="331"/>
      <c r="G1043" s="256"/>
      <c r="H1043" s="256"/>
      <c r="I1043" s="332"/>
      <c r="J1043" s="333"/>
      <c r="K1043" s="334"/>
      <c r="L1043" s="484"/>
    </row>
    <row r="1044" spans="1:12" ht="15" thickBot="1">
      <c r="A1044" s="328"/>
      <c r="B1044" s="257"/>
      <c r="C1044" s="257"/>
      <c r="D1044" s="329"/>
      <c r="E1044" s="330"/>
      <c r="F1044" s="331"/>
      <c r="G1044" s="256"/>
      <c r="H1044" s="256"/>
      <c r="I1044" s="332"/>
      <c r="J1044" s="333"/>
      <c r="K1044" s="334"/>
      <c r="L1044" s="484"/>
    </row>
    <row r="1045" spans="1:12" ht="15" thickBot="1">
      <c r="A1045" s="328"/>
      <c r="B1045" s="257"/>
      <c r="C1045" s="257"/>
      <c r="D1045" s="329"/>
      <c r="E1045" s="330"/>
      <c r="F1045" s="331"/>
      <c r="G1045" s="256"/>
      <c r="H1045" s="256"/>
      <c r="I1045" s="332"/>
      <c r="J1045" s="333"/>
      <c r="K1045" s="334"/>
      <c r="L1045" s="484"/>
    </row>
    <row r="1046" spans="1:12" ht="15" thickBot="1">
      <c r="A1046" s="328"/>
      <c r="B1046" s="257"/>
      <c r="C1046" s="257"/>
      <c r="D1046" s="329"/>
      <c r="E1046" s="330"/>
      <c r="F1046" s="331"/>
      <c r="G1046" s="256"/>
      <c r="H1046" s="256"/>
      <c r="I1046" s="332"/>
      <c r="J1046" s="333"/>
      <c r="K1046" s="334"/>
      <c r="L1046" s="484"/>
    </row>
    <row r="1047" spans="1:12" ht="15" thickBot="1">
      <c r="A1047" s="328"/>
      <c r="B1047" s="257"/>
      <c r="C1047" s="257"/>
      <c r="D1047" s="329"/>
      <c r="E1047" s="330"/>
      <c r="F1047" s="331"/>
      <c r="G1047" s="256"/>
      <c r="H1047" s="256"/>
      <c r="I1047" s="332"/>
      <c r="J1047" s="333"/>
      <c r="K1047" s="334"/>
      <c r="L1047" s="484"/>
    </row>
    <row r="1048" spans="1:12" ht="15" thickBot="1">
      <c r="A1048" s="328"/>
      <c r="B1048" s="257"/>
      <c r="C1048" s="257"/>
      <c r="D1048" s="329"/>
      <c r="E1048" s="330"/>
      <c r="F1048" s="331"/>
      <c r="G1048" s="256"/>
      <c r="H1048" s="256"/>
      <c r="I1048" s="332"/>
      <c r="J1048" s="333"/>
      <c r="K1048" s="334"/>
      <c r="L1048" s="484"/>
    </row>
    <row r="1049" spans="1:12" ht="15" thickBot="1">
      <c r="A1049" s="328"/>
      <c r="B1049" s="257"/>
      <c r="C1049" s="257"/>
      <c r="D1049" s="329"/>
      <c r="E1049" s="330"/>
      <c r="F1049" s="331"/>
      <c r="G1049" s="256"/>
      <c r="H1049" s="256"/>
      <c r="I1049" s="332"/>
      <c r="J1049" s="333"/>
      <c r="K1049" s="334"/>
      <c r="L1049" s="484"/>
    </row>
    <row r="1050" spans="1:12" ht="15" thickBot="1">
      <c r="A1050" s="328"/>
      <c r="B1050" s="257"/>
      <c r="C1050" s="257"/>
      <c r="D1050" s="329"/>
      <c r="E1050" s="330"/>
      <c r="F1050" s="331"/>
      <c r="G1050" s="256"/>
      <c r="H1050" s="256"/>
      <c r="I1050" s="332"/>
      <c r="J1050" s="333"/>
      <c r="K1050" s="334"/>
      <c r="L1050" s="484"/>
    </row>
    <row r="1051" spans="1:12" ht="15" thickBot="1">
      <c r="A1051" s="328"/>
      <c r="B1051" s="257"/>
      <c r="C1051" s="257"/>
      <c r="D1051" s="329"/>
      <c r="E1051" s="330"/>
      <c r="F1051" s="331"/>
      <c r="G1051" s="256"/>
      <c r="H1051" s="256"/>
      <c r="I1051" s="332"/>
      <c r="J1051" s="333"/>
      <c r="K1051" s="334"/>
      <c r="L1051" s="484"/>
    </row>
    <row r="1052" spans="1:12" ht="15" thickBot="1">
      <c r="A1052" s="328"/>
      <c r="B1052" s="257"/>
      <c r="C1052" s="257"/>
      <c r="D1052" s="329"/>
      <c r="E1052" s="330"/>
      <c r="F1052" s="331"/>
      <c r="G1052" s="256"/>
      <c r="H1052" s="256"/>
      <c r="I1052" s="332"/>
      <c r="J1052" s="333"/>
      <c r="K1052" s="334"/>
      <c r="L1052" s="484"/>
    </row>
    <row r="1053" spans="1:12" ht="15" thickBot="1">
      <c r="A1053" s="328"/>
      <c r="B1053" s="257"/>
      <c r="C1053" s="257"/>
      <c r="D1053" s="329"/>
      <c r="E1053" s="330"/>
      <c r="F1053" s="331"/>
      <c r="G1053" s="256"/>
      <c r="H1053" s="256"/>
      <c r="I1053" s="332"/>
      <c r="J1053" s="333"/>
      <c r="K1053" s="334"/>
      <c r="L1053" s="484"/>
    </row>
    <row r="1054" spans="1:12" ht="15" thickBot="1">
      <c r="A1054" s="328"/>
      <c r="B1054" s="257"/>
      <c r="C1054" s="257"/>
      <c r="D1054" s="329"/>
      <c r="E1054" s="330"/>
      <c r="F1054" s="331"/>
      <c r="G1054" s="256"/>
      <c r="H1054" s="256"/>
      <c r="I1054" s="332"/>
      <c r="J1054" s="333"/>
      <c r="K1054" s="334"/>
      <c r="L1054" s="484"/>
    </row>
    <row r="1055" spans="1:12" ht="15" thickBot="1">
      <c r="A1055" s="328"/>
      <c r="B1055" s="257"/>
      <c r="C1055" s="257"/>
      <c r="D1055" s="329"/>
      <c r="E1055" s="330"/>
      <c r="F1055" s="331"/>
      <c r="G1055" s="256"/>
      <c r="H1055" s="256"/>
      <c r="I1055" s="332"/>
      <c r="J1055" s="333"/>
      <c r="K1055" s="334"/>
      <c r="L1055" s="484"/>
    </row>
    <row r="1056" spans="1:12" ht="15" thickBot="1">
      <c r="A1056" s="328"/>
      <c r="B1056" s="257"/>
      <c r="C1056" s="257"/>
      <c r="D1056" s="329"/>
      <c r="E1056" s="330"/>
      <c r="F1056" s="331"/>
      <c r="G1056" s="256"/>
      <c r="H1056" s="256"/>
      <c r="I1056" s="332"/>
      <c r="J1056" s="333"/>
      <c r="K1056" s="334"/>
      <c r="L1056" s="484"/>
    </row>
    <row r="1057" spans="1:12" ht="15" thickBot="1">
      <c r="A1057" s="328"/>
      <c r="B1057" s="257"/>
      <c r="C1057" s="257"/>
      <c r="D1057" s="329"/>
      <c r="E1057" s="330"/>
      <c r="F1057" s="331"/>
      <c r="G1057" s="256"/>
      <c r="H1057" s="256"/>
      <c r="I1057" s="332"/>
      <c r="J1057" s="333"/>
      <c r="K1057" s="334"/>
      <c r="L1057" s="484"/>
    </row>
    <row r="1058" spans="1:12" ht="15" thickBot="1">
      <c r="A1058" s="328"/>
      <c r="B1058" s="257"/>
      <c r="C1058" s="257"/>
      <c r="D1058" s="329"/>
      <c r="E1058" s="330"/>
      <c r="F1058" s="331"/>
      <c r="G1058" s="256"/>
      <c r="H1058" s="256"/>
      <c r="I1058" s="332"/>
      <c r="J1058" s="333"/>
      <c r="K1058" s="334"/>
      <c r="L1058" s="484"/>
    </row>
    <row r="1059" spans="1:12" ht="15" thickBot="1">
      <c r="A1059" s="328"/>
      <c r="B1059" s="257"/>
      <c r="C1059" s="257"/>
      <c r="D1059" s="329"/>
      <c r="E1059" s="330"/>
      <c r="F1059" s="331"/>
      <c r="G1059" s="256"/>
      <c r="H1059" s="256"/>
      <c r="I1059" s="332"/>
      <c r="J1059" s="333"/>
      <c r="K1059" s="334"/>
      <c r="L1059" s="484"/>
    </row>
    <row r="1060" spans="1:12" ht="15" thickBot="1">
      <c r="A1060" s="328"/>
      <c r="B1060" s="257"/>
      <c r="C1060" s="257"/>
      <c r="D1060" s="329"/>
      <c r="E1060" s="330"/>
      <c r="F1060" s="331"/>
      <c r="G1060" s="256"/>
      <c r="H1060" s="256"/>
      <c r="I1060" s="332"/>
      <c r="J1060" s="333"/>
      <c r="K1060" s="334"/>
      <c r="L1060" s="484"/>
    </row>
    <row r="1061" spans="1:12" ht="15" thickBot="1">
      <c r="A1061" s="328"/>
      <c r="B1061" s="257"/>
      <c r="C1061" s="257"/>
      <c r="D1061" s="329"/>
      <c r="E1061" s="330"/>
      <c r="F1061" s="331"/>
      <c r="G1061" s="256"/>
      <c r="H1061" s="256"/>
      <c r="I1061" s="332"/>
      <c r="J1061" s="333"/>
      <c r="K1061" s="334"/>
      <c r="L1061" s="484"/>
    </row>
    <row r="1062" spans="1:12" ht="15" thickBot="1">
      <c r="A1062" s="328"/>
      <c r="B1062" s="257"/>
      <c r="C1062" s="257"/>
      <c r="D1062" s="329"/>
      <c r="E1062" s="330"/>
      <c r="F1062" s="331"/>
      <c r="G1062" s="256"/>
      <c r="H1062" s="256"/>
      <c r="I1062" s="332"/>
      <c r="J1062" s="333"/>
      <c r="K1062" s="334"/>
      <c r="L1062" s="484"/>
    </row>
    <row r="1063" spans="1:12" ht="15" thickBot="1">
      <c r="A1063" s="328"/>
      <c r="B1063" s="257"/>
      <c r="C1063" s="257"/>
      <c r="D1063" s="329"/>
      <c r="E1063" s="330"/>
      <c r="F1063" s="331"/>
      <c r="G1063" s="256"/>
      <c r="H1063" s="256"/>
      <c r="I1063" s="332"/>
      <c r="J1063" s="333"/>
      <c r="K1063" s="334"/>
      <c r="L1063" s="484"/>
    </row>
    <row r="1064" spans="1:12" ht="15" thickBot="1">
      <c r="A1064" s="328"/>
      <c r="B1064" s="257"/>
      <c r="C1064" s="257"/>
      <c r="D1064" s="329"/>
      <c r="E1064" s="330"/>
      <c r="F1064" s="331"/>
      <c r="G1064" s="256"/>
      <c r="H1064" s="256"/>
      <c r="I1064" s="332"/>
      <c r="J1064" s="333"/>
      <c r="K1064" s="334"/>
      <c r="L1064" s="484"/>
    </row>
    <row r="1065" spans="1:12" ht="15" thickBot="1">
      <c r="A1065" s="328"/>
      <c r="B1065" s="257"/>
      <c r="C1065" s="257"/>
      <c r="D1065" s="329"/>
      <c r="E1065" s="330"/>
      <c r="F1065" s="331"/>
      <c r="G1065" s="256"/>
      <c r="H1065" s="256"/>
      <c r="I1065" s="332"/>
      <c r="J1065" s="333"/>
      <c r="K1065" s="334"/>
      <c r="L1065" s="484"/>
    </row>
    <row r="1066" spans="1:12" ht="15" thickBot="1">
      <c r="A1066" s="328"/>
      <c r="B1066" s="257"/>
      <c r="C1066" s="257"/>
      <c r="D1066" s="329"/>
      <c r="E1066" s="330"/>
      <c r="F1066" s="331"/>
      <c r="G1066" s="256"/>
      <c r="H1066" s="256"/>
      <c r="I1066" s="332"/>
      <c r="J1066" s="333"/>
      <c r="K1066" s="334"/>
      <c r="L1066" s="484"/>
    </row>
    <row r="1067" spans="1:12" ht="15" thickBot="1">
      <c r="A1067" s="328"/>
      <c r="B1067" s="257"/>
      <c r="C1067" s="257"/>
      <c r="D1067" s="329"/>
      <c r="E1067" s="330"/>
      <c r="F1067" s="331"/>
      <c r="G1067" s="256"/>
      <c r="H1067" s="256"/>
      <c r="I1067" s="332"/>
      <c r="J1067" s="333"/>
      <c r="K1067" s="334"/>
      <c r="L1067" s="484"/>
    </row>
    <row r="1068" spans="1:12" ht="15" thickBot="1">
      <c r="A1068" s="328"/>
      <c r="B1068" s="257"/>
      <c r="C1068" s="257"/>
      <c r="D1068" s="329"/>
      <c r="E1068" s="330"/>
      <c r="F1068" s="331"/>
      <c r="G1068" s="256"/>
      <c r="H1068" s="256"/>
      <c r="I1068" s="332"/>
      <c r="J1068" s="333"/>
      <c r="K1068" s="334"/>
      <c r="L1068" s="484"/>
    </row>
    <row r="1069" spans="1:12" ht="15" thickBot="1">
      <c r="A1069" s="328"/>
      <c r="B1069" s="257"/>
      <c r="C1069" s="257"/>
      <c r="D1069" s="329"/>
      <c r="E1069" s="330"/>
      <c r="F1069" s="331"/>
      <c r="G1069" s="256"/>
      <c r="H1069" s="256"/>
      <c r="I1069" s="332"/>
      <c r="J1069" s="333"/>
      <c r="K1069" s="334"/>
      <c r="L1069" s="484"/>
    </row>
    <row r="1070" spans="1:12" ht="15" thickBot="1">
      <c r="A1070" s="328"/>
      <c r="B1070" s="257"/>
      <c r="C1070" s="257"/>
      <c r="D1070" s="329"/>
      <c r="E1070" s="330"/>
      <c r="F1070" s="331"/>
      <c r="G1070" s="256"/>
      <c r="H1070" s="256"/>
      <c r="I1070" s="332"/>
      <c r="J1070" s="333"/>
      <c r="K1070" s="334"/>
      <c r="L1070" s="484"/>
    </row>
    <row r="1071" spans="1:12" ht="15" thickBot="1">
      <c r="A1071" s="328"/>
      <c r="B1071" s="257"/>
      <c r="C1071" s="257"/>
      <c r="D1071" s="329"/>
      <c r="E1071" s="330"/>
      <c r="F1071" s="331"/>
      <c r="G1071" s="256"/>
      <c r="H1071" s="256"/>
      <c r="I1071" s="332"/>
      <c r="J1071" s="333"/>
      <c r="K1071" s="334"/>
      <c r="L1071" s="484"/>
    </row>
    <row r="1072" spans="1:12" ht="15" thickBot="1">
      <c r="A1072" s="328"/>
      <c r="B1072" s="257"/>
      <c r="C1072" s="257"/>
      <c r="D1072" s="329"/>
      <c r="E1072" s="330"/>
      <c r="F1072" s="331"/>
      <c r="G1072" s="256"/>
      <c r="H1072" s="256"/>
      <c r="I1072" s="332"/>
      <c r="J1072" s="333"/>
      <c r="K1072" s="334"/>
      <c r="L1072" s="484"/>
    </row>
    <row r="1073" spans="1:12" ht="15" thickBot="1">
      <c r="A1073" s="328"/>
      <c r="B1073" s="257"/>
      <c r="C1073" s="257"/>
      <c r="D1073" s="329"/>
      <c r="E1073" s="330"/>
      <c r="F1073" s="331"/>
      <c r="G1073" s="256"/>
      <c r="H1073" s="256"/>
      <c r="I1073" s="332"/>
      <c r="J1073" s="333"/>
      <c r="K1073" s="334"/>
      <c r="L1073" s="484"/>
    </row>
    <row r="1074" spans="1:12" ht="15" thickBot="1">
      <c r="A1074" s="328"/>
      <c r="B1074" s="257"/>
      <c r="C1074" s="257"/>
      <c r="D1074" s="329"/>
      <c r="E1074" s="330"/>
      <c r="F1074" s="331"/>
      <c r="G1074" s="256"/>
      <c r="H1074" s="256"/>
      <c r="I1074" s="332"/>
      <c r="J1074" s="333"/>
      <c r="K1074" s="334"/>
      <c r="L1074" s="484"/>
    </row>
    <row r="1075" spans="1:12" ht="15" thickBot="1">
      <c r="A1075" s="328"/>
      <c r="B1075" s="257"/>
      <c r="C1075" s="257"/>
      <c r="D1075" s="329"/>
      <c r="E1075" s="330"/>
      <c r="F1075" s="331"/>
      <c r="G1075" s="256"/>
      <c r="H1075" s="256"/>
      <c r="I1075" s="332"/>
      <c r="J1075" s="333"/>
      <c r="K1075" s="334"/>
      <c r="L1075" s="484"/>
    </row>
    <row r="1076" spans="1:12" ht="15" thickBot="1">
      <c r="A1076" s="328"/>
      <c r="B1076" s="257"/>
      <c r="C1076" s="257"/>
      <c r="D1076" s="329"/>
      <c r="E1076" s="330"/>
      <c r="F1076" s="331"/>
      <c r="G1076" s="256"/>
      <c r="H1076" s="256"/>
      <c r="I1076" s="332"/>
      <c r="J1076" s="333"/>
      <c r="K1076" s="334"/>
      <c r="L1076" s="484"/>
    </row>
    <row r="1077" spans="1:12" ht="15" thickBot="1">
      <c r="A1077" s="328"/>
      <c r="B1077" s="257"/>
      <c r="C1077" s="257"/>
      <c r="D1077" s="329"/>
      <c r="E1077" s="330"/>
      <c r="F1077" s="331"/>
      <c r="G1077" s="256"/>
      <c r="H1077" s="256"/>
      <c r="I1077" s="332"/>
      <c r="J1077" s="333"/>
      <c r="K1077" s="334"/>
      <c r="L1077" s="484"/>
    </row>
    <row r="1078" spans="1:12" ht="15" thickBot="1">
      <c r="A1078" s="328"/>
      <c r="B1078" s="257"/>
      <c r="C1078" s="257"/>
      <c r="D1078" s="329"/>
      <c r="E1078" s="330"/>
      <c r="F1078" s="331"/>
      <c r="G1078" s="256"/>
      <c r="H1078" s="256"/>
      <c r="I1078" s="332"/>
      <c r="J1078" s="333"/>
      <c r="K1078" s="334"/>
      <c r="L1078" s="484"/>
    </row>
    <row r="1079" spans="1:12" ht="15" thickBot="1">
      <c r="A1079" s="328"/>
      <c r="B1079" s="257"/>
      <c r="C1079" s="257"/>
      <c r="D1079" s="329"/>
      <c r="E1079" s="330"/>
      <c r="F1079" s="331"/>
      <c r="G1079" s="256"/>
      <c r="H1079" s="256"/>
      <c r="I1079" s="332"/>
      <c r="J1079" s="333"/>
      <c r="K1079" s="334"/>
      <c r="L1079" s="484"/>
    </row>
    <row r="1080" spans="1:12" ht="15" thickBot="1">
      <c r="A1080" s="328"/>
      <c r="B1080" s="257"/>
      <c r="C1080" s="257"/>
      <c r="D1080" s="329"/>
      <c r="E1080" s="330"/>
      <c r="F1080" s="331"/>
      <c r="G1080" s="256"/>
      <c r="H1080" s="256"/>
      <c r="I1080" s="332"/>
      <c r="J1080" s="333"/>
      <c r="K1080" s="334"/>
      <c r="L1080" s="484"/>
    </row>
    <row r="1081" spans="1:12" ht="15" thickBot="1">
      <c r="A1081" s="328"/>
      <c r="B1081" s="257"/>
      <c r="C1081" s="257"/>
      <c r="D1081" s="329"/>
      <c r="E1081" s="330"/>
      <c r="F1081" s="331"/>
      <c r="G1081" s="256"/>
      <c r="H1081" s="256"/>
      <c r="I1081" s="332"/>
      <c r="J1081" s="333"/>
      <c r="K1081" s="334"/>
      <c r="L1081" s="484"/>
    </row>
    <row r="1082" spans="1:12" ht="15" thickBot="1">
      <c r="A1082" s="328"/>
      <c r="B1082" s="257"/>
      <c r="C1082" s="257"/>
      <c r="D1082" s="329"/>
      <c r="E1082" s="330"/>
      <c r="F1082" s="331"/>
      <c r="G1082" s="256"/>
      <c r="H1082" s="256"/>
      <c r="I1082" s="332"/>
      <c r="J1082" s="333"/>
      <c r="K1082" s="334"/>
      <c r="L1082" s="484"/>
    </row>
    <row r="1083" spans="1:12" ht="15" thickBot="1">
      <c r="A1083" s="328"/>
      <c r="B1083" s="257"/>
      <c r="C1083" s="257"/>
      <c r="D1083" s="329"/>
      <c r="E1083" s="330"/>
      <c r="F1083" s="331"/>
      <c r="G1083" s="256"/>
      <c r="H1083" s="256"/>
      <c r="I1083" s="332"/>
      <c r="J1083" s="333"/>
      <c r="K1083" s="334"/>
      <c r="L1083" s="484"/>
    </row>
    <row r="1084" spans="1:12" ht="15" thickBot="1">
      <c r="A1084" s="328"/>
      <c r="B1084" s="257"/>
      <c r="C1084" s="257"/>
      <c r="D1084" s="329"/>
      <c r="E1084" s="330"/>
      <c r="F1084" s="331"/>
      <c r="G1084" s="256"/>
      <c r="H1084" s="256"/>
      <c r="I1084" s="332"/>
      <c r="J1084" s="333"/>
      <c r="K1084" s="334"/>
      <c r="L1084" s="484"/>
    </row>
    <row r="1085" spans="1:12" ht="15" thickBot="1">
      <c r="A1085" s="328"/>
      <c r="B1085" s="257"/>
      <c r="C1085" s="257"/>
      <c r="D1085" s="329"/>
      <c r="E1085" s="330"/>
      <c r="F1085" s="331"/>
      <c r="G1085" s="256"/>
      <c r="H1085" s="256"/>
      <c r="I1085" s="332"/>
      <c r="J1085" s="333"/>
      <c r="K1085" s="334"/>
      <c r="L1085" s="484"/>
    </row>
    <row r="1086" spans="1:12" ht="15" thickBot="1">
      <c r="A1086" s="328"/>
      <c r="B1086" s="257"/>
      <c r="C1086" s="257"/>
      <c r="D1086" s="329"/>
      <c r="E1086" s="330"/>
      <c r="F1086" s="331"/>
      <c r="G1086" s="256"/>
      <c r="H1086" s="256"/>
      <c r="I1086" s="332"/>
      <c r="J1086" s="333"/>
      <c r="K1086" s="334"/>
      <c r="L1086" s="484"/>
    </row>
    <row r="1087" spans="1:12" ht="15" thickBot="1">
      <c r="A1087" s="328"/>
      <c r="B1087" s="257"/>
      <c r="C1087" s="257"/>
      <c r="D1087" s="329"/>
      <c r="E1087" s="330"/>
      <c r="F1087" s="331"/>
      <c r="G1087" s="256"/>
      <c r="H1087" s="256"/>
      <c r="I1087" s="332"/>
      <c r="J1087" s="333"/>
      <c r="K1087" s="334"/>
      <c r="L1087" s="484"/>
    </row>
    <row r="1088" spans="1:12" ht="15" thickBot="1">
      <c r="A1088" s="328"/>
      <c r="B1088" s="257"/>
      <c r="C1088" s="257"/>
      <c r="D1088" s="329"/>
      <c r="E1088" s="330"/>
      <c r="F1088" s="331"/>
      <c r="G1088" s="256"/>
      <c r="H1088" s="256"/>
      <c r="I1088" s="332"/>
      <c r="J1088" s="333"/>
      <c r="K1088" s="334"/>
      <c r="L1088" s="484"/>
    </row>
    <row r="1089" spans="1:12" ht="15" thickBot="1">
      <c r="A1089" s="328"/>
      <c r="B1089" s="257"/>
      <c r="C1089" s="257"/>
      <c r="D1089" s="329"/>
      <c r="E1089" s="330"/>
      <c r="F1089" s="331"/>
      <c r="G1089" s="256"/>
      <c r="H1089" s="256"/>
      <c r="I1089" s="332"/>
      <c r="J1089" s="333"/>
      <c r="K1089" s="334"/>
      <c r="L1089" s="484"/>
    </row>
    <row r="1090" spans="1:12" ht="15" thickBot="1">
      <c r="A1090" s="328"/>
      <c r="B1090" s="257"/>
      <c r="C1090" s="257"/>
      <c r="D1090" s="329"/>
      <c r="E1090" s="330"/>
      <c r="F1090" s="331"/>
      <c r="G1090" s="256"/>
      <c r="H1090" s="256"/>
      <c r="I1090" s="332"/>
      <c r="J1090" s="333"/>
      <c r="K1090" s="334"/>
      <c r="L1090" s="484"/>
    </row>
    <row r="1091" spans="1:12" ht="15" thickBot="1">
      <c r="A1091" s="328"/>
      <c r="B1091" s="257"/>
      <c r="C1091" s="257"/>
      <c r="D1091" s="329"/>
      <c r="E1091" s="330"/>
      <c r="F1091" s="331"/>
      <c r="G1091" s="256"/>
      <c r="H1091" s="256"/>
      <c r="I1091" s="332"/>
      <c r="J1091" s="333"/>
      <c r="K1091" s="334"/>
      <c r="L1091" s="484"/>
    </row>
    <row r="1092" spans="1:12" ht="15" thickBot="1">
      <c r="A1092" s="328"/>
      <c r="B1092" s="257"/>
      <c r="C1092" s="257"/>
      <c r="D1092" s="329"/>
      <c r="E1092" s="330"/>
      <c r="F1092" s="331"/>
      <c r="G1092" s="256"/>
      <c r="H1092" s="256"/>
      <c r="I1092" s="332"/>
      <c r="J1092" s="333"/>
      <c r="K1092" s="334"/>
      <c r="L1092" s="484"/>
    </row>
    <row r="1093" spans="1:12" ht="15" thickBot="1">
      <c r="A1093" s="328"/>
      <c r="B1093" s="257"/>
      <c r="C1093" s="257"/>
      <c r="D1093" s="329"/>
      <c r="E1093" s="330"/>
      <c r="F1093" s="331"/>
      <c r="G1093" s="256"/>
      <c r="H1093" s="256"/>
      <c r="I1093" s="332"/>
      <c r="J1093" s="333"/>
      <c r="K1093" s="334"/>
      <c r="L1093" s="484"/>
    </row>
    <row r="1094" spans="1:12" ht="15" thickBot="1">
      <c r="A1094" s="328"/>
      <c r="B1094" s="257"/>
      <c r="C1094" s="257"/>
      <c r="D1094" s="329"/>
      <c r="E1094" s="330"/>
      <c r="F1094" s="331"/>
      <c r="G1094" s="256"/>
      <c r="H1094" s="256"/>
      <c r="I1094" s="332"/>
      <c r="J1094" s="333"/>
      <c r="K1094" s="334"/>
      <c r="L1094" s="484"/>
    </row>
    <row r="1095" spans="1:12" ht="15" thickBot="1">
      <c r="A1095" s="328"/>
      <c r="B1095" s="257"/>
      <c r="C1095" s="257"/>
      <c r="D1095" s="329"/>
      <c r="E1095" s="330"/>
      <c r="F1095" s="331"/>
      <c r="G1095" s="256"/>
      <c r="H1095" s="256"/>
      <c r="I1095" s="332"/>
      <c r="J1095" s="333"/>
      <c r="K1095" s="334"/>
      <c r="L1095" s="484"/>
    </row>
    <row r="1096" spans="1:12" ht="15" thickBot="1">
      <c r="A1096" s="328"/>
      <c r="B1096" s="257"/>
      <c r="C1096" s="257"/>
      <c r="D1096" s="329"/>
      <c r="E1096" s="330"/>
      <c r="F1096" s="331"/>
      <c r="G1096" s="256"/>
      <c r="H1096" s="256"/>
      <c r="I1096" s="332"/>
      <c r="J1096" s="333"/>
      <c r="K1096" s="334"/>
      <c r="L1096" s="484"/>
    </row>
    <row r="1097" spans="1:12" ht="15" thickBot="1">
      <c r="A1097" s="328"/>
      <c r="B1097" s="257"/>
      <c r="C1097" s="257"/>
      <c r="D1097" s="329"/>
      <c r="E1097" s="330"/>
      <c r="F1097" s="331"/>
      <c r="G1097" s="256"/>
      <c r="H1097" s="256"/>
      <c r="I1097" s="332"/>
      <c r="J1097" s="333"/>
      <c r="K1097" s="334"/>
      <c r="L1097" s="484"/>
    </row>
    <row r="1098" spans="1:12" ht="15" thickBot="1">
      <c r="A1098" s="328"/>
      <c r="B1098" s="257"/>
      <c r="C1098" s="257"/>
      <c r="D1098" s="329"/>
      <c r="E1098" s="330"/>
      <c r="F1098" s="331"/>
      <c r="G1098" s="256"/>
      <c r="H1098" s="256"/>
      <c r="I1098" s="332"/>
      <c r="J1098" s="333"/>
      <c r="K1098" s="334"/>
      <c r="L1098" s="484"/>
    </row>
    <row r="1099" spans="1:12" ht="15" thickBot="1">
      <c r="A1099" s="328"/>
      <c r="B1099" s="257"/>
      <c r="C1099" s="257"/>
      <c r="D1099" s="329"/>
      <c r="E1099" s="330"/>
      <c r="F1099" s="331"/>
      <c r="G1099" s="256"/>
      <c r="H1099" s="256"/>
      <c r="I1099" s="332"/>
      <c r="J1099" s="333"/>
      <c r="K1099" s="334"/>
      <c r="L1099" s="484"/>
    </row>
    <row r="1100" spans="1:12" ht="15" thickBot="1">
      <c r="A1100" s="328"/>
      <c r="B1100" s="257"/>
      <c r="C1100" s="257"/>
      <c r="D1100" s="329"/>
      <c r="E1100" s="330"/>
      <c r="F1100" s="331"/>
      <c r="G1100" s="256"/>
      <c r="H1100" s="256"/>
      <c r="I1100" s="332"/>
      <c r="J1100" s="333"/>
      <c r="K1100" s="334"/>
      <c r="L1100" s="484"/>
    </row>
    <row r="1101" spans="1:12" ht="15" thickBot="1">
      <c r="A1101" s="328"/>
      <c r="B1101" s="257"/>
      <c r="C1101" s="257"/>
      <c r="D1101" s="329"/>
      <c r="E1101" s="330"/>
      <c r="F1101" s="331"/>
      <c r="G1101" s="256"/>
      <c r="H1101" s="256"/>
      <c r="I1101" s="332"/>
      <c r="J1101" s="333"/>
      <c r="K1101" s="334"/>
      <c r="L1101" s="484"/>
    </row>
    <row r="1102" spans="1:12" ht="15" thickBot="1">
      <c r="A1102" s="328"/>
      <c r="B1102" s="257"/>
      <c r="C1102" s="257"/>
      <c r="D1102" s="329"/>
      <c r="E1102" s="330"/>
      <c r="F1102" s="331"/>
      <c r="G1102" s="256"/>
      <c r="H1102" s="256"/>
      <c r="I1102" s="332"/>
      <c r="J1102" s="333"/>
      <c r="K1102" s="334"/>
      <c r="L1102" s="484"/>
    </row>
    <row r="1103" spans="1:12" ht="15" thickBot="1">
      <c r="A1103" s="328"/>
      <c r="B1103" s="257"/>
      <c r="C1103" s="257"/>
      <c r="D1103" s="329"/>
      <c r="E1103" s="330"/>
      <c r="F1103" s="331"/>
      <c r="G1103" s="256"/>
      <c r="H1103" s="256"/>
      <c r="I1103" s="332"/>
      <c r="J1103" s="333"/>
      <c r="K1103" s="334"/>
      <c r="L1103" s="484"/>
    </row>
    <row r="1104" spans="1:12" ht="15" thickBot="1">
      <c r="A1104" s="328"/>
      <c r="B1104" s="257"/>
      <c r="C1104" s="257"/>
      <c r="D1104" s="329"/>
      <c r="E1104" s="330"/>
      <c r="F1104" s="331"/>
      <c r="G1104" s="256"/>
      <c r="H1104" s="256"/>
      <c r="I1104" s="332"/>
      <c r="J1104" s="333"/>
      <c r="K1104" s="334"/>
      <c r="L1104" s="484"/>
    </row>
    <row r="1105" spans="1:12" ht="15" thickBot="1">
      <c r="A1105" s="328"/>
      <c r="B1105" s="257"/>
      <c r="C1105" s="257"/>
      <c r="D1105" s="329"/>
      <c r="E1105" s="330"/>
      <c r="F1105" s="331"/>
      <c r="G1105" s="256"/>
      <c r="H1105" s="256"/>
      <c r="I1105" s="332"/>
      <c r="J1105" s="333"/>
      <c r="K1105" s="334"/>
      <c r="L1105" s="484"/>
    </row>
    <row r="1106" spans="1:12" ht="15" thickBot="1">
      <c r="A1106" s="328"/>
      <c r="B1106" s="257"/>
      <c r="C1106" s="257"/>
      <c r="D1106" s="329"/>
      <c r="E1106" s="330"/>
      <c r="F1106" s="331"/>
      <c r="G1106" s="256"/>
      <c r="H1106" s="256"/>
      <c r="I1106" s="332"/>
      <c r="J1106" s="333"/>
      <c r="K1106" s="334"/>
      <c r="L1106" s="484"/>
    </row>
    <row r="1107" spans="1:12" ht="15" thickBot="1">
      <c r="A1107" s="328"/>
      <c r="B1107" s="257"/>
      <c r="C1107" s="257"/>
      <c r="D1107" s="329"/>
      <c r="E1107" s="330"/>
      <c r="F1107" s="331"/>
      <c r="G1107" s="256"/>
      <c r="H1107" s="256"/>
      <c r="I1107" s="332"/>
      <c r="J1107" s="333"/>
      <c r="K1107" s="334"/>
      <c r="L1107" s="484"/>
    </row>
    <row r="1108" spans="1:12" ht="15" thickBot="1">
      <c r="A1108" s="328"/>
      <c r="B1108" s="257"/>
      <c r="C1108" s="257"/>
      <c r="D1108" s="329"/>
      <c r="E1108" s="330"/>
      <c r="F1108" s="331"/>
      <c r="G1108" s="256"/>
      <c r="H1108" s="256"/>
      <c r="I1108" s="332"/>
      <c r="J1108" s="333"/>
      <c r="K1108" s="334"/>
      <c r="L1108" s="484"/>
    </row>
    <row r="1109" spans="1:12" ht="15" thickBot="1">
      <c r="A1109" s="328"/>
      <c r="B1109" s="257"/>
      <c r="C1109" s="257"/>
      <c r="D1109" s="329"/>
      <c r="E1109" s="330"/>
      <c r="F1109" s="331"/>
      <c r="G1109" s="256"/>
      <c r="H1109" s="256"/>
      <c r="I1109" s="332"/>
      <c r="J1109" s="333"/>
      <c r="K1109" s="334"/>
      <c r="L1109" s="484"/>
    </row>
    <row r="1110" spans="1:12" ht="15" thickBot="1">
      <c r="A1110" s="328"/>
      <c r="B1110" s="257"/>
      <c r="C1110" s="257"/>
      <c r="D1110" s="329"/>
      <c r="E1110" s="330"/>
      <c r="F1110" s="331"/>
      <c r="G1110" s="256"/>
      <c r="H1110" s="256"/>
      <c r="I1110" s="332"/>
      <c r="J1110" s="333"/>
      <c r="K1110" s="334"/>
      <c r="L1110" s="484"/>
    </row>
    <row r="1111" spans="1:12" ht="15" thickBot="1">
      <c r="A1111" s="328"/>
      <c r="B1111" s="257"/>
      <c r="C1111" s="257"/>
      <c r="D1111" s="329"/>
      <c r="E1111" s="330"/>
      <c r="F1111" s="331"/>
      <c r="G1111" s="256"/>
      <c r="H1111" s="256"/>
      <c r="I1111" s="332"/>
      <c r="J1111" s="333"/>
      <c r="K1111" s="334"/>
      <c r="L1111" s="484"/>
    </row>
    <row r="1112" spans="1:12" ht="15" thickBot="1">
      <c r="A1112" s="328"/>
      <c r="B1112" s="257"/>
      <c r="C1112" s="257"/>
      <c r="D1112" s="329"/>
      <c r="E1112" s="330"/>
      <c r="F1112" s="331"/>
      <c r="G1112" s="256"/>
      <c r="H1112" s="256"/>
      <c r="I1112" s="332"/>
      <c r="J1112" s="333"/>
      <c r="K1112" s="334"/>
      <c r="L1112" s="484"/>
    </row>
    <row r="1113" spans="1:12" ht="15" thickBot="1">
      <c r="A1113" s="328"/>
      <c r="B1113" s="257"/>
      <c r="C1113" s="257"/>
      <c r="D1113" s="329"/>
      <c r="E1113" s="330"/>
      <c r="F1113" s="331"/>
      <c r="G1113" s="256"/>
      <c r="H1113" s="256"/>
      <c r="I1113" s="332"/>
      <c r="J1113" s="333"/>
      <c r="K1113" s="334"/>
      <c r="L1113" s="484"/>
    </row>
    <row r="1114" spans="1:12" ht="15" thickBot="1">
      <c r="A1114" s="328"/>
      <c r="B1114" s="257"/>
      <c r="C1114" s="257"/>
      <c r="D1114" s="329"/>
      <c r="E1114" s="330"/>
      <c r="F1114" s="331"/>
      <c r="G1114" s="256"/>
      <c r="H1114" s="256"/>
      <c r="I1114" s="332"/>
      <c r="J1114" s="333"/>
      <c r="K1114" s="334"/>
      <c r="L1114" s="484"/>
    </row>
    <row r="1115" spans="1:12" ht="15" thickBot="1">
      <c r="A1115" s="328"/>
      <c r="B1115" s="257"/>
      <c r="C1115" s="257"/>
      <c r="D1115" s="329"/>
      <c r="E1115" s="330"/>
      <c r="F1115" s="331"/>
      <c r="G1115" s="256"/>
      <c r="H1115" s="256"/>
      <c r="I1115" s="332"/>
      <c r="J1115" s="333"/>
      <c r="K1115" s="334"/>
      <c r="L1115" s="484"/>
    </row>
    <row r="1116" spans="1:12" ht="15" thickBot="1">
      <c r="A1116" s="328"/>
      <c r="B1116" s="257"/>
      <c r="C1116" s="257"/>
      <c r="D1116" s="329"/>
      <c r="E1116" s="330"/>
      <c r="F1116" s="331"/>
      <c r="G1116" s="256"/>
      <c r="H1116" s="256"/>
      <c r="I1116" s="332"/>
      <c r="J1116" s="333"/>
      <c r="K1116" s="334"/>
      <c r="L1116" s="484"/>
    </row>
    <row r="1117" spans="1:12" ht="15" thickBot="1">
      <c r="A1117" s="328"/>
      <c r="B1117" s="257"/>
      <c r="C1117" s="257"/>
      <c r="D1117" s="329"/>
      <c r="E1117" s="330"/>
      <c r="F1117" s="331"/>
      <c r="G1117" s="256"/>
      <c r="H1117" s="256"/>
      <c r="I1117" s="332"/>
      <c r="J1117" s="333"/>
      <c r="K1117" s="334"/>
      <c r="L1117" s="484"/>
    </row>
    <row r="1118" spans="1:12" ht="15" thickBot="1">
      <c r="A1118" s="328"/>
      <c r="B1118" s="257"/>
      <c r="C1118" s="257"/>
      <c r="D1118" s="329"/>
      <c r="E1118" s="330"/>
      <c r="F1118" s="331"/>
      <c r="G1118" s="256"/>
      <c r="H1118" s="256"/>
      <c r="I1118" s="332"/>
      <c r="J1118" s="333"/>
      <c r="K1118" s="334"/>
      <c r="L1118" s="484"/>
    </row>
    <row r="1119" spans="1:12" ht="15" thickBot="1">
      <c r="A1119" s="328"/>
      <c r="B1119" s="257"/>
      <c r="C1119" s="257"/>
      <c r="D1119" s="329"/>
      <c r="E1119" s="330"/>
      <c r="F1119" s="331"/>
      <c r="G1119" s="256"/>
      <c r="H1119" s="256"/>
      <c r="I1119" s="332"/>
      <c r="J1119" s="333"/>
      <c r="K1119" s="334"/>
      <c r="L1119" s="484"/>
    </row>
    <row r="1120" spans="1:12" ht="15" thickBot="1">
      <c r="A1120" s="328"/>
      <c r="B1120" s="257"/>
      <c r="C1120" s="257"/>
      <c r="D1120" s="329"/>
      <c r="E1120" s="330"/>
      <c r="F1120" s="331"/>
      <c r="G1120" s="256"/>
      <c r="H1120" s="256"/>
      <c r="I1120" s="332"/>
      <c r="J1120" s="333"/>
      <c r="K1120" s="334"/>
      <c r="L1120" s="484"/>
    </row>
    <row r="1121" spans="1:12" ht="15" thickBot="1">
      <c r="A1121" s="328"/>
      <c r="B1121" s="257"/>
      <c r="C1121" s="257"/>
      <c r="D1121" s="329"/>
      <c r="E1121" s="330"/>
      <c r="F1121" s="331"/>
      <c r="G1121" s="256"/>
      <c r="H1121" s="256"/>
      <c r="I1121" s="332"/>
      <c r="J1121" s="333"/>
      <c r="K1121" s="334"/>
      <c r="L1121" s="484"/>
    </row>
    <row r="1122" spans="1:12" ht="15" thickBot="1">
      <c r="A1122" s="328"/>
      <c r="B1122" s="257"/>
      <c r="C1122" s="257"/>
      <c r="D1122" s="329"/>
      <c r="E1122" s="330"/>
      <c r="F1122" s="331"/>
      <c r="G1122" s="256"/>
      <c r="H1122" s="256"/>
      <c r="I1122" s="332"/>
      <c r="J1122" s="333"/>
      <c r="K1122" s="334"/>
      <c r="L1122" s="484"/>
    </row>
    <row r="1123" spans="1:12" ht="15" thickBot="1">
      <c r="A1123" s="328"/>
      <c r="B1123" s="257"/>
      <c r="C1123" s="257"/>
      <c r="D1123" s="329"/>
      <c r="E1123" s="330"/>
      <c r="F1123" s="331"/>
      <c r="G1123" s="256"/>
      <c r="H1123" s="256"/>
      <c r="I1123" s="332"/>
      <c r="J1123" s="333"/>
      <c r="K1123" s="334"/>
      <c r="L1123" s="484"/>
    </row>
    <row r="1124" spans="1:12" ht="15" thickBot="1">
      <c r="A1124" s="328"/>
      <c r="B1124" s="257"/>
      <c r="C1124" s="257"/>
      <c r="D1124" s="329"/>
      <c r="E1124" s="330"/>
      <c r="F1124" s="331"/>
      <c r="G1124" s="256"/>
      <c r="H1124" s="256"/>
      <c r="I1124" s="332"/>
      <c r="J1124" s="333"/>
      <c r="K1124" s="334"/>
      <c r="L1124" s="484"/>
    </row>
    <row r="1125" spans="1:12" ht="15" thickBot="1">
      <c r="A1125" s="328"/>
      <c r="B1125" s="257"/>
      <c r="C1125" s="257"/>
      <c r="D1125" s="329"/>
      <c r="E1125" s="330"/>
      <c r="F1125" s="331"/>
      <c r="G1125" s="256"/>
      <c r="H1125" s="256"/>
      <c r="I1125" s="332"/>
      <c r="J1125" s="333"/>
      <c r="K1125" s="334"/>
      <c r="L1125" s="484"/>
    </row>
    <row r="1126" spans="1:12" ht="15" thickBot="1">
      <c r="A1126" s="328"/>
      <c r="B1126" s="257"/>
      <c r="C1126" s="257"/>
      <c r="D1126" s="329"/>
      <c r="E1126" s="330"/>
      <c r="F1126" s="331"/>
      <c r="G1126" s="256"/>
      <c r="H1126" s="256"/>
      <c r="I1126" s="332"/>
      <c r="J1126" s="333"/>
      <c r="K1126" s="334"/>
      <c r="L1126" s="484"/>
    </row>
    <row r="1127" spans="1:12" ht="15" thickBot="1">
      <c r="A1127" s="328"/>
      <c r="B1127" s="257"/>
      <c r="C1127" s="257"/>
      <c r="D1127" s="329"/>
      <c r="E1127" s="330"/>
      <c r="F1127" s="331"/>
      <c r="G1127" s="256"/>
      <c r="H1127" s="256"/>
      <c r="I1127" s="332"/>
      <c r="J1127" s="333"/>
      <c r="K1127" s="334"/>
      <c r="L1127" s="484"/>
    </row>
    <row r="1128" spans="1:12" ht="15" thickBot="1">
      <c r="A1128" s="328"/>
      <c r="B1128" s="257"/>
      <c r="C1128" s="257"/>
      <c r="D1128" s="329"/>
      <c r="E1128" s="330"/>
      <c r="F1128" s="331"/>
      <c r="G1128" s="256"/>
      <c r="H1128" s="256"/>
      <c r="I1128" s="332"/>
      <c r="J1128" s="333"/>
      <c r="K1128" s="334"/>
      <c r="L1128" s="484"/>
    </row>
    <row r="1129" spans="1:12" ht="15" thickBot="1">
      <c r="A1129" s="328"/>
      <c r="B1129" s="257"/>
      <c r="C1129" s="257"/>
      <c r="D1129" s="329"/>
      <c r="E1129" s="330"/>
      <c r="F1129" s="331"/>
      <c r="G1129" s="256"/>
      <c r="H1129" s="256"/>
      <c r="I1129" s="332"/>
      <c r="J1129" s="333"/>
      <c r="K1129" s="334"/>
      <c r="L1129" s="484"/>
    </row>
    <row r="1130" spans="1:12" ht="15" thickBot="1">
      <c r="A1130" s="328"/>
      <c r="B1130" s="257"/>
      <c r="C1130" s="257"/>
      <c r="D1130" s="329"/>
      <c r="E1130" s="330"/>
      <c r="F1130" s="331"/>
      <c r="G1130" s="256"/>
      <c r="H1130" s="256"/>
      <c r="I1130" s="332"/>
      <c r="J1130" s="333"/>
      <c r="K1130" s="334"/>
      <c r="L1130" s="484"/>
    </row>
    <row r="1131" spans="1:12" ht="15" thickBot="1">
      <c r="A1131" s="328"/>
      <c r="B1131" s="257"/>
      <c r="C1131" s="257"/>
      <c r="D1131" s="329"/>
      <c r="E1131" s="330"/>
      <c r="F1131" s="331"/>
      <c r="G1131" s="256"/>
      <c r="H1131" s="256"/>
      <c r="I1131" s="332"/>
      <c r="J1131" s="333"/>
      <c r="K1131" s="334"/>
      <c r="L1131" s="484"/>
    </row>
    <row r="1132" spans="1:12" ht="15" thickBot="1">
      <c r="A1132" s="328"/>
      <c r="B1132" s="257"/>
      <c r="C1132" s="257"/>
      <c r="D1132" s="329"/>
      <c r="E1132" s="330"/>
      <c r="F1132" s="331"/>
      <c r="G1132" s="256"/>
      <c r="H1132" s="256"/>
      <c r="I1132" s="332"/>
      <c r="J1132" s="333"/>
      <c r="K1132" s="334"/>
      <c r="L1132" s="484"/>
    </row>
    <row r="1133" spans="1:12" ht="15" thickBot="1">
      <c r="A1133" s="328"/>
      <c r="B1133" s="257"/>
      <c r="C1133" s="257"/>
      <c r="D1133" s="329"/>
      <c r="E1133" s="330"/>
      <c r="F1133" s="331"/>
      <c r="G1133" s="256"/>
      <c r="H1133" s="256"/>
      <c r="I1133" s="332"/>
      <c r="J1133" s="333"/>
      <c r="K1133" s="334"/>
      <c r="L1133" s="484"/>
    </row>
    <row r="1134" spans="1:12" ht="15" thickBot="1">
      <c r="A1134" s="328"/>
      <c r="B1134" s="257"/>
      <c r="C1134" s="257"/>
      <c r="D1134" s="329"/>
      <c r="E1134" s="330"/>
      <c r="F1134" s="331"/>
      <c r="G1134" s="256"/>
      <c r="H1134" s="256"/>
      <c r="I1134" s="332"/>
      <c r="J1134" s="333"/>
      <c r="K1134" s="334"/>
      <c r="L1134" s="484"/>
    </row>
    <row r="1135" spans="1:12" ht="15" thickBot="1">
      <c r="A1135" s="328"/>
      <c r="B1135" s="257"/>
      <c r="C1135" s="257"/>
      <c r="D1135" s="329"/>
      <c r="E1135" s="330"/>
      <c r="F1135" s="331"/>
      <c r="G1135" s="256"/>
      <c r="H1135" s="256"/>
      <c r="I1135" s="332"/>
      <c r="J1135" s="333"/>
      <c r="K1135" s="334"/>
      <c r="L1135" s="484"/>
    </row>
    <row r="1136" spans="1:12" ht="15" thickBot="1">
      <c r="A1136" s="328"/>
      <c r="B1136" s="257"/>
      <c r="C1136" s="257"/>
      <c r="D1136" s="329"/>
      <c r="E1136" s="330"/>
      <c r="F1136" s="331"/>
      <c r="G1136" s="256"/>
      <c r="H1136" s="256"/>
      <c r="I1136" s="332"/>
      <c r="J1136" s="333"/>
      <c r="K1136" s="334"/>
      <c r="L1136" s="484"/>
    </row>
    <row r="1137" spans="1:12" ht="15" thickBot="1">
      <c r="A1137" s="328"/>
      <c r="B1137" s="257"/>
      <c r="C1137" s="257"/>
      <c r="D1137" s="329"/>
      <c r="E1137" s="330"/>
      <c r="F1137" s="331"/>
      <c r="G1137" s="256"/>
      <c r="H1137" s="256"/>
      <c r="I1137" s="332"/>
      <c r="J1137" s="333"/>
      <c r="K1137" s="334"/>
      <c r="L1137" s="484"/>
    </row>
    <row r="1138" spans="1:12" ht="15" thickBot="1">
      <c r="A1138" s="328"/>
      <c r="B1138" s="257"/>
      <c r="C1138" s="257"/>
      <c r="D1138" s="329"/>
      <c r="E1138" s="330"/>
      <c r="F1138" s="331"/>
      <c r="G1138" s="256"/>
      <c r="H1138" s="256"/>
      <c r="I1138" s="332"/>
      <c r="J1138" s="333"/>
      <c r="K1138" s="334"/>
      <c r="L1138" s="484"/>
    </row>
    <row r="1139" spans="1:12" ht="15" thickBot="1">
      <c r="A1139" s="328"/>
      <c r="B1139" s="257"/>
      <c r="C1139" s="257"/>
      <c r="D1139" s="329"/>
      <c r="E1139" s="330"/>
      <c r="F1139" s="331"/>
      <c r="G1139" s="256"/>
      <c r="H1139" s="256"/>
      <c r="I1139" s="332"/>
      <c r="J1139" s="333"/>
      <c r="K1139" s="334"/>
      <c r="L1139" s="484"/>
    </row>
    <row r="1140" spans="1:12" ht="15" thickBot="1">
      <c r="A1140" s="328"/>
      <c r="B1140" s="257"/>
      <c r="C1140" s="257"/>
      <c r="D1140" s="329"/>
      <c r="E1140" s="330"/>
      <c r="F1140" s="331"/>
      <c r="G1140" s="256"/>
      <c r="H1140" s="256"/>
      <c r="I1140" s="332"/>
      <c r="J1140" s="333"/>
      <c r="K1140" s="334"/>
      <c r="L1140" s="484"/>
    </row>
    <row r="1141" spans="1:12" ht="15" thickBot="1">
      <c r="A1141" s="328"/>
      <c r="B1141" s="257"/>
      <c r="C1141" s="257"/>
      <c r="D1141" s="329"/>
      <c r="E1141" s="330"/>
      <c r="F1141" s="331"/>
      <c r="G1141" s="256"/>
      <c r="H1141" s="256"/>
      <c r="I1141" s="332"/>
      <c r="J1141" s="333"/>
      <c r="K1141" s="334"/>
      <c r="L1141" s="484"/>
    </row>
    <row r="1142" spans="1:12" ht="15" thickBot="1">
      <c r="A1142" s="328"/>
      <c r="B1142" s="257"/>
      <c r="C1142" s="257"/>
      <c r="D1142" s="329"/>
      <c r="E1142" s="330"/>
      <c r="F1142" s="331"/>
      <c r="G1142" s="256"/>
      <c r="H1142" s="256"/>
      <c r="I1142" s="332"/>
      <c r="J1142" s="333"/>
      <c r="K1142" s="334"/>
      <c r="L1142" s="484"/>
    </row>
    <row r="1143" spans="1:12" ht="15" thickBot="1">
      <c r="A1143" s="328"/>
      <c r="B1143" s="257"/>
      <c r="C1143" s="257"/>
      <c r="D1143" s="329"/>
      <c r="E1143" s="330"/>
      <c r="F1143" s="331"/>
      <c r="G1143" s="256"/>
      <c r="H1143" s="256"/>
      <c r="I1143" s="332"/>
      <c r="J1143" s="333"/>
      <c r="K1143" s="334"/>
      <c r="L1143" s="484"/>
    </row>
    <row r="1144" spans="1:12" ht="15" thickBot="1">
      <c r="A1144" s="328"/>
      <c r="B1144" s="257"/>
      <c r="C1144" s="257"/>
      <c r="D1144" s="329"/>
      <c r="E1144" s="330"/>
      <c r="F1144" s="331"/>
      <c r="G1144" s="256"/>
      <c r="H1144" s="256"/>
      <c r="I1144" s="332"/>
      <c r="J1144" s="333"/>
      <c r="K1144" s="334"/>
      <c r="L1144" s="484"/>
    </row>
    <row r="1145" spans="1:12" ht="15" thickBot="1">
      <c r="A1145" s="328"/>
      <c r="B1145" s="257"/>
      <c r="C1145" s="257"/>
      <c r="D1145" s="329"/>
      <c r="E1145" s="330"/>
      <c r="F1145" s="331"/>
      <c r="G1145" s="256"/>
      <c r="H1145" s="256"/>
      <c r="I1145" s="332"/>
      <c r="J1145" s="333"/>
      <c r="K1145" s="334"/>
      <c r="L1145" s="484"/>
    </row>
    <row r="1146" spans="1:12" ht="15" thickBot="1">
      <c r="A1146" s="328"/>
      <c r="B1146" s="257"/>
      <c r="C1146" s="257"/>
      <c r="D1146" s="329"/>
      <c r="E1146" s="330"/>
      <c r="F1146" s="331"/>
      <c r="G1146" s="256"/>
      <c r="H1146" s="256"/>
      <c r="I1146" s="332"/>
      <c r="J1146" s="333"/>
      <c r="K1146" s="334"/>
      <c r="L1146" s="484"/>
    </row>
    <row r="1147" spans="1:12" ht="15" thickBot="1">
      <c r="A1147" s="328"/>
      <c r="B1147" s="257"/>
      <c r="C1147" s="257"/>
      <c r="D1147" s="329"/>
      <c r="E1147" s="330"/>
      <c r="F1147" s="331"/>
      <c r="G1147" s="256"/>
      <c r="H1147" s="256"/>
      <c r="I1147" s="332"/>
      <c r="J1147" s="333"/>
      <c r="K1147" s="334"/>
      <c r="L1147" s="484"/>
    </row>
    <row r="1148" spans="1:12" ht="15" thickBot="1">
      <c r="A1148" s="328"/>
      <c r="B1148" s="257"/>
      <c r="C1148" s="257"/>
      <c r="D1148" s="329"/>
      <c r="E1148" s="330"/>
      <c r="F1148" s="331"/>
      <c r="G1148" s="256"/>
      <c r="H1148" s="256"/>
      <c r="I1148" s="332"/>
      <c r="J1148" s="333"/>
      <c r="K1148" s="334"/>
      <c r="L1148" s="484"/>
    </row>
    <row r="1149" spans="1:12" ht="15" thickBot="1">
      <c r="A1149" s="328"/>
      <c r="B1149" s="257"/>
      <c r="C1149" s="257"/>
      <c r="D1149" s="329"/>
      <c r="E1149" s="330"/>
      <c r="F1149" s="331"/>
      <c r="G1149" s="256"/>
      <c r="H1149" s="256"/>
      <c r="I1149" s="332"/>
      <c r="J1149" s="333"/>
      <c r="K1149" s="334"/>
      <c r="L1149" s="484"/>
    </row>
    <row r="1150" spans="1:12" ht="15" thickBot="1">
      <c r="A1150" s="328"/>
      <c r="B1150" s="257"/>
      <c r="C1150" s="257"/>
      <c r="D1150" s="329"/>
      <c r="E1150" s="330"/>
      <c r="F1150" s="331"/>
      <c r="G1150" s="256"/>
      <c r="H1150" s="256"/>
      <c r="I1150" s="332"/>
      <c r="J1150" s="333"/>
      <c r="K1150" s="334"/>
      <c r="L1150" s="484"/>
    </row>
    <row r="1151" spans="1:12" ht="15" thickBot="1">
      <c r="A1151" s="328"/>
      <c r="B1151" s="257"/>
      <c r="C1151" s="257"/>
      <c r="D1151" s="329"/>
      <c r="E1151" s="330"/>
      <c r="F1151" s="331"/>
      <c r="G1151" s="256"/>
      <c r="H1151" s="256"/>
      <c r="I1151" s="332"/>
      <c r="J1151" s="333"/>
      <c r="K1151" s="334"/>
      <c r="L1151" s="484"/>
    </row>
    <row r="1152" spans="1:12" ht="15" thickBot="1">
      <c r="A1152" s="328"/>
      <c r="B1152" s="257"/>
      <c r="C1152" s="257"/>
      <c r="D1152" s="329"/>
      <c r="E1152" s="330"/>
      <c r="F1152" s="331"/>
      <c r="G1152" s="256"/>
      <c r="H1152" s="256"/>
      <c r="I1152" s="332"/>
      <c r="J1152" s="333"/>
      <c r="K1152" s="334"/>
      <c r="L1152" s="484"/>
    </row>
    <row r="1153" spans="1:12" ht="15" thickBot="1">
      <c r="A1153" s="328"/>
      <c r="B1153" s="257"/>
      <c r="C1153" s="257"/>
      <c r="D1153" s="329"/>
      <c r="E1153" s="330"/>
      <c r="F1153" s="331"/>
      <c r="G1153" s="256"/>
      <c r="H1153" s="256"/>
      <c r="I1153" s="332"/>
      <c r="J1153" s="333"/>
      <c r="K1153" s="334"/>
      <c r="L1153" s="484"/>
    </row>
    <row r="1154" spans="1:12" ht="15" thickBot="1">
      <c r="A1154" s="328"/>
      <c r="B1154" s="257"/>
      <c r="C1154" s="257"/>
      <c r="D1154" s="329"/>
      <c r="E1154" s="330"/>
      <c r="F1154" s="331"/>
      <c r="G1154" s="256"/>
      <c r="H1154" s="256"/>
      <c r="I1154" s="332"/>
      <c r="J1154" s="333"/>
      <c r="K1154" s="334"/>
      <c r="L1154" s="484"/>
    </row>
    <row r="1155" spans="1:12" ht="15" thickBot="1">
      <c r="A1155" s="328"/>
      <c r="B1155" s="257"/>
      <c r="C1155" s="257"/>
      <c r="D1155" s="329"/>
      <c r="E1155" s="330"/>
      <c r="F1155" s="331"/>
      <c r="G1155" s="256"/>
      <c r="H1155" s="256"/>
      <c r="I1155" s="332"/>
      <c r="J1155" s="333"/>
      <c r="K1155" s="334"/>
      <c r="L1155" s="484"/>
    </row>
    <row r="1156" spans="1:12" ht="15" thickBot="1">
      <c r="A1156" s="328"/>
      <c r="B1156" s="257"/>
      <c r="C1156" s="257"/>
      <c r="D1156" s="329"/>
      <c r="E1156" s="330"/>
      <c r="F1156" s="331"/>
      <c r="G1156" s="256"/>
      <c r="H1156" s="256"/>
      <c r="I1156" s="332"/>
      <c r="J1156" s="333"/>
      <c r="K1156" s="334"/>
      <c r="L1156" s="484"/>
    </row>
    <row r="1157" spans="1:12" ht="15" thickBot="1">
      <c r="A1157" s="328"/>
      <c r="B1157" s="257"/>
      <c r="C1157" s="257"/>
      <c r="D1157" s="329"/>
      <c r="E1157" s="330"/>
      <c r="F1157" s="331"/>
      <c r="G1157" s="256"/>
      <c r="H1157" s="256"/>
      <c r="I1157" s="332"/>
      <c r="J1157" s="333"/>
      <c r="K1157" s="334"/>
      <c r="L1157" s="484"/>
    </row>
    <row r="1158" spans="1:12" ht="15" thickBot="1">
      <c r="A1158" s="328"/>
      <c r="B1158" s="257"/>
      <c r="C1158" s="257"/>
      <c r="D1158" s="329"/>
      <c r="E1158" s="330"/>
      <c r="F1158" s="331"/>
      <c r="G1158" s="256"/>
      <c r="H1158" s="256"/>
      <c r="I1158" s="332"/>
      <c r="J1158" s="333"/>
      <c r="K1158" s="334"/>
      <c r="L1158" s="484"/>
    </row>
    <row r="1159" spans="1:12" ht="15" thickBot="1">
      <c r="A1159" s="328"/>
      <c r="B1159" s="257"/>
      <c r="C1159" s="257"/>
      <c r="D1159" s="329"/>
      <c r="E1159" s="330"/>
      <c r="F1159" s="331"/>
      <c r="G1159" s="256"/>
      <c r="H1159" s="256"/>
      <c r="I1159" s="332"/>
      <c r="J1159" s="333"/>
      <c r="K1159" s="334"/>
      <c r="L1159" s="484"/>
    </row>
    <row r="1160" spans="1:12" ht="15" thickBot="1">
      <c r="A1160" s="328"/>
      <c r="B1160" s="257"/>
      <c r="C1160" s="257"/>
      <c r="D1160" s="329"/>
      <c r="E1160" s="330"/>
      <c r="F1160" s="331"/>
      <c r="G1160" s="256"/>
      <c r="H1160" s="256"/>
      <c r="I1160" s="332"/>
      <c r="J1160" s="333"/>
      <c r="K1160" s="334"/>
      <c r="L1160" s="484"/>
    </row>
    <row r="1161" spans="1:12" ht="15" thickBot="1">
      <c r="A1161" s="328"/>
      <c r="B1161" s="257"/>
      <c r="C1161" s="257"/>
      <c r="D1161" s="329"/>
      <c r="E1161" s="330"/>
      <c r="F1161" s="331"/>
      <c r="G1161" s="256"/>
      <c r="H1161" s="256"/>
      <c r="I1161" s="332"/>
      <c r="J1161" s="333"/>
      <c r="K1161" s="334"/>
      <c r="L1161" s="484"/>
    </row>
    <row r="1162" spans="1:12" ht="15" thickBot="1">
      <c r="A1162" s="328"/>
      <c r="B1162" s="257"/>
      <c r="C1162" s="257"/>
      <c r="D1162" s="329"/>
      <c r="E1162" s="330"/>
      <c r="F1162" s="331"/>
      <c r="G1162" s="256"/>
      <c r="H1162" s="256"/>
      <c r="I1162" s="332"/>
      <c r="J1162" s="333"/>
      <c r="K1162" s="334"/>
      <c r="L1162" s="484"/>
    </row>
    <row r="1163" spans="1:12" ht="15" thickBot="1">
      <c r="A1163" s="328"/>
      <c r="B1163" s="257"/>
      <c r="C1163" s="257"/>
      <c r="D1163" s="329"/>
      <c r="E1163" s="330"/>
      <c r="F1163" s="331"/>
      <c r="G1163" s="256"/>
      <c r="H1163" s="256"/>
      <c r="I1163" s="332"/>
      <c r="J1163" s="333"/>
      <c r="K1163" s="334"/>
      <c r="L1163" s="484"/>
    </row>
    <row r="1164" spans="1:12" ht="15" thickBot="1">
      <c r="A1164" s="328"/>
      <c r="B1164" s="257"/>
      <c r="C1164" s="257"/>
      <c r="D1164" s="329"/>
      <c r="E1164" s="330"/>
      <c r="F1164" s="331"/>
      <c r="G1164" s="256"/>
      <c r="H1164" s="256"/>
      <c r="I1164" s="332"/>
      <c r="J1164" s="333"/>
      <c r="K1164" s="334"/>
      <c r="L1164" s="484"/>
    </row>
    <row r="1165" spans="1:12" ht="15" thickBot="1">
      <c r="A1165" s="328"/>
      <c r="B1165" s="257"/>
      <c r="C1165" s="257"/>
      <c r="D1165" s="329"/>
      <c r="E1165" s="330"/>
      <c r="F1165" s="331"/>
      <c r="G1165" s="256"/>
      <c r="H1165" s="256"/>
      <c r="I1165" s="332"/>
      <c r="J1165" s="333"/>
      <c r="K1165" s="334"/>
      <c r="L1165" s="484"/>
    </row>
    <row r="1166" spans="1:12" ht="15" thickBot="1">
      <c r="A1166" s="328"/>
      <c r="B1166" s="257"/>
      <c r="C1166" s="257"/>
      <c r="D1166" s="329"/>
      <c r="E1166" s="330"/>
      <c r="F1166" s="331"/>
      <c r="G1166" s="256"/>
      <c r="H1166" s="256"/>
      <c r="I1166" s="332"/>
      <c r="J1166" s="333"/>
      <c r="K1166" s="334"/>
      <c r="L1166" s="484"/>
    </row>
    <row r="1167" spans="1:12" ht="15" thickBot="1">
      <c r="A1167" s="328"/>
      <c r="B1167" s="257"/>
      <c r="C1167" s="257"/>
      <c r="D1167" s="329"/>
      <c r="E1167" s="330"/>
      <c r="F1167" s="331"/>
      <c r="G1167" s="256"/>
      <c r="H1167" s="256"/>
      <c r="I1167" s="332"/>
      <c r="J1167" s="333"/>
      <c r="K1167" s="334"/>
      <c r="L1167" s="484"/>
    </row>
    <row r="1168" spans="1:12" ht="15" thickBot="1">
      <c r="A1168" s="328"/>
      <c r="B1168" s="257"/>
      <c r="C1168" s="257"/>
      <c r="D1168" s="329"/>
      <c r="E1168" s="330"/>
      <c r="F1168" s="331"/>
      <c r="G1168" s="256"/>
      <c r="H1168" s="256"/>
      <c r="I1168" s="332"/>
      <c r="J1168" s="333"/>
      <c r="K1168" s="334"/>
      <c r="L1168" s="484"/>
    </row>
    <row r="1169" spans="1:12" ht="15" thickBot="1">
      <c r="A1169" s="328"/>
      <c r="B1169" s="257"/>
      <c r="C1169" s="257"/>
      <c r="D1169" s="329"/>
      <c r="E1169" s="330"/>
      <c r="F1169" s="331"/>
      <c r="G1169" s="256"/>
      <c r="H1169" s="256"/>
      <c r="I1169" s="332"/>
      <c r="J1169" s="333"/>
      <c r="K1169" s="334"/>
      <c r="L1169" s="484"/>
    </row>
    <row r="1170" spans="1:12" ht="15" thickBot="1">
      <c r="A1170" s="328"/>
      <c r="B1170" s="257"/>
      <c r="C1170" s="257"/>
      <c r="D1170" s="329"/>
      <c r="E1170" s="330"/>
      <c r="F1170" s="331"/>
      <c r="G1170" s="256"/>
      <c r="H1170" s="256"/>
      <c r="I1170" s="332"/>
      <c r="J1170" s="333"/>
      <c r="K1170" s="334"/>
      <c r="L1170" s="484"/>
    </row>
    <row r="1171" spans="1:12" ht="15" thickBot="1">
      <c r="A1171" s="328"/>
      <c r="B1171" s="257"/>
      <c r="C1171" s="257"/>
      <c r="D1171" s="329"/>
      <c r="E1171" s="330"/>
      <c r="F1171" s="331"/>
      <c r="G1171" s="256"/>
      <c r="H1171" s="256"/>
      <c r="I1171" s="332"/>
      <c r="J1171" s="333"/>
      <c r="K1171" s="334"/>
      <c r="L1171" s="484"/>
    </row>
    <row r="1172" spans="1:12" ht="15" thickBot="1">
      <c r="A1172" s="328"/>
      <c r="B1172" s="257"/>
      <c r="C1172" s="257"/>
      <c r="D1172" s="329"/>
      <c r="E1172" s="330"/>
      <c r="F1172" s="331"/>
      <c r="G1172" s="256"/>
      <c r="H1172" s="256"/>
      <c r="I1172" s="332"/>
      <c r="J1172" s="333"/>
      <c r="K1172" s="334"/>
      <c r="L1172" s="484"/>
    </row>
    <row r="1173" spans="1:12" ht="15" thickBot="1">
      <c r="A1173" s="328"/>
      <c r="B1173" s="257"/>
      <c r="C1173" s="257"/>
      <c r="D1173" s="329"/>
      <c r="E1173" s="330"/>
      <c r="F1173" s="331"/>
      <c r="G1173" s="256"/>
      <c r="H1173" s="256"/>
      <c r="I1173" s="332"/>
      <c r="J1173" s="333"/>
      <c r="K1173" s="334"/>
      <c r="L1173" s="484"/>
    </row>
    <row r="1174" spans="1:12" ht="15" thickBot="1">
      <c r="A1174" s="328"/>
      <c r="B1174" s="257"/>
      <c r="C1174" s="257"/>
      <c r="D1174" s="329"/>
      <c r="E1174" s="330"/>
      <c r="F1174" s="331"/>
      <c r="G1174" s="256"/>
      <c r="H1174" s="256"/>
      <c r="I1174" s="332"/>
      <c r="J1174" s="333"/>
      <c r="K1174" s="334"/>
      <c r="L1174" s="484"/>
    </row>
    <row r="1175" spans="1:12" ht="15" thickBot="1">
      <c r="A1175" s="328"/>
      <c r="B1175" s="257"/>
      <c r="C1175" s="257"/>
      <c r="D1175" s="329"/>
      <c r="E1175" s="330"/>
      <c r="F1175" s="331"/>
      <c r="G1175" s="256"/>
      <c r="H1175" s="256"/>
      <c r="I1175" s="332"/>
      <c r="J1175" s="333"/>
      <c r="K1175" s="334"/>
      <c r="L1175" s="484"/>
    </row>
    <row r="1176" spans="1:12" ht="15" thickBot="1">
      <c r="A1176" s="328"/>
      <c r="B1176" s="257"/>
      <c r="C1176" s="257"/>
      <c r="D1176" s="329"/>
      <c r="E1176" s="330"/>
      <c r="F1176" s="331"/>
      <c r="G1176" s="256"/>
      <c r="H1176" s="256"/>
      <c r="I1176" s="332"/>
      <c r="J1176" s="333"/>
      <c r="K1176" s="334"/>
      <c r="L1176" s="484"/>
    </row>
    <row r="1177" spans="1:12" ht="15" thickBot="1">
      <c r="A1177" s="328"/>
      <c r="B1177" s="257"/>
      <c r="C1177" s="257"/>
      <c r="D1177" s="329"/>
      <c r="E1177" s="330"/>
      <c r="F1177" s="331"/>
      <c r="G1177" s="256"/>
      <c r="H1177" s="256"/>
      <c r="I1177" s="332"/>
      <c r="J1177" s="333"/>
      <c r="K1177" s="334"/>
      <c r="L1177" s="484"/>
    </row>
    <row r="1178" spans="1:12" ht="15" thickBot="1">
      <c r="A1178" s="328"/>
      <c r="B1178" s="257"/>
      <c r="C1178" s="257"/>
      <c r="D1178" s="329"/>
      <c r="E1178" s="330"/>
      <c r="F1178" s="331"/>
      <c r="G1178" s="256"/>
      <c r="H1178" s="256"/>
      <c r="I1178" s="332"/>
      <c r="J1178" s="333"/>
      <c r="K1178" s="334"/>
      <c r="L1178" s="484"/>
    </row>
    <row r="1179" spans="1:12" ht="15" thickBot="1">
      <c r="A1179" s="328"/>
      <c r="B1179" s="257"/>
      <c r="C1179" s="257"/>
      <c r="D1179" s="329"/>
      <c r="E1179" s="330"/>
      <c r="F1179" s="331"/>
      <c r="G1179" s="256"/>
      <c r="H1179" s="256"/>
      <c r="I1179" s="332"/>
      <c r="J1179" s="333"/>
      <c r="K1179" s="334"/>
      <c r="L1179" s="484"/>
    </row>
    <row r="1180" spans="1:12" ht="15" thickBot="1">
      <c r="A1180" s="328"/>
      <c r="B1180" s="257"/>
      <c r="C1180" s="257"/>
      <c r="D1180" s="329"/>
      <c r="E1180" s="330"/>
      <c r="F1180" s="331"/>
      <c r="G1180" s="256"/>
      <c r="H1180" s="256"/>
      <c r="I1180" s="332"/>
      <c r="J1180" s="333"/>
      <c r="K1180" s="334"/>
      <c r="L1180" s="484"/>
    </row>
    <row r="1181" spans="1:12" ht="15" thickBot="1">
      <c r="A1181" s="328"/>
      <c r="B1181" s="257"/>
      <c r="C1181" s="257"/>
      <c r="D1181" s="329"/>
      <c r="E1181" s="330"/>
      <c r="F1181" s="331"/>
      <c r="G1181" s="256"/>
      <c r="H1181" s="256"/>
      <c r="I1181" s="332"/>
      <c r="J1181" s="333"/>
      <c r="K1181" s="334"/>
      <c r="L1181" s="484"/>
    </row>
    <row r="1182" spans="1:12" ht="15" thickBot="1">
      <c r="A1182" s="328"/>
      <c r="B1182" s="257"/>
      <c r="C1182" s="257"/>
      <c r="D1182" s="329"/>
      <c r="E1182" s="330"/>
      <c r="F1182" s="331"/>
      <c r="G1182" s="256"/>
      <c r="H1182" s="256"/>
      <c r="I1182" s="332"/>
      <c r="J1182" s="333"/>
      <c r="K1182" s="334"/>
      <c r="L1182" s="484"/>
    </row>
    <row r="1183" spans="1:12" ht="15" thickBot="1">
      <c r="A1183" s="328"/>
      <c r="B1183" s="257"/>
      <c r="C1183" s="257"/>
      <c r="D1183" s="329"/>
      <c r="E1183" s="330"/>
      <c r="F1183" s="331"/>
      <c r="G1183" s="256"/>
      <c r="H1183" s="256"/>
      <c r="I1183" s="332"/>
      <c r="J1183" s="333"/>
      <c r="K1183" s="334"/>
      <c r="L1183" s="484"/>
    </row>
    <row r="1184" spans="1:12" ht="15" thickBot="1">
      <c r="A1184" s="328"/>
      <c r="B1184" s="257"/>
      <c r="C1184" s="257"/>
      <c r="D1184" s="329"/>
      <c r="E1184" s="330"/>
      <c r="F1184" s="331"/>
      <c r="G1184" s="256"/>
      <c r="H1184" s="256"/>
      <c r="I1184" s="332"/>
      <c r="J1184" s="333"/>
      <c r="K1184" s="334"/>
      <c r="L1184" s="484"/>
    </row>
    <row r="1185" spans="1:12" ht="15" thickBot="1">
      <c r="A1185" s="328"/>
      <c r="B1185" s="257"/>
      <c r="C1185" s="257"/>
      <c r="D1185" s="329"/>
      <c r="E1185" s="330"/>
      <c r="F1185" s="331"/>
      <c r="G1185" s="256"/>
      <c r="H1185" s="256"/>
      <c r="I1185" s="332"/>
      <c r="J1185" s="333"/>
      <c r="K1185" s="334"/>
      <c r="L1185" s="484"/>
    </row>
    <row r="1186" spans="1:12" ht="15" thickBot="1">
      <c r="A1186" s="328"/>
      <c r="B1186" s="257"/>
      <c r="C1186" s="257"/>
      <c r="D1186" s="329"/>
      <c r="E1186" s="330"/>
      <c r="F1186" s="331"/>
      <c r="G1186" s="256"/>
      <c r="H1186" s="256"/>
      <c r="I1186" s="332"/>
      <c r="J1186" s="333"/>
      <c r="K1186" s="334"/>
      <c r="L1186" s="484"/>
    </row>
    <row r="1187" spans="1:12" ht="15" thickBot="1">
      <c r="A1187" s="328"/>
      <c r="B1187" s="257"/>
      <c r="C1187" s="257"/>
      <c r="D1187" s="329"/>
      <c r="E1187" s="330"/>
      <c r="F1187" s="331"/>
      <c r="G1187" s="256"/>
      <c r="H1187" s="256"/>
      <c r="I1187" s="332"/>
      <c r="J1187" s="333"/>
      <c r="K1187" s="334"/>
      <c r="L1187" s="484"/>
    </row>
    <row r="1188" spans="1:12" ht="15" thickBot="1">
      <c r="A1188" s="328"/>
      <c r="B1188" s="257"/>
      <c r="C1188" s="257"/>
      <c r="D1188" s="329"/>
      <c r="E1188" s="330"/>
      <c r="F1188" s="331"/>
      <c r="G1188" s="256"/>
      <c r="H1188" s="256"/>
      <c r="I1188" s="332"/>
      <c r="J1188" s="333"/>
      <c r="K1188" s="334"/>
      <c r="L1188" s="484"/>
    </row>
    <row r="1189" spans="1:12" ht="15" thickBot="1">
      <c r="A1189" s="328"/>
      <c r="B1189" s="257"/>
      <c r="C1189" s="257"/>
      <c r="D1189" s="329"/>
      <c r="E1189" s="330"/>
      <c r="F1189" s="331"/>
      <c r="G1189" s="256"/>
      <c r="H1189" s="256"/>
      <c r="I1189" s="332"/>
      <c r="J1189" s="333"/>
      <c r="K1189" s="334"/>
      <c r="L1189" s="484"/>
    </row>
    <row r="1190" spans="1:12" ht="15" thickBot="1">
      <c r="A1190" s="328"/>
      <c r="B1190" s="257"/>
      <c r="C1190" s="257"/>
      <c r="D1190" s="329"/>
      <c r="E1190" s="330"/>
      <c r="F1190" s="331"/>
      <c r="G1190" s="256"/>
      <c r="H1190" s="256"/>
      <c r="I1190" s="332"/>
      <c r="J1190" s="333"/>
      <c r="K1190" s="334"/>
      <c r="L1190" s="484"/>
    </row>
    <row r="1191" spans="1:12" ht="15" thickBot="1">
      <c r="A1191" s="328"/>
      <c r="B1191" s="257"/>
      <c r="C1191" s="257"/>
      <c r="D1191" s="329"/>
      <c r="E1191" s="330"/>
      <c r="F1191" s="331"/>
      <c r="G1191" s="256"/>
      <c r="H1191" s="256"/>
      <c r="I1191" s="332"/>
      <c r="J1191" s="333"/>
      <c r="K1191" s="334"/>
      <c r="L1191" s="484"/>
    </row>
    <row r="1192" spans="1:12" ht="15" thickBot="1">
      <c r="A1192" s="328"/>
      <c r="B1192" s="257"/>
      <c r="C1192" s="257"/>
      <c r="D1192" s="329"/>
      <c r="E1192" s="330"/>
      <c r="F1192" s="331"/>
      <c r="G1192" s="256"/>
      <c r="H1192" s="256"/>
      <c r="I1192" s="332"/>
      <c r="J1192" s="333"/>
      <c r="K1192" s="334"/>
      <c r="L1192" s="484"/>
    </row>
    <row r="1193" spans="1:12" ht="15" thickBot="1">
      <c r="A1193" s="328"/>
      <c r="B1193" s="257"/>
      <c r="C1193" s="257"/>
      <c r="D1193" s="329"/>
      <c r="E1193" s="330"/>
      <c r="F1193" s="331"/>
      <c r="G1193" s="256"/>
      <c r="H1193" s="256"/>
      <c r="I1193" s="332"/>
      <c r="J1193" s="333"/>
      <c r="K1193" s="334"/>
      <c r="L1193" s="484"/>
    </row>
    <row r="1194" spans="1:12" ht="15" thickBot="1">
      <c r="A1194" s="328"/>
      <c r="B1194" s="257"/>
      <c r="C1194" s="257"/>
      <c r="D1194" s="329"/>
      <c r="E1194" s="330"/>
      <c r="F1194" s="331"/>
      <c r="G1194" s="256"/>
      <c r="H1194" s="256"/>
      <c r="I1194" s="332"/>
      <c r="J1194" s="333"/>
      <c r="K1194" s="334"/>
      <c r="L1194" s="484"/>
    </row>
    <row r="1195" spans="1:12" ht="15" thickBot="1">
      <c r="A1195" s="328"/>
      <c r="B1195" s="257"/>
      <c r="C1195" s="257"/>
      <c r="D1195" s="329"/>
      <c r="E1195" s="330"/>
      <c r="F1195" s="331"/>
      <c r="G1195" s="256"/>
      <c r="H1195" s="256"/>
      <c r="I1195" s="332"/>
      <c r="J1195" s="333"/>
      <c r="K1195" s="334"/>
      <c r="L1195" s="484"/>
    </row>
    <row r="1196" spans="1:12" ht="15" thickBot="1">
      <c r="A1196" s="328"/>
      <c r="B1196" s="257"/>
      <c r="C1196" s="257"/>
      <c r="D1196" s="329"/>
      <c r="E1196" s="330"/>
      <c r="F1196" s="331"/>
      <c r="G1196" s="256"/>
      <c r="H1196" s="256"/>
      <c r="I1196" s="332"/>
      <c r="J1196" s="333"/>
      <c r="K1196" s="334"/>
      <c r="L1196" s="484"/>
    </row>
    <row r="1197" spans="1:12" ht="15" thickBot="1">
      <c r="A1197" s="328"/>
      <c r="B1197" s="257"/>
      <c r="C1197" s="257"/>
      <c r="D1197" s="329"/>
      <c r="E1197" s="330"/>
      <c r="F1197" s="331"/>
      <c r="G1197" s="256"/>
      <c r="H1197" s="256"/>
      <c r="I1197" s="332"/>
      <c r="J1197" s="333"/>
      <c r="K1197" s="334"/>
      <c r="L1197" s="484"/>
    </row>
    <row r="1198" spans="1:12" ht="15" thickBot="1">
      <c r="A1198" s="328"/>
      <c r="B1198" s="257"/>
      <c r="C1198" s="257"/>
      <c r="D1198" s="329"/>
      <c r="E1198" s="330"/>
      <c r="F1198" s="331"/>
      <c r="G1198" s="256"/>
      <c r="H1198" s="256"/>
      <c r="I1198" s="332"/>
      <c r="J1198" s="333"/>
      <c r="K1198" s="334"/>
      <c r="L1198" s="484"/>
    </row>
    <row r="1199" spans="1:12" ht="15" thickBot="1">
      <c r="A1199" s="328"/>
      <c r="B1199" s="257"/>
      <c r="C1199" s="257"/>
      <c r="D1199" s="329"/>
      <c r="E1199" s="330"/>
      <c r="F1199" s="331"/>
      <c r="G1199" s="256"/>
      <c r="H1199" s="256"/>
      <c r="I1199" s="332"/>
      <c r="J1199" s="333"/>
      <c r="K1199" s="334"/>
      <c r="L1199" s="484"/>
    </row>
    <row r="1200" spans="1:12" ht="15" thickBot="1">
      <c r="A1200" s="328"/>
      <c r="B1200" s="257"/>
      <c r="C1200" s="257"/>
      <c r="D1200" s="329"/>
      <c r="E1200" s="330"/>
      <c r="F1200" s="331"/>
      <c r="G1200" s="256"/>
      <c r="H1200" s="256"/>
      <c r="I1200" s="332"/>
      <c r="J1200" s="333"/>
      <c r="K1200" s="334"/>
      <c r="L1200" s="484"/>
    </row>
    <row r="1201" spans="1:12" ht="15" thickBot="1">
      <c r="A1201" s="328"/>
      <c r="B1201" s="257"/>
      <c r="C1201" s="257"/>
      <c r="D1201" s="329"/>
      <c r="E1201" s="330"/>
      <c r="F1201" s="331"/>
      <c r="G1201" s="256"/>
      <c r="H1201" s="256"/>
      <c r="I1201" s="332"/>
      <c r="J1201" s="333"/>
      <c r="K1201" s="334"/>
      <c r="L1201" s="484"/>
    </row>
    <row r="1202" spans="1:12" ht="15" thickBot="1">
      <c r="A1202" s="328"/>
      <c r="B1202" s="257"/>
      <c r="C1202" s="257"/>
      <c r="D1202" s="329"/>
      <c r="E1202" s="330"/>
      <c r="F1202" s="331"/>
      <c r="G1202" s="256"/>
      <c r="H1202" s="256"/>
      <c r="I1202" s="332"/>
      <c r="J1202" s="333"/>
      <c r="K1202" s="334"/>
      <c r="L1202" s="484"/>
    </row>
    <row r="1203" spans="1:12" ht="15" thickBot="1">
      <c r="A1203" s="328"/>
      <c r="B1203" s="257"/>
      <c r="C1203" s="257"/>
      <c r="D1203" s="329"/>
      <c r="E1203" s="330"/>
      <c r="F1203" s="331"/>
      <c r="G1203" s="256"/>
      <c r="H1203" s="256"/>
      <c r="I1203" s="332"/>
      <c r="J1203" s="333"/>
      <c r="K1203" s="334"/>
      <c r="L1203" s="484"/>
    </row>
    <row r="1204" spans="1:12" ht="15" thickBot="1">
      <c r="A1204" s="328"/>
      <c r="B1204" s="257"/>
      <c r="C1204" s="257"/>
      <c r="D1204" s="329"/>
      <c r="E1204" s="330"/>
      <c r="F1204" s="331"/>
      <c r="G1204" s="256"/>
      <c r="H1204" s="256"/>
      <c r="I1204" s="332"/>
      <c r="J1204" s="333"/>
      <c r="K1204" s="334"/>
      <c r="L1204" s="484"/>
    </row>
    <row r="1205" spans="1:12" ht="15" thickBot="1">
      <c r="A1205" s="328"/>
      <c r="B1205" s="257"/>
      <c r="C1205" s="257"/>
      <c r="D1205" s="329"/>
      <c r="E1205" s="330"/>
      <c r="F1205" s="331"/>
      <c r="G1205" s="256"/>
      <c r="H1205" s="256"/>
      <c r="I1205" s="332"/>
      <c r="J1205" s="333"/>
      <c r="K1205" s="334"/>
      <c r="L1205" s="484"/>
    </row>
    <row r="1206" spans="1:12" ht="15" thickBot="1">
      <c r="A1206" s="328"/>
      <c r="B1206" s="257"/>
      <c r="C1206" s="257"/>
      <c r="D1206" s="329"/>
      <c r="E1206" s="330"/>
      <c r="F1206" s="331"/>
      <c r="G1206" s="256"/>
      <c r="H1206" s="256"/>
      <c r="I1206" s="332"/>
      <c r="J1206" s="333"/>
      <c r="K1206" s="334"/>
      <c r="L1206" s="484"/>
    </row>
    <row r="1207" spans="1:12" ht="15" thickBot="1">
      <c r="A1207" s="328"/>
      <c r="B1207" s="257"/>
      <c r="C1207" s="257"/>
      <c r="D1207" s="329"/>
      <c r="E1207" s="330"/>
      <c r="F1207" s="331"/>
      <c r="G1207" s="256"/>
      <c r="H1207" s="256"/>
      <c r="I1207" s="332"/>
      <c r="J1207" s="333"/>
      <c r="K1207" s="334"/>
      <c r="L1207" s="484"/>
    </row>
    <row r="1208" spans="1:12" ht="15" thickBot="1">
      <c r="A1208" s="328"/>
      <c r="B1208" s="257"/>
      <c r="C1208" s="257"/>
      <c r="D1208" s="329"/>
      <c r="E1208" s="330"/>
      <c r="F1208" s="331"/>
      <c r="G1208" s="256"/>
      <c r="H1208" s="256"/>
      <c r="I1208" s="332"/>
      <c r="J1208" s="333"/>
      <c r="K1208" s="334"/>
      <c r="L1208" s="484"/>
    </row>
    <row r="1209" spans="1:12" ht="15" thickBot="1">
      <c r="A1209" s="328"/>
      <c r="B1209" s="257"/>
      <c r="C1209" s="257"/>
      <c r="D1209" s="329"/>
      <c r="E1209" s="330"/>
      <c r="F1209" s="331"/>
      <c r="G1209" s="256"/>
      <c r="H1209" s="256"/>
      <c r="I1209" s="332"/>
      <c r="J1209" s="333"/>
      <c r="K1209" s="334"/>
      <c r="L1209" s="484"/>
    </row>
    <row r="1210" spans="1:12" ht="15" thickBot="1">
      <c r="A1210" s="328"/>
      <c r="B1210" s="257"/>
      <c r="C1210" s="257"/>
      <c r="D1210" s="329"/>
      <c r="E1210" s="330"/>
      <c r="F1210" s="331"/>
      <c r="G1210" s="256"/>
      <c r="H1210" s="256"/>
      <c r="I1210" s="332"/>
      <c r="J1210" s="333"/>
      <c r="K1210" s="334"/>
      <c r="L1210" s="484"/>
    </row>
    <row r="1211" spans="1:12" ht="15" thickBot="1">
      <c r="A1211" s="328"/>
      <c r="B1211" s="257"/>
      <c r="C1211" s="257"/>
      <c r="D1211" s="329"/>
      <c r="E1211" s="330"/>
      <c r="F1211" s="331"/>
      <c r="G1211" s="256"/>
      <c r="H1211" s="256"/>
      <c r="I1211" s="332"/>
      <c r="J1211" s="333"/>
      <c r="K1211" s="334"/>
      <c r="L1211" s="484"/>
    </row>
    <row r="1212" spans="1:12" ht="15" thickBot="1">
      <c r="A1212" s="328"/>
      <c r="B1212" s="257"/>
      <c r="C1212" s="257"/>
      <c r="D1212" s="329"/>
      <c r="E1212" s="330"/>
      <c r="F1212" s="331"/>
      <c r="G1212" s="256"/>
      <c r="H1212" s="256"/>
      <c r="I1212" s="332"/>
      <c r="J1212" s="333"/>
      <c r="K1212" s="334"/>
      <c r="L1212" s="484"/>
    </row>
    <row r="1213" spans="1:12" ht="15" thickBot="1">
      <c r="A1213" s="328"/>
      <c r="B1213" s="257"/>
      <c r="C1213" s="257"/>
      <c r="D1213" s="329"/>
      <c r="E1213" s="330"/>
      <c r="F1213" s="331"/>
      <c r="G1213" s="256"/>
      <c r="H1213" s="256"/>
      <c r="I1213" s="332"/>
      <c r="J1213" s="333"/>
      <c r="K1213" s="334"/>
      <c r="L1213" s="484"/>
    </row>
    <row r="1214" spans="1:12" ht="15" thickBot="1">
      <c r="A1214" s="328"/>
      <c r="B1214" s="257"/>
      <c r="C1214" s="257"/>
      <c r="D1214" s="329"/>
      <c r="E1214" s="330"/>
      <c r="F1214" s="331"/>
      <c r="G1214" s="256"/>
      <c r="H1214" s="256"/>
      <c r="I1214" s="332"/>
      <c r="J1214" s="333"/>
      <c r="K1214" s="334"/>
      <c r="L1214" s="484"/>
    </row>
    <row r="1215" spans="1:12" ht="15" thickBot="1">
      <c r="A1215" s="328"/>
      <c r="B1215" s="257"/>
      <c r="C1215" s="257"/>
      <c r="D1215" s="329"/>
      <c r="E1215" s="330"/>
      <c r="F1215" s="331"/>
      <c r="G1215" s="256"/>
      <c r="H1215" s="256"/>
      <c r="I1215" s="332"/>
      <c r="J1215" s="333"/>
      <c r="K1215" s="334"/>
      <c r="L1215" s="484"/>
    </row>
    <row r="1216" spans="1:12" ht="15" thickBot="1">
      <c r="A1216" s="328"/>
      <c r="B1216" s="257"/>
      <c r="C1216" s="257"/>
      <c r="D1216" s="329"/>
      <c r="E1216" s="330"/>
      <c r="F1216" s="331"/>
      <c r="G1216" s="256"/>
      <c r="H1216" s="256"/>
      <c r="I1216" s="332"/>
      <c r="J1216" s="333"/>
      <c r="K1216" s="334"/>
      <c r="L1216" s="484"/>
    </row>
    <row r="1217" spans="1:12" ht="15" thickBot="1">
      <c r="A1217" s="328"/>
      <c r="B1217" s="257"/>
      <c r="C1217" s="257"/>
      <c r="D1217" s="329"/>
      <c r="E1217" s="330"/>
      <c r="F1217" s="331"/>
      <c r="G1217" s="256"/>
      <c r="H1217" s="256"/>
      <c r="I1217" s="332"/>
      <c r="J1217" s="333"/>
      <c r="K1217" s="334"/>
      <c r="L1217" s="484"/>
    </row>
    <row r="1218" spans="1:12" ht="15" thickBot="1">
      <c r="A1218" s="328"/>
      <c r="B1218" s="257"/>
      <c r="C1218" s="257"/>
      <c r="D1218" s="329"/>
      <c r="E1218" s="330"/>
      <c r="F1218" s="331"/>
      <c r="G1218" s="256"/>
      <c r="H1218" s="256"/>
      <c r="I1218" s="332"/>
      <c r="J1218" s="333"/>
      <c r="K1218" s="334"/>
      <c r="L1218" s="484"/>
    </row>
    <row r="1219" spans="1:12" ht="15" thickBot="1">
      <c r="A1219" s="328"/>
      <c r="B1219" s="257"/>
      <c r="C1219" s="257"/>
      <c r="D1219" s="329"/>
      <c r="E1219" s="330"/>
      <c r="F1219" s="331"/>
      <c r="G1219" s="256"/>
      <c r="H1219" s="256"/>
      <c r="I1219" s="332"/>
      <c r="J1219" s="333"/>
      <c r="K1219" s="334"/>
      <c r="L1219" s="484"/>
    </row>
    <row r="1220" spans="1:12" ht="15" thickBot="1">
      <c r="A1220" s="328"/>
      <c r="B1220" s="257"/>
      <c r="C1220" s="257"/>
      <c r="D1220" s="329"/>
      <c r="E1220" s="330"/>
      <c r="F1220" s="331"/>
      <c r="G1220" s="256"/>
      <c r="H1220" s="256"/>
      <c r="I1220" s="332"/>
      <c r="J1220" s="333"/>
      <c r="K1220" s="334"/>
      <c r="L1220" s="484"/>
    </row>
    <row r="1221" spans="1:12" ht="15" thickBot="1">
      <c r="A1221" s="328"/>
      <c r="B1221" s="257"/>
      <c r="C1221" s="257"/>
      <c r="D1221" s="329"/>
      <c r="E1221" s="330"/>
      <c r="F1221" s="331"/>
      <c r="G1221" s="256"/>
      <c r="H1221" s="256"/>
      <c r="I1221" s="332"/>
      <c r="J1221" s="333"/>
      <c r="K1221" s="334"/>
      <c r="L1221" s="484"/>
    </row>
    <row r="1222" spans="1:12" ht="15" thickBot="1">
      <c r="A1222" s="328"/>
      <c r="B1222" s="257"/>
      <c r="C1222" s="257"/>
      <c r="D1222" s="329"/>
      <c r="E1222" s="330"/>
      <c r="F1222" s="331"/>
      <c r="G1222" s="256"/>
      <c r="H1222" s="256"/>
      <c r="I1222" s="332"/>
      <c r="J1222" s="333"/>
      <c r="K1222" s="334"/>
      <c r="L1222" s="484"/>
    </row>
    <row r="1223" spans="1:12" ht="15" thickBot="1">
      <c r="A1223" s="328"/>
      <c r="B1223" s="257"/>
      <c r="C1223" s="257"/>
      <c r="D1223" s="329"/>
      <c r="E1223" s="330"/>
      <c r="F1223" s="331"/>
      <c r="G1223" s="256"/>
      <c r="H1223" s="256"/>
      <c r="I1223" s="332"/>
      <c r="J1223" s="333"/>
      <c r="K1223" s="334"/>
      <c r="L1223" s="484"/>
    </row>
    <row r="1224" spans="1:12" ht="15" thickBot="1">
      <c r="A1224" s="328"/>
      <c r="B1224" s="257"/>
      <c r="C1224" s="257"/>
      <c r="D1224" s="329"/>
      <c r="E1224" s="330"/>
      <c r="F1224" s="331"/>
      <c r="G1224" s="256"/>
      <c r="H1224" s="256"/>
      <c r="I1224" s="332"/>
      <c r="J1224" s="333"/>
      <c r="K1224" s="334"/>
      <c r="L1224" s="484"/>
    </row>
    <row r="1225" spans="1:12" ht="15" thickBot="1">
      <c r="A1225" s="328"/>
      <c r="B1225" s="257"/>
      <c r="C1225" s="257"/>
      <c r="D1225" s="329"/>
      <c r="E1225" s="330"/>
      <c r="F1225" s="331"/>
      <c r="G1225" s="256"/>
      <c r="H1225" s="256"/>
      <c r="I1225" s="332"/>
      <c r="J1225" s="333"/>
      <c r="K1225" s="334"/>
      <c r="L1225" s="484"/>
    </row>
    <row r="1226" spans="1:12" ht="15" thickBot="1">
      <c r="A1226" s="328"/>
      <c r="B1226" s="257"/>
      <c r="C1226" s="257"/>
      <c r="D1226" s="329"/>
      <c r="E1226" s="330"/>
      <c r="F1226" s="331"/>
      <c r="G1226" s="256"/>
      <c r="H1226" s="256"/>
      <c r="I1226" s="332"/>
      <c r="J1226" s="333"/>
      <c r="K1226" s="334"/>
      <c r="L1226" s="484"/>
    </row>
    <row r="1227" spans="1:12" ht="15" thickBot="1">
      <c r="A1227" s="328"/>
      <c r="B1227" s="257"/>
      <c r="C1227" s="257"/>
      <c r="D1227" s="329"/>
      <c r="E1227" s="330"/>
      <c r="F1227" s="331"/>
      <c r="G1227" s="256"/>
      <c r="H1227" s="256"/>
      <c r="I1227" s="332"/>
      <c r="J1227" s="333"/>
      <c r="K1227" s="334"/>
      <c r="L1227" s="484"/>
    </row>
    <row r="1228" spans="1:12" ht="15" thickBot="1">
      <c r="A1228" s="328"/>
      <c r="B1228" s="257"/>
      <c r="C1228" s="257"/>
      <c r="D1228" s="329"/>
      <c r="E1228" s="330"/>
      <c r="F1228" s="331"/>
      <c r="G1228" s="256"/>
      <c r="H1228" s="256"/>
      <c r="I1228" s="332"/>
      <c r="J1228" s="333"/>
      <c r="K1228" s="334"/>
      <c r="L1228" s="484"/>
    </row>
    <row r="1229" spans="1:12" ht="15" thickBot="1">
      <c r="A1229" s="328"/>
      <c r="B1229" s="257"/>
      <c r="C1229" s="257"/>
      <c r="D1229" s="329"/>
      <c r="E1229" s="330"/>
      <c r="F1229" s="331"/>
      <c r="G1229" s="256"/>
      <c r="H1229" s="256"/>
      <c r="I1229" s="332"/>
      <c r="J1229" s="333"/>
      <c r="K1229" s="334"/>
      <c r="L1229" s="484"/>
    </row>
    <row r="1230" spans="1:12" ht="15" thickBot="1">
      <c r="A1230" s="328"/>
      <c r="B1230" s="257"/>
      <c r="C1230" s="257"/>
      <c r="D1230" s="329"/>
      <c r="E1230" s="330"/>
      <c r="F1230" s="331"/>
      <c r="G1230" s="256"/>
      <c r="H1230" s="256"/>
      <c r="I1230" s="332"/>
      <c r="J1230" s="333"/>
      <c r="K1230" s="334"/>
      <c r="L1230" s="484"/>
    </row>
    <row r="1231" spans="1:12" ht="15" thickBot="1">
      <c r="A1231" s="328"/>
      <c r="B1231" s="257"/>
      <c r="C1231" s="257"/>
      <c r="D1231" s="329"/>
      <c r="E1231" s="330"/>
      <c r="F1231" s="331"/>
      <c r="G1231" s="256"/>
      <c r="H1231" s="256"/>
      <c r="I1231" s="332"/>
      <c r="J1231" s="333"/>
      <c r="K1231" s="334"/>
      <c r="L1231" s="484"/>
    </row>
    <row r="1232" spans="1:12" ht="15" thickBot="1">
      <c r="A1232" s="328"/>
      <c r="B1232" s="257"/>
      <c r="C1232" s="257"/>
      <c r="D1232" s="329"/>
      <c r="E1232" s="330"/>
      <c r="F1232" s="331"/>
      <c r="G1232" s="256"/>
      <c r="H1232" s="256"/>
      <c r="I1232" s="332"/>
      <c r="J1232" s="333"/>
      <c r="K1232" s="334"/>
      <c r="L1232" s="484"/>
    </row>
    <row r="1233" spans="1:12" ht="15" thickBot="1">
      <c r="A1233" s="328"/>
      <c r="B1233" s="257"/>
      <c r="C1233" s="257"/>
      <c r="D1233" s="329"/>
      <c r="E1233" s="330"/>
      <c r="F1233" s="331"/>
      <c r="G1233" s="256"/>
      <c r="H1233" s="256"/>
      <c r="I1233" s="332"/>
      <c r="J1233" s="333"/>
      <c r="K1233" s="334"/>
      <c r="L1233" s="484"/>
    </row>
    <row r="1234" spans="1:12" ht="15" thickBot="1">
      <c r="A1234" s="328"/>
      <c r="B1234" s="257"/>
      <c r="C1234" s="257"/>
      <c r="D1234" s="329"/>
      <c r="E1234" s="330"/>
      <c r="F1234" s="331"/>
      <c r="G1234" s="256"/>
      <c r="H1234" s="256"/>
      <c r="I1234" s="332"/>
      <c r="J1234" s="333"/>
      <c r="K1234" s="334"/>
      <c r="L1234" s="484"/>
    </row>
    <row r="1235" spans="1:12" ht="15" thickBot="1">
      <c r="A1235" s="328"/>
      <c r="B1235" s="257"/>
      <c r="C1235" s="257"/>
      <c r="D1235" s="329"/>
      <c r="E1235" s="330"/>
      <c r="F1235" s="331"/>
      <c r="G1235" s="256"/>
      <c r="H1235" s="256"/>
      <c r="I1235" s="332"/>
      <c r="J1235" s="333"/>
      <c r="K1235" s="334"/>
      <c r="L1235" s="484"/>
    </row>
    <row r="1236" spans="1:12" ht="15" thickBot="1">
      <c r="A1236" s="328"/>
      <c r="B1236" s="257"/>
      <c r="C1236" s="257"/>
      <c r="D1236" s="329"/>
      <c r="E1236" s="330"/>
      <c r="F1236" s="331"/>
      <c r="G1236" s="256"/>
      <c r="H1236" s="256"/>
      <c r="I1236" s="332"/>
      <c r="J1236" s="333"/>
      <c r="K1236" s="334"/>
      <c r="L1236" s="484"/>
    </row>
    <row r="1237" spans="1:12" ht="15" thickBot="1">
      <c r="A1237" s="328"/>
      <c r="B1237" s="257"/>
      <c r="C1237" s="257"/>
      <c r="D1237" s="329"/>
      <c r="E1237" s="330"/>
      <c r="F1237" s="331"/>
      <c r="G1237" s="256"/>
      <c r="H1237" s="256"/>
      <c r="I1237" s="332"/>
      <c r="J1237" s="333"/>
      <c r="K1237" s="334"/>
      <c r="L1237" s="484"/>
    </row>
    <row r="1238" spans="1:12" ht="15" thickBot="1">
      <c r="A1238" s="328"/>
      <c r="B1238" s="257"/>
      <c r="C1238" s="257"/>
      <c r="D1238" s="329"/>
      <c r="E1238" s="330"/>
      <c r="F1238" s="331"/>
      <c r="G1238" s="256"/>
      <c r="H1238" s="256"/>
      <c r="I1238" s="332"/>
      <c r="J1238" s="333"/>
      <c r="K1238" s="334"/>
      <c r="L1238" s="484"/>
    </row>
    <row r="1239" spans="1:12" ht="15" thickBot="1">
      <c r="A1239" s="328"/>
      <c r="B1239" s="257"/>
      <c r="C1239" s="257"/>
      <c r="D1239" s="329"/>
      <c r="E1239" s="330"/>
      <c r="F1239" s="331"/>
      <c r="G1239" s="256"/>
      <c r="H1239" s="256"/>
      <c r="I1239" s="332"/>
      <c r="J1239" s="333"/>
      <c r="K1239" s="334"/>
      <c r="L1239" s="484"/>
    </row>
    <row r="1240" spans="1:12" ht="15" thickBot="1">
      <c r="A1240" s="328"/>
      <c r="B1240" s="257"/>
      <c r="C1240" s="257"/>
      <c r="D1240" s="329"/>
      <c r="E1240" s="330"/>
      <c r="F1240" s="331"/>
      <c r="G1240" s="256"/>
      <c r="H1240" s="256"/>
      <c r="I1240" s="332"/>
      <c r="J1240" s="333"/>
      <c r="K1240" s="334"/>
      <c r="L1240" s="484"/>
    </row>
    <row r="1241" spans="1:12" ht="15" thickBot="1">
      <c r="A1241" s="328"/>
      <c r="B1241" s="257"/>
      <c r="C1241" s="257"/>
      <c r="D1241" s="329"/>
      <c r="E1241" s="330"/>
      <c r="F1241" s="331"/>
      <c r="G1241" s="256"/>
      <c r="H1241" s="256"/>
      <c r="I1241" s="332"/>
      <c r="J1241" s="333"/>
      <c r="K1241" s="334"/>
      <c r="L1241" s="484"/>
    </row>
    <row r="1242" spans="1:12" ht="15" thickBot="1">
      <c r="A1242" s="328"/>
      <c r="B1242" s="257"/>
      <c r="C1242" s="257"/>
      <c r="D1242" s="329"/>
      <c r="E1242" s="330"/>
      <c r="F1242" s="331"/>
      <c r="G1242" s="256"/>
      <c r="H1242" s="256"/>
      <c r="I1242" s="332"/>
      <c r="J1242" s="333"/>
      <c r="K1242" s="334"/>
      <c r="L1242" s="484"/>
    </row>
    <row r="1243" spans="1:12" ht="15" thickBot="1">
      <c r="A1243" s="328"/>
      <c r="B1243" s="257"/>
      <c r="C1243" s="257"/>
      <c r="D1243" s="329"/>
      <c r="E1243" s="330"/>
      <c r="F1243" s="331"/>
      <c r="G1243" s="256"/>
      <c r="H1243" s="256"/>
      <c r="I1243" s="332"/>
      <c r="J1243" s="333"/>
      <c r="K1243" s="334"/>
      <c r="L1243" s="484"/>
    </row>
    <row r="1244" spans="1:12" ht="15" thickBot="1">
      <c r="A1244" s="328"/>
      <c r="B1244" s="257"/>
      <c r="C1244" s="257"/>
      <c r="D1244" s="329"/>
      <c r="E1244" s="330"/>
      <c r="F1244" s="331"/>
      <c r="G1244" s="256"/>
      <c r="H1244" s="256"/>
      <c r="I1244" s="332"/>
      <c r="J1244" s="333"/>
      <c r="K1244" s="334"/>
      <c r="L1244" s="484"/>
    </row>
    <row r="1245" spans="1:12" ht="15" thickBot="1">
      <c r="A1245" s="328"/>
      <c r="B1245" s="257"/>
      <c r="C1245" s="257"/>
      <c r="D1245" s="329"/>
      <c r="E1245" s="330"/>
      <c r="F1245" s="331"/>
      <c r="G1245" s="256"/>
      <c r="H1245" s="256"/>
      <c r="I1245" s="332"/>
      <c r="J1245" s="333"/>
      <c r="K1245" s="334"/>
      <c r="L1245" s="484"/>
    </row>
    <row r="1246" spans="1:12" ht="15" thickBot="1">
      <c r="A1246" s="328"/>
      <c r="B1246" s="257"/>
      <c r="C1246" s="257"/>
      <c r="D1246" s="329"/>
      <c r="E1246" s="330"/>
      <c r="F1246" s="331"/>
      <c r="G1246" s="256"/>
      <c r="H1246" s="256"/>
      <c r="I1246" s="332"/>
      <c r="J1246" s="333"/>
      <c r="K1246" s="334"/>
      <c r="L1246" s="484"/>
    </row>
    <row r="1247" spans="1:12" ht="15" thickBot="1">
      <c r="A1247" s="328"/>
      <c r="B1247" s="257"/>
      <c r="C1247" s="257"/>
      <c r="D1247" s="329"/>
      <c r="E1247" s="330"/>
      <c r="F1247" s="331"/>
      <c r="G1247" s="256"/>
      <c r="H1247" s="256"/>
      <c r="I1247" s="332"/>
      <c r="J1247" s="333"/>
      <c r="K1247" s="334"/>
      <c r="L1247" s="484"/>
    </row>
    <row r="1248" spans="1:12" ht="15" thickBot="1">
      <c r="A1248" s="328"/>
      <c r="B1248" s="257"/>
      <c r="C1248" s="257"/>
      <c r="D1248" s="329"/>
      <c r="E1248" s="330"/>
      <c r="F1248" s="331"/>
      <c r="G1248" s="256"/>
      <c r="H1248" s="256"/>
      <c r="I1248" s="332"/>
      <c r="J1248" s="333"/>
      <c r="K1248" s="334"/>
      <c r="L1248" s="484"/>
    </row>
    <row r="1249" spans="1:12" ht="15" thickBot="1">
      <c r="A1249" s="328"/>
      <c r="B1249" s="257"/>
      <c r="C1249" s="257"/>
      <c r="D1249" s="329"/>
      <c r="E1249" s="330"/>
      <c r="F1249" s="331"/>
      <c r="G1249" s="256"/>
      <c r="H1249" s="256"/>
      <c r="I1249" s="332"/>
      <c r="J1249" s="333"/>
      <c r="K1249" s="334"/>
      <c r="L1249" s="484"/>
    </row>
    <row r="1250" spans="1:12" ht="15" thickBot="1">
      <c r="A1250" s="328"/>
      <c r="B1250" s="257"/>
      <c r="C1250" s="257"/>
      <c r="D1250" s="329"/>
      <c r="E1250" s="330"/>
      <c r="F1250" s="331"/>
      <c r="G1250" s="256"/>
      <c r="H1250" s="256"/>
      <c r="I1250" s="332"/>
      <c r="J1250" s="333"/>
      <c r="K1250" s="334"/>
      <c r="L1250" s="484"/>
    </row>
    <row r="1251" spans="1:12" ht="15" thickBot="1">
      <c r="A1251" s="328"/>
      <c r="B1251" s="257"/>
      <c r="C1251" s="257"/>
      <c r="D1251" s="329"/>
      <c r="E1251" s="330"/>
      <c r="F1251" s="331"/>
      <c r="G1251" s="256"/>
      <c r="H1251" s="256"/>
      <c r="I1251" s="332"/>
      <c r="J1251" s="333"/>
      <c r="K1251" s="334"/>
      <c r="L1251" s="484"/>
    </row>
    <row r="1252" spans="1:12" ht="15" thickBot="1">
      <c r="A1252" s="328"/>
      <c r="B1252" s="257"/>
      <c r="C1252" s="257"/>
      <c r="D1252" s="329"/>
      <c r="E1252" s="330"/>
      <c r="F1252" s="331"/>
      <c r="G1252" s="256"/>
      <c r="H1252" s="256"/>
      <c r="I1252" s="332"/>
      <c r="J1252" s="333"/>
      <c r="K1252" s="334"/>
      <c r="L1252" s="484"/>
    </row>
    <row r="1253" spans="1:12" ht="15" thickBot="1">
      <c r="A1253" s="328"/>
      <c r="B1253" s="257"/>
      <c r="C1253" s="257"/>
      <c r="D1253" s="329"/>
      <c r="E1253" s="330"/>
      <c r="F1253" s="331"/>
      <c r="G1253" s="256"/>
      <c r="H1253" s="256"/>
      <c r="I1253" s="332"/>
      <c r="J1253" s="333"/>
      <c r="K1253" s="334"/>
      <c r="L1253" s="484"/>
    </row>
    <row r="1254" spans="1:12" ht="15" thickBot="1">
      <c r="A1254" s="328"/>
      <c r="B1254" s="257"/>
      <c r="C1254" s="257"/>
      <c r="D1254" s="329"/>
      <c r="E1254" s="330"/>
      <c r="F1254" s="331"/>
      <c r="G1254" s="256"/>
      <c r="H1254" s="256"/>
      <c r="I1254" s="332"/>
      <c r="J1254" s="333"/>
      <c r="K1254" s="334"/>
      <c r="L1254" s="484"/>
    </row>
    <row r="1255" spans="1:12" ht="15" thickBot="1">
      <c r="A1255" s="328"/>
      <c r="B1255" s="257"/>
      <c r="C1255" s="257"/>
      <c r="D1255" s="329"/>
      <c r="E1255" s="330"/>
      <c r="F1255" s="331"/>
      <c r="G1255" s="256"/>
      <c r="H1255" s="256"/>
      <c r="I1255" s="332"/>
      <c r="J1255" s="333"/>
      <c r="K1255" s="334"/>
      <c r="L1255" s="484"/>
    </row>
    <row r="1256" spans="1:12" ht="15" thickBot="1">
      <c r="A1256" s="328"/>
      <c r="B1256" s="257"/>
      <c r="C1256" s="257"/>
      <c r="D1256" s="329"/>
      <c r="E1256" s="330"/>
      <c r="F1256" s="331"/>
      <c r="G1256" s="256"/>
      <c r="H1256" s="256"/>
      <c r="I1256" s="332"/>
      <c r="J1256" s="333"/>
      <c r="K1256" s="334"/>
      <c r="L1256" s="484"/>
    </row>
    <row r="1257" spans="1:12" ht="15" thickBot="1">
      <c r="A1257" s="328"/>
      <c r="B1257" s="257"/>
      <c r="C1257" s="257"/>
      <c r="D1257" s="329"/>
      <c r="E1257" s="330"/>
      <c r="F1257" s="331"/>
      <c r="G1257" s="256"/>
      <c r="H1257" s="256"/>
      <c r="I1257" s="332"/>
      <c r="J1257" s="333"/>
      <c r="K1257" s="334"/>
      <c r="L1257" s="484"/>
    </row>
    <row r="1258" spans="1:12" ht="15" thickBot="1">
      <c r="A1258" s="328"/>
      <c r="B1258" s="257"/>
      <c r="C1258" s="257"/>
      <c r="D1258" s="329"/>
      <c r="E1258" s="330"/>
      <c r="F1258" s="331"/>
      <c r="G1258" s="256"/>
      <c r="H1258" s="256"/>
      <c r="I1258" s="332"/>
      <c r="J1258" s="333"/>
      <c r="K1258" s="334"/>
      <c r="L1258" s="484"/>
    </row>
    <row r="1259" spans="1:12" ht="15" thickBot="1">
      <c r="A1259" s="328"/>
      <c r="B1259" s="257"/>
      <c r="C1259" s="257"/>
      <c r="D1259" s="329"/>
      <c r="E1259" s="330"/>
      <c r="F1259" s="331"/>
      <c r="G1259" s="256"/>
      <c r="H1259" s="256"/>
      <c r="I1259" s="332"/>
      <c r="J1259" s="333"/>
      <c r="K1259" s="334"/>
      <c r="L1259" s="484"/>
    </row>
    <row r="1260" spans="1:12" ht="15" thickBot="1">
      <c r="A1260" s="328"/>
      <c r="B1260" s="257"/>
      <c r="C1260" s="257"/>
      <c r="D1260" s="329"/>
      <c r="E1260" s="330"/>
      <c r="F1260" s="331"/>
      <c r="G1260" s="256"/>
      <c r="H1260" s="256"/>
      <c r="I1260" s="332"/>
      <c r="J1260" s="333"/>
      <c r="K1260" s="334"/>
      <c r="L1260" s="484"/>
    </row>
    <row r="1261" spans="1:12" ht="15" thickBot="1">
      <c r="A1261" s="328"/>
      <c r="B1261" s="257"/>
      <c r="C1261" s="257"/>
      <c r="D1261" s="329"/>
      <c r="E1261" s="330"/>
      <c r="F1261" s="331"/>
      <c r="G1261" s="256"/>
      <c r="H1261" s="256"/>
      <c r="I1261" s="332"/>
      <c r="J1261" s="333"/>
      <c r="K1261" s="334"/>
      <c r="L1261" s="484"/>
    </row>
    <row r="1262" spans="1:12" ht="15" thickBot="1">
      <c r="A1262" s="328"/>
      <c r="B1262" s="257"/>
      <c r="C1262" s="257"/>
      <c r="D1262" s="329"/>
      <c r="E1262" s="330"/>
      <c r="F1262" s="331"/>
      <c r="G1262" s="256"/>
      <c r="H1262" s="256"/>
      <c r="I1262" s="332"/>
      <c r="J1262" s="333"/>
      <c r="K1262" s="334"/>
      <c r="L1262" s="484"/>
    </row>
    <row r="1263" spans="1:12" ht="15" thickBot="1">
      <c r="A1263" s="328"/>
      <c r="B1263" s="257"/>
      <c r="C1263" s="257"/>
      <c r="D1263" s="329"/>
      <c r="E1263" s="330"/>
      <c r="F1263" s="331"/>
      <c r="G1263" s="256"/>
      <c r="H1263" s="256"/>
      <c r="I1263" s="332"/>
      <c r="J1263" s="333"/>
      <c r="K1263" s="334"/>
      <c r="L1263" s="484"/>
    </row>
    <row r="1264" spans="1:12" ht="15" thickBot="1">
      <c r="A1264" s="328"/>
      <c r="B1264" s="257"/>
      <c r="C1264" s="257"/>
      <c r="D1264" s="329"/>
      <c r="E1264" s="330"/>
      <c r="F1264" s="331"/>
      <c r="G1264" s="256"/>
      <c r="H1264" s="256"/>
      <c r="I1264" s="332"/>
      <c r="J1264" s="333"/>
      <c r="K1264" s="334"/>
      <c r="L1264" s="484"/>
    </row>
    <row r="1265" spans="1:12" ht="15" thickBot="1">
      <c r="A1265" s="328"/>
      <c r="B1265" s="257"/>
      <c r="C1265" s="257"/>
      <c r="D1265" s="329"/>
      <c r="E1265" s="330"/>
      <c r="F1265" s="331"/>
      <c r="G1265" s="256"/>
      <c r="H1265" s="256"/>
      <c r="I1265" s="332"/>
      <c r="J1265" s="333"/>
      <c r="K1265" s="334"/>
      <c r="L1265" s="484"/>
    </row>
    <row r="1266" spans="1:12" ht="15" thickBot="1">
      <c r="A1266" s="328"/>
      <c r="B1266" s="257"/>
      <c r="C1266" s="257"/>
      <c r="D1266" s="329"/>
      <c r="E1266" s="330"/>
      <c r="F1266" s="331"/>
      <c r="G1266" s="256"/>
      <c r="H1266" s="256"/>
      <c r="I1266" s="332"/>
      <c r="J1266" s="333"/>
      <c r="K1266" s="334"/>
      <c r="L1266" s="484"/>
    </row>
    <row r="1267" spans="1:12" ht="15" thickBot="1">
      <c r="A1267" s="328"/>
      <c r="B1267" s="257"/>
      <c r="C1267" s="257"/>
      <c r="D1267" s="329"/>
      <c r="E1267" s="330"/>
      <c r="F1267" s="331"/>
      <c r="G1267" s="256"/>
      <c r="H1267" s="256"/>
      <c r="I1267" s="332"/>
      <c r="J1267" s="333"/>
      <c r="K1267" s="334"/>
      <c r="L1267" s="484"/>
    </row>
    <row r="1268" spans="1:12" ht="15" thickBot="1">
      <c r="A1268" s="328"/>
      <c r="B1268" s="257"/>
      <c r="C1268" s="257"/>
      <c r="D1268" s="329"/>
      <c r="E1268" s="330"/>
      <c r="F1268" s="331"/>
      <c r="G1268" s="256"/>
      <c r="H1268" s="256"/>
      <c r="I1268" s="332"/>
      <c r="J1268" s="333"/>
      <c r="K1268" s="334"/>
      <c r="L1268" s="484"/>
    </row>
    <row r="1269" spans="1:12" ht="15" thickBot="1">
      <c r="A1269" s="328"/>
      <c r="B1269" s="257"/>
      <c r="C1269" s="257"/>
      <c r="D1269" s="329"/>
      <c r="E1269" s="330"/>
      <c r="F1269" s="331"/>
      <c r="G1269" s="256"/>
      <c r="H1269" s="256"/>
      <c r="I1269" s="332"/>
      <c r="J1269" s="333"/>
      <c r="K1269" s="334"/>
      <c r="L1269" s="484"/>
    </row>
    <row r="1270" spans="1:12" ht="15" thickBot="1">
      <c r="A1270" s="328"/>
      <c r="B1270" s="257"/>
      <c r="C1270" s="257"/>
      <c r="D1270" s="329"/>
      <c r="E1270" s="330"/>
      <c r="F1270" s="331"/>
      <c r="G1270" s="256"/>
      <c r="H1270" s="256"/>
      <c r="I1270" s="332"/>
      <c r="J1270" s="333"/>
      <c r="K1270" s="334"/>
      <c r="L1270" s="484"/>
    </row>
    <row r="1271" spans="1:12" ht="15" thickBot="1">
      <c r="A1271" s="328"/>
      <c r="B1271" s="257"/>
      <c r="C1271" s="257"/>
      <c r="D1271" s="329"/>
      <c r="E1271" s="330"/>
      <c r="F1271" s="331"/>
      <c r="G1271" s="256"/>
      <c r="H1271" s="256"/>
      <c r="I1271" s="332"/>
      <c r="J1271" s="333"/>
      <c r="K1271" s="334"/>
      <c r="L1271" s="484"/>
    </row>
    <row r="1272" spans="1:12" ht="15" thickBot="1">
      <c r="A1272" s="328"/>
      <c r="B1272" s="257"/>
      <c r="C1272" s="257"/>
      <c r="D1272" s="329"/>
      <c r="E1272" s="330"/>
      <c r="F1272" s="331"/>
      <c r="G1272" s="256"/>
      <c r="H1272" s="256"/>
      <c r="I1272" s="332"/>
      <c r="J1272" s="333"/>
      <c r="K1272" s="334"/>
      <c r="L1272" s="484"/>
    </row>
    <row r="1273" spans="1:12" ht="15" thickBot="1">
      <c r="A1273" s="328"/>
      <c r="B1273" s="257"/>
      <c r="C1273" s="257"/>
      <c r="D1273" s="329"/>
      <c r="E1273" s="330"/>
      <c r="F1273" s="331"/>
      <c r="G1273" s="256"/>
      <c r="H1273" s="256"/>
      <c r="I1273" s="332"/>
      <c r="J1273" s="333"/>
      <c r="K1273" s="334"/>
      <c r="L1273" s="484"/>
    </row>
    <row r="1274" spans="1:12" ht="15" thickBot="1">
      <c r="A1274" s="328"/>
      <c r="B1274" s="257"/>
      <c r="C1274" s="257"/>
      <c r="D1274" s="329"/>
      <c r="E1274" s="330"/>
      <c r="F1274" s="331"/>
      <c r="G1274" s="256"/>
      <c r="H1274" s="256"/>
      <c r="I1274" s="332"/>
      <c r="J1274" s="333"/>
      <c r="K1274" s="334"/>
      <c r="L1274" s="484"/>
    </row>
    <row r="1275" spans="1:12" ht="15" thickBot="1">
      <c r="A1275" s="328"/>
      <c r="B1275" s="257"/>
      <c r="C1275" s="257"/>
      <c r="D1275" s="329"/>
      <c r="E1275" s="330"/>
      <c r="F1275" s="331"/>
      <c r="G1275" s="256"/>
      <c r="H1275" s="256"/>
      <c r="I1275" s="332"/>
      <c r="J1275" s="333"/>
      <c r="K1275" s="334"/>
      <c r="L1275" s="484"/>
    </row>
    <row r="1276" spans="1:12" ht="15" thickBot="1">
      <c r="A1276" s="328"/>
      <c r="B1276" s="257"/>
      <c r="C1276" s="257"/>
      <c r="D1276" s="329"/>
      <c r="E1276" s="330"/>
      <c r="F1276" s="331"/>
      <c r="G1276" s="256"/>
      <c r="H1276" s="256"/>
      <c r="I1276" s="332"/>
      <c r="J1276" s="333"/>
      <c r="K1276" s="334"/>
      <c r="L1276" s="484"/>
    </row>
    <row r="1277" spans="1:12" ht="15" thickBot="1">
      <c r="A1277" s="328"/>
      <c r="B1277" s="257"/>
      <c r="C1277" s="257"/>
      <c r="D1277" s="329"/>
      <c r="E1277" s="330"/>
      <c r="F1277" s="331"/>
      <c r="G1277" s="256"/>
      <c r="H1277" s="256"/>
      <c r="I1277" s="332"/>
      <c r="J1277" s="333"/>
      <c r="K1277" s="334"/>
      <c r="L1277" s="484"/>
    </row>
    <row r="1278" spans="1:12" ht="15" thickBot="1">
      <c r="A1278" s="328"/>
      <c r="B1278" s="257"/>
      <c r="C1278" s="257"/>
      <c r="D1278" s="329"/>
      <c r="E1278" s="330"/>
      <c r="F1278" s="331"/>
      <c r="G1278" s="256"/>
      <c r="H1278" s="256"/>
      <c r="I1278" s="332"/>
      <c r="J1278" s="333"/>
      <c r="K1278" s="334"/>
      <c r="L1278" s="484"/>
    </row>
    <row r="1279" spans="1:12" ht="15" thickBot="1">
      <c r="A1279" s="328"/>
      <c r="B1279" s="257"/>
      <c r="C1279" s="257"/>
      <c r="D1279" s="329"/>
      <c r="E1279" s="330"/>
      <c r="F1279" s="331"/>
      <c r="G1279" s="256"/>
      <c r="H1279" s="256"/>
      <c r="I1279" s="332"/>
      <c r="J1279" s="333"/>
      <c r="K1279" s="334"/>
      <c r="L1279" s="484"/>
    </row>
    <row r="1280" spans="1:12" ht="15" thickBot="1">
      <c r="A1280" s="328"/>
      <c r="B1280" s="257"/>
      <c r="C1280" s="257"/>
      <c r="D1280" s="329"/>
      <c r="E1280" s="330"/>
      <c r="F1280" s="331"/>
      <c r="G1280" s="256"/>
      <c r="H1280" s="256"/>
      <c r="I1280" s="332"/>
      <c r="J1280" s="333"/>
      <c r="K1280" s="334"/>
      <c r="L1280" s="484"/>
    </row>
    <row r="1281" spans="1:12" ht="15" thickBot="1">
      <c r="A1281" s="328"/>
      <c r="B1281" s="257"/>
      <c r="C1281" s="257"/>
      <c r="D1281" s="329"/>
      <c r="E1281" s="330"/>
      <c r="F1281" s="331"/>
      <c r="G1281" s="256"/>
      <c r="H1281" s="256"/>
      <c r="I1281" s="332"/>
      <c r="J1281" s="333"/>
      <c r="K1281" s="334"/>
      <c r="L1281" s="484"/>
    </row>
    <row r="1282" spans="1:12" ht="15" thickBot="1">
      <c r="A1282" s="328"/>
      <c r="B1282" s="257"/>
      <c r="C1282" s="257"/>
      <c r="D1282" s="329"/>
      <c r="E1282" s="330"/>
      <c r="F1282" s="331"/>
      <c r="G1282" s="256"/>
      <c r="H1282" s="256"/>
      <c r="I1282" s="332"/>
      <c r="J1282" s="333"/>
      <c r="K1282" s="334"/>
      <c r="L1282" s="484"/>
    </row>
    <row r="1283" spans="1:12" ht="15" thickBot="1">
      <c r="A1283" s="328"/>
      <c r="B1283" s="257"/>
      <c r="C1283" s="257"/>
      <c r="D1283" s="329"/>
      <c r="E1283" s="330"/>
      <c r="F1283" s="331"/>
      <c r="G1283" s="256"/>
      <c r="H1283" s="256"/>
      <c r="I1283" s="332"/>
      <c r="J1283" s="333"/>
      <c r="K1283" s="334"/>
      <c r="L1283" s="484"/>
    </row>
    <row r="1284" spans="1:12" ht="15" thickBot="1">
      <c r="A1284" s="328"/>
      <c r="B1284" s="257"/>
      <c r="C1284" s="257"/>
      <c r="D1284" s="329"/>
      <c r="E1284" s="330"/>
      <c r="F1284" s="331"/>
      <c r="G1284" s="256"/>
      <c r="H1284" s="256"/>
      <c r="I1284" s="332"/>
      <c r="J1284" s="333"/>
      <c r="K1284" s="334"/>
      <c r="L1284" s="484"/>
    </row>
    <row r="1285" spans="1:12" ht="15" thickBot="1">
      <c r="A1285" s="328"/>
      <c r="B1285" s="257"/>
      <c r="C1285" s="257"/>
      <c r="D1285" s="329"/>
      <c r="E1285" s="330"/>
      <c r="F1285" s="331"/>
      <c r="G1285" s="256"/>
      <c r="H1285" s="256"/>
      <c r="I1285" s="332"/>
      <c r="J1285" s="333"/>
      <c r="K1285" s="334"/>
      <c r="L1285" s="484"/>
    </row>
    <row r="1286" spans="1:12" ht="15" thickBot="1">
      <c r="A1286" s="328"/>
      <c r="B1286" s="257"/>
      <c r="C1286" s="257"/>
      <c r="D1286" s="329"/>
      <c r="E1286" s="330"/>
      <c r="F1286" s="331"/>
      <c r="G1286" s="256"/>
      <c r="H1286" s="256"/>
      <c r="I1286" s="332"/>
      <c r="J1286" s="333"/>
      <c r="K1286" s="334"/>
      <c r="L1286" s="484"/>
    </row>
    <row r="1287" spans="1:12" ht="15" thickBot="1">
      <c r="A1287" s="328"/>
      <c r="B1287" s="257"/>
      <c r="C1287" s="257"/>
      <c r="D1287" s="329"/>
      <c r="E1287" s="330"/>
      <c r="F1287" s="331"/>
      <c r="G1287" s="256"/>
      <c r="H1287" s="256"/>
      <c r="I1287" s="332"/>
      <c r="J1287" s="333"/>
      <c r="K1287" s="334"/>
      <c r="L1287" s="484"/>
    </row>
    <row r="1288" spans="1:12" ht="15" thickBot="1">
      <c r="A1288" s="328"/>
      <c r="B1288" s="257"/>
      <c r="C1288" s="257"/>
      <c r="D1288" s="329"/>
      <c r="E1288" s="330"/>
      <c r="F1288" s="331"/>
      <c r="G1288" s="256"/>
      <c r="H1288" s="256"/>
      <c r="I1288" s="332"/>
      <c r="J1288" s="333"/>
      <c r="K1288" s="334"/>
      <c r="L1288" s="484"/>
    </row>
    <row r="1289" spans="1:12" ht="15" thickBot="1">
      <c r="A1289" s="328"/>
      <c r="B1289" s="257"/>
      <c r="C1289" s="257"/>
      <c r="D1289" s="329"/>
      <c r="E1289" s="330"/>
      <c r="F1289" s="331"/>
      <c r="G1289" s="256"/>
      <c r="H1289" s="256"/>
      <c r="I1289" s="332"/>
      <c r="J1289" s="333"/>
      <c r="K1289" s="334"/>
      <c r="L1289" s="484"/>
    </row>
    <row r="1290" spans="1:12" ht="15" thickBot="1">
      <c r="A1290" s="328"/>
      <c r="B1290" s="257"/>
      <c r="C1290" s="257"/>
      <c r="D1290" s="329"/>
      <c r="E1290" s="330"/>
      <c r="F1290" s="331"/>
      <c r="G1290" s="256"/>
      <c r="H1290" s="256"/>
      <c r="I1290" s="332"/>
      <c r="J1290" s="333"/>
      <c r="K1290" s="334"/>
      <c r="L1290" s="484"/>
    </row>
    <row r="1291" spans="1:12" ht="15" thickBot="1">
      <c r="A1291" s="328"/>
      <c r="B1291" s="257"/>
      <c r="C1291" s="257"/>
      <c r="D1291" s="329"/>
      <c r="E1291" s="330"/>
      <c r="F1291" s="331"/>
      <c r="G1291" s="256"/>
      <c r="H1291" s="256"/>
      <c r="I1291" s="332"/>
      <c r="J1291" s="333"/>
      <c r="K1291" s="334"/>
      <c r="L1291" s="484"/>
    </row>
    <row r="1292" spans="1:12" ht="15" thickBot="1">
      <c r="A1292" s="328"/>
      <c r="B1292" s="257"/>
      <c r="C1292" s="257"/>
      <c r="D1292" s="329"/>
      <c r="E1292" s="330"/>
      <c r="F1292" s="331"/>
      <c r="G1292" s="256"/>
      <c r="H1292" s="256"/>
      <c r="I1292" s="332"/>
      <c r="J1292" s="333"/>
      <c r="K1292" s="334"/>
      <c r="L1292" s="484"/>
    </row>
    <row r="1293" spans="1:12" ht="15" thickBot="1">
      <c r="A1293" s="328"/>
      <c r="B1293" s="257"/>
      <c r="C1293" s="257"/>
      <c r="D1293" s="329"/>
      <c r="E1293" s="330"/>
      <c r="F1293" s="331"/>
      <c r="G1293" s="256"/>
      <c r="H1293" s="256"/>
      <c r="I1293" s="332"/>
      <c r="J1293" s="333"/>
      <c r="K1293" s="334"/>
      <c r="L1293" s="484"/>
    </row>
    <row r="1294" spans="1:12" ht="15" thickBot="1">
      <c r="A1294" s="328"/>
      <c r="B1294" s="257"/>
      <c r="C1294" s="257"/>
      <c r="D1294" s="329"/>
      <c r="E1294" s="330"/>
      <c r="F1294" s="331"/>
      <c r="G1294" s="256"/>
      <c r="H1294" s="256"/>
      <c r="I1294" s="332"/>
      <c r="J1294" s="333"/>
      <c r="K1294" s="334"/>
      <c r="L1294" s="484"/>
    </row>
    <row r="1295" spans="1:12" ht="15" thickBot="1">
      <c r="A1295" s="328"/>
      <c r="B1295" s="257"/>
      <c r="C1295" s="257"/>
      <c r="D1295" s="329"/>
      <c r="E1295" s="330"/>
      <c r="F1295" s="331"/>
      <c r="G1295" s="256"/>
      <c r="H1295" s="256"/>
      <c r="I1295" s="332"/>
      <c r="J1295" s="333"/>
      <c r="K1295" s="334"/>
      <c r="L1295" s="484"/>
    </row>
    <row r="1296" spans="1:12" ht="15" thickBot="1">
      <c r="A1296" s="328"/>
      <c r="B1296" s="257"/>
      <c r="C1296" s="257"/>
      <c r="D1296" s="329"/>
      <c r="E1296" s="330"/>
      <c r="F1296" s="331"/>
      <c r="G1296" s="256"/>
      <c r="H1296" s="256"/>
      <c r="I1296" s="332"/>
      <c r="J1296" s="333"/>
      <c r="K1296" s="334"/>
      <c r="L1296" s="484"/>
    </row>
    <row r="1297" spans="1:12" ht="15" thickBot="1">
      <c r="A1297" s="328"/>
      <c r="B1297" s="257"/>
      <c r="C1297" s="257"/>
      <c r="D1297" s="329"/>
      <c r="E1297" s="330"/>
      <c r="F1297" s="331"/>
      <c r="G1297" s="256"/>
      <c r="H1297" s="256"/>
      <c r="I1297" s="332"/>
      <c r="J1297" s="333"/>
      <c r="K1297" s="334"/>
      <c r="L1297" s="484"/>
    </row>
    <row r="1298" spans="1:12" ht="15" thickBot="1">
      <c r="A1298" s="328"/>
      <c r="B1298" s="257"/>
      <c r="C1298" s="257"/>
      <c r="D1298" s="329"/>
      <c r="E1298" s="330"/>
      <c r="F1298" s="331"/>
      <c r="G1298" s="256"/>
      <c r="H1298" s="256"/>
      <c r="I1298" s="332"/>
      <c r="J1298" s="333"/>
      <c r="K1298" s="334"/>
      <c r="L1298" s="484"/>
    </row>
    <row r="1299" spans="1:12" ht="15" thickBot="1">
      <c r="A1299" s="328"/>
      <c r="B1299" s="257"/>
      <c r="C1299" s="257"/>
      <c r="D1299" s="329"/>
      <c r="E1299" s="330"/>
      <c r="F1299" s="331"/>
      <c r="G1299" s="256"/>
      <c r="H1299" s="256"/>
      <c r="I1299" s="332"/>
      <c r="J1299" s="333"/>
      <c r="K1299" s="334"/>
      <c r="L1299" s="484"/>
    </row>
    <row r="1300" spans="1:12" ht="15" thickBot="1">
      <c r="A1300" s="328"/>
      <c r="B1300" s="257"/>
      <c r="C1300" s="257"/>
      <c r="D1300" s="329"/>
      <c r="E1300" s="330"/>
      <c r="F1300" s="331"/>
      <c r="G1300" s="256"/>
      <c r="H1300" s="256"/>
      <c r="I1300" s="332"/>
      <c r="J1300" s="333"/>
      <c r="K1300" s="334"/>
      <c r="L1300" s="484"/>
    </row>
    <row r="1301" spans="1:12" ht="15" thickBot="1">
      <c r="A1301" s="328"/>
      <c r="B1301" s="257"/>
      <c r="C1301" s="257"/>
      <c r="D1301" s="329"/>
      <c r="E1301" s="330"/>
      <c r="F1301" s="331"/>
      <c r="G1301" s="256"/>
      <c r="H1301" s="256"/>
      <c r="I1301" s="332"/>
      <c r="J1301" s="333"/>
      <c r="K1301" s="334"/>
      <c r="L1301" s="484"/>
    </row>
    <row r="1302" spans="1:12" ht="15" thickBot="1">
      <c r="A1302" s="328"/>
      <c r="B1302" s="257"/>
      <c r="C1302" s="257"/>
      <c r="D1302" s="329"/>
      <c r="E1302" s="330"/>
      <c r="F1302" s="331"/>
      <c r="G1302" s="256"/>
      <c r="H1302" s="256"/>
      <c r="I1302" s="332"/>
      <c r="J1302" s="333"/>
      <c r="K1302" s="334"/>
      <c r="L1302" s="484"/>
    </row>
    <row r="1303" spans="1:12" ht="15" thickBot="1">
      <c r="A1303" s="328"/>
      <c r="B1303" s="257"/>
      <c r="C1303" s="257"/>
      <c r="D1303" s="329"/>
      <c r="E1303" s="330"/>
      <c r="F1303" s="331"/>
      <c r="G1303" s="256"/>
      <c r="H1303" s="256"/>
      <c r="I1303" s="332"/>
      <c r="J1303" s="333"/>
      <c r="K1303" s="334"/>
      <c r="L1303" s="484"/>
    </row>
    <row r="1304" spans="1:12" ht="15" thickBot="1">
      <c r="A1304" s="328"/>
      <c r="B1304" s="257"/>
      <c r="C1304" s="257"/>
      <c r="D1304" s="329"/>
      <c r="E1304" s="330"/>
      <c r="F1304" s="331"/>
      <c r="G1304" s="256"/>
      <c r="H1304" s="256"/>
      <c r="I1304" s="332"/>
      <c r="J1304" s="333"/>
      <c r="K1304" s="334"/>
      <c r="L1304" s="484"/>
    </row>
    <row r="1305" spans="1:12" ht="15" thickBot="1">
      <c r="A1305" s="328"/>
      <c r="B1305" s="257"/>
      <c r="C1305" s="257"/>
      <c r="D1305" s="329"/>
      <c r="E1305" s="330"/>
      <c r="F1305" s="331"/>
      <c r="G1305" s="256"/>
      <c r="H1305" s="256"/>
      <c r="I1305" s="332"/>
      <c r="J1305" s="333"/>
      <c r="K1305" s="334"/>
      <c r="L1305" s="484"/>
    </row>
    <row r="1306" spans="1:12" ht="15" thickBot="1">
      <c r="A1306" s="328"/>
      <c r="B1306" s="257"/>
      <c r="C1306" s="257"/>
      <c r="D1306" s="329"/>
      <c r="E1306" s="330"/>
      <c r="F1306" s="331"/>
      <c r="G1306" s="256"/>
      <c r="H1306" s="256"/>
      <c r="I1306" s="332"/>
      <c r="J1306" s="333"/>
      <c r="K1306" s="334"/>
      <c r="L1306" s="484"/>
    </row>
    <row r="1307" spans="1:12" ht="15" thickBot="1">
      <c r="A1307" s="328"/>
      <c r="B1307" s="257"/>
      <c r="C1307" s="257"/>
      <c r="D1307" s="329"/>
      <c r="E1307" s="330"/>
      <c r="F1307" s="331"/>
      <c r="G1307" s="256"/>
      <c r="H1307" s="256"/>
      <c r="I1307" s="332"/>
      <c r="J1307" s="333"/>
      <c r="K1307" s="334"/>
      <c r="L1307" s="484"/>
    </row>
    <row r="1308" spans="1:12" ht="15" thickBot="1">
      <c r="A1308" s="328"/>
      <c r="B1308" s="257"/>
      <c r="C1308" s="257"/>
      <c r="D1308" s="329"/>
      <c r="E1308" s="330"/>
      <c r="F1308" s="331"/>
      <c r="G1308" s="256"/>
      <c r="H1308" s="256"/>
      <c r="I1308" s="332"/>
      <c r="J1308" s="333"/>
      <c r="K1308" s="334"/>
      <c r="L1308" s="484"/>
    </row>
    <row r="1309" spans="1:12" ht="15" thickBot="1">
      <c r="A1309" s="328"/>
      <c r="B1309" s="257"/>
      <c r="C1309" s="257"/>
      <c r="D1309" s="329"/>
      <c r="E1309" s="330"/>
      <c r="F1309" s="331"/>
      <c r="G1309" s="256"/>
      <c r="H1309" s="256"/>
      <c r="I1309" s="332"/>
      <c r="J1309" s="333"/>
      <c r="K1309" s="334"/>
      <c r="L1309" s="484"/>
    </row>
    <row r="1310" spans="1:12" ht="15" thickBot="1">
      <c r="A1310" s="328"/>
      <c r="B1310" s="257"/>
      <c r="C1310" s="257"/>
      <c r="D1310" s="329"/>
      <c r="E1310" s="330"/>
      <c r="F1310" s="331"/>
      <c r="G1310" s="256"/>
      <c r="H1310" s="256"/>
      <c r="I1310" s="332"/>
      <c r="J1310" s="333"/>
      <c r="K1310" s="334"/>
      <c r="L1310" s="484"/>
    </row>
    <row r="1311" spans="1:12" ht="15" thickBot="1">
      <c r="A1311" s="328"/>
      <c r="B1311" s="257"/>
      <c r="C1311" s="257"/>
      <c r="D1311" s="329"/>
      <c r="E1311" s="330"/>
      <c r="F1311" s="331"/>
      <c r="G1311" s="256"/>
      <c r="H1311" s="256"/>
      <c r="I1311" s="332"/>
      <c r="J1311" s="333"/>
      <c r="K1311" s="334"/>
      <c r="L1311" s="484"/>
    </row>
    <row r="1312" spans="1:12" ht="15" thickBot="1">
      <c r="A1312" s="328"/>
      <c r="B1312" s="257"/>
      <c r="C1312" s="257"/>
      <c r="D1312" s="329"/>
      <c r="E1312" s="330"/>
      <c r="F1312" s="331"/>
      <c r="G1312" s="256"/>
      <c r="H1312" s="256"/>
      <c r="I1312" s="332"/>
      <c r="J1312" s="333"/>
      <c r="K1312" s="334"/>
      <c r="L1312" s="484"/>
    </row>
    <row r="1313" spans="1:12" ht="15" thickBot="1">
      <c r="A1313" s="328"/>
      <c r="B1313" s="257"/>
      <c r="C1313" s="257"/>
      <c r="D1313" s="329"/>
      <c r="E1313" s="330"/>
      <c r="F1313" s="331"/>
      <c r="G1313" s="256"/>
      <c r="H1313" s="256"/>
      <c r="I1313" s="332"/>
      <c r="J1313" s="333"/>
      <c r="K1313" s="334"/>
      <c r="L1313" s="484"/>
    </row>
    <row r="1314" spans="1:12" ht="15" thickBot="1">
      <c r="A1314" s="328"/>
      <c r="B1314" s="257"/>
      <c r="C1314" s="257"/>
      <c r="D1314" s="329"/>
      <c r="E1314" s="330"/>
      <c r="F1314" s="331"/>
      <c r="G1314" s="256"/>
      <c r="H1314" s="256"/>
      <c r="I1314" s="332"/>
      <c r="J1314" s="333"/>
      <c r="K1314" s="334"/>
      <c r="L1314" s="484"/>
    </row>
    <row r="1315" spans="1:12" ht="15" thickBot="1">
      <c r="A1315" s="328"/>
      <c r="B1315" s="257"/>
      <c r="C1315" s="257"/>
      <c r="D1315" s="329"/>
      <c r="E1315" s="330"/>
      <c r="F1315" s="331"/>
      <c r="G1315" s="256"/>
      <c r="H1315" s="256"/>
      <c r="I1315" s="332"/>
      <c r="J1315" s="333"/>
      <c r="K1315" s="334"/>
      <c r="L1315" s="484"/>
    </row>
    <row r="1316" spans="1:12" ht="15" thickBot="1">
      <c r="A1316" s="328"/>
      <c r="B1316" s="257"/>
      <c r="C1316" s="257"/>
      <c r="D1316" s="329"/>
      <c r="E1316" s="330"/>
      <c r="F1316" s="331"/>
      <c r="G1316" s="256"/>
      <c r="H1316" s="256"/>
      <c r="I1316" s="332"/>
      <c r="J1316" s="333"/>
      <c r="K1316" s="334"/>
      <c r="L1316" s="484"/>
    </row>
    <row r="1317" spans="1:12" ht="15" thickBot="1">
      <c r="A1317" s="328"/>
      <c r="B1317" s="257"/>
      <c r="C1317" s="257"/>
      <c r="D1317" s="329"/>
      <c r="E1317" s="330"/>
      <c r="F1317" s="331"/>
      <c r="G1317" s="256"/>
      <c r="H1317" s="256"/>
      <c r="I1317" s="332"/>
      <c r="J1317" s="333"/>
      <c r="K1317" s="334"/>
      <c r="L1317" s="484"/>
    </row>
    <row r="1318" spans="1:12" ht="15" thickBot="1">
      <c r="A1318" s="328"/>
      <c r="B1318" s="257"/>
      <c r="C1318" s="257"/>
      <c r="D1318" s="329"/>
      <c r="E1318" s="330"/>
      <c r="F1318" s="331"/>
      <c r="G1318" s="256"/>
      <c r="H1318" s="256"/>
      <c r="I1318" s="332"/>
      <c r="J1318" s="333"/>
      <c r="K1318" s="334"/>
      <c r="L1318" s="484"/>
    </row>
    <row r="1319" spans="1:12" ht="15" thickBot="1">
      <c r="A1319" s="328"/>
      <c r="B1319" s="257"/>
      <c r="C1319" s="257"/>
      <c r="D1319" s="329"/>
      <c r="E1319" s="330"/>
      <c r="F1319" s="331"/>
      <c r="G1319" s="256"/>
      <c r="H1319" s="256"/>
      <c r="I1319" s="332"/>
      <c r="J1319" s="333"/>
      <c r="K1319" s="334"/>
      <c r="L1319" s="484"/>
    </row>
    <row r="1320" spans="1:12" ht="15" thickBot="1">
      <c r="A1320" s="328"/>
      <c r="B1320" s="257"/>
      <c r="C1320" s="257"/>
      <c r="D1320" s="329"/>
      <c r="E1320" s="330"/>
      <c r="F1320" s="331"/>
      <c r="G1320" s="256"/>
      <c r="H1320" s="256"/>
      <c r="I1320" s="332"/>
      <c r="J1320" s="333"/>
      <c r="K1320" s="334"/>
      <c r="L1320" s="484"/>
    </row>
    <row r="1321" spans="1:12" ht="15" thickBot="1">
      <c r="A1321" s="328"/>
      <c r="B1321" s="257"/>
      <c r="C1321" s="257"/>
      <c r="D1321" s="329"/>
      <c r="E1321" s="330"/>
      <c r="F1321" s="331"/>
      <c r="G1321" s="256"/>
      <c r="H1321" s="256"/>
      <c r="I1321" s="332"/>
      <c r="J1321" s="333"/>
      <c r="K1321" s="334"/>
      <c r="L1321" s="484"/>
    </row>
    <row r="1322" spans="1:12" ht="15" thickBot="1">
      <c r="A1322" s="328"/>
      <c r="B1322" s="257"/>
      <c r="C1322" s="257"/>
      <c r="D1322" s="329"/>
      <c r="E1322" s="330"/>
      <c r="F1322" s="331"/>
      <c r="G1322" s="256"/>
      <c r="H1322" s="256"/>
      <c r="I1322" s="332"/>
      <c r="J1322" s="333"/>
      <c r="K1322" s="334"/>
      <c r="L1322" s="484"/>
    </row>
    <row r="1323" spans="1:12" ht="15" thickBot="1">
      <c r="A1323" s="328"/>
      <c r="B1323" s="257"/>
      <c r="C1323" s="257"/>
      <c r="D1323" s="329"/>
      <c r="E1323" s="330"/>
      <c r="F1323" s="331"/>
      <c r="G1323" s="256"/>
      <c r="H1323" s="256"/>
      <c r="I1323" s="332"/>
      <c r="J1323" s="333"/>
      <c r="K1323" s="334"/>
      <c r="L1323" s="484"/>
    </row>
    <row r="1324" spans="1:12" ht="15" thickBot="1">
      <c r="A1324" s="328"/>
      <c r="B1324" s="257"/>
      <c r="C1324" s="257"/>
      <c r="D1324" s="329"/>
      <c r="E1324" s="330"/>
      <c r="F1324" s="331"/>
      <c r="G1324" s="256"/>
      <c r="H1324" s="256"/>
      <c r="I1324" s="332"/>
      <c r="J1324" s="333"/>
      <c r="K1324" s="334"/>
      <c r="L1324" s="484"/>
    </row>
    <row r="1325" spans="1:12" ht="15" thickBot="1">
      <c r="A1325" s="328"/>
      <c r="B1325" s="257"/>
      <c r="C1325" s="257"/>
      <c r="D1325" s="329"/>
      <c r="E1325" s="330"/>
      <c r="F1325" s="331"/>
      <c r="G1325" s="256"/>
      <c r="H1325" s="256"/>
      <c r="I1325" s="332"/>
      <c r="J1325" s="333"/>
      <c r="K1325" s="334"/>
      <c r="L1325" s="484"/>
    </row>
    <row r="1326" spans="1:12" ht="15" thickBot="1">
      <c r="A1326" s="328"/>
      <c r="B1326" s="257"/>
      <c r="C1326" s="257"/>
      <c r="D1326" s="329"/>
      <c r="E1326" s="330"/>
      <c r="F1326" s="331"/>
      <c r="G1326" s="256"/>
      <c r="H1326" s="256"/>
      <c r="I1326" s="332"/>
      <c r="J1326" s="333"/>
      <c r="K1326" s="334"/>
      <c r="L1326" s="484"/>
    </row>
    <row r="1327" spans="1:12" ht="15" thickBot="1">
      <c r="A1327" s="328"/>
      <c r="B1327" s="257"/>
      <c r="C1327" s="257"/>
      <c r="D1327" s="329"/>
      <c r="E1327" s="330"/>
      <c r="F1327" s="331"/>
      <c r="G1327" s="256"/>
      <c r="H1327" s="256"/>
      <c r="I1327" s="332"/>
      <c r="J1327" s="333"/>
      <c r="K1327" s="334"/>
      <c r="L1327" s="484"/>
    </row>
    <row r="1328" spans="1:12" ht="15" thickBot="1">
      <c r="A1328" s="328"/>
      <c r="B1328" s="257"/>
      <c r="C1328" s="257"/>
      <c r="D1328" s="329"/>
      <c r="E1328" s="330"/>
      <c r="F1328" s="331"/>
      <c r="G1328" s="256"/>
      <c r="H1328" s="256"/>
      <c r="I1328" s="332"/>
      <c r="J1328" s="333"/>
      <c r="K1328" s="334"/>
      <c r="L1328" s="484"/>
    </row>
    <row r="1329" spans="1:12" ht="15" thickBot="1">
      <c r="A1329" s="328"/>
      <c r="B1329" s="257"/>
      <c r="C1329" s="257"/>
      <c r="D1329" s="329"/>
      <c r="E1329" s="330"/>
      <c r="F1329" s="331"/>
      <c r="G1329" s="256"/>
      <c r="H1329" s="256"/>
      <c r="I1329" s="332"/>
      <c r="J1329" s="333"/>
      <c r="K1329" s="334"/>
      <c r="L1329" s="484"/>
    </row>
    <row r="1330" spans="1:12" ht="15" thickBot="1">
      <c r="A1330" s="328"/>
      <c r="B1330" s="257"/>
      <c r="C1330" s="257"/>
      <c r="D1330" s="329"/>
      <c r="E1330" s="330"/>
      <c r="F1330" s="331"/>
      <c r="G1330" s="256"/>
      <c r="H1330" s="256"/>
      <c r="I1330" s="332"/>
      <c r="J1330" s="333"/>
      <c r="K1330" s="334"/>
      <c r="L1330" s="484"/>
    </row>
    <row r="1331" spans="1:12" ht="15" thickBot="1">
      <c r="A1331" s="328"/>
      <c r="B1331" s="257"/>
      <c r="C1331" s="257"/>
      <c r="D1331" s="329"/>
      <c r="E1331" s="330"/>
      <c r="F1331" s="331"/>
      <c r="G1331" s="256"/>
      <c r="H1331" s="256"/>
      <c r="I1331" s="332"/>
      <c r="J1331" s="333"/>
      <c r="K1331" s="334"/>
      <c r="L1331" s="484"/>
    </row>
    <row r="1332" spans="1:12" ht="15" thickBot="1">
      <c r="A1332" s="328"/>
      <c r="B1332" s="257"/>
      <c r="C1332" s="257"/>
      <c r="D1332" s="329"/>
      <c r="E1332" s="330"/>
      <c r="F1332" s="331"/>
      <c r="G1332" s="256"/>
      <c r="H1332" s="256"/>
      <c r="I1332" s="332"/>
      <c r="J1332" s="333"/>
      <c r="K1332" s="334"/>
      <c r="L1332" s="484"/>
    </row>
    <row r="1333" spans="1:12" ht="15" thickBot="1">
      <c r="A1333" s="328"/>
      <c r="B1333" s="257"/>
      <c r="C1333" s="257"/>
      <c r="D1333" s="329"/>
      <c r="E1333" s="330"/>
      <c r="F1333" s="331"/>
      <c r="G1333" s="256"/>
      <c r="H1333" s="256"/>
      <c r="I1333" s="332"/>
      <c r="J1333" s="333"/>
      <c r="K1333" s="334"/>
      <c r="L1333" s="484"/>
    </row>
    <row r="1334" spans="1:12" ht="15" thickBot="1">
      <c r="A1334" s="328"/>
      <c r="B1334" s="257"/>
      <c r="C1334" s="257"/>
      <c r="D1334" s="329"/>
      <c r="E1334" s="330"/>
      <c r="F1334" s="331"/>
      <c r="G1334" s="256"/>
      <c r="H1334" s="256"/>
      <c r="I1334" s="332"/>
      <c r="J1334" s="333"/>
      <c r="K1334" s="334"/>
      <c r="L1334" s="484"/>
    </row>
    <row r="1335" spans="1:12" ht="15" thickBot="1">
      <c r="A1335" s="328"/>
      <c r="B1335" s="257"/>
      <c r="C1335" s="257"/>
      <c r="D1335" s="329"/>
      <c r="E1335" s="330"/>
      <c r="F1335" s="331"/>
      <c r="G1335" s="256"/>
      <c r="H1335" s="256"/>
      <c r="I1335" s="332"/>
      <c r="J1335" s="333"/>
      <c r="K1335" s="334"/>
      <c r="L1335" s="484"/>
    </row>
    <row r="1336" spans="1:12" ht="15" thickBot="1">
      <c r="A1336" s="328"/>
      <c r="B1336" s="257"/>
      <c r="C1336" s="257"/>
      <c r="D1336" s="329"/>
      <c r="E1336" s="330"/>
      <c r="F1336" s="331"/>
      <c r="G1336" s="256"/>
      <c r="H1336" s="256"/>
      <c r="I1336" s="332"/>
      <c r="J1336" s="333"/>
      <c r="K1336" s="334"/>
      <c r="L1336" s="484"/>
    </row>
    <row r="1337" spans="1:12" ht="15" thickBot="1">
      <c r="A1337" s="328"/>
      <c r="B1337" s="257"/>
      <c r="C1337" s="257"/>
      <c r="D1337" s="329"/>
      <c r="E1337" s="330"/>
      <c r="F1337" s="331"/>
      <c r="G1337" s="256"/>
      <c r="H1337" s="256"/>
      <c r="I1337" s="332"/>
      <c r="J1337" s="333"/>
      <c r="K1337" s="334"/>
      <c r="L1337" s="484"/>
    </row>
    <row r="1338" spans="1:12" ht="15" thickBot="1">
      <c r="A1338" s="328"/>
      <c r="B1338" s="257"/>
      <c r="C1338" s="257"/>
      <c r="D1338" s="329"/>
      <c r="E1338" s="330"/>
      <c r="F1338" s="331"/>
      <c r="G1338" s="256"/>
      <c r="H1338" s="256"/>
      <c r="I1338" s="332"/>
      <c r="J1338" s="333"/>
      <c r="K1338" s="334"/>
      <c r="L1338" s="484"/>
    </row>
    <row r="1339" spans="1:12" ht="15" thickBot="1">
      <c r="A1339" s="328"/>
      <c r="B1339" s="257"/>
      <c r="C1339" s="257"/>
      <c r="D1339" s="329"/>
      <c r="E1339" s="330"/>
      <c r="F1339" s="331"/>
      <c r="G1339" s="256"/>
      <c r="H1339" s="256"/>
      <c r="I1339" s="332"/>
      <c r="J1339" s="333"/>
      <c r="K1339" s="334"/>
      <c r="L1339" s="484"/>
    </row>
    <row r="1340" spans="1:12" ht="15" thickBot="1">
      <c r="A1340" s="328"/>
      <c r="B1340" s="257"/>
      <c r="C1340" s="257"/>
      <c r="D1340" s="329"/>
      <c r="E1340" s="330"/>
      <c r="F1340" s="331"/>
      <c r="G1340" s="256"/>
      <c r="H1340" s="256"/>
      <c r="I1340" s="332"/>
      <c r="J1340" s="333"/>
      <c r="K1340" s="334"/>
      <c r="L1340" s="484"/>
    </row>
    <row r="1341" spans="1:12" ht="15" thickBot="1">
      <c r="A1341" s="328"/>
      <c r="B1341" s="257"/>
      <c r="C1341" s="257"/>
      <c r="D1341" s="329"/>
      <c r="E1341" s="330"/>
      <c r="F1341" s="331"/>
      <c r="G1341" s="256"/>
      <c r="H1341" s="256"/>
      <c r="I1341" s="332"/>
      <c r="J1341" s="333"/>
      <c r="K1341" s="334"/>
      <c r="L1341" s="484"/>
    </row>
    <row r="1342" spans="1:12" ht="15" thickBot="1">
      <c r="A1342" s="328"/>
      <c r="B1342" s="257"/>
      <c r="C1342" s="257"/>
      <c r="D1342" s="329"/>
      <c r="E1342" s="330"/>
      <c r="F1342" s="331"/>
      <c r="G1342" s="256"/>
      <c r="H1342" s="256"/>
      <c r="I1342" s="332"/>
      <c r="J1342" s="333"/>
      <c r="K1342" s="334"/>
      <c r="L1342" s="484"/>
    </row>
    <row r="1343" spans="1:12" ht="15" thickBot="1">
      <c r="A1343" s="328"/>
      <c r="B1343" s="257"/>
      <c r="C1343" s="257"/>
      <c r="D1343" s="329"/>
      <c r="E1343" s="330"/>
      <c r="F1343" s="331"/>
      <c r="G1343" s="256"/>
      <c r="H1343" s="256"/>
      <c r="I1343" s="332"/>
      <c r="J1343" s="333"/>
      <c r="K1343" s="334"/>
      <c r="L1343" s="484"/>
    </row>
    <row r="1344" spans="1:12" ht="15" thickBot="1">
      <c r="A1344" s="328"/>
      <c r="B1344" s="257"/>
      <c r="C1344" s="257"/>
      <c r="D1344" s="329"/>
      <c r="E1344" s="330"/>
      <c r="F1344" s="331"/>
      <c r="G1344" s="256"/>
      <c r="H1344" s="256"/>
      <c r="I1344" s="332"/>
      <c r="J1344" s="333"/>
      <c r="K1344" s="334"/>
      <c r="L1344" s="484"/>
    </row>
    <row r="1345" spans="1:12" ht="15" thickBot="1">
      <c r="A1345" s="328"/>
      <c r="B1345" s="257"/>
      <c r="C1345" s="257"/>
      <c r="D1345" s="329"/>
      <c r="E1345" s="330"/>
      <c r="F1345" s="331"/>
      <c r="G1345" s="256"/>
      <c r="H1345" s="256"/>
      <c r="I1345" s="332"/>
      <c r="J1345" s="333"/>
      <c r="K1345" s="334"/>
      <c r="L1345" s="484"/>
    </row>
    <row r="1346" spans="1:12" ht="15" thickBot="1">
      <c r="A1346" s="328"/>
      <c r="B1346" s="257"/>
      <c r="C1346" s="257"/>
      <c r="D1346" s="329"/>
      <c r="E1346" s="330"/>
      <c r="F1346" s="331"/>
      <c r="G1346" s="256"/>
      <c r="H1346" s="256"/>
      <c r="I1346" s="332"/>
      <c r="J1346" s="333"/>
      <c r="K1346" s="334"/>
      <c r="L1346" s="484"/>
    </row>
    <row r="1347" spans="1:12" ht="15" thickBot="1">
      <c r="A1347" s="328"/>
      <c r="B1347" s="257"/>
      <c r="C1347" s="257"/>
      <c r="D1347" s="329"/>
      <c r="E1347" s="330"/>
      <c r="F1347" s="331"/>
      <c r="G1347" s="256"/>
      <c r="H1347" s="256"/>
      <c r="I1347" s="332"/>
      <c r="J1347" s="333"/>
      <c r="K1347" s="334"/>
      <c r="L1347" s="484"/>
    </row>
    <row r="1348" spans="1:12" ht="15" thickBot="1">
      <c r="A1348" s="328"/>
      <c r="B1348" s="257"/>
      <c r="C1348" s="257"/>
      <c r="D1348" s="329"/>
      <c r="E1348" s="330"/>
      <c r="F1348" s="331"/>
      <c r="G1348" s="256"/>
      <c r="H1348" s="256"/>
      <c r="I1348" s="332"/>
      <c r="J1348" s="333"/>
      <c r="K1348" s="334"/>
      <c r="L1348" s="484"/>
    </row>
    <row r="1349" spans="1:12" ht="15" thickBot="1">
      <c r="A1349" s="328"/>
      <c r="B1349" s="257"/>
      <c r="C1349" s="257"/>
      <c r="D1349" s="329"/>
      <c r="E1349" s="330"/>
      <c r="F1349" s="331"/>
      <c r="G1349" s="256"/>
      <c r="H1349" s="256"/>
      <c r="I1349" s="332"/>
      <c r="J1349" s="333"/>
      <c r="K1349" s="334"/>
      <c r="L1349" s="484"/>
    </row>
    <row r="1350" spans="1:12" ht="15" thickBot="1">
      <c r="A1350" s="328"/>
      <c r="B1350" s="257"/>
      <c r="C1350" s="257"/>
      <c r="D1350" s="329"/>
      <c r="E1350" s="330"/>
      <c r="F1350" s="331"/>
      <c r="G1350" s="256"/>
      <c r="H1350" s="256"/>
      <c r="I1350" s="332"/>
      <c r="J1350" s="333"/>
      <c r="K1350" s="334"/>
      <c r="L1350" s="484"/>
    </row>
    <row r="1351" spans="1:12" ht="15" thickBot="1">
      <c r="A1351" s="328"/>
      <c r="B1351" s="257"/>
      <c r="C1351" s="257"/>
      <c r="D1351" s="329"/>
      <c r="E1351" s="330"/>
      <c r="F1351" s="331"/>
      <c r="G1351" s="256"/>
      <c r="H1351" s="256"/>
      <c r="I1351" s="332"/>
      <c r="J1351" s="333"/>
      <c r="K1351" s="334"/>
      <c r="L1351" s="484"/>
    </row>
    <row r="1352" spans="1:12" ht="15" thickBot="1">
      <c r="A1352" s="328"/>
      <c r="B1352" s="257"/>
      <c r="C1352" s="257"/>
      <c r="D1352" s="329"/>
      <c r="E1352" s="330"/>
      <c r="F1352" s="331"/>
      <c r="G1352" s="256"/>
      <c r="H1352" s="256"/>
      <c r="I1352" s="332"/>
      <c r="J1352" s="333"/>
      <c r="K1352" s="334"/>
      <c r="L1352" s="484"/>
    </row>
    <row r="1353" spans="1:12" ht="15" thickBot="1">
      <c r="A1353" s="328"/>
      <c r="B1353" s="257"/>
      <c r="C1353" s="257"/>
      <c r="D1353" s="329"/>
      <c r="E1353" s="330"/>
      <c r="F1353" s="331"/>
      <c r="G1353" s="256"/>
      <c r="H1353" s="256"/>
      <c r="I1353" s="332"/>
      <c r="J1353" s="333"/>
      <c r="K1353" s="334"/>
      <c r="L1353" s="484"/>
    </row>
    <row r="1354" spans="1:12" ht="15" thickBot="1">
      <c r="A1354" s="328"/>
      <c r="B1354" s="257"/>
      <c r="C1354" s="257"/>
      <c r="D1354" s="329"/>
      <c r="E1354" s="330"/>
      <c r="F1354" s="331"/>
      <c r="G1354" s="256"/>
      <c r="H1354" s="256"/>
      <c r="I1354" s="332"/>
      <c r="J1354" s="333"/>
      <c r="K1354" s="334"/>
      <c r="L1354" s="484"/>
    </row>
    <row r="1355" spans="1:12" ht="15" thickBot="1">
      <c r="A1355" s="328"/>
      <c r="B1355" s="257"/>
      <c r="C1355" s="257"/>
      <c r="D1355" s="329"/>
      <c r="E1355" s="330"/>
      <c r="F1355" s="331"/>
      <c r="G1355" s="256"/>
      <c r="H1355" s="256"/>
      <c r="I1355" s="332"/>
      <c r="J1355" s="333"/>
      <c r="K1355" s="334"/>
      <c r="L1355" s="484"/>
    </row>
    <row r="1356" spans="1:12" ht="15" thickBot="1">
      <c r="A1356" s="328"/>
      <c r="B1356" s="257"/>
      <c r="C1356" s="257"/>
      <c r="D1356" s="329"/>
      <c r="E1356" s="330"/>
      <c r="F1356" s="331"/>
      <c r="G1356" s="256"/>
      <c r="H1356" s="256"/>
      <c r="I1356" s="332"/>
      <c r="J1356" s="333"/>
      <c r="K1356" s="334"/>
      <c r="L1356" s="484"/>
    </row>
    <row r="1357" spans="1:12" ht="15" thickBot="1">
      <c r="A1357" s="328"/>
      <c r="B1357" s="257"/>
      <c r="C1357" s="257"/>
      <c r="D1357" s="329"/>
      <c r="E1357" s="330"/>
      <c r="F1357" s="331"/>
      <c r="G1357" s="256"/>
      <c r="H1357" s="256"/>
      <c r="I1357" s="332"/>
      <c r="J1357" s="333"/>
      <c r="K1357" s="334"/>
      <c r="L1357" s="484"/>
    </row>
    <row r="1358" spans="1:12" ht="15" thickBot="1">
      <c r="A1358" s="328"/>
      <c r="B1358" s="257"/>
      <c r="C1358" s="257"/>
      <c r="D1358" s="329"/>
      <c r="E1358" s="330"/>
      <c r="F1358" s="331"/>
      <c r="G1358" s="256"/>
      <c r="H1358" s="256"/>
      <c r="I1358" s="332"/>
      <c r="J1358" s="333"/>
      <c r="K1358" s="334"/>
      <c r="L1358" s="484"/>
    </row>
    <row r="1359" spans="1:12" ht="15" thickBot="1">
      <c r="A1359" s="328"/>
      <c r="B1359" s="257"/>
      <c r="C1359" s="257"/>
      <c r="D1359" s="329"/>
      <c r="E1359" s="330"/>
      <c r="F1359" s="331"/>
      <c r="G1359" s="256"/>
      <c r="H1359" s="256"/>
      <c r="I1359" s="332"/>
      <c r="J1359" s="333"/>
      <c r="K1359" s="334"/>
      <c r="L1359" s="484"/>
    </row>
    <row r="1360" spans="1:12" ht="15" thickBot="1">
      <c r="A1360" s="328"/>
      <c r="B1360" s="257"/>
      <c r="C1360" s="257"/>
      <c r="D1360" s="329"/>
      <c r="E1360" s="330"/>
      <c r="F1360" s="331"/>
      <c r="G1360" s="256"/>
      <c r="H1360" s="256"/>
      <c r="I1360" s="332"/>
      <c r="J1360" s="333"/>
      <c r="K1360" s="334"/>
      <c r="L1360" s="484"/>
    </row>
    <row r="1361" spans="1:12" ht="15" thickBot="1">
      <c r="A1361" s="328"/>
      <c r="B1361" s="257"/>
      <c r="C1361" s="257"/>
      <c r="D1361" s="329"/>
      <c r="E1361" s="330"/>
      <c r="F1361" s="331"/>
      <c r="G1361" s="256"/>
      <c r="H1361" s="256"/>
      <c r="I1361" s="332"/>
      <c r="J1361" s="333"/>
      <c r="K1361" s="334"/>
      <c r="L1361" s="484"/>
    </row>
    <row r="1362" spans="1:12" ht="15" thickBot="1">
      <c r="A1362" s="328"/>
      <c r="B1362" s="257"/>
      <c r="C1362" s="257"/>
      <c r="D1362" s="329"/>
      <c r="E1362" s="330"/>
      <c r="F1362" s="331"/>
      <c r="G1362" s="256"/>
      <c r="H1362" s="256"/>
      <c r="I1362" s="332"/>
      <c r="J1362" s="333"/>
      <c r="K1362" s="334"/>
      <c r="L1362" s="484"/>
    </row>
    <row r="1363" spans="1:12" ht="15" thickBot="1">
      <c r="A1363" s="328"/>
      <c r="B1363" s="257"/>
      <c r="C1363" s="257"/>
      <c r="D1363" s="329"/>
      <c r="E1363" s="330"/>
      <c r="F1363" s="331"/>
      <c r="G1363" s="256"/>
      <c r="H1363" s="256"/>
      <c r="I1363" s="332"/>
      <c r="J1363" s="333"/>
      <c r="K1363" s="334"/>
      <c r="L1363" s="484"/>
    </row>
    <row r="1364" spans="1:12" ht="15" thickBot="1">
      <c r="A1364" s="328"/>
      <c r="B1364" s="257"/>
      <c r="C1364" s="257"/>
      <c r="D1364" s="329"/>
      <c r="E1364" s="330"/>
      <c r="F1364" s="331"/>
      <c r="G1364" s="256"/>
      <c r="H1364" s="256"/>
      <c r="I1364" s="332"/>
      <c r="J1364" s="333"/>
      <c r="K1364" s="334"/>
      <c r="L1364" s="484"/>
    </row>
    <row r="1365" spans="1:12" ht="15" thickBot="1">
      <c r="A1365" s="328"/>
      <c r="B1365" s="257"/>
      <c r="C1365" s="257"/>
      <c r="D1365" s="329"/>
      <c r="E1365" s="330"/>
      <c r="F1365" s="331"/>
      <c r="G1365" s="256"/>
      <c r="H1365" s="256"/>
      <c r="I1365" s="332"/>
      <c r="J1365" s="333"/>
      <c r="K1365" s="334"/>
      <c r="L1365" s="484"/>
    </row>
    <row r="1366" spans="1:12" ht="15" thickBot="1">
      <c r="A1366" s="328"/>
      <c r="B1366" s="257"/>
      <c r="C1366" s="257"/>
      <c r="D1366" s="329"/>
      <c r="E1366" s="330"/>
      <c r="F1366" s="331"/>
      <c r="G1366" s="256"/>
      <c r="H1366" s="256"/>
      <c r="I1366" s="332"/>
      <c r="J1366" s="333"/>
      <c r="K1366" s="334"/>
      <c r="L1366" s="484"/>
    </row>
    <row r="1367" spans="1:12" ht="15" thickBot="1">
      <c r="A1367" s="328"/>
      <c r="B1367" s="257"/>
      <c r="C1367" s="257"/>
      <c r="D1367" s="329"/>
      <c r="E1367" s="330"/>
      <c r="F1367" s="331"/>
      <c r="G1367" s="256"/>
      <c r="H1367" s="256"/>
      <c r="I1367" s="332"/>
      <c r="J1367" s="333"/>
      <c r="K1367" s="334"/>
      <c r="L1367" s="484"/>
    </row>
    <row r="1368" spans="1:12" ht="15" thickBot="1">
      <c r="A1368" s="328"/>
      <c r="B1368" s="257"/>
      <c r="C1368" s="257"/>
      <c r="D1368" s="329"/>
      <c r="E1368" s="330"/>
      <c r="F1368" s="331"/>
      <c r="G1368" s="256"/>
      <c r="H1368" s="256"/>
      <c r="I1368" s="332"/>
      <c r="J1368" s="333"/>
      <c r="K1368" s="334"/>
      <c r="L1368" s="484"/>
    </row>
    <row r="1369" spans="1:12" ht="15" thickBot="1">
      <c r="A1369" s="328"/>
      <c r="B1369" s="257"/>
      <c r="C1369" s="257"/>
      <c r="D1369" s="329"/>
      <c r="E1369" s="330"/>
      <c r="F1369" s="331"/>
      <c r="G1369" s="256"/>
      <c r="H1369" s="256"/>
      <c r="I1369" s="332"/>
      <c r="J1369" s="333"/>
      <c r="K1369" s="334"/>
      <c r="L1369" s="484"/>
    </row>
    <row r="1370" spans="1:12" ht="15" thickBot="1">
      <c r="A1370" s="328"/>
      <c r="B1370" s="257"/>
      <c r="C1370" s="257"/>
      <c r="D1370" s="329"/>
      <c r="E1370" s="330"/>
      <c r="F1370" s="331"/>
      <c r="G1370" s="256"/>
      <c r="H1370" s="256"/>
      <c r="I1370" s="332"/>
      <c r="J1370" s="333"/>
      <c r="K1370" s="334"/>
      <c r="L1370" s="484"/>
    </row>
    <row r="1371" spans="1:12" ht="15" thickBot="1">
      <c r="A1371" s="328"/>
      <c r="B1371" s="257"/>
      <c r="C1371" s="257"/>
      <c r="D1371" s="329"/>
      <c r="E1371" s="330"/>
      <c r="F1371" s="331"/>
      <c r="G1371" s="256"/>
      <c r="H1371" s="256"/>
      <c r="I1371" s="332"/>
      <c r="J1371" s="333"/>
      <c r="K1371" s="334"/>
      <c r="L1371" s="484"/>
    </row>
    <row r="1372" spans="1:12" ht="15" thickBot="1">
      <c r="A1372" s="328"/>
      <c r="B1372" s="257"/>
      <c r="C1372" s="257"/>
      <c r="D1372" s="329"/>
      <c r="E1372" s="330"/>
      <c r="F1372" s="331"/>
      <c r="G1372" s="256"/>
      <c r="H1372" s="256"/>
      <c r="I1372" s="332"/>
      <c r="J1372" s="333"/>
      <c r="K1372" s="334"/>
      <c r="L1372" s="484"/>
    </row>
    <row r="1373" spans="1:12" ht="15" thickBot="1">
      <c r="A1373" s="328"/>
      <c r="B1373" s="257"/>
      <c r="C1373" s="257"/>
      <c r="D1373" s="329"/>
      <c r="E1373" s="330"/>
      <c r="F1373" s="331"/>
      <c r="G1373" s="256"/>
      <c r="H1373" s="256"/>
      <c r="I1373" s="332"/>
      <c r="J1373" s="333"/>
      <c r="K1373" s="334"/>
      <c r="L1373" s="484"/>
    </row>
    <row r="1374" spans="1:12" ht="15" thickBot="1">
      <c r="A1374" s="328"/>
      <c r="B1374" s="257"/>
      <c r="C1374" s="257"/>
      <c r="D1374" s="329"/>
      <c r="E1374" s="330"/>
      <c r="F1374" s="331"/>
      <c r="G1374" s="256"/>
      <c r="H1374" s="256"/>
      <c r="I1374" s="332"/>
      <c r="J1374" s="333"/>
      <c r="K1374" s="334"/>
      <c r="L1374" s="484"/>
    </row>
    <row r="1375" spans="1:12" ht="15" thickBot="1">
      <c r="A1375" s="328"/>
      <c r="B1375" s="257"/>
      <c r="C1375" s="257"/>
      <c r="D1375" s="329"/>
      <c r="E1375" s="330"/>
      <c r="F1375" s="331"/>
      <c r="G1375" s="256"/>
      <c r="H1375" s="256"/>
      <c r="I1375" s="332"/>
      <c r="J1375" s="333"/>
      <c r="K1375" s="334"/>
      <c r="L1375" s="484"/>
    </row>
    <row r="1376" spans="1:12" ht="15" thickBot="1">
      <c r="A1376" s="328"/>
      <c r="B1376" s="257"/>
      <c r="C1376" s="257"/>
      <c r="D1376" s="329"/>
      <c r="E1376" s="330"/>
      <c r="F1376" s="331"/>
      <c r="G1376" s="256"/>
      <c r="H1376" s="256"/>
      <c r="I1376" s="332"/>
      <c r="J1376" s="333"/>
      <c r="K1376" s="334"/>
      <c r="L1376" s="484"/>
    </row>
    <row r="1377" spans="1:12" ht="15" thickBot="1">
      <c r="A1377" s="328"/>
      <c r="B1377" s="257"/>
      <c r="C1377" s="257"/>
      <c r="D1377" s="329"/>
      <c r="E1377" s="330"/>
      <c r="F1377" s="331"/>
      <c r="G1377" s="256"/>
      <c r="H1377" s="256"/>
      <c r="I1377" s="332"/>
      <c r="J1377" s="333"/>
      <c r="K1377" s="334"/>
      <c r="L1377" s="484"/>
    </row>
    <row r="1378" spans="1:12" ht="15" thickBot="1">
      <c r="A1378" s="328"/>
      <c r="B1378" s="257"/>
      <c r="C1378" s="257"/>
      <c r="D1378" s="329"/>
      <c r="E1378" s="330"/>
      <c r="F1378" s="331"/>
      <c r="G1378" s="256"/>
      <c r="H1378" s="256"/>
      <c r="I1378" s="332"/>
      <c r="J1378" s="333"/>
      <c r="K1378" s="334"/>
      <c r="L1378" s="484"/>
    </row>
    <row r="1379" spans="1:12" ht="15" thickBot="1">
      <c r="A1379" s="328"/>
      <c r="B1379" s="257"/>
      <c r="C1379" s="257"/>
      <c r="D1379" s="329"/>
      <c r="E1379" s="330"/>
      <c r="F1379" s="331"/>
      <c r="G1379" s="256"/>
      <c r="H1379" s="256"/>
      <c r="I1379" s="332"/>
      <c r="J1379" s="333"/>
      <c r="K1379" s="334"/>
      <c r="L1379" s="484"/>
    </row>
    <row r="1380" spans="1:12" ht="15" thickBot="1">
      <c r="A1380" s="328"/>
      <c r="B1380" s="257"/>
      <c r="C1380" s="257"/>
      <c r="D1380" s="329"/>
      <c r="E1380" s="330"/>
      <c r="F1380" s="331"/>
      <c r="G1380" s="256"/>
      <c r="H1380" s="256"/>
      <c r="I1380" s="332"/>
      <c r="J1380" s="333"/>
      <c r="K1380" s="334"/>
      <c r="L1380" s="484"/>
    </row>
    <row r="1381" spans="1:12" ht="15" thickBot="1">
      <c r="A1381" s="328"/>
      <c r="B1381" s="257"/>
      <c r="C1381" s="257"/>
      <c r="D1381" s="329"/>
      <c r="E1381" s="330"/>
      <c r="F1381" s="331"/>
      <c r="G1381" s="256"/>
      <c r="H1381" s="256"/>
      <c r="I1381" s="332"/>
      <c r="J1381" s="333"/>
      <c r="K1381" s="334"/>
      <c r="L1381" s="484"/>
    </row>
    <row r="1382" spans="1:12" ht="15" thickBot="1">
      <c r="A1382" s="328"/>
      <c r="B1382" s="257"/>
      <c r="C1382" s="257"/>
      <c r="D1382" s="329"/>
      <c r="E1382" s="330"/>
      <c r="F1382" s="331"/>
      <c r="G1382" s="256"/>
      <c r="H1382" s="256"/>
      <c r="I1382" s="332"/>
      <c r="J1382" s="333"/>
      <c r="K1382" s="334"/>
      <c r="L1382" s="484"/>
    </row>
    <row r="1383" spans="1:12" ht="15" thickBot="1">
      <c r="A1383" s="328"/>
      <c r="B1383" s="257"/>
      <c r="C1383" s="257"/>
      <c r="D1383" s="329"/>
      <c r="E1383" s="330"/>
      <c r="F1383" s="331"/>
      <c r="G1383" s="256"/>
      <c r="H1383" s="256"/>
      <c r="I1383" s="332"/>
      <c r="J1383" s="333"/>
      <c r="K1383" s="334"/>
      <c r="L1383" s="484"/>
    </row>
    <row r="1384" spans="1:12" ht="15" thickBot="1">
      <c r="A1384" s="328"/>
      <c r="B1384" s="257"/>
      <c r="C1384" s="257"/>
      <c r="D1384" s="329"/>
      <c r="E1384" s="330"/>
      <c r="F1384" s="331"/>
      <c r="G1384" s="256"/>
      <c r="H1384" s="256"/>
      <c r="I1384" s="332"/>
      <c r="J1384" s="333"/>
      <c r="K1384" s="334"/>
      <c r="L1384" s="484"/>
    </row>
    <row r="1385" spans="1:12" ht="15" thickBot="1">
      <c r="A1385" s="328"/>
      <c r="B1385" s="257"/>
      <c r="C1385" s="257"/>
      <c r="D1385" s="329"/>
      <c r="E1385" s="330"/>
      <c r="F1385" s="331"/>
      <c r="G1385" s="256"/>
      <c r="H1385" s="256"/>
      <c r="I1385" s="332"/>
      <c r="J1385" s="333"/>
      <c r="K1385" s="334"/>
      <c r="L1385" s="484"/>
    </row>
    <row r="1386" spans="1:12" ht="15" thickBot="1">
      <c r="A1386" s="328"/>
      <c r="B1386" s="257"/>
      <c r="C1386" s="257"/>
      <c r="D1386" s="329"/>
      <c r="E1386" s="330"/>
      <c r="F1386" s="331"/>
      <c r="G1386" s="256"/>
      <c r="H1386" s="256"/>
      <c r="I1386" s="332"/>
      <c r="J1386" s="333"/>
      <c r="K1386" s="334"/>
      <c r="L1386" s="484"/>
    </row>
    <row r="1387" spans="1:12" ht="15" thickBot="1">
      <c r="A1387" s="328"/>
      <c r="B1387" s="257"/>
      <c r="C1387" s="257"/>
      <c r="D1387" s="329"/>
      <c r="E1387" s="330"/>
      <c r="F1387" s="331"/>
      <c r="G1387" s="256"/>
      <c r="H1387" s="256"/>
      <c r="I1387" s="332"/>
      <c r="J1387" s="333"/>
      <c r="K1387" s="334"/>
      <c r="L1387" s="484"/>
    </row>
    <row r="1388" spans="1:12" ht="15" thickBot="1">
      <c r="A1388" s="328"/>
      <c r="B1388" s="257"/>
      <c r="C1388" s="257"/>
      <c r="D1388" s="329"/>
      <c r="E1388" s="330"/>
      <c r="F1388" s="331"/>
      <c r="G1388" s="256"/>
      <c r="H1388" s="256"/>
      <c r="I1388" s="332"/>
      <c r="J1388" s="333"/>
      <c r="K1388" s="334"/>
      <c r="L1388" s="484"/>
    </row>
    <row r="1389" spans="1:12" ht="15" thickBot="1">
      <c r="A1389" s="328"/>
      <c r="B1389" s="257"/>
      <c r="C1389" s="257"/>
      <c r="D1389" s="329"/>
      <c r="E1389" s="330"/>
      <c r="F1389" s="331"/>
      <c r="G1389" s="256"/>
      <c r="H1389" s="256"/>
      <c r="I1389" s="332"/>
      <c r="J1389" s="333"/>
      <c r="K1389" s="334"/>
      <c r="L1389" s="484"/>
    </row>
    <row r="1390" spans="1:12" ht="15" thickBot="1">
      <c r="A1390" s="328"/>
      <c r="B1390" s="257"/>
      <c r="C1390" s="257"/>
      <c r="D1390" s="329"/>
      <c r="E1390" s="330"/>
      <c r="F1390" s="331"/>
      <c r="G1390" s="256"/>
      <c r="H1390" s="256"/>
      <c r="I1390" s="332"/>
      <c r="J1390" s="333"/>
      <c r="K1390" s="334"/>
      <c r="L1390" s="484"/>
    </row>
    <row r="1391" spans="1:12" ht="15" thickBot="1">
      <c r="A1391" s="328"/>
      <c r="B1391" s="257"/>
      <c r="C1391" s="257"/>
      <c r="D1391" s="329"/>
      <c r="E1391" s="330"/>
      <c r="F1391" s="331"/>
      <c r="G1391" s="256"/>
      <c r="H1391" s="256"/>
      <c r="I1391" s="332"/>
      <c r="J1391" s="333"/>
      <c r="K1391" s="334"/>
      <c r="L1391" s="484"/>
    </row>
    <row r="1392" spans="1:12" ht="15" thickBot="1">
      <c r="A1392" s="328"/>
      <c r="B1392" s="257"/>
      <c r="C1392" s="257"/>
      <c r="D1392" s="329"/>
      <c r="E1392" s="330"/>
      <c r="F1392" s="331"/>
      <c r="G1392" s="256"/>
      <c r="H1392" s="256"/>
      <c r="I1392" s="332"/>
      <c r="J1392" s="333"/>
      <c r="K1392" s="334"/>
      <c r="L1392" s="484"/>
    </row>
    <row r="1393" spans="1:12" ht="15" thickBot="1">
      <c r="A1393" s="328"/>
      <c r="B1393" s="257"/>
      <c r="C1393" s="257"/>
      <c r="D1393" s="329"/>
      <c r="E1393" s="330"/>
      <c r="F1393" s="331"/>
      <c r="G1393" s="256"/>
      <c r="H1393" s="256"/>
      <c r="I1393" s="332"/>
      <c r="J1393" s="333"/>
      <c r="K1393" s="334"/>
      <c r="L1393" s="484"/>
    </row>
    <row r="1394" spans="1:12" ht="15" thickBot="1">
      <c r="A1394" s="328"/>
      <c r="B1394" s="257"/>
      <c r="C1394" s="257"/>
      <c r="D1394" s="329"/>
      <c r="E1394" s="330"/>
      <c r="F1394" s="331"/>
      <c r="G1394" s="256"/>
      <c r="H1394" s="256"/>
      <c r="I1394" s="332"/>
      <c r="J1394" s="333"/>
      <c r="K1394" s="334"/>
      <c r="L1394" s="484"/>
    </row>
    <row r="1395" spans="1:12" ht="15" thickBot="1">
      <c r="A1395" s="328"/>
      <c r="B1395" s="257"/>
      <c r="C1395" s="257"/>
      <c r="D1395" s="329"/>
      <c r="E1395" s="330"/>
      <c r="F1395" s="331"/>
      <c r="G1395" s="256"/>
      <c r="H1395" s="256"/>
      <c r="I1395" s="332"/>
      <c r="J1395" s="333"/>
      <c r="K1395" s="334"/>
      <c r="L1395" s="484"/>
    </row>
    <row r="1396" spans="1:12" ht="15" thickBot="1">
      <c r="A1396" s="328"/>
      <c r="B1396" s="257"/>
      <c r="C1396" s="257"/>
      <c r="D1396" s="329"/>
      <c r="E1396" s="330"/>
      <c r="F1396" s="331"/>
      <c r="G1396" s="256"/>
      <c r="H1396" s="256"/>
      <c r="I1396" s="332"/>
      <c r="J1396" s="333"/>
      <c r="K1396" s="334"/>
      <c r="L1396" s="484"/>
    </row>
    <row r="1397" spans="1:12" ht="15" thickBot="1">
      <c r="A1397" s="328"/>
      <c r="B1397" s="257"/>
      <c r="C1397" s="257"/>
      <c r="D1397" s="329"/>
      <c r="E1397" s="330"/>
      <c r="F1397" s="331"/>
      <c r="G1397" s="256"/>
      <c r="H1397" s="256"/>
      <c r="I1397" s="332"/>
      <c r="J1397" s="333"/>
      <c r="K1397" s="334"/>
      <c r="L1397" s="484"/>
    </row>
    <row r="1398" spans="1:12" ht="15" thickBot="1">
      <c r="A1398" s="328"/>
      <c r="B1398" s="257"/>
      <c r="C1398" s="257"/>
      <c r="D1398" s="329"/>
      <c r="E1398" s="330"/>
      <c r="F1398" s="331"/>
      <c r="G1398" s="256"/>
      <c r="H1398" s="256"/>
      <c r="I1398" s="332"/>
      <c r="J1398" s="333"/>
      <c r="K1398" s="334"/>
      <c r="L1398" s="484"/>
    </row>
    <row r="1399" spans="1:12" ht="15" thickBot="1">
      <c r="A1399" s="328"/>
      <c r="B1399" s="257"/>
      <c r="C1399" s="257"/>
      <c r="D1399" s="329"/>
      <c r="E1399" s="330"/>
      <c r="F1399" s="331"/>
      <c r="G1399" s="256"/>
      <c r="H1399" s="256"/>
      <c r="I1399" s="332"/>
      <c r="J1399" s="333"/>
      <c r="K1399" s="334"/>
      <c r="L1399" s="484"/>
    </row>
    <row r="1400" spans="1:12" ht="15" thickBot="1">
      <c r="A1400" s="328"/>
      <c r="B1400" s="257"/>
      <c r="C1400" s="257"/>
      <c r="D1400" s="329"/>
      <c r="E1400" s="330"/>
      <c r="F1400" s="331"/>
      <c r="G1400" s="256"/>
      <c r="H1400" s="256"/>
      <c r="I1400" s="332"/>
      <c r="J1400" s="333"/>
      <c r="K1400" s="334"/>
      <c r="L1400" s="484"/>
    </row>
    <row r="1401" spans="1:12" ht="15" thickBot="1">
      <c r="A1401" s="328"/>
      <c r="B1401" s="257"/>
      <c r="C1401" s="257"/>
      <c r="D1401" s="329"/>
      <c r="E1401" s="330"/>
      <c r="F1401" s="331"/>
      <c r="G1401" s="256"/>
      <c r="H1401" s="256"/>
      <c r="I1401" s="332"/>
      <c r="J1401" s="333"/>
      <c r="K1401" s="334"/>
      <c r="L1401" s="484"/>
    </row>
    <row r="1402" spans="1:12" ht="15" thickBot="1">
      <c r="A1402" s="328"/>
      <c r="B1402" s="257"/>
      <c r="C1402" s="257"/>
      <c r="D1402" s="329"/>
      <c r="E1402" s="330"/>
      <c r="F1402" s="331"/>
      <c r="G1402" s="256"/>
      <c r="H1402" s="256"/>
      <c r="I1402" s="332"/>
      <c r="J1402" s="333"/>
      <c r="K1402" s="334"/>
      <c r="L1402" s="484"/>
    </row>
    <row r="1403" spans="1:12" ht="15" thickBot="1">
      <c r="A1403" s="328"/>
      <c r="B1403" s="257"/>
      <c r="C1403" s="257"/>
      <c r="D1403" s="329"/>
      <c r="E1403" s="330"/>
      <c r="F1403" s="331"/>
      <c r="G1403" s="256"/>
      <c r="H1403" s="256"/>
      <c r="I1403" s="332"/>
      <c r="J1403" s="333"/>
      <c r="K1403" s="334"/>
      <c r="L1403" s="484"/>
    </row>
    <row r="1404" spans="1:12" ht="15" thickBot="1">
      <c r="A1404" s="328"/>
      <c r="B1404" s="257"/>
      <c r="C1404" s="257"/>
      <c r="D1404" s="329"/>
      <c r="E1404" s="330"/>
      <c r="F1404" s="331"/>
      <c r="G1404" s="256"/>
      <c r="H1404" s="256"/>
      <c r="I1404" s="332"/>
      <c r="J1404" s="333"/>
      <c r="K1404" s="334"/>
      <c r="L1404" s="484"/>
    </row>
    <row r="1405" spans="1:12" ht="15" thickBot="1">
      <c r="A1405" s="328"/>
      <c r="B1405" s="257"/>
      <c r="C1405" s="257"/>
      <c r="D1405" s="329"/>
      <c r="E1405" s="330"/>
      <c r="F1405" s="331"/>
      <c r="G1405" s="256"/>
      <c r="H1405" s="256"/>
      <c r="I1405" s="332"/>
      <c r="J1405" s="333"/>
      <c r="K1405" s="334"/>
      <c r="L1405" s="484"/>
    </row>
    <row r="1406" spans="1:12" ht="15" thickBot="1">
      <c r="A1406" s="328"/>
      <c r="B1406" s="257"/>
      <c r="C1406" s="257"/>
      <c r="D1406" s="329"/>
      <c r="E1406" s="330"/>
      <c r="F1406" s="331"/>
      <c r="G1406" s="256"/>
      <c r="H1406" s="256"/>
      <c r="I1406" s="332"/>
      <c r="J1406" s="333"/>
      <c r="K1406" s="334"/>
      <c r="L1406" s="484"/>
    </row>
    <row r="1407" spans="1:12" ht="15" thickBot="1">
      <c r="A1407" s="328"/>
      <c r="B1407" s="257"/>
      <c r="C1407" s="257"/>
      <c r="D1407" s="329"/>
      <c r="E1407" s="330"/>
      <c r="F1407" s="331"/>
      <c r="G1407" s="256"/>
      <c r="H1407" s="256"/>
      <c r="I1407" s="332"/>
      <c r="J1407" s="333"/>
      <c r="K1407" s="334"/>
      <c r="L1407" s="484"/>
    </row>
    <row r="1408" spans="1:12" ht="15" thickBot="1">
      <c r="A1408" s="328"/>
      <c r="B1408" s="257"/>
      <c r="C1408" s="257"/>
      <c r="D1408" s="329"/>
      <c r="E1408" s="330"/>
      <c r="F1408" s="331"/>
      <c r="G1408" s="256"/>
      <c r="H1408" s="256"/>
      <c r="I1408" s="332"/>
      <c r="J1408" s="333"/>
      <c r="K1408" s="334"/>
      <c r="L1408" s="484"/>
    </row>
    <row r="1409" spans="1:12" ht="15" thickBot="1">
      <c r="A1409" s="328"/>
      <c r="B1409" s="257"/>
      <c r="C1409" s="257"/>
      <c r="D1409" s="329"/>
      <c r="E1409" s="330"/>
      <c r="F1409" s="331"/>
      <c r="G1409" s="256"/>
      <c r="H1409" s="256"/>
      <c r="I1409" s="332"/>
      <c r="J1409" s="333"/>
      <c r="K1409" s="334"/>
      <c r="L1409" s="484"/>
    </row>
    <row r="1410" spans="1:12" ht="15" thickBot="1">
      <c r="A1410" s="328"/>
      <c r="B1410" s="257"/>
      <c r="C1410" s="257"/>
      <c r="D1410" s="329"/>
      <c r="E1410" s="330"/>
      <c r="F1410" s="331"/>
      <c r="G1410" s="256"/>
      <c r="H1410" s="256"/>
      <c r="I1410" s="332"/>
      <c r="J1410" s="333"/>
      <c r="K1410" s="334"/>
      <c r="L1410" s="484"/>
    </row>
    <row r="1411" spans="1:12" ht="15" thickBot="1">
      <c r="A1411" s="328"/>
      <c r="B1411" s="257"/>
      <c r="C1411" s="257"/>
      <c r="D1411" s="329"/>
      <c r="E1411" s="330"/>
      <c r="F1411" s="331"/>
      <c r="G1411" s="256"/>
      <c r="H1411" s="256"/>
      <c r="I1411" s="332"/>
      <c r="J1411" s="333"/>
      <c r="K1411" s="334"/>
      <c r="L1411" s="484"/>
    </row>
    <row r="1412" spans="1:12" ht="15" thickBot="1">
      <c r="A1412" s="328"/>
      <c r="B1412" s="257"/>
      <c r="C1412" s="257"/>
      <c r="D1412" s="329"/>
      <c r="E1412" s="330"/>
      <c r="F1412" s="331"/>
      <c r="G1412" s="256"/>
      <c r="H1412" s="256"/>
      <c r="I1412" s="332"/>
      <c r="J1412" s="333"/>
      <c r="K1412" s="334"/>
      <c r="L1412" s="484"/>
    </row>
    <row r="1413" spans="1:12" ht="15" thickBot="1">
      <c r="A1413" s="328"/>
      <c r="B1413" s="257"/>
      <c r="C1413" s="257"/>
      <c r="D1413" s="329"/>
      <c r="E1413" s="330"/>
      <c r="F1413" s="331"/>
      <c r="G1413" s="256"/>
      <c r="H1413" s="256"/>
      <c r="I1413" s="332"/>
      <c r="J1413" s="333"/>
      <c r="K1413" s="334"/>
      <c r="L1413" s="484"/>
    </row>
    <row r="1414" spans="1:12" ht="15" thickBot="1">
      <c r="A1414" s="328"/>
      <c r="B1414" s="257"/>
      <c r="C1414" s="257"/>
      <c r="D1414" s="329"/>
      <c r="E1414" s="330"/>
      <c r="F1414" s="331"/>
      <c r="G1414" s="256"/>
      <c r="H1414" s="256"/>
      <c r="I1414" s="332"/>
      <c r="J1414" s="333"/>
      <c r="K1414" s="334"/>
      <c r="L1414" s="484"/>
    </row>
    <row r="1415" spans="1:12" ht="15" thickBot="1">
      <c r="A1415" s="328"/>
      <c r="B1415" s="257"/>
      <c r="C1415" s="257"/>
      <c r="D1415" s="329"/>
      <c r="E1415" s="330"/>
      <c r="F1415" s="331"/>
      <c r="G1415" s="256"/>
      <c r="H1415" s="256"/>
      <c r="I1415" s="332"/>
      <c r="J1415" s="333"/>
      <c r="K1415" s="334"/>
      <c r="L1415" s="484"/>
    </row>
    <row r="1416" spans="1:12" ht="15" thickBot="1">
      <c r="A1416" s="328"/>
      <c r="B1416" s="257"/>
      <c r="C1416" s="257"/>
      <c r="D1416" s="329"/>
      <c r="E1416" s="330"/>
      <c r="F1416" s="331"/>
      <c r="G1416" s="256"/>
      <c r="H1416" s="256"/>
      <c r="I1416" s="332"/>
      <c r="J1416" s="333"/>
      <c r="K1416" s="334"/>
      <c r="L1416" s="484"/>
    </row>
    <row r="1417" spans="1:12" ht="15" thickBot="1">
      <c r="A1417" s="328"/>
      <c r="B1417" s="257"/>
      <c r="C1417" s="257"/>
      <c r="D1417" s="329"/>
      <c r="E1417" s="330"/>
      <c r="F1417" s="331"/>
      <c r="G1417" s="256"/>
      <c r="H1417" s="256"/>
      <c r="I1417" s="332"/>
      <c r="J1417" s="333"/>
      <c r="K1417" s="334"/>
      <c r="L1417" s="484"/>
    </row>
    <row r="1418" spans="1:12" ht="15" thickBot="1">
      <c r="A1418" s="328"/>
      <c r="B1418" s="257"/>
      <c r="C1418" s="257"/>
      <c r="D1418" s="329"/>
      <c r="E1418" s="330"/>
      <c r="F1418" s="331"/>
      <c r="G1418" s="256"/>
      <c r="H1418" s="256"/>
      <c r="I1418" s="332"/>
      <c r="J1418" s="333"/>
      <c r="K1418" s="334"/>
      <c r="L1418" s="484"/>
    </row>
    <row r="1419" spans="1:12" ht="15" thickBot="1">
      <c r="A1419" s="328"/>
      <c r="B1419" s="257"/>
      <c r="C1419" s="257"/>
      <c r="D1419" s="329"/>
      <c r="E1419" s="330"/>
      <c r="F1419" s="331"/>
      <c r="G1419" s="256"/>
      <c r="H1419" s="256"/>
      <c r="I1419" s="332"/>
      <c r="J1419" s="333"/>
      <c r="K1419" s="334"/>
      <c r="L1419" s="484"/>
    </row>
    <row r="1420" spans="1:12" ht="15" thickBot="1">
      <c r="A1420" s="328"/>
      <c r="B1420" s="257"/>
      <c r="C1420" s="257"/>
      <c r="D1420" s="329"/>
      <c r="E1420" s="330"/>
      <c r="F1420" s="331"/>
      <c r="G1420" s="256"/>
      <c r="H1420" s="256"/>
      <c r="I1420" s="332"/>
      <c r="J1420" s="333"/>
      <c r="K1420" s="334"/>
      <c r="L1420" s="484"/>
    </row>
    <row r="1421" spans="1:12" ht="15" thickBot="1">
      <c r="A1421" s="328"/>
      <c r="B1421" s="257"/>
      <c r="C1421" s="257"/>
      <c r="D1421" s="329"/>
      <c r="E1421" s="330"/>
      <c r="F1421" s="331"/>
      <c r="G1421" s="256"/>
      <c r="H1421" s="256"/>
      <c r="I1421" s="332"/>
      <c r="J1421" s="333"/>
      <c r="K1421" s="334"/>
      <c r="L1421" s="484"/>
    </row>
    <row r="1422" spans="1:12" ht="15" thickBot="1">
      <c r="A1422" s="328"/>
      <c r="B1422" s="257"/>
      <c r="C1422" s="257"/>
      <c r="D1422" s="329"/>
      <c r="E1422" s="330"/>
      <c r="F1422" s="331"/>
      <c r="G1422" s="256"/>
      <c r="H1422" s="256"/>
      <c r="I1422" s="332"/>
      <c r="J1422" s="333"/>
      <c r="K1422" s="334"/>
      <c r="L1422" s="484"/>
    </row>
    <row r="1423" spans="1:12" ht="15" thickBot="1">
      <c r="A1423" s="328"/>
      <c r="B1423" s="257"/>
      <c r="C1423" s="257"/>
      <c r="D1423" s="329"/>
      <c r="E1423" s="330"/>
      <c r="F1423" s="331"/>
      <c r="G1423" s="256"/>
      <c r="H1423" s="256"/>
      <c r="I1423" s="332"/>
      <c r="J1423" s="333"/>
      <c r="K1423" s="334"/>
      <c r="L1423" s="484"/>
    </row>
    <row r="1424" spans="1:12" ht="15" thickBot="1">
      <c r="A1424" s="328"/>
      <c r="B1424" s="257"/>
      <c r="C1424" s="257"/>
      <c r="D1424" s="329"/>
      <c r="E1424" s="330"/>
      <c r="F1424" s="331"/>
      <c r="G1424" s="256"/>
      <c r="H1424" s="256"/>
      <c r="I1424" s="332"/>
      <c r="J1424" s="333"/>
      <c r="K1424" s="334"/>
      <c r="L1424" s="484"/>
    </row>
    <row r="1425" spans="1:12" ht="15" thickBot="1">
      <c r="A1425" s="328"/>
      <c r="B1425" s="257"/>
      <c r="C1425" s="257"/>
      <c r="D1425" s="329"/>
      <c r="E1425" s="330"/>
      <c r="F1425" s="331"/>
      <c r="G1425" s="256"/>
      <c r="H1425" s="256"/>
      <c r="I1425" s="332"/>
      <c r="J1425" s="333"/>
      <c r="K1425" s="334"/>
      <c r="L1425" s="484"/>
    </row>
    <row r="1426" spans="1:12" ht="15" thickBot="1">
      <c r="A1426" s="328"/>
      <c r="B1426" s="257"/>
      <c r="C1426" s="257"/>
      <c r="D1426" s="329"/>
      <c r="E1426" s="330"/>
      <c r="F1426" s="331"/>
      <c r="G1426" s="256"/>
      <c r="H1426" s="256"/>
      <c r="I1426" s="332"/>
      <c r="J1426" s="333"/>
      <c r="K1426" s="334"/>
      <c r="L1426" s="484"/>
    </row>
    <row r="1427" spans="1:12" ht="15" thickBot="1">
      <c r="A1427" s="328"/>
      <c r="B1427" s="257"/>
      <c r="C1427" s="257"/>
      <c r="D1427" s="329"/>
      <c r="E1427" s="330"/>
      <c r="F1427" s="331"/>
      <c r="G1427" s="256"/>
      <c r="H1427" s="256"/>
      <c r="I1427" s="332"/>
      <c r="J1427" s="333"/>
      <c r="K1427" s="334"/>
      <c r="L1427" s="484"/>
    </row>
    <row r="1428" spans="1:12" ht="15" thickBot="1">
      <c r="A1428" s="328"/>
      <c r="B1428" s="257"/>
      <c r="C1428" s="257"/>
      <c r="D1428" s="329"/>
      <c r="E1428" s="330"/>
      <c r="F1428" s="331"/>
      <c r="G1428" s="256"/>
      <c r="H1428" s="256"/>
      <c r="I1428" s="332"/>
      <c r="J1428" s="333"/>
      <c r="K1428" s="334"/>
      <c r="L1428" s="484"/>
    </row>
    <row r="1429" spans="1:12" ht="15" thickBot="1">
      <c r="A1429" s="328"/>
      <c r="B1429" s="257"/>
      <c r="C1429" s="257"/>
      <c r="D1429" s="329"/>
      <c r="E1429" s="330"/>
      <c r="F1429" s="331"/>
      <c r="G1429" s="256"/>
      <c r="H1429" s="256"/>
      <c r="I1429" s="332"/>
      <c r="J1429" s="333"/>
      <c r="K1429" s="334"/>
      <c r="L1429" s="484"/>
    </row>
    <row r="1430" spans="1:12" ht="15" thickBot="1">
      <c r="A1430" s="328"/>
      <c r="B1430" s="257"/>
      <c r="C1430" s="257"/>
      <c r="D1430" s="329"/>
      <c r="E1430" s="330"/>
      <c r="F1430" s="331"/>
      <c r="G1430" s="256"/>
      <c r="H1430" s="256"/>
      <c r="I1430" s="332"/>
      <c r="J1430" s="333"/>
      <c r="K1430" s="334"/>
      <c r="L1430" s="484"/>
    </row>
    <row r="1431" spans="1:12" ht="15" thickBot="1">
      <c r="A1431" s="328"/>
      <c r="B1431" s="257"/>
      <c r="C1431" s="257"/>
      <c r="D1431" s="329"/>
      <c r="E1431" s="330"/>
      <c r="F1431" s="331"/>
      <c r="G1431" s="256"/>
      <c r="H1431" s="256"/>
      <c r="I1431" s="332"/>
      <c r="J1431" s="333"/>
      <c r="K1431" s="334"/>
      <c r="L1431" s="484"/>
    </row>
    <row r="1432" spans="1:12" ht="15" thickBot="1">
      <c r="A1432" s="328"/>
      <c r="B1432" s="257"/>
      <c r="C1432" s="257"/>
      <c r="D1432" s="329"/>
      <c r="E1432" s="330"/>
      <c r="F1432" s="331"/>
      <c r="G1432" s="256"/>
      <c r="H1432" s="256"/>
      <c r="I1432" s="332"/>
      <c r="J1432" s="333"/>
      <c r="K1432" s="334"/>
      <c r="L1432" s="484"/>
    </row>
    <row r="1433" spans="1:12" ht="15" thickBot="1">
      <c r="A1433" s="328"/>
      <c r="B1433" s="257"/>
      <c r="C1433" s="257"/>
      <c r="D1433" s="329"/>
      <c r="E1433" s="330"/>
      <c r="F1433" s="331"/>
      <c r="G1433" s="256"/>
      <c r="H1433" s="256"/>
      <c r="I1433" s="332"/>
      <c r="J1433" s="333"/>
      <c r="K1433" s="334"/>
      <c r="L1433" s="484"/>
    </row>
    <row r="1434" spans="1:12" ht="15" thickBot="1">
      <c r="A1434" s="328"/>
      <c r="B1434" s="257"/>
      <c r="C1434" s="257"/>
      <c r="D1434" s="329"/>
      <c r="E1434" s="330"/>
      <c r="F1434" s="331"/>
      <c r="G1434" s="256"/>
      <c r="H1434" s="256"/>
      <c r="I1434" s="332"/>
      <c r="J1434" s="333"/>
      <c r="K1434" s="334"/>
      <c r="L1434" s="484"/>
    </row>
    <row r="1435" spans="1:12" ht="15" thickBot="1">
      <c r="A1435" s="328"/>
      <c r="B1435" s="257"/>
      <c r="C1435" s="257"/>
      <c r="D1435" s="329"/>
      <c r="E1435" s="330"/>
      <c r="F1435" s="331"/>
      <c r="G1435" s="256"/>
      <c r="H1435" s="256"/>
      <c r="I1435" s="332"/>
      <c r="J1435" s="333"/>
      <c r="K1435" s="334"/>
      <c r="L1435" s="484"/>
    </row>
    <row r="1436" spans="1:12" ht="15" thickBot="1">
      <c r="A1436" s="328"/>
      <c r="B1436" s="257"/>
      <c r="C1436" s="257"/>
      <c r="D1436" s="329"/>
      <c r="E1436" s="330"/>
      <c r="F1436" s="331"/>
      <c r="G1436" s="256"/>
      <c r="H1436" s="256"/>
      <c r="I1436" s="332"/>
      <c r="J1436" s="333"/>
      <c r="K1436" s="334"/>
      <c r="L1436" s="484"/>
    </row>
    <row r="1437" spans="1:12" ht="15" thickBot="1">
      <c r="A1437" s="328"/>
      <c r="B1437" s="257"/>
      <c r="C1437" s="257"/>
      <c r="D1437" s="329"/>
      <c r="E1437" s="330"/>
      <c r="F1437" s="331"/>
      <c r="G1437" s="256"/>
      <c r="H1437" s="256"/>
      <c r="I1437" s="332"/>
      <c r="J1437" s="333"/>
      <c r="K1437" s="334"/>
      <c r="L1437" s="484"/>
    </row>
    <row r="1438" spans="1:12" ht="15" thickBot="1">
      <c r="A1438" s="328"/>
      <c r="B1438" s="257"/>
      <c r="C1438" s="257"/>
      <c r="D1438" s="329"/>
      <c r="E1438" s="330"/>
      <c r="F1438" s="331"/>
      <c r="G1438" s="256"/>
      <c r="H1438" s="256"/>
      <c r="I1438" s="332"/>
      <c r="J1438" s="333"/>
      <c r="K1438" s="334"/>
      <c r="L1438" s="484"/>
    </row>
    <row r="1439" spans="1:12" ht="15" thickBot="1">
      <c r="A1439" s="328"/>
      <c r="B1439" s="257"/>
      <c r="C1439" s="257"/>
      <c r="D1439" s="329"/>
      <c r="E1439" s="330"/>
      <c r="F1439" s="331"/>
      <c r="G1439" s="256"/>
      <c r="H1439" s="256"/>
      <c r="I1439" s="332"/>
      <c r="J1439" s="333"/>
      <c r="K1439" s="334"/>
      <c r="L1439" s="484"/>
    </row>
    <row r="1440" spans="1:12" ht="15" thickBot="1">
      <c r="A1440" s="328"/>
      <c r="B1440" s="257"/>
      <c r="C1440" s="257"/>
      <c r="D1440" s="329"/>
      <c r="E1440" s="330"/>
      <c r="F1440" s="331"/>
      <c r="G1440" s="256"/>
      <c r="H1440" s="256"/>
      <c r="I1440" s="332"/>
      <c r="J1440" s="333"/>
      <c r="K1440" s="334"/>
      <c r="L1440" s="484"/>
    </row>
    <row r="1441" spans="1:12" ht="15" thickBot="1">
      <c r="A1441" s="328"/>
      <c r="B1441" s="257"/>
      <c r="C1441" s="257"/>
      <c r="D1441" s="329"/>
      <c r="E1441" s="330"/>
      <c r="F1441" s="331"/>
      <c r="G1441" s="256"/>
      <c r="H1441" s="256"/>
      <c r="I1441" s="332"/>
      <c r="J1441" s="333"/>
      <c r="K1441" s="334"/>
      <c r="L1441" s="484"/>
    </row>
    <row r="1442" spans="1:12" ht="15" thickBot="1">
      <c r="A1442" s="328"/>
      <c r="B1442" s="257"/>
      <c r="C1442" s="257"/>
      <c r="D1442" s="329"/>
      <c r="E1442" s="330"/>
      <c r="F1442" s="331"/>
      <c r="G1442" s="256"/>
      <c r="H1442" s="256"/>
      <c r="I1442" s="332"/>
      <c r="J1442" s="333"/>
      <c r="K1442" s="334"/>
      <c r="L1442" s="484"/>
    </row>
    <row r="1443" spans="1:12" ht="15" thickBot="1">
      <c r="A1443" s="328"/>
      <c r="B1443" s="257"/>
      <c r="C1443" s="257"/>
      <c r="D1443" s="329"/>
      <c r="E1443" s="330"/>
      <c r="F1443" s="331"/>
      <c r="G1443" s="256"/>
      <c r="H1443" s="256"/>
      <c r="I1443" s="332"/>
      <c r="J1443" s="333"/>
      <c r="K1443" s="334"/>
      <c r="L1443" s="484"/>
    </row>
    <row r="1444" spans="1:12" ht="15" thickBot="1">
      <c r="A1444" s="328"/>
      <c r="B1444" s="257"/>
      <c r="C1444" s="257"/>
      <c r="D1444" s="329"/>
      <c r="E1444" s="330"/>
      <c r="F1444" s="331"/>
      <c r="G1444" s="256"/>
      <c r="H1444" s="256"/>
      <c r="I1444" s="332"/>
      <c r="J1444" s="333"/>
      <c r="K1444" s="334"/>
      <c r="L1444" s="484"/>
    </row>
    <row r="1445" spans="1:12" ht="15" thickBot="1">
      <c r="A1445" s="328"/>
      <c r="B1445" s="257"/>
      <c r="C1445" s="257"/>
      <c r="D1445" s="329"/>
      <c r="E1445" s="330"/>
      <c r="F1445" s="331"/>
      <c r="G1445" s="256"/>
      <c r="H1445" s="256"/>
      <c r="I1445" s="332"/>
      <c r="J1445" s="333"/>
      <c r="K1445" s="334"/>
      <c r="L1445" s="484"/>
    </row>
    <row r="1446" spans="1:12" ht="15" thickBot="1">
      <c r="A1446" s="328"/>
      <c r="B1446" s="257"/>
      <c r="C1446" s="257"/>
      <c r="D1446" s="329"/>
      <c r="E1446" s="330"/>
      <c r="F1446" s="331"/>
      <c r="G1446" s="256"/>
      <c r="H1446" s="256"/>
      <c r="I1446" s="332"/>
      <c r="J1446" s="333"/>
      <c r="K1446" s="334"/>
      <c r="L1446" s="484"/>
    </row>
    <row r="1447" spans="1:12" ht="15" thickBot="1">
      <c r="A1447" s="328"/>
      <c r="B1447" s="257"/>
      <c r="C1447" s="257"/>
      <c r="D1447" s="329"/>
      <c r="E1447" s="330"/>
      <c r="F1447" s="331"/>
      <c r="G1447" s="256"/>
      <c r="H1447" s="256"/>
      <c r="I1447" s="332"/>
      <c r="J1447" s="333"/>
      <c r="K1447" s="334"/>
      <c r="L1447" s="484"/>
    </row>
    <row r="1448" spans="1:12" ht="15" thickBot="1">
      <c r="A1448" s="328"/>
      <c r="B1448" s="257"/>
      <c r="C1448" s="257"/>
      <c r="D1448" s="329"/>
      <c r="E1448" s="330"/>
      <c r="F1448" s="331"/>
      <c r="G1448" s="256"/>
      <c r="H1448" s="256"/>
      <c r="I1448" s="332"/>
      <c r="J1448" s="333"/>
      <c r="K1448" s="334"/>
      <c r="L1448" s="484"/>
    </row>
    <row r="1449" spans="1:12" ht="15" thickBot="1">
      <c r="A1449" s="328"/>
      <c r="B1449" s="257"/>
      <c r="C1449" s="257"/>
      <c r="D1449" s="329"/>
      <c r="E1449" s="330"/>
      <c r="F1449" s="331"/>
      <c r="G1449" s="256"/>
      <c r="H1449" s="256"/>
      <c r="I1449" s="332"/>
      <c r="J1449" s="333"/>
      <c r="K1449" s="334"/>
      <c r="L1449" s="484"/>
    </row>
    <row r="1450" spans="1:12" ht="15" thickBot="1">
      <c r="A1450" s="328"/>
      <c r="B1450" s="257"/>
      <c r="C1450" s="257"/>
      <c r="D1450" s="329"/>
      <c r="E1450" s="330"/>
      <c r="F1450" s="331"/>
      <c r="G1450" s="256"/>
      <c r="H1450" s="256"/>
      <c r="I1450" s="332"/>
      <c r="J1450" s="333"/>
      <c r="K1450" s="334"/>
      <c r="L1450" s="484"/>
    </row>
    <row r="1451" spans="1:12" ht="15" thickBot="1">
      <c r="A1451" s="328"/>
      <c r="B1451" s="257"/>
      <c r="C1451" s="257"/>
      <c r="D1451" s="329"/>
      <c r="E1451" s="330"/>
      <c r="F1451" s="331"/>
      <c r="G1451" s="256"/>
      <c r="H1451" s="256"/>
      <c r="I1451" s="332"/>
      <c r="J1451" s="333"/>
      <c r="K1451" s="334"/>
      <c r="L1451" s="484"/>
    </row>
    <row r="1452" spans="1:12" ht="15" thickBot="1">
      <c r="A1452" s="328"/>
      <c r="B1452" s="257"/>
      <c r="C1452" s="257"/>
      <c r="D1452" s="329"/>
      <c r="E1452" s="330"/>
      <c r="F1452" s="331"/>
      <c r="G1452" s="256"/>
      <c r="H1452" s="256"/>
      <c r="I1452" s="332"/>
      <c r="J1452" s="333"/>
      <c r="K1452" s="334"/>
      <c r="L1452" s="484"/>
    </row>
    <row r="1453" spans="1:12" ht="15" thickBot="1">
      <c r="A1453" s="328"/>
      <c r="B1453" s="257"/>
      <c r="C1453" s="257"/>
      <c r="D1453" s="329"/>
      <c r="E1453" s="330"/>
      <c r="F1453" s="331"/>
      <c r="G1453" s="256"/>
      <c r="H1453" s="256"/>
      <c r="I1453" s="332"/>
      <c r="J1453" s="333"/>
      <c r="K1453" s="334"/>
      <c r="L1453" s="484"/>
    </row>
    <row r="1454" spans="1:12" ht="15" thickBot="1">
      <c r="A1454" s="328"/>
      <c r="B1454" s="257"/>
      <c r="C1454" s="257"/>
      <c r="D1454" s="329"/>
      <c r="E1454" s="330"/>
      <c r="F1454" s="331"/>
      <c r="G1454" s="256"/>
      <c r="H1454" s="256"/>
      <c r="I1454" s="332"/>
      <c r="J1454" s="333"/>
      <c r="K1454" s="334"/>
      <c r="L1454" s="484"/>
    </row>
    <row r="1455" spans="1:12" ht="15" thickBot="1">
      <c r="A1455" s="328"/>
      <c r="B1455" s="257"/>
      <c r="C1455" s="257"/>
      <c r="D1455" s="329"/>
      <c r="E1455" s="330"/>
      <c r="F1455" s="331"/>
      <c r="G1455" s="256"/>
      <c r="H1455" s="256"/>
      <c r="I1455" s="332"/>
      <c r="J1455" s="333"/>
      <c r="K1455" s="334"/>
      <c r="L1455" s="484"/>
    </row>
    <row r="1456" spans="1:12" ht="15" thickBot="1">
      <c r="A1456" s="328"/>
      <c r="B1456" s="257"/>
      <c r="C1456" s="257"/>
      <c r="D1456" s="329"/>
      <c r="E1456" s="330"/>
      <c r="F1456" s="331"/>
      <c r="G1456" s="256"/>
      <c r="H1456" s="256"/>
      <c r="I1456" s="332"/>
      <c r="J1456" s="333"/>
      <c r="K1456" s="334"/>
      <c r="L1456" s="484"/>
    </row>
    <row r="1457" spans="1:12" ht="15" thickBot="1">
      <c r="A1457" s="328"/>
      <c r="B1457" s="257"/>
      <c r="C1457" s="257"/>
      <c r="D1457" s="329"/>
      <c r="E1457" s="330"/>
      <c r="F1457" s="331"/>
      <c r="G1457" s="256"/>
      <c r="H1457" s="256"/>
      <c r="I1457" s="332"/>
      <c r="J1457" s="333"/>
      <c r="K1457" s="334"/>
      <c r="L1457" s="484"/>
    </row>
    <row r="1458" spans="1:12" ht="15" thickBot="1">
      <c r="A1458" s="328"/>
      <c r="B1458" s="257"/>
      <c r="C1458" s="257"/>
      <c r="D1458" s="329"/>
      <c r="E1458" s="330"/>
      <c r="F1458" s="331"/>
      <c r="G1458" s="256"/>
      <c r="H1458" s="256"/>
      <c r="I1458" s="332"/>
      <c r="J1458" s="333"/>
      <c r="K1458" s="334"/>
      <c r="L1458" s="484"/>
    </row>
    <row r="1459" spans="1:12" ht="15" thickBot="1">
      <c r="A1459" s="328"/>
      <c r="B1459" s="257"/>
      <c r="C1459" s="257"/>
      <c r="D1459" s="329"/>
      <c r="E1459" s="330"/>
      <c r="F1459" s="331"/>
      <c r="G1459" s="256"/>
      <c r="H1459" s="256"/>
      <c r="I1459" s="332"/>
      <c r="J1459" s="333"/>
      <c r="K1459" s="334"/>
      <c r="L1459" s="484"/>
    </row>
    <row r="1460" spans="1:12" ht="15" thickBot="1">
      <c r="A1460" s="328"/>
      <c r="B1460" s="257"/>
      <c r="C1460" s="257"/>
      <c r="D1460" s="329"/>
      <c r="E1460" s="330"/>
      <c r="F1460" s="331"/>
      <c r="G1460" s="256"/>
      <c r="H1460" s="256"/>
      <c r="I1460" s="332"/>
      <c r="J1460" s="333"/>
      <c r="K1460" s="334"/>
      <c r="L1460" s="484"/>
    </row>
    <row r="1461" spans="1:12" ht="15" thickBot="1">
      <c r="A1461" s="328"/>
      <c r="B1461" s="257"/>
      <c r="C1461" s="257"/>
      <c r="D1461" s="329"/>
      <c r="E1461" s="330"/>
      <c r="F1461" s="331"/>
      <c r="G1461" s="256"/>
      <c r="H1461" s="256"/>
      <c r="I1461" s="332"/>
      <c r="J1461" s="333"/>
      <c r="K1461" s="334"/>
      <c r="L1461" s="484"/>
    </row>
    <row r="1462" spans="1:12" ht="15" thickBot="1">
      <c r="A1462" s="328"/>
      <c r="B1462" s="257"/>
      <c r="C1462" s="257"/>
      <c r="D1462" s="329"/>
      <c r="E1462" s="330"/>
      <c r="F1462" s="331"/>
      <c r="G1462" s="256"/>
      <c r="H1462" s="256"/>
      <c r="I1462" s="332"/>
      <c r="J1462" s="333"/>
      <c r="K1462" s="334"/>
      <c r="L1462" s="484"/>
    </row>
    <row r="1463" spans="1:12" ht="15" thickBot="1">
      <c r="A1463" s="328"/>
      <c r="B1463" s="257"/>
      <c r="C1463" s="257"/>
      <c r="D1463" s="329"/>
      <c r="E1463" s="330"/>
      <c r="F1463" s="331"/>
      <c r="G1463" s="256"/>
      <c r="H1463" s="256"/>
      <c r="I1463" s="332"/>
      <c r="J1463" s="333"/>
      <c r="K1463" s="334"/>
      <c r="L1463" s="484"/>
    </row>
    <row r="1464" spans="1:12" ht="15" thickBot="1">
      <c r="A1464" s="328"/>
      <c r="B1464" s="257"/>
      <c r="C1464" s="257"/>
      <c r="D1464" s="329"/>
      <c r="E1464" s="330"/>
      <c r="F1464" s="331"/>
      <c r="G1464" s="256"/>
      <c r="H1464" s="256"/>
      <c r="I1464" s="332"/>
      <c r="J1464" s="333"/>
      <c r="K1464" s="334"/>
      <c r="L1464" s="484"/>
    </row>
    <row r="1465" spans="1:12" ht="15" thickBot="1">
      <c r="A1465" s="328"/>
      <c r="B1465" s="257"/>
      <c r="C1465" s="257"/>
      <c r="D1465" s="329"/>
      <c r="E1465" s="330"/>
      <c r="F1465" s="331"/>
      <c r="G1465" s="256"/>
      <c r="H1465" s="256"/>
      <c r="I1465" s="332"/>
      <c r="J1465" s="333"/>
      <c r="K1465" s="334"/>
      <c r="L1465" s="484"/>
    </row>
    <row r="1466" spans="1:12" ht="15" thickBot="1">
      <c r="A1466" s="328"/>
      <c r="B1466" s="257"/>
      <c r="C1466" s="257"/>
      <c r="D1466" s="329"/>
      <c r="E1466" s="330"/>
      <c r="F1466" s="331"/>
      <c r="G1466" s="256"/>
      <c r="H1466" s="256"/>
      <c r="I1466" s="332"/>
      <c r="J1466" s="333"/>
      <c r="K1466" s="334"/>
      <c r="L1466" s="484"/>
    </row>
    <row r="1467" spans="1:12" ht="15" thickBot="1">
      <c r="A1467" s="328"/>
      <c r="B1467" s="257"/>
      <c r="C1467" s="257"/>
      <c r="D1467" s="329"/>
      <c r="E1467" s="330"/>
      <c r="F1467" s="331"/>
      <c r="G1467" s="256"/>
      <c r="H1467" s="256"/>
      <c r="I1467" s="332"/>
      <c r="J1467" s="333"/>
      <c r="K1467" s="334"/>
      <c r="L1467" s="484"/>
    </row>
    <row r="1468" spans="1:12" ht="15" thickBot="1">
      <c r="A1468" s="328"/>
      <c r="B1468" s="257"/>
      <c r="C1468" s="257"/>
      <c r="D1468" s="329"/>
      <c r="E1468" s="330"/>
      <c r="F1468" s="331"/>
      <c r="G1468" s="256"/>
      <c r="H1468" s="256"/>
      <c r="I1468" s="332"/>
      <c r="J1468" s="333"/>
      <c r="K1468" s="334"/>
      <c r="L1468" s="484"/>
    </row>
    <row r="1469" spans="1:12" ht="15" thickBot="1">
      <c r="A1469" s="328"/>
      <c r="B1469" s="257"/>
      <c r="C1469" s="257"/>
      <c r="D1469" s="329"/>
      <c r="E1469" s="330"/>
      <c r="F1469" s="331"/>
      <c r="G1469" s="256"/>
      <c r="H1469" s="256"/>
      <c r="I1469" s="332"/>
      <c r="J1469" s="333"/>
      <c r="K1469" s="334"/>
      <c r="L1469" s="484"/>
    </row>
    <row r="1470" spans="1:12" ht="15" thickBot="1">
      <c r="A1470" s="328"/>
      <c r="B1470" s="257"/>
      <c r="C1470" s="257"/>
      <c r="D1470" s="329"/>
      <c r="E1470" s="330"/>
      <c r="F1470" s="331"/>
      <c r="G1470" s="256"/>
      <c r="H1470" s="256"/>
      <c r="I1470" s="332"/>
      <c r="J1470" s="333"/>
      <c r="K1470" s="334"/>
      <c r="L1470" s="484"/>
    </row>
    <row r="1471" spans="1:12" ht="15" thickBot="1">
      <c r="A1471" s="328"/>
      <c r="B1471" s="257"/>
      <c r="C1471" s="257"/>
      <c r="D1471" s="329"/>
      <c r="E1471" s="330"/>
      <c r="F1471" s="331"/>
      <c r="G1471" s="256"/>
      <c r="H1471" s="256"/>
      <c r="I1471" s="332"/>
      <c r="J1471" s="333"/>
      <c r="K1471" s="334"/>
      <c r="L1471" s="484"/>
    </row>
    <row r="1472" spans="1:12" ht="15" thickBot="1">
      <c r="A1472" s="328"/>
      <c r="B1472" s="257"/>
      <c r="C1472" s="257"/>
      <c r="D1472" s="329"/>
      <c r="E1472" s="330"/>
      <c r="F1472" s="331"/>
      <c r="G1472" s="256"/>
      <c r="H1472" s="256"/>
      <c r="I1472" s="332"/>
      <c r="J1472" s="333"/>
      <c r="K1472" s="334"/>
      <c r="L1472" s="484"/>
    </row>
    <row r="1473" spans="1:12" ht="15" thickBot="1">
      <c r="A1473" s="328"/>
      <c r="B1473" s="257"/>
      <c r="C1473" s="257"/>
      <c r="D1473" s="329"/>
      <c r="E1473" s="330"/>
      <c r="F1473" s="331"/>
      <c r="G1473" s="256"/>
      <c r="H1473" s="256"/>
      <c r="I1473" s="332"/>
      <c r="J1473" s="333"/>
      <c r="K1473" s="334"/>
      <c r="L1473" s="484"/>
    </row>
    <row r="1474" spans="1:12" ht="15" thickBot="1">
      <c r="A1474" s="328"/>
      <c r="B1474" s="257"/>
      <c r="C1474" s="257"/>
      <c r="D1474" s="329"/>
      <c r="E1474" s="330"/>
      <c r="F1474" s="331"/>
      <c r="G1474" s="256"/>
      <c r="H1474" s="256"/>
      <c r="I1474" s="332"/>
      <c r="J1474" s="333"/>
      <c r="K1474" s="334"/>
      <c r="L1474" s="484"/>
    </row>
    <row r="1475" spans="1:12" ht="15" thickBot="1">
      <c r="A1475" s="328"/>
      <c r="B1475" s="257"/>
      <c r="C1475" s="257"/>
      <c r="D1475" s="329"/>
      <c r="E1475" s="330"/>
      <c r="F1475" s="331"/>
      <c r="G1475" s="256"/>
      <c r="H1475" s="256"/>
      <c r="I1475" s="332"/>
      <c r="J1475" s="333"/>
      <c r="K1475" s="334"/>
      <c r="L1475" s="484"/>
    </row>
    <row r="1476" spans="1:12" ht="15" thickBot="1">
      <c r="A1476" s="328"/>
      <c r="B1476" s="257"/>
      <c r="C1476" s="257"/>
      <c r="D1476" s="329"/>
      <c r="E1476" s="330"/>
      <c r="F1476" s="331"/>
      <c r="G1476" s="256"/>
      <c r="H1476" s="256"/>
      <c r="I1476" s="332"/>
      <c r="J1476" s="333"/>
      <c r="K1476" s="334"/>
      <c r="L1476" s="484"/>
    </row>
    <row r="1477" spans="1:12" ht="15" thickBot="1">
      <c r="A1477" s="328"/>
      <c r="B1477" s="257"/>
      <c r="C1477" s="257"/>
      <c r="D1477" s="329"/>
      <c r="E1477" s="330"/>
      <c r="F1477" s="331"/>
      <c r="G1477" s="256"/>
      <c r="H1477" s="256"/>
      <c r="I1477" s="332"/>
      <c r="J1477" s="333"/>
      <c r="K1477" s="334"/>
      <c r="L1477" s="484"/>
    </row>
    <row r="1478" spans="1:12" ht="15" thickBot="1">
      <c r="A1478" s="328"/>
      <c r="B1478" s="257"/>
      <c r="C1478" s="257"/>
      <c r="D1478" s="329"/>
      <c r="E1478" s="330"/>
      <c r="F1478" s="331"/>
      <c r="G1478" s="256"/>
      <c r="H1478" s="256"/>
      <c r="I1478" s="332"/>
      <c r="J1478" s="333"/>
      <c r="K1478" s="334"/>
      <c r="L1478" s="484"/>
    </row>
    <row r="1479" spans="1:12" ht="15" thickBot="1">
      <c r="A1479" s="328"/>
      <c r="B1479" s="257"/>
      <c r="C1479" s="257"/>
      <c r="D1479" s="329"/>
      <c r="E1479" s="330"/>
      <c r="F1479" s="331"/>
      <c r="G1479" s="256"/>
      <c r="H1479" s="256"/>
      <c r="I1479" s="332"/>
      <c r="J1479" s="333"/>
      <c r="K1479" s="334"/>
      <c r="L1479" s="484"/>
    </row>
    <row r="1480" spans="1:12" ht="15" thickBot="1">
      <c r="A1480" s="328"/>
      <c r="B1480" s="257"/>
      <c r="C1480" s="257"/>
      <c r="D1480" s="329"/>
      <c r="E1480" s="330"/>
      <c r="F1480" s="331"/>
      <c r="G1480" s="256"/>
      <c r="H1480" s="256"/>
      <c r="I1480" s="332"/>
      <c r="J1480" s="333"/>
      <c r="K1480" s="334"/>
      <c r="L1480" s="484"/>
    </row>
    <row r="1481" spans="1:12" ht="15" thickBot="1">
      <c r="A1481" s="328"/>
      <c r="B1481" s="257"/>
      <c r="C1481" s="257"/>
      <c r="D1481" s="329"/>
      <c r="E1481" s="330"/>
      <c r="F1481" s="331"/>
      <c r="G1481" s="256"/>
      <c r="H1481" s="256"/>
      <c r="I1481" s="332"/>
      <c r="J1481" s="333"/>
      <c r="K1481" s="334"/>
      <c r="L1481" s="484"/>
    </row>
    <row r="1482" spans="1:12" ht="15" thickBot="1">
      <c r="A1482" s="328"/>
      <c r="B1482" s="257"/>
      <c r="C1482" s="257"/>
      <c r="D1482" s="329"/>
      <c r="E1482" s="330"/>
      <c r="F1482" s="331"/>
      <c r="G1482" s="256"/>
      <c r="H1482" s="256"/>
      <c r="I1482" s="332"/>
      <c r="J1482" s="333"/>
      <c r="K1482" s="334"/>
      <c r="L1482" s="484"/>
    </row>
    <row r="1483" spans="1:12" ht="15" thickBot="1">
      <c r="A1483" s="328"/>
      <c r="B1483" s="257"/>
      <c r="C1483" s="257"/>
      <c r="D1483" s="329"/>
      <c r="E1483" s="330"/>
      <c r="F1483" s="331"/>
      <c r="G1483" s="256"/>
      <c r="H1483" s="256"/>
      <c r="I1483" s="332"/>
      <c r="J1483" s="333"/>
      <c r="K1483" s="334"/>
      <c r="L1483" s="484"/>
    </row>
    <row r="1484" spans="1:12" ht="15" thickBot="1">
      <c r="A1484" s="328"/>
      <c r="B1484" s="257"/>
      <c r="C1484" s="257"/>
      <c r="D1484" s="329"/>
      <c r="E1484" s="330"/>
      <c r="F1484" s="331"/>
      <c r="G1484" s="256"/>
      <c r="H1484" s="256"/>
      <c r="I1484" s="332"/>
      <c r="J1484" s="333"/>
      <c r="K1484" s="334"/>
      <c r="L1484" s="484"/>
    </row>
    <row r="1485" spans="1:12" ht="15" thickBot="1">
      <c r="A1485" s="328"/>
      <c r="B1485" s="257"/>
      <c r="C1485" s="257"/>
      <c r="D1485" s="329"/>
      <c r="E1485" s="330"/>
      <c r="F1485" s="331"/>
      <c r="G1485" s="256"/>
      <c r="H1485" s="256"/>
      <c r="I1485" s="332"/>
      <c r="J1485" s="333"/>
      <c r="K1485" s="334"/>
      <c r="L1485" s="484"/>
    </row>
    <row r="1486" spans="1:12" ht="15" thickBot="1">
      <c r="A1486" s="328"/>
      <c r="B1486" s="257"/>
      <c r="C1486" s="257"/>
      <c r="D1486" s="329"/>
      <c r="E1486" s="330"/>
      <c r="F1486" s="331"/>
      <c r="G1486" s="256"/>
      <c r="H1486" s="256"/>
      <c r="I1486" s="332"/>
      <c r="J1486" s="333"/>
      <c r="K1486" s="334"/>
      <c r="L1486" s="484"/>
    </row>
    <row r="1487" spans="1:12" ht="15" thickBot="1">
      <c r="A1487" s="328"/>
      <c r="B1487" s="257"/>
      <c r="C1487" s="257"/>
      <c r="D1487" s="329"/>
      <c r="E1487" s="330"/>
      <c r="F1487" s="331"/>
      <c r="G1487" s="256"/>
      <c r="H1487" s="256"/>
      <c r="I1487" s="332"/>
      <c r="J1487" s="333"/>
      <c r="K1487" s="334"/>
      <c r="L1487" s="484"/>
    </row>
    <row r="1488" spans="1:12" ht="15" thickBot="1">
      <c r="A1488" s="328"/>
      <c r="B1488" s="257"/>
      <c r="C1488" s="257"/>
      <c r="D1488" s="329"/>
      <c r="E1488" s="330"/>
      <c r="F1488" s="331"/>
      <c r="G1488" s="256"/>
      <c r="H1488" s="256"/>
      <c r="I1488" s="332"/>
      <c r="J1488" s="333"/>
      <c r="K1488" s="334"/>
      <c r="L1488" s="484"/>
    </row>
    <row r="1489" spans="1:12" ht="15" thickBot="1">
      <c r="A1489" s="328"/>
      <c r="B1489" s="257"/>
      <c r="C1489" s="257"/>
      <c r="D1489" s="329"/>
      <c r="E1489" s="330"/>
      <c r="F1489" s="331"/>
      <c r="G1489" s="256"/>
      <c r="H1489" s="256"/>
      <c r="I1489" s="332"/>
      <c r="J1489" s="333"/>
      <c r="K1489" s="334"/>
      <c r="L1489" s="484"/>
    </row>
    <row r="1490" spans="1:12" ht="15" thickBot="1">
      <c r="A1490" s="328"/>
      <c r="B1490" s="257"/>
      <c r="C1490" s="257"/>
      <c r="D1490" s="329"/>
      <c r="E1490" s="330"/>
      <c r="F1490" s="331"/>
      <c r="G1490" s="256"/>
      <c r="H1490" s="256"/>
      <c r="I1490" s="332"/>
      <c r="J1490" s="333"/>
      <c r="K1490" s="334"/>
      <c r="L1490" s="484"/>
    </row>
    <row r="1491" spans="1:12" ht="15" thickBot="1">
      <c r="A1491" s="328"/>
      <c r="B1491" s="257"/>
      <c r="C1491" s="257"/>
      <c r="D1491" s="329"/>
      <c r="E1491" s="330"/>
      <c r="F1491" s="331"/>
      <c r="G1491" s="256"/>
      <c r="H1491" s="256"/>
      <c r="I1491" s="332"/>
      <c r="J1491" s="333"/>
      <c r="K1491" s="334"/>
      <c r="L1491" s="484"/>
    </row>
    <row r="1492" spans="1:12" ht="15" thickBot="1">
      <c r="A1492" s="328"/>
      <c r="B1492" s="257"/>
      <c r="C1492" s="257"/>
      <c r="D1492" s="329"/>
      <c r="E1492" s="330"/>
      <c r="F1492" s="331"/>
      <c r="G1492" s="256"/>
      <c r="H1492" s="256"/>
      <c r="I1492" s="332"/>
      <c r="J1492" s="333"/>
      <c r="K1492" s="334"/>
      <c r="L1492" s="484"/>
    </row>
    <row r="1493" spans="1:12" ht="15" thickBot="1">
      <c r="A1493" s="328"/>
      <c r="B1493" s="257"/>
      <c r="C1493" s="257"/>
      <c r="D1493" s="329"/>
      <c r="E1493" s="330"/>
      <c r="F1493" s="331"/>
      <c r="G1493" s="256"/>
      <c r="H1493" s="256"/>
      <c r="I1493" s="332"/>
      <c r="J1493" s="333"/>
      <c r="K1493" s="334"/>
      <c r="L1493" s="484"/>
    </row>
    <row r="1494" spans="1:12" ht="15" thickBot="1">
      <c r="A1494" s="328"/>
      <c r="B1494" s="257"/>
      <c r="C1494" s="257"/>
      <c r="D1494" s="329"/>
      <c r="E1494" s="330"/>
      <c r="F1494" s="331"/>
      <c r="G1494" s="256"/>
      <c r="H1494" s="256"/>
      <c r="I1494" s="332"/>
      <c r="J1494" s="333"/>
      <c r="K1494" s="334"/>
      <c r="L1494" s="484"/>
    </row>
    <row r="1495" spans="1:12" ht="15" thickBot="1">
      <c r="A1495" s="328"/>
      <c r="B1495" s="257"/>
      <c r="C1495" s="257"/>
      <c r="D1495" s="329"/>
      <c r="E1495" s="330"/>
      <c r="F1495" s="331"/>
      <c r="G1495" s="256"/>
      <c r="H1495" s="256"/>
      <c r="I1495" s="332"/>
      <c r="J1495" s="333"/>
      <c r="K1495" s="334"/>
      <c r="L1495" s="484"/>
    </row>
    <row r="1496" spans="1:12" ht="15" thickBot="1">
      <c r="A1496" s="328"/>
      <c r="B1496" s="257"/>
      <c r="C1496" s="257"/>
      <c r="D1496" s="329"/>
      <c r="E1496" s="330"/>
      <c r="F1496" s="331"/>
      <c r="G1496" s="256"/>
      <c r="H1496" s="256"/>
      <c r="I1496" s="332"/>
      <c r="J1496" s="333"/>
      <c r="K1496" s="334"/>
      <c r="L1496" s="484"/>
    </row>
    <row r="1497" spans="1:12" ht="15" thickBot="1">
      <c r="A1497" s="328"/>
      <c r="B1497" s="257"/>
      <c r="C1497" s="257"/>
      <c r="D1497" s="329"/>
      <c r="E1497" s="330"/>
      <c r="F1497" s="331"/>
      <c r="G1497" s="256"/>
      <c r="H1497" s="256"/>
      <c r="I1497" s="332"/>
      <c r="J1497" s="333"/>
      <c r="K1497" s="334"/>
      <c r="L1497" s="484"/>
    </row>
    <row r="1498" spans="1:12" ht="15" thickBot="1">
      <c r="A1498" s="328"/>
      <c r="B1498" s="257"/>
      <c r="C1498" s="257"/>
      <c r="D1498" s="329"/>
      <c r="E1498" s="330"/>
      <c r="F1498" s="331"/>
      <c r="G1498" s="256"/>
      <c r="H1498" s="256"/>
      <c r="I1498" s="332"/>
      <c r="J1498" s="333"/>
      <c r="K1498" s="334"/>
      <c r="L1498" s="484"/>
    </row>
    <row r="1499" spans="1:12" ht="15" thickBot="1">
      <c r="A1499" s="328"/>
      <c r="B1499" s="257"/>
      <c r="C1499" s="257"/>
      <c r="D1499" s="329"/>
      <c r="E1499" s="330"/>
      <c r="F1499" s="331"/>
      <c r="G1499" s="256"/>
      <c r="H1499" s="256"/>
      <c r="I1499" s="332"/>
      <c r="J1499" s="333"/>
      <c r="K1499" s="334"/>
      <c r="L1499" s="484"/>
    </row>
    <row r="1500" spans="1:12" ht="15" thickBot="1">
      <c r="A1500" s="328"/>
      <c r="B1500" s="257"/>
      <c r="C1500" s="257"/>
      <c r="D1500" s="329"/>
      <c r="E1500" s="330"/>
      <c r="F1500" s="331"/>
      <c r="G1500" s="256"/>
      <c r="H1500" s="256"/>
      <c r="I1500" s="332"/>
      <c r="J1500" s="333"/>
      <c r="K1500" s="334"/>
      <c r="L1500" s="484"/>
    </row>
    <row r="1501" spans="1:12" ht="15" thickBot="1">
      <c r="A1501" s="328"/>
      <c r="B1501" s="257"/>
      <c r="C1501" s="257"/>
      <c r="D1501" s="329"/>
      <c r="E1501" s="330"/>
      <c r="F1501" s="331"/>
      <c r="G1501" s="256"/>
      <c r="H1501" s="256"/>
      <c r="I1501" s="332"/>
      <c r="J1501" s="333"/>
      <c r="K1501" s="334"/>
      <c r="L1501" s="484"/>
    </row>
    <row r="1502" spans="1:12" ht="15" thickBot="1">
      <c r="A1502" s="328"/>
      <c r="B1502" s="257"/>
      <c r="C1502" s="257"/>
      <c r="D1502" s="329"/>
      <c r="E1502" s="330"/>
      <c r="F1502" s="331"/>
      <c r="G1502" s="256"/>
      <c r="H1502" s="256"/>
      <c r="I1502" s="332"/>
      <c r="J1502" s="333"/>
      <c r="K1502" s="334"/>
      <c r="L1502" s="484"/>
    </row>
    <row r="1503" spans="1:12" ht="15" thickBot="1">
      <c r="A1503" s="328"/>
      <c r="B1503" s="257"/>
      <c r="C1503" s="257"/>
      <c r="D1503" s="329"/>
      <c r="E1503" s="330"/>
      <c r="F1503" s="331"/>
      <c r="G1503" s="256"/>
      <c r="H1503" s="256"/>
      <c r="I1503" s="332"/>
      <c r="J1503" s="333"/>
      <c r="K1503" s="334"/>
      <c r="L1503" s="484"/>
    </row>
    <row r="1504" spans="1:12" ht="15" thickBot="1">
      <c r="A1504" s="328"/>
      <c r="B1504" s="257"/>
      <c r="C1504" s="257"/>
      <c r="D1504" s="329"/>
      <c r="E1504" s="330"/>
      <c r="F1504" s="331"/>
      <c r="G1504" s="256"/>
      <c r="H1504" s="256"/>
      <c r="I1504" s="332"/>
      <c r="J1504" s="333"/>
      <c r="K1504" s="334"/>
      <c r="L1504" s="484"/>
    </row>
    <row r="1505" spans="1:12" ht="15" thickBot="1">
      <c r="A1505" s="328"/>
      <c r="B1505" s="257"/>
      <c r="C1505" s="257"/>
      <c r="D1505" s="329"/>
      <c r="E1505" s="330"/>
      <c r="F1505" s="331"/>
      <c r="G1505" s="256"/>
      <c r="H1505" s="256"/>
      <c r="I1505" s="332"/>
      <c r="J1505" s="333"/>
      <c r="K1505" s="334"/>
      <c r="L1505" s="484"/>
    </row>
    <row r="1506" spans="1:12" ht="15" thickBot="1">
      <c r="A1506" s="328"/>
      <c r="B1506" s="257"/>
      <c r="C1506" s="257"/>
      <c r="D1506" s="329"/>
      <c r="E1506" s="330"/>
      <c r="F1506" s="331"/>
      <c r="G1506" s="256"/>
      <c r="H1506" s="256"/>
      <c r="I1506" s="332"/>
      <c r="J1506" s="333"/>
      <c r="K1506" s="334"/>
      <c r="L1506" s="484"/>
    </row>
    <row r="1507" spans="1:12" ht="15" thickBot="1">
      <c r="A1507" s="328"/>
      <c r="B1507" s="257"/>
      <c r="C1507" s="257"/>
      <c r="D1507" s="329"/>
      <c r="E1507" s="330"/>
      <c r="F1507" s="331"/>
      <c r="G1507" s="256"/>
      <c r="H1507" s="256"/>
      <c r="I1507" s="332"/>
      <c r="J1507" s="333"/>
      <c r="K1507" s="334"/>
      <c r="L1507" s="484"/>
    </row>
    <row r="1508" spans="1:12" ht="15" thickBot="1">
      <c r="A1508" s="328"/>
      <c r="B1508" s="257"/>
      <c r="C1508" s="257"/>
      <c r="D1508" s="329"/>
      <c r="E1508" s="330"/>
      <c r="F1508" s="331"/>
      <c r="G1508" s="256"/>
      <c r="H1508" s="256"/>
      <c r="I1508" s="332"/>
      <c r="J1508" s="333"/>
      <c r="K1508" s="334"/>
      <c r="L1508" s="484"/>
    </row>
    <row r="1509" spans="1:12" ht="15" thickBot="1">
      <c r="A1509" s="328"/>
      <c r="B1509" s="257"/>
      <c r="C1509" s="257"/>
      <c r="D1509" s="329"/>
      <c r="E1509" s="330"/>
      <c r="F1509" s="331"/>
      <c r="G1509" s="256"/>
      <c r="H1509" s="256"/>
      <c r="I1509" s="332"/>
      <c r="J1509" s="333"/>
      <c r="K1509" s="334"/>
      <c r="L1509" s="484"/>
    </row>
    <row r="1510" spans="1:12" ht="15" thickBot="1">
      <c r="A1510" s="328"/>
      <c r="B1510" s="257"/>
      <c r="C1510" s="257"/>
      <c r="D1510" s="329"/>
      <c r="E1510" s="330"/>
      <c r="F1510" s="331"/>
      <c r="G1510" s="256"/>
      <c r="H1510" s="256"/>
      <c r="I1510" s="332"/>
      <c r="J1510" s="333"/>
      <c r="K1510" s="334"/>
      <c r="L1510" s="484"/>
    </row>
    <row r="1511" spans="1:12" ht="15" thickBot="1">
      <c r="A1511" s="328"/>
      <c r="B1511" s="257"/>
      <c r="C1511" s="257"/>
      <c r="D1511" s="329"/>
      <c r="E1511" s="330"/>
      <c r="F1511" s="331"/>
      <c r="G1511" s="256"/>
      <c r="H1511" s="256"/>
      <c r="I1511" s="332"/>
      <c r="J1511" s="333"/>
      <c r="K1511" s="334"/>
      <c r="L1511" s="484"/>
    </row>
    <row r="1512" spans="1:12" ht="15" thickBot="1">
      <c r="A1512" s="328"/>
      <c r="B1512" s="257"/>
      <c r="C1512" s="257"/>
      <c r="D1512" s="329"/>
      <c r="E1512" s="330"/>
      <c r="F1512" s="331"/>
      <c r="G1512" s="256"/>
      <c r="H1512" s="256"/>
      <c r="I1512" s="332"/>
      <c r="J1512" s="333"/>
      <c r="K1512" s="334"/>
      <c r="L1512" s="484"/>
    </row>
    <row r="1513" spans="1:12" ht="15" thickBot="1">
      <c r="A1513" s="328"/>
      <c r="B1513" s="257"/>
      <c r="C1513" s="257"/>
      <c r="D1513" s="329"/>
      <c r="E1513" s="330"/>
      <c r="F1513" s="331"/>
      <c r="G1513" s="256"/>
      <c r="H1513" s="256"/>
      <c r="I1513" s="332"/>
      <c r="J1513" s="333"/>
      <c r="K1513" s="334"/>
      <c r="L1513" s="484"/>
    </row>
    <row r="1514" spans="1:12" ht="15" thickBot="1">
      <c r="A1514" s="328"/>
      <c r="B1514" s="257"/>
      <c r="C1514" s="257"/>
      <c r="D1514" s="329"/>
      <c r="E1514" s="330"/>
      <c r="F1514" s="331"/>
      <c r="G1514" s="256"/>
      <c r="H1514" s="256"/>
      <c r="I1514" s="332"/>
      <c r="J1514" s="333"/>
      <c r="K1514" s="334"/>
      <c r="L1514" s="484"/>
    </row>
    <row r="1515" spans="1:12" ht="15" thickBot="1">
      <c r="A1515" s="328"/>
      <c r="B1515" s="257"/>
      <c r="C1515" s="257"/>
      <c r="D1515" s="329"/>
      <c r="E1515" s="330"/>
      <c r="F1515" s="331"/>
      <c r="G1515" s="256"/>
      <c r="H1515" s="256"/>
      <c r="I1515" s="332"/>
      <c r="J1515" s="333"/>
      <c r="K1515" s="334"/>
      <c r="L1515" s="484"/>
    </row>
    <row r="1516" spans="1:12" ht="15" thickBot="1">
      <c r="A1516" s="328"/>
      <c r="B1516" s="257"/>
      <c r="C1516" s="257"/>
      <c r="D1516" s="329"/>
      <c r="E1516" s="330"/>
      <c r="F1516" s="331"/>
      <c r="G1516" s="256"/>
      <c r="H1516" s="256"/>
      <c r="I1516" s="332"/>
      <c r="J1516" s="333"/>
      <c r="K1516" s="334"/>
      <c r="L1516" s="484"/>
    </row>
    <row r="1517" spans="1:12" ht="15" thickBot="1">
      <c r="A1517" s="328"/>
      <c r="B1517" s="257"/>
      <c r="C1517" s="257"/>
      <c r="D1517" s="329"/>
      <c r="E1517" s="330"/>
      <c r="F1517" s="331"/>
      <c r="G1517" s="256"/>
      <c r="H1517" s="256"/>
      <c r="I1517" s="332"/>
      <c r="J1517" s="333"/>
      <c r="K1517" s="334"/>
      <c r="L1517" s="484"/>
    </row>
    <row r="1518" spans="1:12" ht="15" thickBot="1">
      <c r="A1518" s="328"/>
      <c r="B1518" s="257"/>
      <c r="C1518" s="257"/>
      <c r="D1518" s="329"/>
      <c r="E1518" s="330"/>
      <c r="F1518" s="331"/>
      <c r="G1518" s="256"/>
      <c r="H1518" s="256"/>
      <c r="I1518" s="332"/>
      <c r="J1518" s="333"/>
      <c r="K1518" s="334"/>
      <c r="L1518" s="484"/>
    </row>
    <row r="1519" spans="1:12" ht="15" thickBot="1">
      <c r="A1519" s="328"/>
      <c r="B1519" s="257"/>
      <c r="C1519" s="257"/>
      <c r="D1519" s="329"/>
      <c r="E1519" s="330"/>
      <c r="F1519" s="331"/>
      <c r="G1519" s="256"/>
      <c r="H1519" s="256"/>
      <c r="I1519" s="332"/>
      <c r="J1519" s="333"/>
      <c r="K1519" s="334"/>
      <c r="L1519" s="484"/>
    </row>
    <row r="1520" spans="1:12" ht="15" thickBot="1">
      <c r="A1520" s="328"/>
      <c r="B1520" s="257"/>
      <c r="C1520" s="257"/>
      <c r="D1520" s="329"/>
      <c r="E1520" s="330"/>
      <c r="F1520" s="331"/>
      <c r="G1520" s="256"/>
      <c r="H1520" s="256"/>
      <c r="I1520" s="332"/>
      <c r="J1520" s="333"/>
      <c r="K1520" s="334"/>
      <c r="L1520" s="484"/>
    </row>
    <row r="1521" spans="1:12" ht="15" thickBot="1">
      <c r="A1521" s="328"/>
      <c r="B1521" s="257"/>
      <c r="C1521" s="257"/>
      <c r="D1521" s="329"/>
      <c r="E1521" s="330"/>
      <c r="F1521" s="331"/>
      <c r="G1521" s="256"/>
      <c r="H1521" s="256"/>
      <c r="I1521" s="332"/>
      <c r="J1521" s="333"/>
      <c r="K1521" s="334"/>
      <c r="L1521" s="484"/>
    </row>
    <row r="1522" spans="1:12" ht="15" thickBot="1">
      <c r="A1522" s="328"/>
      <c r="B1522" s="257"/>
      <c r="C1522" s="257"/>
      <c r="D1522" s="329"/>
      <c r="E1522" s="330"/>
      <c r="F1522" s="331"/>
      <c r="G1522" s="256"/>
      <c r="H1522" s="256"/>
      <c r="I1522" s="332"/>
      <c r="J1522" s="333"/>
      <c r="K1522" s="334"/>
      <c r="L1522" s="484"/>
    </row>
    <row r="1523" spans="1:12" ht="15" thickBot="1">
      <c r="A1523" s="328"/>
      <c r="B1523" s="257"/>
      <c r="C1523" s="257"/>
      <c r="D1523" s="329"/>
      <c r="E1523" s="330"/>
      <c r="F1523" s="331"/>
      <c r="G1523" s="256"/>
      <c r="H1523" s="256"/>
      <c r="I1523" s="332"/>
      <c r="J1523" s="333"/>
      <c r="K1523" s="334"/>
      <c r="L1523" s="484"/>
    </row>
    <row r="1524" spans="1:12" ht="15" thickBot="1">
      <c r="A1524" s="328"/>
      <c r="B1524" s="257"/>
      <c r="C1524" s="257"/>
      <c r="D1524" s="329"/>
      <c r="E1524" s="330"/>
      <c r="F1524" s="331"/>
      <c r="G1524" s="256"/>
      <c r="H1524" s="256"/>
      <c r="I1524" s="332"/>
      <c r="J1524" s="333"/>
      <c r="K1524" s="334"/>
      <c r="L1524" s="484"/>
    </row>
    <row r="1525" spans="1:12" ht="15" thickBot="1">
      <c r="A1525" s="328"/>
      <c r="B1525" s="257"/>
      <c r="C1525" s="257"/>
      <c r="D1525" s="329"/>
      <c r="E1525" s="330"/>
      <c r="F1525" s="331"/>
      <c r="G1525" s="256"/>
      <c r="H1525" s="256"/>
      <c r="I1525" s="332"/>
      <c r="J1525" s="333"/>
      <c r="K1525" s="334"/>
      <c r="L1525" s="484"/>
    </row>
    <row r="1526" spans="1:12" ht="15" thickBot="1">
      <c r="A1526" s="328"/>
      <c r="B1526" s="257"/>
      <c r="C1526" s="257"/>
      <c r="D1526" s="329"/>
      <c r="E1526" s="330"/>
      <c r="F1526" s="331"/>
      <c r="G1526" s="256"/>
      <c r="H1526" s="256"/>
      <c r="I1526" s="332"/>
      <c r="J1526" s="333"/>
      <c r="K1526" s="334"/>
      <c r="L1526" s="484"/>
    </row>
    <row r="1527" spans="1:12" ht="15" thickBot="1">
      <c r="A1527" s="328"/>
      <c r="B1527" s="257"/>
      <c r="C1527" s="257"/>
      <c r="D1527" s="329"/>
      <c r="E1527" s="330"/>
      <c r="F1527" s="331"/>
      <c r="G1527" s="256"/>
      <c r="H1527" s="256"/>
      <c r="I1527" s="332"/>
      <c r="J1527" s="333"/>
      <c r="K1527" s="334"/>
      <c r="L1527" s="484"/>
    </row>
    <row r="1528" spans="1:12" ht="15" thickBot="1">
      <c r="A1528" s="328"/>
      <c r="B1528" s="257"/>
      <c r="C1528" s="257"/>
      <c r="D1528" s="329"/>
      <c r="E1528" s="330"/>
      <c r="F1528" s="331"/>
      <c r="G1528" s="256"/>
      <c r="H1528" s="256"/>
      <c r="I1528" s="332"/>
      <c r="J1528" s="333"/>
      <c r="K1528" s="334"/>
      <c r="L1528" s="484"/>
    </row>
    <row r="1529" spans="1:12" ht="15" thickBot="1">
      <c r="A1529" s="328"/>
      <c r="B1529" s="257"/>
      <c r="C1529" s="257"/>
      <c r="D1529" s="329"/>
      <c r="E1529" s="330"/>
      <c r="F1529" s="331"/>
      <c r="G1529" s="256"/>
      <c r="H1529" s="256"/>
      <c r="I1529" s="332"/>
      <c r="J1529" s="333"/>
      <c r="K1529" s="334"/>
      <c r="L1529" s="484"/>
    </row>
    <row r="1530" spans="1:12" ht="15" thickBot="1">
      <c r="A1530" s="328"/>
      <c r="B1530" s="257"/>
      <c r="C1530" s="257"/>
      <c r="D1530" s="329"/>
      <c r="E1530" s="330"/>
      <c r="F1530" s="331"/>
      <c r="G1530" s="256"/>
      <c r="H1530" s="256"/>
      <c r="I1530" s="332"/>
      <c r="J1530" s="333"/>
      <c r="K1530" s="334"/>
      <c r="L1530" s="484"/>
    </row>
    <row r="1531" spans="1:12" ht="15" thickBot="1">
      <c r="A1531" s="328"/>
      <c r="B1531" s="257"/>
      <c r="C1531" s="257"/>
      <c r="D1531" s="329"/>
      <c r="E1531" s="330"/>
      <c r="F1531" s="331"/>
      <c r="G1531" s="256"/>
      <c r="H1531" s="256"/>
      <c r="I1531" s="332"/>
      <c r="J1531" s="333"/>
      <c r="K1531" s="334"/>
      <c r="L1531" s="484"/>
    </row>
    <row r="1532" spans="1:12" ht="15" thickBot="1">
      <c r="A1532" s="328"/>
      <c r="B1532" s="257"/>
      <c r="C1532" s="257"/>
      <c r="D1532" s="329"/>
      <c r="E1532" s="330"/>
      <c r="F1532" s="331"/>
      <c r="G1532" s="256"/>
      <c r="H1532" s="256"/>
      <c r="I1532" s="332"/>
      <c r="J1532" s="333"/>
      <c r="K1532" s="334"/>
      <c r="L1532" s="484"/>
    </row>
    <row r="1533" spans="1:12" ht="15" thickBot="1">
      <c r="A1533" s="328"/>
      <c r="B1533" s="257"/>
      <c r="C1533" s="257"/>
      <c r="D1533" s="329"/>
      <c r="E1533" s="330"/>
      <c r="F1533" s="331"/>
      <c r="G1533" s="256"/>
      <c r="H1533" s="256"/>
      <c r="I1533" s="332"/>
      <c r="J1533" s="333"/>
      <c r="K1533" s="334"/>
      <c r="L1533" s="484"/>
    </row>
    <row r="1534" spans="1:12" ht="15" thickBot="1">
      <c r="A1534" s="328"/>
      <c r="B1534" s="257"/>
      <c r="C1534" s="257"/>
      <c r="D1534" s="329"/>
      <c r="E1534" s="330"/>
      <c r="F1534" s="331"/>
      <c r="G1534" s="256"/>
      <c r="H1534" s="256"/>
      <c r="I1534" s="332"/>
      <c r="J1534" s="333"/>
      <c r="K1534" s="334"/>
      <c r="L1534" s="484"/>
    </row>
    <row r="1535" spans="1:12" ht="15" thickBot="1">
      <c r="A1535" s="328"/>
      <c r="B1535" s="257"/>
      <c r="C1535" s="257"/>
      <c r="D1535" s="329"/>
      <c r="E1535" s="330"/>
      <c r="F1535" s="331"/>
      <c r="G1535" s="256"/>
      <c r="H1535" s="256"/>
      <c r="I1535" s="332"/>
      <c r="J1535" s="333"/>
      <c r="K1535" s="334"/>
      <c r="L1535" s="484"/>
    </row>
    <row r="1536" spans="1:12" ht="15" thickBot="1">
      <c r="A1536" s="328"/>
      <c r="B1536" s="257"/>
      <c r="C1536" s="257"/>
      <c r="D1536" s="329"/>
      <c r="E1536" s="330"/>
      <c r="F1536" s="331"/>
      <c r="G1536" s="256"/>
      <c r="H1536" s="256"/>
      <c r="I1536" s="332"/>
      <c r="J1536" s="333"/>
      <c r="K1536" s="334"/>
      <c r="L1536" s="484"/>
    </row>
    <row r="1537" spans="1:12" ht="15" thickBot="1">
      <c r="A1537" s="328"/>
      <c r="B1537" s="257"/>
      <c r="C1537" s="257"/>
      <c r="D1537" s="329"/>
      <c r="E1537" s="330"/>
      <c r="F1537" s="331"/>
      <c r="G1537" s="256"/>
      <c r="H1537" s="256"/>
      <c r="I1537" s="332"/>
      <c r="J1537" s="333"/>
      <c r="K1537" s="334"/>
      <c r="L1537" s="484"/>
    </row>
    <row r="1538" spans="1:12" ht="15" thickBot="1">
      <c r="A1538" s="328"/>
      <c r="B1538" s="257"/>
      <c r="C1538" s="257"/>
      <c r="D1538" s="329"/>
      <c r="E1538" s="330"/>
      <c r="F1538" s="331"/>
      <c r="G1538" s="256"/>
      <c r="H1538" s="256"/>
      <c r="I1538" s="332"/>
      <c r="J1538" s="333"/>
      <c r="K1538" s="334"/>
      <c r="L1538" s="484"/>
    </row>
    <row r="1539" spans="1:12" ht="15" thickBot="1">
      <c r="A1539" s="328"/>
      <c r="B1539" s="257"/>
      <c r="C1539" s="257"/>
      <c r="D1539" s="329"/>
      <c r="E1539" s="330"/>
      <c r="F1539" s="331"/>
      <c r="G1539" s="256"/>
      <c r="H1539" s="256"/>
      <c r="I1539" s="332"/>
      <c r="J1539" s="333"/>
      <c r="K1539" s="334"/>
      <c r="L1539" s="484"/>
    </row>
    <row r="1540" spans="1:12" ht="15" thickBot="1">
      <c r="A1540" s="328"/>
      <c r="B1540" s="257"/>
      <c r="C1540" s="257"/>
      <c r="D1540" s="329"/>
      <c r="E1540" s="330"/>
      <c r="F1540" s="331"/>
      <c r="G1540" s="256"/>
      <c r="H1540" s="256"/>
      <c r="I1540" s="332"/>
      <c r="J1540" s="333"/>
      <c r="K1540" s="334"/>
      <c r="L1540" s="484"/>
    </row>
    <row r="1541" spans="1:12" ht="15" thickBot="1">
      <c r="A1541" s="328"/>
      <c r="B1541" s="257"/>
      <c r="C1541" s="257"/>
      <c r="D1541" s="329"/>
      <c r="E1541" s="330"/>
      <c r="F1541" s="331"/>
      <c r="G1541" s="256"/>
      <c r="H1541" s="256"/>
      <c r="I1541" s="332"/>
      <c r="J1541" s="333"/>
      <c r="K1541" s="334"/>
      <c r="L1541" s="484"/>
    </row>
    <row r="1542" spans="1:12" ht="15" thickBot="1">
      <c r="A1542" s="328"/>
      <c r="B1542" s="257"/>
      <c r="C1542" s="257"/>
      <c r="D1542" s="329"/>
      <c r="E1542" s="330"/>
      <c r="F1542" s="331"/>
      <c r="G1542" s="256"/>
      <c r="H1542" s="256"/>
      <c r="I1542" s="332"/>
      <c r="J1542" s="333"/>
      <c r="K1542" s="334"/>
      <c r="L1542" s="484"/>
    </row>
    <row r="1543" spans="1:12" ht="15" thickBot="1">
      <c r="A1543" s="328"/>
      <c r="B1543" s="257"/>
      <c r="C1543" s="257"/>
      <c r="D1543" s="329"/>
      <c r="E1543" s="330"/>
      <c r="F1543" s="331"/>
      <c r="G1543" s="256"/>
      <c r="H1543" s="256"/>
      <c r="I1543" s="332"/>
      <c r="J1543" s="333"/>
      <c r="K1543" s="334"/>
      <c r="L1543" s="484"/>
    </row>
    <row r="1544" spans="1:12" ht="15" thickBot="1">
      <c r="A1544" s="328"/>
      <c r="B1544" s="257"/>
      <c r="C1544" s="257"/>
      <c r="D1544" s="329"/>
      <c r="E1544" s="330"/>
      <c r="F1544" s="331"/>
      <c r="G1544" s="256"/>
      <c r="H1544" s="256"/>
      <c r="I1544" s="332"/>
      <c r="J1544" s="333"/>
      <c r="K1544" s="334"/>
      <c r="L1544" s="484"/>
    </row>
    <row r="1545" spans="1:12" ht="15" thickBot="1">
      <c r="A1545" s="328"/>
      <c r="B1545" s="257"/>
      <c r="C1545" s="257"/>
      <c r="D1545" s="329"/>
      <c r="E1545" s="330"/>
      <c r="F1545" s="331"/>
      <c r="G1545" s="256"/>
      <c r="H1545" s="256"/>
      <c r="I1545" s="332"/>
      <c r="J1545" s="333"/>
      <c r="K1545" s="334"/>
      <c r="L1545" s="484"/>
    </row>
    <row r="1546" spans="1:12" ht="15" thickBot="1">
      <c r="A1546" s="328"/>
      <c r="B1546" s="257"/>
      <c r="C1546" s="257"/>
      <c r="D1546" s="329"/>
      <c r="E1546" s="330"/>
      <c r="F1546" s="331"/>
      <c r="G1546" s="256"/>
      <c r="H1546" s="256"/>
      <c r="I1546" s="332"/>
      <c r="J1546" s="333"/>
      <c r="K1546" s="334"/>
      <c r="L1546" s="484"/>
    </row>
    <row r="1547" spans="1:12" ht="15" thickBot="1">
      <c r="A1547" s="328"/>
      <c r="B1547" s="257"/>
      <c r="C1547" s="257"/>
      <c r="D1547" s="329"/>
      <c r="E1547" s="330"/>
      <c r="F1547" s="331"/>
      <c r="G1547" s="256"/>
      <c r="H1547" s="256"/>
      <c r="I1547" s="332"/>
      <c r="J1547" s="333"/>
      <c r="K1547" s="334"/>
      <c r="L1547" s="484"/>
    </row>
    <row r="1548" spans="1:12" ht="15" thickBot="1">
      <c r="A1548" s="328"/>
      <c r="B1548" s="257"/>
      <c r="C1548" s="257"/>
      <c r="D1548" s="329"/>
      <c r="E1548" s="330"/>
      <c r="F1548" s="331"/>
      <c r="G1548" s="256"/>
      <c r="H1548" s="256"/>
      <c r="I1548" s="332"/>
      <c r="J1548" s="333"/>
      <c r="K1548" s="334"/>
      <c r="L1548" s="484"/>
    </row>
    <row r="1549" spans="1:12" ht="15" thickBot="1">
      <c r="A1549" s="328"/>
      <c r="B1549" s="257"/>
      <c r="C1549" s="257"/>
      <c r="D1549" s="329"/>
      <c r="E1549" s="330"/>
      <c r="F1549" s="331"/>
      <c r="G1549" s="256"/>
      <c r="H1549" s="256"/>
      <c r="I1549" s="332"/>
      <c r="J1549" s="333"/>
      <c r="K1549" s="334"/>
      <c r="L1549" s="484"/>
    </row>
    <row r="1550" spans="1:12" ht="15" thickBot="1">
      <c r="A1550" s="328"/>
      <c r="B1550" s="257"/>
      <c r="C1550" s="257"/>
      <c r="D1550" s="329"/>
      <c r="E1550" s="330"/>
      <c r="F1550" s="331"/>
      <c r="G1550" s="256"/>
      <c r="H1550" s="256"/>
      <c r="I1550" s="332"/>
      <c r="J1550" s="333"/>
      <c r="K1550" s="334"/>
      <c r="L1550" s="484"/>
    </row>
    <row r="1551" spans="1:12" ht="15" thickBot="1">
      <c r="A1551" s="328"/>
      <c r="B1551" s="257"/>
      <c r="C1551" s="257"/>
      <c r="D1551" s="329"/>
      <c r="E1551" s="330"/>
      <c r="F1551" s="331"/>
      <c r="G1551" s="256"/>
      <c r="H1551" s="256"/>
      <c r="I1551" s="332"/>
      <c r="J1551" s="333"/>
      <c r="K1551" s="334"/>
      <c r="L1551" s="484"/>
    </row>
    <row r="1552" spans="1:12" ht="15" thickBot="1">
      <c r="A1552" s="328"/>
      <c r="B1552" s="257"/>
      <c r="C1552" s="257"/>
      <c r="D1552" s="329"/>
      <c r="E1552" s="330"/>
      <c r="F1552" s="331"/>
      <c r="G1552" s="256"/>
      <c r="H1552" s="256"/>
      <c r="I1552" s="332"/>
      <c r="J1552" s="333"/>
      <c r="K1552" s="334"/>
      <c r="L1552" s="484"/>
    </row>
    <row r="1553" spans="1:12" ht="15" thickBot="1">
      <c r="A1553" s="328"/>
      <c r="B1553" s="257"/>
      <c r="C1553" s="257"/>
      <c r="D1553" s="329"/>
      <c r="E1553" s="330"/>
      <c r="F1553" s="331"/>
      <c r="G1553" s="256"/>
      <c r="H1553" s="256"/>
      <c r="I1553" s="332"/>
      <c r="J1553" s="333"/>
      <c r="K1553" s="334"/>
      <c r="L1553" s="484"/>
    </row>
    <row r="1554" spans="1:12" ht="15" thickBot="1">
      <c r="A1554" s="328"/>
      <c r="B1554" s="257"/>
      <c r="C1554" s="257"/>
      <c r="D1554" s="329"/>
      <c r="E1554" s="330"/>
      <c r="F1554" s="331"/>
      <c r="G1554" s="256"/>
      <c r="H1554" s="256"/>
      <c r="I1554" s="332"/>
      <c r="J1554" s="333"/>
      <c r="K1554" s="334"/>
      <c r="L1554" s="484"/>
    </row>
    <row r="1555" spans="1:12" ht="15" thickBot="1">
      <c r="A1555" s="328"/>
      <c r="B1555" s="257"/>
      <c r="C1555" s="257"/>
      <c r="D1555" s="329"/>
      <c r="E1555" s="330"/>
      <c r="F1555" s="331"/>
      <c r="G1555" s="256"/>
      <c r="H1555" s="256"/>
      <c r="I1555" s="332"/>
      <c r="J1555" s="333"/>
      <c r="K1555" s="334"/>
      <c r="L1555" s="484"/>
    </row>
    <row r="1556" spans="1:12" ht="15" thickBot="1">
      <c r="A1556" s="328"/>
      <c r="B1556" s="257"/>
      <c r="C1556" s="257"/>
      <c r="D1556" s="329"/>
      <c r="E1556" s="330"/>
      <c r="F1556" s="331"/>
      <c r="G1556" s="256"/>
      <c r="H1556" s="256"/>
      <c r="I1556" s="332"/>
      <c r="J1556" s="333"/>
      <c r="K1556" s="334"/>
      <c r="L1556" s="484"/>
    </row>
    <row r="1557" spans="1:12" ht="15" thickBot="1">
      <c r="A1557" s="328"/>
      <c r="B1557" s="257"/>
      <c r="C1557" s="257"/>
      <c r="D1557" s="329"/>
      <c r="E1557" s="330"/>
      <c r="F1557" s="331"/>
      <c r="G1557" s="256"/>
      <c r="H1557" s="256"/>
      <c r="I1557" s="332"/>
      <c r="J1557" s="333"/>
      <c r="K1557" s="334"/>
      <c r="L1557" s="484"/>
    </row>
    <row r="1558" spans="1:12" ht="15" thickBot="1">
      <c r="A1558" s="328"/>
      <c r="B1558" s="257"/>
      <c r="C1558" s="257"/>
      <c r="D1558" s="329"/>
      <c r="E1558" s="330"/>
      <c r="F1558" s="331"/>
      <c r="G1558" s="256"/>
      <c r="H1558" s="256"/>
      <c r="I1558" s="332"/>
      <c r="J1558" s="333"/>
      <c r="K1558" s="334"/>
      <c r="L1558" s="484"/>
    </row>
    <row r="1559" spans="1:12" ht="15" thickBot="1">
      <c r="A1559" s="328"/>
      <c r="B1559" s="257"/>
      <c r="C1559" s="257"/>
      <c r="D1559" s="329"/>
      <c r="E1559" s="330"/>
      <c r="F1559" s="331"/>
      <c r="G1559" s="256"/>
      <c r="H1559" s="256"/>
      <c r="I1559" s="332"/>
      <c r="J1559" s="333"/>
      <c r="K1559" s="334"/>
      <c r="L1559" s="484"/>
    </row>
    <row r="1560" spans="1:12" ht="15" thickBot="1">
      <c r="A1560" s="328"/>
      <c r="B1560" s="257"/>
      <c r="C1560" s="257"/>
      <c r="D1560" s="329"/>
      <c r="E1560" s="330"/>
      <c r="F1560" s="331"/>
      <c r="G1560" s="256"/>
      <c r="H1560" s="256"/>
      <c r="I1560" s="332"/>
      <c r="J1560" s="333"/>
      <c r="K1560" s="334"/>
      <c r="L1560" s="484"/>
    </row>
    <row r="1561" spans="1:12" ht="15" thickBot="1">
      <c r="A1561" s="328"/>
      <c r="B1561" s="257"/>
      <c r="C1561" s="257"/>
      <c r="D1561" s="329"/>
      <c r="E1561" s="330"/>
      <c r="F1561" s="331"/>
      <c r="G1561" s="256"/>
      <c r="H1561" s="256"/>
      <c r="I1561" s="332"/>
      <c r="J1561" s="333"/>
      <c r="K1561" s="334"/>
      <c r="L1561" s="484"/>
    </row>
    <row r="1562" spans="1:12" ht="15" thickBot="1">
      <c r="A1562" s="328"/>
      <c r="B1562" s="257"/>
      <c r="C1562" s="257"/>
      <c r="D1562" s="329"/>
      <c r="E1562" s="330"/>
      <c r="F1562" s="331"/>
      <c r="G1562" s="256"/>
      <c r="H1562" s="256"/>
      <c r="I1562" s="332"/>
      <c r="J1562" s="333"/>
      <c r="K1562" s="334"/>
      <c r="L1562" s="484"/>
    </row>
    <row r="1563" spans="1:12" ht="15" thickBot="1">
      <c r="A1563" s="328"/>
      <c r="B1563" s="257"/>
      <c r="C1563" s="257"/>
      <c r="D1563" s="329"/>
      <c r="E1563" s="330"/>
      <c r="F1563" s="331"/>
      <c r="G1563" s="256"/>
      <c r="H1563" s="256"/>
      <c r="I1563" s="332"/>
      <c r="J1563" s="333"/>
      <c r="K1563" s="334"/>
      <c r="L1563" s="484"/>
    </row>
    <row r="1564" spans="1:12" ht="15" thickBot="1">
      <c r="A1564" s="328"/>
      <c r="B1564" s="257"/>
      <c r="C1564" s="257"/>
      <c r="D1564" s="329"/>
      <c r="E1564" s="330"/>
      <c r="F1564" s="331"/>
      <c r="G1564" s="256"/>
      <c r="H1564" s="256"/>
      <c r="I1564" s="332"/>
      <c r="J1564" s="333"/>
      <c r="K1564" s="334"/>
      <c r="L1564" s="484"/>
    </row>
    <row r="1565" spans="1:12" ht="15" thickBot="1">
      <c r="A1565" s="328"/>
      <c r="B1565" s="257"/>
      <c r="C1565" s="257"/>
      <c r="D1565" s="329"/>
      <c r="E1565" s="330"/>
      <c r="F1565" s="331"/>
      <c r="G1565" s="256"/>
      <c r="H1565" s="256"/>
      <c r="I1565" s="332"/>
      <c r="J1565" s="333"/>
      <c r="K1565" s="334"/>
      <c r="L1565" s="484"/>
    </row>
    <row r="1566" spans="1:12" ht="15" thickBot="1">
      <c r="A1566" s="328"/>
      <c r="B1566" s="257"/>
      <c r="C1566" s="257"/>
      <c r="D1566" s="329"/>
      <c r="E1566" s="330"/>
      <c r="F1566" s="331"/>
      <c r="G1566" s="256"/>
      <c r="H1566" s="256"/>
      <c r="I1566" s="332"/>
      <c r="J1566" s="333"/>
      <c r="K1566" s="334"/>
      <c r="L1566" s="484"/>
    </row>
    <row r="1567" spans="1:12" ht="15" thickBot="1">
      <c r="A1567" s="328"/>
      <c r="B1567" s="257"/>
      <c r="C1567" s="257"/>
      <c r="D1567" s="329"/>
      <c r="E1567" s="330"/>
      <c r="F1567" s="331"/>
      <c r="G1567" s="256"/>
      <c r="H1567" s="256"/>
      <c r="I1567" s="332"/>
      <c r="J1567" s="333"/>
      <c r="K1567" s="334"/>
      <c r="L1567" s="484"/>
    </row>
    <row r="1568" spans="1:12" ht="15" thickBot="1">
      <c r="A1568" s="328"/>
      <c r="B1568" s="257"/>
      <c r="C1568" s="257"/>
      <c r="D1568" s="329"/>
      <c r="E1568" s="330"/>
      <c r="F1568" s="331"/>
      <c r="G1568" s="256"/>
      <c r="H1568" s="256"/>
      <c r="I1568" s="332"/>
      <c r="J1568" s="333"/>
      <c r="K1568" s="334"/>
      <c r="L1568" s="484"/>
    </row>
    <row r="1569" spans="1:12" ht="15" thickBot="1">
      <c r="A1569" s="328"/>
      <c r="B1569" s="257"/>
      <c r="C1569" s="257"/>
      <c r="D1569" s="329"/>
      <c r="E1569" s="330"/>
      <c r="F1569" s="331"/>
      <c r="G1569" s="256"/>
      <c r="H1569" s="256"/>
      <c r="I1569" s="332"/>
      <c r="J1569" s="333"/>
      <c r="K1569" s="334"/>
      <c r="L1569" s="484"/>
    </row>
    <row r="1570" spans="1:12" ht="15" thickBot="1">
      <c r="A1570" s="328"/>
      <c r="B1570" s="257"/>
      <c r="C1570" s="257"/>
      <c r="D1570" s="329"/>
      <c r="E1570" s="330"/>
      <c r="F1570" s="331"/>
      <c r="G1570" s="256"/>
      <c r="H1570" s="256"/>
      <c r="I1570" s="332"/>
      <c r="J1570" s="333"/>
      <c r="K1570" s="334"/>
      <c r="L1570" s="484"/>
    </row>
    <row r="1571" spans="1:12" ht="15" thickBot="1">
      <c r="A1571" s="328"/>
      <c r="B1571" s="257"/>
      <c r="C1571" s="257"/>
      <c r="D1571" s="329"/>
      <c r="E1571" s="330"/>
      <c r="F1571" s="331"/>
      <c r="G1571" s="256"/>
      <c r="H1571" s="256"/>
      <c r="I1571" s="332"/>
      <c r="J1571" s="333"/>
      <c r="K1571" s="334"/>
      <c r="L1571" s="484"/>
    </row>
    <row r="1572" spans="1:12" ht="15" thickBot="1">
      <c r="A1572" s="328"/>
      <c r="B1572" s="257"/>
      <c r="C1572" s="257"/>
      <c r="D1572" s="329"/>
      <c r="E1572" s="330"/>
      <c r="F1572" s="331"/>
      <c r="G1572" s="256"/>
      <c r="H1572" s="256"/>
      <c r="I1572" s="332"/>
      <c r="J1572" s="333"/>
      <c r="K1572" s="334"/>
      <c r="L1572" s="484"/>
    </row>
    <row r="1573" spans="1:12" ht="15" thickBot="1">
      <c r="A1573" s="328"/>
      <c r="B1573" s="257"/>
      <c r="C1573" s="257"/>
      <c r="D1573" s="329"/>
      <c r="E1573" s="330"/>
      <c r="F1573" s="331"/>
      <c r="G1573" s="256"/>
      <c r="H1573" s="256"/>
      <c r="I1573" s="332"/>
      <c r="J1573" s="333"/>
      <c r="K1573" s="334"/>
      <c r="L1573" s="484"/>
    </row>
    <row r="1574" spans="1:12" ht="15" thickBot="1">
      <c r="A1574" s="328"/>
      <c r="B1574" s="257"/>
      <c r="C1574" s="257"/>
      <c r="D1574" s="329"/>
      <c r="E1574" s="330"/>
      <c r="F1574" s="331"/>
      <c r="G1574" s="256"/>
      <c r="H1574" s="256"/>
      <c r="I1574" s="332"/>
      <c r="J1574" s="333"/>
      <c r="K1574" s="334"/>
      <c r="L1574" s="484"/>
    </row>
    <row r="1575" spans="1:12" ht="15" thickBot="1">
      <c r="A1575" s="328"/>
      <c r="B1575" s="257"/>
      <c r="C1575" s="257"/>
      <c r="D1575" s="329"/>
      <c r="E1575" s="330"/>
      <c r="F1575" s="331"/>
      <c r="G1575" s="256"/>
      <c r="H1575" s="256"/>
      <c r="I1575" s="332"/>
      <c r="J1575" s="333"/>
      <c r="K1575" s="334"/>
      <c r="L1575" s="484"/>
    </row>
    <row r="1576" spans="1:12" ht="15" thickBot="1">
      <c r="A1576" s="328"/>
      <c r="B1576" s="257"/>
      <c r="C1576" s="257"/>
      <c r="D1576" s="329"/>
      <c r="E1576" s="330"/>
      <c r="F1576" s="331"/>
      <c r="G1576" s="256"/>
      <c r="H1576" s="256"/>
      <c r="I1576" s="332"/>
      <c r="J1576" s="333"/>
      <c r="K1576" s="334"/>
      <c r="L1576" s="484"/>
    </row>
    <row r="1577" spans="1:12" ht="15" thickBot="1">
      <c r="A1577" s="328"/>
      <c r="B1577" s="257"/>
      <c r="C1577" s="257"/>
      <c r="D1577" s="329"/>
      <c r="E1577" s="330"/>
      <c r="F1577" s="331"/>
      <c r="G1577" s="256"/>
      <c r="H1577" s="256"/>
      <c r="I1577" s="332"/>
      <c r="J1577" s="333"/>
      <c r="K1577" s="334"/>
      <c r="L1577" s="484"/>
    </row>
    <row r="1578" spans="1:12" ht="15" thickBot="1">
      <c r="A1578" s="328"/>
      <c r="B1578" s="257"/>
      <c r="C1578" s="257"/>
      <c r="D1578" s="329"/>
      <c r="E1578" s="330"/>
      <c r="F1578" s="331"/>
      <c r="G1578" s="256"/>
      <c r="H1578" s="256"/>
      <c r="I1578" s="332"/>
      <c r="J1578" s="333"/>
      <c r="K1578" s="334"/>
      <c r="L1578" s="484"/>
    </row>
    <row r="1579" spans="1:12" ht="15" thickBot="1">
      <c r="A1579" s="328"/>
      <c r="B1579" s="257"/>
      <c r="C1579" s="257"/>
      <c r="D1579" s="329"/>
      <c r="E1579" s="330"/>
      <c r="F1579" s="331"/>
      <c r="G1579" s="256"/>
      <c r="H1579" s="256"/>
      <c r="I1579" s="332"/>
      <c r="J1579" s="333"/>
      <c r="K1579" s="334"/>
      <c r="L1579" s="484"/>
    </row>
    <row r="1580" spans="1:12" ht="15" thickBot="1">
      <c r="A1580" s="328"/>
      <c r="B1580" s="257"/>
      <c r="C1580" s="257"/>
      <c r="D1580" s="329"/>
      <c r="E1580" s="330"/>
      <c r="F1580" s="331"/>
      <c r="G1580" s="256"/>
      <c r="H1580" s="256"/>
      <c r="I1580" s="332"/>
      <c r="J1580" s="333"/>
      <c r="K1580" s="334"/>
      <c r="L1580" s="484"/>
    </row>
    <row r="1581" spans="1:12" ht="15" thickBot="1">
      <c r="A1581" s="328"/>
      <c r="B1581" s="257"/>
      <c r="C1581" s="257"/>
      <c r="D1581" s="329"/>
      <c r="E1581" s="330"/>
      <c r="F1581" s="331"/>
      <c r="G1581" s="256"/>
      <c r="H1581" s="256"/>
      <c r="I1581" s="332"/>
      <c r="J1581" s="333"/>
      <c r="K1581" s="334"/>
      <c r="L1581" s="484"/>
    </row>
    <row r="1582" spans="1:12" ht="15" thickBot="1">
      <c r="A1582" s="328"/>
      <c r="B1582" s="257"/>
      <c r="C1582" s="257"/>
      <c r="D1582" s="329"/>
      <c r="E1582" s="330"/>
      <c r="F1582" s="331"/>
      <c r="G1582" s="256"/>
      <c r="H1582" s="256"/>
      <c r="I1582" s="332"/>
      <c r="J1582" s="333"/>
      <c r="K1582" s="334"/>
      <c r="L1582" s="484"/>
    </row>
    <row r="1583" spans="1:12" ht="15" thickBot="1">
      <c r="A1583" s="328"/>
      <c r="B1583" s="257"/>
      <c r="C1583" s="257"/>
      <c r="D1583" s="329"/>
      <c r="E1583" s="330"/>
      <c r="F1583" s="331"/>
      <c r="G1583" s="256"/>
      <c r="H1583" s="256"/>
      <c r="I1583" s="332"/>
      <c r="J1583" s="333"/>
      <c r="K1583" s="334"/>
      <c r="L1583" s="484"/>
    </row>
    <row r="1584" spans="1:12" ht="15" thickBot="1">
      <c r="A1584" s="328"/>
      <c r="B1584" s="257"/>
      <c r="C1584" s="257"/>
      <c r="D1584" s="329"/>
      <c r="E1584" s="330"/>
      <c r="F1584" s="331"/>
      <c r="G1584" s="256"/>
      <c r="H1584" s="256"/>
      <c r="I1584" s="332"/>
      <c r="J1584" s="333"/>
      <c r="K1584" s="334"/>
      <c r="L1584" s="484"/>
    </row>
    <row r="1585" spans="1:12" ht="15" thickBot="1">
      <c r="A1585" s="328"/>
      <c r="B1585" s="257"/>
      <c r="C1585" s="257"/>
      <c r="D1585" s="329"/>
      <c r="E1585" s="330"/>
      <c r="F1585" s="331"/>
      <c r="G1585" s="256"/>
      <c r="H1585" s="256"/>
      <c r="I1585" s="332"/>
      <c r="J1585" s="333"/>
      <c r="K1585" s="334"/>
      <c r="L1585" s="484"/>
    </row>
    <row r="1586" spans="1:12" ht="15" thickBot="1">
      <c r="A1586" s="328"/>
      <c r="B1586" s="257"/>
      <c r="C1586" s="257"/>
      <c r="D1586" s="329"/>
      <c r="E1586" s="330"/>
      <c r="F1586" s="331"/>
      <c r="G1586" s="256"/>
      <c r="H1586" s="256"/>
      <c r="I1586" s="332"/>
      <c r="J1586" s="333"/>
      <c r="K1586" s="334"/>
      <c r="L1586" s="484"/>
    </row>
    <row r="1587" spans="1:12" ht="15" thickBot="1">
      <c r="A1587" s="328"/>
      <c r="B1587" s="257"/>
      <c r="C1587" s="257"/>
      <c r="D1587" s="329"/>
      <c r="E1587" s="330"/>
      <c r="F1587" s="331"/>
      <c r="G1587" s="256"/>
      <c r="H1587" s="256"/>
      <c r="I1587" s="332"/>
      <c r="J1587" s="333"/>
      <c r="K1587" s="334"/>
      <c r="L1587" s="484"/>
    </row>
    <row r="1588" spans="1:12" ht="15" thickBot="1">
      <c r="A1588" s="328"/>
      <c r="B1588" s="257"/>
      <c r="C1588" s="257"/>
      <c r="D1588" s="329"/>
      <c r="E1588" s="330"/>
      <c r="F1588" s="331"/>
      <c r="G1588" s="256"/>
      <c r="H1588" s="256"/>
      <c r="I1588" s="332"/>
      <c r="J1588" s="333"/>
      <c r="K1588" s="334"/>
      <c r="L1588" s="484"/>
    </row>
    <row r="1589" spans="1:12" ht="15" thickBot="1">
      <c r="A1589" s="328"/>
      <c r="B1589" s="257"/>
      <c r="C1589" s="257"/>
      <c r="D1589" s="329"/>
      <c r="E1589" s="330"/>
      <c r="F1589" s="331"/>
      <c r="G1589" s="256"/>
      <c r="H1589" s="256"/>
      <c r="I1589" s="332"/>
      <c r="J1589" s="333"/>
      <c r="K1589" s="334"/>
      <c r="L1589" s="484"/>
    </row>
    <row r="1590" spans="1:12" ht="15" thickBot="1">
      <c r="A1590" s="328"/>
      <c r="B1590" s="257"/>
      <c r="C1590" s="257"/>
      <c r="D1590" s="329"/>
      <c r="E1590" s="330"/>
      <c r="F1590" s="331"/>
      <c r="G1590" s="256"/>
      <c r="H1590" s="256"/>
      <c r="I1590" s="332"/>
      <c r="J1590" s="333"/>
      <c r="K1590" s="334"/>
      <c r="L1590" s="484"/>
    </row>
    <row r="1591" spans="1:12" ht="15" thickBot="1">
      <c r="A1591" s="328"/>
      <c r="B1591" s="257"/>
      <c r="C1591" s="257"/>
      <c r="D1591" s="329"/>
      <c r="E1591" s="330"/>
      <c r="F1591" s="331"/>
      <c r="G1591" s="256"/>
      <c r="H1591" s="256"/>
      <c r="I1591" s="332"/>
      <c r="J1591" s="333"/>
      <c r="K1591" s="334"/>
      <c r="L1591" s="484"/>
    </row>
    <row r="1592" spans="1:12" ht="15" thickBot="1">
      <c r="A1592" s="328"/>
      <c r="B1592" s="257"/>
      <c r="C1592" s="257"/>
      <c r="D1592" s="329"/>
      <c r="E1592" s="330"/>
      <c r="F1592" s="331"/>
      <c r="G1592" s="256"/>
      <c r="H1592" s="256"/>
      <c r="I1592" s="332"/>
      <c r="J1592" s="333"/>
      <c r="K1592" s="334"/>
      <c r="L1592" s="484"/>
    </row>
    <row r="1593" spans="1:12" ht="15" thickBot="1">
      <c r="A1593" s="328"/>
      <c r="B1593" s="257"/>
      <c r="C1593" s="257"/>
      <c r="D1593" s="329"/>
      <c r="E1593" s="330"/>
      <c r="F1593" s="331"/>
      <c r="G1593" s="256"/>
      <c r="H1593" s="256"/>
      <c r="I1593" s="332"/>
      <c r="J1593" s="333"/>
      <c r="K1593" s="334"/>
      <c r="L1593" s="484"/>
    </row>
    <row r="1594" spans="1:12" ht="15" thickBot="1">
      <c r="A1594" s="328"/>
      <c r="B1594" s="257"/>
      <c r="C1594" s="257"/>
      <c r="D1594" s="329"/>
      <c r="E1594" s="330"/>
      <c r="F1594" s="331"/>
      <c r="G1594" s="256"/>
      <c r="H1594" s="256"/>
      <c r="I1594" s="332"/>
      <c r="J1594" s="333"/>
      <c r="K1594" s="334"/>
      <c r="L1594" s="484"/>
    </row>
    <row r="1595" spans="1:12" ht="15" thickBot="1">
      <c r="A1595" s="328"/>
      <c r="B1595" s="257"/>
      <c r="C1595" s="257"/>
      <c r="D1595" s="329"/>
      <c r="E1595" s="330"/>
      <c r="F1595" s="331"/>
      <c r="G1595" s="256"/>
      <c r="H1595" s="256"/>
      <c r="I1595" s="332"/>
      <c r="J1595" s="333"/>
      <c r="K1595" s="334"/>
      <c r="L1595" s="484"/>
    </row>
    <row r="1596" spans="1:12" ht="15" thickBot="1">
      <c r="A1596" s="328"/>
      <c r="B1596" s="257"/>
      <c r="C1596" s="257"/>
      <c r="D1596" s="329"/>
      <c r="E1596" s="330"/>
      <c r="F1596" s="331"/>
      <c r="G1596" s="256"/>
      <c r="H1596" s="256"/>
      <c r="I1596" s="332"/>
      <c r="J1596" s="333"/>
      <c r="K1596" s="334"/>
      <c r="L1596" s="484"/>
    </row>
    <row r="1597" spans="1:12" ht="15" thickBot="1">
      <c r="A1597" s="328"/>
      <c r="B1597" s="257"/>
      <c r="C1597" s="257"/>
      <c r="D1597" s="329"/>
      <c r="E1597" s="330"/>
      <c r="F1597" s="331"/>
      <c r="G1597" s="256"/>
      <c r="H1597" s="256"/>
      <c r="I1597" s="332"/>
      <c r="J1597" s="333"/>
      <c r="K1597" s="334"/>
      <c r="L1597" s="484"/>
    </row>
    <row r="1598" spans="1:12" ht="15" thickBot="1">
      <c r="A1598" s="328"/>
      <c r="B1598" s="257"/>
      <c r="C1598" s="257"/>
      <c r="D1598" s="329"/>
      <c r="E1598" s="330"/>
      <c r="F1598" s="331"/>
      <c r="G1598" s="256"/>
      <c r="H1598" s="256"/>
      <c r="I1598" s="332"/>
      <c r="J1598" s="333"/>
      <c r="K1598" s="334"/>
      <c r="L1598" s="484"/>
    </row>
    <row r="1599" spans="1:12" ht="15" thickBot="1">
      <c r="A1599" s="328"/>
      <c r="B1599" s="257"/>
      <c r="C1599" s="257"/>
      <c r="D1599" s="329"/>
      <c r="E1599" s="330"/>
      <c r="F1599" s="331"/>
      <c r="G1599" s="256"/>
      <c r="H1599" s="256"/>
      <c r="I1599" s="332"/>
      <c r="J1599" s="333"/>
      <c r="K1599" s="334"/>
      <c r="L1599" s="484"/>
    </row>
    <row r="1600" spans="1:12" ht="15" thickBot="1">
      <c r="A1600" s="328"/>
      <c r="B1600" s="257"/>
      <c r="C1600" s="257"/>
      <c r="D1600" s="329"/>
      <c r="E1600" s="330"/>
      <c r="F1600" s="331"/>
      <c r="G1600" s="256"/>
      <c r="H1600" s="256"/>
      <c r="I1600" s="332"/>
      <c r="J1600" s="333"/>
      <c r="K1600" s="334"/>
      <c r="L1600" s="484"/>
    </row>
    <row r="1601" spans="1:12" ht="15" thickBot="1">
      <c r="A1601" s="328"/>
      <c r="B1601" s="257"/>
      <c r="C1601" s="257"/>
      <c r="D1601" s="329"/>
      <c r="E1601" s="330"/>
      <c r="F1601" s="331"/>
      <c r="G1601" s="256"/>
      <c r="H1601" s="256"/>
      <c r="I1601" s="332"/>
      <c r="J1601" s="333"/>
      <c r="K1601" s="334"/>
      <c r="L1601" s="484"/>
    </row>
    <row r="1602" spans="1:12" ht="15" thickBot="1">
      <c r="A1602" s="328"/>
      <c r="B1602" s="257"/>
      <c r="C1602" s="257"/>
      <c r="D1602" s="329"/>
      <c r="E1602" s="330"/>
      <c r="F1602" s="331"/>
      <c r="G1602" s="256"/>
      <c r="H1602" s="256"/>
      <c r="I1602" s="332"/>
      <c r="J1602" s="333"/>
      <c r="K1602" s="334"/>
      <c r="L1602" s="484"/>
    </row>
    <row r="1603" spans="1:12" ht="15" thickBot="1">
      <c r="A1603" s="328"/>
      <c r="B1603" s="257"/>
      <c r="C1603" s="257"/>
      <c r="D1603" s="329"/>
      <c r="E1603" s="330"/>
      <c r="F1603" s="331"/>
      <c r="G1603" s="256"/>
      <c r="H1603" s="256"/>
      <c r="I1603" s="332"/>
      <c r="J1603" s="333"/>
      <c r="K1603" s="334"/>
      <c r="L1603" s="484"/>
    </row>
    <row r="1604" spans="1:12" ht="15" thickBot="1">
      <c r="A1604" s="328"/>
      <c r="B1604" s="257"/>
      <c r="C1604" s="257"/>
      <c r="D1604" s="329"/>
      <c r="E1604" s="330"/>
      <c r="F1604" s="331"/>
      <c r="G1604" s="256"/>
      <c r="H1604" s="256"/>
      <c r="I1604" s="332"/>
      <c r="J1604" s="333"/>
      <c r="K1604" s="334"/>
      <c r="L1604" s="484"/>
    </row>
    <row r="1605" spans="1:12" ht="15" thickBot="1">
      <c r="A1605" s="328"/>
      <c r="B1605" s="257"/>
      <c r="C1605" s="257"/>
      <c r="D1605" s="329"/>
      <c r="E1605" s="330"/>
      <c r="F1605" s="331"/>
      <c r="G1605" s="256"/>
      <c r="H1605" s="256"/>
      <c r="I1605" s="332"/>
      <c r="J1605" s="333"/>
      <c r="K1605" s="334"/>
      <c r="L1605" s="484"/>
    </row>
    <row r="1606" spans="1:12" ht="15" thickBot="1">
      <c r="A1606" s="328"/>
      <c r="B1606" s="257"/>
      <c r="C1606" s="257"/>
      <c r="D1606" s="329"/>
      <c r="E1606" s="330"/>
      <c r="F1606" s="331"/>
      <c r="G1606" s="256"/>
      <c r="H1606" s="256"/>
      <c r="I1606" s="332"/>
      <c r="J1606" s="333"/>
      <c r="K1606" s="334"/>
      <c r="L1606" s="484"/>
    </row>
    <row r="1607" spans="1:12" ht="15" thickBot="1">
      <c r="A1607" s="328"/>
      <c r="B1607" s="257"/>
      <c r="C1607" s="257"/>
      <c r="D1607" s="329"/>
      <c r="E1607" s="330"/>
      <c r="F1607" s="331"/>
      <c r="G1607" s="256"/>
      <c r="H1607" s="256"/>
      <c r="I1607" s="332"/>
      <c r="J1607" s="333"/>
      <c r="K1607" s="334"/>
      <c r="L1607" s="484"/>
    </row>
    <row r="1608" spans="1:12" ht="15" thickBot="1">
      <c r="A1608" s="328"/>
      <c r="B1608" s="257"/>
      <c r="C1608" s="257"/>
      <c r="D1608" s="329"/>
      <c r="E1608" s="330"/>
      <c r="F1608" s="331"/>
      <c r="G1608" s="256"/>
      <c r="H1608" s="256"/>
      <c r="I1608" s="332"/>
      <c r="J1608" s="333"/>
      <c r="K1608" s="334"/>
      <c r="L1608" s="484"/>
    </row>
    <row r="1609" spans="1:12" ht="15" thickBot="1">
      <c r="A1609" s="328"/>
      <c r="B1609" s="257"/>
      <c r="C1609" s="257"/>
      <c r="D1609" s="329"/>
      <c r="E1609" s="330"/>
      <c r="F1609" s="331"/>
      <c r="G1609" s="256"/>
      <c r="H1609" s="256"/>
      <c r="I1609" s="332"/>
      <c r="J1609" s="333"/>
      <c r="K1609" s="334"/>
      <c r="L1609" s="484"/>
    </row>
    <row r="1610" spans="1:12" ht="15" thickBot="1">
      <c r="A1610" s="328"/>
      <c r="B1610" s="257"/>
      <c r="C1610" s="257"/>
      <c r="D1610" s="329"/>
      <c r="E1610" s="330"/>
      <c r="F1610" s="331"/>
      <c r="G1610" s="256"/>
      <c r="H1610" s="256"/>
      <c r="I1610" s="332"/>
      <c r="J1610" s="333"/>
      <c r="K1610" s="334"/>
      <c r="L1610" s="484"/>
    </row>
    <row r="1611" spans="1:12" ht="15" thickBot="1">
      <c r="A1611" s="328"/>
      <c r="B1611" s="257"/>
      <c r="C1611" s="257"/>
      <c r="D1611" s="329"/>
      <c r="E1611" s="330"/>
      <c r="F1611" s="331"/>
      <c r="G1611" s="256"/>
      <c r="H1611" s="256"/>
      <c r="I1611" s="332"/>
      <c r="J1611" s="333"/>
      <c r="K1611" s="334"/>
      <c r="L1611" s="484"/>
    </row>
    <row r="1612" spans="1:12" ht="15" thickBot="1">
      <c r="A1612" s="328"/>
      <c r="B1612" s="257"/>
      <c r="C1612" s="257"/>
      <c r="D1612" s="329"/>
      <c r="E1612" s="330"/>
      <c r="F1612" s="331"/>
      <c r="G1612" s="256"/>
      <c r="H1612" s="256"/>
      <c r="I1612" s="332"/>
      <c r="J1612" s="333"/>
      <c r="K1612" s="334"/>
      <c r="L1612" s="484"/>
    </row>
    <row r="1613" spans="1:12" ht="15" thickBot="1">
      <c r="A1613" s="328"/>
      <c r="B1613" s="257"/>
      <c r="C1613" s="257"/>
      <c r="D1613" s="329"/>
      <c r="E1613" s="330"/>
      <c r="F1613" s="331"/>
      <c r="G1613" s="256"/>
      <c r="H1613" s="256"/>
      <c r="I1613" s="332"/>
      <c r="J1613" s="333"/>
      <c r="K1613" s="334"/>
      <c r="L1613" s="484"/>
    </row>
    <row r="1614" spans="1:12" ht="15" thickBot="1">
      <c r="A1614" s="328"/>
      <c r="B1614" s="257"/>
      <c r="C1614" s="257"/>
      <c r="D1614" s="329"/>
      <c r="E1614" s="330"/>
      <c r="F1614" s="331"/>
      <c r="G1614" s="256"/>
      <c r="H1614" s="256"/>
      <c r="I1614" s="332"/>
      <c r="J1614" s="333"/>
      <c r="K1614" s="334"/>
      <c r="L1614" s="484"/>
    </row>
    <row r="1615" spans="1:12" ht="15" thickBot="1">
      <c r="A1615" s="328"/>
      <c r="B1615" s="257"/>
      <c r="C1615" s="257"/>
      <c r="D1615" s="329"/>
      <c r="E1615" s="330"/>
      <c r="F1615" s="331"/>
      <c r="G1615" s="256"/>
      <c r="H1615" s="256"/>
      <c r="I1615" s="332"/>
      <c r="J1615" s="333"/>
      <c r="K1615" s="334"/>
      <c r="L1615" s="484"/>
    </row>
    <row r="1616" spans="1:12" ht="15" thickBot="1">
      <c r="A1616" s="328"/>
      <c r="B1616" s="257"/>
      <c r="C1616" s="257"/>
      <c r="D1616" s="329"/>
      <c r="E1616" s="330"/>
      <c r="F1616" s="331"/>
      <c r="G1616" s="256"/>
      <c r="H1616" s="256"/>
      <c r="I1616" s="332"/>
      <c r="J1616" s="333"/>
      <c r="K1616" s="334"/>
      <c r="L1616" s="484"/>
    </row>
    <row r="1617" spans="1:12" ht="15" thickBot="1">
      <c r="A1617" s="328"/>
      <c r="B1617" s="257"/>
      <c r="C1617" s="257"/>
      <c r="D1617" s="329"/>
      <c r="E1617" s="330"/>
      <c r="F1617" s="331"/>
      <c r="G1617" s="256"/>
      <c r="H1617" s="256"/>
      <c r="I1617" s="332"/>
      <c r="J1617" s="333"/>
      <c r="K1617" s="334"/>
      <c r="L1617" s="484"/>
    </row>
    <row r="1618" spans="1:12" ht="15" thickBot="1">
      <c r="A1618" s="328"/>
      <c r="B1618" s="257"/>
      <c r="C1618" s="257"/>
      <c r="D1618" s="329"/>
      <c r="E1618" s="330"/>
      <c r="F1618" s="331"/>
      <c r="G1618" s="256"/>
      <c r="H1618" s="256"/>
      <c r="I1618" s="332"/>
      <c r="J1618" s="333"/>
      <c r="K1618" s="334"/>
      <c r="L1618" s="484"/>
    </row>
    <row r="1619" spans="1:12" ht="15" thickBot="1">
      <c r="A1619" s="328"/>
      <c r="B1619" s="257"/>
      <c r="C1619" s="257"/>
      <c r="D1619" s="329"/>
      <c r="E1619" s="330"/>
      <c r="F1619" s="331"/>
      <c r="G1619" s="256"/>
      <c r="H1619" s="256"/>
      <c r="I1619" s="332"/>
      <c r="J1619" s="333"/>
      <c r="K1619" s="334"/>
      <c r="L1619" s="484"/>
    </row>
    <row r="1620" spans="1:12" ht="15" thickBot="1">
      <c r="A1620" s="328"/>
      <c r="B1620" s="257"/>
      <c r="C1620" s="257"/>
      <c r="D1620" s="329"/>
      <c r="E1620" s="330"/>
      <c r="F1620" s="331"/>
      <c r="G1620" s="256"/>
      <c r="H1620" s="256"/>
      <c r="I1620" s="332"/>
      <c r="J1620" s="333"/>
      <c r="K1620" s="334"/>
      <c r="L1620" s="484"/>
    </row>
    <row r="1621" spans="1:12" ht="15" thickBot="1">
      <c r="A1621" s="328"/>
      <c r="B1621" s="257"/>
      <c r="C1621" s="257"/>
      <c r="D1621" s="329"/>
      <c r="E1621" s="330"/>
      <c r="F1621" s="331"/>
      <c r="G1621" s="256"/>
      <c r="H1621" s="256"/>
      <c r="I1621" s="332"/>
      <c r="J1621" s="333"/>
      <c r="K1621" s="334"/>
      <c r="L1621" s="484"/>
    </row>
    <row r="1622" spans="1:12" ht="15" thickBot="1">
      <c r="A1622" s="328"/>
      <c r="B1622" s="257"/>
      <c r="C1622" s="257"/>
      <c r="D1622" s="329"/>
      <c r="E1622" s="330"/>
      <c r="F1622" s="331"/>
      <c r="G1622" s="256"/>
      <c r="H1622" s="256"/>
      <c r="I1622" s="332"/>
      <c r="J1622" s="333"/>
      <c r="K1622" s="334"/>
      <c r="L1622" s="484"/>
    </row>
    <row r="1623" spans="1:12" ht="15" thickBot="1">
      <c r="A1623" s="328"/>
      <c r="B1623" s="257"/>
      <c r="C1623" s="257"/>
      <c r="D1623" s="329"/>
      <c r="E1623" s="330"/>
      <c r="F1623" s="331"/>
      <c r="G1623" s="256"/>
      <c r="H1623" s="256"/>
      <c r="I1623" s="332"/>
      <c r="J1623" s="333"/>
      <c r="K1623" s="334"/>
      <c r="L1623" s="484"/>
    </row>
    <row r="1624" spans="1:12" ht="15" thickBot="1">
      <c r="A1624" s="328"/>
      <c r="B1624" s="257"/>
      <c r="C1624" s="257"/>
      <c r="D1624" s="329"/>
      <c r="E1624" s="330"/>
      <c r="F1624" s="331"/>
      <c r="G1624" s="256"/>
      <c r="H1624" s="256"/>
      <c r="I1624" s="332"/>
      <c r="J1624" s="333"/>
      <c r="K1624" s="334"/>
      <c r="L1624" s="484"/>
    </row>
    <row r="1625" spans="1:12" ht="15" thickBot="1">
      <c r="A1625" s="328"/>
      <c r="B1625" s="257"/>
      <c r="C1625" s="257"/>
      <c r="D1625" s="329"/>
      <c r="E1625" s="330"/>
      <c r="F1625" s="331"/>
      <c r="G1625" s="256"/>
      <c r="H1625" s="256"/>
      <c r="I1625" s="332"/>
      <c r="J1625" s="333"/>
      <c r="K1625" s="334"/>
      <c r="L1625" s="484"/>
    </row>
    <row r="1626" spans="1:12" ht="15" thickBot="1">
      <c r="A1626" s="328"/>
      <c r="B1626" s="257"/>
      <c r="C1626" s="257"/>
      <c r="D1626" s="329"/>
      <c r="E1626" s="330"/>
      <c r="F1626" s="331"/>
      <c r="G1626" s="256"/>
      <c r="H1626" s="256"/>
      <c r="I1626" s="332"/>
      <c r="J1626" s="333"/>
      <c r="K1626" s="334"/>
      <c r="L1626" s="484"/>
    </row>
    <row r="1627" spans="1:12" ht="15" thickBot="1">
      <c r="A1627" s="328"/>
      <c r="B1627" s="257"/>
      <c r="C1627" s="257"/>
      <c r="D1627" s="329"/>
      <c r="E1627" s="330"/>
      <c r="F1627" s="331"/>
      <c r="G1627" s="256"/>
      <c r="H1627" s="256"/>
      <c r="I1627" s="332"/>
      <c r="J1627" s="333"/>
      <c r="K1627" s="334"/>
      <c r="L1627" s="484"/>
    </row>
    <row r="1628" spans="1:12" ht="15" thickBot="1">
      <c r="A1628" s="328"/>
      <c r="B1628" s="257"/>
      <c r="C1628" s="257"/>
      <c r="D1628" s="329"/>
      <c r="E1628" s="330"/>
      <c r="F1628" s="331"/>
      <c r="G1628" s="256"/>
      <c r="H1628" s="256"/>
      <c r="I1628" s="332"/>
      <c r="J1628" s="333"/>
      <c r="K1628" s="334"/>
      <c r="L1628" s="484"/>
    </row>
    <row r="1629" spans="1:12" ht="15" thickBot="1">
      <c r="A1629" s="328"/>
      <c r="B1629" s="257"/>
      <c r="C1629" s="257"/>
      <c r="D1629" s="329"/>
      <c r="E1629" s="330"/>
      <c r="F1629" s="331"/>
      <c r="G1629" s="256"/>
      <c r="H1629" s="256"/>
      <c r="I1629" s="332"/>
      <c r="J1629" s="333"/>
      <c r="K1629" s="334"/>
      <c r="L1629" s="484"/>
    </row>
    <row r="1630" spans="1:12" ht="15" thickBot="1">
      <c r="A1630" s="328"/>
      <c r="B1630" s="257"/>
      <c r="C1630" s="257"/>
      <c r="D1630" s="329"/>
      <c r="E1630" s="330"/>
      <c r="F1630" s="331"/>
      <c r="G1630" s="256"/>
      <c r="H1630" s="256"/>
      <c r="I1630" s="332"/>
      <c r="J1630" s="333"/>
      <c r="K1630" s="334"/>
      <c r="L1630" s="484"/>
    </row>
    <row r="1631" spans="1:12" ht="15" thickBot="1">
      <c r="A1631" s="328"/>
      <c r="B1631" s="257"/>
      <c r="C1631" s="257"/>
      <c r="D1631" s="329"/>
      <c r="E1631" s="330"/>
      <c r="F1631" s="331"/>
      <c r="G1631" s="256"/>
      <c r="H1631" s="256"/>
      <c r="I1631" s="332"/>
      <c r="J1631" s="333"/>
      <c r="K1631" s="334"/>
      <c r="L1631" s="484"/>
    </row>
    <row r="1632" spans="1:12" ht="15" thickBot="1">
      <c r="A1632" s="328"/>
      <c r="B1632" s="257"/>
      <c r="C1632" s="257"/>
      <c r="D1632" s="329"/>
      <c r="E1632" s="330"/>
      <c r="F1632" s="331"/>
      <c r="G1632" s="256"/>
      <c r="H1632" s="256"/>
      <c r="I1632" s="332"/>
      <c r="J1632" s="333"/>
      <c r="K1632" s="334"/>
      <c r="L1632" s="484"/>
    </row>
    <row r="1633" spans="1:12" ht="15" thickBot="1">
      <c r="A1633" s="328"/>
      <c r="B1633" s="257"/>
      <c r="C1633" s="257"/>
      <c r="D1633" s="329"/>
      <c r="E1633" s="330"/>
      <c r="F1633" s="331"/>
      <c r="G1633" s="256"/>
      <c r="H1633" s="256"/>
      <c r="I1633" s="332"/>
      <c r="J1633" s="333"/>
      <c r="K1633" s="334"/>
      <c r="L1633" s="484"/>
    </row>
    <row r="1634" spans="1:12" ht="15" thickBot="1">
      <c r="A1634" s="328"/>
      <c r="B1634" s="257"/>
      <c r="C1634" s="257"/>
      <c r="D1634" s="329"/>
      <c r="E1634" s="330"/>
      <c r="F1634" s="331"/>
      <c r="G1634" s="256"/>
      <c r="H1634" s="256"/>
      <c r="I1634" s="332"/>
      <c r="J1634" s="333"/>
      <c r="K1634" s="334"/>
      <c r="L1634" s="484"/>
    </row>
    <row r="1635" spans="1:12" ht="15" thickBot="1">
      <c r="A1635" s="328"/>
      <c r="B1635" s="257"/>
      <c r="C1635" s="257"/>
      <c r="D1635" s="329"/>
      <c r="E1635" s="330"/>
      <c r="F1635" s="331"/>
      <c r="G1635" s="256"/>
      <c r="H1635" s="256"/>
      <c r="I1635" s="332"/>
      <c r="J1635" s="333"/>
      <c r="K1635" s="334"/>
      <c r="L1635" s="484"/>
    </row>
    <row r="1636" spans="1:12" ht="15" thickBot="1">
      <c r="A1636" s="328"/>
      <c r="B1636" s="257"/>
      <c r="C1636" s="257"/>
      <c r="D1636" s="329"/>
      <c r="E1636" s="330"/>
      <c r="F1636" s="331"/>
      <c r="G1636" s="256"/>
      <c r="H1636" s="256"/>
      <c r="I1636" s="332"/>
      <c r="J1636" s="333"/>
      <c r="K1636" s="334"/>
      <c r="L1636" s="484"/>
    </row>
    <row r="1637" spans="1:12" ht="15" thickBot="1">
      <c r="A1637" s="328"/>
      <c r="B1637" s="257"/>
      <c r="C1637" s="257"/>
      <c r="D1637" s="329"/>
      <c r="E1637" s="330"/>
      <c r="F1637" s="331"/>
      <c r="G1637" s="256"/>
      <c r="H1637" s="256"/>
      <c r="I1637" s="332"/>
      <c r="J1637" s="333"/>
      <c r="K1637" s="334"/>
      <c r="L1637" s="484"/>
    </row>
    <row r="1638" spans="1:12" ht="15" thickBot="1">
      <c r="A1638" s="328"/>
      <c r="B1638" s="257"/>
      <c r="C1638" s="257"/>
      <c r="D1638" s="329"/>
      <c r="E1638" s="330"/>
      <c r="F1638" s="331"/>
      <c r="G1638" s="256"/>
      <c r="H1638" s="256"/>
      <c r="I1638" s="332"/>
      <c r="J1638" s="333"/>
      <c r="K1638" s="334"/>
      <c r="L1638" s="484"/>
    </row>
    <row r="1639" spans="1:12" ht="15" thickBot="1">
      <c r="A1639" s="328"/>
      <c r="B1639" s="257"/>
      <c r="C1639" s="257"/>
      <c r="D1639" s="329"/>
      <c r="E1639" s="330"/>
      <c r="F1639" s="331"/>
      <c r="G1639" s="256"/>
      <c r="H1639" s="256"/>
      <c r="I1639" s="332"/>
      <c r="J1639" s="333"/>
      <c r="K1639" s="334"/>
      <c r="L1639" s="484"/>
    </row>
    <row r="1640" spans="1:12" ht="15" thickBot="1">
      <c r="A1640" s="328"/>
      <c r="B1640" s="257"/>
      <c r="C1640" s="257"/>
      <c r="D1640" s="329"/>
      <c r="E1640" s="330"/>
      <c r="F1640" s="331"/>
      <c r="G1640" s="256"/>
      <c r="H1640" s="256"/>
      <c r="I1640" s="332"/>
      <c r="J1640" s="333"/>
      <c r="K1640" s="334"/>
      <c r="L1640" s="484"/>
    </row>
    <row r="1641" spans="1:12" ht="15" thickBot="1">
      <c r="A1641" s="328"/>
      <c r="B1641" s="257"/>
      <c r="C1641" s="257"/>
      <c r="D1641" s="329"/>
      <c r="E1641" s="330"/>
      <c r="F1641" s="331"/>
      <c r="G1641" s="256"/>
      <c r="H1641" s="256"/>
      <c r="I1641" s="332"/>
      <c r="J1641" s="333"/>
      <c r="K1641" s="334"/>
      <c r="L1641" s="484"/>
    </row>
    <row r="1642" spans="1:12" ht="15" thickBot="1">
      <c r="A1642" s="328"/>
      <c r="B1642" s="257"/>
      <c r="C1642" s="257"/>
      <c r="D1642" s="329"/>
      <c r="E1642" s="330"/>
      <c r="F1642" s="331"/>
      <c r="G1642" s="256"/>
      <c r="H1642" s="256"/>
      <c r="I1642" s="332"/>
      <c r="J1642" s="333"/>
      <c r="K1642" s="334"/>
      <c r="L1642" s="484"/>
    </row>
    <row r="1643" spans="1:12" ht="15" thickBot="1">
      <c r="A1643" s="328"/>
      <c r="B1643" s="257"/>
      <c r="C1643" s="257"/>
      <c r="D1643" s="329"/>
      <c r="E1643" s="330"/>
      <c r="F1643" s="331"/>
      <c r="G1643" s="256"/>
      <c r="H1643" s="256"/>
      <c r="I1643" s="332"/>
      <c r="J1643" s="333"/>
      <c r="K1643" s="334"/>
      <c r="L1643" s="484"/>
    </row>
    <row r="1644" spans="1:12" ht="15" thickBot="1">
      <c r="A1644" s="328"/>
      <c r="B1644" s="257"/>
      <c r="C1644" s="257"/>
      <c r="D1644" s="329"/>
      <c r="E1644" s="330"/>
      <c r="F1644" s="331"/>
      <c r="G1644" s="256"/>
      <c r="H1644" s="256"/>
      <c r="I1644" s="332"/>
      <c r="J1644" s="333"/>
      <c r="K1644" s="334"/>
      <c r="L1644" s="484"/>
    </row>
    <row r="1645" spans="1:12" ht="15" thickBot="1">
      <c r="A1645" s="328"/>
      <c r="B1645" s="257"/>
      <c r="C1645" s="257"/>
      <c r="D1645" s="329"/>
      <c r="E1645" s="330"/>
      <c r="F1645" s="331"/>
      <c r="G1645" s="256"/>
      <c r="H1645" s="256"/>
      <c r="I1645" s="332"/>
      <c r="J1645" s="333"/>
      <c r="K1645" s="334"/>
      <c r="L1645" s="484"/>
    </row>
    <row r="1646" spans="1:12" ht="15" thickBot="1">
      <c r="A1646" s="328"/>
      <c r="B1646" s="257"/>
      <c r="C1646" s="257"/>
      <c r="D1646" s="329"/>
      <c r="E1646" s="330"/>
      <c r="F1646" s="331"/>
      <c r="G1646" s="256"/>
      <c r="H1646" s="256"/>
      <c r="I1646" s="332"/>
      <c r="J1646" s="333"/>
      <c r="K1646" s="334"/>
      <c r="L1646" s="484"/>
    </row>
    <row r="1647" spans="1:12" ht="15" thickBot="1">
      <c r="A1647" s="328"/>
      <c r="B1647" s="257"/>
      <c r="C1647" s="257"/>
      <c r="D1647" s="329"/>
      <c r="E1647" s="330"/>
      <c r="F1647" s="331"/>
      <c r="G1647" s="256"/>
      <c r="H1647" s="256"/>
      <c r="I1647" s="332"/>
      <c r="J1647" s="333"/>
      <c r="K1647" s="334"/>
      <c r="L1647" s="484"/>
    </row>
    <row r="1648" spans="1:12" ht="15" thickBot="1">
      <c r="A1648" s="328"/>
      <c r="B1648" s="257"/>
      <c r="C1648" s="257"/>
      <c r="D1648" s="329"/>
      <c r="E1648" s="330"/>
      <c r="F1648" s="331"/>
      <c r="G1648" s="256"/>
      <c r="H1648" s="256"/>
      <c r="I1648" s="332"/>
      <c r="J1648" s="333"/>
      <c r="K1648" s="334"/>
      <c r="L1648" s="484"/>
    </row>
    <row r="1649" spans="1:12" ht="15" thickBot="1">
      <c r="A1649" s="328"/>
      <c r="B1649" s="257"/>
      <c r="C1649" s="257"/>
      <c r="D1649" s="329"/>
      <c r="E1649" s="330"/>
      <c r="F1649" s="331"/>
      <c r="G1649" s="256"/>
      <c r="H1649" s="256"/>
      <c r="I1649" s="332"/>
      <c r="J1649" s="333"/>
      <c r="K1649" s="334"/>
      <c r="L1649" s="484"/>
    </row>
    <row r="1650" spans="1:12" ht="15" thickBot="1">
      <c r="A1650" s="328"/>
      <c r="B1650" s="257"/>
      <c r="C1650" s="257"/>
      <c r="D1650" s="329"/>
      <c r="E1650" s="330"/>
      <c r="F1650" s="331"/>
      <c r="G1650" s="256"/>
      <c r="H1650" s="256"/>
      <c r="I1650" s="332"/>
      <c r="J1650" s="333"/>
      <c r="K1650" s="334"/>
      <c r="L1650" s="484"/>
    </row>
    <row r="1651" spans="1:12" ht="15" thickBot="1">
      <c r="A1651" s="328"/>
      <c r="B1651" s="257"/>
      <c r="C1651" s="257"/>
      <c r="D1651" s="329"/>
      <c r="E1651" s="330"/>
      <c r="F1651" s="331"/>
      <c r="G1651" s="256"/>
      <c r="H1651" s="256"/>
      <c r="I1651" s="332"/>
      <c r="J1651" s="333"/>
      <c r="K1651" s="334"/>
      <c r="L1651" s="484"/>
    </row>
    <row r="1652" spans="1:12" ht="15" thickBot="1">
      <c r="A1652" s="328"/>
      <c r="B1652" s="257"/>
      <c r="C1652" s="257"/>
      <c r="D1652" s="329"/>
      <c r="E1652" s="330"/>
      <c r="F1652" s="331"/>
      <c r="G1652" s="256"/>
      <c r="H1652" s="256"/>
      <c r="I1652" s="332"/>
      <c r="J1652" s="333"/>
      <c r="K1652" s="334"/>
      <c r="L1652" s="484"/>
    </row>
    <row r="1653" spans="1:12" ht="15" thickBot="1">
      <c r="A1653" s="328"/>
      <c r="B1653" s="257"/>
      <c r="C1653" s="257"/>
      <c r="D1653" s="329"/>
      <c r="E1653" s="330"/>
      <c r="F1653" s="331"/>
      <c r="G1653" s="256"/>
      <c r="H1653" s="256"/>
      <c r="I1653" s="332"/>
      <c r="J1653" s="333"/>
      <c r="K1653" s="334"/>
      <c r="L1653" s="484"/>
    </row>
    <row r="1654" spans="1:12" ht="15" thickBot="1">
      <c r="A1654" s="328"/>
      <c r="B1654" s="257"/>
      <c r="C1654" s="257"/>
      <c r="D1654" s="329"/>
      <c r="E1654" s="330"/>
      <c r="F1654" s="331"/>
      <c r="G1654" s="256"/>
      <c r="H1654" s="256"/>
      <c r="I1654" s="332"/>
      <c r="J1654" s="333"/>
      <c r="K1654" s="334"/>
      <c r="L1654" s="484"/>
    </row>
    <row r="1655" spans="1:12" ht="15" thickBot="1">
      <c r="A1655" s="328"/>
      <c r="B1655" s="257"/>
      <c r="C1655" s="257"/>
      <c r="D1655" s="329"/>
      <c r="E1655" s="330"/>
      <c r="F1655" s="331"/>
      <c r="G1655" s="256"/>
      <c r="H1655" s="256"/>
      <c r="I1655" s="332"/>
      <c r="J1655" s="333"/>
      <c r="K1655" s="334"/>
      <c r="L1655" s="484"/>
    </row>
    <row r="1656" spans="1:12" ht="15" thickBot="1">
      <c r="A1656" s="328"/>
      <c r="B1656" s="257"/>
      <c r="C1656" s="257"/>
      <c r="D1656" s="329"/>
      <c r="E1656" s="330"/>
      <c r="F1656" s="331"/>
      <c r="G1656" s="256"/>
      <c r="H1656" s="256"/>
      <c r="I1656" s="332"/>
      <c r="J1656" s="333"/>
      <c r="K1656" s="334"/>
      <c r="L1656" s="484"/>
    </row>
    <row r="1657" spans="1:12" ht="15" thickBot="1">
      <c r="A1657" s="328"/>
      <c r="B1657" s="257"/>
      <c r="C1657" s="257"/>
      <c r="D1657" s="329"/>
      <c r="E1657" s="330"/>
      <c r="F1657" s="331"/>
      <c r="G1657" s="256"/>
      <c r="H1657" s="256"/>
      <c r="I1657" s="332"/>
      <c r="J1657" s="333"/>
      <c r="K1657" s="334"/>
      <c r="L1657" s="484"/>
    </row>
    <row r="1658" spans="1:12" ht="15" thickBot="1">
      <c r="A1658" s="328"/>
      <c r="B1658" s="257"/>
      <c r="C1658" s="257"/>
      <c r="D1658" s="329"/>
      <c r="E1658" s="330"/>
      <c r="F1658" s="331"/>
      <c r="G1658" s="256"/>
      <c r="H1658" s="256"/>
      <c r="I1658" s="332"/>
      <c r="J1658" s="333"/>
      <c r="K1658" s="334"/>
      <c r="L1658" s="484"/>
    </row>
    <row r="1659" spans="1:12" ht="15" thickBot="1">
      <c r="A1659" s="328"/>
      <c r="B1659" s="257"/>
      <c r="C1659" s="257"/>
      <c r="D1659" s="329"/>
      <c r="E1659" s="330"/>
      <c r="F1659" s="331"/>
      <c r="G1659" s="256"/>
      <c r="H1659" s="256"/>
      <c r="I1659" s="332"/>
      <c r="J1659" s="333"/>
      <c r="K1659" s="334"/>
      <c r="L1659" s="484"/>
    </row>
    <row r="1660" spans="1:12" ht="15" thickBot="1">
      <c r="A1660" s="328"/>
      <c r="B1660" s="257"/>
      <c r="C1660" s="257"/>
      <c r="D1660" s="329"/>
      <c r="E1660" s="330"/>
      <c r="F1660" s="331"/>
      <c r="G1660" s="256"/>
      <c r="H1660" s="256"/>
      <c r="I1660" s="332"/>
      <c r="J1660" s="333"/>
      <c r="K1660" s="334"/>
      <c r="L1660" s="484"/>
    </row>
    <row r="1661" spans="1:12" ht="15" thickBot="1">
      <c r="A1661" s="328"/>
      <c r="B1661" s="257"/>
      <c r="C1661" s="257"/>
      <c r="D1661" s="329"/>
      <c r="E1661" s="330"/>
      <c r="F1661" s="331"/>
      <c r="G1661" s="256"/>
      <c r="H1661" s="256"/>
      <c r="I1661" s="332"/>
      <c r="J1661" s="333"/>
      <c r="K1661" s="334"/>
      <c r="L1661" s="484"/>
    </row>
    <row r="1662" spans="1:12" ht="15" thickBot="1">
      <c r="A1662" s="328"/>
      <c r="B1662" s="257"/>
      <c r="C1662" s="257"/>
      <c r="D1662" s="329"/>
      <c r="E1662" s="330"/>
      <c r="F1662" s="331"/>
      <c r="G1662" s="256"/>
      <c r="H1662" s="256"/>
      <c r="I1662" s="332"/>
      <c r="J1662" s="333"/>
      <c r="K1662" s="334"/>
      <c r="L1662" s="484"/>
    </row>
    <row r="1663" spans="1:12" ht="15" thickBot="1">
      <c r="A1663" s="328"/>
      <c r="B1663" s="257"/>
      <c r="C1663" s="257"/>
      <c r="D1663" s="329"/>
      <c r="E1663" s="330"/>
      <c r="F1663" s="331"/>
      <c r="G1663" s="256"/>
      <c r="H1663" s="256"/>
      <c r="I1663" s="332"/>
      <c r="J1663" s="333"/>
      <c r="K1663" s="334"/>
      <c r="L1663" s="484"/>
    </row>
    <row r="1664" spans="1:12" ht="15" thickBot="1">
      <c r="A1664" s="328"/>
      <c r="B1664" s="257"/>
      <c r="C1664" s="257"/>
      <c r="D1664" s="329"/>
      <c r="E1664" s="330"/>
      <c r="F1664" s="331"/>
      <c r="G1664" s="256"/>
      <c r="H1664" s="256"/>
      <c r="I1664" s="332"/>
      <c r="J1664" s="333"/>
      <c r="K1664" s="334"/>
      <c r="L1664" s="484"/>
    </row>
    <row r="1665" spans="1:12" ht="15" thickBot="1">
      <c r="A1665" s="328"/>
      <c r="B1665" s="257"/>
      <c r="C1665" s="257"/>
      <c r="D1665" s="329"/>
      <c r="E1665" s="330"/>
      <c r="F1665" s="331"/>
      <c r="G1665" s="256"/>
      <c r="H1665" s="256"/>
      <c r="I1665" s="332"/>
      <c r="J1665" s="333"/>
      <c r="K1665" s="334"/>
      <c r="L1665" s="484"/>
    </row>
    <row r="1666" spans="1:12" ht="15" thickBot="1">
      <c r="A1666" s="328"/>
      <c r="B1666" s="257"/>
      <c r="C1666" s="257"/>
      <c r="D1666" s="329"/>
      <c r="E1666" s="330"/>
      <c r="F1666" s="331"/>
      <c r="G1666" s="256"/>
      <c r="H1666" s="256"/>
      <c r="I1666" s="332"/>
      <c r="J1666" s="333"/>
      <c r="K1666" s="334"/>
      <c r="L1666" s="484"/>
    </row>
    <row r="1667" spans="1:12" ht="15" thickBot="1">
      <c r="A1667" s="328"/>
      <c r="B1667" s="257"/>
      <c r="C1667" s="257"/>
      <c r="D1667" s="329"/>
      <c r="E1667" s="330"/>
      <c r="F1667" s="331"/>
      <c r="G1667" s="256"/>
      <c r="H1667" s="256"/>
      <c r="I1667" s="332"/>
      <c r="J1667" s="333"/>
      <c r="K1667" s="334"/>
      <c r="L1667" s="484"/>
    </row>
    <row r="1668" spans="1:12" ht="15" thickBot="1">
      <c r="A1668" s="328"/>
      <c r="B1668" s="257"/>
      <c r="C1668" s="257"/>
      <c r="D1668" s="329"/>
      <c r="E1668" s="330"/>
      <c r="F1668" s="331"/>
      <c r="G1668" s="256"/>
      <c r="H1668" s="256"/>
      <c r="I1668" s="332"/>
      <c r="J1668" s="333"/>
      <c r="K1668" s="334"/>
      <c r="L1668" s="484"/>
    </row>
    <row r="1669" spans="1:12" ht="15" thickBot="1">
      <c r="A1669" s="328"/>
      <c r="B1669" s="257"/>
      <c r="C1669" s="257"/>
      <c r="D1669" s="329"/>
      <c r="E1669" s="330"/>
      <c r="F1669" s="331"/>
      <c r="G1669" s="256"/>
      <c r="H1669" s="256"/>
      <c r="I1669" s="332"/>
      <c r="J1669" s="333"/>
      <c r="K1669" s="334"/>
      <c r="L1669" s="484"/>
    </row>
    <row r="1670" spans="1:12" ht="15" thickBot="1">
      <c r="A1670" s="328"/>
      <c r="B1670" s="257"/>
      <c r="C1670" s="257"/>
      <c r="D1670" s="329"/>
      <c r="E1670" s="330"/>
      <c r="F1670" s="331"/>
      <c r="G1670" s="256"/>
      <c r="H1670" s="256"/>
      <c r="I1670" s="332"/>
      <c r="J1670" s="333"/>
      <c r="K1670" s="334"/>
      <c r="L1670" s="484"/>
    </row>
    <row r="1671" spans="1:12" ht="15" thickBot="1">
      <c r="A1671" s="328"/>
      <c r="B1671" s="257"/>
      <c r="C1671" s="257"/>
      <c r="D1671" s="329"/>
      <c r="E1671" s="330"/>
      <c r="F1671" s="331"/>
      <c r="G1671" s="256"/>
      <c r="H1671" s="256"/>
      <c r="I1671" s="332"/>
      <c r="J1671" s="333"/>
      <c r="K1671" s="334"/>
      <c r="L1671" s="484"/>
    </row>
    <row r="1672" spans="1:12" ht="15" thickBot="1">
      <c r="A1672" s="328"/>
      <c r="B1672" s="257"/>
      <c r="C1672" s="257"/>
      <c r="D1672" s="329"/>
      <c r="E1672" s="330"/>
      <c r="F1672" s="331"/>
      <c r="G1672" s="256"/>
      <c r="H1672" s="256"/>
      <c r="I1672" s="332"/>
      <c r="J1672" s="333"/>
      <c r="K1672" s="334"/>
      <c r="L1672" s="484"/>
    </row>
    <row r="1673" spans="1:12" ht="15" thickBot="1">
      <c r="A1673" s="328"/>
      <c r="B1673" s="257"/>
      <c r="C1673" s="257"/>
      <c r="D1673" s="329"/>
      <c r="E1673" s="330"/>
      <c r="F1673" s="331"/>
      <c r="G1673" s="256"/>
      <c r="H1673" s="256"/>
      <c r="I1673" s="332"/>
      <c r="J1673" s="333"/>
      <c r="K1673" s="334"/>
      <c r="L1673" s="484"/>
    </row>
    <row r="1674" spans="1:12" ht="15" thickBot="1">
      <c r="A1674" s="328"/>
      <c r="B1674" s="257"/>
      <c r="C1674" s="257"/>
      <c r="D1674" s="329"/>
      <c r="E1674" s="330"/>
      <c r="F1674" s="331"/>
      <c r="G1674" s="256"/>
      <c r="H1674" s="256"/>
      <c r="I1674" s="332"/>
      <c r="J1674" s="333"/>
      <c r="K1674" s="334"/>
      <c r="L1674" s="484"/>
    </row>
    <row r="1675" spans="1:12" ht="15" thickBot="1">
      <c r="A1675" s="328"/>
      <c r="B1675" s="257"/>
      <c r="C1675" s="257"/>
      <c r="D1675" s="329"/>
      <c r="E1675" s="330"/>
      <c r="F1675" s="331"/>
      <c r="G1675" s="256"/>
      <c r="H1675" s="256"/>
      <c r="I1675" s="332"/>
      <c r="J1675" s="333"/>
      <c r="K1675" s="334"/>
      <c r="L1675" s="484"/>
    </row>
    <row r="1676" spans="1:12" ht="15" thickBot="1">
      <c r="A1676" s="328"/>
      <c r="B1676" s="257"/>
      <c r="C1676" s="257"/>
      <c r="D1676" s="329"/>
      <c r="E1676" s="330"/>
      <c r="F1676" s="331"/>
      <c r="G1676" s="256"/>
      <c r="H1676" s="256"/>
      <c r="I1676" s="332"/>
      <c r="J1676" s="333"/>
      <c r="K1676" s="334"/>
      <c r="L1676" s="484"/>
    </row>
    <row r="1677" spans="1:12" ht="15" thickBot="1">
      <c r="A1677" s="328"/>
      <c r="B1677" s="257"/>
      <c r="C1677" s="257"/>
      <c r="D1677" s="329"/>
      <c r="E1677" s="330"/>
      <c r="F1677" s="331"/>
      <c r="G1677" s="256"/>
      <c r="H1677" s="256"/>
      <c r="I1677" s="332"/>
      <c r="J1677" s="333"/>
      <c r="K1677" s="334"/>
      <c r="L1677" s="484"/>
    </row>
    <row r="1678" spans="1:12" ht="15" thickBot="1">
      <c r="A1678" s="328"/>
      <c r="B1678" s="257"/>
      <c r="C1678" s="257"/>
      <c r="D1678" s="329"/>
      <c r="E1678" s="330"/>
      <c r="F1678" s="331"/>
      <c r="G1678" s="256"/>
      <c r="H1678" s="256"/>
      <c r="I1678" s="332"/>
      <c r="J1678" s="333"/>
      <c r="K1678" s="334"/>
      <c r="L1678" s="484"/>
    </row>
    <row r="1679" spans="1:12" ht="15" thickBot="1">
      <c r="A1679" s="328"/>
      <c r="B1679" s="257"/>
      <c r="C1679" s="257"/>
      <c r="D1679" s="329"/>
      <c r="E1679" s="330"/>
      <c r="F1679" s="331"/>
      <c r="G1679" s="256"/>
      <c r="H1679" s="256"/>
      <c r="I1679" s="332"/>
      <c r="J1679" s="333"/>
      <c r="K1679" s="334"/>
      <c r="L1679" s="484"/>
    </row>
    <row r="1680" spans="1:12" ht="15" thickBot="1">
      <c r="A1680" s="328"/>
      <c r="B1680" s="257"/>
      <c r="C1680" s="257"/>
      <c r="D1680" s="329"/>
      <c r="E1680" s="330"/>
      <c r="F1680" s="331"/>
      <c r="G1680" s="256"/>
      <c r="H1680" s="256"/>
      <c r="I1680" s="332"/>
      <c r="J1680" s="333"/>
      <c r="K1680" s="334"/>
      <c r="L1680" s="484"/>
    </row>
    <row r="1681" spans="1:12" ht="15" thickBot="1">
      <c r="A1681" s="328"/>
      <c r="B1681" s="257"/>
      <c r="C1681" s="257"/>
      <c r="D1681" s="329"/>
      <c r="E1681" s="330"/>
      <c r="F1681" s="331"/>
      <c r="G1681" s="256"/>
      <c r="H1681" s="256"/>
      <c r="I1681" s="332"/>
      <c r="J1681" s="333"/>
      <c r="K1681" s="334"/>
      <c r="L1681" s="484"/>
    </row>
    <row r="1682" spans="1:12" ht="15" thickBot="1">
      <c r="A1682" s="328"/>
      <c r="B1682" s="257"/>
      <c r="C1682" s="257"/>
      <c r="D1682" s="329"/>
      <c r="E1682" s="330"/>
      <c r="F1682" s="331"/>
      <c r="G1682" s="256"/>
      <c r="H1682" s="256"/>
      <c r="I1682" s="332"/>
      <c r="J1682" s="333"/>
      <c r="K1682" s="334"/>
      <c r="L1682" s="484"/>
    </row>
    <row r="1683" spans="1:12" ht="15" thickBot="1">
      <c r="A1683" s="328"/>
      <c r="B1683" s="257"/>
      <c r="C1683" s="257"/>
      <c r="D1683" s="329"/>
      <c r="E1683" s="330"/>
      <c r="F1683" s="331"/>
      <c r="G1683" s="256"/>
      <c r="H1683" s="256"/>
      <c r="I1683" s="332"/>
      <c r="J1683" s="333"/>
      <c r="K1683" s="334"/>
      <c r="L1683" s="484"/>
    </row>
    <row r="1684" spans="1:12" ht="15" thickBot="1">
      <c r="A1684" s="328"/>
      <c r="B1684" s="257"/>
      <c r="C1684" s="257"/>
      <c r="D1684" s="329"/>
      <c r="E1684" s="330"/>
      <c r="F1684" s="331"/>
      <c r="G1684" s="256"/>
      <c r="H1684" s="256"/>
      <c r="I1684" s="332"/>
      <c r="J1684" s="333"/>
      <c r="K1684" s="334"/>
      <c r="L1684" s="484"/>
    </row>
    <row r="1685" spans="1:12" ht="15" thickBot="1">
      <c r="A1685" s="328"/>
      <c r="B1685" s="257"/>
      <c r="C1685" s="257"/>
      <c r="D1685" s="329"/>
      <c r="E1685" s="330"/>
      <c r="F1685" s="331"/>
      <c r="G1685" s="256"/>
      <c r="H1685" s="256"/>
      <c r="I1685" s="332"/>
      <c r="J1685" s="333"/>
      <c r="K1685" s="334"/>
      <c r="L1685" s="484"/>
    </row>
    <row r="1686" spans="1:12" ht="15" thickBot="1">
      <c r="A1686" s="328"/>
      <c r="B1686" s="257"/>
      <c r="C1686" s="257"/>
      <c r="D1686" s="329"/>
      <c r="E1686" s="330"/>
      <c r="F1686" s="331"/>
      <c r="G1686" s="256"/>
      <c r="H1686" s="256"/>
      <c r="I1686" s="332"/>
      <c r="J1686" s="333"/>
      <c r="K1686" s="334"/>
      <c r="L1686" s="484"/>
    </row>
    <row r="1687" spans="1:12" ht="15" thickBot="1">
      <c r="A1687" s="328"/>
      <c r="B1687" s="257"/>
      <c r="C1687" s="257"/>
      <c r="D1687" s="329"/>
      <c r="E1687" s="330"/>
      <c r="F1687" s="331"/>
      <c r="G1687" s="256"/>
      <c r="H1687" s="256"/>
      <c r="I1687" s="332"/>
      <c r="J1687" s="333"/>
      <c r="K1687" s="334"/>
      <c r="L1687" s="484"/>
    </row>
    <row r="1688" spans="1:12" ht="15" thickBot="1">
      <c r="A1688" s="328"/>
      <c r="B1688" s="257"/>
      <c r="C1688" s="257"/>
      <c r="D1688" s="329"/>
      <c r="E1688" s="330"/>
      <c r="F1688" s="331"/>
      <c r="G1688" s="256"/>
      <c r="H1688" s="256"/>
      <c r="I1688" s="332"/>
      <c r="J1688" s="333"/>
      <c r="K1688" s="334"/>
      <c r="L1688" s="484"/>
    </row>
    <row r="1689" spans="1:12" ht="15" thickBot="1">
      <c r="A1689" s="328"/>
      <c r="B1689" s="257"/>
      <c r="C1689" s="257"/>
      <c r="D1689" s="329"/>
      <c r="E1689" s="330"/>
      <c r="F1689" s="331"/>
      <c r="G1689" s="256"/>
      <c r="H1689" s="256"/>
      <c r="I1689" s="332"/>
      <c r="J1689" s="333"/>
      <c r="K1689" s="334"/>
      <c r="L1689" s="484"/>
    </row>
    <row r="1690" spans="1:12" ht="15" thickBot="1">
      <c r="A1690" s="328"/>
      <c r="B1690" s="257"/>
      <c r="C1690" s="257"/>
      <c r="D1690" s="329"/>
      <c r="E1690" s="330"/>
      <c r="F1690" s="331"/>
      <c r="G1690" s="256"/>
      <c r="H1690" s="256"/>
      <c r="I1690" s="332"/>
      <c r="J1690" s="333"/>
      <c r="K1690" s="334"/>
      <c r="L1690" s="484"/>
    </row>
    <row r="1691" spans="1:12" ht="15" thickBot="1">
      <c r="A1691" s="328"/>
      <c r="B1691" s="257"/>
      <c r="C1691" s="257"/>
      <c r="D1691" s="329"/>
      <c r="E1691" s="330"/>
      <c r="F1691" s="331"/>
      <c r="G1691" s="256"/>
      <c r="H1691" s="256"/>
      <c r="I1691" s="332"/>
      <c r="J1691" s="333"/>
      <c r="K1691" s="334"/>
      <c r="L1691" s="484"/>
    </row>
    <row r="1692" spans="1:12" ht="15" thickBot="1">
      <c r="A1692" s="328"/>
      <c r="B1692" s="257"/>
      <c r="C1692" s="257"/>
      <c r="D1692" s="329"/>
      <c r="E1692" s="330"/>
      <c r="F1692" s="331"/>
      <c r="G1692" s="256"/>
      <c r="H1692" s="256"/>
      <c r="I1692" s="332"/>
      <c r="J1692" s="333"/>
      <c r="K1692" s="334"/>
      <c r="L1692" s="484"/>
    </row>
    <row r="1693" spans="1:12" ht="15" thickBot="1">
      <c r="A1693" s="328"/>
      <c r="B1693" s="257"/>
      <c r="C1693" s="257"/>
      <c r="D1693" s="329"/>
      <c r="E1693" s="330"/>
      <c r="F1693" s="331"/>
      <c r="G1693" s="256"/>
      <c r="H1693" s="256"/>
      <c r="I1693" s="332"/>
      <c r="J1693" s="333"/>
      <c r="K1693" s="334"/>
      <c r="L1693" s="484"/>
    </row>
    <row r="1694" spans="1:12" ht="15" thickBot="1">
      <c r="A1694" s="328"/>
      <c r="B1694" s="257"/>
      <c r="C1694" s="257"/>
      <c r="D1694" s="329"/>
      <c r="E1694" s="330"/>
      <c r="F1694" s="331"/>
      <c r="G1694" s="256"/>
      <c r="H1694" s="256"/>
      <c r="I1694" s="332"/>
      <c r="J1694" s="333"/>
      <c r="K1694" s="334"/>
      <c r="L1694" s="484"/>
    </row>
    <row r="1695" spans="1:12" ht="15" thickBot="1">
      <c r="A1695" s="328"/>
      <c r="B1695" s="257"/>
      <c r="C1695" s="257"/>
      <c r="D1695" s="329"/>
      <c r="E1695" s="330"/>
      <c r="F1695" s="331"/>
      <c r="G1695" s="256"/>
      <c r="H1695" s="256"/>
      <c r="I1695" s="332"/>
      <c r="J1695" s="333"/>
      <c r="K1695" s="334"/>
      <c r="L1695" s="484"/>
    </row>
    <row r="1696" spans="1:12" ht="15" thickBot="1">
      <c r="A1696" s="328"/>
      <c r="B1696" s="257"/>
      <c r="C1696" s="257"/>
      <c r="D1696" s="329"/>
      <c r="E1696" s="330"/>
      <c r="F1696" s="331"/>
      <c r="G1696" s="256"/>
      <c r="H1696" s="256"/>
      <c r="I1696" s="332"/>
      <c r="J1696" s="333"/>
      <c r="K1696" s="334"/>
      <c r="L1696" s="484"/>
    </row>
    <row r="1697" spans="1:12" ht="15" thickBot="1">
      <c r="A1697" s="328"/>
      <c r="B1697" s="257"/>
      <c r="C1697" s="257"/>
      <c r="D1697" s="329"/>
      <c r="E1697" s="330"/>
      <c r="F1697" s="331"/>
      <c r="G1697" s="256"/>
      <c r="H1697" s="256"/>
      <c r="I1697" s="332"/>
      <c r="J1697" s="333"/>
      <c r="K1697" s="334"/>
      <c r="L1697" s="484"/>
    </row>
    <row r="1698" spans="1:12" ht="15" thickBot="1">
      <c r="A1698" s="328"/>
      <c r="B1698" s="257"/>
      <c r="C1698" s="257"/>
      <c r="D1698" s="329"/>
      <c r="E1698" s="330"/>
      <c r="F1698" s="331"/>
      <c r="G1698" s="256"/>
      <c r="H1698" s="256"/>
      <c r="I1698" s="332"/>
      <c r="J1698" s="333"/>
      <c r="K1698" s="334"/>
      <c r="L1698" s="484"/>
    </row>
    <row r="1699" spans="1:12" ht="15" thickBot="1">
      <c r="A1699" s="328"/>
      <c r="B1699" s="257"/>
      <c r="C1699" s="257"/>
      <c r="D1699" s="329"/>
      <c r="E1699" s="330"/>
      <c r="F1699" s="331"/>
      <c r="G1699" s="256"/>
      <c r="H1699" s="256"/>
      <c r="I1699" s="332"/>
      <c r="J1699" s="333"/>
      <c r="K1699" s="334"/>
      <c r="L1699" s="484"/>
    </row>
    <row r="1700" spans="1:12" ht="15" thickBot="1">
      <c r="A1700" s="328"/>
      <c r="B1700" s="257"/>
      <c r="C1700" s="257"/>
      <c r="D1700" s="329"/>
      <c r="E1700" s="330"/>
      <c r="F1700" s="331"/>
      <c r="G1700" s="256"/>
      <c r="H1700" s="256"/>
      <c r="I1700" s="332"/>
      <c r="J1700" s="333"/>
      <c r="K1700" s="334"/>
      <c r="L1700" s="484"/>
    </row>
    <row r="1701" spans="1:12" ht="15" thickBot="1">
      <c r="A1701" s="328"/>
      <c r="B1701" s="257"/>
      <c r="C1701" s="257"/>
      <c r="D1701" s="329"/>
      <c r="E1701" s="330"/>
      <c r="F1701" s="331"/>
      <c r="G1701" s="256"/>
      <c r="H1701" s="256"/>
      <c r="I1701" s="332"/>
      <c r="J1701" s="333"/>
      <c r="K1701" s="334"/>
      <c r="L1701" s="484"/>
    </row>
    <row r="1702" spans="1:12" ht="15" thickBot="1">
      <c r="A1702" s="328"/>
      <c r="B1702" s="257"/>
      <c r="C1702" s="257"/>
      <c r="D1702" s="329"/>
      <c r="E1702" s="330"/>
      <c r="F1702" s="331"/>
      <c r="G1702" s="256"/>
      <c r="H1702" s="256"/>
      <c r="I1702" s="332"/>
      <c r="J1702" s="333"/>
      <c r="K1702" s="334"/>
      <c r="L1702" s="484"/>
    </row>
    <row r="1703" spans="1:12" ht="15" thickBot="1">
      <c r="A1703" s="328"/>
      <c r="B1703" s="257"/>
      <c r="C1703" s="257"/>
      <c r="D1703" s="329"/>
      <c r="E1703" s="330"/>
      <c r="F1703" s="331"/>
      <c r="G1703" s="256"/>
      <c r="H1703" s="256"/>
      <c r="I1703" s="332"/>
      <c r="J1703" s="333"/>
      <c r="K1703" s="334"/>
      <c r="L1703" s="484"/>
    </row>
    <row r="1704" spans="1:12" ht="15" thickBot="1">
      <c r="A1704" s="328"/>
      <c r="B1704" s="257"/>
      <c r="C1704" s="257"/>
      <c r="D1704" s="329"/>
      <c r="E1704" s="330"/>
      <c r="F1704" s="331"/>
      <c r="G1704" s="256"/>
      <c r="H1704" s="256"/>
      <c r="I1704" s="332"/>
      <c r="J1704" s="333"/>
      <c r="K1704" s="334"/>
      <c r="L1704" s="484"/>
    </row>
    <row r="1705" spans="1:12" ht="15" thickBot="1">
      <c r="A1705" s="328"/>
      <c r="B1705" s="257"/>
      <c r="C1705" s="257"/>
      <c r="D1705" s="329"/>
      <c r="E1705" s="330"/>
      <c r="F1705" s="331"/>
      <c r="G1705" s="256"/>
      <c r="H1705" s="256"/>
      <c r="I1705" s="332"/>
      <c r="J1705" s="333"/>
      <c r="K1705" s="334"/>
      <c r="L1705" s="484"/>
    </row>
    <row r="1706" spans="1:12" ht="15" thickBot="1">
      <c r="A1706" s="328"/>
      <c r="B1706" s="257"/>
      <c r="C1706" s="257"/>
      <c r="D1706" s="329"/>
      <c r="E1706" s="330"/>
      <c r="F1706" s="331"/>
      <c r="G1706" s="256"/>
      <c r="H1706" s="256"/>
      <c r="I1706" s="332"/>
      <c r="J1706" s="333"/>
      <c r="K1706" s="334"/>
      <c r="L1706" s="484"/>
    </row>
    <row r="1707" spans="1:12" ht="15" thickBot="1">
      <c r="A1707" s="328"/>
      <c r="B1707" s="257"/>
      <c r="C1707" s="257"/>
      <c r="D1707" s="329"/>
      <c r="E1707" s="330"/>
      <c r="F1707" s="331"/>
      <c r="G1707" s="256"/>
      <c r="H1707" s="256"/>
      <c r="I1707" s="332"/>
      <c r="J1707" s="333"/>
      <c r="K1707" s="334"/>
      <c r="L1707" s="484"/>
    </row>
    <row r="1708" spans="1:12" ht="15" thickBot="1">
      <c r="A1708" s="328"/>
      <c r="B1708" s="257"/>
      <c r="C1708" s="257"/>
      <c r="D1708" s="329"/>
      <c r="E1708" s="330"/>
      <c r="F1708" s="331"/>
      <c r="G1708" s="256"/>
      <c r="H1708" s="256"/>
      <c r="I1708" s="332"/>
      <c r="J1708" s="333"/>
      <c r="K1708" s="334"/>
      <c r="L1708" s="484"/>
    </row>
    <row r="1709" spans="1:12" ht="15" thickBot="1">
      <c r="A1709" s="328"/>
      <c r="B1709" s="257"/>
      <c r="C1709" s="257"/>
      <c r="D1709" s="329"/>
      <c r="E1709" s="330"/>
      <c r="F1709" s="331"/>
      <c r="G1709" s="256"/>
      <c r="H1709" s="256"/>
      <c r="I1709" s="332"/>
      <c r="J1709" s="333"/>
      <c r="K1709" s="334"/>
      <c r="L1709" s="484"/>
    </row>
    <row r="1710" spans="1:12" ht="15" thickBot="1">
      <c r="A1710" s="328"/>
      <c r="B1710" s="257"/>
      <c r="C1710" s="257"/>
      <c r="D1710" s="329"/>
      <c r="E1710" s="330"/>
      <c r="F1710" s="331"/>
      <c r="G1710" s="256"/>
      <c r="H1710" s="256"/>
      <c r="I1710" s="332"/>
      <c r="J1710" s="333"/>
      <c r="K1710" s="334"/>
      <c r="L1710" s="484"/>
    </row>
    <row r="1711" spans="1:12" ht="15" thickBot="1">
      <c r="A1711" s="328"/>
      <c r="B1711" s="257"/>
      <c r="C1711" s="257"/>
      <c r="D1711" s="329"/>
      <c r="E1711" s="330"/>
      <c r="F1711" s="331"/>
      <c r="G1711" s="256"/>
      <c r="H1711" s="256"/>
      <c r="I1711" s="332"/>
      <c r="J1711" s="333"/>
      <c r="K1711" s="334"/>
      <c r="L1711" s="484"/>
    </row>
    <row r="1712" spans="1:12" ht="15" thickBot="1">
      <c r="A1712" s="328"/>
      <c r="B1712" s="257"/>
      <c r="C1712" s="257"/>
      <c r="D1712" s="329"/>
      <c r="E1712" s="330"/>
      <c r="F1712" s="331"/>
      <c r="G1712" s="256"/>
      <c r="H1712" s="256"/>
      <c r="I1712" s="332"/>
      <c r="J1712" s="333"/>
      <c r="K1712" s="334"/>
      <c r="L1712" s="484"/>
    </row>
    <row r="1713" spans="1:12" ht="15" thickBot="1">
      <c r="A1713" s="328"/>
      <c r="B1713" s="257"/>
      <c r="C1713" s="257"/>
      <c r="D1713" s="329"/>
      <c r="E1713" s="330"/>
      <c r="F1713" s="331"/>
      <c r="G1713" s="256"/>
      <c r="H1713" s="256"/>
      <c r="I1713" s="332"/>
      <c r="J1713" s="333"/>
      <c r="K1713" s="334"/>
      <c r="L1713" s="484"/>
    </row>
    <row r="1714" spans="1:12" ht="15" thickBot="1">
      <c r="A1714" s="328"/>
      <c r="B1714" s="257"/>
      <c r="C1714" s="257"/>
      <c r="D1714" s="329"/>
      <c r="E1714" s="330"/>
      <c r="F1714" s="331"/>
      <c r="G1714" s="256"/>
      <c r="H1714" s="256"/>
      <c r="I1714" s="332"/>
      <c r="J1714" s="333"/>
      <c r="K1714" s="334"/>
      <c r="L1714" s="484"/>
    </row>
    <row r="1715" spans="1:12" ht="15" thickBot="1">
      <c r="A1715" s="328"/>
      <c r="B1715" s="257"/>
      <c r="C1715" s="257"/>
      <c r="D1715" s="329"/>
      <c r="E1715" s="330"/>
      <c r="F1715" s="331"/>
      <c r="G1715" s="256"/>
      <c r="H1715" s="256"/>
      <c r="I1715" s="332"/>
      <c r="J1715" s="333"/>
      <c r="K1715" s="334"/>
      <c r="L1715" s="484"/>
    </row>
    <row r="1716" spans="1:12" ht="15" thickBot="1">
      <c r="A1716" s="328"/>
      <c r="B1716" s="257"/>
      <c r="C1716" s="257"/>
      <c r="D1716" s="329"/>
      <c r="E1716" s="330"/>
      <c r="F1716" s="331"/>
      <c r="G1716" s="256"/>
      <c r="H1716" s="256"/>
      <c r="I1716" s="332"/>
      <c r="J1716" s="333"/>
      <c r="K1716" s="334"/>
      <c r="L1716" s="484"/>
    </row>
    <row r="1717" spans="1:12" ht="15" thickBot="1">
      <c r="A1717" s="328"/>
      <c r="B1717" s="257"/>
      <c r="C1717" s="257"/>
      <c r="D1717" s="329"/>
      <c r="E1717" s="330"/>
      <c r="F1717" s="331"/>
      <c r="G1717" s="256"/>
      <c r="H1717" s="256"/>
      <c r="I1717" s="332"/>
      <c r="J1717" s="333"/>
      <c r="K1717" s="334"/>
      <c r="L1717" s="484"/>
    </row>
    <row r="1718" spans="1:12" ht="15" thickBot="1">
      <c r="A1718" s="328"/>
      <c r="B1718" s="257"/>
      <c r="C1718" s="257"/>
      <c r="D1718" s="329"/>
      <c r="E1718" s="330"/>
      <c r="F1718" s="331"/>
      <c r="G1718" s="256"/>
      <c r="H1718" s="256"/>
      <c r="I1718" s="332"/>
      <c r="J1718" s="333"/>
      <c r="K1718" s="334"/>
      <c r="L1718" s="484"/>
    </row>
    <row r="1719" spans="1:12" ht="15" thickBot="1">
      <c r="A1719" s="328"/>
      <c r="B1719" s="257"/>
      <c r="C1719" s="257"/>
      <c r="D1719" s="329"/>
      <c r="E1719" s="330"/>
      <c r="F1719" s="331"/>
      <c r="G1719" s="256"/>
      <c r="H1719" s="256"/>
      <c r="I1719" s="332"/>
      <c r="J1719" s="333"/>
      <c r="K1719" s="334"/>
      <c r="L1719" s="484"/>
    </row>
    <row r="1720" spans="1:12" ht="15" thickBot="1">
      <c r="A1720" s="328"/>
      <c r="B1720" s="257"/>
      <c r="C1720" s="257"/>
      <c r="D1720" s="329"/>
      <c r="E1720" s="330"/>
      <c r="F1720" s="331"/>
      <c r="G1720" s="256"/>
      <c r="H1720" s="256"/>
      <c r="I1720" s="332"/>
      <c r="J1720" s="333"/>
      <c r="K1720" s="334"/>
      <c r="L1720" s="484"/>
    </row>
    <row r="1721" spans="1:12" ht="15" thickBot="1">
      <c r="A1721" s="328"/>
      <c r="B1721" s="257"/>
      <c r="C1721" s="257"/>
      <c r="D1721" s="329"/>
      <c r="E1721" s="330"/>
      <c r="F1721" s="331"/>
      <c r="G1721" s="256"/>
      <c r="H1721" s="256"/>
      <c r="I1721" s="332"/>
      <c r="J1721" s="333"/>
      <c r="K1721" s="334"/>
      <c r="L1721" s="484"/>
    </row>
    <row r="1722" spans="1:12" ht="15" thickBot="1">
      <c r="A1722" s="328"/>
      <c r="B1722" s="257"/>
      <c r="C1722" s="257"/>
      <c r="D1722" s="329"/>
      <c r="E1722" s="330"/>
      <c r="F1722" s="331"/>
      <c r="G1722" s="256"/>
      <c r="H1722" s="256"/>
      <c r="I1722" s="332"/>
      <c r="J1722" s="333"/>
      <c r="K1722" s="334"/>
      <c r="L1722" s="484"/>
    </row>
    <row r="1723" spans="1:12" ht="15" thickBot="1">
      <c r="A1723" s="328"/>
      <c r="B1723" s="257"/>
      <c r="C1723" s="257"/>
      <c r="D1723" s="329"/>
      <c r="E1723" s="330"/>
      <c r="F1723" s="331"/>
      <c r="G1723" s="256"/>
      <c r="H1723" s="256"/>
      <c r="I1723" s="332"/>
      <c r="J1723" s="333"/>
      <c r="K1723" s="334"/>
      <c r="L1723" s="484"/>
    </row>
    <row r="1724" spans="1:12" ht="15" thickBot="1">
      <c r="A1724" s="328"/>
      <c r="B1724" s="257"/>
      <c r="C1724" s="257"/>
      <c r="D1724" s="329"/>
      <c r="E1724" s="330"/>
      <c r="F1724" s="331"/>
      <c r="G1724" s="256"/>
      <c r="H1724" s="256"/>
      <c r="I1724" s="332"/>
      <c r="J1724" s="333"/>
      <c r="K1724" s="334"/>
      <c r="L1724" s="484"/>
    </row>
    <row r="1725" spans="1:12" ht="15" thickBot="1">
      <c r="A1725" s="328"/>
      <c r="B1725" s="257"/>
      <c r="C1725" s="257"/>
      <c r="D1725" s="329"/>
      <c r="E1725" s="330"/>
      <c r="F1725" s="331"/>
      <c r="G1725" s="256"/>
      <c r="H1725" s="256"/>
      <c r="I1725" s="332"/>
      <c r="J1725" s="333"/>
      <c r="K1725" s="334"/>
      <c r="L1725" s="484"/>
    </row>
    <row r="1726" spans="1:12" ht="15" thickBot="1">
      <c r="A1726" s="328"/>
      <c r="B1726" s="257"/>
      <c r="C1726" s="257"/>
      <c r="D1726" s="329"/>
      <c r="E1726" s="330"/>
      <c r="F1726" s="331"/>
      <c r="G1726" s="256"/>
      <c r="H1726" s="256"/>
      <c r="I1726" s="332"/>
      <c r="J1726" s="333"/>
      <c r="K1726" s="334"/>
      <c r="L1726" s="484"/>
    </row>
    <row r="1727" spans="1:12" ht="15" thickBot="1">
      <c r="A1727" s="328"/>
      <c r="B1727" s="257"/>
      <c r="C1727" s="257"/>
      <c r="D1727" s="329"/>
      <c r="E1727" s="330"/>
      <c r="F1727" s="331"/>
      <c r="G1727" s="256"/>
      <c r="H1727" s="256"/>
      <c r="I1727" s="332"/>
      <c r="J1727" s="333"/>
      <c r="K1727" s="334"/>
      <c r="L1727" s="484"/>
    </row>
    <row r="1728" spans="1:12" ht="15" thickBot="1">
      <c r="A1728" s="328"/>
      <c r="B1728" s="257"/>
      <c r="C1728" s="257"/>
      <c r="D1728" s="329"/>
      <c r="E1728" s="330"/>
      <c r="F1728" s="331"/>
      <c r="G1728" s="256"/>
      <c r="H1728" s="256"/>
      <c r="I1728" s="332"/>
      <c r="J1728" s="333"/>
      <c r="K1728" s="334"/>
      <c r="L1728" s="484"/>
    </row>
    <row r="1729" spans="1:12" ht="15" thickBot="1">
      <c r="A1729" s="328"/>
      <c r="B1729" s="257"/>
      <c r="C1729" s="257"/>
      <c r="D1729" s="329"/>
      <c r="E1729" s="330"/>
      <c r="F1729" s="331"/>
      <c r="G1729" s="256"/>
      <c r="H1729" s="256"/>
      <c r="I1729" s="332"/>
      <c r="J1729" s="333"/>
      <c r="K1729" s="334"/>
      <c r="L1729" s="484"/>
    </row>
    <row r="1730" spans="1:12" ht="15" thickBot="1">
      <c r="A1730" s="328"/>
      <c r="B1730" s="257"/>
      <c r="C1730" s="257"/>
      <c r="D1730" s="329"/>
      <c r="E1730" s="330"/>
      <c r="F1730" s="331"/>
      <c r="G1730" s="256"/>
      <c r="H1730" s="256"/>
      <c r="I1730" s="332"/>
      <c r="J1730" s="333"/>
      <c r="K1730" s="334"/>
      <c r="L1730" s="484"/>
    </row>
    <row r="1731" spans="1:12" ht="15" thickBot="1">
      <c r="A1731" s="328"/>
      <c r="B1731" s="257"/>
      <c r="C1731" s="257"/>
      <c r="D1731" s="329"/>
      <c r="E1731" s="330"/>
      <c r="F1731" s="331"/>
      <c r="G1731" s="256"/>
      <c r="H1731" s="256"/>
      <c r="I1731" s="332"/>
      <c r="J1731" s="333"/>
      <c r="K1731" s="334"/>
      <c r="L1731" s="484"/>
    </row>
    <row r="1732" spans="1:12" ht="15" thickBot="1">
      <c r="A1732" s="328"/>
      <c r="B1732" s="257"/>
      <c r="C1732" s="257"/>
      <c r="D1732" s="329"/>
      <c r="E1732" s="330"/>
      <c r="F1732" s="331"/>
      <c r="G1732" s="256"/>
      <c r="H1732" s="256"/>
      <c r="I1732" s="332"/>
      <c r="J1732" s="333"/>
      <c r="K1732" s="334"/>
      <c r="L1732" s="484"/>
    </row>
    <row r="1733" spans="1:12" ht="15" thickBot="1">
      <c r="A1733" s="328"/>
      <c r="B1733" s="257"/>
      <c r="C1733" s="257"/>
      <c r="D1733" s="329"/>
      <c r="E1733" s="330"/>
      <c r="F1733" s="331"/>
      <c r="G1733" s="256"/>
      <c r="H1733" s="256"/>
      <c r="I1733" s="332"/>
      <c r="J1733" s="333"/>
      <c r="K1733" s="334"/>
      <c r="L1733" s="484"/>
    </row>
    <row r="1734" spans="1:12" ht="15" thickBot="1">
      <c r="A1734" s="328"/>
      <c r="B1734" s="257"/>
      <c r="C1734" s="257"/>
      <c r="D1734" s="329"/>
      <c r="E1734" s="330"/>
      <c r="F1734" s="331"/>
      <c r="G1734" s="256"/>
      <c r="H1734" s="256"/>
      <c r="I1734" s="332"/>
      <c r="J1734" s="333"/>
      <c r="K1734" s="334"/>
      <c r="L1734" s="484"/>
    </row>
    <row r="1735" spans="1:12" ht="15" thickBot="1">
      <c r="A1735" s="328"/>
      <c r="B1735" s="257"/>
      <c r="C1735" s="257"/>
      <c r="D1735" s="329"/>
      <c r="E1735" s="330"/>
      <c r="F1735" s="331"/>
      <c r="G1735" s="256"/>
      <c r="H1735" s="256"/>
      <c r="I1735" s="332"/>
      <c r="J1735" s="333"/>
      <c r="K1735" s="334"/>
      <c r="L1735" s="484"/>
    </row>
    <row r="1736" spans="1:12" ht="15" thickBot="1">
      <c r="A1736" s="328"/>
      <c r="B1736" s="257"/>
      <c r="C1736" s="257"/>
      <c r="D1736" s="329"/>
      <c r="E1736" s="330"/>
      <c r="F1736" s="331"/>
      <c r="G1736" s="256"/>
      <c r="H1736" s="256"/>
      <c r="I1736" s="332"/>
      <c r="J1736" s="333"/>
      <c r="K1736" s="334"/>
      <c r="L1736" s="484"/>
    </row>
    <row r="1737" spans="1:12" ht="15" thickBot="1">
      <c r="A1737" s="328"/>
      <c r="B1737" s="257"/>
      <c r="C1737" s="257"/>
      <c r="D1737" s="329"/>
      <c r="E1737" s="330"/>
      <c r="F1737" s="331"/>
      <c r="G1737" s="256"/>
      <c r="H1737" s="256"/>
      <c r="I1737" s="332"/>
      <c r="J1737" s="333"/>
      <c r="K1737" s="334"/>
      <c r="L1737" s="484"/>
    </row>
    <row r="1738" spans="1:12" ht="15" thickBot="1">
      <c r="A1738" s="328"/>
      <c r="B1738" s="257"/>
      <c r="C1738" s="257"/>
      <c r="D1738" s="329"/>
      <c r="E1738" s="330"/>
      <c r="F1738" s="331"/>
      <c r="G1738" s="256"/>
      <c r="H1738" s="256"/>
      <c r="I1738" s="332"/>
      <c r="J1738" s="333"/>
      <c r="K1738" s="334"/>
      <c r="L1738" s="484"/>
    </row>
    <row r="1739" spans="1:12" ht="15" thickBot="1">
      <c r="A1739" s="328"/>
      <c r="B1739" s="257"/>
      <c r="C1739" s="257"/>
      <c r="D1739" s="329"/>
      <c r="E1739" s="330"/>
      <c r="F1739" s="331"/>
      <c r="G1739" s="256"/>
      <c r="H1739" s="256"/>
      <c r="I1739" s="332"/>
      <c r="J1739" s="333"/>
      <c r="K1739" s="334"/>
      <c r="L1739" s="484"/>
    </row>
    <row r="1740" spans="1:12" ht="15" thickBot="1">
      <c r="A1740" s="328"/>
      <c r="B1740" s="257"/>
      <c r="C1740" s="257"/>
      <c r="D1740" s="329"/>
      <c r="E1740" s="330"/>
      <c r="F1740" s="331"/>
      <c r="G1740" s="256"/>
      <c r="H1740" s="256"/>
      <c r="I1740" s="332"/>
      <c r="J1740" s="333"/>
      <c r="K1740" s="334"/>
      <c r="L1740" s="484"/>
    </row>
    <row r="1741" spans="1:12" ht="15" thickBot="1">
      <c r="A1741" s="328"/>
      <c r="B1741" s="257"/>
      <c r="C1741" s="257"/>
      <c r="D1741" s="329"/>
      <c r="E1741" s="330"/>
      <c r="F1741" s="331"/>
      <c r="G1741" s="256"/>
      <c r="H1741" s="256"/>
      <c r="I1741" s="332"/>
      <c r="J1741" s="333"/>
      <c r="K1741" s="334"/>
      <c r="L1741" s="484"/>
    </row>
    <row r="1742" spans="1:12" ht="15" thickBot="1">
      <c r="A1742" s="328"/>
      <c r="B1742" s="257"/>
      <c r="C1742" s="257"/>
      <c r="D1742" s="329"/>
      <c r="E1742" s="330"/>
      <c r="F1742" s="331"/>
      <c r="G1742" s="256"/>
      <c r="H1742" s="256"/>
      <c r="I1742" s="332"/>
      <c r="J1742" s="333"/>
      <c r="K1742" s="334"/>
      <c r="L1742" s="484"/>
    </row>
    <row r="1743" spans="1:12" ht="15" thickBot="1">
      <c r="A1743" s="328"/>
      <c r="B1743" s="257"/>
      <c r="C1743" s="257"/>
      <c r="D1743" s="329"/>
      <c r="E1743" s="330"/>
      <c r="F1743" s="331"/>
      <c r="G1743" s="256"/>
      <c r="H1743" s="256"/>
      <c r="I1743" s="332"/>
      <c r="J1743" s="333"/>
      <c r="K1743" s="334"/>
      <c r="L1743" s="484"/>
    </row>
    <row r="1744" spans="1:12" ht="15" thickBot="1">
      <c r="A1744" s="328"/>
      <c r="B1744" s="257"/>
      <c r="C1744" s="257"/>
      <c r="D1744" s="329"/>
      <c r="E1744" s="330"/>
      <c r="F1744" s="331"/>
      <c r="G1744" s="256"/>
      <c r="H1744" s="256"/>
      <c r="I1744" s="332"/>
      <c r="J1744" s="333"/>
      <c r="K1744" s="334"/>
      <c r="L1744" s="484"/>
    </row>
    <row r="1745" spans="1:12" ht="15" thickBot="1">
      <c r="A1745" s="328"/>
      <c r="B1745" s="257"/>
      <c r="C1745" s="257"/>
      <c r="D1745" s="329"/>
      <c r="E1745" s="330"/>
      <c r="F1745" s="331"/>
      <c r="G1745" s="256"/>
      <c r="H1745" s="256"/>
      <c r="I1745" s="332"/>
      <c r="J1745" s="333"/>
      <c r="K1745" s="334"/>
      <c r="L1745" s="484"/>
    </row>
    <row r="1746" spans="1:12" ht="15" thickBot="1">
      <c r="A1746" s="328"/>
      <c r="B1746" s="257"/>
      <c r="C1746" s="257"/>
      <c r="D1746" s="329"/>
      <c r="E1746" s="330"/>
      <c r="F1746" s="331"/>
      <c r="G1746" s="256"/>
      <c r="H1746" s="256"/>
      <c r="I1746" s="332"/>
      <c r="J1746" s="333"/>
      <c r="K1746" s="334"/>
      <c r="L1746" s="484"/>
    </row>
    <row r="1747" spans="1:12" ht="15" thickBot="1">
      <c r="A1747" s="328"/>
      <c r="B1747" s="257"/>
      <c r="C1747" s="257"/>
      <c r="D1747" s="329"/>
      <c r="E1747" s="330"/>
      <c r="F1747" s="331"/>
      <c r="G1747" s="256"/>
      <c r="H1747" s="256"/>
      <c r="I1747" s="332"/>
      <c r="J1747" s="333"/>
      <c r="K1747" s="334"/>
      <c r="L1747" s="484"/>
    </row>
    <row r="1748" spans="1:12" ht="15" thickBot="1">
      <c r="A1748" s="328"/>
      <c r="B1748" s="257"/>
      <c r="C1748" s="257"/>
      <c r="D1748" s="329"/>
      <c r="E1748" s="330"/>
      <c r="F1748" s="331"/>
      <c r="G1748" s="256"/>
      <c r="H1748" s="256"/>
      <c r="I1748" s="332"/>
      <c r="J1748" s="333"/>
      <c r="K1748" s="334"/>
      <c r="L1748" s="484"/>
    </row>
    <row r="1749" spans="1:12" ht="15" thickBot="1">
      <c r="A1749" s="328"/>
      <c r="B1749" s="257"/>
      <c r="C1749" s="257"/>
      <c r="D1749" s="329"/>
      <c r="E1749" s="330"/>
      <c r="F1749" s="331"/>
      <c r="G1749" s="256"/>
      <c r="H1749" s="256"/>
      <c r="I1749" s="332"/>
      <c r="J1749" s="333"/>
      <c r="K1749" s="334"/>
      <c r="L1749" s="484"/>
    </row>
    <row r="1750" spans="1:12" ht="15" thickBot="1">
      <c r="A1750" s="328"/>
      <c r="B1750" s="257"/>
      <c r="C1750" s="257"/>
      <c r="D1750" s="329"/>
      <c r="E1750" s="330"/>
      <c r="F1750" s="331"/>
      <c r="G1750" s="256"/>
      <c r="H1750" s="256"/>
      <c r="I1750" s="332"/>
      <c r="J1750" s="333"/>
      <c r="K1750" s="334"/>
      <c r="L1750" s="484"/>
    </row>
    <row r="1751" spans="1:12" ht="15" thickBot="1">
      <c r="A1751" s="328"/>
      <c r="B1751" s="257"/>
      <c r="C1751" s="257"/>
      <c r="D1751" s="329"/>
      <c r="E1751" s="330"/>
      <c r="F1751" s="331"/>
      <c r="G1751" s="256"/>
      <c r="H1751" s="256"/>
      <c r="I1751" s="332"/>
      <c r="J1751" s="333"/>
      <c r="K1751" s="334"/>
      <c r="L1751" s="484"/>
    </row>
    <row r="1752" spans="1:12" ht="15" thickBot="1">
      <c r="A1752" s="328"/>
      <c r="B1752" s="257"/>
      <c r="C1752" s="257"/>
      <c r="D1752" s="329"/>
      <c r="E1752" s="330"/>
      <c r="F1752" s="331"/>
      <c r="G1752" s="256"/>
      <c r="H1752" s="256"/>
      <c r="I1752" s="332"/>
      <c r="J1752" s="333"/>
      <c r="K1752" s="334"/>
      <c r="L1752" s="484"/>
    </row>
    <row r="1753" spans="1:12" ht="15" thickBot="1">
      <c r="A1753" s="328"/>
      <c r="B1753" s="257"/>
      <c r="C1753" s="257"/>
      <c r="D1753" s="329"/>
      <c r="E1753" s="330"/>
      <c r="F1753" s="331"/>
      <c r="G1753" s="256"/>
      <c r="H1753" s="256"/>
      <c r="I1753" s="332"/>
      <c r="J1753" s="333"/>
      <c r="K1753" s="334"/>
      <c r="L1753" s="484"/>
    </row>
    <row r="1754" spans="1:12" ht="15" thickBot="1">
      <c r="A1754" s="328"/>
      <c r="B1754" s="257"/>
      <c r="C1754" s="257"/>
      <c r="D1754" s="329"/>
      <c r="E1754" s="330"/>
      <c r="F1754" s="331"/>
      <c r="G1754" s="256"/>
      <c r="H1754" s="256"/>
      <c r="I1754" s="332"/>
      <c r="J1754" s="333"/>
      <c r="K1754" s="334"/>
      <c r="L1754" s="484"/>
    </row>
    <row r="1755" spans="1:12" ht="15" thickBot="1">
      <c r="A1755" s="328"/>
      <c r="B1755" s="257"/>
      <c r="C1755" s="257"/>
      <c r="D1755" s="329"/>
      <c r="E1755" s="330"/>
      <c r="F1755" s="331"/>
      <c r="G1755" s="256"/>
      <c r="H1755" s="256"/>
      <c r="I1755" s="332"/>
      <c r="J1755" s="333"/>
      <c r="K1755" s="334"/>
      <c r="L1755" s="484"/>
    </row>
    <row r="1756" spans="1:12" ht="15" thickBot="1">
      <c r="A1756" s="328"/>
      <c r="B1756" s="257"/>
      <c r="C1756" s="257"/>
      <c r="D1756" s="329"/>
      <c r="E1756" s="330"/>
      <c r="F1756" s="331"/>
      <c r="G1756" s="256"/>
      <c r="H1756" s="256"/>
      <c r="I1756" s="332"/>
      <c r="J1756" s="333"/>
      <c r="K1756" s="334"/>
      <c r="L1756" s="484"/>
    </row>
    <row r="1757" spans="1:12" ht="15" thickBot="1">
      <c r="A1757" s="328"/>
      <c r="B1757" s="257"/>
      <c r="C1757" s="257"/>
      <c r="D1757" s="329"/>
      <c r="E1757" s="330"/>
      <c r="F1757" s="331"/>
      <c r="G1757" s="256"/>
      <c r="H1757" s="256"/>
      <c r="I1757" s="332"/>
      <c r="J1757" s="333"/>
      <c r="K1757" s="334"/>
      <c r="L1757" s="484"/>
    </row>
    <row r="1758" spans="1:12" ht="15" thickBot="1">
      <c r="A1758" s="328"/>
      <c r="B1758" s="257"/>
      <c r="C1758" s="257"/>
      <c r="D1758" s="329"/>
      <c r="E1758" s="330"/>
      <c r="F1758" s="331"/>
      <c r="G1758" s="256"/>
      <c r="H1758" s="256"/>
      <c r="I1758" s="332"/>
      <c r="J1758" s="333"/>
      <c r="K1758" s="334"/>
      <c r="L1758" s="484"/>
    </row>
    <row r="1759" spans="1:12" ht="15" thickBot="1">
      <c r="A1759" s="328"/>
      <c r="B1759" s="257"/>
      <c r="C1759" s="257"/>
      <c r="D1759" s="329"/>
      <c r="E1759" s="330"/>
      <c r="F1759" s="331"/>
      <c r="G1759" s="256"/>
      <c r="H1759" s="256"/>
      <c r="I1759" s="332"/>
      <c r="J1759" s="333"/>
      <c r="K1759" s="334"/>
      <c r="L1759" s="484"/>
    </row>
    <row r="1760" spans="1:12" ht="15" thickBot="1">
      <c r="A1760" s="328"/>
      <c r="B1760" s="257"/>
      <c r="C1760" s="257"/>
      <c r="D1760" s="329"/>
      <c r="E1760" s="330"/>
      <c r="F1760" s="331"/>
      <c r="G1760" s="256"/>
      <c r="H1760" s="256"/>
      <c r="I1760" s="332"/>
      <c r="J1760" s="333"/>
      <c r="K1760" s="334"/>
      <c r="L1760" s="484"/>
    </row>
    <row r="1761" spans="1:12" ht="15" thickBot="1">
      <c r="A1761" s="328"/>
      <c r="B1761" s="257"/>
      <c r="C1761" s="257"/>
      <c r="D1761" s="329"/>
      <c r="E1761" s="330"/>
      <c r="F1761" s="331"/>
      <c r="G1761" s="256"/>
      <c r="H1761" s="256"/>
      <c r="I1761" s="332"/>
      <c r="J1761" s="333"/>
      <c r="K1761" s="334"/>
      <c r="L1761" s="484"/>
    </row>
    <row r="1762" spans="1:12" ht="15" thickBot="1">
      <c r="A1762" s="328"/>
      <c r="B1762" s="257"/>
      <c r="C1762" s="257"/>
      <c r="D1762" s="329"/>
      <c r="E1762" s="330"/>
      <c r="F1762" s="331"/>
      <c r="G1762" s="256"/>
      <c r="H1762" s="256"/>
      <c r="I1762" s="332"/>
      <c r="J1762" s="333"/>
      <c r="K1762" s="334"/>
      <c r="L1762" s="484"/>
    </row>
    <row r="1763" spans="1:12" ht="15" thickBot="1">
      <c r="A1763" s="328"/>
      <c r="B1763" s="257"/>
      <c r="C1763" s="257"/>
      <c r="D1763" s="329"/>
      <c r="E1763" s="330"/>
      <c r="F1763" s="331"/>
      <c r="G1763" s="256"/>
      <c r="H1763" s="256"/>
      <c r="I1763" s="332"/>
      <c r="J1763" s="333"/>
      <c r="K1763" s="334"/>
      <c r="L1763" s="484"/>
    </row>
    <row r="1764" spans="1:12" ht="15" thickBot="1">
      <c r="A1764" s="328"/>
      <c r="B1764" s="257"/>
      <c r="C1764" s="257"/>
      <c r="D1764" s="329"/>
      <c r="E1764" s="330"/>
      <c r="F1764" s="331"/>
      <c r="G1764" s="256"/>
      <c r="H1764" s="256"/>
      <c r="I1764" s="332"/>
      <c r="J1764" s="333"/>
      <c r="K1764" s="334"/>
      <c r="L1764" s="484"/>
    </row>
    <row r="1765" spans="1:12" ht="15" thickBot="1">
      <c r="A1765" s="328"/>
      <c r="B1765" s="257"/>
      <c r="C1765" s="257"/>
      <c r="D1765" s="329"/>
      <c r="E1765" s="330"/>
      <c r="F1765" s="331"/>
      <c r="G1765" s="256"/>
      <c r="H1765" s="256"/>
      <c r="I1765" s="332"/>
      <c r="J1765" s="333"/>
      <c r="K1765" s="334"/>
      <c r="L1765" s="484"/>
    </row>
    <row r="1766" spans="1:12" ht="15" thickBot="1">
      <c r="A1766" s="328"/>
      <c r="B1766" s="257"/>
      <c r="C1766" s="257"/>
      <c r="D1766" s="329"/>
      <c r="E1766" s="330"/>
      <c r="F1766" s="331"/>
      <c r="G1766" s="256"/>
      <c r="H1766" s="256"/>
      <c r="I1766" s="332"/>
      <c r="J1766" s="333"/>
      <c r="K1766" s="334"/>
      <c r="L1766" s="484"/>
    </row>
    <row r="1767" spans="1:12" ht="15" thickBot="1">
      <c r="A1767" s="328"/>
      <c r="B1767" s="257"/>
      <c r="C1767" s="257"/>
      <c r="D1767" s="329"/>
      <c r="E1767" s="330"/>
      <c r="F1767" s="331"/>
      <c r="G1767" s="256"/>
      <c r="H1767" s="256"/>
      <c r="I1767" s="332"/>
      <c r="J1767" s="333"/>
      <c r="K1767" s="334"/>
      <c r="L1767" s="484"/>
    </row>
    <row r="1768" spans="1:12" ht="15" thickBot="1">
      <c r="A1768" s="328"/>
      <c r="B1768" s="257"/>
      <c r="C1768" s="257"/>
      <c r="D1768" s="329"/>
      <c r="E1768" s="330"/>
      <c r="F1768" s="331"/>
      <c r="G1768" s="256"/>
      <c r="H1768" s="256"/>
      <c r="I1768" s="332"/>
      <c r="J1768" s="333"/>
      <c r="K1768" s="334"/>
      <c r="L1768" s="484"/>
    </row>
    <row r="1769" spans="1:12" ht="15" thickBot="1">
      <c r="A1769" s="328"/>
      <c r="B1769" s="257"/>
      <c r="C1769" s="257"/>
      <c r="D1769" s="329"/>
      <c r="E1769" s="330"/>
      <c r="F1769" s="331"/>
      <c r="G1769" s="256"/>
      <c r="H1769" s="256"/>
      <c r="I1769" s="332"/>
      <c r="J1769" s="333"/>
      <c r="K1769" s="334"/>
      <c r="L1769" s="484"/>
    </row>
    <row r="1770" spans="1:12" ht="15" thickBot="1">
      <c r="A1770" s="328"/>
      <c r="B1770" s="257"/>
      <c r="C1770" s="257"/>
      <c r="D1770" s="329"/>
      <c r="E1770" s="330"/>
      <c r="F1770" s="331"/>
      <c r="G1770" s="256"/>
      <c r="H1770" s="256"/>
      <c r="I1770" s="332"/>
      <c r="J1770" s="333"/>
      <c r="K1770" s="334"/>
      <c r="L1770" s="484"/>
    </row>
    <row r="1771" spans="1:12" ht="15" thickBot="1">
      <c r="A1771" s="328"/>
      <c r="B1771" s="257"/>
      <c r="C1771" s="257"/>
      <c r="D1771" s="329"/>
      <c r="E1771" s="330"/>
      <c r="F1771" s="331"/>
      <c r="G1771" s="256"/>
      <c r="H1771" s="256"/>
      <c r="I1771" s="332"/>
      <c r="J1771" s="333"/>
      <c r="K1771" s="334"/>
      <c r="L1771" s="484"/>
    </row>
    <row r="1772" spans="1:12" ht="15" thickBot="1">
      <c r="A1772" s="328"/>
      <c r="B1772" s="257"/>
      <c r="C1772" s="257"/>
      <c r="D1772" s="329"/>
      <c r="E1772" s="330"/>
      <c r="F1772" s="331"/>
      <c r="G1772" s="256"/>
      <c r="H1772" s="256"/>
      <c r="I1772" s="332"/>
      <c r="J1772" s="333"/>
      <c r="K1772" s="334"/>
      <c r="L1772" s="484"/>
    </row>
    <row r="1773" spans="1:12" ht="15" thickBot="1">
      <c r="A1773" s="328"/>
      <c r="B1773" s="257"/>
      <c r="C1773" s="257"/>
      <c r="D1773" s="329"/>
      <c r="E1773" s="330"/>
      <c r="F1773" s="331"/>
      <c r="G1773" s="256"/>
      <c r="H1773" s="256"/>
      <c r="I1773" s="332"/>
      <c r="J1773" s="333"/>
      <c r="K1773" s="334"/>
      <c r="L1773" s="484"/>
    </row>
    <row r="1774" spans="1:12" ht="15" thickBot="1">
      <c r="A1774" s="328"/>
      <c r="B1774" s="257"/>
      <c r="C1774" s="257"/>
      <c r="D1774" s="329"/>
      <c r="E1774" s="330"/>
      <c r="F1774" s="331"/>
      <c r="G1774" s="256"/>
      <c r="H1774" s="256"/>
      <c r="I1774" s="332"/>
      <c r="J1774" s="333"/>
      <c r="K1774" s="334"/>
      <c r="L1774" s="484"/>
    </row>
    <row r="1775" spans="1:12" ht="15" thickBot="1">
      <c r="A1775" s="328"/>
      <c r="B1775" s="257"/>
      <c r="C1775" s="257"/>
      <c r="D1775" s="329"/>
      <c r="E1775" s="330"/>
      <c r="F1775" s="331"/>
      <c r="G1775" s="256"/>
      <c r="H1775" s="256"/>
      <c r="I1775" s="332"/>
      <c r="J1775" s="333"/>
      <c r="K1775" s="334"/>
      <c r="L1775" s="484"/>
    </row>
    <row r="1776" spans="1:12" ht="15" thickBot="1">
      <c r="A1776" s="328"/>
      <c r="B1776" s="257"/>
      <c r="C1776" s="257"/>
      <c r="D1776" s="329"/>
      <c r="E1776" s="330"/>
      <c r="F1776" s="331"/>
      <c r="G1776" s="256"/>
      <c r="H1776" s="256"/>
      <c r="I1776" s="332"/>
      <c r="J1776" s="333"/>
      <c r="K1776" s="334"/>
      <c r="L1776" s="484"/>
    </row>
    <row r="1777" spans="1:12" ht="15" thickBot="1">
      <c r="A1777" s="328"/>
      <c r="B1777" s="257"/>
      <c r="C1777" s="257"/>
      <c r="D1777" s="329"/>
      <c r="E1777" s="330"/>
      <c r="F1777" s="331"/>
      <c r="G1777" s="256"/>
      <c r="H1777" s="256"/>
      <c r="I1777" s="332"/>
      <c r="J1777" s="333"/>
      <c r="K1777" s="334"/>
      <c r="L1777" s="484"/>
    </row>
    <row r="1778" spans="1:12" ht="15" thickBot="1">
      <c r="A1778" s="328"/>
      <c r="B1778" s="257"/>
      <c r="C1778" s="257"/>
      <c r="D1778" s="329"/>
      <c r="E1778" s="330"/>
      <c r="F1778" s="331"/>
      <c r="G1778" s="256"/>
      <c r="H1778" s="256"/>
      <c r="I1778" s="332"/>
      <c r="J1778" s="333"/>
      <c r="K1778" s="334"/>
      <c r="L1778" s="484"/>
    </row>
    <row r="1779" spans="1:12" ht="15" thickBot="1">
      <c r="A1779" s="328"/>
      <c r="B1779" s="257"/>
      <c r="C1779" s="257"/>
      <c r="D1779" s="329"/>
      <c r="E1779" s="330"/>
      <c r="F1779" s="331"/>
      <c r="G1779" s="256"/>
      <c r="H1779" s="256"/>
      <c r="I1779" s="332"/>
      <c r="J1779" s="333"/>
      <c r="K1779" s="334"/>
      <c r="L1779" s="484"/>
    </row>
    <row r="1780" spans="1:12" ht="15" thickBot="1">
      <c r="A1780" s="328"/>
      <c r="B1780" s="257"/>
      <c r="C1780" s="257"/>
      <c r="D1780" s="329"/>
      <c r="E1780" s="330"/>
      <c r="F1780" s="331"/>
      <c r="G1780" s="256"/>
      <c r="H1780" s="256"/>
      <c r="I1780" s="332"/>
      <c r="J1780" s="333"/>
      <c r="K1780" s="334"/>
      <c r="L1780" s="484"/>
    </row>
    <row r="1781" spans="1:12" ht="15" thickBot="1">
      <c r="A1781" s="328"/>
      <c r="B1781" s="257"/>
      <c r="C1781" s="257"/>
      <c r="D1781" s="329"/>
      <c r="E1781" s="330"/>
      <c r="F1781" s="331"/>
      <c r="G1781" s="256"/>
      <c r="H1781" s="256"/>
      <c r="I1781" s="332"/>
      <c r="J1781" s="333"/>
      <c r="K1781" s="334"/>
      <c r="L1781" s="484"/>
    </row>
    <row r="1782" spans="1:12" ht="15" thickBot="1">
      <c r="A1782" s="328"/>
      <c r="B1782" s="257"/>
      <c r="C1782" s="257"/>
      <c r="D1782" s="329"/>
      <c r="E1782" s="330"/>
      <c r="F1782" s="331"/>
      <c r="G1782" s="256"/>
      <c r="H1782" s="256"/>
      <c r="I1782" s="332"/>
      <c r="J1782" s="333"/>
      <c r="K1782" s="334"/>
      <c r="L1782" s="484"/>
    </row>
    <row r="1783" spans="1:12" ht="15" thickBot="1">
      <c r="A1783" s="328"/>
      <c r="B1783" s="257"/>
      <c r="C1783" s="257"/>
      <c r="D1783" s="329"/>
      <c r="E1783" s="330"/>
      <c r="F1783" s="331"/>
      <c r="G1783" s="256"/>
      <c r="H1783" s="256"/>
      <c r="I1783" s="332"/>
      <c r="J1783" s="333"/>
      <c r="K1783" s="334"/>
      <c r="L1783" s="484"/>
    </row>
    <row r="1784" spans="1:12" ht="15" thickBot="1">
      <c r="A1784" s="328"/>
      <c r="B1784" s="257"/>
      <c r="C1784" s="257"/>
      <c r="D1784" s="329"/>
      <c r="E1784" s="330"/>
      <c r="F1784" s="331"/>
      <c r="G1784" s="256"/>
      <c r="H1784" s="256"/>
      <c r="I1784" s="332"/>
      <c r="J1784" s="333"/>
      <c r="K1784" s="334"/>
      <c r="L1784" s="484"/>
    </row>
    <row r="1785" spans="1:12" ht="15" thickBot="1">
      <c r="A1785" s="328"/>
      <c r="B1785" s="257"/>
      <c r="C1785" s="257"/>
      <c r="D1785" s="329"/>
      <c r="E1785" s="330"/>
      <c r="F1785" s="331"/>
      <c r="G1785" s="256"/>
      <c r="H1785" s="256"/>
      <c r="I1785" s="332"/>
      <c r="J1785" s="333"/>
      <c r="K1785" s="334"/>
      <c r="L1785" s="484"/>
    </row>
    <row r="1786" spans="1:12" ht="15" thickBot="1">
      <c r="A1786" s="328"/>
      <c r="B1786" s="257"/>
      <c r="C1786" s="257"/>
      <c r="D1786" s="329"/>
      <c r="E1786" s="330"/>
      <c r="F1786" s="331"/>
      <c r="G1786" s="256"/>
      <c r="H1786" s="256"/>
      <c r="I1786" s="332"/>
      <c r="J1786" s="333"/>
      <c r="K1786" s="334"/>
      <c r="L1786" s="484"/>
    </row>
    <row r="1787" spans="1:12" ht="15" thickBot="1">
      <c r="A1787" s="328"/>
      <c r="B1787" s="257"/>
      <c r="C1787" s="257"/>
      <c r="D1787" s="329"/>
      <c r="E1787" s="330"/>
      <c r="F1787" s="331"/>
      <c r="G1787" s="256"/>
      <c r="H1787" s="256"/>
      <c r="I1787" s="332"/>
      <c r="J1787" s="333"/>
      <c r="K1787" s="334"/>
      <c r="L1787" s="484"/>
    </row>
    <row r="1788" spans="1:12" ht="15" thickBot="1">
      <c r="A1788" s="328"/>
      <c r="B1788" s="257"/>
      <c r="C1788" s="257"/>
      <c r="D1788" s="329"/>
      <c r="E1788" s="330"/>
      <c r="F1788" s="331"/>
      <c r="G1788" s="256"/>
      <c r="H1788" s="256"/>
      <c r="I1788" s="332"/>
      <c r="J1788" s="333"/>
      <c r="K1788" s="334"/>
      <c r="L1788" s="484"/>
    </row>
    <row r="1789" spans="1:12" ht="15" thickBot="1">
      <c r="A1789" s="328"/>
      <c r="B1789" s="257"/>
      <c r="C1789" s="257"/>
      <c r="D1789" s="329"/>
      <c r="E1789" s="330"/>
      <c r="F1789" s="331"/>
      <c r="G1789" s="256"/>
      <c r="H1789" s="256"/>
      <c r="I1789" s="332"/>
      <c r="J1789" s="333"/>
      <c r="K1789" s="334"/>
      <c r="L1789" s="484"/>
    </row>
    <row r="1790" spans="1:12" ht="15" thickBot="1">
      <c r="A1790" s="328"/>
      <c r="B1790" s="257"/>
      <c r="C1790" s="257"/>
      <c r="D1790" s="329"/>
      <c r="E1790" s="330"/>
      <c r="F1790" s="331"/>
      <c r="G1790" s="256"/>
      <c r="H1790" s="256"/>
      <c r="I1790" s="332"/>
      <c r="J1790" s="333"/>
      <c r="K1790" s="334"/>
      <c r="L1790" s="484"/>
    </row>
    <row r="1791" spans="1:12" ht="15" thickBot="1">
      <c r="A1791" s="328"/>
      <c r="B1791" s="257"/>
      <c r="C1791" s="257"/>
      <c r="D1791" s="329"/>
      <c r="E1791" s="330"/>
      <c r="F1791" s="331"/>
      <c r="G1791" s="256"/>
      <c r="H1791" s="256"/>
      <c r="I1791" s="332"/>
      <c r="J1791" s="333"/>
      <c r="K1791" s="334"/>
      <c r="L1791" s="484"/>
    </row>
    <row r="1792" spans="1:12" ht="15" thickBot="1">
      <c r="A1792" s="328"/>
      <c r="B1792" s="257"/>
      <c r="C1792" s="257"/>
      <c r="D1792" s="329"/>
      <c r="E1792" s="330"/>
      <c r="F1792" s="331"/>
      <c r="G1792" s="256"/>
      <c r="H1792" s="256"/>
      <c r="I1792" s="332"/>
      <c r="J1792" s="333"/>
      <c r="K1792" s="334"/>
      <c r="L1792" s="484"/>
    </row>
    <row r="1793" spans="1:12" ht="15" thickBot="1">
      <c r="A1793" s="328"/>
      <c r="B1793" s="257"/>
      <c r="C1793" s="257"/>
      <c r="D1793" s="329"/>
      <c r="E1793" s="330"/>
      <c r="F1793" s="331"/>
      <c r="G1793" s="256"/>
      <c r="H1793" s="256"/>
      <c r="I1793" s="332"/>
      <c r="J1793" s="333"/>
      <c r="K1793" s="334"/>
      <c r="L1793" s="484"/>
    </row>
    <row r="1794" spans="1:12" ht="15" thickBot="1">
      <c r="A1794" s="328"/>
      <c r="B1794" s="257"/>
      <c r="C1794" s="257"/>
      <c r="D1794" s="329"/>
      <c r="E1794" s="330"/>
      <c r="F1794" s="331"/>
      <c r="G1794" s="256"/>
      <c r="H1794" s="256"/>
      <c r="I1794" s="332"/>
      <c r="J1794" s="333"/>
      <c r="K1794" s="334"/>
      <c r="L1794" s="484"/>
    </row>
    <row r="1795" spans="1:12" ht="15" thickBot="1">
      <c r="A1795" s="328"/>
      <c r="B1795" s="257"/>
      <c r="C1795" s="257"/>
      <c r="D1795" s="329"/>
      <c r="E1795" s="330"/>
      <c r="F1795" s="331"/>
      <c r="G1795" s="256"/>
      <c r="H1795" s="256"/>
      <c r="I1795" s="332"/>
      <c r="J1795" s="333"/>
      <c r="K1795" s="334"/>
      <c r="L1795" s="484"/>
    </row>
    <row r="1796" spans="1:12" ht="15" thickBot="1">
      <c r="A1796" s="328"/>
      <c r="B1796" s="257"/>
      <c r="C1796" s="257"/>
      <c r="D1796" s="329"/>
      <c r="E1796" s="330"/>
      <c r="F1796" s="331"/>
      <c r="G1796" s="256"/>
      <c r="H1796" s="256"/>
      <c r="I1796" s="332"/>
      <c r="J1796" s="333"/>
      <c r="K1796" s="334"/>
      <c r="L1796" s="484"/>
    </row>
    <row r="1797" spans="1:12" ht="15" thickBot="1">
      <c r="A1797" s="328"/>
      <c r="B1797" s="257"/>
      <c r="C1797" s="257"/>
      <c r="D1797" s="329"/>
      <c r="E1797" s="330"/>
      <c r="F1797" s="331"/>
      <c r="G1797" s="256"/>
      <c r="H1797" s="256"/>
      <c r="I1797" s="332"/>
      <c r="J1797" s="333"/>
      <c r="K1797" s="334"/>
      <c r="L1797" s="484"/>
    </row>
    <row r="1798" spans="1:12" ht="15" thickBot="1">
      <c r="A1798" s="328"/>
      <c r="B1798" s="257"/>
      <c r="C1798" s="257"/>
      <c r="D1798" s="329"/>
      <c r="E1798" s="330"/>
      <c r="F1798" s="331"/>
      <c r="G1798" s="256"/>
      <c r="H1798" s="256"/>
      <c r="I1798" s="332"/>
      <c r="J1798" s="333"/>
      <c r="K1798" s="334"/>
      <c r="L1798" s="484"/>
    </row>
    <row r="1799" spans="1:12" ht="15" thickBot="1">
      <c r="A1799" s="328"/>
      <c r="B1799" s="257"/>
      <c r="C1799" s="257"/>
      <c r="D1799" s="329"/>
      <c r="E1799" s="330"/>
      <c r="F1799" s="331"/>
      <c r="G1799" s="256"/>
      <c r="H1799" s="256"/>
      <c r="I1799" s="332"/>
      <c r="J1799" s="333"/>
      <c r="K1799" s="334"/>
      <c r="L1799" s="484"/>
    </row>
    <row r="1800" spans="1:12" ht="15" thickBot="1">
      <c r="A1800" s="328"/>
      <c r="B1800" s="257"/>
      <c r="C1800" s="257"/>
      <c r="D1800" s="329"/>
      <c r="E1800" s="330"/>
      <c r="F1800" s="331"/>
      <c r="G1800" s="256"/>
      <c r="H1800" s="256"/>
      <c r="I1800" s="332"/>
      <c r="J1800" s="333"/>
      <c r="K1800" s="334"/>
      <c r="L1800" s="484"/>
    </row>
    <row r="1801" spans="1:12" ht="15" thickBot="1">
      <c r="A1801" s="328"/>
      <c r="B1801" s="257"/>
      <c r="C1801" s="257"/>
      <c r="D1801" s="329"/>
      <c r="E1801" s="330"/>
      <c r="F1801" s="331"/>
      <c r="G1801" s="256"/>
      <c r="H1801" s="256"/>
      <c r="I1801" s="332"/>
      <c r="J1801" s="333"/>
      <c r="K1801" s="334"/>
      <c r="L1801" s="484"/>
    </row>
    <row r="1802" spans="1:12" ht="15" thickBot="1">
      <c r="A1802" s="328"/>
      <c r="B1802" s="257"/>
      <c r="C1802" s="257"/>
      <c r="D1802" s="329"/>
      <c r="E1802" s="330"/>
      <c r="F1802" s="331"/>
      <c r="G1802" s="256"/>
      <c r="H1802" s="256"/>
      <c r="I1802" s="332"/>
      <c r="J1802" s="333"/>
      <c r="K1802" s="334"/>
      <c r="L1802" s="484"/>
    </row>
    <row r="1803" spans="1:12" ht="15" thickBot="1">
      <c r="A1803" s="328"/>
      <c r="B1803" s="257"/>
      <c r="C1803" s="257"/>
      <c r="D1803" s="329"/>
      <c r="E1803" s="330"/>
      <c r="F1803" s="331"/>
      <c r="G1803" s="256"/>
      <c r="H1803" s="256"/>
      <c r="I1803" s="332"/>
      <c r="J1803" s="333"/>
      <c r="K1803" s="334"/>
      <c r="L1803" s="484"/>
    </row>
    <row r="1804" spans="1:12" ht="15" thickBot="1">
      <c r="A1804" s="328"/>
      <c r="B1804" s="257"/>
      <c r="C1804" s="257"/>
      <c r="D1804" s="329"/>
      <c r="E1804" s="330"/>
      <c r="F1804" s="331"/>
      <c r="G1804" s="256"/>
      <c r="H1804" s="256"/>
      <c r="I1804" s="332"/>
      <c r="J1804" s="333"/>
      <c r="K1804" s="334"/>
      <c r="L1804" s="484"/>
    </row>
    <row r="1805" spans="1:12" ht="15" thickBot="1">
      <c r="A1805" s="328"/>
      <c r="B1805" s="257"/>
      <c r="C1805" s="257"/>
      <c r="D1805" s="329"/>
      <c r="E1805" s="330"/>
      <c r="F1805" s="331"/>
      <c r="G1805" s="256"/>
      <c r="H1805" s="256"/>
      <c r="I1805" s="332"/>
      <c r="J1805" s="333"/>
      <c r="K1805" s="334"/>
      <c r="L1805" s="484"/>
    </row>
    <row r="1806" spans="1:12" ht="15" thickBot="1">
      <c r="A1806" s="328"/>
      <c r="B1806" s="257"/>
      <c r="C1806" s="257"/>
      <c r="D1806" s="329"/>
      <c r="E1806" s="330"/>
      <c r="F1806" s="331"/>
      <c r="G1806" s="256"/>
      <c r="H1806" s="256"/>
      <c r="I1806" s="332"/>
      <c r="J1806" s="333"/>
      <c r="K1806" s="334"/>
      <c r="L1806" s="484"/>
    </row>
    <row r="1807" spans="1:12" ht="15" thickBot="1">
      <c r="A1807" s="328"/>
      <c r="B1807" s="257"/>
      <c r="C1807" s="257"/>
      <c r="D1807" s="329"/>
      <c r="E1807" s="330"/>
      <c r="F1807" s="331"/>
      <c r="G1807" s="256"/>
      <c r="H1807" s="256"/>
      <c r="I1807" s="332"/>
      <c r="J1807" s="333"/>
      <c r="K1807" s="334"/>
      <c r="L1807" s="484"/>
    </row>
    <row r="1808" spans="1:12" ht="15" thickBot="1">
      <c r="A1808" s="328"/>
      <c r="B1808" s="257"/>
      <c r="C1808" s="257"/>
      <c r="D1808" s="329"/>
      <c r="E1808" s="330"/>
      <c r="F1808" s="331"/>
      <c r="G1808" s="256"/>
      <c r="H1808" s="256"/>
      <c r="I1808" s="332"/>
      <c r="J1808" s="333"/>
      <c r="K1808" s="334"/>
      <c r="L1808" s="484"/>
    </row>
    <row r="1809" spans="1:12" ht="15" thickBot="1">
      <c r="A1809" s="328"/>
      <c r="B1809" s="257"/>
      <c r="C1809" s="257"/>
      <c r="D1809" s="329"/>
      <c r="E1809" s="330"/>
      <c r="F1809" s="331"/>
      <c r="G1809" s="256"/>
      <c r="H1809" s="256"/>
      <c r="I1809" s="332"/>
      <c r="J1809" s="333"/>
      <c r="K1809" s="334"/>
      <c r="L1809" s="484"/>
    </row>
    <row r="1810" spans="1:12" ht="15" thickBot="1">
      <c r="A1810" s="328"/>
      <c r="B1810" s="257"/>
      <c r="C1810" s="257"/>
      <c r="D1810" s="329"/>
      <c r="E1810" s="330"/>
      <c r="F1810" s="331"/>
      <c r="G1810" s="256"/>
      <c r="H1810" s="256"/>
      <c r="I1810" s="332"/>
      <c r="J1810" s="333"/>
      <c r="K1810" s="334"/>
      <c r="L1810" s="484"/>
    </row>
    <row r="1811" spans="1:12" ht="15" thickBot="1">
      <c r="A1811" s="328"/>
      <c r="B1811" s="257"/>
      <c r="C1811" s="257"/>
      <c r="D1811" s="329"/>
      <c r="E1811" s="330"/>
      <c r="F1811" s="331"/>
      <c r="G1811" s="256"/>
      <c r="H1811" s="256"/>
      <c r="I1811" s="332"/>
      <c r="J1811" s="333"/>
      <c r="K1811" s="334"/>
      <c r="L1811" s="484"/>
    </row>
    <row r="1812" spans="1:12" ht="15" thickBot="1">
      <c r="A1812" s="328"/>
      <c r="B1812" s="257"/>
      <c r="C1812" s="257"/>
      <c r="D1812" s="329"/>
      <c r="E1812" s="330"/>
      <c r="F1812" s="331"/>
      <c r="G1812" s="256"/>
      <c r="H1812" s="256"/>
      <c r="I1812" s="332"/>
      <c r="J1812" s="333"/>
      <c r="K1812" s="334"/>
      <c r="L1812" s="484"/>
    </row>
    <row r="1813" spans="1:12" ht="15" thickBot="1">
      <c r="A1813" s="328"/>
      <c r="B1813" s="257"/>
      <c r="C1813" s="257"/>
      <c r="D1813" s="329"/>
      <c r="E1813" s="330"/>
      <c r="F1813" s="331"/>
      <c r="G1813" s="256"/>
      <c r="H1813" s="256"/>
      <c r="I1813" s="332"/>
      <c r="J1813" s="333"/>
      <c r="K1813" s="334"/>
      <c r="L1813" s="484"/>
    </row>
    <row r="1814" spans="1:12" ht="15" thickBot="1">
      <c r="A1814" s="328"/>
      <c r="B1814" s="257"/>
      <c r="C1814" s="257"/>
      <c r="D1814" s="329"/>
      <c r="E1814" s="330"/>
      <c r="F1814" s="331"/>
      <c r="G1814" s="256"/>
      <c r="H1814" s="256"/>
      <c r="I1814" s="332"/>
      <c r="J1814" s="333"/>
      <c r="K1814" s="334"/>
      <c r="L1814" s="484"/>
    </row>
    <row r="1815" spans="1:12" ht="15" thickBot="1">
      <c r="A1815" s="328"/>
      <c r="B1815" s="257"/>
      <c r="C1815" s="257"/>
      <c r="D1815" s="329"/>
      <c r="E1815" s="330"/>
      <c r="F1815" s="331"/>
      <c r="G1815" s="256"/>
      <c r="H1815" s="256"/>
      <c r="I1815" s="332"/>
      <c r="J1815" s="333"/>
      <c r="K1815" s="334"/>
      <c r="L1815" s="484"/>
    </row>
    <row r="1816" spans="1:12" ht="15" thickBot="1">
      <c r="A1816" s="328"/>
      <c r="B1816" s="257"/>
      <c r="C1816" s="257"/>
      <c r="D1816" s="329"/>
      <c r="E1816" s="330"/>
      <c r="F1816" s="331"/>
      <c r="G1816" s="256"/>
      <c r="H1816" s="256"/>
      <c r="I1816" s="332"/>
      <c r="J1816" s="333"/>
      <c r="K1816" s="334"/>
      <c r="L1816" s="484"/>
    </row>
    <row r="1817" spans="1:12" ht="15" thickBot="1">
      <c r="A1817" s="328"/>
      <c r="B1817" s="257"/>
      <c r="C1817" s="257"/>
      <c r="D1817" s="329"/>
      <c r="E1817" s="330"/>
      <c r="F1817" s="331"/>
      <c r="G1817" s="256"/>
      <c r="H1817" s="256"/>
      <c r="I1817" s="332"/>
      <c r="J1817" s="333"/>
      <c r="K1817" s="334"/>
      <c r="L1817" s="484"/>
    </row>
    <row r="1818" spans="1:12" ht="15" thickBot="1">
      <c r="A1818" s="328"/>
      <c r="B1818" s="257"/>
      <c r="C1818" s="257"/>
      <c r="D1818" s="329"/>
      <c r="E1818" s="330"/>
      <c r="F1818" s="331"/>
      <c r="G1818" s="256"/>
      <c r="H1818" s="256"/>
      <c r="I1818" s="332"/>
      <c r="J1818" s="333"/>
      <c r="K1818" s="334"/>
      <c r="L1818" s="484"/>
    </row>
    <row r="1819" spans="1:12" ht="15" thickBot="1">
      <c r="A1819" s="328"/>
      <c r="B1819" s="257"/>
      <c r="C1819" s="257"/>
      <c r="D1819" s="329"/>
      <c r="E1819" s="330"/>
      <c r="F1819" s="331"/>
      <c r="G1819" s="256"/>
      <c r="H1819" s="256"/>
      <c r="I1819" s="332"/>
      <c r="J1819" s="333"/>
      <c r="K1819" s="334"/>
      <c r="L1819" s="484"/>
    </row>
    <row r="1820" spans="1:12" ht="15" thickBot="1">
      <c r="A1820" s="328"/>
      <c r="B1820" s="257"/>
      <c r="C1820" s="257"/>
      <c r="D1820" s="329"/>
      <c r="E1820" s="330"/>
      <c r="F1820" s="331"/>
      <c r="G1820" s="256"/>
      <c r="H1820" s="256"/>
      <c r="I1820" s="332"/>
      <c r="J1820" s="333"/>
      <c r="K1820" s="334"/>
      <c r="L1820" s="484"/>
    </row>
    <row r="1821" spans="1:12" ht="15" thickBot="1">
      <c r="A1821" s="328"/>
      <c r="B1821" s="257"/>
      <c r="C1821" s="257"/>
      <c r="D1821" s="329"/>
      <c r="E1821" s="330"/>
      <c r="F1821" s="331"/>
      <c r="G1821" s="256"/>
      <c r="H1821" s="256"/>
      <c r="I1821" s="332"/>
      <c r="J1821" s="333"/>
      <c r="K1821" s="334"/>
      <c r="L1821" s="484"/>
    </row>
    <row r="1822" spans="1:12" ht="15" thickBot="1">
      <c r="A1822" s="328"/>
      <c r="B1822" s="257"/>
      <c r="C1822" s="257"/>
      <c r="D1822" s="329"/>
      <c r="E1822" s="330"/>
      <c r="F1822" s="331"/>
      <c r="G1822" s="256"/>
      <c r="H1822" s="256"/>
      <c r="I1822" s="332"/>
      <c r="J1822" s="333"/>
      <c r="K1822" s="334"/>
      <c r="L1822" s="484"/>
    </row>
    <row r="1823" spans="1:12" ht="15" thickBot="1">
      <c r="A1823" s="328"/>
      <c r="B1823" s="257"/>
      <c r="C1823" s="257"/>
      <c r="D1823" s="329"/>
      <c r="E1823" s="330"/>
      <c r="F1823" s="331"/>
      <c r="G1823" s="256"/>
      <c r="H1823" s="256"/>
      <c r="I1823" s="332"/>
      <c r="J1823" s="333"/>
      <c r="K1823" s="334"/>
      <c r="L1823" s="484"/>
    </row>
    <row r="1824" spans="1:12" ht="15" thickBot="1">
      <c r="A1824" s="328"/>
      <c r="B1824" s="257"/>
      <c r="C1824" s="257"/>
      <c r="D1824" s="329"/>
      <c r="E1824" s="330"/>
      <c r="F1824" s="331"/>
      <c r="G1824" s="256"/>
      <c r="H1824" s="256"/>
      <c r="I1824" s="332"/>
      <c r="J1824" s="333"/>
      <c r="K1824" s="334"/>
      <c r="L1824" s="484"/>
    </row>
    <row r="1825" spans="1:12" ht="15" thickBot="1">
      <c r="A1825" s="328"/>
      <c r="B1825" s="257"/>
      <c r="C1825" s="257"/>
      <c r="D1825" s="329"/>
      <c r="E1825" s="330"/>
      <c r="F1825" s="331"/>
      <c r="G1825" s="256"/>
      <c r="H1825" s="256"/>
      <c r="I1825" s="332"/>
      <c r="J1825" s="333"/>
      <c r="K1825" s="334"/>
      <c r="L1825" s="484"/>
    </row>
    <row r="1826" spans="1:12" ht="15" thickBot="1">
      <c r="A1826" s="328"/>
      <c r="B1826" s="257"/>
      <c r="C1826" s="257"/>
      <c r="D1826" s="329"/>
      <c r="E1826" s="330"/>
      <c r="F1826" s="331"/>
      <c r="G1826" s="256"/>
      <c r="H1826" s="256"/>
      <c r="I1826" s="332"/>
      <c r="J1826" s="333"/>
      <c r="K1826" s="334"/>
      <c r="L1826" s="484"/>
    </row>
    <row r="1827" spans="1:12" ht="15" thickBot="1">
      <c r="A1827" s="328"/>
      <c r="B1827" s="257"/>
      <c r="C1827" s="257"/>
      <c r="D1827" s="329"/>
      <c r="E1827" s="330"/>
      <c r="F1827" s="331"/>
      <c r="G1827" s="256"/>
      <c r="H1827" s="256"/>
      <c r="I1827" s="332"/>
      <c r="J1827" s="333"/>
      <c r="K1827" s="334"/>
      <c r="L1827" s="484"/>
    </row>
    <row r="1828" spans="1:12" ht="15" thickBot="1">
      <c r="A1828" s="328"/>
      <c r="B1828" s="257"/>
      <c r="C1828" s="257"/>
      <c r="D1828" s="329"/>
      <c r="E1828" s="330"/>
      <c r="F1828" s="331"/>
      <c r="G1828" s="256"/>
      <c r="H1828" s="256"/>
      <c r="I1828" s="332"/>
      <c r="J1828" s="333"/>
      <c r="K1828" s="334"/>
      <c r="L1828" s="484"/>
    </row>
    <row r="1829" spans="1:12" ht="15" thickBot="1">
      <c r="A1829" s="328"/>
      <c r="B1829" s="257"/>
      <c r="C1829" s="257"/>
      <c r="D1829" s="329"/>
      <c r="E1829" s="330"/>
      <c r="F1829" s="331"/>
      <c r="G1829" s="256"/>
      <c r="H1829" s="256"/>
      <c r="I1829" s="332"/>
      <c r="J1829" s="333"/>
      <c r="K1829" s="334"/>
      <c r="L1829" s="484"/>
    </row>
    <row r="1830" spans="1:12" ht="15" thickBot="1">
      <c r="A1830" s="328"/>
      <c r="B1830" s="257"/>
      <c r="C1830" s="257"/>
      <c r="D1830" s="329"/>
      <c r="E1830" s="330"/>
      <c r="F1830" s="331"/>
      <c r="G1830" s="256"/>
      <c r="H1830" s="256"/>
      <c r="I1830" s="332"/>
      <c r="J1830" s="333"/>
      <c r="K1830" s="334"/>
      <c r="L1830" s="484"/>
    </row>
    <row r="1831" spans="1:12" ht="15" thickBot="1">
      <c r="A1831" s="328"/>
      <c r="B1831" s="257"/>
      <c r="C1831" s="257"/>
      <c r="D1831" s="329"/>
      <c r="E1831" s="330"/>
      <c r="F1831" s="331"/>
      <c r="G1831" s="256"/>
      <c r="H1831" s="256"/>
      <c r="I1831" s="332"/>
      <c r="J1831" s="333"/>
      <c r="K1831" s="334"/>
      <c r="L1831" s="484"/>
    </row>
    <row r="1832" spans="1:12" ht="15" thickBot="1">
      <c r="A1832" s="328"/>
      <c r="B1832" s="257"/>
      <c r="C1832" s="257"/>
      <c r="D1832" s="329"/>
      <c r="E1832" s="330"/>
      <c r="F1832" s="331"/>
      <c r="G1832" s="256"/>
      <c r="H1832" s="256"/>
      <c r="I1832" s="332"/>
      <c r="J1832" s="333"/>
      <c r="K1832" s="334"/>
      <c r="L1832" s="484"/>
    </row>
    <row r="1833" spans="1:12" ht="15" thickBot="1">
      <c r="A1833" s="328"/>
      <c r="B1833" s="257"/>
      <c r="C1833" s="257"/>
      <c r="D1833" s="329"/>
      <c r="E1833" s="330"/>
      <c r="F1833" s="331"/>
      <c r="G1833" s="256"/>
      <c r="H1833" s="256"/>
      <c r="I1833" s="332"/>
      <c r="J1833" s="333"/>
      <c r="K1833" s="334"/>
      <c r="L1833" s="484"/>
    </row>
    <row r="1834" spans="1:12" ht="15" thickBot="1">
      <c r="A1834" s="328"/>
      <c r="B1834" s="257"/>
      <c r="C1834" s="257"/>
      <c r="D1834" s="329"/>
      <c r="E1834" s="330"/>
      <c r="F1834" s="331"/>
      <c r="G1834" s="256"/>
      <c r="H1834" s="256"/>
      <c r="I1834" s="332"/>
      <c r="J1834" s="333"/>
      <c r="K1834" s="334"/>
      <c r="L1834" s="484"/>
    </row>
    <row r="1835" spans="1:12" ht="15" thickBot="1">
      <c r="A1835" s="328"/>
      <c r="B1835" s="257"/>
      <c r="C1835" s="257"/>
      <c r="D1835" s="329"/>
      <c r="E1835" s="330"/>
      <c r="F1835" s="331"/>
      <c r="G1835" s="256"/>
      <c r="H1835" s="256"/>
      <c r="I1835" s="332"/>
      <c r="J1835" s="333"/>
      <c r="K1835" s="334"/>
      <c r="L1835" s="484"/>
    </row>
    <row r="1836" spans="1:12" ht="15" thickBot="1">
      <c r="A1836" s="328"/>
      <c r="B1836" s="257"/>
      <c r="C1836" s="257"/>
      <c r="D1836" s="329"/>
      <c r="E1836" s="330"/>
      <c r="F1836" s="331"/>
      <c r="G1836" s="256"/>
      <c r="H1836" s="256"/>
      <c r="I1836" s="332"/>
      <c r="J1836" s="333"/>
      <c r="K1836" s="334"/>
      <c r="L1836" s="484"/>
    </row>
    <row r="1837" spans="1:12" ht="15" thickBot="1">
      <c r="A1837" s="328"/>
      <c r="B1837" s="257"/>
      <c r="C1837" s="257"/>
      <c r="D1837" s="329"/>
      <c r="E1837" s="330"/>
      <c r="F1837" s="331"/>
      <c r="G1837" s="256"/>
      <c r="H1837" s="256"/>
      <c r="I1837" s="332"/>
      <c r="J1837" s="333"/>
      <c r="K1837" s="334"/>
      <c r="L1837" s="484"/>
    </row>
    <row r="1838" spans="1:12" ht="15" thickBot="1">
      <c r="A1838" s="328"/>
      <c r="B1838" s="257"/>
      <c r="C1838" s="257"/>
      <c r="D1838" s="329"/>
      <c r="E1838" s="330"/>
      <c r="F1838" s="331"/>
      <c r="G1838" s="256"/>
      <c r="H1838" s="256"/>
      <c r="I1838" s="332"/>
      <c r="J1838" s="333"/>
      <c r="K1838" s="334"/>
      <c r="L1838" s="484"/>
    </row>
    <row r="1839" spans="1:12" ht="15" thickBot="1">
      <c r="A1839" s="328"/>
      <c r="B1839" s="257"/>
      <c r="C1839" s="257"/>
      <c r="D1839" s="329"/>
      <c r="E1839" s="330"/>
      <c r="F1839" s="331"/>
      <c r="G1839" s="256"/>
      <c r="H1839" s="256"/>
      <c r="I1839" s="332"/>
      <c r="J1839" s="333"/>
      <c r="K1839" s="334"/>
      <c r="L1839" s="484"/>
    </row>
    <row r="1840" spans="1:12" ht="15" thickBot="1">
      <c r="A1840" s="328"/>
      <c r="B1840" s="257"/>
      <c r="C1840" s="257"/>
      <c r="D1840" s="329"/>
      <c r="E1840" s="330"/>
      <c r="F1840" s="331"/>
      <c r="G1840" s="256"/>
      <c r="H1840" s="256"/>
      <c r="I1840" s="332"/>
      <c r="J1840" s="333"/>
      <c r="K1840" s="334"/>
      <c r="L1840" s="484"/>
    </row>
    <row r="1841" spans="1:12" ht="15" thickBot="1">
      <c r="A1841" s="328"/>
      <c r="B1841" s="257"/>
      <c r="C1841" s="257"/>
      <c r="D1841" s="329"/>
      <c r="E1841" s="330"/>
      <c r="F1841" s="331"/>
      <c r="G1841" s="256"/>
      <c r="H1841" s="256"/>
      <c r="I1841" s="332"/>
      <c r="J1841" s="333"/>
      <c r="K1841" s="334"/>
      <c r="L1841" s="484"/>
    </row>
    <row r="1842" spans="1:12" ht="15" thickBot="1">
      <c r="A1842" s="328"/>
      <c r="B1842" s="257"/>
      <c r="C1842" s="257"/>
      <c r="D1842" s="329"/>
      <c r="E1842" s="330"/>
      <c r="F1842" s="331"/>
      <c r="G1842" s="256"/>
      <c r="H1842" s="256"/>
      <c r="I1842" s="332"/>
      <c r="J1842" s="333"/>
      <c r="K1842" s="334"/>
      <c r="L1842" s="484"/>
    </row>
    <row r="1843" spans="1:12" ht="15" thickBot="1">
      <c r="A1843" s="328"/>
      <c r="B1843" s="257"/>
      <c r="C1843" s="257"/>
      <c r="D1843" s="329"/>
      <c r="E1843" s="330"/>
      <c r="F1843" s="331"/>
      <c r="G1843" s="256"/>
      <c r="H1843" s="256"/>
      <c r="I1843" s="332"/>
      <c r="J1843" s="333"/>
      <c r="K1843" s="334"/>
      <c r="L1843" s="484"/>
    </row>
    <row r="1844" spans="1:12" ht="15" thickBot="1">
      <c r="A1844" s="328"/>
      <c r="B1844" s="257"/>
      <c r="C1844" s="257"/>
      <c r="D1844" s="329"/>
      <c r="E1844" s="330"/>
      <c r="F1844" s="331"/>
      <c r="G1844" s="256"/>
      <c r="H1844" s="256"/>
      <c r="I1844" s="332"/>
      <c r="J1844" s="333"/>
      <c r="K1844" s="334"/>
      <c r="L1844" s="484"/>
    </row>
    <row r="1845" spans="1:12" ht="15" thickBot="1">
      <c r="A1845" s="328"/>
      <c r="B1845" s="257"/>
      <c r="C1845" s="257"/>
      <c r="D1845" s="329"/>
      <c r="E1845" s="330"/>
      <c r="F1845" s="331"/>
      <c r="G1845" s="256"/>
      <c r="H1845" s="256"/>
      <c r="I1845" s="332"/>
      <c r="J1845" s="333"/>
      <c r="K1845" s="334"/>
      <c r="L1845" s="484"/>
    </row>
    <row r="1846" spans="1:12" ht="15" thickBot="1">
      <c r="A1846" s="328"/>
      <c r="B1846" s="257"/>
      <c r="C1846" s="257"/>
      <c r="D1846" s="329"/>
      <c r="E1846" s="330"/>
      <c r="F1846" s="331"/>
      <c r="G1846" s="256"/>
      <c r="H1846" s="256"/>
      <c r="I1846" s="332"/>
      <c r="J1846" s="333"/>
      <c r="K1846" s="334"/>
      <c r="L1846" s="484"/>
    </row>
    <row r="1847" spans="1:12" ht="15" thickBot="1">
      <c r="A1847" s="328"/>
      <c r="B1847" s="257"/>
      <c r="C1847" s="257"/>
      <c r="D1847" s="329"/>
      <c r="E1847" s="330"/>
      <c r="F1847" s="331"/>
      <c r="G1847" s="256"/>
      <c r="H1847" s="256"/>
      <c r="I1847" s="332"/>
      <c r="J1847" s="333"/>
      <c r="K1847" s="334"/>
      <c r="L1847" s="484"/>
    </row>
    <row r="1848" spans="1:12" ht="15" thickBot="1">
      <c r="A1848" s="328"/>
      <c r="B1848" s="257"/>
      <c r="C1848" s="257"/>
      <c r="D1848" s="329"/>
      <c r="E1848" s="330"/>
      <c r="F1848" s="331"/>
      <c r="G1848" s="256"/>
      <c r="H1848" s="256"/>
      <c r="I1848" s="332"/>
      <c r="J1848" s="333"/>
      <c r="K1848" s="334"/>
      <c r="L1848" s="484"/>
    </row>
    <row r="1849" spans="1:12" ht="15" thickBot="1">
      <c r="A1849" s="328"/>
      <c r="B1849" s="257"/>
      <c r="C1849" s="257"/>
      <c r="D1849" s="329"/>
      <c r="E1849" s="330"/>
      <c r="F1849" s="331"/>
      <c r="G1849" s="256"/>
      <c r="H1849" s="256"/>
      <c r="I1849" s="332"/>
      <c r="J1849" s="333"/>
      <c r="K1849" s="334"/>
      <c r="L1849" s="484"/>
    </row>
    <row r="1850" spans="1:12" ht="15" thickBot="1">
      <c r="A1850" s="328"/>
      <c r="B1850" s="257"/>
      <c r="C1850" s="257"/>
      <c r="D1850" s="329"/>
      <c r="E1850" s="330"/>
      <c r="F1850" s="331"/>
      <c r="G1850" s="256"/>
      <c r="H1850" s="256"/>
      <c r="I1850" s="332"/>
      <c r="J1850" s="333"/>
      <c r="K1850" s="334"/>
      <c r="L1850" s="484"/>
    </row>
    <row r="1851" spans="1:12" ht="15" thickBot="1">
      <c r="A1851" s="328"/>
      <c r="B1851" s="257"/>
      <c r="C1851" s="257"/>
      <c r="D1851" s="329"/>
      <c r="E1851" s="330"/>
      <c r="F1851" s="331"/>
      <c r="G1851" s="256"/>
      <c r="H1851" s="256"/>
      <c r="I1851" s="332"/>
      <c r="J1851" s="333"/>
      <c r="K1851" s="334"/>
      <c r="L1851" s="484"/>
    </row>
    <row r="1852" spans="1:12" ht="15" thickBot="1">
      <c r="A1852" s="328"/>
      <c r="B1852" s="257"/>
      <c r="C1852" s="257"/>
      <c r="D1852" s="329"/>
      <c r="E1852" s="330"/>
      <c r="F1852" s="331"/>
      <c r="G1852" s="256"/>
      <c r="H1852" s="256"/>
      <c r="I1852" s="332"/>
      <c r="J1852" s="333"/>
      <c r="K1852" s="334"/>
      <c r="L1852" s="484"/>
    </row>
    <row r="1853" spans="1:12" ht="15" thickBot="1">
      <c r="A1853" s="328"/>
      <c r="B1853" s="257"/>
      <c r="C1853" s="257"/>
      <c r="D1853" s="329"/>
      <c r="E1853" s="330"/>
      <c r="F1853" s="331"/>
      <c r="G1853" s="256"/>
      <c r="H1853" s="256"/>
      <c r="I1853" s="332"/>
      <c r="J1853" s="333"/>
      <c r="K1853" s="334"/>
      <c r="L1853" s="484"/>
    </row>
    <row r="1854" spans="1:12" ht="15" thickBot="1">
      <c r="A1854" s="328"/>
      <c r="B1854" s="257"/>
      <c r="C1854" s="257"/>
      <c r="D1854" s="329"/>
      <c r="E1854" s="330"/>
      <c r="F1854" s="331"/>
      <c r="G1854" s="256"/>
      <c r="H1854" s="256"/>
      <c r="I1854" s="332"/>
      <c r="J1854" s="333"/>
      <c r="K1854" s="334"/>
      <c r="L1854" s="484"/>
    </row>
    <row r="1855" spans="1:12" ht="15" thickBot="1">
      <c r="A1855" s="328"/>
      <c r="B1855" s="257"/>
      <c r="C1855" s="257"/>
      <c r="D1855" s="329"/>
      <c r="E1855" s="330"/>
      <c r="F1855" s="331"/>
      <c r="G1855" s="256"/>
      <c r="H1855" s="256"/>
      <c r="I1855" s="332"/>
      <c r="J1855" s="333"/>
      <c r="K1855" s="334"/>
      <c r="L1855" s="484"/>
    </row>
    <row r="1856" spans="1:12" ht="15" thickBot="1">
      <c r="A1856" s="328"/>
      <c r="B1856" s="257"/>
      <c r="C1856" s="257"/>
      <c r="D1856" s="329"/>
      <c r="E1856" s="330"/>
      <c r="F1856" s="331"/>
      <c r="G1856" s="256"/>
      <c r="H1856" s="256"/>
      <c r="I1856" s="332"/>
      <c r="J1856" s="333"/>
      <c r="K1856" s="334"/>
      <c r="L1856" s="484"/>
    </row>
    <row r="1857" spans="1:12" ht="15" thickBot="1">
      <c r="A1857" s="328"/>
      <c r="B1857" s="257"/>
      <c r="C1857" s="257"/>
      <c r="D1857" s="329"/>
      <c r="E1857" s="330"/>
      <c r="F1857" s="331"/>
      <c r="G1857" s="256"/>
      <c r="H1857" s="256"/>
      <c r="I1857" s="332"/>
      <c r="J1857" s="333"/>
      <c r="K1857" s="334"/>
      <c r="L1857" s="484"/>
    </row>
    <row r="1858" spans="1:12" ht="15" thickBot="1">
      <c r="A1858" s="328"/>
      <c r="B1858" s="257"/>
      <c r="C1858" s="257"/>
      <c r="D1858" s="329"/>
      <c r="E1858" s="330"/>
      <c r="F1858" s="331"/>
      <c r="G1858" s="256"/>
      <c r="H1858" s="256"/>
      <c r="I1858" s="332"/>
      <c r="J1858" s="333"/>
      <c r="K1858" s="334"/>
      <c r="L1858" s="484"/>
    </row>
    <row r="1859" spans="1:12" ht="15" thickBot="1">
      <c r="A1859" s="328"/>
      <c r="B1859" s="257"/>
      <c r="C1859" s="257"/>
      <c r="D1859" s="329"/>
      <c r="E1859" s="330"/>
      <c r="F1859" s="331"/>
      <c r="G1859" s="256"/>
      <c r="H1859" s="256"/>
      <c r="I1859" s="332"/>
      <c r="J1859" s="333"/>
      <c r="K1859" s="334"/>
      <c r="L1859" s="484"/>
    </row>
    <row r="1860" spans="1:12" ht="15" thickBot="1">
      <c r="A1860" s="328"/>
      <c r="B1860" s="257"/>
      <c r="C1860" s="257"/>
      <c r="D1860" s="329"/>
      <c r="E1860" s="330"/>
      <c r="F1860" s="331"/>
      <c r="G1860" s="256"/>
      <c r="H1860" s="256"/>
      <c r="I1860" s="332"/>
      <c r="J1860" s="333"/>
      <c r="K1860" s="334"/>
      <c r="L1860" s="484"/>
    </row>
    <row r="1861" spans="1:12" ht="15" thickBot="1">
      <c r="A1861" s="328"/>
      <c r="B1861" s="257"/>
      <c r="C1861" s="257"/>
      <c r="D1861" s="329"/>
      <c r="E1861" s="330"/>
      <c r="F1861" s="331"/>
      <c r="G1861" s="256"/>
      <c r="H1861" s="256"/>
      <c r="I1861" s="332"/>
      <c r="J1861" s="333"/>
      <c r="K1861" s="334"/>
      <c r="L1861" s="484"/>
    </row>
    <row r="1862" spans="1:12" ht="15" thickBot="1">
      <c r="A1862" s="328"/>
      <c r="B1862" s="257"/>
      <c r="C1862" s="257"/>
      <c r="D1862" s="329"/>
      <c r="E1862" s="330"/>
      <c r="F1862" s="331"/>
      <c r="G1862" s="256"/>
      <c r="H1862" s="256"/>
      <c r="I1862" s="332"/>
      <c r="J1862" s="333"/>
      <c r="K1862" s="334"/>
      <c r="L1862" s="484"/>
    </row>
    <row r="1863" spans="1:12" ht="15" thickBot="1">
      <c r="A1863" s="328"/>
      <c r="B1863" s="257"/>
      <c r="C1863" s="257"/>
      <c r="D1863" s="329"/>
      <c r="E1863" s="330"/>
      <c r="F1863" s="331"/>
      <c r="G1863" s="256"/>
      <c r="H1863" s="256"/>
      <c r="I1863" s="332"/>
      <c r="J1863" s="333"/>
      <c r="K1863" s="334"/>
      <c r="L1863" s="484"/>
    </row>
    <row r="1864" spans="1:12" ht="15" thickBot="1">
      <c r="A1864" s="328"/>
      <c r="B1864" s="257"/>
      <c r="C1864" s="257"/>
      <c r="D1864" s="329"/>
      <c r="E1864" s="330"/>
      <c r="F1864" s="331"/>
      <c r="G1864" s="256"/>
      <c r="H1864" s="256"/>
      <c r="I1864" s="332"/>
      <c r="J1864" s="333"/>
      <c r="K1864" s="334"/>
      <c r="L1864" s="484"/>
    </row>
    <row r="1865" spans="1:12" ht="15" thickBot="1">
      <c r="A1865" s="328"/>
      <c r="B1865" s="257"/>
      <c r="C1865" s="257"/>
      <c r="D1865" s="329"/>
      <c r="E1865" s="330"/>
      <c r="F1865" s="331"/>
      <c r="G1865" s="256"/>
      <c r="H1865" s="256"/>
      <c r="I1865" s="332"/>
      <c r="J1865" s="333"/>
      <c r="K1865" s="334"/>
      <c r="L1865" s="484"/>
    </row>
    <row r="1866" spans="1:12" ht="15" thickBot="1">
      <c r="A1866" s="328"/>
      <c r="B1866" s="257"/>
      <c r="C1866" s="257"/>
      <c r="D1866" s="329"/>
      <c r="E1866" s="330"/>
      <c r="F1866" s="331"/>
      <c r="G1866" s="256"/>
      <c r="H1866" s="256"/>
      <c r="I1866" s="332"/>
      <c r="J1866" s="333"/>
      <c r="K1866" s="334"/>
      <c r="L1866" s="484"/>
    </row>
    <row r="1867" spans="1:12" ht="15" thickBot="1">
      <c r="A1867" s="328"/>
      <c r="B1867" s="257"/>
      <c r="C1867" s="257"/>
      <c r="D1867" s="329"/>
      <c r="E1867" s="330"/>
      <c r="F1867" s="331"/>
      <c r="G1867" s="256"/>
      <c r="H1867" s="256"/>
      <c r="I1867" s="332"/>
      <c r="J1867" s="333"/>
      <c r="K1867" s="334"/>
      <c r="L1867" s="484"/>
    </row>
    <row r="1868" spans="1:12" ht="15" thickBot="1">
      <c r="A1868" s="328"/>
      <c r="B1868" s="257"/>
      <c r="C1868" s="257"/>
      <c r="D1868" s="329"/>
      <c r="E1868" s="330"/>
      <c r="F1868" s="331"/>
      <c r="G1868" s="256"/>
      <c r="H1868" s="256"/>
      <c r="I1868" s="332"/>
      <c r="J1868" s="333"/>
      <c r="K1868" s="334"/>
      <c r="L1868" s="484"/>
    </row>
    <row r="1869" spans="1:12" ht="15" thickBot="1">
      <c r="A1869" s="328"/>
      <c r="B1869" s="257"/>
      <c r="C1869" s="257"/>
      <c r="D1869" s="329"/>
      <c r="E1869" s="330"/>
      <c r="F1869" s="331"/>
      <c r="G1869" s="256"/>
      <c r="H1869" s="256"/>
      <c r="I1869" s="332"/>
      <c r="J1869" s="333"/>
      <c r="K1869" s="334"/>
      <c r="L1869" s="484"/>
    </row>
    <row r="1870" spans="1:12" ht="15" thickBot="1">
      <c r="A1870" s="328"/>
      <c r="B1870" s="257"/>
      <c r="C1870" s="257"/>
      <c r="D1870" s="329"/>
      <c r="E1870" s="330"/>
      <c r="F1870" s="331"/>
      <c r="G1870" s="256"/>
      <c r="H1870" s="256"/>
      <c r="I1870" s="332"/>
      <c r="J1870" s="333"/>
      <c r="K1870" s="334"/>
      <c r="L1870" s="484"/>
    </row>
    <row r="1871" spans="1:12" ht="15" thickBot="1">
      <c r="A1871" s="328"/>
      <c r="B1871" s="257"/>
      <c r="C1871" s="257"/>
      <c r="D1871" s="329"/>
      <c r="E1871" s="330"/>
      <c r="F1871" s="331"/>
      <c r="G1871" s="256"/>
      <c r="H1871" s="256"/>
      <c r="I1871" s="332"/>
      <c r="J1871" s="333"/>
      <c r="K1871" s="334"/>
      <c r="L1871" s="484"/>
    </row>
    <row r="1872" spans="1:12" ht="15" thickBot="1">
      <c r="A1872" s="328"/>
      <c r="B1872" s="257"/>
      <c r="C1872" s="257"/>
      <c r="D1872" s="329"/>
      <c r="E1872" s="330"/>
      <c r="F1872" s="331"/>
      <c r="G1872" s="256"/>
      <c r="H1872" s="256"/>
      <c r="I1872" s="332"/>
      <c r="J1872" s="333"/>
      <c r="K1872" s="334"/>
      <c r="L1872" s="484"/>
    </row>
    <row r="1873" spans="1:12" ht="15" thickBot="1">
      <c r="A1873" s="328"/>
      <c r="B1873" s="257"/>
      <c r="C1873" s="257"/>
      <c r="D1873" s="329"/>
      <c r="E1873" s="330"/>
      <c r="F1873" s="331"/>
      <c r="G1873" s="256"/>
      <c r="H1873" s="256"/>
      <c r="I1873" s="332"/>
      <c r="J1873" s="333"/>
      <c r="K1873" s="334"/>
      <c r="L1873" s="484"/>
    </row>
    <row r="1874" spans="1:12" ht="15" thickBot="1">
      <c r="A1874" s="328"/>
      <c r="B1874" s="257"/>
      <c r="C1874" s="257"/>
      <c r="D1874" s="329"/>
      <c r="E1874" s="330"/>
      <c r="F1874" s="331"/>
      <c r="G1874" s="256"/>
      <c r="H1874" s="256"/>
      <c r="I1874" s="332"/>
      <c r="J1874" s="333"/>
      <c r="K1874" s="334"/>
      <c r="L1874" s="484"/>
    </row>
    <row r="1875" spans="1:12" ht="15" thickBot="1">
      <c r="A1875" s="328"/>
      <c r="B1875" s="257"/>
      <c r="C1875" s="257"/>
      <c r="D1875" s="329"/>
      <c r="E1875" s="330"/>
      <c r="F1875" s="331"/>
      <c r="G1875" s="256"/>
      <c r="H1875" s="256"/>
      <c r="I1875" s="332"/>
      <c r="J1875" s="333"/>
      <c r="K1875" s="334"/>
      <c r="L1875" s="484"/>
    </row>
    <row r="1876" spans="1:12" ht="15" thickBot="1">
      <c r="A1876" s="328"/>
      <c r="B1876" s="257"/>
      <c r="C1876" s="257"/>
      <c r="D1876" s="329"/>
      <c r="E1876" s="330"/>
      <c r="F1876" s="331"/>
      <c r="G1876" s="256"/>
      <c r="H1876" s="256"/>
      <c r="I1876" s="332"/>
      <c r="J1876" s="333"/>
      <c r="K1876" s="334"/>
      <c r="L1876" s="484"/>
    </row>
    <row r="1877" spans="1:12" ht="15" thickBot="1">
      <c r="A1877" s="328"/>
      <c r="B1877" s="257"/>
      <c r="C1877" s="257"/>
      <c r="D1877" s="329"/>
      <c r="E1877" s="330"/>
      <c r="F1877" s="331"/>
      <c r="G1877" s="256"/>
      <c r="H1877" s="256"/>
      <c r="I1877" s="332"/>
      <c r="J1877" s="333"/>
      <c r="K1877" s="334"/>
      <c r="L1877" s="484"/>
    </row>
    <row r="1878" spans="1:12" ht="15" thickBot="1">
      <c r="A1878" s="328"/>
      <c r="B1878" s="257"/>
      <c r="C1878" s="257"/>
      <c r="D1878" s="329"/>
      <c r="E1878" s="330"/>
      <c r="F1878" s="331"/>
      <c r="G1878" s="256"/>
      <c r="H1878" s="256"/>
      <c r="I1878" s="332"/>
      <c r="J1878" s="333"/>
      <c r="K1878" s="334"/>
      <c r="L1878" s="484"/>
    </row>
    <row r="1879" spans="1:12" ht="15" thickBot="1">
      <c r="A1879" s="328"/>
      <c r="B1879" s="257"/>
      <c r="C1879" s="257"/>
      <c r="D1879" s="329"/>
      <c r="E1879" s="330"/>
      <c r="F1879" s="331"/>
      <c r="G1879" s="256"/>
      <c r="H1879" s="256"/>
      <c r="I1879" s="332"/>
      <c r="J1879" s="333"/>
      <c r="K1879" s="334"/>
      <c r="L1879" s="484"/>
    </row>
    <row r="1880" spans="1:12" ht="15" thickBot="1">
      <c r="A1880" s="328"/>
      <c r="B1880" s="257"/>
      <c r="C1880" s="257"/>
      <c r="D1880" s="329"/>
      <c r="E1880" s="330"/>
      <c r="F1880" s="331"/>
      <c r="G1880" s="256"/>
      <c r="H1880" s="256"/>
      <c r="I1880" s="332"/>
      <c r="J1880" s="333"/>
      <c r="K1880" s="334"/>
      <c r="L1880" s="484"/>
    </row>
    <row r="1881" spans="1:12" ht="15" thickBot="1">
      <c r="A1881" s="328"/>
      <c r="B1881" s="257"/>
      <c r="C1881" s="257"/>
      <c r="D1881" s="329"/>
      <c r="E1881" s="330"/>
      <c r="F1881" s="331"/>
      <c r="G1881" s="256"/>
      <c r="H1881" s="256"/>
      <c r="I1881" s="332"/>
      <c r="J1881" s="333"/>
      <c r="K1881" s="334"/>
      <c r="L1881" s="484"/>
    </row>
    <row r="1882" spans="1:12" ht="15" thickBot="1">
      <c r="A1882" s="328"/>
      <c r="B1882" s="257"/>
      <c r="C1882" s="257"/>
      <c r="D1882" s="329"/>
      <c r="E1882" s="330"/>
      <c r="F1882" s="331"/>
      <c r="G1882" s="256"/>
      <c r="H1882" s="256"/>
      <c r="I1882" s="332"/>
      <c r="J1882" s="333"/>
      <c r="K1882" s="334"/>
      <c r="L1882" s="484"/>
    </row>
    <row r="1883" spans="1:12" ht="15" thickBot="1">
      <c r="A1883" s="328"/>
      <c r="B1883" s="257"/>
      <c r="C1883" s="257"/>
      <c r="D1883" s="329"/>
      <c r="E1883" s="330"/>
      <c r="F1883" s="331"/>
      <c r="G1883" s="256"/>
      <c r="H1883" s="256"/>
      <c r="I1883" s="332"/>
      <c r="J1883" s="333"/>
      <c r="K1883" s="334"/>
      <c r="L1883" s="484"/>
    </row>
    <row r="1884" spans="1:12" ht="15" thickBot="1">
      <c r="A1884" s="328"/>
      <c r="B1884" s="257"/>
      <c r="C1884" s="257"/>
      <c r="D1884" s="329"/>
      <c r="E1884" s="330"/>
      <c r="F1884" s="331"/>
      <c r="G1884" s="256"/>
      <c r="H1884" s="256"/>
      <c r="I1884" s="332"/>
      <c r="J1884" s="333"/>
      <c r="K1884" s="334"/>
      <c r="L1884" s="484"/>
    </row>
    <row r="1885" spans="1:12" ht="15" thickBot="1">
      <c r="A1885" s="328"/>
      <c r="B1885" s="257"/>
      <c r="C1885" s="257"/>
      <c r="D1885" s="329"/>
      <c r="E1885" s="330"/>
      <c r="F1885" s="331"/>
      <c r="G1885" s="256"/>
      <c r="H1885" s="256"/>
      <c r="I1885" s="332"/>
      <c r="J1885" s="333"/>
      <c r="K1885" s="334"/>
      <c r="L1885" s="484"/>
    </row>
    <row r="1886" spans="1:12" ht="15" thickBot="1">
      <c r="A1886" s="328"/>
      <c r="B1886" s="257"/>
      <c r="C1886" s="257"/>
      <c r="D1886" s="329"/>
      <c r="E1886" s="330"/>
      <c r="F1886" s="331"/>
      <c r="G1886" s="256"/>
      <c r="H1886" s="256"/>
      <c r="I1886" s="332"/>
      <c r="J1886" s="333"/>
      <c r="K1886" s="334"/>
      <c r="L1886" s="484"/>
    </row>
    <row r="1887" spans="1:12" ht="15" thickBot="1">
      <c r="A1887" s="328"/>
      <c r="B1887" s="257"/>
      <c r="C1887" s="257"/>
      <c r="D1887" s="329"/>
      <c r="E1887" s="330"/>
      <c r="F1887" s="331"/>
      <c r="G1887" s="256"/>
      <c r="H1887" s="256"/>
      <c r="I1887" s="332"/>
      <c r="J1887" s="333"/>
      <c r="K1887" s="334"/>
      <c r="L1887" s="484"/>
    </row>
    <row r="1888" spans="1:12" ht="15" thickBot="1">
      <c r="A1888" s="328"/>
      <c r="B1888" s="257"/>
      <c r="C1888" s="257"/>
      <c r="D1888" s="329"/>
      <c r="E1888" s="330"/>
      <c r="F1888" s="331"/>
      <c r="G1888" s="256"/>
      <c r="H1888" s="256"/>
      <c r="I1888" s="332"/>
      <c r="J1888" s="333"/>
      <c r="K1888" s="334"/>
      <c r="L1888" s="484"/>
    </row>
    <row r="1889" spans="1:12" ht="15" thickBot="1">
      <c r="A1889" s="328"/>
      <c r="B1889" s="257"/>
      <c r="C1889" s="257"/>
      <c r="D1889" s="329"/>
      <c r="E1889" s="330"/>
      <c r="F1889" s="331"/>
      <c r="G1889" s="256"/>
      <c r="H1889" s="256"/>
      <c r="I1889" s="332"/>
      <c r="J1889" s="333"/>
      <c r="K1889" s="334"/>
      <c r="L1889" s="484"/>
    </row>
    <row r="1890" spans="1:12" ht="15" thickBot="1">
      <c r="A1890" s="328"/>
      <c r="B1890" s="257"/>
      <c r="C1890" s="257"/>
      <c r="D1890" s="329"/>
      <c r="E1890" s="330"/>
      <c r="F1890" s="331"/>
      <c r="G1890" s="256"/>
      <c r="H1890" s="256"/>
      <c r="I1890" s="332"/>
      <c r="J1890" s="333"/>
      <c r="K1890" s="334"/>
      <c r="L1890" s="484"/>
    </row>
    <row r="1891" spans="1:12" ht="15" thickBot="1">
      <c r="A1891" s="328"/>
      <c r="B1891" s="257"/>
      <c r="C1891" s="257"/>
      <c r="D1891" s="329"/>
      <c r="E1891" s="330"/>
      <c r="F1891" s="331"/>
      <c r="G1891" s="256"/>
      <c r="H1891" s="256"/>
      <c r="I1891" s="332"/>
      <c r="J1891" s="333"/>
      <c r="K1891" s="334"/>
      <c r="L1891" s="484"/>
    </row>
    <row r="1892" spans="1:12" ht="15" thickBot="1">
      <c r="A1892" s="328"/>
      <c r="B1892" s="257"/>
      <c r="C1892" s="257"/>
      <c r="D1892" s="329"/>
      <c r="E1892" s="330"/>
      <c r="F1892" s="331"/>
      <c r="G1892" s="256"/>
      <c r="H1892" s="256"/>
      <c r="I1892" s="332"/>
      <c r="J1892" s="333"/>
      <c r="K1892" s="334"/>
      <c r="L1892" s="484"/>
    </row>
    <row r="1893" spans="1:12" ht="15" thickBot="1">
      <c r="A1893" s="328"/>
      <c r="B1893" s="257"/>
      <c r="C1893" s="257"/>
      <c r="D1893" s="329"/>
      <c r="E1893" s="330"/>
      <c r="F1893" s="331"/>
      <c r="G1893" s="256"/>
      <c r="H1893" s="256"/>
      <c r="I1893" s="332"/>
      <c r="J1893" s="333"/>
      <c r="K1893" s="334"/>
      <c r="L1893" s="484"/>
    </row>
    <row r="1894" spans="1:12" ht="15" thickBot="1">
      <c r="A1894" s="328"/>
      <c r="B1894" s="257"/>
      <c r="C1894" s="257"/>
      <c r="D1894" s="329"/>
      <c r="E1894" s="330"/>
      <c r="F1894" s="331"/>
      <c r="G1894" s="256"/>
      <c r="H1894" s="256"/>
      <c r="I1894" s="332"/>
      <c r="J1894" s="333"/>
      <c r="K1894" s="334"/>
      <c r="L1894" s="484"/>
    </row>
    <row r="1895" spans="1:12" ht="15" thickBot="1">
      <c r="A1895" s="328"/>
      <c r="B1895" s="257"/>
      <c r="C1895" s="257"/>
      <c r="D1895" s="329"/>
      <c r="E1895" s="330"/>
      <c r="F1895" s="331"/>
      <c r="G1895" s="256"/>
      <c r="H1895" s="256"/>
      <c r="I1895" s="332"/>
      <c r="J1895" s="333"/>
      <c r="K1895" s="334"/>
      <c r="L1895" s="484"/>
    </row>
    <row r="1896" spans="1:12" ht="15" thickBot="1">
      <c r="A1896" s="328"/>
      <c r="B1896" s="257"/>
      <c r="C1896" s="257"/>
      <c r="D1896" s="329"/>
      <c r="E1896" s="330"/>
      <c r="F1896" s="331"/>
      <c r="G1896" s="256"/>
      <c r="H1896" s="256"/>
      <c r="I1896" s="332"/>
      <c r="J1896" s="333"/>
      <c r="K1896" s="334"/>
      <c r="L1896" s="484"/>
    </row>
    <row r="1897" spans="1:12" ht="15" thickBot="1">
      <c r="A1897" s="328"/>
      <c r="B1897" s="257"/>
      <c r="C1897" s="257"/>
      <c r="D1897" s="329"/>
      <c r="E1897" s="330"/>
      <c r="F1897" s="331"/>
      <c r="G1897" s="256"/>
      <c r="H1897" s="256"/>
      <c r="I1897" s="332"/>
      <c r="J1897" s="333"/>
      <c r="K1897" s="334"/>
      <c r="L1897" s="484"/>
    </row>
    <row r="1898" spans="1:12" ht="15" thickBot="1">
      <c r="A1898" s="328"/>
      <c r="B1898" s="257"/>
      <c r="C1898" s="257"/>
      <c r="D1898" s="329"/>
      <c r="E1898" s="330"/>
      <c r="F1898" s="331"/>
      <c r="G1898" s="256"/>
      <c r="H1898" s="256"/>
      <c r="I1898" s="332"/>
      <c r="J1898" s="333"/>
      <c r="K1898" s="334"/>
      <c r="L1898" s="484"/>
    </row>
    <row r="1899" spans="1:12" ht="15" thickBot="1">
      <c r="A1899" s="328"/>
      <c r="B1899" s="257"/>
      <c r="C1899" s="257"/>
      <c r="D1899" s="329"/>
      <c r="E1899" s="330"/>
      <c r="F1899" s="331"/>
      <c r="G1899" s="256"/>
      <c r="H1899" s="256"/>
      <c r="I1899" s="332"/>
      <c r="J1899" s="333"/>
      <c r="K1899" s="334"/>
      <c r="L1899" s="484"/>
    </row>
    <row r="1900" spans="1:12" ht="15" thickBot="1">
      <c r="A1900" s="328"/>
      <c r="B1900" s="257"/>
      <c r="C1900" s="257"/>
      <c r="D1900" s="329"/>
      <c r="E1900" s="330"/>
      <c r="F1900" s="331"/>
      <c r="G1900" s="256"/>
      <c r="H1900" s="256"/>
      <c r="I1900" s="332"/>
      <c r="J1900" s="333"/>
      <c r="K1900" s="334"/>
      <c r="L1900" s="484"/>
    </row>
    <row r="1901" spans="1:12" ht="15" thickBot="1">
      <c r="A1901" s="328"/>
      <c r="B1901" s="257"/>
      <c r="C1901" s="257"/>
      <c r="D1901" s="329"/>
      <c r="E1901" s="330"/>
      <c r="F1901" s="331"/>
      <c r="G1901" s="256"/>
      <c r="H1901" s="256"/>
      <c r="I1901" s="332"/>
      <c r="J1901" s="333"/>
      <c r="K1901" s="334"/>
      <c r="L1901" s="484"/>
    </row>
    <row r="1902" spans="1:12" ht="15" thickBot="1">
      <c r="A1902" s="328"/>
      <c r="B1902" s="257"/>
      <c r="C1902" s="257"/>
      <c r="D1902" s="329"/>
      <c r="E1902" s="330"/>
      <c r="F1902" s="331"/>
      <c r="G1902" s="256"/>
      <c r="H1902" s="256"/>
      <c r="I1902" s="332"/>
      <c r="J1902" s="333"/>
      <c r="K1902" s="334"/>
      <c r="L1902" s="484"/>
    </row>
    <row r="1903" spans="1:12" ht="15" thickBot="1">
      <c r="A1903" s="328"/>
      <c r="B1903" s="257"/>
      <c r="C1903" s="257"/>
      <c r="D1903" s="329"/>
      <c r="E1903" s="330"/>
      <c r="F1903" s="331"/>
      <c r="G1903" s="256"/>
      <c r="H1903" s="256"/>
      <c r="I1903" s="332"/>
      <c r="J1903" s="333"/>
      <c r="K1903" s="334"/>
      <c r="L1903" s="484"/>
    </row>
    <row r="1904" spans="1:12" ht="15" thickBot="1">
      <c r="A1904" s="328"/>
      <c r="B1904" s="257"/>
      <c r="C1904" s="257"/>
      <c r="D1904" s="329"/>
      <c r="E1904" s="330"/>
      <c r="F1904" s="331"/>
      <c r="G1904" s="256"/>
      <c r="H1904" s="256"/>
      <c r="I1904" s="332"/>
      <c r="J1904" s="333"/>
      <c r="K1904" s="334"/>
      <c r="L1904" s="484"/>
    </row>
    <row r="1905" spans="1:12" ht="15" thickBot="1">
      <c r="A1905" s="328"/>
      <c r="B1905" s="257"/>
      <c r="C1905" s="257"/>
      <c r="D1905" s="329"/>
      <c r="E1905" s="330"/>
      <c r="F1905" s="331"/>
      <c r="G1905" s="256"/>
      <c r="H1905" s="256"/>
      <c r="I1905" s="332"/>
      <c r="J1905" s="333"/>
      <c r="K1905" s="334"/>
      <c r="L1905" s="484"/>
    </row>
    <row r="1906" spans="1:12" ht="15" thickBot="1">
      <c r="A1906" s="328"/>
      <c r="B1906" s="257"/>
      <c r="C1906" s="257"/>
      <c r="D1906" s="329"/>
      <c r="E1906" s="330"/>
      <c r="F1906" s="331"/>
      <c r="G1906" s="256"/>
      <c r="H1906" s="256"/>
      <c r="I1906" s="332"/>
      <c r="J1906" s="333"/>
      <c r="K1906" s="334"/>
      <c r="L1906" s="484"/>
    </row>
    <row r="1907" spans="1:12" ht="15" thickBot="1">
      <c r="A1907" s="328"/>
      <c r="B1907" s="257"/>
      <c r="C1907" s="257"/>
      <c r="D1907" s="329"/>
      <c r="E1907" s="330"/>
      <c r="F1907" s="331"/>
      <c r="G1907" s="256"/>
      <c r="H1907" s="256"/>
      <c r="I1907" s="332"/>
      <c r="J1907" s="333"/>
      <c r="K1907" s="334"/>
      <c r="L1907" s="484"/>
    </row>
    <row r="1908" spans="1:12" ht="15" thickBot="1">
      <c r="A1908" s="328"/>
      <c r="B1908" s="257"/>
      <c r="C1908" s="257"/>
      <c r="D1908" s="329"/>
      <c r="E1908" s="330"/>
      <c r="F1908" s="331"/>
      <c r="G1908" s="256"/>
      <c r="H1908" s="256"/>
      <c r="I1908" s="332"/>
      <c r="J1908" s="333"/>
      <c r="K1908" s="334"/>
      <c r="L1908" s="484"/>
    </row>
    <row r="1909" spans="1:12" ht="15" thickBot="1">
      <c r="A1909" s="328"/>
      <c r="B1909" s="257"/>
      <c r="C1909" s="257"/>
      <c r="D1909" s="329"/>
      <c r="E1909" s="330"/>
      <c r="F1909" s="331"/>
      <c r="G1909" s="256"/>
      <c r="H1909" s="256"/>
      <c r="I1909" s="332"/>
      <c r="J1909" s="333"/>
      <c r="K1909" s="334"/>
      <c r="L1909" s="484"/>
    </row>
    <row r="1910" spans="1:12" ht="15" thickBot="1">
      <c r="A1910" s="328"/>
      <c r="B1910" s="257"/>
      <c r="C1910" s="257"/>
      <c r="D1910" s="329"/>
      <c r="E1910" s="330"/>
      <c r="F1910" s="331"/>
      <c r="G1910" s="256"/>
      <c r="H1910" s="256"/>
      <c r="I1910" s="332"/>
      <c r="J1910" s="333"/>
      <c r="K1910" s="334"/>
      <c r="L1910" s="484"/>
    </row>
    <row r="1911" spans="1:12" ht="15" thickBot="1">
      <c r="A1911" s="328"/>
      <c r="B1911" s="257"/>
      <c r="C1911" s="257"/>
      <c r="D1911" s="329"/>
      <c r="E1911" s="330"/>
      <c r="F1911" s="331"/>
      <c r="G1911" s="256"/>
      <c r="H1911" s="256"/>
      <c r="I1911" s="332"/>
      <c r="J1911" s="333"/>
      <c r="K1911" s="334"/>
      <c r="L1911" s="484"/>
    </row>
    <row r="1912" spans="1:12" ht="15" thickBot="1">
      <c r="A1912" s="328"/>
      <c r="B1912" s="257"/>
      <c r="C1912" s="257"/>
      <c r="D1912" s="329"/>
      <c r="E1912" s="330"/>
      <c r="F1912" s="331"/>
      <c r="G1912" s="256"/>
      <c r="H1912" s="256"/>
      <c r="I1912" s="332"/>
      <c r="J1912" s="333"/>
      <c r="K1912" s="334"/>
      <c r="L1912" s="484"/>
    </row>
    <row r="1913" spans="1:12" ht="15" thickBot="1">
      <c r="A1913" s="328"/>
      <c r="B1913" s="257"/>
      <c r="C1913" s="257"/>
      <c r="D1913" s="329"/>
      <c r="E1913" s="330"/>
      <c r="F1913" s="331"/>
      <c r="G1913" s="256"/>
      <c r="H1913" s="256"/>
      <c r="I1913" s="332"/>
      <c r="J1913" s="333"/>
      <c r="K1913" s="334"/>
      <c r="L1913" s="484"/>
    </row>
    <row r="1914" spans="1:12" ht="15" thickBot="1">
      <c r="A1914" s="328"/>
      <c r="B1914" s="257"/>
      <c r="C1914" s="257"/>
      <c r="D1914" s="329"/>
      <c r="E1914" s="330"/>
      <c r="F1914" s="331"/>
      <c r="G1914" s="256"/>
      <c r="H1914" s="256"/>
      <c r="I1914" s="332"/>
      <c r="J1914" s="333"/>
      <c r="K1914" s="334"/>
      <c r="L1914" s="484"/>
    </row>
    <row r="1915" spans="1:12" ht="15" thickBot="1">
      <c r="A1915" s="328"/>
      <c r="B1915" s="257"/>
      <c r="C1915" s="257"/>
      <c r="D1915" s="329"/>
      <c r="E1915" s="330"/>
      <c r="F1915" s="331"/>
      <c r="G1915" s="256"/>
      <c r="H1915" s="256"/>
      <c r="I1915" s="332"/>
      <c r="J1915" s="333"/>
      <c r="K1915" s="334"/>
      <c r="L1915" s="484"/>
    </row>
    <row r="1916" spans="1:12" ht="15" thickBot="1">
      <c r="A1916" s="328"/>
      <c r="B1916" s="257"/>
      <c r="C1916" s="257"/>
      <c r="D1916" s="329"/>
      <c r="E1916" s="330"/>
      <c r="F1916" s="331"/>
      <c r="G1916" s="256"/>
      <c r="H1916" s="256"/>
      <c r="I1916" s="332"/>
      <c r="J1916" s="333"/>
      <c r="K1916" s="334"/>
      <c r="L1916" s="484"/>
    </row>
    <row r="1917" spans="1:12" ht="15" thickBot="1">
      <c r="A1917" s="328"/>
      <c r="B1917" s="257"/>
      <c r="C1917" s="257"/>
      <c r="D1917" s="329"/>
      <c r="E1917" s="330"/>
      <c r="F1917" s="331"/>
      <c r="G1917" s="256"/>
      <c r="H1917" s="256"/>
      <c r="I1917" s="332"/>
      <c r="J1917" s="333"/>
      <c r="K1917" s="334"/>
      <c r="L1917" s="484"/>
    </row>
    <row r="1918" spans="1:12" ht="15" thickBot="1">
      <c r="A1918" s="328"/>
      <c r="B1918" s="257"/>
      <c r="C1918" s="257"/>
      <c r="D1918" s="329"/>
      <c r="E1918" s="330"/>
      <c r="F1918" s="331"/>
      <c r="G1918" s="256"/>
      <c r="H1918" s="256"/>
      <c r="I1918" s="332"/>
      <c r="J1918" s="333"/>
      <c r="K1918" s="334"/>
      <c r="L1918" s="484"/>
    </row>
    <row r="1919" spans="1:12" ht="15" thickBot="1">
      <c r="A1919" s="328"/>
      <c r="B1919" s="257"/>
      <c r="C1919" s="257"/>
      <c r="D1919" s="329"/>
      <c r="E1919" s="330"/>
      <c r="F1919" s="331"/>
      <c r="G1919" s="256"/>
      <c r="H1919" s="256"/>
      <c r="I1919" s="332"/>
      <c r="J1919" s="333"/>
      <c r="K1919" s="334"/>
      <c r="L1919" s="484"/>
    </row>
    <row r="1920" spans="1:12" ht="15" thickBot="1">
      <c r="A1920" s="328"/>
      <c r="B1920" s="257"/>
      <c r="C1920" s="257"/>
      <c r="D1920" s="329"/>
      <c r="E1920" s="330"/>
      <c r="F1920" s="331"/>
      <c r="G1920" s="256"/>
      <c r="H1920" s="256"/>
      <c r="I1920" s="332"/>
      <c r="J1920" s="333"/>
      <c r="K1920" s="334"/>
      <c r="L1920" s="484"/>
    </row>
    <row r="1921" spans="1:12" ht="15" thickBot="1">
      <c r="A1921" s="328"/>
      <c r="B1921" s="257"/>
      <c r="C1921" s="257"/>
      <c r="D1921" s="329"/>
      <c r="E1921" s="330"/>
      <c r="F1921" s="331"/>
      <c r="G1921" s="256"/>
      <c r="H1921" s="256"/>
      <c r="I1921" s="332"/>
      <c r="J1921" s="333"/>
      <c r="K1921" s="334"/>
      <c r="L1921" s="484"/>
    </row>
    <row r="1922" spans="1:12" ht="15" thickBot="1">
      <c r="A1922" s="328"/>
      <c r="B1922" s="257"/>
      <c r="C1922" s="257"/>
      <c r="D1922" s="329"/>
      <c r="E1922" s="330"/>
      <c r="F1922" s="331"/>
      <c r="G1922" s="256"/>
      <c r="H1922" s="256"/>
      <c r="I1922" s="332"/>
      <c r="J1922" s="333"/>
      <c r="K1922" s="334"/>
      <c r="L1922" s="484"/>
    </row>
    <row r="1923" spans="1:12" ht="15" thickBot="1">
      <c r="A1923" s="328"/>
      <c r="B1923" s="257"/>
      <c r="C1923" s="257"/>
      <c r="D1923" s="329"/>
      <c r="E1923" s="330"/>
      <c r="F1923" s="331"/>
      <c r="G1923" s="256"/>
      <c r="H1923" s="256"/>
      <c r="I1923" s="332"/>
      <c r="J1923" s="333"/>
      <c r="K1923" s="334"/>
      <c r="L1923" s="484"/>
    </row>
    <row r="1924" spans="1:12" ht="15" thickBot="1">
      <c r="A1924" s="328"/>
      <c r="B1924" s="257"/>
      <c r="C1924" s="257"/>
      <c r="D1924" s="329"/>
      <c r="E1924" s="330"/>
      <c r="F1924" s="331"/>
      <c r="G1924" s="256"/>
      <c r="H1924" s="256"/>
      <c r="I1924" s="332"/>
      <c r="J1924" s="333"/>
      <c r="K1924" s="334"/>
      <c r="L1924" s="484"/>
    </row>
    <row r="1925" spans="1:12" ht="15" thickBot="1">
      <c r="A1925" s="328"/>
      <c r="B1925" s="257"/>
      <c r="C1925" s="257"/>
      <c r="D1925" s="329"/>
      <c r="E1925" s="330"/>
      <c r="F1925" s="331"/>
      <c r="G1925" s="256"/>
      <c r="H1925" s="256"/>
      <c r="I1925" s="332"/>
      <c r="J1925" s="333"/>
      <c r="K1925" s="334"/>
      <c r="L1925" s="484"/>
    </row>
    <row r="1926" spans="1:12" ht="15" thickBot="1">
      <c r="A1926" s="328"/>
      <c r="B1926" s="257"/>
      <c r="C1926" s="257"/>
      <c r="D1926" s="329"/>
      <c r="E1926" s="330"/>
      <c r="F1926" s="331"/>
      <c r="G1926" s="256"/>
      <c r="H1926" s="256"/>
      <c r="I1926" s="332"/>
      <c r="J1926" s="333"/>
      <c r="K1926" s="334"/>
      <c r="L1926" s="484"/>
    </row>
    <row r="1927" spans="1:12" ht="15" thickBot="1">
      <c r="A1927" s="328"/>
      <c r="B1927" s="257"/>
      <c r="C1927" s="257"/>
      <c r="D1927" s="329"/>
      <c r="E1927" s="330"/>
      <c r="F1927" s="331"/>
      <c r="G1927" s="256"/>
      <c r="H1927" s="256"/>
      <c r="I1927" s="332"/>
      <c r="J1927" s="333"/>
      <c r="K1927" s="334"/>
      <c r="L1927" s="484"/>
    </row>
    <row r="1928" spans="1:12" ht="15" thickBot="1">
      <c r="A1928" s="328"/>
      <c r="B1928" s="257"/>
      <c r="C1928" s="257"/>
      <c r="D1928" s="329"/>
      <c r="E1928" s="330"/>
      <c r="F1928" s="331"/>
      <c r="G1928" s="256"/>
      <c r="H1928" s="256"/>
      <c r="I1928" s="332"/>
      <c r="J1928" s="333"/>
      <c r="K1928" s="334"/>
      <c r="L1928" s="484"/>
    </row>
    <row r="1929" spans="1:12" ht="15" thickBot="1">
      <c r="A1929" s="328"/>
      <c r="B1929" s="257"/>
      <c r="C1929" s="257"/>
      <c r="D1929" s="329"/>
      <c r="E1929" s="330"/>
      <c r="F1929" s="331"/>
      <c r="G1929" s="256"/>
      <c r="H1929" s="256"/>
      <c r="I1929" s="332"/>
      <c r="J1929" s="333"/>
      <c r="K1929" s="334"/>
      <c r="L1929" s="484"/>
    </row>
    <row r="1930" spans="1:12" ht="15" thickBot="1">
      <c r="A1930" s="328"/>
      <c r="B1930" s="257"/>
      <c r="C1930" s="257"/>
      <c r="D1930" s="329"/>
      <c r="E1930" s="330"/>
      <c r="F1930" s="331"/>
      <c r="G1930" s="256"/>
      <c r="H1930" s="256"/>
      <c r="I1930" s="332"/>
      <c r="J1930" s="333"/>
      <c r="K1930" s="334"/>
      <c r="L1930" s="484"/>
    </row>
    <row r="1931" spans="1:12" ht="15" thickBot="1">
      <c r="A1931" s="328"/>
      <c r="B1931" s="257"/>
      <c r="C1931" s="257"/>
      <c r="D1931" s="329"/>
      <c r="E1931" s="330"/>
      <c r="F1931" s="331"/>
      <c r="G1931" s="256"/>
      <c r="H1931" s="256"/>
      <c r="I1931" s="332"/>
      <c r="J1931" s="333"/>
      <c r="K1931" s="334"/>
      <c r="L1931" s="484"/>
    </row>
    <row r="1932" spans="1:12" ht="15" thickBot="1">
      <c r="A1932" s="328"/>
      <c r="B1932" s="257"/>
      <c r="C1932" s="257"/>
      <c r="D1932" s="329"/>
      <c r="E1932" s="330"/>
      <c r="F1932" s="331"/>
      <c r="G1932" s="256"/>
      <c r="H1932" s="256"/>
      <c r="I1932" s="332"/>
      <c r="J1932" s="333"/>
      <c r="K1932" s="334"/>
      <c r="L1932" s="484"/>
    </row>
    <row r="1933" spans="1:12" ht="15" thickBot="1">
      <c r="A1933" s="328"/>
      <c r="B1933" s="257"/>
      <c r="C1933" s="257"/>
      <c r="D1933" s="329"/>
      <c r="E1933" s="330"/>
      <c r="F1933" s="331"/>
      <c r="G1933" s="256"/>
      <c r="H1933" s="256"/>
      <c r="I1933" s="332"/>
      <c r="J1933" s="333"/>
      <c r="K1933" s="334"/>
      <c r="L1933" s="484"/>
    </row>
    <row r="1934" spans="1:12" ht="15" thickBot="1">
      <c r="A1934" s="328"/>
      <c r="B1934" s="257"/>
      <c r="C1934" s="257"/>
      <c r="D1934" s="329"/>
      <c r="E1934" s="330"/>
      <c r="F1934" s="331"/>
      <c r="G1934" s="256"/>
      <c r="H1934" s="256"/>
      <c r="I1934" s="332"/>
      <c r="J1934" s="333"/>
      <c r="K1934" s="334"/>
      <c r="L1934" s="484"/>
    </row>
    <row r="1935" spans="1:12" ht="15" thickBot="1">
      <c r="A1935" s="328"/>
      <c r="B1935" s="257"/>
      <c r="C1935" s="257"/>
      <c r="D1935" s="329"/>
      <c r="E1935" s="330"/>
      <c r="F1935" s="331"/>
      <c r="G1935" s="256"/>
      <c r="H1935" s="256"/>
      <c r="I1935" s="332"/>
      <c r="J1935" s="333"/>
      <c r="K1935" s="334"/>
      <c r="L1935" s="484"/>
    </row>
    <row r="1936" spans="1:12" ht="15" thickBot="1">
      <c r="A1936" s="328"/>
      <c r="B1936" s="257"/>
      <c r="C1936" s="257"/>
      <c r="D1936" s="329"/>
      <c r="E1936" s="330"/>
      <c r="F1936" s="331"/>
      <c r="G1936" s="256"/>
      <c r="H1936" s="256"/>
      <c r="I1936" s="332"/>
      <c r="J1936" s="333"/>
      <c r="K1936" s="334"/>
      <c r="L1936" s="484"/>
    </row>
    <row r="1937" spans="1:12" ht="15" thickBot="1">
      <c r="A1937" s="328"/>
      <c r="B1937" s="257"/>
      <c r="C1937" s="257"/>
      <c r="D1937" s="329"/>
      <c r="E1937" s="330"/>
      <c r="F1937" s="331"/>
      <c r="G1937" s="256"/>
      <c r="H1937" s="256"/>
      <c r="I1937" s="332"/>
      <c r="J1937" s="333"/>
      <c r="K1937" s="334"/>
      <c r="L1937" s="484"/>
    </row>
    <row r="1938" spans="1:12" ht="15" thickBot="1">
      <c r="A1938" s="328"/>
      <c r="B1938" s="257"/>
      <c r="C1938" s="257"/>
      <c r="D1938" s="329"/>
      <c r="E1938" s="330"/>
      <c r="F1938" s="331"/>
      <c r="G1938" s="256"/>
      <c r="H1938" s="256"/>
      <c r="I1938" s="332"/>
      <c r="J1938" s="333"/>
      <c r="K1938" s="334"/>
      <c r="L1938" s="484"/>
    </row>
    <row r="1939" spans="1:12" ht="15" thickBot="1">
      <c r="A1939" s="328"/>
      <c r="B1939" s="257"/>
      <c r="C1939" s="257"/>
      <c r="D1939" s="329"/>
      <c r="E1939" s="330"/>
      <c r="F1939" s="331"/>
      <c r="G1939" s="256"/>
      <c r="H1939" s="256"/>
      <c r="I1939" s="332"/>
      <c r="J1939" s="333"/>
      <c r="K1939" s="334"/>
      <c r="L1939" s="484"/>
    </row>
    <row r="1940" spans="1:12" ht="15" thickBot="1">
      <c r="A1940" s="328"/>
      <c r="B1940" s="257"/>
      <c r="C1940" s="257"/>
      <c r="D1940" s="329"/>
      <c r="E1940" s="330"/>
      <c r="F1940" s="331"/>
      <c r="G1940" s="256"/>
      <c r="H1940" s="256"/>
      <c r="I1940" s="332"/>
      <c r="J1940" s="333"/>
      <c r="K1940" s="334"/>
      <c r="L1940" s="484"/>
    </row>
    <row r="1941" spans="1:12" ht="15" thickBot="1">
      <c r="A1941" s="328"/>
      <c r="B1941" s="257"/>
      <c r="C1941" s="257"/>
      <c r="D1941" s="329"/>
      <c r="E1941" s="330"/>
      <c r="F1941" s="331"/>
      <c r="G1941" s="256"/>
      <c r="H1941" s="256"/>
      <c r="I1941" s="332"/>
      <c r="J1941" s="333"/>
      <c r="K1941" s="334"/>
      <c r="L1941" s="484"/>
    </row>
    <row r="1942" spans="1:12" ht="15" thickBot="1">
      <c r="A1942" s="328"/>
      <c r="B1942" s="257"/>
      <c r="C1942" s="257"/>
      <c r="D1942" s="329"/>
      <c r="E1942" s="330"/>
      <c r="F1942" s="331"/>
      <c r="G1942" s="256"/>
      <c r="H1942" s="256"/>
      <c r="I1942" s="332"/>
      <c r="J1942" s="333"/>
      <c r="K1942" s="334"/>
      <c r="L1942" s="484"/>
    </row>
    <row r="1943" spans="1:12" ht="15" thickBot="1">
      <c r="A1943" s="328"/>
      <c r="B1943" s="257"/>
      <c r="C1943" s="257"/>
      <c r="D1943" s="329"/>
      <c r="E1943" s="330"/>
      <c r="F1943" s="331"/>
      <c r="G1943" s="256"/>
      <c r="H1943" s="256"/>
      <c r="I1943" s="332"/>
      <c r="J1943" s="333"/>
      <c r="K1943" s="334"/>
      <c r="L1943" s="484"/>
    </row>
    <row r="1944" spans="1:12" ht="15" thickBot="1">
      <c r="A1944" s="328"/>
      <c r="B1944" s="257"/>
      <c r="C1944" s="257"/>
      <c r="D1944" s="329"/>
      <c r="E1944" s="330"/>
      <c r="F1944" s="331"/>
      <c r="G1944" s="256"/>
      <c r="H1944" s="256"/>
      <c r="I1944" s="332"/>
      <c r="J1944" s="333"/>
      <c r="K1944" s="334"/>
      <c r="L1944" s="484"/>
    </row>
    <row r="1945" spans="1:12" ht="15" thickBot="1">
      <c r="A1945" s="328"/>
      <c r="B1945" s="257"/>
      <c r="C1945" s="257"/>
      <c r="D1945" s="329"/>
      <c r="E1945" s="330"/>
      <c r="F1945" s="331"/>
      <c r="G1945" s="256"/>
      <c r="H1945" s="256"/>
      <c r="I1945" s="332"/>
      <c r="J1945" s="333"/>
      <c r="K1945" s="334"/>
      <c r="L1945" s="484"/>
    </row>
    <row r="1946" spans="1:12" ht="15" thickBot="1">
      <c r="A1946" s="328"/>
      <c r="B1946" s="257"/>
      <c r="C1946" s="257"/>
      <c r="D1946" s="329"/>
      <c r="E1946" s="330"/>
      <c r="F1946" s="331"/>
      <c r="G1946" s="256"/>
      <c r="H1946" s="256"/>
      <c r="I1946" s="332"/>
      <c r="J1946" s="333"/>
      <c r="K1946" s="334"/>
      <c r="L1946" s="484"/>
    </row>
    <row r="1947" spans="1:12" ht="15" thickBot="1">
      <c r="A1947" s="328"/>
      <c r="B1947" s="257"/>
      <c r="C1947" s="257"/>
      <c r="D1947" s="329"/>
      <c r="E1947" s="330"/>
      <c r="F1947" s="331"/>
      <c r="G1947" s="256"/>
      <c r="H1947" s="256"/>
      <c r="I1947" s="332"/>
      <c r="J1947" s="333"/>
      <c r="K1947" s="334"/>
      <c r="L1947" s="484"/>
    </row>
    <row r="1948" spans="1:12" ht="15" thickBot="1">
      <c r="A1948" s="328"/>
      <c r="B1948" s="257"/>
      <c r="C1948" s="257"/>
      <c r="D1948" s="329"/>
      <c r="E1948" s="330"/>
      <c r="F1948" s="331"/>
      <c r="G1948" s="256"/>
      <c r="H1948" s="256"/>
      <c r="I1948" s="332"/>
      <c r="J1948" s="333"/>
      <c r="K1948" s="334"/>
      <c r="L1948" s="484"/>
    </row>
    <row r="1949" spans="1:12" ht="15" thickBot="1">
      <c r="A1949" s="328"/>
      <c r="B1949" s="257"/>
      <c r="C1949" s="257"/>
      <c r="D1949" s="329"/>
      <c r="E1949" s="330"/>
      <c r="F1949" s="331"/>
      <c r="G1949" s="256"/>
      <c r="H1949" s="256"/>
      <c r="I1949" s="332"/>
      <c r="J1949" s="333"/>
      <c r="K1949" s="334"/>
      <c r="L1949" s="484"/>
    </row>
    <row r="1950" spans="1:12" ht="15" thickBot="1">
      <c r="A1950" s="328"/>
      <c r="B1950" s="257"/>
      <c r="C1950" s="257"/>
      <c r="D1950" s="329"/>
      <c r="E1950" s="330"/>
      <c r="F1950" s="331"/>
      <c r="G1950" s="256"/>
      <c r="H1950" s="256"/>
      <c r="I1950" s="332"/>
      <c r="J1950" s="333"/>
      <c r="K1950" s="334"/>
      <c r="L1950" s="484"/>
    </row>
    <row r="1951" spans="1:12" ht="15" thickBot="1">
      <c r="A1951" s="328"/>
      <c r="B1951" s="257"/>
      <c r="C1951" s="257"/>
      <c r="D1951" s="329"/>
      <c r="E1951" s="330"/>
      <c r="F1951" s="331"/>
      <c r="G1951" s="256"/>
      <c r="H1951" s="256"/>
      <c r="I1951" s="332"/>
      <c r="J1951" s="333"/>
      <c r="K1951" s="334"/>
      <c r="L1951" s="484"/>
    </row>
    <row r="1952" spans="1:12" ht="15" thickBot="1">
      <c r="A1952" s="328"/>
      <c r="B1952" s="257"/>
      <c r="C1952" s="257"/>
      <c r="D1952" s="329"/>
      <c r="E1952" s="330"/>
      <c r="F1952" s="331"/>
      <c r="G1952" s="256"/>
      <c r="H1952" s="256"/>
      <c r="I1952" s="332"/>
      <c r="J1952" s="333"/>
      <c r="K1952" s="334"/>
      <c r="L1952" s="484"/>
    </row>
    <row r="1953" spans="1:12" ht="15" thickBot="1">
      <c r="A1953" s="328"/>
      <c r="B1953" s="257"/>
      <c r="C1953" s="257"/>
      <c r="D1953" s="329"/>
      <c r="E1953" s="330"/>
      <c r="F1953" s="331"/>
      <c r="G1953" s="256"/>
      <c r="H1953" s="256"/>
      <c r="I1953" s="332"/>
      <c r="J1953" s="333"/>
      <c r="K1953" s="334"/>
      <c r="L1953" s="484"/>
    </row>
    <row r="1954" spans="1:12" ht="15" thickBot="1">
      <c r="A1954" s="328"/>
      <c r="B1954" s="257"/>
      <c r="C1954" s="257"/>
      <c r="D1954" s="329"/>
      <c r="E1954" s="330"/>
      <c r="F1954" s="331"/>
      <c r="G1954" s="256"/>
      <c r="H1954" s="256"/>
      <c r="I1954" s="332"/>
      <c r="J1954" s="333"/>
      <c r="K1954" s="334"/>
      <c r="L1954" s="484"/>
    </row>
    <row r="1955" spans="1:12" ht="15" thickBot="1">
      <c r="A1955" s="328"/>
      <c r="B1955" s="257"/>
      <c r="C1955" s="257"/>
      <c r="D1955" s="329"/>
      <c r="E1955" s="330"/>
      <c r="F1955" s="331"/>
      <c r="G1955" s="256"/>
      <c r="H1955" s="256"/>
      <c r="I1955" s="332"/>
      <c r="J1955" s="333"/>
      <c r="K1955" s="334"/>
      <c r="L1955" s="484"/>
    </row>
    <row r="1956" spans="1:12" ht="15" thickBot="1">
      <c r="A1956" s="328"/>
      <c r="B1956" s="257"/>
      <c r="C1956" s="257"/>
      <c r="D1956" s="329"/>
      <c r="E1956" s="330"/>
      <c r="F1956" s="331"/>
      <c r="G1956" s="256"/>
      <c r="H1956" s="256"/>
      <c r="I1956" s="332"/>
      <c r="J1956" s="333"/>
      <c r="K1956" s="334"/>
      <c r="L1956" s="484"/>
    </row>
    <row r="1957" spans="1:12" ht="15" thickBot="1">
      <c r="A1957" s="328"/>
      <c r="B1957" s="257"/>
      <c r="C1957" s="257"/>
      <c r="D1957" s="329"/>
      <c r="E1957" s="330"/>
      <c r="F1957" s="331"/>
      <c r="G1957" s="256"/>
      <c r="H1957" s="256"/>
      <c r="I1957" s="332"/>
      <c r="J1957" s="333"/>
      <c r="K1957" s="334"/>
      <c r="L1957" s="484"/>
    </row>
    <row r="1958" spans="1:12" ht="15" thickBot="1">
      <c r="A1958" s="328"/>
      <c r="B1958" s="257"/>
      <c r="C1958" s="257"/>
      <c r="D1958" s="329"/>
      <c r="E1958" s="330"/>
      <c r="F1958" s="331"/>
      <c r="G1958" s="256"/>
      <c r="H1958" s="256"/>
      <c r="I1958" s="332"/>
      <c r="J1958" s="333"/>
      <c r="K1958" s="334"/>
      <c r="L1958" s="484"/>
    </row>
    <row r="1959" spans="1:12" ht="15" thickBot="1">
      <c r="A1959" s="328"/>
      <c r="B1959" s="257"/>
      <c r="C1959" s="257"/>
      <c r="D1959" s="329"/>
      <c r="E1959" s="330"/>
      <c r="F1959" s="331"/>
      <c r="G1959" s="256"/>
      <c r="H1959" s="256"/>
      <c r="I1959" s="332"/>
      <c r="J1959" s="333"/>
      <c r="K1959" s="334"/>
      <c r="L1959" s="484"/>
    </row>
    <row r="1960" spans="1:12" ht="15" thickBot="1">
      <c r="A1960" s="328"/>
      <c r="B1960" s="257"/>
      <c r="C1960" s="257"/>
      <c r="D1960" s="329"/>
      <c r="E1960" s="330"/>
      <c r="F1960" s="331"/>
      <c r="G1960" s="256"/>
      <c r="H1960" s="256"/>
      <c r="I1960" s="332"/>
      <c r="J1960" s="333"/>
      <c r="K1960" s="334"/>
      <c r="L1960" s="484"/>
    </row>
    <row r="1961" spans="1:12" ht="15" thickBot="1">
      <c r="A1961" s="328"/>
      <c r="B1961" s="257"/>
      <c r="C1961" s="257"/>
      <c r="D1961" s="329"/>
      <c r="E1961" s="330"/>
      <c r="F1961" s="331"/>
      <c r="G1961" s="256"/>
      <c r="H1961" s="256"/>
      <c r="I1961" s="332"/>
      <c r="J1961" s="333"/>
      <c r="K1961" s="334"/>
      <c r="L1961" s="484"/>
    </row>
    <row r="1962" spans="1:12" ht="15" thickBot="1">
      <c r="A1962" s="328"/>
      <c r="B1962" s="257"/>
      <c r="C1962" s="257"/>
      <c r="D1962" s="329"/>
      <c r="E1962" s="330"/>
      <c r="F1962" s="331"/>
      <c r="G1962" s="256"/>
      <c r="H1962" s="256"/>
      <c r="I1962" s="332"/>
      <c r="J1962" s="333"/>
      <c r="K1962" s="334"/>
      <c r="L1962" s="484"/>
    </row>
    <row r="1963" spans="1:12" ht="15" thickBot="1">
      <c r="A1963" s="328"/>
      <c r="B1963" s="257"/>
      <c r="C1963" s="257"/>
      <c r="D1963" s="329"/>
      <c r="E1963" s="330"/>
      <c r="F1963" s="331"/>
      <c r="G1963" s="256"/>
      <c r="H1963" s="256"/>
      <c r="I1963" s="332"/>
      <c r="J1963" s="333"/>
      <c r="K1963" s="334"/>
      <c r="L1963" s="484"/>
    </row>
    <row r="1964" spans="1:12" ht="15" thickBot="1">
      <c r="A1964" s="328"/>
      <c r="B1964" s="257"/>
      <c r="C1964" s="257"/>
      <c r="D1964" s="329"/>
      <c r="E1964" s="330"/>
      <c r="F1964" s="331"/>
      <c r="G1964" s="256"/>
      <c r="H1964" s="256"/>
      <c r="I1964" s="332"/>
      <c r="J1964" s="333"/>
      <c r="K1964" s="334"/>
      <c r="L1964" s="484"/>
    </row>
    <row r="1965" spans="1:12" ht="15" thickBot="1">
      <c r="A1965" s="328"/>
      <c r="B1965" s="257"/>
      <c r="C1965" s="257"/>
      <c r="D1965" s="329"/>
      <c r="E1965" s="330"/>
      <c r="F1965" s="331"/>
      <c r="G1965" s="256"/>
      <c r="H1965" s="256"/>
      <c r="I1965" s="332"/>
      <c r="J1965" s="333"/>
      <c r="K1965" s="334"/>
      <c r="L1965" s="484"/>
    </row>
    <row r="1966" spans="1:12" ht="15" thickBot="1">
      <c r="A1966" s="328"/>
      <c r="B1966" s="257"/>
      <c r="C1966" s="257"/>
      <c r="D1966" s="329"/>
      <c r="E1966" s="330"/>
      <c r="F1966" s="331"/>
      <c r="G1966" s="256"/>
      <c r="H1966" s="256"/>
      <c r="I1966" s="332"/>
      <c r="J1966" s="333"/>
      <c r="K1966" s="334"/>
      <c r="L1966" s="484"/>
    </row>
    <row r="1967" spans="1:12" ht="15" thickBot="1">
      <c r="A1967" s="328"/>
      <c r="B1967" s="257"/>
      <c r="C1967" s="257"/>
      <c r="D1967" s="329"/>
      <c r="E1967" s="330"/>
      <c r="F1967" s="331"/>
      <c r="G1967" s="256"/>
      <c r="H1967" s="256"/>
      <c r="I1967" s="332"/>
      <c r="J1967" s="333"/>
      <c r="K1967" s="334"/>
      <c r="L1967" s="484"/>
    </row>
    <row r="1968" spans="1:12" ht="15" thickBot="1">
      <c r="A1968" s="328"/>
      <c r="B1968" s="257"/>
      <c r="C1968" s="257"/>
      <c r="D1968" s="329"/>
      <c r="E1968" s="330"/>
      <c r="F1968" s="331"/>
      <c r="G1968" s="256"/>
      <c r="H1968" s="256"/>
      <c r="I1968" s="332"/>
      <c r="J1968" s="333"/>
      <c r="K1968" s="334"/>
      <c r="L1968" s="484"/>
    </row>
    <row r="1969" spans="1:12" ht="15" thickBot="1">
      <c r="A1969" s="328"/>
      <c r="B1969" s="257"/>
      <c r="C1969" s="257"/>
      <c r="D1969" s="329"/>
      <c r="E1969" s="330"/>
      <c r="F1969" s="331"/>
      <c r="G1969" s="256"/>
      <c r="H1969" s="256"/>
      <c r="I1969" s="332"/>
      <c r="J1969" s="333"/>
      <c r="K1969" s="334"/>
      <c r="L1969" s="484"/>
    </row>
    <row r="1970" spans="1:12" ht="15" thickBot="1">
      <c r="A1970" s="328"/>
      <c r="B1970" s="257"/>
      <c r="C1970" s="257"/>
      <c r="D1970" s="329"/>
      <c r="E1970" s="330"/>
      <c r="F1970" s="331"/>
      <c r="G1970" s="256"/>
      <c r="H1970" s="256"/>
      <c r="I1970" s="332"/>
      <c r="J1970" s="333"/>
      <c r="K1970" s="334"/>
      <c r="L1970" s="484"/>
    </row>
    <row r="1971" spans="1:12" ht="15" thickBot="1">
      <c r="A1971" s="328"/>
      <c r="B1971" s="257"/>
      <c r="C1971" s="257"/>
      <c r="D1971" s="329"/>
      <c r="E1971" s="330"/>
      <c r="F1971" s="331"/>
      <c r="G1971" s="256"/>
      <c r="H1971" s="256"/>
      <c r="I1971" s="332"/>
      <c r="J1971" s="333"/>
      <c r="K1971" s="334"/>
      <c r="L1971" s="484"/>
    </row>
    <row r="1972" spans="1:12" ht="15" thickBot="1">
      <c r="A1972" s="328"/>
      <c r="B1972" s="257"/>
      <c r="C1972" s="257"/>
      <c r="D1972" s="329"/>
      <c r="E1972" s="330"/>
      <c r="F1972" s="331"/>
      <c r="G1972" s="256"/>
      <c r="H1972" s="256"/>
      <c r="I1972" s="332"/>
      <c r="J1972" s="333"/>
      <c r="K1972" s="334"/>
      <c r="L1972" s="484"/>
    </row>
    <row r="1973" spans="1:12" ht="15" thickBot="1">
      <c r="A1973" s="328"/>
      <c r="B1973" s="257"/>
      <c r="C1973" s="257"/>
      <c r="D1973" s="329"/>
      <c r="E1973" s="330"/>
      <c r="F1973" s="331"/>
      <c r="G1973" s="256"/>
      <c r="H1973" s="256"/>
      <c r="I1973" s="332"/>
      <c r="J1973" s="333"/>
      <c r="K1973" s="334"/>
      <c r="L1973" s="484"/>
    </row>
    <row r="1974" spans="1:12" ht="15" thickBot="1">
      <c r="A1974" s="328"/>
      <c r="B1974" s="257"/>
      <c r="C1974" s="257"/>
      <c r="D1974" s="329"/>
      <c r="E1974" s="330"/>
      <c r="F1974" s="331"/>
      <c r="G1974" s="256"/>
      <c r="H1974" s="256"/>
      <c r="I1974" s="332"/>
      <c r="J1974" s="333"/>
      <c r="K1974" s="334"/>
      <c r="L1974" s="484"/>
    </row>
    <row r="1975" spans="1:12" ht="15" thickBot="1">
      <c r="A1975" s="328"/>
      <c r="B1975" s="257"/>
      <c r="C1975" s="257"/>
      <c r="D1975" s="329"/>
      <c r="E1975" s="330"/>
      <c r="F1975" s="331"/>
      <c r="G1975" s="256"/>
      <c r="H1975" s="256"/>
      <c r="I1975" s="332"/>
      <c r="J1975" s="333"/>
      <c r="K1975" s="334"/>
      <c r="L1975" s="484"/>
    </row>
    <row r="1976" spans="1:12" ht="15" thickBot="1">
      <c r="A1976" s="328"/>
      <c r="B1976" s="257"/>
      <c r="C1976" s="257"/>
      <c r="D1976" s="329"/>
      <c r="E1976" s="330"/>
      <c r="F1976" s="331"/>
      <c r="G1976" s="256"/>
      <c r="H1976" s="256"/>
      <c r="I1976" s="332"/>
      <c r="J1976" s="333"/>
      <c r="K1976" s="334"/>
      <c r="L1976" s="484"/>
    </row>
    <row r="1977" spans="1:12" ht="15" thickBot="1">
      <c r="A1977" s="328"/>
      <c r="B1977" s="257"/>
      <c r="C1977" s="257"/>
      <c r="D1977" s="329"/>
      <c r="E1977" s="330"/>
      <c r="F1977" s="331"/>
      <c r="G1977" s="256"/>
      <c r="H1977" s="256"/>
      <c r="I1977" s="332"/>
      <c r="J1977" s="333"/>
      <c r="K1977" s="334"/>
      <c r="L1977" s="484"/>
    </row>
    <row r="1978" spans="1:12" ht="15" thickBot="1">
      <c r="A1978" s="328"/>
      <c r="B1978" s="257"/>
      <c r="C1978" s="257"/>
      <c r="D1978" s="329"/>
      <c r="E1978" s="330"/>
      <c r="F1978" s="331"/>
      <c r="G1978" s="256"/>
      <c r="H1978" s="256"/>
      <c r="I1978" s="332"/>
      <c r="J1978" s="333"/>
      <c r="K1978" s="334"/>
      <c r="L1978" s="484"/>
    </row>
    <row r="1979" spans="1:12" ht="15" thickBot="1">
      <c r="A1979" s="328"/>
      <c r="B1979" s="257"/>
      <c r="C1979" s="257"/>
      <c r="D1979" s="329"/>
      <c r="E1979" s="330"/>
      <c r="F1979" s="331"/>
      <c r="G1979" s="256"/>
      <c r="H1979" s="256"/>
      <c r="I1979" s="332"/>
      <c r="J1979" s="333"/>
      <c r="K1979" s="334"/>
      <c r="L1979" s="484"/>
    </row>
    <row r="1980" spans="1:12" ht="15" thickBot="1">
      <c r="A1980" s="328"/>
      <c r="B1980" s="257"/>
      <c r="C1980" s="257"/>
      <c r="D1980" s="329"/>
      <c r="E1980" s="330"/>
      <c r="F1980" s="331"/>
      <c r="G1980" s="256"/>
      <c r="H1980" s="256"/>
      <c r="I1980" s="332"/>
      <c r="J1980" s="333"/>
      <c r="K1980" s="334"/>
      <c r="L1980" s="484"/>
    </row>
    <row r="1981" spans="1:12" ht="15" thickBot="1">
      <c r="A1981" s="328"/>
      <c r="B1981" s="257"/>
      <c r="C1981" s="257"/>
      <c r="D1981" s="329"/>
      <c r="E1981" s="330"/>
      <c r="F1981" s="331"/>
      <c r="G1981" s="256"/>
      <c r="H1981" s="256"/>
      <c r="I1981" s="332"/>
      <c r="J1981" s="333"/>
      <c r="K1981" s="334"/>
      <c r="L1981" s="484"/>
    </row>
    <row r="1982" spans="1:12" ht="15" thickBot="1">
      <c r="A1982" s="328"/>
      <c r="B1982" s="257"/>
      <c r="C1982" s="257"/>
      <c r="D1982" s="329"/>
      <c r="E1982" s="330"/>
      <c r="F1982" s="331"/>
      <c r="G1982" s="256"/>
      <c r="H1982" s="256"/>
      <c r="I1982" s="332"/>
      <c r="J1982" s="333"/>
      <c r="K1982" s="334"/>
      <c r="L1982" s="484"/>
    </row>
    <row r="1983" spans="1:12" ht="15" thickBot="1">
      <c r="A1983" s="328"/>
      <c r="B1983" s="257"/>
      <c r="C1983" s="257"/>
      <c r="D1983" s="329"/>
      <c r="E1983" s="330"/>
      <c r="F1983" s="331"/>
      <c r="G1983" s="256"/>
      <c r="H1983" s="256"/>
      <c r="I1983" s="332"/>
      <c r="J1983" s="333"/>
      <c r="K1983" s="334"/>
      <c r="L1983" s="484"/>
    </row>
    <row r="1984" spans="1:12" ht="15" thickBot="1">
      <c r="A1984" s="328"/>
      <c r="B1984" s="257"/>
      <c r="C1984" s="257"/>
      <c r="D1984" s="329"/>
      <c r="E1984" s="330"/>
      <c r="F1984" s="331"/>
      <c r="G1984" s="256"/>
      <c r="H1984" s="256"/>
      <c r="I1984" s="332"/>
      <c r="J1984" s="333"/>
      <c r="K1984" s="334"/>
      <c r="L1984" s="484"/>
    </row>
    <row r="1985" spans="1:12" ht="15" thickBot="1">
      <c r="A1985" s="328"/>
      <c r="B1985" s="257"/>
      <c r="C1985" s="257"/>
      <c r="D1985" s="329"/>
      <c r="E1985" s="330"/>
      <c r="F1985" s="331"/>
      <c r="G1985" s="256"/>
      <c r="H1985" s="256"/>
      <c r="I1985" s="332"/>
      <c r="J1985" s="333"/>
      <c r="K1985" s="334"/>
      <c r="L1985" s="484"/>
    </row>
    <row r="1986" spans="1:12" ht="15" thickBot="1">
      <c r="A1986" s="328"/>
      <c r="B1986" s="257"/>
      <c r="C1986" s="257"/>
      <c r="D1986" s="329"/>
      <c r="E1986" s="330"/>
      <c r="F1986" s="331"/>
      <c r="G1986" s="256"/>
      <c r="H1986" s="256"/>
      <c r="I1986" s="332"/>
      <c r="J1986" s="333"/>
      <c r="K1986" s="334"/>
      <c r="L1986" s="484"/>
    </row>
    <row r="1987" spans="1:12" ht="15" thickBot="1">
      <c r="A1987" s="328"/>
      <c r="B1987" s="257"/>
      <c r="C1987" s="257"/>
      <c r="D1987" s="329"/>
      <c r="E1987" s="330"/>
      <c r="F1987" s="331"/>
      <c r="G1987" s="256"/>
      <c r="H1987" s="256"/>
      <c r="I1987" s="332"/>
      <c r="J1987" s="333"/>
      <c r="K1987" s="334"/>
      <c r="L1987" s="484"/>
    </row>
    <row r="1988" spans="1:12" ht="15" thickBot="1">
      <c r="A1988" s="328"/>
      <c r="B1988" s="257"/>
      <c r="C1988" s="257"/>
      <c r="D1988" s="329"/>
      <c r="E1988" s="330"/>
      <c r="F1988" s="331"/>
      <c r="G1988" s="256"/>
      <c r="H1988" s="256"/>
      <c r="I1988" s="332"/>
      <c r="J1988" s="333"/>
      <c r="K1988" s="334"/>
      <c r="L1988" s="484"/>
    </row>
    <row r="1989" spans="1:12" ht="15" thickBot="1">
      <c r="A1989" s="328"/>
      <c r="B1989" s="257"/>
      <c r="C1989" s="257"/>
      <c r="D1989" s="329"/>
      <c r="E1989" s="330"/>
      <c r="F1989" s="331"/>
      <c r="G1989" s="256"/>
      <c r="H1989" s="256"/>
      <c r="I1989" s="332"/>
      <c r="J1989" s="333"/>
      <c r="K1989" s="334"/>
      <c r="L1989" s="484"/>
    </row>
    <row r="1990" spans="1:12" ht="15" thickBot="1">
      <c r="A1990" s="328"/>
      <c r="B1990" s="257"/>
      <c r="C1990" s="257"/>
      <c r="D1990" s="329"/>
      <c r="E1990" s="330"/>
      <c r="F1990" s="331"/>
      <c r="G1990" s="256"/>
      <c r="H1990" s="256"/>
      <c r="I1990" s="332"/>
      <c r="J1990" s="333"/>
      <c r="K1990" s="334"/>
      <c r="L1990" s="484"/>
    </row>
    <row r="1991" spans="1:12" ht="15" thickBot="1">
      <c r="A1991" s="328"/>
      <c r="B1991" s="257"/>
      <c r="C1991" s="257"/>
      <c r="D1991" s="329"/>
      <c r="E1991" s="330"/>
      <c r="F1991" s="331"/>
      <c r="G1991" s="256"/>
      <c r="H1991" s="256"/>
      <c r="I1991" s="332"/>
      <c r="J1991" s="333"/>
      <c r="K1991" s="334"/>
      <c r="L1991" s="484"/>
    </row>
    <row r="1992" spans="1:12" ht="15" thickBot="1">
      <c r="A1992" s="328"/>
      <c r="B1992" s="257"/>
      <c r="C1992" s="257"/>
      <c r="D1992" s="329"/>
      <c r="E1992" s="330"/>
      <c r="F1992" s="331"/>
      <c r="G1992" s="256"/>
      <c r="H1992" s="256"/>
      <c r="I1992" s="332"/>
      <c r="J1992" s="333"/>
      <c r="K1992" s="334"/>
      <c r="L1992" s="484"/>
    </row>
    <row r="1993" spans="1:12" ht="15" thickBot="1">
      <c r="A1993" s="328"/>
      <c r="B1993" s="257"/>
      <c r="C1993" s="257"/>
      <c r="D1993" s="329"/>
      <c r="E1993" s="330"/>
      <c r="F1993" s="331"/>
      <c r="G1993" s="256"/>
      <c r="H1993" s="256"/>
      <c r="I1993" s="332"/>
      <c r="J1993" s="333"/>
      <c r="K1993" s="334"/>
      <c r="L1993" s="484"/>
    </row>
    <row r="1994" spans="1:12" ht="15" thickBot="1">
      <c r="A1994" s="328"/>
      <c r="B1994" s="257"/>
      <c r="C1994" s="257"/>
      <c r="D1994" s="329"/>
      <c r="E1994" s="330"/>
      <c r="F1994" s="331"/>
      <c r="G1994" s="256"/>
      <c r="H1994" s="256"/>
      <c r="I1994" s="332"/>
      <c r="J1994" s="333"/>
      <c r="K1994" s="334"/>
      <c r="L1994" s="484"/>
    </row>
    <row r="1995" spans="1:12" ht="15" thickBot="1">
      <c r="A1995" s="328"/>
      <c r="B1995" s="257"/>
      <c r="C1995" s="257"/>
      <c r="D1995" s="329"/>
      <c r="E1995" s="330"/>
      <c r="F1995" s="331"/>
      <c r="G1995" s="256"/>
      <c r="H1995" s="256"/>
      <c r="I1995" s="332"/>
      <c r="J1995" s="333"/>
      <c r="K1995" s="334"/>
      <c r="L1995" s="484"/>
    </row>
    <row r="1996" spans="1:12" ht="15" thickBot="1">
      <c r="A1996" s="328"/>
      <c r="B1996" s="257"/>
      <c r="C1996" s="257"/>
      <c r="D1996" s="329"/>
      <c r="E1996" s="330"/>
      <c r="F1996" s="331"/>
      <c r="G1996" s="256"/>
      <c r="H1996" s="256"/>
      <c r="I1996" s="332"/>
      <c r="J1996" s="333"/>
      <c r="K1996" s="334"/>
      <c r="L1996" s="484"/>
    </row>
    <row r="1997" spans="1:12" ht="15" thickBot="1">
      <c r="A1997" s="328"/>
      <c r="B1997" s="257"/>
      <c r="C1997" s="257"/>
      <c r="D1997" s="329"/>
      <c r="E1997" s="330"/>
      <c r="F1997" s="331"/>
      <c r="G1997" s="256"/>
      <c r="H1997" s="256"/>
      <c r="I1997" s="332"/>
      <c r="J1997" s="333"/>
      <c r="K1997" s="334"/>
      <c r="L1997" s="484"/>
    </row>
    <row r="1998" spans="1:12" ht="15" thickBot="1">
      <c r="A1998" s="328"/>
      <c r="B1998" s="257"/>
      <c r="C1998" s="257"/>
      <c r="D1998" s="329"/>
      <c r="E1998" s="330"/>
      <c r="F1998" s="331"/>
      <c r="G1998" s="256"/>
      <c r="H1998" s="256"/>
      <c r="I1998" s="332"/>
      <c r="J1998" s="333"/>
      <c r="K1998" s="334"/>
      <c r="L1998" s="484"/>
    </row>
    <row r="1999" spans="1:12" ht="15" thickBot="1">
      <c r="A1999" s="328"/>
      <c r="B1999" s="257"/>
      <c r="C1999" s="257"/>
      <c r="D1999" s="329"/>
      <c r="E1999" s="330"/>
      <c r="F1999" s="331"/>
      <c r="G1999" s="256"/>
      <c r="H1999" s="256"/>
      <c r="I1999" s="332"/>
      <c r="J1999" s="333"/>
      <c r="K1999" s="334"/>
      <c r="L1999" s="484"/>
    </row>
    <row r="2000" spans="1:12" ht="15" thickBot="1">
      <c r="A2000" s="328"/>
      <c r="B2000" s="257"/>
      <c r="C2000" s="257"/>
      <c r="D2000" s="329"/>
      <c r="E2000" s="330"/>
      <c r="F2000" s="331"/>
      <c r="G2000" s="256"/>
      <c r="H2000" s="256"/>
      <c r="I2000" s="332"/>
      <c r="J2000" s="333"/>
      <c r="K2000" s="334"/>
      <c r="L2000" s="484"/>
    </row>
    <row r="2001" spans="1:12" ht="15" thickBot="1">
      <c r="A2001" s="328"/>
      <c r="B2001" s="257"/>
      <c r="C2001" s="257"/>
      <c r="D2001" s="329"/>
      <c r="E2001" s="330"/>
      <c r="F2001" s="331"/>
      <c r="G2001" s="256"/>
      <c r="H2001" s="256"/>
      <c r="I2001" s="332"/>
      <c r="J2001" s="333"/>
      <c r="K2001" s="334"/>
      <c r="L2001" s="484"/>
    </row>
    <row r="2002" spans="1:12" ht="15" thickBot="1">
      <c r="A2002" s="328"/>
      <c r="B2002" s="257"/>
      <c r="C2002" s="257"/>
      <c r="D2002" s="329"/>
      <c r="E2002" s="330"/>
      <c r="F2002" s="331"/>
      <c r="G2002" s="256"/>
      <c r="H2002" s="256"/>
      <c r="I2002" s="332"/>
      <c r="J2002" s="333"/>
      <c r="K2002" s="334"/>
      <c r="L2002" s="484"/>
    </row>
    <row r="2003" spans="1:12" ht="15" thickBot="1">
      <c r="A2003" s="328"/>
      <c r="B2003" s="257"/>
      <c r="C2003" s="257"/>
      <c r="D2003" s="329"/>
      <c r="E2003" s="330"/>
      <c r="F2003" s="331"/>
      <c r="G2003" s="256"/>
      <c r="H2003" s="256"/>
      <c r="I2003" s="332"/>
      <c r="J2003" s="333"/>
      <c r="K2003" s="334"/>
      <c r="L2003" s="484"/>
    </row>
    <row r="2004" spans="1:12" ht="15" thickBot="1">
      <c r="A2004" s="328"/>
      <c r="B2004" s="257"/>
      <c r="C2004" s="257"/>
      <c r="D2004" s="329"/>
      <c r="E2004" s="330"/>
      <c r="F2004" s="331"/>
      <c r="G2004" s="256"/>
      <c r="H2004" s="256"/>
      <c r="I2004" s="332"/>
      <c r="J2004" s="333"/>
      <c r="K2004" s="334"/>
      <c r="L2004" s="484"/>
    </row>
    <row r="2005" spans="1:12" ht="15" thickBot="1">
      <c r="A2005" s="328"/>
      <c r="B2005" s="257"/>
      <c r="C2005" s="257"/>
      <c r="D2005" s="329"/>
      <c r="E2005" s="330"/>
      <c r="F2005" s="331"/>
      <c r="G2005" s="256"/>
      <c r="H2005" s="256"/>
      <c r="I2005" s="332"/>
      <c r="J2005" s="333"/>
      <c r="K2005" s="334"/>
      <c r="L2005" s="484"/>
    </row>
    <row r="2006" spans="1:12" ht="15" thickBot="1">
      <c r="A2006" s="328"/>
      <c r="B2006" s="257"/>
      <c r="C2006" s="257"/>
      <c r="D2006" s="329"/>
      <c r="E2006" s="330"/>
      <c r="F2006" s="331"/>
      <c r="G2006" s="256"/>
      <c r="H2006" s="256"/>
      <c r="I2006" s="332"/>
      <c r="J2006" s="333"/>
      <c r="K2006" s="334"/>
      <c r="L2006" s="484"/>
    </row>
    <row r="2007" spans="1:12" ht="15" thickBot="1">
      <c r="A2007" s="328"/>
      <c r="B2007" s="257"/>
      <c r="C2007" s="257"/>
      <c r="D2007" s="329"/>
      <c r="E2007" s="330"/>
      <c r="F2007" s="331"/>
      <c r="G2007" s="256"/>
      <c r="H2007" s="256"/>
      <c r="I2007" s="332"/>
      <c r="J2007" s="333"/>
      <c r="K2007" s="334"/>
      <c r="L2007" s="484"/>
    </row>
    <row r="2008" spans="1:12" ht="15" thickBot="1">
      <c r="A2008" s="328"/>
      <c r="B2008" s="257"/>
      <c r="C2008" s="257"/>
      <c r="D2008" s="329"/>
      <c r="E2008" s="330"/>
      <c r="F2008" s="331"/>
      <c r="G2008" s="256"/>
      <c r="H2008" s="256"/>
      <c r="I2008" s="332"/>
      <c r="J2008" s="333"/>
      <c r="K2008" s="334"/>
      <c r="L2008" s="484"/>
    </row>
    <row r="2009" spans="1:12" ht="15" thickBot="1">
      <c r="A2009" s="328"/>
      <c r="B2009" s="257"/>
      <c r="C2009" s="257"/>
      <c r="D2009" s="329"/>
      <c r="E2009" s="330"/>
      <c r="F2009" s="331"/>
      <c r="G2009" s="256"/>
      <c r="H2009" s="256"/>
      <c r="I2009" s="332"/>
      <c r="J2009" s="333"/>
      <c r="K2009" s="334"/>
      <c r="L2009" s="484"/>
    </row>
    <row r="2010" spans="1:12" ht="15" thickBot="1">
      <c r="A2010" s="328"/>
      <c r="B2010" s="257"/>
      <c r="C2010" s="257"/>
      <c r="D2010" s="329"/>
      <c r="E2010" s="330"/>
      <c r="F2010" s="331"/>
      <c r="G2010" s="256"/>
      <c r="H2010" s="256"/>
      <c r="I2010" s="332"/>
      <c r="J2010" s="333"/>
      <c r="K2010" s="334"/>
      <c r="L2010" s="484"/>
    </row>
    <row r="2011" spans="1:12" ht="15" thickBot="1">
      <c r="A2011" s="328"/>
      <c r="B2011" s="257"/>
      <c r="C2011" s="257"/>
      <c r="D2011" s="329"/>
      <c r="E2011" s="330"/>
      <c r="F2011" s="331"/>
      <c r="G2011" s="256"/>
      <c r="H2011" s="256"/>
      <c r="I2011" s="332"/>
      <c r="J2011" s="333"/>
      <c r="K2011" s="334"/>
      <c r="L2011" s="484"/>
    </row>
    <row r="2012" spans="1:12" ht="15" thickBot="1">
      <c r="A2012" s="328"/>
      <c r="B2012" s="257"/>
      <c r="C2012" s="257"/>
      <c r="D2012" s="329"/>
      <c r="E2012" s="330"/>
      <c r="F2012" s="331"/>
      <c r="G2012" s="256"/>
      <c r="H2012" s="256"/>
      <c r="I2012" s="332"/>
      <c r="J2012" s="333"/>
      <c r="K2012" s="334"/>
      <c r="L2012" s="484"/>
    </row>
    <row r="2013" spans="1:12" ht="15" thickBot="1">
      <c r="A2013" s="328"/>
      <c r="B2013" s="257"/>
      <c r="C2013" s="257"/>
      <c r="D2013" s="329"/>
      <c r="E2013" s="330"/>
      <c r="F2013" s="331"/>
      <c r="G2013" s="256"/>
      <c r="H2013" s="256"/>
      <c r="I2013" s="332"/>
      <c r="J2013" s="333"/>
      <c r="K2013" s="334"/>
      <c r="L2013" s="484"/>
    </row>
    <row r="2014" spans="1:12" ht="15" thickBot="1">
      <c r="A2014" s="328"/>
      <c r="B2014" s="257"/>
      <c r="C2014" s="257"/>
      <c r="D2014" s="329"/>
      <c r="E2014" s="330"/>
      <c r="F2014" s="331"/>
      <c r="G2014" s="256"/>
      <c r="H2014" s="256"/>
      <c r="I2014" s="332"/>
      <c r="J2014" s="333"/>
      <c r="K2014" s="334"/>
      <c r="L2014" s="484"/>
    </row>
    <row r="2015" spans="1:12" ht="15" thickBot="1">
      <c r="A2015" s="328"/>
      <c r="B2015" s="257"/>
      <c r="C2015" s="257"/>
      <c r="D2015" s="329"/>
      <c r="E2015" s="330"/>
      <c r="F2015" s="331"/>
      <c r="G2015" s="256"/>
      <c r="H2015" s="256"/>
      <c r="I2015" s="332"/>
      <c r="J2015" s="333"/>
      <c r="K2015" s="334"/>
      <c r="L2015" s="484"/>
    </row>
    <row r="2016" spans="1:12" ht="15" thickBot="1">
      <c r="A2016" s="328"/>
      <c r="B2016" s="257"/>
      <c r="C2016" s="257"/>
      <c r="D2016" s="329"/>
      <c r="E2016" s="330"/>
      <c r="F2016" s="331"/>
      <c r="G2016" s="256"/>
      <c r="H2016" s="256"/>
      <c r="I2016" s="332"/>
      <c r="J2016" s="333"/>
      <c r="K2016" s="334"/>
      <c r="L2016" s="484"/>
    </row>
  </sheetData>
  <sheetProtection algorithmName="SHA-512" hashValue="uGjOptNP+Po3ufOlmHNBpZHOrvJnSPcP2uSfE9BY6DVcPZJDZDyh5jLzG1rmkIrNtYaxv6g70xDFDlfMf6EQ7Q==" saltValue="PIn3Hiq7Ths6j4yuGhu09A==" spinCount="100000" sheet="1" selectLockedCells="1"/>
  <customSheetViews>
    <customSheetView guid="{A81B7E59-6D30-48F0-895B-EADA4D6F68AC}" fitToPage="1" hiddenRows="1">
      <selection activeCell="I2" sqref="I2:L2"/>
      <pageMargins left="0.25" right="0.25" top="0.75" bottom="0.75" header="0.25" footer="0.25"/>
      <printOptions horizontalCentered="1"/>
      <pageSetup fitToHeight="0" orientation="portrait" r:id="rId1"/>
      <headerFooter>
        <oddHeader>&amp;L&amp;"Arial,Regular"&amp;8Texas Department of Aging 
and Disability Services&amp;C&amp;"Arial,Bold"&amp;12RESIDENTIAL CARE
DEMAND FOR PAYMENT NOTICE&amp;R&amp;"Arial,Regular"&amp;8Form TBD
Page &amp;P</oddHeader>
      </headerFooter>
    </customSheetView>
    <customSheetView guid="{B2091B36-14EA-49EC-93AF-D5AA205EF0C1}" fitToPage="1">
      <pane ySplit="15" topLeftCell="A16" activePane="bottomLeft" state="frozen"/>
      <selection pane="bottomLeft" activeCell="A16" sqref="A16"/>
      <pageMargins left="0.25" right="0.25" top="0.75" bottom="0.75" header="0.25" footer="0.25"/>
      <printOptions horizontalCentered="1"/>
      <pageSetup fitToHeight="0" orientation="portrait" r:id="rId2"/>
      <headerFooter>
        <oddHeader>&amp;L&amp;"Arial,Regular"&amp;8Texas Department of Aging
and Disability Services&amp;C&amp;"Arial,Bold"&amp;12ASSISTED LIVING/RESIDENTIAL CARE / OUT OF HOME RESPITE
DEMAND FOR PAYMENT NOTICE&amp;R&amp;"Arial,Regular"&amp;8Form TBD
Page &amp;P</oddHeader>
      </headerFooter>
    </customSheetView>
    <customSheetView guid="{965C3FE4-50BF-43C0-B1D0-366B904E9BAB}" fitToPage="1" topLeftCell="A17">
      <selection activeCell="A25" sqref="A25"/>
      <pageMargins left="0.25" right="0.25" top="0.75" bottom="0.75" header="0.25" footer="0.25"/>
      <printOptions horizontalCentered="1"/>
      <pageSetup fitToHeight="8" orientation="portrait" r:id="rId3"/>
      <headerFooter>
        <oddHeader>&amp;L&amp;"Arial,Regular"&amp;8Texas Department of Aging
and Disability Services&amp;C&amp;"Arial,Bold"&amp;12ASSISTED LIVING/RESIDENTIAL CARE / OUT OF HOME RESPITE
DEMAND FOR PAYMENT NOTICE&amp;R&amp;"Arial,Regular"&amp;8Form TBD
Page &amp;P</oddHeader>
      </headerFooter>
    </customSheetView>
    <customSheetView guid="{5C7A2EDE-CAF2-41B7-8EBC-2EB35225299B}" fitToPage="1" topLeftCell="A17">
      <selection activeCell="A25" sqref="A25"/>
      <pageMargins left="0.25" right="0.25" top="0.75" bottom="0.75" header="0.25" footer="0.25"/>
      <printOptions horizontalCentered="1"/>
      <pageSetup fitToHeight="8" orientation="portrait" r:id="rId4"/>
      <headerFooter>
        <oddHeader>&amp;L&amp;"Arial,Regular"&amp;8Texas Department of Aging
and Disability Services&amp;C&amp;"Arial,Bold"&amp;12ASSISTED LIVING/RESIDENTIAL CARE / OUT OF HOME RESPITE
DEMAND FOR PAYMENT NOTICE&amp;R&amp;"Arial,Regular"&amp;8Form TBD
Page &amp;P</oddHeader>
      </headerFooter>
    </customSheetView>
    <customSheetView guid="{15DD4F60-D491-4D73-A014-FE6349F17583}" fitToPage="1" topLeftCell="A17">
      <selection activeCell="A25" sqref="A25"/>
      <pageMargins left="0.25" right="0.25" top="0.75" bottom="0.75" header="0.25" footer="0.25"/>
      <printOptions horizontalCentered="1"/>
      <pageSetup fitToHeight="8" orientation="portrait" r:id="rId5"/>
      <headerFooter>
        <oddHeader>&amp;L&amp;"Arial,Regular"&amp;8Texas Department of Aging
and Disability Services&amp;C&amp;"Arial,Bold"&amp;12ASSISTED LIVING/RESIDENTIAL CARE / OUT OF HOME RESPITE
DEMAND FOR PAYMENT NOTICE&amp;R&amp;"Arial,Regular"&amp;8Form TBD
Page &amp;P</oddHeader>
      </headerFooter>
    </customSheetView>
    <customSheetView guid="{A9399441-FD69-4FCC-BF3B-6E447DD9FB6A}" fitToPage="1">
      <pane ySplit="14.410526315789474" topLeftCell="A16" activePane="bottomLeft" state="frozen"/>
      <selection pane="bottomLeft" activeCell="A16" sqref="A16"/>
      <pageMargins left="0.25" right="0.25" top="0.75" bottom="0.75" header="0.25" footer="0.25"/>
      <printOptions horizontalCentered="1"/>
      <pageSetup fitToHeight="0" orientation="portrait" r:id="rId6"/>
      <headerFooter>
        <oddHeader>&amp;L&amp;"Arial,Regular"&amp;8Texas Department of Aging
and Disability Services&amp;C&amp;"Arial,Bold"&amp;12ASSISTED LIVING/RESIDENTIAL CARE / OUT OF HOME RESPITE
DEMAND FOR PAYMENT NOTICE&amp;R&amp;"Arial,Regular"&amp;8Form TBD
Page &amp;P</oddHeader>
      </headerFooter>
    </customSheetView>
  </customSheetViews>
  <mergeCells count="37">
    <mergeCell ref="F3:G3"/>
    <mergeCell ref="F4:G4"/>
    <mergeCell ref="F5:G5"/>
    <mergeCell ref="H3:I3"/>
    <mergeCell ref="H4:I4"/>
    <mergeCell ref="H5:I5"/>
    <mergeCell ref="A3:C3"/>
    <mergeCell ref="B4:C4"/>
    <mergeCell ref="B5:C5"/>
    <mergeCell ref="D3:E3"/>
    <mergeCell ref="D4:E4"/>
    <mergeCell ref="D5:E5"/>
    <mergeCell ref="I1:L1"/>
    <mergeCell ref="I2:L2"/>
    <mergeCell ref="J3:L3"/>
    <mergeCell ref="H9:K9"/>
    <mergeCell ref="H10:K10"/>
    <mergeCell ref="K4:L4"/>
    <mergeCell ref="K5:L5"/>
    <mergeCell ref="D1:E1"/>
    <mergeCell ref="D2:E2"/>
    <mergeCell ref="A1:C1"/>
    <mergeCell ref="A2:C2"/>
    <mergeCell ref="F1:H1"/>
    <mergeCell ref="F2:H2"/>
    <mergeCell ref="L12:L15"/>
    <mergeCell ref="A11:L11"/>
    <mergeCell ref="A6:L6"/>
    <mergeCell ref="A7:L7"/>
    <mergeCell ref="H8:L8"/>
    <mergeCell ref="A14:A15"/>
    <mergeCell ref="F12:J12"/>
    <mergeCell ref="K12:K13"/>
    <mergeCell ref="A12:E13"/>
    <mergeCell ref="A8:G8"/>
    <mergeCell ref="A9:G9"/>
    <mergeCell ref="A10:G10"/>
  </mergeCells>
  <dataValidations count="9">
    <dataValidation type="list" allowBlank="1" showInputMessage="1" showErrorMessage="1" sqref="A16:A2016" xr:uid="{00000000-0002-0000-2800-000000000000}">
      <formula1>"CCAD-RC"</formula1>
    </dataValidation>
    <dataValidation type="date" operator="greaterThanOrEqual" allowBlank="1" showInputMessage="1" showErrorMessage="1" errorTitle="Date Error" error="Service end date cannot be earlier than begin date." sqref="H16:H2016" xr:uid="{00000000-0002-0000-2800-000001000000}">
      <formula1>G16</formula1>
    </dataValidation>
    <dataValidation type="decimal" allowBlank="1" showInputMessage="1" showErrorMessage="1" sqref="J16:K2016" xr:uid="{00000000-0002-0000-2800-000002000000}">
      <formula1>-1000000</formula1>
      <formula2>1000000</formula2>
    </dataValidation>
    <dataValidation type="textLength" operator="lessThanOrEqual" allowBlank="1" showInputMessage="1" showErrorMessage="1" sqref="D16:D2016 F16:F2016" xr:uid="{00000000-0002-0000-2800-000003000000}">
      <formula1>255</formula1>
    </dataValidation>
    <dataValidation type="textLength" operator="lessThanOrEqual" allowBlank="1" showInputMessage="1" showErrorMessage="1" sqref="E16:E2016" xr:uid="{00000000-0002-0000-2800-000004000000}">
      <formula1>5</formula1>
    </dataValidation>
    <dataValidation type="date" operator="greaterThanOrEqual" allowBlank="1" showInputMessage="1" showErrorMessage="1" sqref="G16:G2016" xr:uid="{00000000-0002-0000-2800-000005000000}">
      <formula1>1</formula1>
    </dataValidation>
    <dataValidation type="decimal" operator="greaterThanOrEqual" allowBlank="1" showInputMessage="1" showErrorMessage="1" sqref="I16:I2016" xr:uid="{00000000-0002-0000-2800-000006000000}">
      <formula1>0</formula1>
    </dataValidation>
    <dataValidation type="whole" operator="greaterThan" allowBlank="1" showInputMessage="1" showErrorMessage="1" sqref="B16:C2016" xr:uid="{00000000-0002-0000-2800-000007000000}">
      <formula1>0</formula1>
    </dataValidation>
    <dataValidation type="textLength" allowBlank="1" showInputMessage="1" showErrorMessage="1" error="Text length should be between 0 and 25 characters." sqref="L16:L2016" xr:uid="{00000000-0002-0000-2800-000008000000}">
      <formula1>0</formula1>
      <formula2>25</formula2>
    </dataValidation>
  </dataValidations>
  <printOptions horizontalCentered="1"/>
  <pageMargins left="0.25" right="0.25" top="0.75" bottom="0.75" header="0.25" footer="0.25"/>
  <pageSetup fitToHeight="0" orientation="portrait" r:id="rId7"/>
  <headerFooter>
    <oddHeader>&amp;L&amp;"Arial,Regular"&amp;8Texas Department of Aging 
and Disability Services&amp;C&amp;"Arial,Bold"&amp;12RESIDENTIAL CARE
DEMAND FOR PAYMENT NOTICE&amp;R&amp;"Arial,Regular"&amp;8Form TBD
Page &amp;P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fitToPage="1"/>
  </sheetPr>
  <dimension ref="A1:E34"/>
  <sheetViews>
    <sheetView zoomScaleNormal="100" workbookViewId="0">
      <selection activeCell="B5" sqref="B5"/>
    </sheetView>
  </sheetViews>
  <sheetFormatPr defaultRowHeight="14.5"/>
  <cols>
    <col min="1" max="1" width="12.36328125" customWidth="1"/>
    <col min="2" max="2" width="20.6328125" customWidth="1"/>
    <col min="3" max="3" width="19.90625" customWidth="1"/>
    <col min="4" max="4" width="20.453125" customWidth="1"/>
    <col min="5" max="5" width="19.453125" customWidth="1"/>
  </cols>
  <sheetData>
    <row r="1" spans="1:5" ht="15" thickBot="1">
      <c r="A1" s="605" t="s">
        <v>1381</v>
      </c>
      <c r="B1" s="1917"/>
      <c r="C1" s="1917"/>
      <c r="D1" s="606"/>
      <c r="E1" s="4"/>
    </row>
    <row r="2" spans="1:5" ht="15" thickBot="1">
      <c r="A2" s="5" t="s">
        <v>10</v>
      </c>
      <c r="B2" s="252"/>
      <c r="C2" s="5" t="s">
        <v>12</v>
      </c>
      <c r="D2" s="253"/>
      <c r="E2" s="4"/>
    </row>
    <row r="3" spans="1:5" ht="16" thickBot="1">
      <c r="A3" s="1918"/>
      <c r="B3" s="1919"/>
      <c r="C3" s="1919"/>
      <c r="D3" s="1919"/>
      <c r="E3" s="1920"/>
    </row>
    <row r="4" spans="1:5" s="6" customFormat="1" ht="40" thickBot="1">
      <c r="A4" s="17" t="s">
        <v>40</v>
      </c>
      <c r="B4" s="266" t="s">
        <v>41</v>
      </c>
      <c r="C4" s="266" t="s">
        <v>1420</v>
      </c>
      <c r="D4" s="269" t="s">
        <v>1421</v>
      </c>
      <c r="E4" s="269" t="s">
        <v>1422</v>
      </c>
    </row>
    <row r="5" spans="1:5" ht="15" thickBot="1">
      <c r="A5" s="16">
        <v>1</v>
      </c>
      <c r="B5" s="254"/>
      <c r="C5" s="255"/>
      <c r="D5" s="268"/>
      <c r="E5" s="268"/>
    </row>
    <row r="6" spans="1:5" ht="15" thickBot="1">
      <c r="A6" s="16">
        <v>2</v>
      </c>
      <c r="B6" s="254"/>
      <c r="C6" s="255"/>
      <c r="D6" s="268"/>
      <c r="E6" s="268"/>
    </row>
    <row r="7" spans="1:5" ht="15" thickBot="1">
      <c r="A7" s="16">
        <v>3</v>
      </c>
      <c r="B7" s="254"/>
      <c r="C7" s="255"/>
      <c r="D7" s="268"/>
      <c r="E7" s="268"/>
    </row>
    <row r="8" spans="1:5" ht="15" thickBot="1">
      <c r="A8" s="16">
        <v>4</v>
      </c>
      <c r="B8" s="254"/>
      <c r="C8" s="255"/>
      <c r="D8" s="268"/>
      <c r="E8" s="268"/>
    </row>
    <row r="9" spans="1:5" ht="15" thickBot="1">
      <c r="A9" s="16">
        <v>5</v>
      </c>
      <c r="B9" s="254"/>
      <c r="C9" s="255"/>
      <c r="D9" s="268"/>
      <c r="E9" s="268"/>
    </row>
    <row r="10" spans="1:5" ht="15" thickBot="1">
      <c r="A10" s="16">
        <v>6</v>
      </c>
      <c r="B10" s="254"/>
      <c r="C10" s="255"/>
      <c r="D10" s="268"/>
      <c r="E10" s="268"/>
    </row>
    <row r="11" spans="1:5" ht="15" thickBot="1">
      <c r="A11" s="16">
        <v>7</v>
      </c>
      <c r="B11" s="254"/>
      <c r="C11" s="255"/>
      <c r="D11" s="268"/>
      <c r="E11" s="268"/>
    </row>
    <row r="12" spans="1:5" ht="15" thickBot="1">
      <c r="A12" s="16">
        <v>8</v>
      </c>
      <c r="B12" s="254"/>
      <c r="C12" s="255"/>
      <c r="D12" s="268"/>
      <c r="E12" s="268"/>
    </row>
    <row r="13" spans="1:5" ht="15" thickBot="1">
      <c r="A13" s="16">
        <v>9</v>
      </c>
      <c r="B13" s="254"/>
      <c r="C13" s="255"/>
      <c r="D13" s="268"/>
      <c r="E13" s="268"/>
    </row>
    <row r="14" spans="1:5" ht="15" thickBot="1">
      <c r="A14" s="16">
        <v>10</v>
      </c>
      <c r="B14" s="254"/>
      <c r="C14" s="255"/>
      <c r="D14" s="268"/>
      <c r="E14" s="268"/>
    </row>
    <row r="15" spans="1:5" ht="15" thickBot="1">
      <c r="A15" s="16">
        <v>11</v>
      </c>
      <c r="B15" s="254"/>
      <c r="C15" s="255"/>
      <c r="D15" s="268"/>
      <c r="E15" s="268"/>
    </row>
    <row r="16" spans="1:5" ht="15" thickBot="1">
      <c r="A16" s="16">
        <v>12</v>
      </c>
      <c r="B16" s="254"/>
      <c r="C16" s="255"/>
      <c r="D16" s="268"/>
      <c r="E16" s="268"/>
    </row>
    <row r="17" spans="1:5" ht="15" thickBot="1">
      <c r="A17" s="16">
        <v>13</v>
      </c>
      <c r="B17" s="254"/>
      <c r="C17" s="255"/>
      <c r="D17" s="268"/>
      <c r="E17" s="268"/>
    </row>
    <row r="18" spans="1:5" ht="15" thickBot="1">
      <c r="A18" s="16">
        <v>14</v>
      </c>
      <c r="B18" s="254"/>
      <c r="C18" s="255"/>
      <c r="D18" s="268"/>
      <c r="E18" s="268"/>
    </row>
    <row r="19" spans="1:5" ht="15" thickBot="1">
      <c r="A19" s="16">
        <v>15</v>
      </c>
      <c r="B19" s="254"/>
      <c r="C19" s="255"/>
      <c r="D19" s="268"/>
      <c r="E19" s="268"/>
    </row>
    <row r="20" spans="1:5" ht="15" thickBot="1">
      <c r="A20" s="16">
        <v>16</v>
      </c>
      <c r="B20" s="254"/>
      <c r="C20" s="255"/>
      <c r="D20" s="268"/>
      <c r="E20" s="268"/>
    </row>
    <row r="21" spans="1:5" ht="15" thickBot="1">
      <c r="A21" s="16">
        <v>17</v>
      </c>
      <c r="B21" s="254"/>
      <c r="C21" s="255"/>
      <c r="D21" s="268"/>
      <c r="E21" s="268"/>
    </row>
    <row r="22" spans="1:5" ht="15" thickBot="1">
      <c r="A22" s="16">
        <v>18</v>
      </c>
      <c r="B22" s="254"/>
      <c r="C22" s="255"/>
      <c r="D22" s="268"/>
      <c r="E22" s="268"/>
    </row>
    <row r="23" spans="1:5" ht="15" thickBot="1">
      <c r="A23" s="16">
        <v>19</v>
      </c>
      <c r="B23" s="254"/>
      <c r="C23" s="255"/>
      <c r="D23" s="268"/>
      <c r="E23" s="268"/>
    </row>
    <row r="24" spans="1:5" ht="15" thickBot="1">
      <c r="A24" s="16">
        <v>20</v>
      </c>
      <c r="B24" s="254"/>
      <c r="C24" s="255"/>
      <c r="D24" s="268"/>
      <c r="E24" s="268"/>
    </row>
    <row r="25" spans="1:5" ht="15" thickBot="1">
      <c r="A25" s="16">
        <v>21</v>
      </c>
      <c r="B25" s="254"/>
      <c r="C25" s="255"/>
      <c r="D25" s="268"/>
      <c r="E25" s="268"/>
    </row>
    <row r="26" spans="1:5" ht="15" thickBot="1">
      <c r="A26" s="16">
        <v>22</v>
      </c>
      <c r="B26" s="254"/>
      <c r="C26" s="255"/>
      <c r="D26" s="268"/>
      <c r="E26" s="268"/>
    </row>
    <row r="27" spans="1:5" ht="15" thickBot="1">
      <c r="A27" s="16">
        <v>23</v>
      </c>
      <c r="B27" s="254"/>
      <c r="C27" s="255"/>
      <c r="D27" s="268"/>
      <c r="E27" s="268"/>
    </row>
    <row r="28" spans="1:5" ht="15" thickBot="1">
      <c r="A28" s="16">
        <v>24</v>
      </c>
      <c r="B28" s="254"/>
      <c r="C28" s="255"/>
      <c r="D28" s="268"/>
      <c r="E28" s="268"/>
    </row>
    <row r="29" spans="1:5" ht="15" thickBot="1">
      <c r="A29" s="16">
        <v>25</v>
      </c>
      <c r="B29" s="254"/>
      <c r="C29" s="255"/>
      <c r="D29" s="268"/>
      <c r="E29" s="268"/>
    </row>
    <row r="30" spans="1:5" ht="15" thickBot="1">
      <c r="A30" s="16">
        <v>26</v>
      </c>
      <c r="B30" s="254"/>
      <c r="C30" s="255"/>
      <c r="D30" s="268"/>
      <c r="E30" s="268"/>
    </row>
    <row r="31" spans="1:5" ht="15" thickBot="1">
      <c r="A31" s="16">
        <v>27</v>
      </c>
      <c r="B31" s="254"/>
      <c r="C31" s="255"/>
      <c r="D31" s="268"/>
      <c r="E31" s="268"/>
    </row>
    <row r="32" spans="1:5" ht="15" thickBot="1">
      <c r="A32" s="16">
        <v>28</v>
      </c>
      <c r="B32" s="254"/>
      <c r="C32" s="255"/>
      <c r="D32" s="268"/>
      <c r="E32" s="268"/>
    </row>
    <row r="33" spans="1:5" ht="15" thickBot="1">
      <c r="A33" s="16">
        <v>29</v>
      </c>
      <c r="B33" s="254"/>
      <c r="C33" s="255"/>
      <c r="D33" s="268"/>
      <c r="E33" s="268"/>
    </row>
    <row r="34" spans="1:5" ht="15" thickBot="1">
      <c r="A34" s="16">
        <v>30</v>
      </c>
      <c r="B34" s="254"/>
      <c r="C34" s="255"/>
      <c r="D34" s="268"/>
      <c r="E34" s="268"/>
    </row>
  </sheetData>
  <sheetProtection password="A541" sheet="1" objects="1" scenarios="1" selectLockedCells="1"/>
  <customSheetViews>
    <customSheetView guid="{A81B7E59-6D30-48F0-895B-EADA4D6F68AC}" fitToPage="1">
      <selection activeCell="B5" sqref="B5"/>
      <pageMargins left="0.7" right="0.7" top="1.1299999999999999" bottom="0.75" header="0.3" footer="0.3"/>
      <pageSetup scale="97" orientation="portrait" r:id="rId1"/>
      <headerFooter>
        <oddHeader>&amp;L&amp;"Arial,Regular"&amp;8Texas Department of Aging 
and Disability Services&amp;C&amp;"Arial,Bold"&amp;12RESIDENTIAL CARE (RC)
SAMPLE&amp;R&amp;"Arial,Regular"&amp;8Form TBD
Page &amp;P</oddHeader>
      </headerFooter>
    </customSheetView>
    <customSheetView guid="{B2091B36-14EA-49EC-93AF-D5AA205EF0C1}" fitToPage="1">
      <selection activeCell="B2" sqref="B2"/>
      <pageMargins left="0.7" right="0.7" top="1.1299999999999999" bottom="0.75" header="0.3" footer="0.3"/>
      <pageSetup scale="97" orientation="portrait" r:id="rId2"/>
      <headerFooter>
        <oddHeader>&amp;L&amp;"Arial,Regular"&amp;8Texas Department of Aging
and Disability Services&amp;C&amp;"Arial,Bold"&amp;12ASSISTED LIVING/RESIDENTIAL CARE (AL/RC) /
OUT OF HOME RESPITE (OHR)
SAMPLE&amp;R&amp;"Arial,Regular"&amp;8Form TBD
Page &amp;P</oddHeader>
      </headerFooter>
    </customSheetView>
    <customSheetView guid="{965C3FE4-50BF-43C0-B1D0-366B904E9BAB}" fitToPage="1">
      <selection activeCell="D19" sqref="D19"/>
      <pageMargins left="0.7" right="0.7" top="1.1299999999999999" bottom="0.75" header="0.3" footer="0.3"/>
      <pageSetup scale="97" fitToHeight="3" orientation="portrait" r:id="rId3"/>
      <headerFooter>
        <oddHeader>&amp;L&amp;"Arial,Regular"&amp;8Texas Department of Aging
and Disability Services&amp;C&amp;"Arial,Bold"&amp;12ASSISTED LIVING/RESIDENTIAL CARE (AL/RC) /
OUT OF HOME RESPITE (OHR)
SAMPLE&amp;R&amp;"Arial,Regular"&amp;8Form TBD
Page &amp;P</oddHeader>
      </headerFooter>
    </customSheetView>
    <customSheetView guid="{5C7A2EDE-CAF2-41B7-8EBC-2EB35225299B}" fitToPage="1">
      <selection activeCell="B2" sqref="B2"/>
      <pageMargins left="0.7" right="0.7" top="1.1299999999999999" bottom="0.75" header="0.3" footer="0.3"/>
      <pageSetup scale="97" fitToHeight="3" orientation="portrait" r:id="rId4"/>
      <headerFooter>
        <oddHeader>&amp;L&amp;"Arial,Regular"&amp;8Texas Department of Aging
and Disability Services&amp;C&amp;"Arial,Bold"&amp;12ASSISTED LIVING/RESIDENTIAL CARE (AL/RC) /
OUT OF HOME RESPITE (OHR)
SAMPLE&amp;R&amp;"Arial,Regular"&amp;8Form TBD
Page &amp;P</oddHeader>
      </headerFooter>
    </customSheetView>
    <customSheetView guid="{15DD4F60-D491-4D73-A014-FE6349F17583}" fitToPage="1">
      <selection activeCell="B15" sqref="B15"/>
      <pageMargins left="0.7" right="0.7" top="1.1299999999999999" bottom="0.75" header="0.3" footer="0.3"/>
      <pageSetup scale="97" fitToHeight="3" orientation="portrait" r:id="rId5"/>
      <headerFooter>
        <oddHeader>&amp;L&amp;"Arial,Regular"&amp;8Texas Department of Aging
and Disability Services&amp;C&amp;"Arial,Bold"&amp;12ASSISTED LIVING/RESIDENTIAL CARE (AL/RC) /
OUT OF HOME RESPITE (OHR)
SAMPLE&amp;R&amp;"Arial,Regular"&amp;8Form TBD
Page &amp;P</oddHeader>
      </headerFooter>
    </customSheetView>
    <customSheetView guid="{A9399441-FD69-4FCC-BF3B-6E447DD9FB6A}" fitToPage="1">
      <selection activeCell="B2" sqref="B2"/>
      <pageMargins left="0.7" right="0.7" top="1.1299999999999999" bottom="0.75" header="0.3" footer="0.3"/>
      <pageSetup scale="97" orientation="portrait" r:id="rId6"/>
      <headerFooter>
        <oddHeader>&amp;L&amp;"Arial,Regular"&amp;8Texas Department of Aging
and Disability Services&amp;C&amp;"Arial,Bold"&amp;12ASSISTED LIVING/RESIDENTIAL CARE (AL/RC) /
OUT OF HOME RESPITE (OHR)
SAMPLE&amp;R&amp;"Arial,Regular"&amp;8Form TBD
Page &amp;P</oddHeader>
      </headerFooter>
    </customSheetView>
  </customSheetViews>
  <mergeCells count="2">
    <mergeCell ref="A1:D1"/>
    <mergeCell ref="A3:E3"/>
  </mergeCells>
  <dataValidations count="5">
    <dataValidation type="textLength" operator="equal" allowBlank="1" showInputMessage="1" showErrorMessage="1" errorTitle="Contract Number Length" error="Contract number must be 9 digits including leading zeros." sqref="B5:B34" xr:uid="{00000000-0002-0000-2900-000000000000}">
      <formula1>9</formula1>
    </dataValidation>
    <dataValidation type="whole" operator="greaterThan" allowBlank="1" showInputMessage="1" showErrorMessage="1" sqref="C5:C34" xr:uid="{00000000-0002-0000-2900-000001000000}">
      <formula1>0</formula1>
    </dataValidation>
    <dataValidation type="date" operator="greaterThanOrEqual" allowBlank="1" showInputMessage="1" showErrorMessage="1" sqref="E5:E34" xr:uid="{00000000-0002-0000-2900-000002000000}">
      <formula1>D5</formula1>
    </dataValidation>
    <dataValidation type="date" operator="greaterThanOrEqual" allowBlank="1" showInputMessage="1" showErrorMessage="1" sqref="B2 D5:D34" xr:uid="{00000000-0002-0000-2900-000003000000}">
      <formula1>1</formula1>
    </dataValidation>
    <dataValidation type="date" operator="greaterThanOrEqual" allowBlank="1" showInputMessage="1" showErrorMessage="1" errorTitle="Date Error" error="End date cannot be earlier than begin date." sqref="D2" xr:uid="{00000000-0002-0000-2900-000004000000}">
      <formula1>B2</formula1>
    </dataValidation>
  </dataValidations>
  <pageMargins left="0.7" right="0.7" top="1.1299999999999999" bottom="0.75" header="0.3" footer="0.3"/>
  <pageSetup scale="97" orientation="portrait" r:id="rId7"/>
  <headerFooter>
    <oddHeader>&amp;L&amp;"Arial,Regular"&amp;8Texas Department of Aging 
and Disability Services&amp;C&amp;"Arial,Bold"&amp;12RESIDENTIAL CARE (RC)
SAMPLE&amp;R&amp;"Arial,Regular"&amp;8Form TBD
Page &amp;P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dimension ref="A1:L30"/>
  <sheetViews>
    <sheetView zoomScaleNormal="100" workbookViewId="0">
      <selection activeCell="J3" sqref="J3:L3"/>
    </sheetView>
  </sheetViews>
  <sheetFormatPr defaultColWidth="9.08984375" defaultRowHeight="15" customHeight="1"/>
  <cols>
    <col min="1" max="16384" width="9.08984375" style="364"/>
  </cols>
  <sheetData>
    <row r="1" spans="1:12" ht="30" customHeight="1">
      <c r="A1" s="1959" t="s">
        <v>0</v>
      </c>
      <c r="B1" s="1960"/>
      <c r="C1" s="1960"/>
      <c r="D1" s="1961"/>
      <c r="E1" s="1935"/>
      <c r="F1" s="1936"/>
      <c r="G1" s="1935" t="s">
        <v>1</v>
      </c>
      <c r="H1" s="1947"/>
      <c r="I1" s="1936"/>
      <c r="J1" s="1935" t="s">
        <v>2</v>
      </c>
      <c r="K1" s="1947"/>
      <c r="L1" s="1936"/>
    </row>
    <row r="2" spans="1:12" ht="29.25" customHeight="1" thickBot="1">
      <c r="A2" s="1962" t="str">
        <f>IF(AND(CCADRCcontractNumber="",CBAALcontractNumber=""),"",NameOfLegalEntity)</f>
        <v/>
      </c>
      <c r="B2" s="1944"/>
      <c r="C2" s="1944"/>
      <c r="D2" s="1945"/>
      <c r="E2" s="1949" t="str">
        <f>IF(AND(CCADRCcontractNumber="",CBAALcontractNumber=""),"",SingleCare3Facility)</f>
        <v/>
      </c>
      <c r="F2" s="1951"/>
      <c r="G2" s="1949" t="str">
        <f>IF(AND(CCADRCcontractNumber="",CBAALcontractNumber=""),"",ReviewLevel)</f>
        <v/>
      </c>
      <c r="H2" s="1950"/>
      <c r="I2" s="1951"/>
      <c r="J2" s="1963">
        <f>ReviewType</f>
        <v>0</v>
      </c>
      <c r="K2" s="1964"/>
      <c r="L2" s="1965"/>
    </row>
    <row r="3" spans="1:12" ht="15" customHeight="1">
      <c r="A3" s="1935" t="s">
        <v>3</v>
      </c>
      <c r="B3" s="1947"/>
      <c r="C3" s="1936"/>
      <c r="D3" s="1935" t="s">
        <v>4</v>
      </c>
      <c r="E3" s="1936"/>
      <c r="F3" s="1935" t="s">
        <v>5</v>
      </c>
      <c r="G3" s="1936"/>
      <c r="H3" s="1935" t="s">
        <v>5</v>
      </c>
      <c r="I3" s="1936"/>
      <c r="J3" s="1935" t="s">
        <v>1381</v>
      </c>
      <c r="K3" s="1947"/>
      <c r="L3" s="1936"/>
    </row>
    <row r="4" spans="1:12" ht="15" customHeight="1">
      <c r="A4" s="365" t="s">
        <v>7</v>
      </c>
      <c r="B4" s="1952" t="str">
        <f>IF(AND(CCADRCcontractNumber="",CBAALcontractNumber=""),"",CompletedByLastName)</f>
        <v/>
      </c>
      <c r="C4" s="1953"/>
      <c r="D4" s="1937" t="s">
        <v>8</v>
      </c>
      <c r="E4" s="1938"/>
      <c r="F4" s="1937" t="s">
        <v>9</v>
      </c>
      <c r="G4" s="1938"/>
      <c r="H4" s="1937" t="s">
        <v>1430</v>
      </c>
      <c r="I4" s="1938"/>
      <c r="J4" s="366" t="s">
        <v>10</v>
      </c>
      <c r="K4" s="1957" t="str">
        <f>IF(AND(CCADRCcontractNumber="",CBAALcontractNumber=""),"",IF(MonitoringPeriodBeginDate="","",MonitoringPeriodBeginDate))</f>
        <v/>
      </c>
      <c r="L4" s="1958"/>
    </row>
    <row r="5" spans="1:12" ht="15" customHeight="1" thickBot="1">
      <c r="A5" s="367" t="s">
        <v>11</v>
      </c>
      <c r="B5" s="1944" t="str">
        <f>IF(AND(CCADRCcontractNumber="",CBAALcontractNumber=""),"",CompletedByFirstName)</f>
        <v/>
      </c>
      <c r="C5" s="1945"/>
      <c r="D5" s="1939" t="str">
        <f>IF(AND(CCADRCcontractNumber="",CBAALcontractNumber=""),"",IF(DateOfEntrance="","",DateOfEntrance))</f>
        <v/>
      </c>
      <c r="E5" s="1941"/>
      <c r="F5" s="1939" t="str">
        <f>IF(AND(CCADRCcontractNumber="",CBAALcontractNumber=""),"",IF(DateOfExit="","",DateOfExit))</f>
        <v/>
      </c>
      <c r="G5" s="1940"/>
      <c r="H5" s="1946" t="str">
        <f>IF(AND(CCADRCcontractNumber="",CBAALcontractNumber=""),"",IF(DateOfRevisedExit="","",DateOfRevisedExit))</f>
        <v/>
      </c>
      <c r="I5" s="1940"/>
      <c r="J5" s="368" t="s">
        <v>12</v>
      </c>
      <c r="K5" s="1942" t="str">
        <f>IF(AND(CCADRCcontractNumber="",CBAALcontractNumber=""),"",IF(MonitoringPeriodEndDate="","",MonitoringPeriodEndDate))</f>
        <v/>
      </c>
      <c r="L5" s="1943"/>
    </row>
    <row r="6" spans="1:12" ht="15" customHeight="1">
      <c r="A6" s="1935" t="s">
        <v>13</v>
      </c>
      <c r="B6" s="1947"/>
      <c r="C6" s="1947"/>
      <c r="D6" s="1947" t="s">
        <v>53</v>
      </c>
      <c r="E6" s="1947"/>
      <c r="F6" s="1948"/>
      <c r="G6" s="1935"/>
      <c r="H6" s="1947"/>
      <c r="I6" s="1947"/>
      <c r="J6" s="1947"/>
      <c r="K6" s="1947"/>
      <c r="L6" s="1936"/>
    </row>
    <row r="7" spans="1:12" ht="15" customHeight="1" thickBot="1">
      <c r="A7" s="1966" t="s">
        <v>74</v>
      </c>
      <c r="B7" s="1967"/>
      <c r="C7" s="1967"/>
      <c r="D7" s="1968">
        <f>CCADRCcontractNumber</f>
        <v>0</v>
      </c>
      <c r="E7" s="1968"/>
      <c r="F7" s="1969"/>
      <c r="G7" s="1971"/>
      <c r="H7" s="1972"/>
      <c r="I7" s="1972"/>
      <c r="J7" s="1954">
        <f>CBAOHRcontractNumber</f>
        <v>0</v>
      </c>
      <c r="K7" s="1954"/>
      <c r="L7" s="1955"/>
    </row>
    <row r="8" spans="1:12" ht="17.399999999999999" hidden="1" customHeight="1" thickBot="1">
      <c r="A8" s="1966"/>
      <c r="B8" s="1967"/>
      <c r="C8" s="1967"/>
      <c r="D8" s="1968">
        <f>CBAALcontractNumber</f>
        <v>0</v>
      </c>
      <c r="E8" s="1968"/>
      <c r="F8" s="1970"/>
      <c r="G8" s="1921"/>
      <c r="H8" s="1922"/>
      <c r="I8" s="1922"/>
      <c r="J8" s="1922"/>
      <c r="K8" s="1922"/>
      <c r="L8" s="1923"/>
    </row>
    <row r="9" spans="1:12" ht="15" customHeight="1">
      <c r="A9" s="1956" t="s">
        <v>43</v>
      </c>
      <c r="B9" s="1932"/>
      <c r="C9" s="1932" t="s">
        <v>1499</v>
      </c>
      <c r="D9" s="1932"/>
      <c r="E9" s="1933" t="s">
        <v>646</v>
      </c>
      <c r="F9" s="1933"/>
      <c r="G9" s="1933"/>
      <c r="H9" s="1933"/>
      <c r="I9" s="1933"/>
      <c r="J9" s="1933"/>
      <c r="K9" s="1933"/>
      <c r="L9" s="1934"/>
    </row>
    <row r="10" spans="1:12" ht="45" customHeight="1">
      <c r="A10" s="1928"/>
      <c r="B10" s="1929"/>
      <c r="C10" s="1929"/>
      <c r="D10" s="1929"/>
      <c r="E10" s="1930"/>
      <c r="F10" s="1930"/>
      <c r="G10" s="1930"/>
      <c r="H10" s="1930"/>
      <c r="I10" s="1930"/>
      <c r="J10" s="1930"/>
      <c r="K10" s="1930"/>
      <c r="L10" s="1931"/>
    </row>
    <row r="11" spans="1:12" ht="45" customHeight="1">
      <c r="A11" s="1928"/>
      <c r="B11" s="1929"/>
      <c r="C11" s="1929"/>
      <c r="D11" s="1929"/>
      <c r="E11" s="1930"/>
      <c r="F11" s="1930"/>
      <c r="G11" s="1930"/>
      <c r="H11" s="1930"/>
      <c r="I11" s="1930"/>
      <c r="J11" s="1930"/>
      <c r="K11" s="1930"/>
      <c r="L11" s="1931"/>
    </row>
    <row r="12" spans="1:12" ht="45" customHeight="1">
      <c r="A12" s="1928"/>
      <c r="B12" s="1929"/>
      <c r="C12" s="1929"/>
      <c r="D12" s="1929"/>
      <c r="E12" s="1930"/>
      <c r="F12" s="1930"/>
      <c r="G12" s="1930"/>
      <c r="H12" s="1930"/>
      <c r="I12" s="1930"/>
      <c r="J12" s="1930"/>
      <c r="K12" s="1930"/>
      <c r="L12" s="1931"/>
    </row>
    <row r="13" spans="1:12" ht="45" customHeight="1">
      <c r="A13" s="1928"/>
      <c r="B13" s="1929"/>
      <c r="C13" s="1929"/>
      <c r="D13" s="1929"/>
      <c r="E13" s="1930"/>
      <c r="F13" s="1930"/>
      <c r="G13" s="1930"/>
      <c r="H13" s="1930"/>
      <c r="I13" s="1930"/>
      <c r="J13" s="1930"/>
      <c r="K13" s="1930"/>
      <c r="L13" s="1931"/>
    </row>
    <row r="14" spans="1:12" ht="45" customHeight="1">
      <c r="A14" s="1928"/>
      <c r="B14" s="1929"/>
      <c r="C14" s="1929"/>
      <c r="D14" s="1929"/>
      <c r="E14" s="1930"/>
      <c r="F14" s="1930"/>
      <c r="G14" s="1930"/>
      <c r="H14" s="1930"/>
      <c r="I14" s="1930"/>
      <c r="J14" s="1930"/>
      <c r="K14" s="1930"/>
      <c r="L14" s="1931"/>
    </row>
    <row r="15" spans="1:12" ht="45" customHeight="1">
      <c r="A15" s="1928"/>
      <c r="B15" s="1929"/>
      <c r="C15" s="1929"/>
      <c r="D15" s="1929"/>
      <c r="E15" s="1930"/>
      <c r="F15" s="1930"/>
      <c r="G15" s="1930"/>
      <c r="H15" s="1930"/>
      <c r="I15" s="1930"/>
      <c r="J15" s="1930"/>
      <c r="K15" s="1930"/>
      <c r="L15" s="1931"/>
    </row>
    <row r="16" spans="1:12" ht="45" customHeight="1">
      <c r="A16" s="1928"/>
      <c r="B16" s="1929"/>
      <c r="C16" s="1929"/>
      <c r="D16" s="1929"/>
      <c r="E16" s="1930"/>
      <c r="F16" s="1930"/>
      <c r="G16" s="1930"/>
      <c r="H16" s="1930"/>
      <c r="I16" s="1930"/>
      <c r="J16" s="1930"/>
      <c r="K16" s="1930"/>
      <c r="L16" s="1931"/>
    </row>
    <row r="17" spans="1:12" ht="45" customHeight="1">
      <c r="A17" s="1928"/>
      <c r="B17" s="1929"/>
      <c r="C17" s="1929"/>
      <c r="D17" s="1929"/>
      <c r="E17" s="1930"/>
      <c r="F17" s="1930"/>
      <c r="G17" s="1930"/>
      <c r="H17" s="1930"/>
      <c r="I17" s="1930"/>
      <c r="J17" s="1930"/>
      <c r="K17" s="1930"/>
      <c r="L17" s="1931"/>
    </row>
    <row r="18" spans="1:12" ht="45" customHeight="1">
      <c r="A18" s="1928"/>
      <c r="B18" s="1929"/>
      <c r="C18" s="1929"/>
      <c r="D18" s="1929"/>
      <c r="E18" s="1930"/>
      <c r="F18" s="1930"/>
      <c r="G18" s="1930"/>
      <c r="H18" s="1930"/>
      <c r="I18" s="1930"/>
      <c r="J18" s="1930"/>
      <c r="K18" s="1930"/>
      <c r="L18" s="1931"/>
    </row>
    <row r="19" spans="1:12" ht="45" customHeight="1">
      <c r="A19" s="1928"/>
      <c r="B19" s="1929"/>
      <c r="C19" s="1929"/>
      <c r="D19" s="1929"/>
      <c r="E19" s="1930"/>
      <c r="F19" s="1930"/>
      <c r="G19" s="1930"/>
      <c r="H19" s="1930"/>
      <c r="I19" s="1930"/>
      <c r="J19" s="1930"/>
      <c r="K19" s="1930"/>
      <c r="L19" s="1931"/>
    </row>
    <row r="20" spans="1:12" ht="45" customHeight="1">
      <c r="A20" s="1928"/>
      <c r="B20" s="1929"/>
      <c r="C20" s="1929"/>
      <c r="D20" s="1929"/>
      <c r="E20" s="1930"/>
      <c r="F20" s="1930"/>
      <c r="G20" s="1930"/>
      <c r="H20" s="1930"/>
      <c r="I20" s="1930"/>
      <c r="J20" s="1930"/>
      <c r="K20" s="1930"/>
      <c r="L20" s="1931"/>
    </row>
    <row r="21" spans="1:12" ht="45" customHeight="1">
      <c r="A21" s="1928"/>
      <c r="B21" s="1929"/>
      <c r="C21" s="1929"/>
      <c r="D21" s="1929"/>
      <c r="E21" s="1930"/>
      <c r="F21" s="1930"/>
      <c r="G21" s="1930"/>
      <c r="H21" s="1930"/>
      <c r="I21" s="1930"/>
      <c r="J21" s="1930"/>
      <c r="K21" s="1930"/>
      <c r="L21" s="1931"/>
    </row>
    <row r="22" spans="1:12" ht="45" customHeight="1">
      <c r="A22" s="1928"/>
      <c r="B22" s="1929"/>
      <c r="C22" s="1929"/>
      <c r="D22" s="1929"/>
      <c r="E22" s="1930"/>
      <c r="F22" s="1930"/>
      <c r="G22" s="1930"/>
      <c r="H22" s="1930"/>
      <c r="I22" s="1930"/>
      <c r="J22" s="1930"/>
      <c r="K22" s="1930"/>
      <c r="L22" s="1931"/>
    </row>
    <row r="23" spans="1:12" ht="45" customHeight="1">
      <c r="A23" s="1928"/>
      <c r="B23" s="1929"/>
      <c r="C23" s="1929"/>
      <c r="D23" s="1929"/>
      <c r="E23" s="1930"/>
      <c r="F23" s="1930"/>
      <c r="G23" s="1930"/>
      <c r="H23" s="1930"/>
      <c r="I23" s="1930"/>
      <c r="J23" s="1930"/>
      <c r="K23" s="1930"/>
      <c r="L23" s="1931"/>
    </row>
    <row r="24" spans="1:12" ht="45" customHeight="1">
      <c r="A24" s="1928"/>
      <c r="B24" s="1929"/>
      <c r="C24" s="1929"/>
      <c r="D24" s="1929"/>
      <c r="E24" s="1930"/>
      <c r="F24" s="1930"/>
      <c r="G24" s="1930"/>
      <c r="H24" s="1930"/>
      <c r="I24" s="1930"/>
      <c r="J24" s="1930"/>
      <c r="K24" s="1930"/>
      <c r="L24" s="1931"/>
    </row>
    <row r="25" spans="1:12" ht="45" customHeight="1">
      <c r="A25" s="1928"/>
      <c r="B25" s="1929"/>
      <c r="C25" s="1929"/>
      <c r="D25" s="1929"/>
      <c r="E25" s="1930"/>
      <c r="F25" s="1930"/>
      <c r="G25" s="1930"/>
      <c r="H25" s="1930"/>
      <c r="I25" s="1930"/>
      <c r="J25" s="1930"/>
      <c r="K25" s="1930"/>
      <c r="L25" s="1931"/>
    </row>
    <row r="26" spans="1:12" ht="45" customHeight="1">
      <c r="A26" s="1928"/>
      <c r="B26" s="1929"/>
      <c r="C26" s="1929"/>
      <c r="D26" s="1929"/>
      <c r="E26" s="1930"/>
      <c r="F26" s="1930"/>
      <c r="G26" s="1930"/>
      <c r="H26" s="1930"/>
      <c r="I26" s="1930"/>
      <c r="J26" s="1930"/>
      <c r="K26" s="1930"/>
      <c r="L26" s="1931"/>
    </row>
    <row r="27" spans="1:12" ht="45" customHeight="1">
      <c r="A27" s="1928"/>
      <c r="B27" s="1929"/>
      <c r="C27" s="1929"/>
      <c r="D27" s="1929"/>
      <c r="E27" s="1930"/>
      <c r="F27" s="1930"/>
      <c r="G27" s="1930"/>
      <c r="H27" s="1930"/>
      <c r="I27" s="1930"/>
      <c r="J27" s="1930"/>
      <c r="K27" s="1930"/>
      <c r="L27" s="1931"/>
    </row>
    <row r="28" spans="1:12" ht="45" customHeight="1">
      <c r="A28" s="1928"/>
      <c r="B28" s="1929"/>
      <c r="C28" s="1929"/>
      <c r="D28" s="1929"/>
      <c r="E28" s="1930"/>
      <c r="F28" s="1930"/>
      <c r="G28" s="1930"/>
      <c r="H28" s="1930"/>
      <c r="I28" s="1930"/>
      <c r="J28" s="1930"/>
      <c r="K28" s="1930"/>
      <c r="L28" s="1931"/>
    </row>
    <row r="29" spans="1:12" ht="45" customHeight="1">
      <c r="A29" s="1928"/>
      <c r="B29" s="1929"/>
      <c r="C29" s="1929"/>
      <c r="D29" s="1929"/>
      <c r="E29" s="1930"/>
      <c r="F29" s="1930"/>
      <c r="G29" s="1930"/>
      <c r="H29" s="1930"/>
      <c r="I29" s="1930"/>
      <c r="J29" s="1930"/>
      <c r="K29" s="1930"/>
      <c r="L29" s="1931"/>
    </row>
    <row r="30" spans="1:12" ht="45" customHeight="1" thickBot="1">
      <c r="A30" s="1924"/>
      <c r="B30" s="1925"/>
      <c r="C30" s="1925"/>
      <c r="D30" s="1925"/>
      <c r="E30" s="1926"/>
      <c r="F30" s="1926"/>
      <c r="G30" s="1926"/>
      <c r="H30" s="1926"/>
      <c r="I30" s="1926"/>
      <c r="J30" s="1926"/>
      <c r="K30" s="1926"/>
      <c r="L30" s="1927"/>
    </row>
  </sheetData>
  <sheetProtection algorithmName="SHA-512" hashValue="B1lGxrVOlqX4sBmZV/Elru6TOCK1iI0pBG2VkE1snvRCTqyjQgiXtn/SEWo5GqSmwMspC/6sGMtqKF5aLA/C5w==" saltValue="hXG86D6rFWSTJSTVvBmUVA==" spinCount="100000" sheet="1" selectLockedCells="1"/>
  <customSheetViews>
    <customSheetView guid="{A81B7E59-6D30-48F0-895B-EADA4D6F68AC}" hiddenRows="1">
      <selection activeCell="J3" sqref="J3:L3"/>
      <pageMargins left="0.7" right="0.7" top="0.75" bottom="0.75" header="0.3" footer="0.3"/>
      <pageSetup orientation="landscape" r:id="rId1"/>
    </customSheetView>
    <customSheetView guid="{B2091B36-14EA-49EC-93AF-D5AA205EF0C1}">
      <selection activeCell="A10" sqref="A10:B10"/>
      <pageMargins left="0.7" right="0.7" top="0.75" bottom="0.75" header="0.3" footer="0.3"/>
      <pageSetup orientation="landscape" r:id="rId2"/>
    </customSheetView>
    <customSheetView guid="{A9399441-FD69-4FCC-BF3B-6E447DD9FB6A}">
      <selection activeCell="A10" sqref="A10:B10"/>
      <pageMargins left="0.7" right="0.7" top="0.75" bottom="0.75" header="0.3" footer="0.3"/>
      <pageSetup orientation="landscape" r:id="rId3"/>
    </customSheetView>
  </customSheetViews>
  <mergeCells count="100">
    <mergeCell ref="J7:L7"/>
    <mergeCell ref="A9:B9"/>
    <mergeCell ref="J3:L3"/>
    <mergeCell ref="K4:L4"/>
    <mergeCell ref="A1:D1"/>
    <mergeCell ref="E1:F1"/>
    <mergeCell ref="A2:D2"/>
    <mergeCell ref="E2:F2"/>
    <mergeCell ref="J2:L2"/>
    <mergeCell ref="A7:C7"/>
    <mergeCell ref="D7:F7"/>
    <mergeCell ref="A8:C8"/>
    <mergeCell ref="D8:F8"/>
    <mergeCell ref="G7:I7"/>
    <mergeCell ref="J1:L1"/>
    <mergeCell ref="G1:I1"/>
    <mergeCell ref="G2:I2"/>
    <mergeCell ref="A3:C3"/>
    <mergeCell ref="B4:C4"/>
    <mergeCell ref="H3:I3"/>
    <mergeCell ref="H4:I4"/>
    <mergeCell ref="A11:B11"/>
    <mergeCell ref="C11:D11"/>
    <mergeCell ref="E11:L11"/>
    <mergeCell ref="F3:G3"/>
    <mergeCell ref="F4:G4"/>
    <mergeCell ref="F5:G5"/>
    <mergeCell ref="D3:E3"/>
    <mergeCell ref="D4:E4"/>
    <mergeCell ref="D5:E5"/>
    <mergeCell ref="K5:L5"/>
    <mergeCell ref="B5:C5"/>
    <mergeCell ref="H5:I5"/>
    <mergeCell ref="A6:C6"/>
    <mergeCell ref="D6:F6"/>
    <mergeCell ref="G6:I6"/>
    <mergeCell ref="J6:L6"/>
    <mergeCell ref="C9:D9"/>
    <mergeCell ref="E9:L9"/>
    <mergeCell ref="A10:B10"/>
    <mergeCell ref="C10:D10"/>
    <mergeCell ref="E10:L10"/>
    <mergeCell ref="A12:B12"/>
    <mergeCell ref="C12:D12"/>
    <mergeCell ref="E12:L12"/>
    <mergeCell ref="A13:B13"/>
    <mergeCell ref="C13:D13"/>
    <mergeCell ref="E13:L13"/>
    <mergeCell ref="A14:B14"/>
    <mergeCell ref="C14:D14"/>
    <mergeCell ref="E14:L14"/>
    <mergeCell ref="A15:B15"/>
    <mergeCell ref="C15:D15"/>
    <mergeCell ref="E15:L15"/>
    <mergeCell ref="A16:B16"/>
    <mergeCell ref="C16:D16"/>
    <mergeCell ref="E16:L16"/>
    <mergeCell ref="A17:B17"/>
    <mergeCell ref="C17:D17"/>
    <mergeCell ref="E17:L17"/>
    <mergeCell ref="A18:B18"/>
    <mergeCell ref="C18:D18"/>
    <mergeCell ref="E18:L18"/>
    <mergeCell ref="A19:B19"/>
    <mergeCell ref="C19:D19"/>
    <mergeCell ref="E19:L19"/>
    <mergeCell ref="A20:B20"/>
    <mergeCell ref="C20:D20"/>
    <mergeCell ref="E20:L20"/>
    <mergeCell ref="A21:B21"/>
    <mergeCell ref="C21:D21"/>
    <mergeCell ref="E21:L21"/>
    <mergeCell ref="A22:B22"/>
    <mergeCell ref="C22:D22"/>
    <mergeCell ref="E22:L22"/>
    <mergeCell ref="A23:B23"/>
    <mergeCell ref="C23:D23"/>
    <mergeCell ref="E23:L23"/>
    <mergeCell ref="A24:B24"/>
    <mergeCell ref="C24:D24"/>
    <mergeCell ref="E24:L24"/>
    <mergeCell ref="A25:B25"/>
    <mergeCell ref="C25:D25"/>
    <mergeCell ref="E25:L25"/>
    <mergeCell ref="G8:L8"/>
    <mergeCell ref="A30:B30"/>
    <mergeCell ref="C30:D30"/>
    <mergeCell ref="E30:L30"/>
    <mergeCell ref="A28:B28"/>
    <mergeCell ref="C28:D28"/>
    <mergeCell ref="E28:L28"/>
    <mergeCell ref="A29:B29"/>
    <mergeCell ref="C29:D29"/>
    <mergeCell ref="E29:L29"/>
    <mergeCell ref="A26:B26"/>
    <mergeCell ref="C26:D26"/>
    <mergeCell ref="E26:L26"/>
    <mergeCell ref="A27:B27"/>
    <mergeCell ref="C27:D27"/>
    <mergeCell ref="E27:L27"/>
  </mergeCells>
  <pageMargins left="0.7" right="0.7" top="0.75" bottom="0.75" header="0.3" footer="0.3"/>
  <pageSetup orientation="landscape"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FY3311"/>
  <sheetViews>
    <sheetView zoomScale="90" zoomScaleNormal="90" workbookViewId="0">
      <selection activeCell="G5" sqref="G5"/>
    </sheetView>
  </sheetViews>
  <sheetFormatPr defaultColWidth="8.90625" defaultRowHeight="14.5"/>
  <cols>
    <col min="1" max="1" width="31.453125" bestFit="1" customWidth="1"/>
    <col min="2" max="2" width="12.54296875" bestFit="1" customWidth="1"/>
    <col min="3" max="4" width="15.90625" bestFit="1" customWidth="1"/>
    <col min="5" max="5" width="16" bestFit="1" customWidth="1"/>
    <col min="6" max="6" width="16.453125" bestFit="1" customWidth="1"/>
    <col min="7" max="7" width="13.08984375" customWidth="1"/>
    <col min="8" max="8" width="12.08984375" bestFit="1" customWidth="1"/>
    <col min="9" max="11" width="12.54296875" bestFit="1" customWidth="1"/>
    <col min="12" max="12" width="11.453125" bestFit="1" customWidth="1"/>
    <col min="13" max="13" width="10.36328125" bestFit="1" customWidth="1"/>
    <col min="14" max="14" width="11.90625" bestFit="1" customWidth="1"/>
    <col min="15" max="15" width="12.54296875" bestFit="1" customWidth="1"/>
    <col min="16" max="16" width="12.90625" bestFit="1" customWidth="1"/>
    <col min="17" max="17" width="9.90625" bestFit="1" customWidth="1"/>
    <col min="18" max="18" width="9.6328125" bestFit="1" customWidth="1"/>
    <col min="19" max="19" width="12.08984375" bestFit="1" customWidth="1"/>
    <col min="23" max="23" width="9.90625" bestFit="1" customWidth="1"/>
    <col min="24" max="24" width="8.90625" bestFit="1" customWidth="1"/>
    <col min="26" max="26" width="11.6328125" bestFit="1" customWidth="1"/>
    <col min="28" max="28" width="11.6328125" bestFit="1" customWidth="1"/>
    <col min="29" max="29" width="9.36328125" bestFit="1" customWidth="1"/>
    <col min="32" max="32" width="9" bestFit="1" customWidth="1"/>
    <col min="37" max="37" width="9.6328125" bestFit="1" customWidth="1"/>
    <col min="39" max="39" width="10" bestFit="1" customWidth="1"/>
    <col min="40" max="40" width="9.36328125" bestFit="1" customWidth="1"/>
    <col min="43" max="43" width="10" bestFit="1" customWidth="1"/>
    <col min="44" max="44" width="9" bestFit="1" customWidth="1"/>
    <col min="45" max="45" width="11.6328125" bestFit="1" customWidth="1"/>
    <col min="46" max="46" width="9.08984375" bestFit="1" customWidth="1"/>
    <col min="47" max="47" width="11.54296875" bestFit="1" customWidth="1"/>
    <col min="48" max="48" width="10.6328125" bestFit="1" customWidth="1"/>
    <col min="49" max="49" width="9" bestFit="1" customWidth="1"/>
    <col min="50" max="50" width="11.54296875" bestFit="1" customWidth="1"/>
    <col min="51" max="51" width="11.453125" bestFit="1" customWidth="1"/>
    <col min="52" max="52" width="11.54296875" bestFit="1" customWidth="1"/>
    <col min="53" max="53" width="11.6328125" bestFit="1" customWidth="1"/>
    <col min="54" max="54" width="8.90625" bestFit="1" customWidth="1"/>
    <col min="55" max="55" width="11.54296875" bestFit="1" customWidth="1"/>
    <col min="56" max="56" width="9.36328125" bestFit="1" customWidth="1"/>
    <col min="57" max="57" width="7.90625" bestFit="1" customWidth="1"/>
    <col min="59" max="59" width="8.36328125" bestFit="1" customWidth="1"/>
    <col min="60" max="60" width="9" bestFit="1" customWidth="1"/>
    <col min="61" max="61" width="9.6328125" bestFit="1" customWidth="1"/>
    <col min="62" max="62" width="9.36328125" bestFit="1" customWidth="1"/>
    <col min="63" max="63" width="9.08984375" bestFit="1" customWidth="1"/>
    <col min="64" max="64" width="11.54296875" bestFit="1" customWidth="1"/>
    <col min="65" max="65" width="9.36328125" bestFit="1" customWidth="1"/>
    <col min="66" max="66" width="11.54296875" bestFit="1" customWidth="1"/>
    <col min="67" max="67" width="9.90625" bestFit="1" customWidth="1"/>
    <col min="68" max="68" width="11.36328125" bestFit="1" customWidth="1"/>
    <col min="69" max="69" width="9.36328125" bestFit="1" customWidth="1"/>
    <col min="70" max="70" width="11.6328125" bestFit="1" customWidth="1"/>
    <col min="71" max="71" width="9.6328125" bestFit="1" customWidth="1"/>
    <col min="72" max="72" width="11.54296875" bestFit="1" customWidth="1"/>
    <col min="73" max="73" width="9.6328125" bestFit="1" customWidth="1"/>
    <col min="74" max="74" width="9.08984375" bestFit="1" customWidth="1"/>
    <col min="75" max="75" width="9.90625" bestFit="1" customWidth="1"/>
    <col min="76" max="76" width="9.08984375" bestFit="1" customWidth="1"/>
    <col min="77" max="78" width="9.36328125" bestFit="1" customWidth="1"/>
    <col min="79" max="79" width="11.08984375" bestFit="1" customWidth="1"/>
    <col min="80" max="80" width="9.36328125" bestFit="1" customWidth="1"/>
    <col min="81" max="81" width="11.90625" bestFit="1" customWidth="1"/>
    <col min="82" max="82" width="9.54296875" bestFit="1" customWidth="1"/>
    <col min="83" max="84" width="11.6328125" bestFit="1" customWidth="1"/>
    <col min="85" max="85" width="11" bestFit="1" customWidth="1"/>
    <col min="86" max="86" width="9.54296875" bestFit="1" customWidth="1"/>
    <col min="87" max="87" width="9.90625" bestFit="1" customWidth="1"/>
    <col min="88" max="88" width="11.90625" bestFit="1" customWidth="1"/>
    <col min="89" max="89" width="9.54296875" bestFit="1" customWidth="1"/>
    <col min="90" max="90" width="11.90625" bestFit="1" customWidth="1"/>
    <col min="92" max="92" width="11.54296875" bestFit="1" customWidth="1"/>
    <col min="93" max="96" width="9.90625" bestFit="1" customWidth="1"/>
    <col min="97" max="97" width="9.36328125" bestFit="1" customWidth="1"/>
    <col min="98" max="101" width="10" bestFit="1" customWidth="1"/>
    <col min="102" max="102" width="10.6328125" bestFit="1" customWidth="1"/>
    <col min="103" max="103" width="9.54296875" bestFit="1" customWidth="1"/>
    <col min="104" max="104" width="10" bestFit="1" customWidth="1"/>
    <col min="105" max="105" width="9.54296875" bestFit="1" customWidth="1"/>
    <col min="106" max="106" width="10.6328125" bestFit="1" customWidth="1"/>
    <col min="107" max="107" width="9.54296875" bestFit="1" customWidth="1"/>
    <col min="108" max="108" width="10" bestFit="1" customWidth="1"/>
    <col min="109" max="109" width="9.08984375" bestFit="1" customWidth="1"/>
    <col min="110" max="110" width="11.08984375" bestFit="1" customWidth="1"/>
    <col min="111" max="111" width="11.54296875" bestFit="1" customWidth="1"/>
    <col min="112" max="112" width="10.08984375" bestFit="1" customWidth="1"/>
    <col min="113" max="113" width="11.90625" bestFit="1" customWidth="1"/>
    <col min="114" max="114" width="11.54296875" bestFit="1" customWidth="1"/>
    <col min="115" max="115" width="9.6328125" bestFit="1" customWidth="1"/>
    <col min="116" max="116" width="11.90625" bestFit="1" customWidth="1"/>
    <col min="117" max="117" width="11.54296875" bestFit="1" customWidth="1"/>
    <col min="118" max="118" width="11.6328125" bestFit="1" customWidth="1"/>
    <col min="119" max="119" width="11.08984375" bestFit="1" customWidth="1"/>
    <col min="120" max="120" width="10.08984375" bestFit="1" customWidth="1"/>
    <col min="121" max="121" width="9.90625" bestFit="1" customWidth="1"/>
    <col min="122" max="122" width="11.54296875" bestFit="1" customWidth="1"/>
    <col min="123" max="123" width="9.6328125" bestFit="1" customWidth="1"/>
    <col min="124" max="125" width="9.90625" bestFit="1" customWidth="1"/>
    <col min="126" max="126" width="9.6328125" bestFit="1" customWidth="1"/>
    <col min="127" max="127" width="9.36328125" bestFit="1" customWidth="1"/>
    <col min="128" max="128" width="9.6328125" bestFit="1" customWidth="1"/>
    <col min="129" max="129" width="10.36328125" bestFit="1" customWidth="1"/>
    <col min="130" max="130" width="9.36328125" bestFit="1" customWidth="1"/>
    <col min="131" max="131" width="9.6328125" bestFit="1" customWidth="1"/>
    <col min="132" max="132" width="10.08984375" bestFit="1" customWidth="1"/>
    <col min="133" max="133" width="9" bestFit="1" customWidth="1"/>
    <col min="134" max="134" width="9.6328125" bestFit="1" customWidth="1"/>
    <col min="135" max="136" width="9" bestFit="1" customWidth="1"/>
    <col min="137" max="137" width="9.6328125" bestFit="1" customWidth="1"/>
    <col min="138" max="139" width="9" bestFit="1" customWidth="1"/>
    <col min="140" max="140" width="9.6328125" bestFit="1" customWidth="1"/>
    <col min="141" max="142" width="9" bestFit="1" customWidth="1"/>
    <col min="143" max="143" width="9.6328125" bestFit="1" customWidth="1"/>
    <col min="144" max="145" width="9" bestFit="1" customWidth="1"/>
    <col min="146" max="146" width="10.08984375" bestFit="1" customWidth="1"/>
    <col min="147" max="147" width="9" bestFit="1" customWidth="1"/>
    <col min="148" max="148" width="11.90625" bestFit="1" customWidth="1"/>
    <col min="149" max="149" width="10.54296875" bestFit="1" customWidth="1"/>
    <col min="150" max="150" width="11.54296875" bestFit="1" customWidth="1"/>
    <col min="151" max="151" width="11.6328125" bestFit="1" customWidth="1"/>
    <col min="152" max="152" width="11.36328125" bestFit="1" customWidth="1"/>
    <col min="153" max="154" width="11.54296875" bestFit="1" customWidth="1"/>
    <col min="155" max="155" width="9.6328125" bestFit="1" customWidth="1"/>
    <col min="156" max="156" width="11.54296875" bestFit="1" customWidth="1"/>
    <col min="157" max="157" width="9.6328125" bestFit="1" customWidth="1"/>
    <col min="158" max="159" width="9" bestFit="1" customWidth="1"/>
    <col min="160" max="160" width="9.6328125" bestFit="1" customWidth="1"/>
    <col min="161" max="161" width="9" bestFit="1" customWidth="1"/>
    <col min="162" max="162" width="9.36328125" bestFit="1" customWidth="1"/>
    <col min="163" max="163" width="9.6328125" bestFit="1" customWidth="1"/>
    <col min="164" max="165" width="9" bestFit="1" customWidth="1"/>
    <col min="166" max="167" width="8.6328125" bestFit="1" customWidth="1"/>
    <col min="168" max="168" width="11.90625" bestFit="1" customWidth="1"/>
    <col min="169" max="169" width="10.6328125" bestFit="1" customWidth="1"/>
  </cols>
  <sheetData>
    <row r="1" spans="1:181" ht="15" thickBot="1">
      <c r="A1" t="s">
        <v>1284</v>
      </c>
      <c r="D1" t="str">
        <f>CONCATENATE("V ", B3)</f>
        <v>V 5.0.9</v>
      </c>
    </row>
    <row r="2" spans="1:181" s="62" customFormat="1" ht="29">
      <c r="A2" s="153" t="s">
        <v>816</v>
      </c>
      <c r="B2" s="312" t="s">
        <v>817</v>
      </c>
      <c r="C2" s="311" t="s">
        <v>818</v>
      </c>
    </row>
    <row r="3" spans="1:181" ht="15" thickBot="1">
      <c r="A3" s="156" t="s">
        <v>930</v>
      </c>
      <c r="B3" s="171" t="s">
        <v>1661</v>
      </c>
      <c r="C3" s="159">
        <f>IF(DateOfEntrance=DATE(1900,1,0), DATE(1900,1,1), DateOfEntrance)</f>
        <v>1</v>
      </c>
    </row>
    <row r="5" spans="1:181" ht="15" thickBot="1">
      <c r="A5" t="s">
        <v>1285</v>
      </c>
    </row>
    <row r="6" spans="1:181" s="62" customFormat="1" ht="29">
      <c r="A6" s="153" t="s">
        <v>819</v>
      </c>
      <c r="B6" s="311" t="s">
        <v>820</v>
      </c>
      <c r="H6" s="151"/>
    </row>
    <row r="7" spans="1:181">
      <c r="A7" s="154" t="s">
        <v>74</v>
      </c>
      <c r="B7" s="207" t="str">
        <f>IF(CCADRCcontractNumber = 0, "", CCADRCcontractNumber)</f>
        <v/>
      </c>
    </row>
    <row r="8" spans="1:181">
      <c r="A8" s="154" t="s">
        <v>75</v>
      </c>
      <c r="B8" s="207" t="str">
        <f>IF(CBAALcontractNumber = 0, "", CBAALcontractNumber)</f>
        <v/>
      </c>
    </row>
    <row r="9" spans="1:181" ht="15" thickBot="1">
      <c r="A9" s="300" t="s">
        <v>76</v>
      </c>
      <c r="B9" s="208" t="str">
        <f>IF(CBAOHRcontractNumber = 0, "", CBAOHRcontractNumber)</f>
        <v/>
      </c>
    </row>
    <row r="11" spans="1:181" s="62" customFormat="1" ht="15" thickBot="1">
      <c r="A11" t="s">
        <v>1268</v>
      </c>
    </row>
    <row r="12" spans="1:181" s="62" customFormat="1" ht="43.5">
      <c r="A12" s="153" t="s">
        <v>821</v>
      </c>
      <c r="B12" s="312" t="s">
        <v>931</v>
      </c>
      <c r="C12" s="312" t="s">
        <v>822</v>
      </c>
      <c r="D12" s="312" t="s">
        <v>823</v>
      </c>
      <c r="E12" s="312" t="s">
        <v>824</v>
      </c>
      <c r="F12" s="312" t="s">
        <v>825</v>
      </c>
      <c r="G12" s="312" t="s">
        <v>826</v>
      </c>
      <c r="H12" s="312" t="s">
        <v>932</v>
      </c>
      <c r="I12" s="312" t="s">
        <v>1464</v>
      </c>
      <c r="J12" s="312" t="s">
        <v>1465</v>
      </c>
      <c r="K12" s="312" t="s">
        <v>933</v>
      </c>
      <c r="L12" s="312" t="s">
        <v>936</v>
      </c>
      <c r="M12" s="267" t="s">
        <v>935</v>
      </c>
      <c r="N12" s="267" t="s">
        <v>934</v>
      </c>
      <c r="O12" s="312" t="s">
        <v>829</v>
      </c>
      <c r="P12" s="267" t="s">
        <v>830</v>
      </c>
      <c r="Q12" s="267" t="s">
        <v>831</v>
      </c>
      <c r="R12" s="312" t="s">
        <v>832</v>
      </c>
      <c r="S12" s="312" t="s">
        <v>1628</v>
      </c>
      <c r="T12" s="312" t="s">
        <v>1629</v>
      </c>
      <c r="U12" s="312" t="s">
        <v>1630</v>
      </c>
      <c r="V12" s="312" t="s">
        <v>1631</v>
      </c>
      <c r="W12" s="312" t="s">
        <v>833</v>
      </c>
      <c r="X12" s="312" t="s">
        <v>1429</v>
      </c>
      <c r="Y12" s="312" t="s">
        <v>937</v>
      </c>
      <c r="Z12" s="312" t="s">
        <v>938</v>
      </c>
      <c r="AA12" s="312" t="s">
        <v>939</v>
      </c>
      <c r="AB12" s="312" t="s">
        <v>940</v>
      </c>
      <c r="AC12" s="312" t="s">
        <v>941</v>
      </c>
      <c r="AD12" s="312" t="s">
        <v>834</v>
      </c>
      <c r="AE12" s="312" t="s">
        <v>835</v>
      </c>
      <c r="AF12" s="312" t="s">
        <v>836</v>
      </c>
      <c r="AG12" s="312" t="s">
        <v>947</v>
      </c>
      <c r="AH12" s="312" t="s">
        <v>943</v>
      </c>
      <c r="AI12" s="312" t="s">
        <v>944</v>
      </c>
      <c r="AJ12" s="312" t="s">
        <v>945</v>
      </c>
      <c r="AK12" s="312" t="s">
        <v>946</v>
      </c>
      <c r="AL12" s="312" t="s">
        <v>948</v>
      </c>
      <c r="AM12" s="312" t="s">
        <v>949</v>
      </c>
      <c r="AN12" s="312" t="s">
        <v>950</v>
      </c>
      <c r="AO12" s="312" t="s">
        <v>951</v>
      </c>
      <c r="AP12" s="312" t="s">
        <v>952</v>
      </c>
      <c r="AQ12" s="312" t="s">
        <v>953</v>
      </c>
      <c r="AR12" s="312" t="s">
        <v>954</v>
      </c>
      <c r="AS12" s="312" t="s">
        <v>955</v>
      </c>
      <c r="AT12" s="312" t="s">
        <v>956</v>
      </c>
      <c r="AU12" s="312" t="s">
        <v>957</v>
      </c>
      <c r="AV12" s="312" t="s">
        <v>958</v>
      </c>
      <c r="AW12" s="312" t="s">
        <v>959</v>
      </c>
      <c r="AX12" s="312" t="s">
        <v>960</v>
      </c>
      <c r="AY12" s="312" t="s">
        <v>961</v>
      </c>
      <c r="AZ12" s="312" t="s">
        <v>962</v>
      </c>
      <c r="BA12" s="312" t="s">
        <v>963</v>
      </c>
      <c r="BB12" s="312" t="s">
        <v>964</v>
      </c>
      <c r="BC12" s="312" t="s">
        <v>965</v>
      </c>
      <c r="BD12" s="312" t="s">
        <v>966</v>
      </c>
      <c r="BE12" s="312" t="s">
        <v>967</v>
      </c>
      <c r="BF12" s="312" t="s">
        <v>968</v>
      </c>
      <c r="BG12" s="312" t="s">
        <v>969</v>
      </c>
      <c r="BH12" s="312" t="s">
        <v>970</v>
      </c>
      <c r="BI12" s="312" t="s">
        <v>971</v>
      </c>
      <c r="BJ12" s="312" t="s">
        <v>972</v>
      </c>
      <c r="BK12" s="312" t="s">
        <v>942</v>
      </c>
      <c r="BL12" s="312" t="s">
        <v>981</v>
      </c>
      <c r="BM12" s="312" t="s">
        <v>982</v>
      </c>
      <c r="BN12" s="312" t="s">
        <v>837</v>
      </c>
      <c r="BO12" s="312" t="s">
        <v>838</v>
      </c>
      <c r="BP12" s="312" t="s">
        <v>839</v>
      </c>
      <c r="BQ12" s="312" t="s">
        <v>840</v>
      </c>
      <c r="BR12" s="312" t="s">
        <v>841</v>
      </c>
      <c r="BS12" s="312" t="s">
        <v>842</v>
      </c>
      <c r="BT12" s="312" t="s">
        <v>843</v>
      </c>
      <c r="BU12" s="312" t="s">
        <v>844</v>
      </c>
      <c r="BV12" s="312" t="s">
        <v>845</v>
      </c>
      <c r="BW12" s="312" t="s">
        <v>973</v>
      </c>
      <c r="BX12" s="312" t="s">
        <v>974</v>
      </c>
      <c r="BY12" s="312" t="s">
        <v>975</v>
      </c>
      <c r="BZ12" s="312" t="s">
        <v>976</v>
      </c>
      <c r="CA12" s="312" t="s">
        <v>977</v>
      </c>
      <c r="CB12" s="312" t="s">
        <v>1633</v>
      </c>
      <c r="CC12" s="312" t="s">
        <v>1634</v>
      </c>
      <c r="CD12" s="312" t="s">
        <v>1635</v>
      </c>
      <c r="CE12" s="312" t="s">
        <v>1636</v>
      </c>
      <c r="CF12" s="312" t="s">
        <v>1637</v>
      </c>
      <c r="CG12" s="312" t="s">
        <v>1638</v>
      </c>
      <c r="CH12" s="312" t="s">
        <v>846</v>
      </c>
      <c r="CI12" s="312" t="s">
        <v>847</v>
      </c>
      <c r="CJ12" s="312" t="s">
        <v>848</v>
      </c>
      <c r="CK12" s="312" t="s">
        <v>849</v>
      </c>
      <c r="CL12" s="312" t="s">
        <v>850</v>
      </c>
      <c r="CM12" s="312" t="s">
        <v>851</v>
      </c>
      <c r="CN12" s="312" t="s">
        <v>852</v>
      </c>
      <c r="CO12" s="312" t="s">
        <v>853</v>
      </c>
      <c r="CP12" s="312" t="s">
        <v>854</v>
      </c>
      <c r="CQ12" s="312" t="s">
        <v>855</v>
      </c>
      <c r="CR12" s="312" t="s">
        <v>856</v>
      </c>
      <c r="CS12" s="312" t="s">
        <v>857</v>
      </c>
      <c r="CT12" s="312" t="s">
        <v>858</v>
      </c>
      <c r="CU12" s="312" t="s">
        <v>859</v>
      </c>
      <c r="CV12" s="312" t="s">
        <v>860</v>
      </c>
      <c r="CW12" s="312" t="s">
        <v>861</v>
      </c>
      <c r="CX12" s="312" t="s">
        <v>862</v>
      </c>
      <c r="CY12" s="312" t="s">
        <v>863</v>
      </c>
      <c r="CZ12" s="312" t="s">
        <v>864</v>
      </c>
      <c r="DA12" s="312" t="s">
        <v>865</v>
      </c>
      <c r="DB12" s="312" t="s">
        <v>866</v>
      </c>
      <c r="DC12" s="312" t="s">
        <v>867</v>
      </c>
      <c r="DD12" s="312" t="s">
        <v>868</v>
      </c>
      <c r="DE12" s="312" t="s">
        <v>869</v>
      </c>
      <c r="DF12" s="312" t="s">
        <v>870</v>
      </c>
      <c r="DG12" s="312" t="s">
        <v>983</v>
      </c>
      <c r="DH12" s="312" t="s">
        <v>1343</v>
      </c>
      <c r="DI12" s="312" t="s">
        <v>871</v>
      </c>
      <c r="DJ12" s="312" t="s">
        <v>872</v>
      </c>
      <c r="DK12" s="312" t="s">
        <v>873</v>
      </c>
      <c r="DL12" s="312" t="s">
        <v>874</v>
      </c>
      <c r="DM12" s="312" t="s">
        <v>875</v>
      </c>
      <c r="DN12" s="312" t="s">
        <v>876</v>
      </c>
      <c r="DO12" s="312" t="s">
        <v>877</v>
      </c>
      <c r="DP12" s="312" t="s">
        <v>878</v>
      </c>
      <c r="DQ12" s="312" t="s">
        <v>879</v>
      </c>
      <c r="DR12" s="312" t="s">
        <v>880</v>
      </c>
      <c r="DS12" s="312" t="s">
        <v>881</v>
      </c>
      <c r="DT12" s="312" t="s">
        <v>882</v>
      </c>
      <c r="DU12" s="312" t="s">
        <v>883</v>
      </c>
      <c r="DV12" s="312" t="s">
        <v>884</v>
      </c>
      <c r="DW12" s="312" t="s">
        <v>885</v>
      </c>
      <c r="DX12" s="312" t="s">
        <v>886</v>
      </c>
      <c r="DY12" s="312" t="s">
        <v>887</v>
      </c>
      <c r="DZ12" s="312" t="s">
        <v>888</v>
      </c>
      <c r="EA12" s="312" t="s">
        <v>889</v>
      </c>
      <c r="EB12" s="312" t="s">
        <v>890</v>
      </c>
      <c r="EC12" s="312" t="s">
        <v>891</v>
      </c>
      <c r="ED12" s="312" t="s">
        <v>1249</v>
      </c>
      <c r="EE12" s="312" t="s">
        <v>1250</v>
      </c>
      <c r="EF12" s="312" t="s">
        <v>1344</v>
      </c>
      <c r="EG12" s="312" t="s">
        <v>892</v>
      </c>
      <c r="EH12" s="312" t="s">
        <v>893</v>
      </c>
      <c r="EI12" s="312" t="s">
        <v>894</v>
      </c>
      <c r="EJ12" s="312" t="s">
        <v>895</v>
      </c>
      <c r="EK12" s="312" t="s">
        <v>896</v>
      </c>
      <c r="EL12" s="312" t="s">
        <v>897</v>
      </c>
      <c r="EM12" s="312" t="s">
        <v>898</v>
      </c>
      <c r="EN12" s="312" t="s">
        <v>899</v>
      </c>
      <c r="EO12" s="312" t="s">
        <v>900</v>
      </c>
      <c r="EP12" s="312" t="s">
        <v>901</v>
      </c>
      <c r="EQ12" s="312" t="s">
        <v>902</v>
      </c>
      <c r="ER12" s="312" t="s">
        <v>903</v>
      </c>
      <c r="ES12" s="312" t="s">
        <v>904</v>
      </c>
      <c r="ET12" s="312" t="s">
        <v>905</v>
      </c>
      <c r="EU12" s="312" t="s">
        <v>906</v>
      </c>
      <c r="EV12" s="312" t="s">
        <v>907</v>
      </c>
      <c r="EW12" s="312" t="s">
        <v>908</v>
      </c>
      <c r="EX12" s="312" t="s">
        <v>909</v>
      </c>
      <c r="EY12" s="312" t="s">
        <v>910</v>
      </c>
      <c r="EZ12" s="312" t="s">
        <v>911</v>
      </c>
      <c r="FA12" s="312" t="s">
        <v>912</v>
      </c>
      <c r="FB12" s="312" t="s">
        <v>913</v>
      </c>
      <c r="FC12" s="312" t="s">
        <v>914</v>
      </c>
      <c r="FD12" s="312" t="s">
        <v>915</v>
      </c>
      <c r="FE12" s="312" t="s">
        <v>916</v>
      </c>
      <c r="FF12" s="312" t="s">
        <v>917</v>
      </c>
      <c r="FG12" s="312" t="s">
        <v>918</v>
      </c>
      <c r="FH12" s="312" t="s">
        <v>919</v>
      </c>
      <c r="FI12" s="312" t="s">
        <v>920</v>
      </c>
      <c r="FJ12" s="312" t="s">
        <v>921</v>
      </c>
      <c r="FK12" s="312" t="s">
        <v>922</v>
      </c>
      <c r="FL12" s="312" t="s">
        <v>923</v>
      </c>
      <c r="FM12" s="312" t="s">
        <v>924</v>
      </c>
      <c r="FN12" s="312" t="s">
        <v>925</v>
      </c>
      <c r="FO12" s="312" t="s">
        <v>926</v>
      </c>
      <c r="FP12" s="312" t="s">
        <v>978</v>
      </c>
      <c r="FQ12" s="312" t="s">
        <v>979</v>
      </c>
      <c r="FR12" s="312" t="s">
        <v>980</v>
      </c>
      <c r="FS12" s="312" t="s">
        <v>927</v>
      </c>
      <c r="FT12" s="312" t="s">
        <v>928</v>
      </c>
      <c r="FU12" s="312" t="s">
        <v>1442</v>
      </c>
      <c r="FV12" s="312" t="s">
        <v>1537</v>
      </c>
      <c r="FW12" s="312" t="s">
        <v>1538</v>
      </c>
      <c r="FX12" s="312" t="s">
        <v>1539</v>
      </c>
      <c r="FY12" s="311" t="s">
        <v>1540</v>
      </c>
    </row>
    <row r="13" spans="1:181" s="62" customFormat="1" ht="15" thickBot="1">
      <c r="A13" s="156" t="str">
        <f>IF(NameOfLegalEntity = 0, "", NameOfLegalEntity)</f>
        <v/>
      </c>
      <c r="B13" s="171" t="str">
        <f>IF(SingleCare3Facility = 0, "", SingleCare3Facility)</f>
        <v/>
      </c>
      <c r="C13" s="171" t="str">
        <f>IF(ReviewLevel = 0, "", ReviewLevel)</f>
        <v/>
      </c>
      <c r="D13" s="171" t="str">
        <f>IF(ReviewType = 0, "", ReviewType)</f>
        <v/>
      </c>
      <c r="E13" s="171" t="str">
        <f>IF(CompletedByLastName = 0, "", CompletedByLastName)</f>
        <v/>
      </c>
      <c r="F13" s="171" t="str">
        <f>IF(CompletedByFirstName = 0, "", CompletedByFirstName)</f>
        <v/>
      </c>
      <c r="G13" s="104">
        <f>IF(DateOfEntrance=DATE(1900,1,0), DATE(1900,1,1), DateOfEntrance)</f>
        <v>1</v>
      </c>
      <c r="H13" s="104">
        <f>IF(DateOfExit=DATE(1900,1,0), DATE(1900,1,1), DateOfExit)</f>
        <v>1</v>
      </c>
      <c r="I13" s="104">
        <f>IF(MonitoringPeriodBeginDate=DATE(1900,1,0), DATE(1900,1,1), MonitoringPeriodBeginDate)</f>
        <v>1</v>
      </c>
      <c r="J13" s="104">
        <f>IF(MonitoringPeriodEndDate=DATE(1900,1,0), DATE(1900,1,1), MonitoringPeriodEndDate)</f>
        <v>1</v>
      </c>
      <c r="K13" s="171" t="str">
        <f>IF(CCADRCcontractNumber = 0, "", CCADRCcontractNumber)</f>
        <v/>
      </c>
      <c r="L13" s="171" t="str">
        <f>IF(CBAALcontractNumber = 0, "", CBAALcontractNumber)</f>
        <v/>
      </c>
      <c r="M13" s="270"/>
      <c r="N13" s="270"/>
      <c r="O13" s="171" t="str">
        <f>IF(CBAOHRcontractNumber = 0, "", CBAOHRcontractNumber)</f>
        <v/>
      </c>
      <c r="P13" s="270"/>
      <c r="Q13" s="270"/>
      <c r="R13" s="171" t="str">
        <f>IF(Standard_I_1 = 0, "", Standard_I_1)</f>
        <v/>
      </c>
      <c r="S13" s="201" t="str">
        <f>IF(Standard_I_2a = 0, "", Standard_I_2a)</f>
        <v/>
      </c>
      <c r="T13" s="201" t="str">
        <f>IF(Standard_I_2a_Comments = 0, "", Standard_I_2a_Comments)</f>
        <v/>
      </c>
      <c r="U13" s="201" t="str">
        <f>IF(Standard_I_2b = 0, "", Standard_I_2b)</f>
        <v/>
      </c>
      <c r="V13" s="201" t="str">
        <f>IF(Standard_I_2b_Comments = 0, "", Standard_I_2b_Comments)</f>
        <v/>
      </c>
      <c r="W13" s="171" t="str">
        <f>IF(Standard_I_3 = 0, "", Standard_I_3)</f>
        <v/>
      </c>
      <c r="X13" s="171" t="str">
        <f>IF(Standard_I_3b = 0, "", Standard_I_3b)</f>
        <v/>
      </c>
      <c r="Y13" s="171" t="str">
        <f>IF(Standard_I_4 = 0, "", Standard_I_4)</f>
        <v/>
      </c>
      <c r="Z13" s="171" t="str">
        <f>IF(Standard_I_5 = 0, "", Standard_I_5)</f>
        <v/>
      </c>
      <c r="AA13" s="171" t="str">
        <f>IF(Standard_I_6 = 0, "", Standard_I_6)</f>
        <v/>
      </c>
      <c r="AB13" s="171" t="str">
        <f>IF(Standard_I_7 = 0, "", Standard_I_7)</f>
        <v/>
      </c>
      <c r="AC13" s="171" t="str">
        <f>IF(Standard_I_8 = 0, "", Standard_I_8)</f>
        <v/>
      </c>
      <c r="AD13" s="171" t="str">
        <f>IF(Standard_I_Comments = 0, "", Standard_I_Comments)</f>
        <v/>
      </c>
      <c r="AE13" s="152">
        <f>Standard_I_Total_Yes</f>
        <v>0</v>
      </c>
      <c r="AF13" s="152">
        <f>Standard_I_Total_No</f>
        <v>0</v>
      </c>
      <c r="AG13" s="171" t="str">
        <f>IF('Monitoring Workbook'!F77 = 0, "", 'Monitoring Workbook'!F77)</f>
        <v/>
      </c>
      <c r="AH13" s="171" t="str">
        <f>IF('Monitoring Workbook'!G77 = 0, "", 'Monitoring Workbook'!G77)</f>
        <v/>
      </c>
      <c r="AI13" s="171" t="str">
        <f>IF('Monitoring Workbook'!H77 = 0, "", 'Monitoring Workbook'!H77)</f>
        <v/>
      </c>
      <c r="AJ13" s="171" t="str">
        <f>IF('Monitoring Workbook'!I77 = 0, "", 'Monitoring Workbook'!I77)</f>
        <v/>
      </c>
      <c r="AK13" s="171" t="str">
        <f>IF('Monitoring Workbook'!J77 = 0, "", 'Monitoring Workbook'!J77)</f>
        <v/>
      </c>
      <c r="AL13" s="171" t="str">
        <f>IF('Monitoring Workbook'!F79 = 0, "", 'Monitoring Workbook'!F79)</f>
        <v/>
      </c>
      <c r="AM13" s="171" t="str">
        <f>IF('Monitoring Workbook'!G79 = 0, "", 'Monitoring Workbook'!G79)</f>
        <v/>
      </c>
      <c r="AN13" s="171" t="str">
        <f>IF('Monitoring Workbook'!H79 = 0, "", 'Monitoring Workbook'!H79)</f>
        <v/>
      </c>
      <c r="AO13" s="171" t="str">
        <f>IF('Monitoring Workbook'!I79 = 0, "", 'Monitoring Workbook'!I79)</f>
        <v/>
      </c>
      <c r="AP13" s="171" t="str">
        <f>IF('Monitoring Workbook'!J79 = 0, "", 'Monitoring Workbook'!J79)</f>
        <v/>
      </c>
      <c r="AQ13" s="171" t="str">
        <f>IF('Monitoring Workbook'!F81 = 0, "", 'Monitoring Workbook'!F81)</f>
        <v/>
      </c>
      <c r="AR13" s="171" t="str">
        <f>IF('Monitoring Workbook'!G81 = 0, "", 'Monitoring Workbook'!G81)</f>
        <v/>
      </c>
      <c r="AS13" s="171" t="str">
        <f>IF('Monitoring Workbook'!H81 = 0, "", 'Monitoring Workbook'!H81)</f>
        <v/>
      </c>
      <c r="AT13" s="171" t="str">
        <f>IF('Monitoring Workbook'!I81 = 0, "", 'Monitoring Workbook'!I81)</f>
        <v/>
      </c>
      <c r="AU13" s="171" t="str">
        <f>IF('Monitoring Workbook'!J81 = 0, "", 'Monitoring Workbook'!J81)</f>
        <v/>
      </c>
      <c r="AV13" s="171" t="str">
        <f>IF('Monitoring Workbook'!F83 = 0, "", 'Monitoring Workbook'!F83)</f>
        <v/>
      </c>
      <c r="AW13" s="171" t="str">
        <f>IF('Monitoring Workbook'!G83 = 0, "", 'Monitoring Workbook'!G83)</f>
        <v/>
      </c>
      <c r="AX13" s="171" t="str">
        <f>IF('Monitoring Workbook'!H83 = 0, "", 'Monitoring Workbook'!H83)</f>
        <v/>
      </c>
      <c r="AY13" s="171" t="str">
        <f>IF('Monitoring Workbook'!I83 = 0, "", 'Monitoring Workbook'!I83)</f>
        <v/>
      </c>
      <c r="AZ13" s="171" t="str">
        <f>IF('Monitoring Workbook'!J83 = 0, "", 'Monitoring Workbook'!J83)</f>
        <v/>
      </c>
      <c r="BA13" s="171" t="str">
        <f>IF('Monitoring Workbook'!F85 = 0, "", 'Monitoring Workbook'!F85)</f>
        <v/>
      </c>
      <c r="BB13" s="171" t="str">
        <f>IF('Monitoring Workbook'!G85 = 0, "", 'Monitoring Workbook'!G85)</f>
        <v/>
      </c>
      <c r="BC13" s="171" t="str">
        <f>IF('Monitoring Workbook'!H85 = 0, "", 'Monitoring Workbook'!H85)</f>
        <v/>
      </c>
      <c r="BD13" s="171" t="str">
        <f>IF('Monitoring Workbook'!I85 = 0, "", 'Monitoring Workbook'!I85)</f>
        <v/>
      </c>
      <c r="BE13" s="171" t="str">
        <f>IF('Monitoring Workbook'!J85 = 0, "", 'Monitoring Workbook'!J85)</f>
        <v/>
      </c>
      <c r="BF13" s="171" t="str">
        <f>IF('Monitoring Workbook'!F87 = 0, "", 'Monitoring Workbook'!F87)</f>
        <v/>
      </c>
      <c r="BG13" s="171" t="str">
        <f>IF('Monitoring Workbook'!G87 = 0, "", 'Monitoring Workbook'!G87)</f>
        <v/>
      </c>
      <c r="BH13" s="171" t="str">
        <f>IF('Monitoring Workbook'!H87 = 0, "", 'Monitoring Workbook'!H87)</f>
        <v/>
      </c>
      <c r="BI13" s="171" t="str">
        <f>IF('Monitoring Workbook'!I87 = 0, "", 'Monitoring Workbook'!I87)</f>
        <v/>
      </c>
      <c r="BJ13" s="171" t="str">
        <f>IF('Monitoring Workbook'!J87 = 0, "", 'Monitoring Workbook'!J87)</f>
        <v/>
      </c>
      <c r="BK13" s="171" t="str">
        <f>IF(Standard_II_1_Comments = 0, "", Standard_II_1_Comments)</f>
        <v/>
      </c>
      <c r="BL13" s="160">
        <f>Standard_II_Total_Yes</f>
        <v>0</v>
      </c>
      <c r="BM13" s="160">
        <f>Standard_II_Total_No</f>
        <v>0</v>
      </c>
      <c r="BN13" s="171" t="str">
        <f>IF(Standard_III_1_Comments = 0, "", Standard_III_1_Comments)</f>
        <v/>
      </c>
      <c r="BO13" s="152">
        <f ca="1">Standard_III_I_Number_Yes</f>
        <v>0</v>
      </c>
      <c r="BP13" s="152">
        <f ca="1">Standard_III_I_Number_No</f>
        <v>0</v>
      </c>
      <c r="BQ13" s="171" t="str">
        <f>IF(Standard_III_2_Comments = 0, "", Standard_III_2_Comments)</f>
        <v/>
      </c>
      <c r="BR13" s="152">
        <f ca="1">Standard_III_2_Number_Yes</f>
        <v>0</v>
      </c>
      <c r="BS13" s="152">
        <f ca="1">Standard_III_2_Number_No</f>
        <v>0</v>
      </c>
      <c r="BT13" s="152">
        <f ca="1">Standard_III_Total_Yes</f>
        <v>0</v>
      </c>
      <c r="BU13" s="152">
        <f ca="1">Standard_III_Total_No</f>
        <v>0</v>
      </c>
      <c r="BV13" s="171" t="str">
        <f>IF(Standard_IV_1_Comments = 0, "", Standard_IV_1_Comments)</f>
        <v/>
      </c>
      <c r="BW13" s="152">
        <f ca="1">Standard_IV_1_Number_Yes</f>
        <v>0</v>
      </c>
      <c r="BX13" s="152">
        <f ca="1">Standard_IV_1_Number_No</f>
        <v>0</v>
      </c>
      <c r="BY13" s="171" t="str">
        <f>IF(Standard_IV_2_Comments = 0, "", Standard_IV_2_Comments)</f>
        <v/>
      </c>
      <c r="BZ13" s="152">
        <f ca="1">Standard_IV_2_Number_Yes</f>
        <v>0</v>
      </c>
      <c r="CA13" s="152">
        <f ca="1">Standard_IV_2_Number_No</f>
        <v>0</v>
      </c>
      <c r="CB13" s="171" t="s">
        <v>1632</v>
      </c>
      <c r="CC13" s="152">
        <f ca="1">Standard_IV_3_Number_Yes</f>
        <v>0</v>
      </c>
      <c r="CD13" s="152">
        <f ca="1">Standard_IV_3_Number_No</f>
        <v>0</v>
      </c>
      <c r="CE13" s="201" t="str">
        <f>IF(Standard_IV_4_Comments = 0, "", Standard_IV_4_Comments)</f>
        <v/>
      </c>
      <c r="CF13" s="152">
        <f ca="1">Standard_IV_4_Number_Yes</f>
        <v>0</v>
      </c>
      <c r="CG13" s="152">
        <f ca="1">Standard_IV_4_Number_No</f>
        <v>0</v>
      </c>
      <c r="CH13" s="152">
        <f ca="1">Standard_IV_Total_Yes</f>
        <v>0</v>
      </c>
      <c r="CI13" s="152">
        <f ca="1">Standard_IV_Total_No</f>
        <v>0</v>
      </c>
      <c r="CJ13" s="171" t="str">
        <f>IF(Standard_V_I_Comments = 0, "", Standard_V_I_Comments)</f>
        <v/>
      </c>
      <c r="CK13" s="152">
        <f ca="1">Standard_V_Total_Yes</f>
        <v>0</v>
      </c>
      <c r="CL13" s="152">
        <f ca="1">Standard_V_Total_No</f>
        <v>0</v>
      </c>
      <c r="CM13" s="161" t="str">
        <f>IF(Standard_VI_1_Comments = 0, "", Standard_VI_1_Comments)</f>
        <v/>
      </c>
      <c r="CN13" s="171" t="str">
        <f>IF(Std6dot1NotCalc = 0, "", Std6dot1NotCalc)</f>
        <v/>
      </c>
      <c r="CO13" s="104">
        <f>IF(Std_VI_1_CashOnHandDate=DATE(1900,1,0), DATE(1900,1,1), Std_VI_1_CashOnHandDate)</f>
        <v>1</v>
      </c>
      <c r="CP13" s="162">
        <f>Std_VI_1_Pennies</f>
        <v>0</v>
      </c>
      <c r="CQ13" s="162">
        <f>Std_VI_1_Nickels</f>
        <v>0</v>
      </c>
      <c r="CR13" s="162">
        <f>Std_VI_1_Dimes</f>
        <v>0</v>
      </c>
      <c r="CS13" s="162">
        <f>Std_VI_1_Quarters</f>
        <v>0</v>
      </c>
      <c r="CT13" s="162">
        <f>Std_VI_1_HalfDollars</f>
        <v>0</v>
      </c>
      <c r="CU13" s="162">
        <f>Std_VI_1_Dollars</f>
        <v>0</v>
      </c>
      <c r="CV13" s="162">
        <f>Std_VI_1_Ones</f>
        <v>0</v>
      </c>
      <c r="CW13" s="162">
        <f>Std_VI_1_Fives</f>
        <v>0</v>
      </c>
      <c r="CX13" s="162">
        <f>Std_VI_1_Tens</f>
        <v>0</v>
      </c>
      <c r="CY13" s="162">
        <f>Std_VI_1_Twenties</f>
        <v>0</v>
      </c>
      <c r="CZ13" s="162">
        <f>Std_VI_1_Fifties</f>
        <v>0</v>
      </c>
      <c r="DA13" s="162">
        <f>Std_VI_1_OtherCurrency</f>
        <v>0</v>
      </c>
      <c r="DB13" s="162">
        <f>Std_VI_1_BalPettyCashLog</f>
        <v>0</v>
      </c>
      <c r="DC13" s="162">
        <f>Std_VI_1_Adjustments</f>
        <v>0</v>
      </c>
      <c r="DD13" s="162">
        <f>IF(Std_VI_1_AdjustedBal = "", MINVALDBL, Std_VI_1_AdjustedBal)</f>
        <v>-99999.99</v>
      </c>
      <c r="DE13" s="162">
        <f>IF(Std_VI_1_PettyCashOnHand = "", MINVALDBL, Std_VI_1_PettyCashOnHand)</f>
        <v>0</v>
      </c>
      <c r="DF13" s="162">
        <f>IF(Std_VI_1_PettyCashOverShort = "", MINVALDBL, Std_VI_1_PettyCashOverShort)</f>
        <v>-99999.99</v>
      </c>
      <c r="DG13" s="171" t="str">
        <f>IF(Std_VI_I_1m = 0, "", Std_VI_I_1m)</f>
        <v/>
      </c>
      <c r="DH13" s="171" t="str">
        <f>IF(Standard_VI_1 = 0, "", Standard_VI_1)</f>
        <v/>
      </c>
      <c r="DI13" s="171" t="str">
        <f>IF(Standard_VII_1_Comments = 0, "", Standard_VII_1_Comments)</f>
        <v/>
      </c>
      <c r="DJ13" s="152">
        <f ca="1">Standard_VII_Total_Yes</f>
        <v>0</v>
      </c>
      <c r="DK13" s="152">
        <f ca="1">Standard_VII_Total_No</f>
        <v>0</v>
      </c>
      <c r="DL13" s="171" t="str">
        <f>IF(Standard_VIII_1a_NotCalc = 0, "", Standard_VIII_1a_NotCalc)</f>
        <v/>
      </c>
      <c r="DM13" s="171" t="str">
        <f>IF(Standard_VIII_1b_NotCalc = 0, "", Standard_VIII_1b_NotCalc)</f>
        <v/>
      </c>
      <c r="DN13" s="171" t="str">
        <f>IF(Standard_VIII_1_Comments = 0, "", Standard_VIII_1_Comments)</f>
        <v/>
      </c>
      <c r="DO13" s="162">
        <f>Std_VIII_TotalOutstandingChecks</f>
        <v>0</v>
      </c>
      <c r="DP13" s="162">
        <f>Std_VIII_TotalDepositsInTransit</f>
        <v>0</v>
      </c>
      <c r="DQ13" s="162">
        <f>Std_VIII_TrustFundTrialBalance</f>
        <v>0</v>
      </c>
      <c r="DR13" s="104">
        <f>IF(Std_VIII_BankStmtDate=DATE(1900,1,0), DATE(1900,1,1), Std_VIII_BankStmtDate)</f>
        <v>1</v>
      </c>
      <c r="DS13" s="162">
        <f>Std_VIII_BankStmtBalance</f>
        <v>0</v>
      </c>
      <c r="DT13" s="162">
        <f>IF(Std_VIII_AdjBalPerBank = "", 0, Std_VIII_AdjBalPerBank)</f>
        <v>0</v>
      </c>
      <c r="DU13" s="104">
        <f>IF(Std_VIII_TotPtyCashOnHandDate=DATE(1900,1,0), DATE(1900,1,1), Std_VIII_TotPtyCashOnHandDate)</f>
        <v>1</v>
      </c>
      <c r="DV13" s="162">
        <f>Std_VIII_TotPtyCashOnHand</f>
        <v>0</v>
      </c>
      <c r="DW13" s="104">
        <f>IF(Std_VIII_BalPerBooksDate=DATE(1900,1,0), DATE(1900,1,1), Std_VIII_BalPerBooksDate)</f>
        <v>1</v>
      </c>
      <c r="DX13" s="162">
        <f>Std_VIII_BalPerBooks</f>
        <v>0</v>
      </c>
      <c r="DY13" s="162">
        <f>Std_VIII_UnApplEarnedInt</f>
        <v>0</v>
      </c>
      <c r="DZ13" s="162">
        <f>Std_VIII_RecptsForDsbmnts</f>
        <v>0</v>
      </c>
      <c r="EA13" s="162">
        <f>Std_VIII_NSFchecks</f>
        <v>0</v>
      </c>
      <c r="EB13" s="162">
        <f>Std_VIII_AdjBalPerBooks</f>
        <v>0</v>
      </c>
      <c r="EC13" s="162">
        <f>IF(Std_VIII_AcctOverShort = "", 0, Std_VIII_AcctOverShort)</f>
        <v>0</v>
      </c>
      <c r="ED13" s="171" t="str">
        <f>IF(Std_VIII_1m = 0, "", Std_VIII_1m)</f>
        <v/>
      </c>
      <c r="EE13" s="171" t="str">
        <f>IF(Std_VIII_1n = 0, "", Std_VIII_1n)</f>
        <v/>
      </c>
      <c r="EF13" s="171" t="str">
        <f>IF(Standard_VIII = 0, "", Standard_VIII)</f>
        <v/>
      </c>
      <c r="EG13" s="171" t="str">
        <f>IF(Standard_IX_1_Comments = 0, "", Standard_IX_1_Comments)</f>
        <v/>
      </c>
      <c r="EH13" s="152">
        <f ca="1">Standard_IX_Total_Yes</f>
        <v>0</v>
      </c>
      <c r="EI13" s="152">
        <f ca="1">Standard_IX_Total_No</f>
        <v>0</v>
      </c>
      <c r="EJ13" s="171" t="str">
        <f>IF(Standard_X_1_Comments = 0, "", Standard_X_1_Comments)</f>
        <v/>
      </c>
      <c r="EK13" s="152">
        <f ca="1">Standard_X_1_Number_Yes</f>
        <v>0</v>
      </c>
      <c r="EL13" s="152">
        <f ca="1">Standard_X_1_Number_No</f>
        <v>0</v>
      </c>
      <c r="EM13" s="171" t="str">
        <f>IF(Standard_X_2_Comments = 0, "", Standard_X_2_Comments)</f>
        <v/>
      </c>
      <c r="EN13" s="152">
        <f ca="1">Standard_X_2_Number_Yes</f>
        <v>0</v>
      </c>
      <c r="EO13" s="152">
        <f ca="1">Standard_X_2_Number_No</f>
        <v>0</v>
      </c>
      <c r="EP13" s="171" t="str">
        <f>IF(Standard_X_3_Comments = 0, "", Standard_X_3_Comments)</f>
        <v/>
      </c>
      <c r="EQ13" s="152">
        <f ca="1">Standard_X_3_Number_Yes</f>
        <v>0</v>
      </c>
      <c r="ER13" s="152">
        <f ca="1">Standard_X_3_Number_No</f>
        <v>0</v>
      </c>
      <c r="ES13" s="171" t="str">
        <f>IF(Standard_X_4_Comments = 0, "", Standard_X_4_Comments)</f>
        <v/>
      </c>
      <c r="ET13" s="152">
        <f ca="1">Standard_X_4_Number_Yes</f>
        <v>0</v>
      </c>
      <c r="EU13" s="152">
        <f ca="1">Standard_X_4_Number_No</f>
        <v>0</v>
      </c>
      <c r="EV13" s="171" t="str">
        <f>IF(Standard_X_5_Comments = 0, "", Standard_X_5_Comments)</f>
        <v/>
      </c>
      <c r="EW13" s="152">
        <f ca="1">Standard_X_5_Number_Yes</f>
        <v>0</v>
      </c>
      <c r="EX13" s="152">
        <f ca="1">Standard_X_5_Number_No</f>
        <v>0</v>
      </c>
      <c r="EY13" s="171" t="str">
        <f>IF(Standard_X_6_Comments = 0, "", Standard_X_6_Comments)</f>
        <v/>
      </c>
      <c r="EZ13" s="152">
        <f ca="1">Standard_X_6_Number_Yes</f>
        <v>0</v>
      </c>
      <c r="FA13" s="152">
        <f ca="1">Standard_X_6_Number_No</f>
        <v>0</v>
      </c>
      <c r="FB13" s="152">
        <f ca="1">Standard_X_Total_Yes</f>
        <v>0</v>
      </c>
      <c r="FC13" s="152">
        <f ca="1">Standard_X_Total_No</f>
        <v>0</v>
      </c>
      <c r="FD13" s="171" t="str">
        <f>IF(Standard_XI_1_Comments = 0, "", Standard_XI_1_Comments)</f>
        <v/>
      </c>
      <c r="FE13" s="152">
        <f ca="1">Standard_XI_1_Number_Yes</f>
        <v>0</v>
      </c>
      <c r="FF13" s="152">
        <f ca="1">Standard_XI_1_Number_No</f>
        <v>0</v>
      </c>
      <c r="FG13" s="171" t="str">
        <f>IF(Standard_XI_2_Comments = 0, "", Standard_XI_2_Comments)</f>
        <v/>
      </c>
      <c r="FH13" s="152">
        <f ca="1">Standard_XI_2_Number_Yes</f>
        <v>0</v>
      </c>
      <c r="FI13" s="152">
        <f ca="1">Standard_XI_2_Number_No</f>
        <v>0</v>
      </c>
      <c r="FJ13" s="171" t="str">
        <f>IF(Standard_XI_3_Comments = 0, "", Standard_XI_3_Comments)</f>
        <v/>
      </c>
      <c r="FK13" s="152">
        <f ca="1">Standard_XI_3_Number_Yes</f>
        <v>0</v>
      </c>
      <c r="FL13" s="152">
        <f ca="1">Standard_XI_3_Number_No</f>
        <v>0</v>
      </c>
      <c r="FM13" s="171" t="str">
        <f>IF(Standard_XI_4_Comments = 0, "", Standard_XI_4_Comments)</f>
        <v/>
      </c>
      <c r="FN13" s="152">
        <f ca="1">Standard_XI_4_Number_Yes</f>
        <v>0</v>
      </c>
      <c r="FO13" s="152">
        <f ca="1">Standard_XI_4_Number_No</f>
        <v>0</v>
      </c>
      <c r="FP13" s="171" t="str">
        <f>IF(Standard_XI_5_Comments = 0, "", Standard_XI_5_Comments)</f>
        <v/>
      </c>
      <c r="FQ13" s="152">
        <f ca="1">Standard_XI_5_Number_Yes</f>
        <v>0</v>
      </c>
      <c r="FR13" s="152">
        <f ca="1">Standard_XI_5_Number_No</f>
        <v>0</v>
      </c>
      <c r="FS13" s="152">
        <f ca="1">Standard_XI_Total_Yes</f>
        <v>0</v>
      </c>
      <c r="FT13" s="152">
        <f ca="1">Standard_XI_Total_No</f>
        <v>0</v>
      </c>
      <c r="FU13" s="104">
        <f>DateOfRevisedExit</f>
        <v>0</v>
      </c>
      <c r="FV13" s="161" t="str">
        <f>IF(Standard_I_9=0,"",Standard_I_9)</f>
        <v/>
      </c>
      <c r="FW13" s="152">
        <f>Standard_II_2_Number_Yes</f>
        <v>0</v>
      </c>
      <c r="FX13" s="152">
        <f>Standard_II_2_Number_No</f>
        <v>0</v>
      </c>
      <c r="FY13" s="446" t="str">
        <f>IF(Standard_II_2_Comments="","",Standard_II_2_Comments)</f>
        <v/>
      </c>
    </row>
    <row r="14" spans="1:181" s="62" customFormat="1">
      <c r="CK14" s="163"/>
    </row>
    <row r="15" spans="1:181" s="62" customFormat="1" ht="29.5" thickBot="1">
      <c r="A15" s="62" t="s">
        <v>1305</v>
      </c>
      <c r="D15" s="62" t="s">
        <v>1269</v>
      </c>
      <c r="F15" s="62" t="s">
        <v>1306</v>
      </c>
    </row>
    <row r="16" spans="1:181" s="62" customFormat="1">
      <c r="A16" s="153" t="s">
        <v>929</v>
      </c>
      <c r="B16" s="312" t="s">
        <v>1301</v>
      </c>
      <c r="C16" s="311" t="s">
        <v>187</v>
      </c>
      <c r="D16" s="153" t="s">
        <v>1015</v>
      </c>
      <c r="E16" s="311" t="s">
        <v>187</v>
      </c>
      <c r="F16" s="153" t="s">
        <v>192</v>
      </c>
      <c r="G16" s="311" t="s">
        <v>187</v>
      </c>
    </row>
    <row r="17" spans="1:7" s="62" customFormat="1">
      <c r="A17" s="184">
        <f ca="1">OFFSET('Monitoring Workbook'!MonWkBkChecksAndDeposits, 0, 0, 1, 1)</f>
        <v>0</v>
      </c>
      <c r="B17" s="165">
        <f ca="1">IF(OFFSET('Monitoring Workbook'!MonWkBkChecksAndDeposits, 0, 1, 1, 1)=DATE(1900,1,0), DATE(1900,1,1), OFFSET('Monitoring Workbook'!MonWkBkChecksAndDeposits, 0, 1, 1, 1))</f>
        <v>1</v>
      </c>
      <c r="C17" s="164">
        <f ca="1">OFFSET('Monitoring Workbook'!MonWkBkChecksAndDeposits, 0, 3, 1, 1)</f>
        <v>0</v>
      </c>
      <c r="D17" s="166">
        <f ca="1">IF(OFFSET('Monitoring Workbook'!MonWkBkDpstsInTrans, 0, 0, 1, 1)=DATE(1900,1,0), DATE(1900,1,1), OFFSET('Monitoring Workbook'!MonWkBkDpstsInTrans, 0, 0, 1, 1))</f>
        <v>1</v>
      </c>
      <c r="E17" s="164">
        <f ca="1">OFFSET('Monitoring Workbook'!MonWkBkDpstsInTrans, 0, 2, 1, 1)</f>
        <v>0</v>
      </c>
      <c r="F17" s="206" t="str">
        <f ca="1">IF(OFFSET('Monitoring Workbook'!TrstFndTrialBals, 0, 0, 1, 1) = 0, "", OFFSET('Monitoring Workbook'!TrstFndTrialBals, 0, 0, 1, 1))</f>
        <v/>
      </c>
      <c r="G17" s="164">
        <f ca="1">OFFSET('Monitoring Workbook'!TrstFndTrialBals, 0, 1, 1, 1)</f>
        <v>0</v>
      </c>
    </row>
    <row r="18" spans="1:7" s="62" customFormat="1">
      <c r="A18" s="184">
        <f ca="1">OFFSET('Monitoring Workbook'!MonWkBkChecksAndDeposits, 1, 0, 1, 1)</f>
        <v>0</v>
      </c>
      <c r="B18" s="165">
        <f ca="1">IF(OFFSET('Monitoring Workbook'!MonWkBkChecksAndDeposits, 1, 1, 1, 1)=DATE(1900,1,0), DATE(1900,1,1), OFFSET('Monitoring Workbook'!MonWkBkChecksAndDeposits, 1, 1, 1, 1))</f>
        <v>1</v>
      </c>
      <c r="C18" s="164">
        <f ca="1">OFFSET('Monitoring Workbook'!MonWkBkChecksAndDeposits, 1, 3, 1, 1)</f>
        <v>0</v>
      </c>
      <c r="D18" s="166">
        <f ca="1">IF(OFFSET('Monitoring Workbook'!MonWkBkDpstsInTrans, 1, 0, 1, 1)=DATE(1900,1,0), DATE(1900,1,1), OFFSET('Monitoring Workbook'!MonWkBkDpstsInTrans, 1, 0, 1, 1))</f>
        <v>1</v>
      </c>
      <c r="E18" s="164">
        <f ca="1">OFFSET('Monitoring Workbook'!MonWkBkDpstsInTrans, 1, 2, 1, 1)</f>
        <v>0</v>
      </c>
      <c r="F18" s="206" t="str">
        <f ca="1">IF(OFFSET('Monitoring Workbook'!TrstFndTrialBals, 1, 0, 1, 1) = 0, "", OFFSET('Monitoring Workbook'!TrstFndTrialBals, 1, 0, 1, 1))</f>
        <v/>
      </c>
      <c r="G18" s="164">
        <f ca="1">OFFSET('Monitoring Workbook'!TrstFndTrialBals, 1, 1, 1, 1)</f>
        <v>0</v>
      </c>
    </row>
    <row r="19" spans="1:7" s="62" customFormat="1">
      <c r="A19" s="184">
        <f ca="1">OFFSET('Monitoring Workbook'!MonWkBkChecksAndDeposits, 2, 0, 1, 1)</f>
        <v>0</v>
      </c>
      <c r="B19" s="165">
        <f ca="1">IF(OFFSET('Monitoring Workbook'!MonWkBkChecksAndDeposits, 2, 1, 1, 1)=DATE(1900,1,0), DATE(1900,1,1), OFFSET('Monitoring Workbook'!MonWkBkChecksAndDeposits, 2, 1, 1, 1))</f>
        <v>1</v>
      </c>
      <c r="C19" s="164">
        <f ca="1">OFFSET('Monitoring Workbook'!MonWkBkChecksAndDeposits, 2, 3, 1, 1)</f>
        <v>0</v>
      </c>
      <c r="D19" s="166">
        <f ca="1">IF(OFFSET('Monitoring Workbook'!MonWkBkDpstsInTrans, 2, 0, 1, 1)=DATE(1900,1,0), DATE(1900,1,1), OFFSET('Monitoring Workbook'!MonWkBkDpstsInTrans, 2, 0, 1, 1))</f>
        <v>1</v>
      </c>
      <c r="E19" s="164">
        <f ca="1">OFFSET('Monitoring Workbook'!MonWkBkDpstsInTrans, 2, 2, 1, 1)</f>
        <v>0</v>
      </c>
      <c r="F19" s="206" t="str">
        <f ca="1">IF(OFFSET('Monitoring Workbook'!TrstFndTrialBals, 2, 0, 1, 1) = 0, "", OFFSET('Monitoring Workbook'!TrstFndTrialBals, 2, 0, 1, 1))</f>
        <v/>
      </c>
      <c r="G19" s="164">
        <f ca="1">OFFSET('Monitoring Workbook'!TrstFndTrialBals, 2, 1, 1, 1)</f>
        <v>0</v>
      </c>
    </row>
    <row r="20" spans="1:7" s="62" customFormat="1">
      <c r="A20" s="184">
        <f ca="1">OFFSET('Monitoring Workbook'!MonWkBkChecksAndDeposits, 3, 0, 1, 1)</f>
        <v>0</v>
      </c>
      <c r="B20" s="165">
        <f ca="1">IF(OFFSET('Monitoring Workbook'!MonWkBkChecksAndDeposits, 3, 1, 1, 1)=DATE(1900,1,0), DATE(1900,1,1), OFFSET('Monitoring Workbook'!MonWkBkChecksAndDeposits, 3, 1, 1, 1))</f>
        <v>1</v>
      </c>
      <c r="C20" s="164">
        <f ca="1">OFFSET('Monitoring Workbook'!MonWkBkChecksAndDeposits, 3, 3, 1, 1)</f>
        <v>0</v>
      </c>
      <c r="D20" s="166">
        <f ca="1">IF(OFFSET('Monitoring Workbook'!MonWkBkDpstsInTrans, 3, 0, 1, 1)=DATE(1900,1,0), DATE(1900,1,1), OFFSET('Monitoring Workbook'!MonWkBkDpstsInTrans, 3, 0, 1, 1))</f>
        <v>1</v>
      </c>
      <c r="E20" s="164">
        <f ca="1">OFFSET('Monitoring Workbook'!MonWkBkDpstsInTrans, 3, 2, 1, 1)</f>
        <v>0</v>
      </c>
      <c r="F20" s="206" t="str">
        <f ca="1">IF(OFFSET('Monitoring Workbook'!TrstFndTrialBals, 3, 0, 1, 1) = 0, "", OFFSET('Monitoring Workbook'!TrstFndTrialBals, 3, 0, 1, 1))</f>
        <v/>
      </c>
      <c r="G20" s="164">
        <f ca="1">OFFSET('Monitoring Workbook'!TrstFndTrialBals, 3, 1, 1, 1)</f>
        <v>0</v>
      </c>
    </row>
    <row r="21" spans="1:7" s="62" customFormat="1">
      <c r="A21" s="184">
        <f ca="1">OFFSET('Monitoring Workbook'!MonWkBkChecksAndDeposits, 4, 0, 1, 1)</f>
        <v>0</v>
      </c>
      <c r="B21" s="165">
        <f ca="1">IF(OFFSET('Monitoring Workbook'!MonWkBkChecksAndDeposits, 4, 1, 1, 1)=DATE(1900,1,0), DATE(1900,1,1), OFFSET('Monitoring Workbook'!MonWkBkChecksAndDeposits, 4, 1, 1, 1))</f>
        <v>1</v>
      </c>
      <c r="C21" s="164">
        <f ca="1">OFFSET('Monitoring Workbook'!MonWkBkChecksAndDeposits, 4, 3, 1, 1)</f>
        <v>0</v>
      </c>
      <c r="D21" s="166">
        <f ca="1">IF(OFFSET('Monitoring Workbook'!MonWkBkDpstsInTrans, 4, 0, 1, 1)=DATE(1900,1,0), DATE(1900,1,1), OFFSET('Monitoring Workbook'!MonWkBkDpstsInTrans, 4, 0, 1, 1))</f>
        <v>1</v>
      </c>
      <c r="E21" s="164">
        <f ca="1">OFFSET('Monitoring Workbook'!MonWkBkDpstsInTrans, 4, 2, 1, 1)</f>
        <v>0</v>
      </c>
      <c r="F21" s="206" t="str">
        <f ca="1">IF(OFFSET('Monitoring Workbook'!TrstFndTrialBals, 4, 0, 1, 1) = 0, "", OFFSET('Monitoring Workbook'!TrstFndTrialBals, 4, 0, 1, 1))</f>
        <v/>
      </c>
      <c r="G21" s="164">
        <f ca="1">OFFSET('Monitoring Workbook'!TrstFndTrialBals, 4, 1, 1, 1)</f>
        <v>0</v>
      </c>
    </row>
    <row r="22" spans="1:7" s="62" customFormat="1">
      <c r="A22" s="184">
        <f ca="1">OFFSET('Monitoring Workbook'!MonWkBkChecksAndDeposits, 5, 0, 1, 1)</f>
        <v>0</v>
      </c>
      <c r="B22" s="165">
        <f ca="1">IF(OFFSET('Monitoring Workbook'!MonWkBkChecksAndDeposits, 5, 1, 1, 1)=DATE(1900,1,0), DATE(1900,1,1), OFFSET('Monitoring Workbook'!MonWkBkChecksAndDeposits, 5, 1, 1, 1))</f>
        <v>1</v>
      </c>
      <c r="C22" s="164">
        <f ca="1">OFFSET('Monitoring Workbook'!MonWkBkChecksAndDeposits, 5, 3, 1, 1)</f>
        <v>0</v>
      </c>
      <c r="D22" s="166">
        <f ca="1">IF(OFFSET('Monitoring Workbook'!MonWkBkDpstsInTrans, 5, 0, 1, 1)=DATE(1900,1,0), DATE(1900,1,1), OFFSET('Monitoring Workbook'!MonWkBkDpstsInTrans, 5, 0, 1, 1))</f>
        <v>1</v>
      </c>
      <c r="E22" s="164">
        <f ca="1">OFFSET('Monitoring Workbook'!MonWkBkDpstsInTrans, 5, 2, 1, 1)</f>
        <v>0</v>
      </c>
      <c r="F22" s="206" t="str">
        <f ca="1">IF(OFFSET('Monitoring Workbook'!TrstFndTrialBals, 5, 0, 1, 1) = 0, "", OFFSET('Monitoring Workbook'!TrstFndTrialBals, 5, 0, 1, 1))</f>
        <v/>
      </c>
      <c r="G22" s="164">
        <f ca="1">OFFSET('Monitoring Workbook'!TrstFndTrialBals, 5, 1, 1, 1)</f>
        <v>0</v>
      </c>
    </row>
    <row r="23" spans="1:7" s="62" customFormat="1">
      <c r="A23" s="184">
        <f ca="1">OFFSET('Monitoring Workbook'!MonWkBkChecksAndDeposits, 6, 0, 1, 1)</f>
        <v>0</v>
      </c>
      <c r="B23" s="165">
        <f ca="1">IF(OFFSET('Monitoring Workbook'!MonWkBkChecksAndDeposits, 6, 1, 1, 1)=DATE(1900,1,0), DATE(1900,1,1), OFFSET('Monitoring Workbook'!MonWkBkChecksAndDeposits, 6, 1, 1, 1))</f>
        <v>1</v>
      </c>
      <c r="C23" s="164">
        <f ca="1">OFFSET('Monitoring Workbook'!MonWkBkChecksAndDeposits, 6, 3, 1, 1)</f>
        <v>0</v>
      </c>
      <c r="D23" s="166">
        <f ca="1">IF(OFFSET('Monitoring Workbook'!MonWkBkDpstsInTrans, 6, 0, 1, 1)=DATE(1900,1,0), DATE(1900,1,1), OFFSET('Monitoring Workbook'!MonWkBkDpstsInTrans, 6, 0, 1, 1))</f>
        <v>1</v>
      </c>
      <c r="E23" s="164">
        <f ca="1">OFFSET('Monitoring Workbook'!MonWkBkDpstsInTrans, 6, 2, 1, 1)</f>
        <v>0</v>
      </c>
      <c r="F23" s="206" t="str">
        <f ca="1">IF(OFFSET('Monitoring Workbook'!TrstFndTrialBals, 6, 0, 1, 1) = 0, "", OFFSET('Monitoring Workbook'!TrstFndTrialBals, 6, 0, 1, 1))</f>
        <v/>
      </c>
      <c r="G23" s="164">
        <f ca="1">OFFSET('Monitoring Workbook'!TrstFndTrialBals, 6, 1, 1, 1)</f>
        <v>0</v>
      </c>
    </row>
    <row r="24" spans="1:7" s="62" customFormat="1">
      <c r="A24" s="184">
        <f ca="1">OFFSET('Monitoring Workbook'!MonWkBkChecksAndDeposits, 7, 0, 1, 1)</f>
        <v>0</v>
      </c>
      <c r="B24" s="165">
        <f ca="1">IF(OFFSET('Monitoring Workbook'!MonWkBkChecksAndDeposits, 7, 1, 1, 1)=DATE(1900,1,0), DATE(1900,1,1), OFFSET('Monitoring Workbook'!MonWkBkChecksAndDeposits, 7, 1, 1, 1))</f>
        <v>1</v>
      </c>
      <c r="C24" s="164">
        <f ca="1">OFFSET('Monitoring Workbook'!MonWkBkChecksAndDeposits, 7, 3, 1, 1)</f>
        <v>0</v>
      </c>
      <c r="D24" s="166">
        <f ca="1">IF(OFFSET('Monitoring Workbook'!MonWkBkDpstsInTrans, 7, 0, 1, 1)=DATE(1900,1,0), DATE(1900,1,1), OFFSET('Monitoring Workbook'!MonWkBkDpstsInTrans, 7, 0, 1, 1))</f>
        <v>1</v>
      </c>
      <c r="E24" s="164">
        <f ca="1">OFFSET('Monitoring Workbook'!MonWkBkDpstsInTrans, 7, 2, 1, 1)</f>
        <v>0</v>
      </c>
      <c r="F24" s="206" t="str">
        <f ca="1">IF(OFFSET('Monitoring Workbook'!TrstFndTrialBals, 7, 0, 1, 1) = 0, "", OFFSET('Monitoring Workbook'!TrstFndTrialBals, 7, 0, 1, 1))</f>
        <v/>
      </c>
      <c r="G24" s="164">
        <f ca="1">OFFSET('Monitoring Workbook'!TrstFndTrialBals, 7, 1, 1, 1)</f>
        <v>0</v>
      </c>
    </row>
    <row r="25" spans="1:7" s="62" customFormat="1">
      <c r="A25" s="184">
        <f ca="1">OFFSET('Monitoring Workbook'!MonWkBkChecksAndDeposits, 8, 0, 1, 1)</f>
        <v>0</v>
      </c>
      <c r="B25" s="165">
        <f ca="1">IF(OFFSET('Monitoring Workbook'!MonWkBkChecksAndDeposits, 8, 1, 1, 1)=DATE(1900,1,0), DATE(1900,1,1), OFFSET('Monitoring Workbook'!MonWkBkChecksAndDeposits, 8, 1, 1, 1))</f>
        <v>1</v>
      </c>
      <c r="C25" s="164">
        <f ca="1">OFFSET('Monitoring Workbook'!MonWkBkChecksAndDeposits, 8, 3, 1, 1)</f>
        <v>0</v>
      </c>
      <c r="D25" s="166">
        <f ca="1">IF(OFFSET('Monitoring Workbook'!MonWkBkDpstsInTrans, 8, 0, 1, 1)=DATE(1900,1,0), DATE(1900,1,1), OFFSET('Monitoring Workbook'!MonWkBkDpstsInTrans, 8, 0, 1, 1))</f>
        <v>1</v>
      </c>
      <c r="E25" s="164">
        <f ca="1">OFFSET('Monitoring Workbook'!MonWkBkDpstsInTrans, 8, 2, 1, 1)</f>
        <v>0</v>
      </c>
      <c r="F25" s="206" t="str">
        <f ca="1">IF(OFFSET('Monitoring Workbook'!TrstFndTrialBals, 8, 0, 1, 1) = 0, "", OFFSET('Monitoring Workbook'!TrstFndTrialBals, 8, 0, 1, 1))</f>
        <v/>
      </c>
      <c r="G25" s="164">
        <f ca="1">OFFSET('Monitoring Workbook'!TrstFndTrialBals, 8, 1, 1, 1)</f>
        <v>0</v>
      </c>
    </row>
    <row r="26" spans="1:7" s="62" customFormat="1">
      <c r="A26" s="184">
        <f ca="1">OFFSET('Monitoring Workbook'!MonWkBkChecksAndDeposits, 9, 0, 1, 1)</f>
        <v>0</v>
      </c>
      <c r="B26" s="165">
        <f ca="1">IF(OFFSET('Monitoring Workbook'!MonWkBkChecksAndDeposits, 9, 1, 1, 1)=DATE(1900,1,0), DATE(1900,1,1), OFFSET('Monitoring Workbook'!MonWkBkChecksAndDeposits, 9, 1, 1, 1))</f>
        <v>1</v>
      </c>
      <c r="C26" s="164">
        <f ca="1">OFFSET('Monitoring Workbook'!MonWkBkChecksAndDeposits, 9, 3, 1, 1)</f>
        <v>0</v>
      </c>
      <c r="D26" s="166">
        <f ca="1">IF(OFFSET('Monitoring Workbook'!MonWkBkDpstsInTrans, 9, 0, 1, 1)=DATE(1900,1,0), DATE(1900,1,1), OFFSET('Monitoring Workbook'!MonWkBkDpstsInTrans, 9, 0, 1, 1))</f>
        <v>1</v>
      </c>
      <c r="E26" s="164">
        <f ca="1">OFFSET('Monitoring Workbook'!MonWkBkDpstsInTrans, 9, 2, 1, 1)</f>
        <v>0</v>
      </c>
      <c r="F26" s="206" t="str">
        <f ca="1">IF(OFFSET('Monitoring Workbook'!TrstFndTrialBals, 9, 0, 1, 1) = 0, "", OFFSET('Monitoring Workbook'!TrstFndTrialBals, 9, 0, 1, 1))</f>
        <v/>
      </c>
      <c r="G26" s="164">
        <f ca="1">OFFSET('Monitoring Workbook'!TrstFndTrialBals, 9, 1, 1, 1)</f>
        <v>0</v>
      </c>
    </row>
    <row r="27" spans="1:7" s="62" customFormat="1">
      <c r="A27" s="184">
        <f ca="1">OFFSET('Monitoring Workbook'!MonWkBkChecksAndDeposits, 10, 0, 1, 1)</f>
        <v>0</v>
      </c>
      <c r="B27" s="165">
        <f ca="1">IF(OFFSET('Monitoring Workbook'!MonWkBkChecksAndDeposits, 10, 1, 1, 1)=DATE(1900,1,0), DATE(1900,1,1), OFFSET('Monitoring Workbook'!MonWkBkChecksAndDeposits, 10, 1, 1, 1))</f>
        <v>1</v>
      </c>
      <c r="C27" s="164">
        <f ca="1">OFFSET('Monitoring Workbook'!MonWkBkChecksAndDeposits, 10, 3, 1, 1)</f>
        <v>0</v>
      </c>
      <c r="D27" s="166">
        <f ca="1">IF(OFFSET('Monitoring Workbook'!MonWkBkDpstsInTrans, 10, 0, 1, 1)=DATE(1900,1,0), DATE(1900,1,1), OFFSET('Monitoring Workbook'!MonWkBkDpstsInTrans, 10, 0, 1, 1))</f>
        <v>1</v>
      </c>
      <c r="E27" s="164">
        <f ca="1">OFFSET('Monitoring Workbook'!MonWkBkDpstsInTrans, 10, 2, 1, 1)</f>
        <v>0</v>
      </c>
      <c r="F27" s="206" t="str">
        <f ca="1">IF(OFFSET('Monitoring Workbook'!TrstFndTrialBals, 10, 0, 1, 1) = 0, "", OFFSET('Monitoring Workbook'!TrstFndTrialBals, 10, 0, 1, 1))</f>
        <v/>
      </c>
      <c r="G27" s="164">
        <f ca="1">OFFSET('Monitoring Workbook'!TrstFndTrialBals, 10, 1, 1, 1)</f>
        <v>0</v>
      </c>
    </row>
    <row r="28" spans="1:7" s="62" customFormat="1">
      <c r="A28" s="184">
        <f ca="1">OFFSET('Monitoring Workbook'!MonWkBkChecksAndDeposits, 11, 0, 1, 1)</f>
        <v>0</v>
      </c>
      <c r="B28" s="165">
        <f ca="1">IF(OFFSET('Monitoring Workbook'!MonWkBkChecksAndDeposits, 11, 1, 1, 1)=DATE(1900,1,0), DATE(1900,1,1), OFFSET('Monitoring Workbook'!MonWkBkChecksAndDeposits, 11, 1, 1, 1))</f>
        <v>1</v>
      </c>
      <c r="C28" s="164">
        <f ca="1">OFFSET('Monitoring Workbook'!MonWkBkChecksAndDeposits, 11, 3, 1, 1)</f>
        <v>0</v>
      </c>
      <c r="D28" s="166">
        <f ca="1">IF(OFFSET('Monitoring Workbook'!MonWkBkDpstsInTrans, 11, 0, 1, 1)=DATE(1900,1,0), DATE(1900,1,1), OFFSET('Monitoring Workbook'!MonWkBkDpstsInTrans, 11, 0, 1, 1))</f>
        <v>1</v>
      </c>
      <c r="E28" s="164">
        <f ca="1">OFFSET('Monitoring Workbook'!MonWkBkDpstsInTrans, 11, 2, 1, 1)</f>
        <v>0</v>
      </c>
      <c r="F28" s="206" t="str">
        <f ca="1">IF(OFFSET('Monitoring Workbook'!TrstFndTrialBals, 11, 0, 1, 1) = 0, "", OFFSET('Monitoring Workbook'!TrstFndTrialBals, 11, 0, 1, 1))</f>
        <v/>
      </c>
      <c r="G28" s="164">
        <f ca="1">OFFSET('Monitoring Workbook'!TrstFndTrialBals, 11, 1, 1, 1)</f>
        <v>0</v>
      </c>
    </row>
    <row r="29" spans="1:7" s="62" customFormat="1">
      <c r="A29" s="184">
        <f ca="1">OFFSET('Monitoring Workbook'!MonWkBkChecksAndDeposits, 12, 0, 1, 1)</f>
        <v>0</v>
      </c>
      <c r="B29" s="165">
        <f ca="1">IF(OFFSET('Monitoring Workbook'!MonWkBkChecksAndDeposits, 12, 1, 1, 1)=DATE(1900,1,0), DATE(1900,1,1), OFFSET('Monitoring Workbook'!MonWkBkChecksAndDeposits, 12, 1, 1, 1))</f>
        <v>1</v>
      </c>
      <c r="C29" s="164">
        <f ca="1">OFFSET('Monitoring Workbook'!MonWkBkChecksAndDeposits, 12, 3, 1, 1)</f>
        <v>0</v>
      </c>
      <c r="D29" s="166">
        <f ca="1">IF(OFFSET('Monitoring Workbook'!MonWkBkDpstsInTrans, 12, 0, 1, 1)=DATE(1900,1,0), DATE(1900,1,1), OFFSET('Monitoring Workbook'!MonWkBkDpstsInTrans, 12, 0, 1, 1))</f>
        <v>1</v>
      </c>
      <c r="E29" s="164">
        <f ca="1">OFFSET('Monitoring Workbook'!MonWkBkDpstsInTrans, 12, 2, 1, 1)</f>
        <v>0</v>
      </c>
      <c r="F29" s="206" t="str">
        <f ca="1">IF(OFFSET('Monitoring Workbook'!TrstFndTrialBals, 12, 0, 1, 1) = 0, "", OFFSET('Monitoring Workbook'!TrstFndTrialBals, 12, 0, 1, 1))</f>
        <v/>
      </c>
      <c r="G29" s="164">
        <f ca="1">OFFSET('Monitoring Workbook'!TrstFndTrialBals, 12, 1, 1, 1)</f>
        <v>0</v>
      </c>
    </row>
    <row r="30" spans="1:7" s="62" customFormat="1">
      <c r="A30" s="176">
        <f ca="1">OFFSET('Monitoring Workbook'!MonWkBkChecksAndDeposits, 13, 0, 1, 1)</f>
        <v>0</v>
      </c>
      <c r="B30" s="165">
        <f ca="1">IF(OFFSET('Monitoring Workbook'!MonWkBkChecksAndDeposits, 13, 1, 1, 1)=DATE(1900,1,0), DATE(1900,1,1), OFFSET('Monitoring Workbook'!MonWkBkChecksAndDeposits, 13, 1, 1, 1))</f>
        <v>1</v>
      </c>
      <c r="C30" s="164">
        <f ca="1">OFFSET('Monitoring Workbook'!MonWkBkChecksAndDeposits, 13, 3, 1, 1)</f>
        <v>0</v>
      </c>
      <c r="D30" s="166">
        <f ca="1">IF(OFFSET('Monitoring Workbook'!MonWkBkDpstsInTrans, 13, 0, 1, 1)=DATE(1900,1,0), DATE(1900,1,1), OFFSET('Monitoring Workbook'!MonWkBkDpstsInTrans, 13, 0, 1, 1))</f>
        <v>1</v>
      </c>
      <c r="E30" s="164">
        <f ca="1">OFFSET('Monitoring Workbook'!MonWkBkDpstsInTrans, 13, 2, 1, 1)</f>
        <v>0</v>
      </c>
      <c r="F30" s="206" t="str">
        <f ca="1">IF(OFFSET('Monitoring Workbook'!TrstFndTrialBals, 13, 0, 1, 1) = 0, "", OFFSET('Monitoring Workbook'!TrstFndTrialBals, 13, 0, 1, 1))</f>
        <v/>
      </c>
      <c r="G30" s="164">
        <f ca="1">OFFSET('Monitoring Workbook'!TrstFndTrialBals, 13, 1, 1, 1)</f>
        <v>0</v>
      </c>
    </row>
    <row r="31" spans="1:7" s="62" customFormat="1">
      <c r="A31" s="184">
        <f ca="1">OFFSET('Monitoring Workbook'!MonWkBkChecksAndDeposits, 14, 0, 1, 1)</f>
        <v>0</v>
      </c>
      <c r="B31" s="165">
        <f ca="1">IF(OFFSET('Monitoring Workbook'!MonWkBkChecksAndDeposits, 14, 1, 1, 1)=DATE(1900,1,0), DATE(1900,1,1), OFFSET('Monitoring Workbook'!MonWkBkChecksAndDeposits, 14, 1, 1, 1))</f>
        <v>1</v>
      </c>
      <c r="C31" s="164">
        <f ca="1">OFFSET('Monitoring Workbook'!MonWkBkChecksAndDeposits, 14, 3, 1, 1)</f>
        <v>0</v>
      </c>
      <c r="D31" s="166">
        <f ca="1">IF(OFFSET('Monitoring Workbook'!MonWkBkDpstsInTrans, 14, 0, 1, 1)=DATE(1900,1,0), DATE(1900,1,1), OFFSET('Monitoring Workbook'!MonWkBkDpstsInTrans, 14, 0, 1, 1))</f>
        <v>1</v>
      </c>
      <c r="E31" s="164">
        <f ca="1">OFFSET('Monitoring Workbook'!MonWkBkDpstsInTrans, 14, 2, 1, 1)</f>
        <v>0</v>
      </c>
      <c r="F31" s="206" t="str">
        <f ca="1">IF(OFFSET('Monitoring Workbook'!TrstFndTrialBals, 14, 0, 1, 1) = 0, "", OFFSET('Monitoring Workbook'!TrstFndTrialBals, 14, 0, 1, 1))</f>
        <v/>
      </c>
      <c r="G31" s="164">
        <f ca="1">OFFSET('Monitoring Workbook'!TrstFndTrialBals, 14, 1, 1, 1)</f>
        <v>0</v>
      </c>
    </row>
    <row r="32" spans="1:7" s="62" customFormat="1">
      <c r="A32" s="184">
        <f ca="1">OFFSET('Monitoring Workbook'!MonWkBkChecksAndDeposits, 15, 0, 1, 1)</f>
        <v>0</v>
      </c>
      <c r="B32" s="165">
        <f ca="1">IF(OFFSET('Monitoring Workbook'!MonWkBkChecksAndDeposits, 15, 1, 1, 1)=DATE(1900,1,0), DATE(1900,1,1), OFFSET('Monitoring Workbook'!MonWkBkChecksAndDeposits, 15, 1, 1, 1))</f>
        <v>1</v>
      </c>
      <c r="C32" s="164">
        <f ca="1">OFFSET('Monitoring Workbook'!MonWkBkChecksAndDeposits, 15, 3, 1, 1)</f>
        <v>0</v>
      </c>
      <c r="D32" s="166">
        <f ca="1">IF(OFFSET('Monitoring Workbook'!MonWkBkDpstsInTrans, 15, 0, 1, 1)=DATE(1900,1,0), DATE(1900,1,1), OFFSET('Monitoring Workbook'!MonWkBkDpstsInTrans, 15, 0, 1, 1))</f>
        <v>1</v>
      </c>
      <c r="E32" s="164">
        <f ca="1">OFFSET('Monitoring Workbook'!MonWkBkDpstsInTrans, 15, 2, 1, 1)</f>
        <v>0</v>
      </c>
      <c r="F32" s="206" t="str">
        <f ca="1">IF(OFFSET('Monitoring Workbook'!TrstFndTrialBals, 15, 0, 1, 1) = 0, "", OFFSET('Monitoring Workbook'!TrstFndTrialBals, 15, 0, 1, 1))</f>
        <v/>
      </c>
      <c r="G32" s="164">
        <f ca="1">OFFSET('Monitoring Workbook'!TrstFndTrialBals, 15, 1, 1, 1)</f>
        <v>0</v>
      </c>
    </row>
    <row r="33" spans="1:7" s="62" customFormat="1">
      <c r="A33" s="184">
        <f ca="1">OFFSET('Monitoring Workbook'!MonWkBkChecksAndDeposits, 16, 0, 1, 1)</f>
        <v>0</v>
      </c>
      <c r="B33" s="165">
        <f ca="1">IF(OFFSET('Monitoring Workbook'!MonWkBkChecksAndDeposits, 16, 1, 1, 1)=DATE(1900,1,0), DATE(1900,1,1), OFFSET('Monitoring Workbook'!MonWkBkChecksAndDeposits, 16, 1, 1, 1))</f>
        <v>1</v>
      </c>
      <c r="C33" s="164">
        <f ca="1">OFFSET('Monitoring Workbook'!MonWkBkChecksAndDeposits, 16, 3, 1, 1)</f>
        <v>0</v>
      </c>
      <c r="D33" s="166">
        <f ca="1">IF(OFFSET('Monitoring Workbook'!MonWkBkDpstsInTrans, 16, 0, 1, 1)=DATE(1900,1,0), DATE(1900,1,1), OFFSET('Monitoring Workbook'!MonWkBkDpstsInTrans, 16, 0, 1, 1))</f>
        <v>1</v>
      </c>
      <c r="E33" s="164">
        <f ca="1">OFFSET('Monitoring Workbook'!MonWkBkDpstsInTrans, 16, 2, 1, 1)</f>
        <v>0</v>
      </c>
      <c r="F33" s="206" t="str">
        <f ca="1">IF(OFFSET('Monitoring Workbook'!TrstFndTrialBals, 16, 0, 1, 1) = 0, "", OFFSET('Monitoring Workbook'!TrstFndTrialBals, 16, 0, 1, 1))</f>
        <v/>
      </c>
      <c r="G33" s="164">
        <f ca="1">OFFSET('Monitoring Workbook'!TrstFndTrialBals, 16, 1, 1, 1)</f>
        <v>0</v>
      </c>
    </row>
    <row r="34" spans="1:7" s="62" customFormat="1">
      <c r="A34" s="176">
        <f ca="1">OFFSET('Monitoring Workbook'!MonWkBkChecksAndDeposits, 17, 0, 1, 1)</f>
        <v>0</v>
      </c>
      <c r="B34" s="165">
        <f ca="1">IF(OFFSET('Monitoring Workbook'!MonWkBkChecksAndDeposits, 17, 1, 1, 1)=DATE(1900,1,0), DATE(1900,1,1), OFFSET('Monitoring Workbook'!MonWkBkChecksAndDeposits, 17, 1, 1, 1))</f>
        <v>1</v>
      </c>
      <c r="C34" s="164">
        <f ca="1">OFFSET('Monitoring Workbook'!MonWkBkChecksAndDeposits, 17, 3, 1, 1)</f>
        <v>0</v>
      </c>
      <c r="D34" s="166">
        <f ca="1">IF(OFFSET('Monitoring Workbook'!MonWkBkDpstsInTrans, 17, 0, 1, 1)=DATE(1900,1,0), DATE(1900,1,1), OFFSET('Monitoring Workbook'!MonWkBkDpstsInTrans, 17, 0, 1, 1))</f>
        <v>1</v>
      </c>
      <c r="E34" s="164">
        <f ca="1">OFFSET('Monitoring Workbook'!MonWkBkDpstsInTrans, 17, 2, 1, 1)</f>
        <v>0</v>
      </c>
      <c r="F34" s="206" t="str">
        <f ca="1">IF(OFFSET('Monitoring Workbook'!TrstFndTrialBals, 17, 0, 1, 1) = 0, "", OFFSET('Monitoring Workbook'!TrstFndTrialBals, 17, 0, 1, 1))</f>
        <v/>
      </c>
      <c r="G34" s="164">
        <f ca="1">OFFSET('Monitoring Workbook'!TrstFndTrialBals, 17, 1, 1, 1)</f>
        <v>0</v>
      </c>
    </row>
    <row r="35" spans="1:7" s="62" customFormat="1">
      <c r="A35" s="184">
        <f ca="1">OFFSET('Monitoring Workbook'!MonWkBkChecksAndDeposits, 18, 0, 1, 1)</f>
        <v>0</v>
      </c>
      <c r="B35" s="165">
        <f ca="1">IF(OFFSET('Monitoring Workbook'!MonWkBkChecksAndDeposits, 18, 1, 1, 1)=DATE(1900,1,0), DATE(1900,1,1), OFFSET('Monitoring Workbook'!MonWkBkChecksAndDeposits, 18, 1, 1, 1))</f>
        <v>1</v>
      </c>
      <c r="C35" s="164">
        <f ca="1">OFFSET('Monitoring Workbook'!MonWkBkChecksAndDeposits, 18, 3, 1, 1)</f>
        <v>0</v>
      </c>
      <c r="D35" s="166">
        <f ca="1">IF(OFFSET('Monitoring Workbook'!MonWkBkDpstsInTrans, 18, 0, 1, 1)=DATE(1900,1,0), DATE(1900,1,1), OFFSET('Monitoring Workbook'!MonWkBkDpstsInTrans, 18, 0, 1, 1))</f>
        <v>1</v>
      </c>
      <c r="E35" s="164">
        <f ca="1">OFFSET('Monitoring Workbook'!MonWkBkDpstsInTrans, 18, 2, 1, 1)</f>
        <v>0</v>
      </c>
      <c r="F35" s="206" t="str">
        <f ca="1">IF(OFFSET('Monitoring Workbook'!TrstFndTrialBals, 18, 0, 1, 1) = 0, "", OFFSET('Monitoring Workbook'!TrstFndTrialBals, 18, 0, 1, 1))</f>
        <v/>
      </c>
      <c r="G35" s="164">
        <f ca="1">OFFSET('Monitoring Workbook'!TrstFndTrialBals, 18, 1, 1, 1)</f>
        <v>0</v>
      </c>
    </row>
    <row r="36" spans="1:7" s="62" customFormat="1">
      <c r="A36" s="184">
        <f ca="1">OFFSET('Monitoring Workbook'!MonWkBkChecksAndDeposits, 19, 0, 1, 1)</f>
        <v>0</v>
      </c>
      <c r="B36" s="165">
        <f ca="1">IF(OFFSET('Monitoring Workbook'!MonWkBkChecksAndDeposits, 19, 1, 1, 1)=DATE(1900,1,0), DATE(1900,1,1), OFFSET('Monitoring Workbook'!MonWkBkChecksAndDeposits, 19, 1, 1, 1))</f>
        <v>1</v>
      </c>
      <c r="C36" s="164">
        <f ca="1">OFFSET('Monitoring Workbook'!MonWkBkChecksAndDeposits, 19, 3, 1, 1)</f>
        <v>0</v>
      </c>
      <c r="D36" s="166">
        <f ca="1">IF(OFFSET('Monitoring Workbook'!MonWkBkDpstsInTrans, 19, 0, 1, 1)=DATE(1900,1,0), DATE(1900,1,1), OFFSET('Monitoring Workbook'!MonWkBkDpstsInTrans, 19, 0, 1, 1))</f>
        <v>1</v>
      </c>
      <c r="E36" s="164">
        <f ca="1">OFFSET('Monitoring Workbook'!MonWkBkDpstsInTrans, 19, 2, 1, 1)</f>
        <v>0</v>
      </c>
      <c r="F36" s="206" t="str">
        <f ca="1">IF(OFFSET('Monitoring Workbook'!TrstFndTrialBals, 19, 0, 1, 1) = 0, "", OFFSET('Monitoring Workbook'!TrstFndTrialBals, 19, 0, 1, 1))</f>
        <v/>
      </c>
      <c r="G36" s="164">
        <f ca="1">OFFSET('Monitoring Workbook'!TrstFndTrialBals, 19, 1, 1, 1)</f>
        <v>0</v>
      </c>
    </row>
    <row r="37" spans="1:7" s="62" customFormat="1">
      <c r="A37" s="184">
        <f ca="1">OFFSET('Monitoring Workbook'!MonWkBkChecksAndDeposits, 20, 0, 1, 1)</f>
        <v>0</v>
      </c>
      <c r="B37" s="165">
        <f ca="1">IF(OFFSET('Monitoring Workbook'!MonWkBkChecksAndDeposits, 20, 1, 1, 1)=DATE(1900,1,0), DATE(1900,1,1), OFFSET('Monitoring Workbook'!MonWkBkChecksAndDeposits, 20, 1, 1, 1))</f>
        <v>1</v>
      </c>
      <c r="C37" s="164">
        <f ca="1">OFFSET('Monitoring Workbook'!MonWkBkChecksAndDeposits, 20, 3, 1, 1)</f>
        <v>0</v>
      </c>
      <c r="D37" s="166">
        <f ca="1">IF(OFFSET('Monitoring Workbook'!MonWkBkDpstsInTrans, 20, 0, 1, 1)=DATE(1900,1,0), DATE(1900,1,1), OFFSET('Monitoring Workbook'!MonWkBkDpstsInTrans, 20, 0, 1, 1))</f>
        <v>1</v>
      </c>
      <c r="E37" s="164">
        <f ca="1">OFFSET('Monitoring Workbook'!MonWkBkDpstsInTrans, 20, 2, 1, 1)</f>
        <v>0</v>
      </c>
      <c r="F37" s="206" t="str">
        <f ca="1">IF(OFFSET('Monitoring Workbook'!TrstFndTrialBals, 20, 0, 1, 1) = 0, "", OFFSET('Monitoring Workbook'!TrstFndTrialBals, 20, 0, 1, 1))</f>
        <v/>
      </c>
      <c r="G37" s="164">
        <f ca="1">OFFSET('Monitoring Workbook'!TrstFndTrialBals, 20, 1, 1, 1)</f>
        <v>0</v>
      </c>
    </row>
    <row r="38" spans="1:7" s="62" customFormat="1">
      <c r="A38" s="184">
        <f ca="1">OFFSET('Monitoring Workbook'!MonWkBkChecksAndDeposits, 21, 0, 1, 1)</f>
        <v>0</v>
      </c>
      <c r="B38" s="165">
        <f ca="1">IF(OFFSET('Monitoring Workbook'!MonWkBkChecksAndDeposits, 21, 1, 1, 1)=DATE(1900,1,0), DATE(1900,1,1), OFFSET('Monitoring Workbook'!MonWkBkChecksAndDeposits, 21, 1, 1, 1))</f>
        <v>1</v>
      </c>
      <c r="C38" s="164">
        <f ca="1">OFFSET('Monitoring Workbook'!MonWkBkChecksAndDeposits, 21, 3, 1, 1)</f>
        <v>0</v>
      </c>
      <c r="D38" s="166">
        <f ca="1">IF(OFFSET('Monitoring Workbook'!MonWkBkDpstsInTrans, 21, 0, 1, 1)=DATE(1900,1,0), DATE(1900,1,1), OFFSET('Monitoring Workbook'!MonWkBkDpstsInTrans, 21, 0, 1, 1))</f>
        <v>1</v>
      </c>
      <c r="E38" s="164">
        <f ca="1">OFFSET('Monitoring Workbook'!MonWkBkDpstsInTrans, 21, 2, 1, 1)</f>
        <v>0</v>
      </c>
      <c r="F38" s="206" t="str">
        <f ca="1">IF(OFFSET('Monitoring Workbook'!TrstFndTrialBals, 21, 0, 1, 1) = 0, "", OFFSET('Monitoring Workbook'!TrstFndTrialBals, 21, 0, 1, 1))</f>
        <v/>
      </c>
      <c r="G38" s="164">
        <f ca="1">OFFSET('Monitoring Workbook'!TrstFndTrialBals, 21, 1, 1, 1)</f>
        <v>0</v>
      </c>
    </row>
    <row r="39" spans="1:7" s="62" customFormat="1">
      <c r="A39" s="184">
        <f ca="1">OFFSET('Monitoring Workbook'!MonWkBkChecksAndDeposits, 22, 0, 1, 1)</f>
        <v>0</v>
      </c>
      <c r="B39" s="165">
        <f ca="1">IF(OFFSET('Monitoring Workbook'!MonWkBkChecksAndDeposits, 22, 1, 1, 1)=DATE(1900,1,0), DATE(1900,1,1), OFFSET('Monitoring Workbook'!MonWkBkChecksAndDeposits, 22, 1, 1, 1))</f>
        <v>1</v>
      </c>
      <c r="C39" s="164">
        <f ca="1">OFFSET('Monitoring Workbook'!MonWkBkChecksAndDeposits, 22, 3, 1, 1)</f>
        <v>0</v>
      </c>
      <c r="D39" s="166">
        <f ca="1">IF(OFFSET('Monitoring Workbook'!MonWkBkDpstsInTrans, 22, 0, 1, 1)=DATE(1900,1,0), DATE(1900,1,1), OFFSET('Monitoring Workbook'!MonWkBkDpstsInTrans, 22, 0, 1, 1))</f>
        <v>1</v>
      </c>
      <c r="E39" s="164">
        <f ca="1">OFFSET('Monitoring Workbook'!MonWkBkDpstsInTrans, 22, 2, 1, 1)</f>
        <v>0</v>
      </c>
      <c r="F39" s="206" t="str">
        <f ca="1">IF(OFFSET('Monitoring Workbook'!TrstFndTrialBals, 22, 0, 1, 1) = 0, "", OFFSET('Monitoring Workbook'!TrstFndTrialBals, 22, 0, 1, 1))</f>
        <v/>
      </c>
      <c r="G39" s="164">
        <f ca="1">OFFSET('Monitoring Workbook'!TrstFndTrialBals, 22, 1, 1, 1)</f>
        <v>0</v>
      </c>
    </row>
    <row r="40" spans="1:7" s="62" customFormat="1">
      <c r="A40" s="184">
        <f ca="1">OFFSET('Monitoring Workbook'!MonWkBkChecksAndDeposits, 23, 0, 1, 1)</f>
        <v>0</v>
      </c>
      <c r="B40" s="165">
        <f ca="1">IF(OFFSET('Monitoring Workbook'!MonWkBkChecksAndDeposits, 23, 1, 1, 1)=DATE(1900,1,0), DATE(1900,1,1), OFFSET('Monitoring Workbook'!MonWkBkChecksAndDeposits, 23, 1, 1, 1))</f>
        <v>1</v>
      </c>
      <c r="C40" s="164">
        <f ca="1">OFFSET('Monitoring Workbook'!MonWkBkChecksAndDeposits, 23, 3, 1, 1)</f>
        <v>0</v>
      </c>
      <c r="D40" s="166">
        <f ca="1">IF(OFFSET('Monitoring Workbook'!MonWkBkDpstsInTrans, 23, 0, 1, 1)=DATE(1900,1,0), DATE(1900,1,1), OFFSET('Monitoring Workbook'!MonWkBkDpstsInTrans, 23, 0, 1, 1))</f>
        <v>1</v>
      </c>
      <c r="E40" s="164">
        <f ca="1">OFFSET('Monitoring Workbook'!MonWkBkDpstsInTrans, 23, 2, 1, 1)</f>
        <v>0</v>
      </c>
      <c r="F40" s="206" t="str">
        <f ca="1">IF(OFFSET('Monitoring Workbook'!TrstFndTrialBals, 23, 0, 1, 1) = 0, "", OFFSET('Monitoring Workbook'!TrstFndTrialBals, 23, 0, 1, 1))</f>
        <v/>
      </c>
      <c r="G40" s="164">
        <f ca="1">OFFSET('Monitoring Workbook'!TrstFndTrialBals, 23, 1, 1, 1)</f>
        <v>0</v>
      </c>
    </row>
    <row r="41" spans="1:7" s="62" customFormat="1">
      <c r="A41" s="184">
        <f ca="1">OFFSET('Monitoring Workbook'!MonWkBkChecksAndDeposits, 24, 0, 1, 1)</f>
        <v>0</v>
      </c>
      <c r="B41" s="165">
        <f ca="1">IF(OFFSET('Monitoring Workbook'!MonWkBkChecksAndDeposits, 24, 1, 1, 1)=DATE(1900,1,0), DATE(1900,1,1), OFFSET('Monitoring Workbook'!MonWkBkChecksAndDeposits, 24, 1, 1, 1))</f>
        <v>1</v>
      </c>
      <c r="C41" s="164">
        <f ca="1">OFFSET('Monitoring Workbook'!MonWkBkChecksAndDeposits, 24, 3, 1, 1)</f>
        <v>0</v>
      </c>
      <c r="D41" s="166">
        <f ca="1">IF(OFFSET('Monitoring Workbook'!MonWkBkDpstsInTrans, 24, 0, 1, 1)=DATE(1900,1,0), DATE(1900,1,1), OFFSET('Monitoring Workbook'!MonWkBkDpstsInTrans, 24, 0, 1, 1))</f>
        <v>1</v>
      </c>
      <c r="E41" s="164">
        <f ca="1">OFFSET('Monitoring Workbook'!MonWkBkDpstsInTrans, 24, 2, 1, 1)</f>
        <v>0</v>
      </c>
      <c r="F41" s="206" t="str">
        <f ca="1">IF(OFFSET('Monitoring Workbook'!TrstFndTrialBals, 24, 0, 1, 1) = 0, "", OFFSET('Monitoring Workbook'!TrstFndTrialBals, 24, 0, 1, 1))</f>
        <v/>
      </c>
      <c r="G41" s="164">
        <f ca="1">OFFSET('Monitoring Workbook'!TrstFndTrialBals, 24, 1, 1, 1)</f>
        <v>0</v>
      </c>
    </row>
    <row r="42" spans="1:7" s="62" customFormat="1">
      <c r="A42" s="184">
        <f ca="1">OFFSET('Monitoring Workbook'!MonWkBkChecksAndDeposits, 25, 0, 1, 1)</f>
        <v>0</v>
      </c>
      <c r="B42" s="165">
        <f ca="1">IF(OFFSET('Monitoring Workbook'!MonWkBkChecksAndDeposits, 25, 1, 1, 1)=DATE(1900,1,0), DATE(1900,1,1), OFFSET('Monitoring Workbook'!MonWkBkChecksAndDeposits, 25, 1, 1, 1))</f>
        <v>1</v>
      </c>
      <c r="C42" s="164">
        <f ca="1">OFFSET('Monitoring Workbook'!MonWkBkChecksAndDeposits, 25, 3, 1, 1)</f>
        <v>0</v>
      </c>
      <c r="D42" s="166">
        <f ca="1">IF(OFFSET('Monitoring Workbook'!MonWkBkDpstsInTrans, 25, 0, 1, 1)=DATE(1900,1,0), DATE(1900,1,1), OFFSET('Monitoring Workbook'!MonWkBkDpstsInTrans, 25, 0, 1, 1))</f>
        <v>1</v>
      </c>
      <c r="E42" s="164">
        <f ca="1">OFFSET('Monitoring Workbook'!MonWkBkDpstsInTrans, 25, 2, 1, 1)</f>
        <v>0</v>
      </c>
      <c r="F42" s="206" t="str">
        <f ca="1">IF(OFFSET('Monitoring Workbook'!TrstFndTrialBals, 25, 0, 1, 1) = 0, "", OFFSET('Monitoring Workbook'!TrstFndTrialBals, 25, 0, 1, 1))</f>
        <v/>
      </c>
      <c r="G42" s="164">
        <f ca="1">OFFSET('Monitoring Workbook'!TrstFndTrialBals, 25, 1, 1, 1)</f>
        <v>0</v>
      </c>
    </row>
    <row r="43" spans="1:7" s="62" customFormat="1">
      <c r="A43" s="184">
        <f ca="1">OFFSET('Monitoring Workbook'!MonWkBkChecksAndDeposits, 26, 0, 1, 1)</f>
        <v>0</v>
      </c>
      <c r="B43" s="165">
        <f ca="1">IF(OFFSET('Monitoring Workbook'!MonWkBkChecksAndDeposits, 26, 1, 1, 1)=DATE(1900,1,0), DATE(1900,1,1), OFFSET('Monitoring Workbook'!MonWkBkChecksAndDeposits, 26, 1, 1, 1))</f>
        <v>1</v>
      </c>
      <c r="C43" s="164">
        <f ca="1">OFFSET('Monitoring Workbook'!MonWkBkChecksAndDeposits, 26, 3, 1, 1)</f>
        <v>0</v>
      </c>
      <c r="D43" s="166">
        <f ca="1">IF(OFFSET('Monitoring Workbook'!MonWkBkDpstsInTrans, 26, 0, 1, 1)=DATE(1900,1,0), DATE(1900,1,1), OFFSET('Monitoring Workbook'!MonWkBkDpstsInTrans, 26, 0, 1, 1))</f>
        <v>1</v>
      </c>
      <c r="E43" s="164">
        <f ca="1">OFFSET('Monitoring Workbook'!MonWkBkDpstsInTrans, 26, 2, 1, 1)</f>
        <v>0</v>
      </c>
      <c r="F43" s="206" t="str">
        <f ca="1">IF(OFFSET('Monitoring Workbook'!TrstFndTrialBals, 26, 0, 1, 1) = 0, "", OFFSET('Monitoring Workbook'!TrstFndTrialBals, 26, 0, 1, 1))</f>
        <v/>
      </c>
      <c r="G43" s="164">
        <f ca="1">OFFSET('Monitoring Workbook'!TrstFndTrialBals, 26, 1, 1, 1)</f>
        <v>0</v>
      </c>
    </row>
    <row r="44" spans="1:7" s="62" customFormat="1">
      <c r="A44" s="184">
        <f ca="1">OFFSET('Monitoring Workbook'!MonWkBkChecksAndDeposits, 27, 0, 1, 1)</f>
        <v>0</v>
      </c>
      <c r="B44" s="165">
        <f ca="1">IF(OFFSET('Monitoring Workbook'!MonWkBkChecksAndDeposits, 27, 1, 1, 1)=DATE(1900,1,0), DATE(1900,1,1), OFFSET('Monitoring Workbook'!MonWkBkChecksAndDeposits, 27, 1, 1, 1))</f>
        <v>1</v>
      </c>
      <c r="C44" s="164">
        <f ca="1">OFFSET('Monitoring Workbook'!MonWkBkChecksAndDeposits, 27, 3, 1, 1)</f>
        <v>0</v>
      </c>
      <c r="D44" s="166">
        <f ca="1">IF(OFFSET('Monitoring Workbook'!MonWkBkDpstsInTrans, 27, 0, 1, 1)=DATE(1900,1,0), DATE(1900,1,1), OFFSET('Monitoring Workbook'!MonWkBkDpstsInTrans, 27, 0, 1, 1))</f>
        <v>1</v>
      </c>
      <c r="E44" s="164">
        <f ca="1">OFFSET('Monitoring Workbook'!MonWkBkDpstsInTrans, 27, 2, 1, 1)</f>
        <v>0</v>
      </c>
      <c r="F44" s="206" t="str">
        <f ca="1">IF(OFFSET('Monitoring Workbook'!TrstFndTrialBals, 27, 0, 1, 1) = 0, "", OFFSET('Monitoring Workbook'!TrstFndTrialBals, 27, 0, 1, 1))</f>
        <v/>
      </c>
      <c r="G44" s="164">
        <f ca="1">OFFSET('Monitoring Workbook'!TrstFndTrialBals, 27, 1, 1, 1)</f>
        <v>0</v>
      </c>
    </row>
    <row r="45" spans="1:7" s="62" customFormat="1">
      <c r="A45" s="184">
        <f ca="1">OFFSET('Monitoring Workbook'!MonWkBkChecksAndDeposits, 28, 0, 1, 1)</f>
        <v>0</v>
      </c>
      <c r="B45" s="165">
        <f ca="1">IF(OFFSET('Monitoring Workbook'!MonWkBkChecksAndDeposits, 28, 1, 1, 1)=DATE(1900,1,0), DATE(1900,1,1), OFFSET('Monitoring Workbook'!MonWkBkChecksAndDeposits, 28, 1, 1, 1))</f>
        <v>1</v>
      </c>
      <c r="C45" s="164">
        <f ca="1">OFFSET('Monitoring Workbook'!MonWkBkChecksAndDeposits, 28, 3, 1, 1)</f>
        <v>0</v>
      </c>
      <c r="D45" s="166">
        <f ca="1">IF(OFFSET('Monitoring Workbook'!MonWkBkDpstsInTrans, 28, 0, 1, 1)=DATE(1900,1,0), DATE(1900,1,1), OFFSET('Monitoring Workbook'!MonWkBkDpstsInTrans, 28, 0, 1, 1))</f>
        <v>1</v>
      </c>
      <c r="E45" s="164">
        <f ca="1">OFFSET('Monitoring Workbook'!MonWkBkDpstsInTrans, 28, 2, 1, 1)</f>
        <v>0</v>
      </c>
      <c r="F45" s="206" t="str">
        <f ca="1">IF(OFFSET('Monitoring Workbook'!TrstFndTrialBals, 28, 0, 1, 1) = 0, "", OFFSET('Monitoring Workbook'!TrstFndTrialBals, 28, 0, 1, 1))</f>
        <v/>
      </c>
      <c r="G45" s="164">
        <f ca="1">OFFSET('Monitoring Workbook'!TrstFndTrialBals, 28, 1, 1, 1)</f>
        <v>0</v>
      </c>
    </row>
    <row r="46" spans="1:7" s="62" customFormat="1">
      <c r="A46" s="184">
        <f ca="1">OFFSET('Monitoring Workbook'!MonWkBkChecksAndDeposits, 29, 0, 1, 1)</f>
        <v>0</v>
      </c>
      <c r="B46" s="165">
        <f ca="1">IF(OFFSET('Monitoring Workbook'!MonWkBkChecksAndDeposits, 29, 1, 1, 1)=DATE(1900,1,0), DATE(1900,1,1), OFFSET('Monitoring Workbook'!MonWkBkChecksAndDeposits, 29, 1, 1, 1))</f>
        <v>1</v>
      </c>
      <c r="C46" s="164">
        <f ca="1">OFFSET('Monitoring Workbook'!MonWkBkChecksAndDeposits, 29, 3, 1, 1)</f>
        <v>0</v>
      </c>
      <c r="D46" s="166">
        <f ca="1">IF(OFFSET('Monitoring Workbook'!MonWkBkDpstsInTrans, 29, 0, 1, 1)=DATE(1900,1,0), DATE(1900,1,1), OFFSET('Monitoring Workbook'!MonWkBkDpstsInTrans, 29, 0, 1, 1))</f>
        <v>1</v>
      </c>
      <c r="E46" s="164">
        <f ca="1">OFFSET('Monitoring Workbook'!MonWkBkDpstsInTrans, 29, 2, 1, 1)</f>
        <v>0</v>
      </c>
      <c r="F46" s="206" t="str">
        <f ca="1">IF(OFFSET('Monitoring Workbook'!TrstFndTrialBals, 29, 0, 1, 1) = 0, "", OFFSET('Monitoring Workbook'!TrstFndTrialBals, 29, 0, 1, 1))</f>
        <v/>
      </c>
      <c r="G46" s="164">
        <f ca="1">OFFSET('Monitoring Workbook'!TrstFndTrialBals, 29, 1, 1, 1)</f>
        <v>0</v>
      </c>
    </row>
    <row r="47" spans="1:7" s="62" customFormat="1">
      <c r="A47" s="184">
        <f ca="1">OFFSET('Monitoring Workbook'!MonWkBkChecksAndDeposits, 0, 5, 1, 1)</f>
        <v>0</v>
      </c>
      <c r="B47" s="165">
        <f ca="1">IF(OFFSET('Monitoring Workbook'!MonWkBkChecksAndDeposits, 0, 6, 1, 1)=DATE(1900,1,0), DATE(1900,1,1), OFFSET('Monitoring Workbook'!MonWkBkChecksAndDeposits, 0, 6, 1, 1))</f>
        <v>1</v>
      </c>
      <c r="C47" s="164">
        <f ca="1">OFFSET('Monitoring Workbook'!MonWkBkChecksAndDeposits, 0, 8, 1, 1)</f>
        <v>0</v>
      </c>
      <c r="D47" s="166">
        <f ca="1">IF(OFFSET('Monitoring Workbook'!MonWkBkDpstsInTrans, 0, 4, 1, 1)=DATE(1900,1,0), DATE(1900,1,1), OFFSET('Monitoring Workbook'!MonWkBkDpstsInTrans, 0, 4, 1, 1))</f>
        <v>1</v>
      </c>
      <c r="E47" s="164">
        <f ca="1">OFFSET('Monitoring Workbook'!MonWkBkDpstsInTrans, 0, 6, 1, 1)</f>
        <v>0</v>
      </c>
      <c r="F47" s="206" t="str">
        <f ca="1">IF(OFFSET('Monitoring Workbook'!TrstFndTrialBals, 0, 3, 1, 1) = 0, "", OFFSET('Monitoring Workbook'!TrstFndTrialBals, 0, 3, 1, 1))</f>
        <v/>
      </c>
      <c r="G47" s="164">
        <f ca="1">OFFSET('Monitoring Workbook'!TrstFndTrialBals, 0, 4, 1, 1)</f>
        <v>0</v>
      </c>
    </row>
    <row r="48" spans="1:7" s="62" customFormat="1">
      <c r="A48" s="184">
        <f ca="1">OFFSET('Monitoring Workbook'!MonWkBkChecksAndDeposits, 1, 5, 1, 1)</f>
        <v>0</v>
      </c>
      <c r="B48" s="165">
        <f ca="1">IF(OFFSET('Monitoring Workbook'!MonWkBkChecksAndDeposits, 1, 6, 1, 1)=DATE(1900,1,0), DATE(1900,1,1), OFFSET('Monitoring Workbook'!MonWkBkChecksAndDeposits, 1, 6, 1, 1))</f>
        <v>1</v>
      </c>
      <c r="C48" s="164">
        <f ca="1">OFFSET('Monitoring Workbook'!MonWkBkChecksAndDeposits, 1, 8, 1, 1)</f>
        <v>0</v>
      </c>
      <c r="D48" s="166">
        <f ca="1">IF(OFFSET('Monitoring Workbook'!MonWkBkDpstsInTrans, 1, 4, 1, 1)=DATE(1900,1,0), DATE(1900,1,1), OFFSET('Monitoring Workbook'!MonWkBkDpstsInTrans, 1, 4, 1, 1))</f>
        <v>1</v>
      </c>
      <c r="E48" s="164">
        <f ca="1">OFFSET('Monitoring Workbook'!MonWkBkDpstsInTrans, 1, 6, 1, 1)</f>
        <v>0</v>
      </c>
      <c r="F48" s="206" t="str">
        <f ca="1">IF(OFFSET('Monitoring Workbook'!TrstFndTrialBals, 1, 3, 1, 1) = 0, "", OFFSET('Monitoring Workbook'!TrstFndTrialBals, 1, 3, 1, 1))</f>
        <v/>
      </c>
      <c r="G48" s="164">
        <f ca="1">OFFSET('Monitoring Workbook'!TrstFndTrialBals, 4, 1, 1, 1)</f>
        <v>0</v>
      </c>
    </row>
    <row r="49" spans="1:7" s="62" customFormat="1">
      <c r="A49" s="184">
        <f ca="1">OFFSET('Monitoring Workbook'!MonWkBkChecksAndDeposits, 2, 5, 1, 1)</f>
        <v>0</v>
      </c>
      <c r="B49" s="165">
        <f ca="1">IF(OFFSET('Monitoring Workbook'!MonWkBkChecksAndDeposits, 2, 6, 1, 1)=DATE(1900,1,0), DATE(1900,1,1), OFFSET('Monitoring Workbook'!MonWkBkChecksAndDeposits, 2, 6, 1, 1))</f>
        <v>1</v>
      </c>
      <c r="C49" s="164">
        <f ca="1">OFFSET('Monitoring Workbook'!MonWkBkChecksAndDeposits, 2, 8, 1, 1)</f>
        <v>0</v>
      </c>
      <c r="D49" s="166">
        <f ca="1">IF(OFFSET('Monitoring Workbook'!MonWkBkDpstsInTrans, 2, 4, 1, 1)=DATE(1900,1,0), DATE(1900,1,1), OFFSET('Monitoring Workbook'!MonWkBkDpstsInTrans, 2, 4, 1, 1))</f>
        <v>1</v>
      </c>
      <c r="E49" s="164">
        <f ca="1">OFFSET('Monitoring Workbook'!MonWkBkDpstsInTrans, 2, 6, 1, 1)</f>
        <v>0</v>
      </c>
      <c r="F49" s="206" t="str">
        <f ca="1">IF(OFFSET('Monitoring Workbook'!TrstFndTrialBals, 2, 3, 1, 1) = 0, "", OFFSET('Monitoring Workbook'!TrstFndTrialBals, 2, 3, 1, 1))</f>
        <v/>
      </c>
      <c r="G49" s="164">
        <f ca="1">OFFSET('Monitoring Workbook'!TrstFndTrialBals, 2, 4, 1, 1)</f>
        <v>0</v>
      </c>
    </row>
    <row r="50" spans="1:7" s="62" customFormat="1">
      <c r="A50" s="184">
        <f ca="1">OFFSET('Monitoring Workbook'!MonWkBkChecksAndDeposits, 3, 5, 1, 1)</f>
        <v>0</v>
      </c>
      <c r="B50" s="165">
        <f ca="1">IF(OFFSET('Monitoring Workbook'!MonWkBkChecksAndDeposits, 3, 6, 1, 1)=DATE(1900,1,0), DATE(1900,1,1), OFFSET('Monitoring Workbook'!MonWkBkChecksAndDeposits, 3, 6, 1, 1))</f>
        <v>1</v>
      </c>
      <c r="C50" s="164">
        <f ca="1">OFFSET('Monitoring Workbook'!MonWkBkChecksAndDeposits, 3, 8, 1, 1)</f>
        <v>0</v>
      </c>
      <c r="D50" s="166">
        <f ca="1">IF(OFFSET('Monitoring Workbook'!MonWkBkDpstsInTrans, 3, 4, 1, 1)=DATE(1900,1,0), DATE(1900,1,1), OFFSET('Monitoring Workbook'!MonWkBkDpstsInTrans, 3, 4, 1, 1))</f>
        <v>1</v>
      </c>
      <c r="E50" s="164">
        <f ca="1">OFFSET('Monitoring Workbook'!MonWkBkDpstsInTrans, 3, 6, 1, 1)</f>
        <v>0</v>
      </c>
      <c r="F50" s="206" t="str">
        <f ca="1">IF(OFFSET('Monitoring Workbook'!TrstFndTrialBals, 3, 3, 1, 1) = 0, "", OFFSET('Monitoring Workbook'!TrstFndTrialBals, 3, 3, 1, 1))</f>
        <v/>
      </c>
      <c r="G50" s="164">
        <f ca="1">OFFSET('Monitoring Workbook'!TrstFndTrialBals, 3, 4, 1, 1)</f>
        <v>0</v>
      </c>
    </row>
    <row r="51" spans="1:7" s="62" customFormat="1">
      <c r="A51" s="184">
        <f ca="1">OFFSET('Monitoring Workbook'!MonWkBkChecksAndDeposits, 4, 5, 1, 1)</f>
        <v>0</v>
      </c>
      <c r="B51" s="165">
        <f ca="1">IF(OFFSET('Monitoring Workbook'!MonWkBkChecksAndDeposits, 4, 6, 1, 1)=DATE(1900,1,0), DATE(1900,1,1), OFFSET('Monitoring Workbook'!MonWkBkChecksAndDeposits, 4, 6, 1, 1))</f>
        <v>1</v>
      </c>
      <c r="C51" s="164">
        <f ca="1">OFFSET('Monitoring Workbook'!MonWkBkChecksAndDeposits, 4, 8, 1, 1)</f>
        <v>0</v>
      </c>
      <c r="D51" s="166">
        <f ca="1">IF(OFFSET('Monitoring Workbook'!MonWkBkDpstsInTrans, 4, 4, 1, 1)=DATE(1900,1,0), DATE(1900,1,1), OFFSET('Monitoring Workbook'!MonWkBkDpstsInTrans, 4, 4, 1, 1))</f>
        <v>1</v>
      </c>
      <c r="E51" s="164">
        <f ca="1">OFFSET('Monitoring Workbook'!MonWkBkDpstsInTrans, 4, 6, 1, 1)</f>
        <v>0</v>
      </c>
      <c r="F51" s="206" t="str">
        <f ca="1">IF(OFFSET('Monitoring Workbook'!TrstFndTrialBals, 4, 3, 1, 1) = 0, "", OFFSET('Monitoring Workbook'!TrstFndTrialBals, 4, 3, 1, 1))</f>
        <v/>
      </c>
      <c r="G51" s="164">
        <f ca="1">OFFSET('Monitoring Workbook'!TrstFndTrialBals, 4, 4, 1, 1)</f>
        <v>0</v>
      </c>
    </row>
    <row r="52" spans="1:7" s="62" customFormat="1">
      <c r="A52" s="184">
        <f ca="1">OFFSET('Monitoring Workbook'!MonWkBkChecksAndDeposits, 5, 5, 1, 1)</f>
        <v>0</v>
      </c>
      <c r="B52" s="165">
        <f ca="1">IF(OFFSET('Monitoring Workbook'!MonWkBkChecksAndDeposits, 5, 6, 1, 1)=DATE(1900,1,0), DATE(1900,1,1), OFFSET('Monitoring Workbook'!MonWkBkChecksAndDeposits, 5, 6, 1, 1))</f>
        <v>1</v>
      </c>
      <c r="C52" s="164">
        <f ca="1">OFFSET('Monitoring Workbook'!MonWkBkChecksAndDeposits, 5, 8, 1, 1)</f>
        <v>0</v>
      </c>
      <c r="D52" s="166">
        <f ca="1">IF(OFFSET('Monitoring Workbook'!MonWkBkDpstsInTrans, 5, 4, 1, 1)=DATE(1900,1,0), DATE(1900,1,1), OFFSET('Monitoring Workbook'!MonWkBkDpstsInTrans, 5, 4, 1, 1))</f>
        <v>1</v>
      </c>
      <c r="E52" s="164">
        <f ca="1">OFFSET('Monitoring Workbook'!MonWkBkDpstsInTrans, 5, 6, 1, 1)</f>
        <v>0</v>
      </c>
      <c r="F52" s="206" t="str">
        <f ca="1">IF(OFFSET('Monitoring Workbook'!TrstFndTrialBals, 5, 3, 1, 1) = 0, "", OFFSET('Monitoring Workbook'!TrstFndTrialBals, 5, 3, 1, 1))</f>
        <v/>
      </c>
      <c r="G52" s="164">
        <f ca="1">OFFSET('Monitoring Workbook'!TrstFndTrialBals, 5, 4, 1, 1)</f>
        <v>0</v>
      </c>
    </row>
    <row r="53" spans="1:7" s="62" customFormat="1">
      <c r="A53" s="184">
        <f ca="1">OFFSET('Monitoring Workbook'!MonWkBkChecksAndDeposits, 6, 5, 1, 1)</f>
        <v>0</v>
      </c>
      <c r="B53" s="165">
        <f ca="1">IF(OFFSET('Monitoring Workbook'!MonWkBkChecksAndDeposits, 6, 6, 1, 1)=DATE(1900,1,0), DATE(1900,1,1), OFFSET('Monitoring Workbook'!MonWkBkChecksAndDeposits, 6, 6, 1, 1))</f>
        <v>1</v>
      </c>
      <c r="C53" s="164">
        <f ca="1">OFFSET('Monitoring Workbook'!MonWkBkChecksAndDeposits, 6, 8, 1, 1)</f>
        <v>0</v>
      </c>
      <c r="D53" s="166">
        <f ca="1">IF(OFFSET('Monitoring Workbook'!MonWkBkDpstsInTrans, 6, 4, 1, 1)=DATE(1900,1,0), DATE(1900,1,1), OFFSET('Monitoring Workbook'!MonWkBkDpstsInTrans, 6, 4, 1, 1))</f>
        <v>1</v>
      </c>
      <c r="E53" s="164">
        <f ca="1">OFFSET('Monitoring Workbook'!MonWkBkDpstsInTrans, 6, 6, 1, 1)</f>
        <v>0</v>
      </c>
      <c r="F53" s="206" t="str">
        <f ca="1">IF(OFFSET('Monitoring Workbook'!TrstFndTrialBals, 6, 3, 1, 1) = 0, "", OFFSET('Monitoring Workbook'!TrstFndTrialBals, 6, 3, 1, 1))</f>
        <v/>
      </c>
      <c r="G53" s="164">
        <f ca="1">OFFSET('Monitoring Workbook'!TrstFndTrialBals, 6, 4, 1, 1)</f>
        <v>0</v>
      </c>
    </row>
    <row r="54" spans="1:7" s="62" customFormat="1">
      <c r="A54" s="176">
        <f ca="1">OFFSET('Monitoring Workbook'!MonWkBkChecksAndDeposits, 7, 5, 1, 1)</f>
        <v>0</v>
      </c>
      <c r="B54" s="165">
        <f ca="1">IF(OFFSET('Monitoring Workbook'!MonWkBkChecksAndDeposits, 7, 6, 1, 1)=DATE(1900,1,0), DATE(1900,1,1), OFFSET('Monitoring Workbook'!MonWkBkChecksAndDeposits, 7, 6, 1, 1))</f>
        <v>1</v>
      </c>
      <c r="C54" s="164">
        <f ca="1">OFFSET('Monitoring Workbook'!MonWkBkChecksAndDeposits, 7, 8, 1, 1)</f>
        <v>0</v>
      </c>
      <c r="D54" s="166">
        <f ca="1">IF(OFFSET('Monitoring Workbook'!MonWkBkDpstsInTrans, 7, 4, 1, 1)=DATE(1900,1,0), DATE(1900,1,1), OFFSET('Monitoring Workbook'!MonWkBkDpstsInTrans, 7, 4, 1, 1))</f>
        <v>1</v>
      </c>
      <c r="E54" s="164">
        <f ca="1">OFFSET('Monitoring Workbook'!MonWkBkDpstsInTrans, 7, 6, 1, 1)</f>
        <v>0</v>
      </c>
      <c r="F54" s="206" t="str">
        <f ca="1">IF(OFFSET('Monitoring Workbook'!TrstFndTrialBals, 7, 3, 1, 1) = 0, "", OFFSET('Monitoring Workbook'!TrstFndTrialBals, 7, 3, 1, 1))</f>
        <v/>
      </c>
      <c r="G54" s="164">
        <f ca="1">OFFSET('Monitoring Workbook'!TrstFndTrialBals, 7, 4, 1, 1)</f>
        <v>0</v>
      </c>
    </row>
    <row r="55" spans="1:7" s="62" customFormat="1">
      <c r="A55" s="184">
        <f ca="1">OFFSET('Monitoring Workbook'!MonWkBkChecksAndDeposits, 8, 5, 1, 1)</f>
        <v>0</v>
      </c>
      <c r="B55" s="165">
        <f ca="1">IF(OFFSET('Monitoring Workbook'!MonWkBkChecksAndDeposits, 8, 6, 1, 1)=DATE(1900,1,0), DATE(1900,1,1), OFFSET('Monitoring Workbook'!MonWkBkChecksAndDeposits, 8, 6, 1, 1))</f>
        <v>1</v>
      </c>
      <c r="C55" s="164">
        <f ca="1">OFFSET('Monitoring Workbook'!MonWkBkChecksAndDeposits, 8, 8, 1, 1)</f>
        <v>0</v>
      </c>
      <c r="D55" s="166">
        <f ca="1">IF(OFFSET('Monitoring Workbook'!MonWkBkDpstsInTrans, 8, 4, 1, 1)=DATE(1900,1,0), DATE(1900,1,1), OFFSET('Monitoring Workbook'!MonWkBkDpstsInTrans, 8, 4, 1, 1))</f>
        <v>1</v>
      </c>
      <c r="E55" s="164">
        <f ca="1">OFFSET('Monitoring Workbook'!MonWkBkDpstsInTrans, 8, 6, 1, 1)</f>
        <v>0</v>
      </c>
      <c r="F55" s="206" t="str">
        <f ca="1">IF(OFFSET('Monitoring Workbook'!TrstFndTrialBals, 8, 3, 1, 1) = 0, "", OFFSET('Monitoring Workbook'!TrstFndTrialBals, 8, 3, 1, 1))</f>
        <v/>
      </c>
      <c r="G55" s="164">
        <f ca="1">OFFSET('Monitoring Workbook'!TrstFndTrialBals, 8, 4, 1, 1)</f>
        <v>0</v>
      </c>
    </row>
    <row r="56" spans="1:7" s="62" customFormat="1">
      <c r="A56" s="184">
        <f ca="1">OFFSET('Monitoring Workbook'!MonWkBkChecksAndDeposits, 9, 5, 1, 1)</f>
        <v>0</v>
      </c>
      <c r="B56" s="165">
        <f ca="1">IF(OFFSET('Monitoring Workbook'!MonWkBkChecksAndDeposits, 9, 6, 1, 1)=DATE(1900,1,0), DATE(1900,1,1), OFFSET('Monitoring Workbook'!MonWkBkChecksAndDeposits, 9, 6, 1, 1))</f>
        <v>1</v>
      </c>
      <c r="C56" s="164">
        <f ca="1">OFFSET('Monitoring Workbook'!MonWkBkChecksAndDeposits, 9, 8, 1, 1)</f>
        <v>0</v>
      </c>
      <c r="D56" s="166">
        <f ca="1">IF(OFFSET('Monitoring Workbook'!MonWkBkDpstsInTrans, 9, 4, 1, 1)=DATE(1900,1,0), DATE(1900,1,1), OFFSET('Monitoring Workbook'!MonWkBkDpstsInTrans, 9, 4, 1, 1))</f>
        <v>1</v>
      </c>
      <c r="E56" s="164">
        <f ca="1">OFFSET('Monitoring Workbook'!MonWkBkDpstsInTrans, 9, 6, 1, 1)</f>
        <v>0</v>
      </c>
      <c r="F56" s="206" t="str">
        <f ca="1">IF(OFFSET('Monitoring Workbook'!TrstFndTrialBals, 9, 3, 1, 1) = 0, "", OFFSET('Monitoring Workbook'!TrstFndTrialBals, 9, 3, 1, 1))</f>
        <v/>
      </c>
      <c r="G56" s="164">
        <f ca="1">OFFSET('Monitoring Workbook'!TrstFndTrialBals, 9, 4, 1, 1)</f>
        <v>0</v>
      </c>
    </row>
    <row r="57" spans="1:7" s="62" customFormat="1">
      <c r="A57" s="184">
        <f ca="1">OFFSET('Monitoring Workbook'!MonWkBkChecksAndDeposits, 10, 5, 1, 1)</f>
        <v>0</v>
      </c>
      <c r="B57" s="165">
        <f ca="1">IF(OFFSET('Monitoring Workbook'!MonWkBkChecksAndDeposits, 10, 6, 1, 1)=DATE(1900,1,0), DATE(1900,1,1), OFFSET('Monitoring Workbook'!MonWkBkChecksAndDeposits, 10, 6, 1, 1))</f>
        <v>1</v>
      </c>
      <c r="C57" s="164">
        <f ca="1">OFFSET('Monitoring Workbook'!MonWkBkChecksAndDeposits, 10, 8, 1, 1)</f>
        <v>0</v>
      </c>
      <c r="D57" s="166">
        <f ca="1">IF(OFFSET('Monitoring Workbook'!MonWkBkDpstsInTrans, 10, 4, 1, 1)=DATE(1900,1,0), DATE(1900,1,1), OFFSET('Monitoring Workbook'!MonWkBkDpstsInTrans, 10, 4, 1, 1))</f>
        <v>1</v>
      </c>
      <c r="E57" s="164">
        <f ca="1">OFFSET('Monitoring Workbook'!MonWkBkDpstsInTrans, 10, 6, 1, 1)</f>
        <v>0</v>
      </c>
      <c r="F57" s="206" t="str">
        <f ca="1">IF(OFFSET('Monitoring Workbook'!TrstFndTrialBals, 10, 3, 1, 1) = 0, "", OFFSET('Monitoring Workbook'!TrstFndTrialBals, 10, 3, 1, 1))</f>
        <v/>
      </c>
      <c r="G57" s="164">
        <f ca="1">OFFSET('Monitoring Workbook'!TrstFndTrialBals, 10, 4, 1, 1)</f>
        <v>0</v>
      </c>
    </row>
    <row r="58" spans="1:7" s="62" customFormat="1">
      <c r="A58" s="176">
        <f ca="1">OFFSET('Monitoring Workbook'!MonWkBkChecksAndDeposits, 11, 5, 1, 1)</f>
        <v>0</v>
      </c>
      <c r="B58" s="165">
        <f ca="1">IF(OFFSET('Monitoring Workbook'!MonWkBkChecksAndDeposits, 11, 6, 1, 1)=DATE(1900,1,0), DATE(1900,1,1), OFFSET('Monitoring Workbook'!MonWkBkChecksAndDeposits, 11, 6, 1, 1))</f>
        <v>1</v>
      </c>
      <c r="C58" s="164">
        <f ca="1">OFFSET('Monitoring Workbook'!MonWkBkChecksAndDeposits, 11, 8, 1, 1)</f>
        <v>0</v>
      </c>
      <c r="D58" s="166">
        <f ca="1">IF(OFFSET('Monitoring Workbook'!MonWkBkDpstsInTrans, 11, 4, 1, 1)=DATE(1900,1,0), DATE(1900,1,1), OFFSET('Monitoring Workbook'!MonWkBkDpstsInTrans, 11, 4, 1, 1))</f>
        <v>1</v>
      </c>
      <c r="E58" s="164">
        <f ca="1">OFFSET('Monitoring Workbook'!MonWkBkDpstsInTrans, 11, 6, 1, 1)</f>
        <v>0</v>
      </c>
      <c r="F58" s="206" t="str">
        <f ca="1">IF(OFFSET('Monitoring Workbook'!TrstFndTrialBals, 11, 3, 1, 1) = 0, "", OFFSET('Monitoring Workbook'!TrstFndTrialBals, 11, 3, 1, 1))</f>
        <v/>
      </c>
      <c r="G58" s="164">
        <f ca="1">OFFSET('Monitoring Workbook'!TrstFndTrialBals, 14, 1, 1, 1)</f>
        <v>0</v>
      </c>
    </row>
    <row r="59" spans="1:7" s="62" customFormat="1">
      <c r="A59" s="184">
        <f ca="1">OFFSET('Monitoring Workbook'!MonWkBkChecksAndDeposits, 12, 5, 1, 1)</f>
        <v>0</v>
      </c>
      <c r="B59" s="165">
        <f ca="1">IF(OFFSET('Monitoring Workbook'!MonWkBkChecksAndDeposits, 12, 6, 1, 1)=DATE(1900,1,0), DATE(1900,1,1), OFFSET('Monitoring Workbook'!MonWkBkChecksAndDeposits, 12, 6, 1, 1))</f>
        <v>1</v>
      </c>
      <c r="C59" s="164">
        <f ca="1">OFFSET('Monitoring Workbook'!MonWkBkChecksAndDeposits, 12, 8, 1, 1)</f>
        <v>0</v>
      </c>
      <c r="D59" s="166">
        <f ca="1">IF(OFFSET('Monitoring Workbook'!MonWkBkDpstsInTrans, 12, 4, 1, 1)=DATE(1900,1,0), DATE(1900,1,1), OFFSET('Monitoring Workbook'!MonWkBkDpstsInTrans, 12, 4, 1, 1))</f>
        <v>1</v>
      </c>
      <c r="E59" s="164">
        <f ca="1">OFFSET('Monitoring Workbook'!MonWkBkDpstsInTrans, 12, 6, 1, 1)</f>
        <v>0</v>
      </c>
      <c r="F59" s="206" t="str">
        <f ca="1">IF(OFFSET('Monitoring Workbook'!TrstFndTrialBals, 12, 3, 1, 1) = 0, "", OFFSET('Monitoring Workbook'!TrstFndTrialBals, 12, 3, 1, 1))</f>
        <v/>
      </c>
      <c r="G59" s="164">
        <f ca="1">OFFSET('Monitoring Workbook'!TrstFndTrialBals, 12, 4, 1, 1)</f>
        <v>0</v>
      </c>
    </row>
    <row r="60" spans="1:7" s="62" customFormat="1">
      <c r="A60" s="184">
        <f ca="1">OFFSET('Monitoring Workbook'!MonWkBkChecksAndDeposits, 13, 5, 1, 1)</f>
        <v>0</v>
      </c>
      <c r="B60" s="165">
        <f ca="1">IF(OFFSET('Monitoring Workbook'!MonWkBkChecksAndDeposits, 13, 6, 1, 1)=DATE(1900,1,0), DATE(1900,1,1), OFFSET('Monitoring Workbook'!MonWkBkChecksAndDeposits, 13, 6, 1, 1))</f>
        <v>1</v>
      </c>
      <c r="C60" s="164">
        <f ca="1">OFFSET('Monitoring Workbook'!MonWkBkChecksAndDeposits, 13, 8, 1, 1)</f>
        <v>0</v>
      </c>
      <c r="D60" s="166">
        <f ca="1">IF(OFFSET('Monitoring Workbook'!MonWkBkDpstsInTrans, 13, 4, 1, 1)=DATE(1900,1,0), DATE(1900,1,1), OFFSET('Monitoring Workbook'!MonWkBkDpstsInTrans, 13, 4, 1, 1))</f>
        <v>1</v>
      </c>
      <c r="E60" s="164">
        <f ca="1">OFFSET('Monitoring Workbook'!MonWkBkDpstsInTrans, 13, 6, 1, 1)</f>
        <v>0</v>
      </c>
      <c r="F60" s="206" t="str">
        <f ca="1">IF(OFFSET('Monitoring Workbook'!TrstFndTrialBals, 13, 3, 1, 1) = 0, "", OFFSET('Monitoring Workbook'!TrstFndTrialBals, 13, 3, 1, 1))</f>
        <v/>
      </c>
      <c r="G60" s="164">
        <f ca="1">OFFSET('Monitoring Workbook'!TrstFndTrialBals, 13, 4, 1, 1)</f>
        <v>0</v>
      </c>
    </row>
    <row r="61" spans="1:7" s="62" customFormat="1">
      <c r="A61" s="184">
        <f ca="1">OFFSET('Monitoring Workbook'!MonWkBkChecksAndDeposits, 14, 5, 1, 1)</f>
        <v>0</v>
      </c>
      <c r="B61" s="165">
        <f ca="1">IF(OFFSET('Monitoring Workbook'!MonWkBkChecksAndDeposits, 14, 6, 1, 1)=DATE(1900,1,0), DATE(1900,1,1), OFFSET('Monitoring Workbook'!MonWkBkChecksAndDeposits, 14, 6, 1, 1))</f>
        <v>1</v>
      </c>
      <c r="C61" s="164">
        <f ca="1">OFFSET('Monitoring Workbook'!MonWkBkChecksAndDeposits, 14, 8, 1, 1)</f>
        <v>0</v>
      </c>
      <c r="D61" s="166">
        <f ca="1">IF(OFFSET('Monitoring Workbook'!MonWkBkDpstsInTrans, 14, 4, 1, 1)=DATE(1900,1,0), DATE(1900,1,1), OFFSET('Monitoring Workbook'!MonWkBkDpstsInTrans, 14, 4, 1, 1))</f>
        <v>1</v>
      </c>
      <c r="E61" s="164">
        <f ca="1">OFFSET('Monitoring Workbook'!MonWkBkDpstsInTrans, 14, 6, 1, 1)</f>
        <v>0</v>
      </c>
      <c r="F61" s="206" t="str">
        <f ca="1">IF(OFFSET('Monitoring Workbook'!TrstFndTrialBals, 14, 3, 1, 1) = 0, "", OFFSET('Monitoring Workbook'!TrstFndTrialBals, 14, 3, 1, 1))</f>
        <v/>
      </c>
      <c r="G61" s="164">
        <f ca="1">OFFSET('Monitoring Workbook'!TrstFndTrialBals, 14, 4, 1, 1)</f>
        <v>0</v>
      </c>
    </row>
    <row r="62" spans="1:7" s="62" customFormat="1">
      <c r="A62" s="184">
        <f ca="1">OFFSET('Monitoring Workbook'!MonWkBkChecksAndDeposits, 15, 5, 1, 1)</f>
        <v>0</v>
      </c>
      <c r="B62" s="165">
        <f ca="1">IF(OFFSET('Monitoring Workbook'!MonWkBkChecksAndDeposits, 15, 6, 1, 1)=DATE(1900,1,0), DATE(1900,1,1), OFFSET('Monitoring Workbook'!MonWkBkChecksAndDeposits, 15, 6, 1, 1))</f>
        <v>1</v>
      </c>
      <c r="C62" s="164">
        <f ca="1">OFFSET('Monitoring Workbook'!MonWkBkChecksAndDeposits, 15, 8, 1, 1)</f>
        <v>0</v>
      </c>
      <c r="D62" s="166">
        <f ca="1">IF(OFFSET('Monitoring Workbook'!MonWkBkDpstsInTrans, 15, 4, 1, 1)=DATE(1900,1,0), DATE(1900,1,1), OFFSET('Monitoring Workbook'!MonWkBkDpstsInTrans, 15, 4, 1, 1))</f>
        <v>1</v>
      </c>
      <c r="E62" s="164">
        <f ca="1">OFFSET('Monitoring Workbook'!MonWkBkDpstsInTrans, 15, 6, 1, 1)</f>
        <v>0</v>
      </c>
      <c r="F62" s="206" t="str">
        <f ca="1">IF(OFFSET('Monitoring Workbook'!TrstFndTrialBals, 15, 3, 1, 1) = 0, "", OFFSET('Monitoring Workbook'!TrstFndTrialBals, 15, 3, 1, 1))</f>
        <v/>
      </c>
      <c r="G62" s="164">
        <f ca="1">OFFSET('Monitoring Workbook'!TrstFndTrialBals, 15, 4, 1, 1)</f>
        <v>0</v>
      </c>
    </row>
    <row r="63" spans="1:7" s="62" customFormat="1">
      <c r="A63" s="184">
        <f ca="1">OFFSET('Monitoring Workbook'!MonWkBkChecksAndDeposits, 16, 5, 1, 1)</f>
        <v>0</v>
      </c>
      <c r="B63" s="165">
        <f ca="1">IF(OFFSET('Monitoring Workbook'!MonWkBkChecksAndDeposits, 16, 6, 1, 1)=DATE(1900,1,0), DATE(1900,1,1), OFFSET('Monitoring Workbook'!MonWkBkChecksAndDeposits, 16, 6, 1, 1))</f>
        <v>1</v>
      </c>
      <c r="C63" s="164">
        <f ca="1">OFFSET('Monitoring Workbook'!MonWkBkChecksAndDeposits, 16, 8, 1, 1)</f>
        <v>0</v>
      </c>
      <c r="D63" s="166">
        <f ca="1">IF(OFFSET('Monitoring Workbook'!MonWkBkDpstsInTrans, 16, 4, 1, 1)=DATE(1900,1,0), DATE(1900,1,1), OFFSET('Monitoring Workbook'!MonWkBkDpstsInTrans, 16, 4, 1, 1))</f>
        <v>1</v>
      </c>
      <c r="E63" s="164">
        <f ca="1">OFFSET('Monitoring Workbook'!MonWkBkDpstsInTrans, 16, 6, 1, 1)</f>
        <v>0</v>
      </c>
      <c r="F63" s="206" t="str">
        <f ca="1">IF(OFFSET('Monitoring Workbook'!TrstFndTrialBals, 16, 3, 1, 1) = 0, "", OFFSET('Monitoring Workbook'!TrstFndTrialBals, 16, 3, 1, 1))</f>
        <v/>
      </c>
      <c r="G63" s="164">
        <f ca="1">OFFSET('Monitoring Workbook'!TrstFndTrialBals, 16, 4, 1, 1)</f>
        <v>0</v>
      </c>
    </row>
    <row r="64" spans="1:7" s="62" customFormat="1">
      <c r="A64" s="184">
        <f ca="1">OFFSET('Monitoring Workbook'!MonWkBkChecksAndDeposits, 17, 5, 1, 1)</f>
        <v>0</v>
      </c>
      <c r="B64" s="165">
        <f ca="1">IF(OFFSET('Monitoring Workbook'!MonWkBkChecksAndDeposits, 17, 6, 1, 1)=DATE(1900,1,0), DATE(1900,1,1), OFFSET('Monitoring Workbook'!MonWkBkChecksAndDeposits, 17, 6, 1, 1))</f>
        <v>1</v>
      </c>
      <c r="C64" s="164">
        <f ca="1">OFFSET('Monitoring Workbook'!MonWkBkChecksAndDeposits, 17, 8, 1, 1)</f>
        <v>0</v>
      </c>
      <c r="D64" s="166">
        <f ca="1">IF(OFFSET('Monitoring Workbook'!MonWkBkDpstsInTrans, 17, 4, 1, 1)=DATE(1900,1,0), DATE(1900,1,1), OFFSET('Monitoring Workbook'!MonWkBkDpstsInTrans, 17, 4, 1, 1))</f>
        <v>1</v>
      </c>
      <c r="E64" s="164">
        <f ca="1">OFFSET('Monitoring Workbook'!MonWkBkDpstsInTrans, 17, 6, 1, 1)</f>
        <v>0</v>
      </c>
      <c r="F64" s="206" t="str">
        <f ca="1">IF(OFFSET('Monitoring Workbook'!TrstFndTrialBals, 17, 3, 1, 1) = 0, "", OFFSET('Monitoring Workbook'!TrstFndTrialBals, 17, 3, 1, 1))</f>
        <v/>
      </c>
      <c r="G64" s="164">
        <f ca="1">OFFSET('Monitoring Workbook'!TrstFndTrialBals, 17, 4, 1, 1)</f>
        <v>0</v>
      </c>
    </row>
    <row r="65" spans="1:7" s="62" customFormat="1">
      <c r="A65" s="184">
        <f ca="1">OFFSET('Monitoring Workbook'!MonWkBkChecksAndDeposits, 18, 5, 1, 1)</f>
        <v>0</v>
      </c>
      <c r="B65" s="165">
        <f ca="1">IF(OFFSET('Monitoring Workbook'!MonWkBkChecksAndDeposits, 18, 6, 1, 1)=DATE(1900,1,0), DATE(1900,1,1), OFFSET('Monitoring Workbook'!MonWkBkChecksAndDeposits, 18, 6, 1, 1))</f>
        <v>1</v>
      </c>
      <c r="C65" s="164">
        <f ca="1">OFFSET('Monitoring Workbook'!MonWkBkChecksAndDeposits, 18, 8, 1, 1)</f>
        <v>0</v>
      </c>
      <c r="D65" s="166">
        <f ca="1">IF(OFFSET('Monitoring Workbook'!MonWkBkDpstsInTrans, 18, 4, 1, 1)=DATE(1900,1,0), DATE(1900,1,1), OFFSET('Monitoring Workbook'!MonWkBkDpstsInTrans, 18, 4, 1, 1))</f>
        <v>1</v>
      </c>
      <c r="E65" s="164">
        <f ca="1">OFFSET('Monitoring Workbook'!MonWkBkDpstsInTrans, 18, 6, 1, 1)</f>
        <v>0</v>
      </c>
      <c r="F65" s="206" t="str">
        <f ca="1">IF(OFFSET('Monitoring Workbook'!TrstFndTrialBals, 18, 3, 1, 1) = 0, "", OFFSET('Monitoring Workbook'!TrstFndTrialBals, 18, 3, 1, 1))</f>
        <v/>
      </c>
      <c r="G65" s="164">
        <f ca="1">OFFSET('Monitoring Workbook'!TrstFndTrialBals, 18, 4, 1, 1)</f>
        <v>0</v>
      </c>
    </row>
    <row r="66" spans="1:7" s="62" customFormat="1">
      <c r="A66" s="184">
        <f ca="1">OFFSET('Monitoring Workbook'!MonWkBkChecksAndDeposits, 19, 5, 1, 1)</f>
        <v>0</v>
      </c>
      <c r="B66" s="165">
        <f ca="1">IF(OFFSET('Monitoring Workbook'!MonWkBkChecksAndDeposits, 19, 6, 1, 1)=DATE(1900,1,0), DATE(1900,1,1), OFFSET('Monitoring Workbook'!MonWkBkChecksAndDeposits, 19, 6, 1, 1))</f>
        <v>1</v>
      </c>
      <c r="C66" s="164">
        <f ca="1">OFFSET('Monitoring Workbook'!MonWkBkChecksAndDeposits, 19, 8, 1, 1)</f>
        <v>0</v>
      </c>
      <c r="D66" s="166">
        <f ca="1">IF(OFFSET('Monitoring Workbook'!MonWkBkDpstsInTrans, 19, 4, 1, 1)=DATE(1900,1,0), DATE(1900,1,1), OFFSET('Monitoring Workbook'!MonWkBkDpstsInTrans, 19, 4, 1, 1))</f>
        <v>1</v>
      </c>
      <c r="E66" s="164">
        <f ca="1">OFFSET('Monitoring Workbook'!MonWkBkDpstsInTrans, 19, 6, 1, 1)</f>
        <v>0</v>
      </c>
      <c r="F66" s="206" t="str">
        <f ca="1">IF(OFFSET('Monitoring Workbook'!TrstFndTrialBals, 19, 3, 1, 1) = 0, "", OFFSET('Monitoring Workbook'!TrstFndTrialBals, 19, 3, 1, 1))</f>
        <v/>
      </c>
      <c r="G66" s="164">
        <f ca="1">OFFSET('Monitoring Workbook'!TrstFndTrialBals, 19, 4, 1, 1)</f>
        <v>0</v>
      </c>
    </row>
    <row r="67" spans="1:7" s="62" customFormat="1">
      <c r="A67" s="184">
        <f ca="1">OFFSET('Monitoring Workbook'!MonWkBkChecksAndDeposits, 20, 5, 1, 1)</f>
        <v>0</v>
      </c>
      <c r="B67" s="165">
        <f ca="1">IF(OFFSET('Monitoring Workbook'!MonWkBkChecksAndDeposits, 20, 6, 1, 1)=DATE(1900,1,0), DATE(1900,1,1), OFFSET('Monitoring Workbook'!MonWkBkChecksAndDeposits, 20, 6, 1, 1))</f>
        <v>1</v>
      </c>
      <c r="C67" s="164">
        <f ca="1">OFFSET('Monitoring Workbook'!MonWkBkChecksAndDeposits, 20, 8, 1, 1)</f>
        <v>0</v>
      </c>
      <c r="D67" s="166">
        <f ca="1">IF(OFFSET('Monitoring Workbook'!MonWkBkDpstsInTrans, 20, 4, 1, 1)=DATE(1900,1,0), DATE(1900,1,1), OFFSET('Monitoring Workbook'!MonWkBkDpstsInTrans, 20, 4, 1, 1))</f>
        <v>1</v>
      </c>
      <c r="E67" s="164">
        <f ca="1">OFFSET('Monitoring Workbook'!MonWkBkDpstsInTrans, 20, 6, 1, 1)</f>
        <v>0</v>
      </c>
      <c r="F67" s="206" t="str">
        <f ca="1">IF(OFFSET('Monitoring Workbook'!TrstFndTrialBals, 20, 3, 1, 1) = 0, "", OFFSET('Monitoring Workbook'!TrstFndTrialBals, 20, 3, 1, 1))</f>
        <v/>
      </c>
      <c r="G67" s="164">
        <f ca="1">OFFSET('Monitoring Workbook'!TrstFndTrialBals, 20, 4, 1, 1)</f>
        <v>0</v>
      </c>
    </row>
    <row r="68" spans="1:7" s="62" customFormat="1">
      <c r="A68" s="184">
        <f ca="1">OFFSET('Monitoring Workbook'!MonWkBkChecksAndDeposits, 21, 5, 1, 1)</f>
        <v>0</v>
      </c>
      <c r="B68" s="165">
        <f ca="1">IF(OFFSET('Monitoring Workbook'!MonWkBkChecksAndDeposits, 21, 6, 1, 1)=DATE(1900,1,0), DATE(1900,1,1), OFFSET('Monitoring Workbook'!MonWkBkChecksAndDeposits, 21, 6, 1, 1))</f>
        <v>1</v>
      </c>
      <c r="C68" s="164">
        <f ca="1">OFFSET('Monitoring Workbook'!MonWkBkChecksAndDeposits, 21, 8, 1, 1)</f>
        <v>0</v>
      </c>
      <c r="D68" s="166">
        <f ca="1">IF(OFFSET('Monitoring Workbook'!MonWkBkDpstsInTrans, 21, 4, 1, 1)=DATE(1900,1,0), DATE(1900,1,1), OFFSET('Monitoring Workbook'!MonWkBkDpstsInTrans, 21, 4, 1, 1))</f>
        <v>1</v>
      </c>
      <c r="E68" s="164">
        <f ca="1">OFFSET('Monitoring Workbook'!MonWkBkDpstsInTrans, 21, 6, 1, 1)</f>
        <v>0</v>
      </c>
      <c r="F68" s="206" t="str">
        <f ca="1">IF(OFFSET('Monitoring Workbook'!TrstFndTrialBals, 21, 3, 1, 1) = 0, "", OFFSET('Monitoring Workbook'!TrstFndTrialBals, 21, 3, 1, 1))</f>
        <v/>
      </c>
      <c r="G68" s="164">
        <f ca="1">OFFSET('Monitoring Workbook'!TrstFndTrialBals, 24, 1, 1, 1)</f>
        <v>0</v>
      </c>
    </row>
    <row r="69" spans="1:7" s="62" customFormat="1">
      <c r="A69" s="184">
        <f ca="1">OFFSET('Monitoring Workbook'!MonWkBkChecksAndDeposits, 22, 5, 1, 1)</f>
        <v>0</v>
      </c>
      <c r="B69" s="165">
        <f ca="1">IF(OFFSET('Monitoring Workbook'!MonWkBkChecksAndDeposits, 22, 6, 1, 1)=DATE(1900,1,0), DATE(1900,1,1), OFFSET('Monitoring Workbook'!MonWkBkChecksAndDeposits, 22, 6, 1, 1))</f>
        <v>1</v>
      </c>
      <c r="C69" s="164">
        <f ca="1">OFFSET('Monitoring Workbook'!MonWkBkChecksAndDeposits, 22, 8, 1, 1)</f>
        <v>0</v>
      </c>
      <c r="D69" s="166">
        <f ca="1">IF(OFFSET('Monitoring Workbook'!MonWkBkDpstsInTrans, 22, 4, 1, 1)=DATE(1900,1,0), DATE(1900,1,1), OFFSET('Monitoring Workbook'!MonWkBkDpstsInTrans, 22, 4, 1, 1))</f>
        <v>1</v>
      </c>
      <c r="E69" s="164">
        <f ca="1">OFFSET('Monitoring Workbook'!MonWkBkDpstsInTrans, 22, 6, 1, 1)</f>
        <v>0</v>
      </c>
      <c r="F69" s="206" t="str">
        <f ca="1">IF(OFFSET('Monitoring Workbook'!TrstFndTrialBals, 22, 3, 1, 1) = 0, "", OFFSET('Monitoring Workbook'!TrstFndTrialBals, 22, 3, 1, 1))</f>
        <v/>
      </c>
      <c r="G69" s="164">
        <f ca="1">OFFSET('Monitoring Workbook'!TrstFndTrialBals, 22, 4, 1, 1)</f>
        <v>0</v>
      </c>
    </row>
    <row r="70" spans="1:7" s="62" customFormat="1">
      <c r="A70" s="184">
        <f ca="1">OFFSET('Monitoring Workbook'!MonWkBkChecksAndDeposits, 23, 5, 1, 1)</f>
        <v>0</v>
      </c>
      <c r="B70" s="165">
        <f ca="1">IF(OFFSET('Monitoring Workbook'!MonWkBkChecksAndDeposits, 23, 6, 1, 1)=DATE(1900,1,0), DATE(1900,1,1), OFFSET('Monitoring Workbook'!MonWkBkChecksAndDeposits, 23, 6, 1, 1))</f>
        <v>1</v>
      </c>
      <c r="C70" s="164">
        <f ca="1">OFFSET('Monitoring Workbook'!MonWkBkChecksAndDeposits, 23, 8, 1, 1)</f>
        <v>0</v>
      </c>
      <c r="D70" s="166">
        <f ca="1">IF(OFFSET('Monitoring Workbook'!MonWkBkDpstsInTrans, 23, 4, 1, 1)=DATE(1900,1,0), DATE(1900,1,1), OFFSET('Monitoring Workbook'!MonWkBkDpstsInTrans, 23, 4, 1, 1))</f>
        <v>1</v>
      </c>
      <c r="E70" s="164">
        <f ca="1">OFFSET('Monitoring Workbook'!MonWkBkDpstsInTrans, 23, 6, 1, 1)</f>
        <v>0</v>
      </c>
      <c r="F70" s="206" t="str">
        <f ca="1">IF(OFFSET('Monitoring Workbook'!TrstFndTrialBals, 23, 3, 1, 1) = 0, "", OFFSET('Monitoring Workbook'!TrstFndTrialBals, 23, 3, 1, 1))</f>
        <v/>
      </c>
      <c r="G70" s="164">
        <f ca="1">OFFSET('Monitoring Workbook'!TrstFndTrialBals, 23, 4, 1, 1)</f>
        <v>0</v>
      </c>
    </row>
    <row r="71" spans="1:7" s="62" customFormat="1">
      <c r="A71" s="184">
        <f ca="1">OFFSET('Monitoring Workbook'!MonWkBkChecksAndDeposits, 24, 5, 1, 1)</f>
        <v>0</v>
      </c>
      <c r="B71" s="165">
        <f ca="1">IF(OFFSET('Monitoring Workbook'!MonWkBkChecksAndDeposits, 24, 6, 1, 1)=DATE(1900,1,0), DATE(1900,1,1), OFFSET('Monitoring Workbook'!MonWkBkChecksAndDeposits, 24, 6, 1, 1))</f>
        <v>1</v>
      </c>
      <c r="C71" s="164">
        <f ca="1">OFFSET('Monitoring Workbook'!MonWkBkChecksAndDeposits, 24, 8, 1, 1)</f>
        <v>0</v>
      </c>
      <c r="D71" s="166">
        <f ca="1">IF(OFFSET('Monitoring Workbook'!MonWkBkDpstsInTrans, 24, 4, 1, 1)=DATE(1900,1,0), DATE(1900,1,1), OFFSET('Monitoring Workbook'!MonWkBkDpstsInTrans, 24, 4, 1, 1))</f>
        <v>1</v>
      </c>
      <c r="E71" s="164">
        <f ca="1">OFFSET('Monitoring Workbook'!MonWkBkDpstsInTrans, 24, 6, 1, 1)</f>
        <v>0</v>
      </c>
      <c r="F71" s="206" t="str">
        <f ca="1">IF(OFFSET('Monitoring Workbook'!TrstFndTrialBals, 24, 3, 1, 1) = 0, "", OFFSET('Monitoring Workbook'!TrstFndTrialBals, 24, 3, 1, 1))</f>
        <v/>
      </c>
      <c r="G71" s="164">
        <f ca="1">OFFSET('Monitoring Workbook'!TrstFndTrialBals, 24, 4, 1, 1)</f>
        <v>0</v>
      </c>
    </row>
    <row r="72" spans="1:7" s="62" customFormat="1">
      <c r="A72" s="184">
        <f ca="1">OFFSET('Monitoring Workbook'!MonWkBkChecksAndDeposits, 25, 5, 1, 1)</f>
        <v>0</v>
      </c>
      <c r="B72" s="165">
        <f ca="1">IF(OFFSET('Monitoring Workbook'!MonWkBkChecksAndDeposits, 25, 6, 1, 1)=DATE(1900,1,0), DATE(1900,1,1), OFFSET('Monitoring Workbook'!MonWkBkChecksAndDeposits, 25, 6, 1, 1))</f>
        <v>1</v>
      </c>
      <c r="C72" s="164">
        <f ca="1">OFFSET('Monitoring Workbook'!MonWkBkChecksAndDeposits, 25, 8, 1, 1)</f>
        <v>0</v>
      </c>
      <c r="D72" s="166">
        <f ca="1">IF(OFFSET('Monitoring Workbook'!MonWkBkDpstsInTrans, 25, 4, 1, 1)=DATE(1900,1,0), DATE(1900,1,1), OFFSET('Monitoring Workbook'!MonWkBkDpstsInTrans, 25, 4, 1, 1))</f>
        <v>1</v>
      </c>
      <c r="E72" s="164">
        <f ca="1">OFFSET('Monitoring Workbook'!MonWkBkDpstsInTrans, 25, 6, 1, 1)</f>
        <v>0</v>
      </c>
      <c r="F72" s="206" t="str">
        <f ca="1">IF(OFFSET('Monitoring Workbook'!TrstFndTrialBals, 25, 3, 1, 1) = 0, "", OFFSET('Monitoring Workbook'!TrstFndTrialBals, 25, 3, 1, 1))</f>
        <v/>
      </c>
      <c r="G72" s="164">
        <f ca="1">OFFSET('Monitoring Workbook'!TrstFndTrialBals, 25, 4, 1, 1)</f>
        <v>0</v>
      </c>
    </row>
    <row r="73" spans="1:7" s="62" customFormat="1">
      <c r="A73" s="184">
        <f ca="1">OFFSET('Monitoring Workbook'!MonWkBkChecksAndDeposits, 26, 5, 1, 1)</f>
        <v>0</v>
      </c>
      <c r="B73" s="165">
        <f ca="1">IF(OFFSET('Monitoring Workbook'!MonWkBkChecksAndDeposits, 26, 6, 1, 1)=DATE(1900,1,0), DATE(1900,1,1), OFFSET('Monitoring Workbook'!MonWkBkChecksAndDeposits, 26, 6, 1, 1))</f>
        <v>1</v>
      </c>
      <c r="C73" s="164">
        <f ca="1">OFFSET('Monitoring Workbook'!MonWkBkChecksAndDeposits, 26, 8, 1, 1)</f>
        <v>0</v>
      </c>
      <c r="D73" s="166">
        <f ca="1">IF(OFFSET('Monitoring Workbook'!MonWkBkDpstsInTrans, 26, 4, 1, 1)=DATE(1900,1,0), DATE(1900,1,1), OFFSET('Monitoring Workbook'!MonWkBkDpstsInTrans, 26, 4, 1, 1))</f>
        <v>1</v>
      </c>
      <c r="E73" s="164">
        <f ca="1">OFFSET('Monitoring Workbook'!MonWkBkDpstsInTrans, 26, 6, 1, 1)</f>
        <v>0</v>
      </c>
      <c r="F73" s="206" t="str">
        <f ca="1">IF(OFFSET('Monitoring Workbook'!TrstFndTrialBals, 26, 3, 1, 1) = 0, "", OFFSET('Monitoring Workbook'!TrstFndTrialBals, 26, 3, 1, 1))</f>
        <v/>
      </c>
      <c r="G73" s="164">
        <f ca="1">OFFSET('Monitoring Workbook'!TrstFndTrialBals, 26, 4, 1, 1)</f>
        <v>0</v>
      </c>
    </row>
    <row r="74" spans="1:7" s="62" customFormat="1">
      <c r="A74" s="184">
        <f ca="1">OFFSET('Monitoring Workbook'!MonWkBkChecksAndDeposits, 27, 5, 1, 1)</f>
        <v>0</v>
      </c>
      <c r="B74" s="165">
        <f ca="1">IF(OFFSET('Monitoring Workbook'!MonWkBkChecksAndDeposits, 27, 6, 1, 1)=DATE(1900,1,0), DATE(1900,1,1), OFFSET('Monitoring Workbook'!MonWkBkChecksAndDeposits, 27, 6, 1, 1))</f>
        <v>1</v>
      </c>
      <c r="C74" s="164">
        <f ca="1">OFFSET('Monitoring Workbook'!MonWkBkChecksAndDeposits, 27, 8, 1, 1)</f>
        <v>0</v>
      </c>
      <c r="D74" s="166">
        <f ca="1">IF(OFFSET('Monitoring Workbook'!MonWkBkDpstsInTrans, 27, 4, 1, 1)=DATE(1900,1,0), DATE(1900,1,1), OFFSET('Monitoring Workbook'!MonWkBkDpstsInTrans, 27, 4, 1, 1))</f>
        <v>1</v>
      </c>
      <c r="E74" s="164">
        <f ca="1">OFFSET('Monitoring Workbook'!MonWkBkDpstsInTrans, 27, 6, 1, 1)</f>
        <v>0</v>
      </c>
      <c r="F74" s="206" t="str">
        <f ca="1">IF(OFFSET('Monitoring Workbook'!TrstFndTrialBals, 27, 3, 1, 1) = 0, "", OFFSET('Monitoring Workbook'!TrstFndTrialBals, 27, 3, 1, 1))</f>
        <v/>
      </c>
      <c r="G74" s="164">
        <f ca="1">OFFSET('Monitoring Workbook'!TrstFndTrialBals, 27, 4, 1, 1)</f>
        <v>0</v>
      </c>
    </row>
    <row r="75" spans="1:7" s="62" customFormat="1">
      <c r="A75" s="184">
        <f ca="1">OFFSET('Monitoring Workbook'!MonWkBkChecksAndDeposits, 28, 5, 1, 1)</f>
        <v>0</v>
      </c>
      <c r="B75" s="165">
        <f ca="1">IF(OFFSET('Monitoring Workbook'!MonWkBkChecksAndDeposits, 28, 6, 1, 1)=DATE(1900,1,0), DATE(1900,1,1), OFFSET('Monitoring Workbook'!MonWkBkChecksAndDeposits, 28, 6, 1, 1))</f>
        <v>1</v>
      </c>
      <c r="C75" s="164">
        <f ca="1">OFFSET('Monitoring Workbook'!MonWkBkChecksAndDeposits, 28, 8, 1, 1)</f>
        <v>0</v>
      </c>
      <c r="D75" s="166">
        <f ca="1">IF(OFFSET('Monitoring Workbook'!MonWkBkDpstsInTrans, 28, 4, 1, 1)=DATE(1900,1,0), DATE(1900,1,1), OFFSET('Monitoring Workbook'!MonWkBkDpstsInTrans, 28, 4, 1, 1))</f>
        <v>1</v>
      </c>
      <c r="E75" s="164">
        <f ca="1">OFFSET('Monitoring Workbook'!MonWkBkDpstsInTrans, 28, 6, 1, 1)</f>
        <v>0</v>
      </c>
      <c r="F75" s="206" t="str">
        <f ca="1">IF(OFFSET('Monitoring Workbook'!TrstFndTrialBals, 28, 3, 1, 1) = 0, "", OFFSET('Monitoring Workbook'!TrstFndTrialBals, 28, 3, 1, 1))</f>
        <v/>
      </c>
      <c r="G75" s="164">
        <f ca="1">OFFSET('Monitoring Workbook'!TrstFndTrialBals, 28, 4, 1, 1)</f>
        <v>0</v>
      </c>
    </row>
    <row r="76" spans="1:7" s="62" customFormat="1">
      <c r="A76" s="184">
        <f ca="1">OFFSET('Monitoring Workbook'!MonWkBkChecksAndDeposits, 29, 5, 1, 1)</f>
        <v>0</v>
      </c>
      <c r="B76" s="165">
        <f ca="1">IF(OFFSET('Monitoring Workbook'!MonWkBkChecksAndDeposits, 29, 6, 1, 1)=DATE(1900,1,0), DATE(1900,1,1), OFFSET('Monitoring Workbook'!MonWkBkChecksAndDeposits, 29, 6, 1, 1))</f>
        <v>1</v>
      </c>
      <c r="C76" s="164">
        <f ca="1">OFFSET('Monitoring Workbook'!MonWkBkChecksAndDeposits, 29, 8, 1, 1)</f>
        <v>0</v>
      </c>
      <c r="D76" s="166">
        <f ca="1">IF(OFFSET('Monitoring Workbook'!MonWkBkDpstsInTrans, 29, 4, 1, 1)=DATE(1900,1,0), DATE(1900,1,1), OFFSET('Monitoring Workbook'!MonWkBkDpstsInTrans, 29, 4, 1, 1))</f>
        <v>1</v>
      </c>
      <c r="E76" s="164">
        <f ca="1">OFFSET('Monitoring Workbook'!MonWkBkDpstsInTrans, 29, 6, 1, 1)</f>
        <v>0</v>
      </c>
      <c r="F76" s="206" t="str">
        <f ca="1">IF(OFFSET('Monitoring Workbook'!TrstFndTrialBals, 29, 3, 1, 1) = 0, "", OFFSET('Monitoring Workbook'!TrstFndTrialBals, 29, 3, 1, 1))</f>
        <v/>
      </c>
      <c r="G76" s="164">
        <f ca="1">OFFSET('Monitoring Workbook'!TrstFndTrialBals, 29, 4, 1, 1)</f>
        <v>0</v>
      </c>
    </row>
    <row r="77" spans="1:7" s="62" customFormat="1">
      <c r="A77" s="184">
        <f ca="1">OFFSET('Monitoring Workbook'!MonWkBkChecksAndDeposits, 0, 10, 1, 1)</f>
        <v>0</v>
      </c>
      <c r="B77" s="165">
        <f ca="1">IF(OFFSET('Monitoring Workbook'!MonWkBkChecksAndDeposits, 0, 11, 1, 1)=DATE(1900,1,0), DATE(1900,1,1), OFFSET('Monitoring Workbook'!MonWkBkChecksAndDeposits, 0, 11, 1, 1))</f>
        <v>1</v>
      </c>
      <c r="C77" s="164">
        <f ca="1">OFFSET('Monitoring Workbook'!MonWkBkChecksAndDeposits, 0, 13, 1, 1)</f>
        <v>0</v>
      </c>
      <c r="D77" s="166">
        <f ca="1">IF(OFFSET('Monitoring Workbook'!MonWkBkDpstsInTrans, 0, 8, 1, 1)=DATE(1900,1,0), DATE(1900,1,1), OFFSET('Monitoring Workbook'!MonWkBkDpstsInTrans, 0, 8, 1, 1))</f>
        <v>1</v>
      </c>
      <c r="E77" s="164">
        <f ca="1">OFFSET('Monitoring Workbook'!MonWkBkDpstsInTrans, 0, 10, 1, 1)</f>
        <v>0</v>
      </c>
      <c r="F77" s="206" t="str">
        <f ca="1">IF(OFFSET('Monitoring Workbook'!TrstFndTrialBals, 0, 6, 1, 1) = 0, "", OFFSET('Monitoring Workbook'!TrstFndTrialBals, 0, 6, 1, 1))</f>
        <v/>
      </c>
      <c r="G77" s="164">
        <f ca="1">OFFSET('Monitoring Workbook'!TrstFndTrialBals, 0, 7, 1, 1)</f>
        <v>0</v>
      </c>
    </row>
    <row r="78" spans="1:7" s="62" customFormat="1">
      <c r="A78" s="176">
        <f ca="1">OFFSET('Monitoring Workbook'!MonWkBkChecksAndDeposits, 1, 10, 1, 1)</f>
        <v>0</v>
      </c>
      <c r="B78" s="165">
        <f ca="1">IF(OFFSET('Monitoring Workbook'!MonWkBkChecksAndDeposits, 1, 11, 1, 1)=DATE(1900,1,0), DATE(1900,1,1), OFFSET('Monitoring Workbook'!MonWkBkChecksAndDeposits, 1, 11, 1, 1))</f>
        <v>1</v>
      </c>
      <c r="C78" s="164">
        <f ca="1">OFFSET('Monitoring Workbook'!MonWkBkChecksAndDeposits, 1, 13, 1, 1)</f>
        <v>0</v>
      </c>
      <c r="D78" s="166">
        <f ca="1">IF(OFFSET('Monitoring Workbook'!MonWkBkDpstsInTrans, 1, 8, 1, 1)=DATE(1900,1,0), DATE(1900,1,1), OFFSET('Monitoring Workbook'!MonWkBkDpstsInTrans, 1, 8, 1, 1))</f>
        <v>1</v>
      </c>
      <c r="E78" s="164">
        <f ca="1">OFFSET('Monitoring Workbook'!MonWkBkDpstsInTrans, 1, 10, 1, 1)</f>
        <v>0</v>
      </c>
      <c r="F78" s="206" t="str">
        <f ca="1">IF(OFFSET('Monitoring Workbook'!TrstFndTrialBals, 1, 6, 1, 1) = 0, "", OFFSET('Monitoring Workbook'!TrstFndTrialBals, 1, 6, 1, 1))</f>
        <v/>
      </c>
      <c r="G78" s="164">
        <f ca="1">OFFSET('Monitoring Workbook'!TrstFndTrialBals, 7, 1, 1, 1)</f>
        <v>0</v>
      </c>
    </row>
    <row r="79" spans="1:7" s="62" customFormat="1">
      <c r="A79" s="184">
        <f ca="1">OFFSET('Monitoring Workbook'!MonWkBkChecksAndDeposits, 2, 10, 1, 1)</f>
        <v>0</v>
      </c>
      <c r="B79" s="165">
        <f ca="1">IF(OFFSET('Monitoring Workbook'!MonWkBkChecksAndDeposits, 2, 11, 1, 1)=DATE(1900,1,0), DATE(1900,1,1), OFFSET('Monitoring Workbook'!MonWkBkChecksAndDeposits, 2, 11, 1, 1))</f>
        <v>1</v>
      </c>
      <c r="C79" s="164">
        <f ca="1">OFFSET('Monitoring Workbook'!MonWkBkChecksAndDeposits, 2, 13, 1, 1)</f>
        <v>0</v>
      </c>
      <c r="D79" s="166">
        <f ca="1">IF(OFFSET('Monitoring Workbook'!MonWkBkDpstsInTrans, 2, 8, 1, 1)=DATE(1900,1,0), DATE(1900,1,1), OFFSET('Monitoring Workbook'!MonWkBkDpstsInTrans, 2, 8, 1, 1))</f>
        <v>1</v>
      </c>
      <c r="E79" s="164">
        <f ca="1">OFFSET('Monitoring Workbook'!MonWkBkDpstsInTrans, 2, 10, 1, 1)</f>
        <v>0</v>
      </c>
      <c r="F79" s="206" t="str">
        <f ca="1">IF(OFFSET('Monitoring Workbook'!TrstFndTrialBals, 2, 6, 1, 1) = 0, "", OFFSET('Monitoring Workbook'!TrstFndTrialBals, 2, 6, 1, 1))</f>
        <v/>
      </c>
      <c r="G79" s="164">
        <f ca="1">OFFSET('Monitoring Workbook'!TrstFndTrialBals, 2, 7, 1, 1)</f>
        <v>0</v>
      </c>
    </row>
    <row r="80" spans="1:7" s="62" customFormat="1">
      <c r="A80" s="184">
        <f ca="1">OFFSET('Monitoring Workbook'!MonWkBkChecksAndDeposits, 3, 10, 1, 1)</f>
        <v>0</v>
      </c>
      <c r="B80" s="165">
        <f ca="1">IF(OFFSET('Monitoring Workbook'!MonWkBkChecksAndDeposits, 3, 11, 1, 1)=DATE(1900,1,0), DATE(1900,1,1), OFFSET('Monitoring Workbook'!MonWkBkChecksAndDeposits, 3, 11, 1, 1))</f>
        <v>1</v>
      </c>
      <c r="C80" s="164">
        <f ca="1">OFFSET('Monitoring Workbook'!MonWkBkChecksAndDeposits, 3, 13, 1, 1)</f>
        <v>0</v>
      </c>
      <c r="D80" s="166">
        <f ca="1">IF(OFFSET('Monitoring Workbook'!MonWkBkDpstsInTrans, 3, 8, 1, 1)=DATE(1900,1,0), DATE(1900,1,1), OFFSET('Monitoring Workbook'!MonWkBkDpstsInTrans, 3, 8, 1, 1))</f>
        <v>1</v>
      </c>
      <c r="E80" s="164">
        <f ca="1">OFFSET('Monitoring Workbook'!MonWkBkDpstsInTrans, 3, 10, 1, 1)</f>
        <v>0</v>
      </c>
      <c r="F80" s="206" t="str">
        <f ca="1">IF(OFFSET('Monitoring Workbook'!TrstFndTrialBals, 3, 6, 1, 1) = 0, "", OFFSET('Monitoring Workbook'!TrstFndTrialBals, 3, 6, 1, 1))</f>
        <v/>
      </c>
      <c r="G80" s="164">
        <f ca="1">OFFSET('Monitoring Workbook'!TrstFndTrialBals, 3, 7, 1, 1)</f>
        <v>0</v>
      </c>
    </row>
    <row r="81" spans="1:7" s="62" customFormat="1">
      <c r="A81" s="184">
        <f ca="1">OFFSET('Monitoring Workbook'!MonWkBkChecksAndDeposits, 4, 10, 1, 1)</f>
        <v>0</v>
      </c>
      <c r="B81" s="165">
        <f ca="1">IF(OFFSET('Monitoring Workbook'!MonWkBkChecksAndDeposits, 4, 11, 1, 1)=DATE(1900,1,0), DATE(1900,1,1), OFFSET('Monitoring Workbook'!MonWkBkChecksAndDeposits, 4, 11, 1, 1))</f>
        <v>1</v>
      </c>
      <c r="C81" s="164">
        <f ca="1">OFFSET('Monitoring Workbook'!MonWkBkChecksAndDeposits, 4, 13, 1, 1)</f>
        <v>0</v>
      </c>
      <c r="D81" s="166">
        <f ca="1">IF(OFFSET('Monitoring Workbook'!MonWkBkDpstsInTrans, 4, 8, 1, 1)=DATE(1900,1,0), DATE(1900,1,1), OFFSET('Monitoring Workbook'!MonWkBkDpstsInTrans, 4, 8, 1, 1))</f>
        <v>1</v>
      </c>
      <c r="E81" s="164">
        <f ca="1">OFFSET('Monitoring Workbook'!MonWkBkDpstsInTrans, 4, 10, 1, 1)</f>
        <v>0</v>
      </c>
      <c r="F81" s="206" t="str">
        <f ca="1">IF(OFFSET('Monitoring Workbook'!TrstFndTrialBals, 4, 6, 1, 1) = 0, "", OFFSET('Monitoring Workbook'!TrstFndTrialBals, 4, 6, 1, 1))</f>
        <v/>
      </c>
      <c r="G81" s="164">
        <f ca="1">OFFSET('Monitoring Workbook'!TrstFndTrialBals, 4, 7, 1, 1)</f>
        <v>0</v>
      </c>
    </row>
    <row r="82" spans="1:7" s="62" customFormat="1">
      <c r="A82" s="176">
        <f ca="1">OFFSET('Monitoring Workbook'!MonWkBkChecksAndDeposits, 5, 10, 1, 1)</f>
        <v>0</v>
      </c>
      <c r="B82" s="165">
        <f ca="1">IF(OFFSET('Monitoring Workbook'!MonWkBkChecksAndDeposits, 5, 11, 1, 1)=DATE(1900,1,0), DATE(1900,1,1), OFFSET('Monitoring Workbook'!MonWkBkChecksAndDeposits, 5, 11, 1, 1))</f>
        <v>1</v>
      </c>
      <c r="C82" s="164">
        <f ca="1">OFFSET('Monitoring Workbook'!MonWkBkChecksAndDeposits, 5, 13, 1, 1)</f>
        <v>0</v>
      </c>
      <c r="D82" s="166">
        <f ca="1">IF(OFFSET('Monitoring Workbook'!MonWkBkDpstsInTrans, 5, 8, 1, 1)=DATE(1900,1,0), DATE(1900,1,1), OFFSET('Monitoring Workbook'!MonWkBkDpstsInTrans, 5, 8, 1, 1))</f>
        <v>1</v>
      </c>
      <c r="E82" s="164">
        <f ca="1">OFFSET('Monitoring Workbook'!MonWkBkDpstsInTrans, 5, 10, 1, 1)</f>
        <v>0</v>
      </c>
      <c r="F82" s="206" t="str">
        <f ca="1">IF(OFFSET('Monitoring Workbook'!TrstFndTrialBals, 5, 6, 1, 1) = 0, "", OFFSET('Monitoring Workbook'!TrstFndTrialBals, 5, 6, 1, 1))</f>
        <v/>
      </c>
      <c r="G82" s="164">
        <f ca="1">OFFSET('Monitoring Workbook'!TrstFndTrialBals, 5, 7, 1, 1)</f>
        <v>0</v>
      </c>
    </row>
    <row r="83" spans="1:7" s="62" customFormat="1">
      <c r="A83" s="184">
        <f ca="1">OFFSET('Monitoring Workbook'!MonWkBkChecksAndDeposits, 6, 10, 1, 1)</f>
        <v>0</v>
      </c>
      <c r="B83" s="165">
        <f ca="1">IF(OFFSET('Monitoring Workbook'!MonWkBkChecksAndDeposits, 6, 11, 1, 1)=DATE(1900,1,0), DATE(1900,1,1), OFFSET('Monitoring Workbook'!MonWkBkChecksAndDeposits, 6, 11, 1, 1))</f>
        <v>1</v>
      </c>
      <c r="C83" s="164">
        <f ca="1">OFFSET('Monitoring Workbook'!MonWkBkChecksAndDeposits, 6, 13, 1, 1)</f>
        <v>0</v>
      </c>
      <c r="D83" s="166">
        <f ca="1">IF(OFFSET('Monitoring Workbook'!MonWkBkDpstsInTrans, 6, 8, 1, 1)=DATE(1900,1,0), DATE(1900,1,1), OFFSET('Monitoring Workbook'!MonWkBkDpstsInTrans, 6, 8, 1, 1))</f>
        <v>1</v>
      </c>
      <c r="E83" s="164">
        <f ca="1">OFFSET('Monitoring Workbook'!MonWkBkDpstsInTrans, 6, 10, 1, 1)</f>
        <v>0</v>
      </c>
      <c r="F83" s="206" t="str">
        <f ca="1">IF(OFFSET('Monitoring Workbook'!TrstFndTrialBals, 6, 6, 1, 1) = 0, "", OFFSET('Monitoring Workbook'!TrstFndTrialBals, 6, 6, 1, 1))</f>
        <v/>
      </c>
      <c r="G83" s="164">
        <f ca="1">OFFSET('Monitoring Workbook'!TrstFndTrialBals, 6, 7, 1, 1)</f>
        <v>0</v>
      </c>
    </row>
    <row r="84" spans="1:7" s="62" customFormat="1">
      <c r="A84" s="184">
        <f ca="1">OFFSET('Monitoring Workbook'!MonWkBkChecksAndDeposits, 7, 10, 1, 1)</f>
        <v>0</v>
      </c>
      <c r="B84" s="165">
        <f ca="1">IF(OFFSET('Monitoring Workbook'!MonWkBkChecksAndDeposits, 7, 11, 1, 1)=DATE(1900,1,0), DATE(1900,1,1), OFFSET('Monitoring Workbook'!MonWkBkChecksAndDeposits, 7, 11, 1, 1))</f>
        <v>1</v>
      </c>
      <c r="C84" s="164">
        <f ca="1">OFFSET('Monitoring Workbook'!MonWkBkChecksAndDeposits, 7, 13, 1, 1)</f>
        <v>0</v>
      </c>
      <c r="D84" s="166">
        <f ca="1">IF(OFFSET('Monitoring Workbook'!MonWkBkDpstsInTrans, 7, 8, 1, 1)=DATE(1900,1,0), DATE(1900,1,1), OFFSET('Monitoring Workbook'!MonWkBkDpstsInTrans, 7, 8, 1, 1))</f>
        <v>1</v>
      </c>
      <c r="E84" s="164">
        <f ca="1">OFFSET('Monitoring Workbook'!MonWkBkDpstsInTrans, 7, 10, 1, 1)</f>
        <v>0</v>
      </c>
      <c r="F84" s="206" t="str">
        <f ca="1">IF(OFFSET('Monitoring Workbook'!TrstFndTrialBals, 7, 6, 1, 1) = 0, "", OFFSET('Monitoring Workbook'!TrstFndTrialBals, 7, 6, 1, 1))</f>
        <v/>
      </c>
      <c r="G84" s="164">
        <f ca="1">OFFSET('Monitoring Workbook'!TrstFndTrialBals, 7, 7, 1, 1)</f>
        <v>0</v>
      </c>
    </row>
    <row r="85" spans="1:7" s="62" customFormat="1">
      <c r="A85" s="184">
        <f ca="1">OFFSET('Monitoring Workbook'!MonWkBkChecksAndDeposits, 8, 10, 1, 1)</f>
        <v>0</v>
      </c>
      <c r="B85" s="165">
        <f ca="1">IF(OFFSET('Monitoring Workbook'!MonWkBkChecksAndDeposits, 8, 11, 1, 1)=DATE(1900,1,0), DATE(1900,1,1), OFFSET('Monitoring Workbook'!MonWkBkChecksAndDeposits, 8, 11, 1, 1))</f>
        <v>1</v>
      </c>
      <c r="C85" s="164">
        <f ca="1">OFFSET('Monitoring Workbook'!MonWkBkChecksAndDeposits, 8, 13, 1, 1)</f>
        <v>0</v>
      </c>
      <c r="D85" s="166">
        <f ca="1">IF(OFFSET('Monitoring Workbook'!MonWkBkDpstsInTrans, 8, 8, 1, 1)=DATE(1900,1,0), DATE(1900,1,1), OFFSET('Monitoring Workbook'!MonWkBkDpstsInTrans, 8, 8, 1, 1))</f>
        <v>1</v>
      </c>
      <c r="E85" s="164">
        <f ca="1">OFFSET('Monitoring Workbook'!MonWkBkDpstsInTrans, 8, 10, 1, 1)</f>
        <v>0</v>
      </c>
      <c r="F85" s="206" t="str">
        <f ca="1">IF(OFFSET('Monitoring Workbook'!TrstFndTrialBals, 8, 6, 1, 1) = 0, "", OFFSET('Monitoring Workbook'!TrstFndTrialBals, 8, 6, 1, 1))</f>
        <v/>
      </c>
      <c r="G85" s="164">
        <f ca="1">OFFSET('Monitoring Workbook'!TrstFndTrialBals, 8, 7, 1, 1)</f>
        <v>0</v>
      </c>
    </row>
    <row r="86" spans="1:7" s="62" customFormat="1">
      <c r="A86" s="184">
        <f ca="1">OFFSET('Monitoring Workbook'!MonWkBkChecksAndDeposits, 9, 10, 1, 1)</f>
        <v>0</v>
      </c>
      <c r="B86" s="165">
        <f ca="1">IF(OFFSET('Monitoring Workbook'!MonWkBkChecksAndDeposits, 9, 11, 1, 1)=DATE(1900,1,0), DATE(1900,1,1), OFFSET('Monitoring Workbook'!MonWkBkChecksAndDeposits, 9, 11, 1, 1))</f>
        <v>1</v>
      </c>
      <c r="C86" s="164">
        <f ca="1">OFFSET('Monitoring Workbook'!MonWkBkChecksAndDeposits, 9, 13, 1, 1)</f>
        <v>0</v>
      </c>
      <c r="D86" s="166">
        <f ca="1">IF(OFFSET('Monitoring Workbook'!MonWkBkDpstsInTrans, 9, 8, 1, 1)=DATE(1900,1,0), DATE(1900,1,1), OFFSET('Monitoring Workbook'!MonWkBkDpstsInTrans, 9, 8, 1, 1))</f>
        <v>1</v>
      </c>
      <c r="E86" s="164">
        <f ca="1">OFFSET('Monitoring Workbook'!MonWkBkDpstsInTrans, 9, 10, 1, 1)</f>
        <v>0</v>
      </c>
      <c r="F86" s="206" t="str">
        <f ca="1">IF(OFFSET('Monitoring Workbook'!TrstFndTrialBals, 9, 6, 1, 1) = 0, "", OFFSET('Monitoring Workbook'!TrstFndTrialBals, 9, 6, 1, 1))</f>
        <v/>
      </c>
      <c r="G86" s="164">
        <f ca="1">OFFSET('Monitoring Workbook'!TrstFndTrialBals, 9, 7, 1, 1)</f>
        <v>0</v>
      </c>
    </row>
    <row r="87" spans="1:7" s="62" customFormat="1">
      <c r="A87" s="184">
        <f ca="1">OFFSET('Monitoring Workbook'!MonWkBkChecksAndDeposits, 10, 10, 1, 1)</f>
        <v>0</v>
      </c>
      <c r="B87" s="165">
        <f ca="1">IF(OFFSET('Monitoring Workbook'!MonWkBkChecksAndDeposits, 10, 11, 1, 1)=DATE(1900,1,0), DATE(1900,1,1), OFFSET('Monitoring Workbook'!MonWkBkChecksAndDeposits, 10, 11, 1, 1))</f>
        <v>1</v>
      </c>
      <c r="C87" s="164">
        <f ca="1">OFFSET('Monitoring Workbook'!MonWkBkChecksAndDeposits, 10, 13, 1, 1)</f>
        <v>0</v>
      </c>
      <c r="D87" s="166">
        <f ca="1">IF(OFFSET('Monitoring Workbook'!MonWkBkDpstsInTrans, 10, 8, 1, 1)=DATE(1900,1,0), DATE(1900,1,1), OFFSET('Monitoring Workbook'!MonWkBkDpstsInTrans, 10, 8, 1, 1))</f>
        <v>1</v>
      </c>
      <c r="E87" s="164">
        <f ca="1">OFFSET('Monitoring Workbook'!MonWkBkDpstsInTrans, 10, 10, 1, 1)</f>
        <v>0</v>
      </c>
      <c r="F87" s="206" t="str">
        <f ca="1">IF(OFFSET('Monitoring Workbook'!TrstFndTrialBals, 10, 6, 1, 1) = 0, "", OFFSET('Monitoring Workbook'!TrstFndTrialBals, 10, 6, 1, 1))</f>
        <v/>
      </c>
      <c r="G87" s="164">
        <f ca="1">OFFSET('Monitoring Workbook'!TrstFndTrialBals, 10, 7, 1, 1)</f>
        <v>0</v>
      </c>
    </row>
    <row r="88" spans="1:7" s="62" customFormat="1">
      <c r="A88" s="184">
        <f ca="1">OFFSET('Monitoring Workbook'!MonWkBkChecksAndDeposits, 11, 10, 1, 1)</f>
        <v>0</v>
      </c>
      <c r="B88" s="165">
        <f ca="1">IF(OFFSET('Monitoring Workbook'!MonWkBkChecksAndDeposits, 11, 11, 1, 1)=DATE(1900,1,0), DATE(1900,1,1), OFFSET('Monitoring Workbook'!MonWkBkChecksAndDeposits, 11, 11, 1, 1))</f>
        <v>1</v>
      </c>
      <c r="C88" s="164">
        <f ca="1">OFFSET('Monitoring Workbook'!MonWkBkChecksAndDeposits, 11, 13, 1, 1)</f>
        <v>0</v>
      </c>
      <c r="D88" s="166">
        <f ca="1">IF(OFFSET('Monitoring Workbook'!MonWkBkDpstsInTrans, 11, 8, 1, 1)=DATE(1900,1,0), DATE(1900,1,1), OFFSET('Monitoring Workbook'!MonWkBkDpstsInTrans, 11, 8, 1, 1))</f>
        <v>1</v>
      </c>
      <c r="E88" s="164">
        <f ca="1">OFFSET('Monitoring Workbook'!MonWkBkDpstsInTrans, 11, 10, 1, 1)</f>
        <v>0</v>
      </c>
      <c r="F88" s="206" t="str">
        <f ca="1">IF(OFFSET('Monitoring Workbook'!TrstFndTrialBals, 11, 6, 1, 1) = 0, "", OFFSET('Monitoring Workbook'!TrstFndTrialBals, 11, 6, 1, 1))</f>
        <v/>
      </c>
      <c r="G88" s="164">
        <f ca="1">OFFSET('Monitoring Workbook'!TrstFndTrialBals, 17, 1, 1, 1)</f>
        <v>0</v>
      </c>
    </row>
    <row r="89" spans="1:7" s="62" customFormat="1">
      <c r="A89" s="184">
        <f ca="1">OFFSET('Monitoring Workbook'!MonWkBkChecksAndDeposits, 12, 10, 1, 1)</f>
        <v>0</v>
      </c>
      <c r="B89" s="165">
        <f ca="1">IF(OFFSET('Monitoring Workbook'!MonWkBkChecksAndDeposits, 12, 11, 1, 1)=DATE(1900,1,0), DATE(1900,1,1), OFFSET('Monitoring Workbook'!MonWkBkChecksAndDeposits, 12, 11, 1, 1))</f>
        <v>1</v>
      </c>
      <c r="C89" s="164">
        <f ca="1">OFFSET('Monitoring Workbook'!MonWkBkChecksAndDeposits, 12, 13, 1, 1)</f>
        <v>0</v>
      </c>
      <c r="D89" s="166">
        <f ca="1">IF(OFFSET('Monitoring Workbook'!MonWkBkDpstsInTrans, 12, 8, 1, 1)=DATE(1900,1,0), DATE(1900,1,1), OFFSET('Monitoring Workbook'!MonWkBkDpstsInTrans, 12, 8, 1, 1))</f>
        <v>1</v>
      </c>
      <c r="E89" s="164">
        <f ca="1">OFFSET('Monitoring Workbook'!MonWkBkDpstsInTrans, 12, 10, 1, 1)</f>
        <v>0</v>
      </c>
      <c r="F89" s="206" t="str">
        <f ca="1">IF(OFFSET('Monitoring Workbook'!TrstFndTrialBals, 12, 6, 1, 1) = 0, "", OFFSET('Monitoring Workbook'!TrstFndTrialBals, 12, 6, 1, 1))</f>
        <v/>
      </c>
      <c r="G89" s="164">
        <f ca="1">OFFSET('Monitoring Workbook'!TrstFndTrialBals, 12, 7, 1, 1)</f>
        <v>0</v>
      </c>
    </row>
    <row r="90" spans="1:7" s="62" customFormat="1">
      <c r="A90" s="184">
        <f ca="1">OFFSET('Monitoring Workbook'!MonWkBkChecksAndDeposits, 13, 10, 1, 1)</f>
        <v>0</v>
      </c>
      <c r="B90" s="165">
        <f ca="1">IF(OFFSET('Monitoring Workbook'!MonWkBkChecksAndDeposits, 13, 11, 1, 1)=DATE(1900,1,0), DATE(1900,1,1), OFFSET('Monitoring Workbook'!MonWkBkChecksAndDeposits, 13, 11, 1, 1))</f>
        <v>1</v>
      </c>
      <c r="C90" s="164">
        <f ca="1">OFFSET('Monitoring Workbook'!MonWkBkChecksAndDeposits, 13, 13, 1, 1)</f>
        <v>0</v>
      </c>
      <c r="D90" s="166">
        <f ca="1">IF(OFFSET('Monitoring Workbook'!MonWkBkDpstsInTrans, 13, 8, 1, 1)=DATE(1900,1,0), DATE(1900,1,1), OFFSET('Monitoring Workbook'!MonWkBkDpstsInTrans, 13, 8, 1, 1))</f>
        <v>1</v>
      </c>
      <c r="E90" s="164">
        <f ca="1">OFFSET('Monitoring Workbook'!MonWkBkDpstsInTrans, 13, 10, 1, 1)</f>
        <v>0</v>
      </c>
      <c r="F90" s="206" t="str">
        <f ca="1">IF(OFFSET('Monitoring Workbook'!TrstFndTrialBals, 13, 6, 1, 1) = 0, "", OFFSET('Monitoring Workbook'!TrstFndTrialBals, 13, 6, 1, 1))</f>
        <v/>
      </c>
      <c r="G90" s="164">
        <f ca="1">OFFSET('Monitoring Workbook'!TrstFndTrialBals, 13, 7, 1, 1)</f>
        <v>0</v>
      </c>
    </row>
    <row r="91" spans="1:7" s="62" customFormat="1">
      <c r="A91" s="184">
        <f ca="1">OFFSET('Monitoring Workbook'!MonWkBkChecksAndDeposits, 14, 10, 1, 1)</f>
        <v>0</v>
      </c>
      <c r="B91" s="165">
        <f ca="1">IF(OFFSET('Monitoring Workbook'!MonWkBkChecksAndDeposits, 14, 11, 1, 1)=DATE(1900,1,0), DATE(1900,1,1), OFFSET('Monitoring Workbook'!MonWkBkChecksAndDeposits, 14, 11, 1, 1))</f>
        <v>1</v>
      </c>
      <c r="C91" s="164">
        <f ca="1">OFFSET('Monitoring Workbook'!MonWkBkChecksAndDeposits, 14, 13, 1, 1)</f>
        <v>0</v>
      </c>
      <c r="D91" s="166">
        <f ca="1">IF(OFFSET('Monitoring Workbook'!MonWkBkDpstsInTrans, 14, 8, 1, 1)=DATE(1900,1,0), DATE(1900,1,1), OFFSET('Monitoring Workbook'!MonWkBkDpstsInTrans, 14, 8, 1, 1))</f>
        <v>1</v>
      </c>
      <c r="E91" s="164">
        <f ca="1">OFFSET('Monitoring Workbook'!MonWkBkDpstsInTrans, 14, 10, 1, 1)</f>
        <v>0</v>
      </c>
      <c r="F91" s="206" t="str">
        <f ca="1">IF(OFFSET('Monitoring Workbook'!TrstFndTrialBals, 14, 6, 1, 1) = 0, "", OFFSET('Monitoring Workbook'!TrstFndTrialBals, 14, 6, 1, 1))</f>
        <v/>
      </c>
      <c r="G91" s="164">
        <f ca="1">OFFSET('Monitoring Workbook'!TrstFndTrialBals, 14, 7, 1, 1)</f>
        <v>0</v>
      </c>
    </row>
    <row r="92" spans="1:7" s="62" customFormat="1">
      <c r="A92" s="184">
        <f ca="1">OFFSET('Monitoring Workbook'!MonWkBkChecksAndDeposits, 15, 10, 1, 1)</f>
        <v>0</v>
      </c>
      <c r="B92" s="165">
        <f ca="1">IF(OFFSET('Monitoring Workbook'!MonWkBkChecksAndDeposits, 15, 11, 1, 1)=DATE(1900,1,0), DATE(1900,1,1), OFFSET('Monitoring Workbook'!MonWkBkChecksAndDeposits, 15, 11, 1, 1))</f>
        <v>1</v>
      </c>
      <c r="C92" s="164">
        <f ca="1">OFFSET('Monitoring Workbook'!MonWkBkChecksAndDeposits, 15, 13, 1, 1)</f>
        <v>0</v>
      </c>
      <c r="D92" s="166">
        <f ca="1">IF(OFFSET('Monitoring Workbook'!MonWkBkDpstsInTrans, 15, 8, 1, 1)=DATE(1900,1,0), DATE(1900,1,1), OFFSET('Monitoring Workbook'!MonWkBkDpstsInTrans, 15, 8, 1, 1))</f>
        <v>1</v>
      </c>
      <c r="E92" s="164">
        <f ca="1">OFFSET('Monitoring Workbook'!MonWkBkDpstsInTrans, 15, 10, 1, 1)</f>
        <v>0</v>
      </c>
      <c r="F92" s="206" t="str">
        <f ca="1">IF(OFFSET('Monitoring Workbook'!TrstFndTrialBals, 15, 6, 1, 1) = 0, "", OFFSET('Monitoring Workbook'!TrstFndTrialBals, 15, 6, 1, 1))</f>
        <v/>
      </c>
      <c r="G92" s="164">
        <f ca="1">OFFSET('Monitoring Workbook'!TrstFndTrialBals, 15, 7, 1, 1)</f>
        <v>0</v>
      </c>
    </row>
    <row r="93" spans="1:7" s="62" customFormat="1">
      <c r="A93" s="184">
        <f ca="1">OFFSET('Monitoring Workbook'!MonWkBkChecksAndDeposits, 16, 10, 1, 1)</f>
        <v>0</v>
      </c>
      <c r="B93" s="165">
        <f ca="1">IF(OFFSET('Monitoring Workbook'!MonWkBkChecksAndDeposits, 16, 11, 1, 1)=DATE(1900,1,0), DATE(1900,1,1), OFFSET('Monitoring Workbook'!MonWkBkChecksAndDeposits, 16, 11, 1, 1))</f>
        <v>1</v>
      </c>
      <c r="C93" s="164">
        <f ca="1">OFFSET('Monitoring Workbook'!MonWkBkChecksAndDeposits, 16, 13, 1, 1)</f>
        <v>0</v>
      </c>
      <c r="D93" s="166">
        <f ca="1">IF(OFFSET('Monitoring Workbook'!MonWkBkDpstsInTrans, 16, 8, 1, 1)=DATE(1900,1,0), DATE(1900,1,1), OFFSET('Monitoring Workbook'!MonWkBkDpstsInTrans, 16, 8, 1, 1))</f>
        <v>1</v>
      </c>
      <c r="E93" s="164">
        <f ca="1">OFFSET('Monitoring Workbook'!MonWkBkDpstsInTrans, 16, 10, 1, 1)</f>
        <v>0</v>
      </c>
      <c r="F93" s="206" t="str">
        <f ca="1">IF(OFFSET('Monitoring Workbook'!TrstFndTrialBals, 16, 6, 1, 1) = 0, "", OFFSET('Monitoring Workbook'!TrstFndTrialBals, 16, 6, 1, 1))</f>
        <v/>
      </c>
      <c r="G93" s="164">
        <f ca="1">OFFSET('Monitoring Workbook'!TrstFndTrialBals, 16, 7, 1, 1)</f>
        <v>0</v>
      </c>
    </row>
    <row r="94" spans="1:7" s="62" customFormat="1">
      <c r="A94" s="184">
        <f ca="1">OFFSET('Monitoring Workbook'!MonWkBkChecksAndDeposits, 17, 10, 1, 1)</f>
        <v>0</v>
      </c>
      <c r="B94" s="165">
        <f ca="1">IF(OFFSET('Monitoring Workbook'!MonWkBkChecksAndDeposits, 17, 11, 1, 1)=DATE(1900,1,0), DATE(1900,1,1), OFFSET('Monitoring Workbook'!MonWkBkChecksAndDeposits, 17, 11, 1, 1))</f>
        <v>1</v>
      </c>
      <c r="C94" s="164">
        <f ca="1">OFFSET('Monitoring Workbook'!MonWkBkChecksAndDeposits, 17, 13, 1, 1)</f>
        <v>0</v>
      </c>
      <c r="D94" s="166">
        <f ca="1">IF(OFFSET('Monitoring Workbook'!MonWkBkDpstsInTrans, 17, 8, 1, 1)=DATE(1900,1,0), DATE(1900,1,1), OFFSET('Monitoring Workbook'!MonWkBkDpstsInTrans, 17, 8, 1, 1))</f>
        <v>1</v>
      </c>
      <c r="E94" s="164">
        <f ca="1">OFFSET('Monitoring Workbook'!MonWkBkDpstsInTrans, 17, 10, 1, 1)</f>
        <v>0</v>
      </c>
      <c r="F94" s="206" t="str">
        <f ca="1">IF(OFFSET('Monitoring Workbook'!TrstFndTrialBals, 17, 6, 1, 1) = 0, "", OFFSET('Monitoring Workbook'!TrstFndTrialBals, 17, 6, 1, 1))</f>
        <v/>
      </c>
      <c r="G94" s="164">
        <f ca="1">OFFSET('Monitoring Workbook'!TrstFndTrialBals, 17, 7, 1, 1)</f>
        <v>0</v>
      </c>
    </row>
    <row r="95" spans="1:7" s="62" customFormat="1">
      <c r="A95" s="184">
        <f ca="1">OFFSET('Monitoring Workbook'!MonWkBkChecksAndDeposits, 18, 10, 1, 1)</f>
        <v>0</v>
      </c>
      <c r="B95" s="165">
        <f ca="1">IF(OFFSET('Monitoring Workbook'!MonWkBkChecksAndDeposits, 18, 11, 1, 1)=DATE(1900,1,0), DATE(1900,1,1), OFFSET('Monitoring Workbook'!MonWkBkChecksAndDeposits, 18, 11, 1, 1))</f>
        <v>1</v>
      </c>
      <c r="C95" s="164">
        <f ca="1">OFFSET('Monitoring Workbook'!MonWkBkChecksAndDeposits, 18, 13, 1, 1)</f>
        <v>0</v>
      </c>
      <c r="D95" s="166">
        <f ca="1">IF(OFFSET('Monitoring Workbook'!MonWkBkDpstsInTrans, 18, 8, 1, 1)=DATE(1900,1,0), DATE(1900,1,1), OFFSET('Monitoring Workbook'!MonWkBkDpstsInTrans, 18, 8, 1, 1))</f>
        <v>1</v>
      </c>
      <c r="E95" s="164">
        <f ca="1">OFFSET('Monitoring Workbook'!MonWkBkDpstsInTrans, 18, 10, 1, 1)</f>
        <v>0</v>
      </c>
      <c r="F95" s="206" t="str">
        <f ca="1">IF(OFFSET('Monitoring Workbook'!TrstFndTrialBals, 18, 6, 1, 1) = 0, "", OFFSET('Monitoring Workbook'!TrstFndTrialBals, 18, 6, 1, 1))</f>
        <v/>
      </c>
      <c r="G95" s="164">
        <f ca="1">OFFSET('Monitoring Workbook'!TrstFndTrialBals, 18, 7, 1, 1)</f>
        <v>0</v>
      </c>
    </row>
    <row r="96" spans="1:7" s="62" customFormat="1">
      <c r="A96" s="184">
        <f ca="1">OFFSET('Monitoring Workbook'!MonWkBkChecksAndDeposits, 19, 10, 1, 1)</f>
        <v>0</v>
      </c>
      <c r="B96" s="165">
        <f ca="1">IF(OFFSET('Monitoring Workbook'!MonWkBkChecksAndDeposits, 19, 11, 1, 1)=DATE(1900,1,0), DATE(1900,1,1), OFFSET('Monitoring Workbook'!MonWkBkChecksAndDeposits, 19, 11, 1, 1))</f>
        <v>1</v>
      </c>
      <c r="C96" s="164">
        <f ca="1">OFFSET('Monitoring Workbook'!MonWkBkChecksAndDeposits, 19, 13, 1, 1)</f>
        <v>0</v>
      </c>
      <c r="D96" s="166">
        <f ca="1">IF(OFFSET('Monitoring Workbook'!MonWkBkDpstsInTrans, 19, 8, 1, 1)=DATE(1900,1,0), DATE(1900,1,1), OFFSET('Monitoring Workbook'!MonWkBkDpstsInTrans, 19, 8, 1, 1))</f>
        <v>1</v>
      </c>
      <c r="E96" s="164">
        <f ca="1">OFFSET('Monitoring Workbook'!MonWkBkDpstsInTrans, 19, 10, 1, 1)</f>
        <v>0</v>
      </c>
      <c r="F96" s="206" t="str">
        <f ca="1">IF(OFFSET('Monitoring Workbook'!TrstFndTrialBals, 19, 6, 1, 1) = 0, "", OFFSET('Monitoring Workbook'!TrstFndTrialBals, 19, 6, 1, 1))</f>
        <v/>
      </c>
      <c r="G96" s="164">
        <f ca="1">OFFSET('Monitoring Workbook'!TrstFndTrialBals, 19, 7, 1, 1)</f>
        <v>0</v>
      </c>
    </row>
    <row r="97" spans="1:16" s="62" customFormat="1">
      <c r="A97" s="184">
        <f ca="1">OFFSET('Monitoring Workbook'!MonWkBkChecksAndDeposits, 20, 10, 1, 1)</f>
        <v>0</v>
      </c>
      <c r="B97" s="165">
        <f ca="1">IF(OFFSET('Monitoring Workbook'!MonWkBkChecksAndDeposits, 20, 11, 1, 1)=DATE(1900,1,0), DATE(1900,1,1), OFFSET('Monitoring Workbook'!MonWkBkChecksAndDeposits, 20, 11, 1, 1))</f>
        <v>1</v>
      </c>
      <c r="C97" s="164">
        <f ca="1">OFFSET('Monitoring Workbook'!MonWkBkChecksAndDeposits, 20, 13, 1, 1)</f>
        <v>0</v>
      </c>
      <c r="D97" s="166">
        <f ca="1">IF(OFFSET('Monitoring Workbook'!MonWkBkDpstsInTrans, 20, 8, 1, 1)=DATE(1900,1,0), DATE(1900,1,1), OFFSET('Monitoring Workbook'!MonWkBkDpstsInTrans, 20, 8, 1, 1))</f>
        <v>1</v>
      </c>
      <c r="E97" s="164">
        <f ca="1">OFFSET('Monitoring Workbook'!MonWkBkDpstsInTrans, 20, 10, 1, 1)</f>
        <v>0</v>
      </c>
      <c r="F97" s="206" t="str">
        <f ca="1">IF(OFFSET('Monitoring Workbook'!TrstFndTrialBals, 20, 6, 1, 1) = 0, "", OFFSET('Monitoring Workbook'!TrstFndTrialBals, 20, 6, 1, 1))</f>
        <v/>
      </c>
      <c r="G97" s="164">
        <f ca="1">OFFSET('Monitoring Workbook'!TrstFndTrialBals, 20, 7, 1, 1)</f>
        <v>0</v>
      </c>
    </row>
    <row r="98" spans="1:16" s="62" customFormat="1">
      <c r="A98" s="184">
        <f ca="1">OFFSET('Monitoring Workbook'!MonWkBkChecksAndDeposits, 21, 10, 1, 1)</f>
        <v>0</v>
      </c>
      <c r="B98" s="165">
        <f ca="1">IF(OFFSET('Monitoring Workbook'!MonWkBkChecksAndDeposits, 21, 11, 1, 1)=DATE(1900,1,0), DATE(1900,1,1), OFFSET('Monitoring Workbook'!MonWkBkChecksAndDeposits, 21, 11, 1, 1))</f>
        <v>1</v>
      </c>
      <c r="C98" s="164">
        <f ca="1">OFFSET('Monitoring Workbook'!MonWkBkChecksAndDeposits, 21, 13, 1, 1)</f>
        <v>0</v>
      </c>
      <c r="D98" s="166">
        <f ca="1">IF(OFFSET('Monitoring Workbook'!MonWkBkDpstsInTrans, 21, 8, 1, 1)=DATE(1900,1,0), DATE(1900,1,1), OFFSET('Monitoring Workbook'!MonWkBkDpstsInTrans, 21, 8, 1, 1))</f>
        <v>1</v>
      </c>
      <c r="E98" s="164">
        <f ca="1">OFFSET('Monitoring Workbook'!MonWkBkDpstsInTrans, 21, 10, 1, 1)</f>
        <v>0</v>
      </c>
      <c r="F98" s="206" t="str">
        <f ca="1">IF(OFFSET('Monitoring Workbook'!TrstFndTrialBals, 21, 6, 1, 1) = 0, "", OFFSET('Monitoring Workbook'!TrstFndTrialBals, 21, 6, 1, 1))</f>
        <v/>
      </c>
      <c r="G98" s="164">
        <f ca="1">OFFSET('Monitoring Workbook'!TrstFndTrialBals, 27, 1, 1, 1)</f>
        <v>0</v>
      </c>
    </row>
    <row r="99" spans="1:16" s="62" customFormat="1">
      <c r="A99" s="184">
        <f ca="1">OFFSET('Monitoring Workbook'!MonWkBkChecksAndDeposits, 22, 10, 1, 1)</f>
        <v>0</v>
      </c>
      <c r="B99" s="165">
        <f ca="1">IF(OFFSET('Monitoring Workbook'!MonWkBkChecksAndDeposits, 22, 11, 1, 1)=DATE(1900,1,0), DATE(1900,1,1), OFFSET('Monitoring Workbook'!MonWkBkChecksAndDeposits, 22, 11, 1, 1))</f>
        <v>1</v>
      </c>
      <c r="C99" s="164">
        <f ca="1">OFFSET('Monitoring Workbook'!MonWkBkChecksAndDeposits, 22, 13, 1, 1)</f>
        <v>0</v>
      </c>
      <c r="D99" s="166">
        <f ca="1">IF(OFFSET('Monitoring Workbook'!MonWkBkDpstsInTrans, 22, 8, 1, 1)=DATE(1900,1,0), DATE(1900,1,1), OFFSET('Monitoring Workbook'!MonWkBkDpstsInTrans, 22, 8, 1, 1))</f>
        <v>1</v>
      </c>
      <c r="E99" s="164">
        <f ca="1">OFFSET('Monitoring Workbook'!MonWkBkDpstsInTrans, 22, 10, 1, 1)</f>
        <v>0</v>
      </c>
      <c r="F99" s="206" t="str">
        <f ca="1">IF(OFFSET('Monitoring Workbook'!TrstFndTrialBals, 22, 6, 1, 1) = 0, "", OFFSET('Monitoring Workbook'!TrstFndTrialBals, 22, 6, 1, 1))</f>
        <v/>
      </c>
      <c r="G99" s="164">
        <f ca="1">OFFSET('Monitoring Workbook'!TrstFndTrialBals, 22, 7, 1, 1)</f>
        <v>0</v>
      </c>
    </row>
    <row r="100" spans="1:16" s="62" customFormat="1">
      <c r="A100" s="184">
        <f ca="1">OFFSET('Monitoring Workbook'!MonWkBkChecksAndDeposits, 23, 10, 1, 1)</f>
        <v>0</v>
      </c>
      <c r="B100" s="165">
        <f ca="1">IF(OFFSET('Monitoring Workbook'!MonWkBkChecksAndDeposits, 23, 11, 1, 1)=DATE(1900,1,0), DATE(1900,1,1), OFFSET('Monitoring Workbook'!MonWkBkChecksAndDeposits, 23, 11, 1, 1))</f>
        <v>1</v>
      </c>
      <c r="C100" s="164">
        <f ca="1">OFFSET('Monitoring Workbook'!MonWkBkChecksAndDeposits, 23, 13, 1, 1)</f>
        <v>0</v>
      </c>
      <c r="D100" s="166">
        <f ca="1">IF(OFFSET('Monitoring Workbook'!MonWkBkDpstsInTrans, 23, 8, 1, 1)=DATE(1900,1,0), DATE(1900,1,1), OFFSET('Monitoring Workbook'!MonWkBkDpstsInTrans, 23, 8, 1, 1))</f>
        <v>1</v>
      </c>
      <c r="E100" s="164">
        <f ca="1">OFFSET('Monitoring Workbook'!MonWkBkDpstsInTrans, 23, 10, 1, 1)</f>
        <v>0</v>
      </c>
      <c r="F100" s="206" t="str">
        <f ca="1">IF(OFFSET('Monitoring Workbook'!TrstFndTrialBals, 23, 6, 1, 1) = 0, "", OFFSET('Monitoring Workbook'!TrstFndTrialBals, 23, 6, 1, 1))</f>
        <v/>
      </c>
      <c r="G100" s="164">
        <f ca="1">OFFSET('Monitoring Workbook'!TrstFndTrialBals, 23, 7, 1, 1)</f>
        <v>0</v>
      </c>
    </row>
    <row r="101" spans="1:16" s="62" customFormat="1">
      <c r="A101" s="184">
        <f ca="1">OFFSET('Monitoring Workbook'!MonWkBkChecksAndDeposits, 24, 10, 1, 1)</f>
        <v>0</v>
      </c>
      <c r="B101" s="165">
        <f ca="1">IF(OFFSET('Monitoring Workbook'!MonWkBkChecksAndDeposits, 24, 11, 1, 1)=DATE(1900,1,0), DATE(1900,1,1), OFFSET('Monitoring Workbook'!MonWkBkChecksAndDeposits, 24, 11, 1, 1))</f>
        <v>1</v>
      </c>
      <c r="C101" s="164">
        <f ca="1">OFFSET('Monitoring Workbook'!MonWkBkChecksAndDeposits, 24, 13, 1, 1)</f>
        <v>0</v>
      </c>
      <c r="D101" s="166">
        <f ca="1">IF(OFFSET('Monitoring Workbook'!MonWkBkDpstsInTrans, 24, 8, 1, 1)=DATE(1900,1,0), DATE(1900,1,1), OFFSET('Monitoring Workbook'!MonWkBkDpstsInTrans, 24, 8, 1, 1))</f>
        <v>1</v>
      </c>
      <c r="E101" s="164">
        <f ca="1">OFFSET('Monitoring Workbook'!MonWkBkDpstsInTrans, 24, 10, 1, 1)</f>
        <v>0</v>
      </c>
      <c r="F101" s="206" t="str">
        <f ca="1">IF(OFFSET('Monitoring Workbook'!TrstFndTrialBals, 24, 6, 1, 1) = 0, "", OFFSET('Monitoring Workbook'!TrstFndTrialBals, 24, 6, 1, 1))</f>
        <v/>
      </c>
      <c r="G101" s="164">
        <f ca="1">OFFSET('Monitoring Workbook'!TrstFndTrialBals, 24, 7, 1, 1)</f>
        <v>0</v>
      </c>
    </row>
    <row r="102" spans="1:16" s="62" customFormat="1">
      <c r="A102" s="176">
        <f ca="1">OFFSET('Monitoring Workbook'!MonWkBkChecksAndDeposits, 25, 10, 1, 1)</f>
        <v>0</v>
      </c>
      <c r="B102" s="165">
        <f ca="1">IF(OFFSET('Monitoring Workbook'!MonWkBkChecksAndDeposits, 25, 11, 1, 1)=DATE(1900,1,0), DATE(1900,1,1), OFFSET('Monitoring Workbook'!MonWkBkChecksAndDeposits, 25, 11, 1, 1))</f>
        <v>1</v>
      </c>
      <c r="C102" s="164">
        <f ca="1">OFFSET('Monitoring Workbook'!MonWkBkChecksAndDeposits, 25, 13, 1, 1)</f>
        <v>0</v>
      </c>
      <c r="D102" s="166">
        <f ca="1">IF(OFFSET('Monitoring Workbook'!MonWkBkDpstsInTrans, 25, 8, 1, 1)=DATE(1900,1,0), DATE(1900,1,1), OFFSET('Monitoring Workbook'!MonWkBkDpstsInTrans, 25, 8, 1, 1))</f>
        <v>1</v>
      </c>
      <c r="E102" s="164">
        <f ca="1">OFFSET('Monitoring Workbook'!MonWkBkDpstsInTrans, 25, 10, 1, 1)</f>
        <v>0</v>
      </c>
      <c r="F102" s="206" t="str">
        <f ca="1">IF(OFFSET('Monitoring Workbook'!TrstFndTrialBals, 25, 6, 1, 1) = 0, "", OFFSET('Monitoring Workbook'!TrstFndTrialBals, 25, 6, 1, 1))</f>
        <v/>
      </c>
      <c r="G102" s="164">
        <f ca="1">OFFSET('Monitoring Workbook'!TrstFndTrialBals, 25, 7, 1, 1)</f>
        <v>0</v>
      </c>
    </row>
    <row r="103" spans="1:16" s="62" customFormat="1">
      <c r="A103" s="184">
        <f ca="1">OFFSET('Monitoring Workbook'!MonWkBkChecksAndDeposits, 26, 10, 1, 1)</f>
        <v>0</v>
      </c>
      <c r="B103" s="165">
        <f ca="1">IF(OFFSET('Monitoring Workbook'!MonWkBkChecksAndDeposits, 26, 11, 1, 1)=DATE(1900,1,0), DATE(1900,1,1), OFFSET('Monitoring Workbook'!MonWkBkChecksAndDeposits, 26, 11, 1, 1))</f>
        <v>1</v>
      </c>
      <c r="C103" s="164">
        <f ca="1">OFFSET('Monitoring Workbook'!MonWkBkChecksAndDeposits, 26, 13, 1, 1)</f>
        <v>0</v>
      </c>
      <c r="D103" s="166">
        <f ca="1">IF(OFFSET('Monitoring Workbook'!MonWkBkDpstsInTrans, 26, 8, 1, 1)=DATE(1900,1,0), DATE(1900,1,1), OFFSET('Monitoring Workbook'!MonWkBkDpstsInTrans, 26, 8, 1, 1))</f>
        <v>1</v>
      </c>
      <c r="E103" s="164">
        <f ca="1">OFFSET('Monitoring Workbook'!MonWkBkDpstsInTrans, 26, 10, 1, 1)</f>
        <v>0</v>
      </c>
      <c r="F103" s="206" t="str">
        <f ca="1">IF(OFFSET('Monitoring Workbook'!TrstFndTrialBals, 26, 6, 1, 1) = 0, "", OFFSET('Monitoring Workbook'!TrstFndTrialBals, 26, 6, 1, 1))</f>
        <v/>
      </c>
      <c r="G103" s="164">
        <f ca="1">OFFSET('Monitoring Workbook'!TrstFndTrialBals, 26, 7, 1, 1)</f>
        <v>0</v>
      </c>
    </row>
    <row r="104" spans="1:16" s="62" customFormat="1">
      <c r="A104" s="184">
        <f ca="1">OFFSET('Monitoring Workbook'!MonWkBkChecksAndDeposits, 27, 10, 1, 1)</f>
        <v>0</v>
      </c>
      <c r="B104" s="165">
        <f ca="1">IF(OFFSET('Monitoring Workbook'!MonWkBkChecksAndDeposits, 27, 11, 1, 1)=DATE(1900,1,0), DATE(1900,1,1), OFFSET('Monitoring Workbook'!MonWkBkChecksAndDeposits, 27, 11, 1, 1))</f>
        <v>1</v>
      </c>
      <c r="C104" s="164">
        <f ca="1">OFFSET('Monitoring Workbook'!MonWkBkChecksAndDeposits, 27, 13, 1, 1)</f>
        <v>0</v>
      </c>
      <c r="D104" s="166">
        <f ca="1">IF(OFFSET('Monitoring Workbook'!MonWkBkDpstsInTrans, 27, 8, 1, 1)=DATE(1900,1,0), DATE(1900,1,1), OFFSET('Monitoring Workbook'!MonWkBkDpstsInTrans, 27, 8, 1, 1))</f>
        <v>1</v>
      </c>
      <c r="E104" s="164">
        <f ca="1">OFFSET('Monitoring Workbook'!MonWkBkDpstsInTrans, 27, 10, 1, 1)</f>
        <v>0</v>
      </c>
      <c r="F104" s="206" t="str">
        <f ca="1">IF(OFFSET('Monitoring Workbook'!TrstFndTrialBals, 27, 6, 1, 1) = 0, "", OFFSET('Monitoring Workbook'!TrstFndTrialBals, 27, 6, 1, 1))</f>
        <v/>
      </c>
      <c r="G104" s="164">
        <f ca="1">OFFSET('Monitoring Workbook'!TrstFndTrialBals, 27, 7, 1, 1)</f>
        <v>0</v>
      </c>
    </row>
    <row r="105" spans="1:16" s="62" customFormat="1">
      <c r="A105" s="184">
        <f ca="1">OFFSET('Monitoring Workbook'!MonWkBkChecksAndDeposits, 28, 10, 1, 1)</f>
        <v>0</v>
      </c>
      <c r="B105" s="165">
        <f ca="1">IF(OFFSET('Monitoring Workbook'!MonWkBkChecksAndDeposits, 28, 11, 1, 1)=DATE(1900,1,0), DATE(1900,1,1), OFFSET('Monitoring Workbook'!MonWkBkChecksAndDeposits, 28, 11, 1, 1))</f>
        <v>1</v>
      </c>
      <c r="C105" s="164">
        <f ca="1">OFFSET('Monitoring Workbook'!MonWkBkChecksAndDeposits, 28, 13, 1, 1)</f>
        <v>0</v>
      </c>
      <c r="D105" s="166">
        <f ca="1">IF(OFFSET('Monitoring Workbook'!MonWkBkDpstsInTrans, 28, 8, 1, 1)=DATE(1900,1,0), DATE(1900,1,1), OFFSET('Monitoring Workbook'!MonWkBkDpstsInTrans, 28, 8, 1, 1))</f>
        <v>1</v>
      </c>
      <c r="E105" s="164">
        <f ca="1">OFFSET('Monitoring Workbook'!MonWkBkDpstsInTrans, 28, 10, 1, 1)</f>
        <v>0</v>
      </c>
      <c r="F105" s="206" t="str">
        <f ca="1">IF(OFFSET('Monitoring Workbook'!TrstFndTrialBals, 28, 6, 1, 1) = 0, "", OFFSET('Monitoring Workbook'!TrstFndTrialBals, 28, 6, 1, 1))</f>
        <v/>
      </c>
      <c r="G105" s="164">
        <f ca="1">OFFSET('Monitoring Workbook'!TrstFndTrialBals, 28, 7, 1, 1)</f>
        <v>0</v>
      </c>
    </row>
    <row r="106" spans="1:16" ht="15" thickBot="1">
      <c r="A106" s="178">
        <f ca="1">OFFSET('Monitoring Workbook'!MonWkBkChecksAndDeposits, 29, 10, 1, 1)</f>
        <v>0</v>
      </c>
      <c r="B106" s="104">
        <f ca="1">IF(OFFSET('Monitoring Workbook'!MonWkBkChecksAndDeposits, 29, 11, 1, 1)=DATE(1900,1,0), DATE(1900,1,1), OFFSET('Monitoring Workbook'!MonWkBkChecksAndDeposits, 29, 11, 1, 1))</f>
        <v>1</v>
      </c>
      <c r="C106" s="167">
        <f ca="1">OFFSET('Monitoring Workbook'!MonWkBkChecksAndDeposits, 29, 13, 1, 1)</f>
        <v>0</v>
      </c>
      <c r="D106" s="168">
        <f ca="1">IF(OFFSET('Monitoring Workbook'!MonWkBkDpstsInTrans, 29, 8, 1, 1)=DATE(1900,1,0), DATE(1900,1,1), OFFSET('Monitoring Workbook'!MonWkBkDpstsInTrans, 29, 8, 1, 1))</f>
        <v>1</v>
      </c>
      <c r="E106" s="167">
        <f ca="1">OFFSET('Monitoring Workbook'!MonWkBkDpstsInTrans, 29, 10, 1, 1)</f>
        <v>0</v>
      </c>
      <c r="F106" s="156" t="str">
        <f ca="1">IF(OFFSET('Monitoring Workbook'!TrstFndTrialBals, 29, 6, 1, 1) = 0, "", OFFSET('Monitoring Workbook'!TrstFndTrialBals, 29, 6, 1, 1))</f>
        <v/>
      </c>
      <c r="G106" s="167">
        <f ca="1">OFFSET('Monitoring Workbook'!TrstFndTrialBals, 29, 7, 1, 1)</f>
        <v>0</v>
      </c>
    </row>
    <row r="108" spans="1:16" ht="15" thickBot="1">
      <c r="A108" t="s">
        <v>1276</v>
      </c>
    </row>
    <row r="109" spans="1:16" s="62" customFormat="1" ht="29">
      <c r="A109" s="153" t="s">
        <v>985</v>
      </c>
      <c r="B109" s="312" t="s">
        <v>986</v>
      </c>
      <c r="C109" s="312" t="s">
        <v>987</v>
      </c>
      <c r="D109" s="312" t="s">
        <v>988</v>
      </c>
      <c r="E109" s="312" t="s">
        <v>989</v>
      </c>
      <c r="F109" s="312" t="s">
        <v>990</v>
      </c>
      <c r="G109" s="312" t="s">
        <v>991</v>
      </c>
      <c r="H109" s="312" t="s">
        <v>992</v>
      </c>
      <c r="I109" s="312" t="s">
        <v>993</v>
      </c>
      <c r="J109" s="312" t="s">
        <v>994</v>
      </c>
      <c r="K109" s="312" t="s">
        <v>995</v>
      </c>
      <c r="L109" s="312" t="s">
        <v>996</v>
      </c>
      <c r="M109" s="312" t="s">
        <v>997</v>
      </c>
      <c r="N109" s="312" t="s">
        <v>998</v>
      </c>
      <c r="O109" s="312" t="s">
        <v>999</v>
      </c>
      <c r="P109" s="311" t="s">
        <v>1000</v>
      </c>
    </row>
    <row r="110" spans="1:16" ht="15" thickBot="1">
      <c r="A110" s="156" t="str">
        <f>IF('Personal Care 3 Facility Chklst'!Resulta = 0, "", 'Personal Care 3 Facility Chklst'!Resulta)</f>
        <v/>
      </c>
      <c r="B110" s="171" t="str">
        <f>IF('Personal Care 3 Facility Chklst'!Resultb = 0, "", 'Personal Care 3 Facility Chklst'!Resultb)</f>
        <v/>
      </c>
      <c r="C110" s="171" t="str">
        <f>IF([0]!Resultc = 0, "", [0]!Resultc)</f>
        <v/>
      </c>
      <c r="D110" s="172">
        <f>'Personal Care 3 Facility Chklst'!TotalSingle</f>
        <v>0</v>
      </c>
      <c r="E110" s="172">
        <f>'Personal Care 3 Facility Chklst'!TotalDouble</f>
        <v>0</v>
      </c>
      <c r="F110" s="172">
        <f>'Personal Care 3 Facility Chklst'!TotalOther</f>
        <v>0</v>
      </c>
      <c r="G110" s="172">
        <f>'Personal Care 3 Facility Chklst'!TotalBedrooms</f>
        <v>0</v>
      </c>
      <c r="H110" s="173">
        <f>IF('Personal Care 3 Facility Chklst'!PercentageSingleBedrooms = "", MINVALDBL, 'Personal Care 3 Facility Chklst'!PercentageSingleBedrooms)</f>
        <v>-99999.99</v>
      </c>
      <c r="I110" s="172">
        <f>'Personal Care 3 Facility Chklst'!NumberResidents</f>
        <v>0</v>
      </c>
      <c r="J110" s="172">
        <f>'Personal Care 3 Facility Chklst'!NumberDayStaff</f>
        <v>0</v>
      </c>
      <c r="K110" s="172">
        <f>'Personal Care 3 Facility Chklst'!NumberEveningStaff</f>
        <v>0</v>
      </c>
      <c r="L110" s="172">
        <f>'Personal Care 3 Facility Chklst'!NumberNightStaff</f>
        <v>0</v>
      </c>
      <c r="M110" s="174">
        <f>IF('Personal Care 3 Facility Chklst'!Res2StaffRatioDay = "", MINVALDBL, 'Personal Care 3 Facility Chklst'!Res2StaffRatioDay)</f>
        <v>-99999.99</v>
      </c>
      <c r="N110" s="174">
        <f>IF('Personal Care 3 Facility Chklst'!Res2StaffRatioEvening = "", MINVALDBL, 'Personal Care 3 Facility Chklst'!Res2StaffRatioEvening)</f>
        <v>-99999.99</v>
      </c>
      <c r="O110" s="174">
        <f>IF('Personal Care 3 Facility Chklst'!Res2StaffRatioNight = "", MINVALDBL, 'Personal Care 3 Facility Chklst'!Res2StaffRatioNight)</f>
        <v>-99999.99</v>
      </c>
      <c r="P110" s="175" t="str">
        <f>'Personal Care 3 Facility Chklst'!MeetsBilledSettingRequirements</f>
        <v/>
      </c>
    </row>
    <row r="112" spans="1:16" ht="15" thickBot="1">
      <c r="A112" t="s">
        <v>1275</v>
      </c>
    </row>
    <row r="113" spans="1:3" s="62" customFormat="1">
      <c r="A113" s="153" t="s">
        <v>1002</v>
      </c>
      <c r="B113" s="312" t="s">
        <v>1003</v>
      </c>
      <c r="C113" s="311" t="s">
        <v>521</v>
      </c>
    </row>
    <row r="114" spans="1:3">
      <c r="A114" s="176">
        <f ca="1">OFFSET('Personal Care 3 Facility Chklst'!BedroomOccupancy, 0, 0, 1, 1)</f>
        <v>0</v>
      </c>
      <c r="B114" s="13">
        <f ca="1">OFFSET('Personal Care 3 Facility Chklst'!BedroomOccupancy, 0, 1, 1, 1)</f>
        <v>0</v>
      </c>
      <c r="C114" s="207" t="str">
        <f ca="1">IF(OFFSET('Personal Care 3 Facility Chklst'!BedroomOccupancy, 0, 3, 1, 1) = 0, "", OFFSET('Personal Care 3 Facility Chklst'!BedroomOccupancy, 0, 3, 1, 1))</f>
        <v/>
      </c>
    </row>
    <row r="115" spans="1:3">
      <c r="A115" s="176">
        <f ca="1">OFFSET('Personal Care 3 Facility Chklst'!BedroomOccupancy, 1, 0, 1, 1)</f>
        <v>0</v>
      </c>
      <c r="B115" s="13">
        <f ca="1">OFFSET('Personal Care 3 Facility Chklst'!BedroomOccupancy, 1, 1, 1, 1)</f>
        <v>0</v>
      </c>
      <c r="C115" s="207" t="str">
        <f ca="1">IF(OFFSET('Personal Care 3 Facility Chklst'!BedroomOccupancy, 1, 3, 1, 1) = 0, "", OFFSET('Personal Care 3 Facility Chklst'!BedroomOccupancy, 1, 3, 1, 1))</f>
        <v/>
      </c>
    </row>
    <row r="116" spans="1:3">
      <c r="A116" s="176">
        <f ca="1">OFFSET('Personal Care 3 Facility Chklst'!BedroomOccupancy, 2, 0, 1, 1)</f>
        <v>0</v>
      </c>
      <c r="B116" s="13">
        <f ca="1">OFFSET('Personal Care 3 Facility Chklst'!BedroomOccupancy, 2, 1, 1, 1)</f>
        <v>0</v>
      </c>
      <c r="C116" s="207" t="str">
        <f ca="1">IF(OFFSET('Personal Care 3 Facility Chklst'!BedroomOccupancy, 2, 3, 1, 1) = 0, "", OFFSET('Personal Care 3 Facility Chklst'!BedroomOccupancy, 2, 3, 1, 1))</f>
        <v/>
      </c>
    </row>
    <row r="117" spans="1:3">
      <c r="A117" s="176">
        <f ca="1">OFFSET('Personal Care 3 Facility Chklst'!BedroomOccupancy, 3, 0, 1, 1)</f>
        <v>0</v>
      </c>
      <c r="B117" s="13">
        <f ca="1">OFFSET('Personal Care 3 Facility Chklst'!BedroomOccupancy, 3, 1, 1, 1)</f>
        <v>0</v>
      </c>
      <c r="C117" s="207" t="str">
        <f ca="1">IF(OFFSET('Personal Care 3 Facility Chklst'!BedroomOccupancy, 3, 3, 1, 1) = 0, "", OFFSET('Personal Care 3 Facility Chklst'!BedroomOccupancy, 3, 3, 1, 1))</f>
        <v/>
      </c>
    </row>
    <row r="118" spans="1:3">
      <c r="A118" s="176">
        <f ca="1">OFFSET('Personal Care 3 Facility Chklst'!BedroomOccupancy, 4, 0, 1, 1)</f>
        <v>0</v>
      </c>
      <c r="B118" s="13">
        <f ca="1">OFFSET('Personal Care 3 Facility Chklst'!BedroomOccupancy, 4, 1, 1, 1)</f>
        <v>0</v>
      </c>
      <c r="C118" s="207" t="str">
        <f ca="1">IF(OFFSET('Personal Care 3 Facility Chklst'!BedroomOccupancy, 4, 3, 1, 1) = 0, "", OFFSET('Personal Care 3 Facility Chklst'!BedroomOccupancy, 4, 3, 1, 1))</f>
        <v/>
      </c>
    </row>
    <row r="119" spans="1:3">
      <c r="A119" s="176">
        <f ca="1">OFFSET('Personal Care 3 Facility Chklst'!BedroomOccupancy, 5, 0, 1, 1)</f>
        <v>0</v>
      </c>
      <c r="B119" s="13">
        <f ca="1">OFFSET('Personal Care 3 Facility Chklst'!BedroomOccupancy, 5, 1, 1, 1)</f>
        <v>0</v>
      </c>
      <c r="C119" s="207" t="str">
        <f ca="1">IF(OFFSET('Personal Care 3 Facility Chklst'!BedroomOccupancy, 5, 3, 1, 1) = 0, "", OFFSET('Personal Care 3 Facility Chklst'!BedroomOccupancy, 5, 3, 1, 1))</f>
        <v/>
      </c>
    </row>
    <row r="120" spans="1:3">
      <c r="A120" s="176">
        <f ca="1">OFFSET('Personal Care 3 Facility Chklst'!BedroomOccupancy, 6, 0, 1, 1)</f>
        <v>0</v>
      </c>
      <c r="B120" s="13">
        <f ca="1">OFFSET('Personal Care 3 Facility Chklst'!BedroomOccupancy, 6, 1, 1, 1)</f>
        <v>0</v>
      </c>
      <c r="C120" s="207" t="str">
        <f ca="1">IF(OFFSET('Personal Care 3 Facility Chklst'!BedroomOccupancy, 6, 3, 1, 1) = 0, "", OFFSET('Personal Care 3 Facility Chklst'!BedroomOccupancy, 6, 3, 1, 1))</f>
        <v/>
      </c>
    </row>
    <row r="121" spans="1:3">
      <c r="A121" s="176">
        <f ca="1">OFFSET('Personal Care 3 Facility Chklst'!BedroomOccupancy, 7, 0, 1, 1)</f>
        <v>0</v>
      </c>
      <c r="B121" s="13">
        <f ca="1">OFFSET('Personal Care 3 Facility Chklst'!BedroomOccupancy, 7, 1, 1, 1)</f>
        <v>0</v>
      </c>
      <c r="C121" s="207" t="str">
        <f ca="1">IF(OFFSET('Personal Care 3 Facility Chklst'!BedroomOccupancy, 7, 3, 1, 1) = 0, "", OFFSET('Personal Care 3 Facility Chklst'!BedroomOccupancy, 7, 3, 1, 1))</f>
        <v/>
      </c>
    </row>
    <row r="122" spans="1:3">
      <c r="A122" s="176">
        <f ca="1">OFFSET('Personal Care 3 Facility Chklst'!BedroomOccupancy, 8, 0, 1, 1)</f>
        <v>0</v>
      </c>
      <c r="B122" s="13">
        <f ca="1">OFFSET('Personal Care 3 Facility Chklst'!BedroomOccupancy, 8, 1, 1, 1)</f>
        <v>0</v>
      </c>
      <c r="C122" s="207" t="str">
        <f ca="1">IF(OFFSET('Personal Care 3 Facility Chklst'!BedroomOccupancy, 8, 3, 1, 1) = 0, "", OFFSET('Personal Care 3 Facility Chklst'!BedroomOccupancy, 8, 3, 1, 1))</f>
        <v/>
      </c>
    </row>
    <row r="123" spans="1:3">
      <c r="A123" s="176">
        <f ca="1">OFFSET('Personal Care 3 Facility Chklst'!BedroomOccupancy, 9, 0, 1, 1)</f>
        <v>0</v>
      </c>
      <c r="B123" s="13">
        <f ca="1">OFFSET('Personal Care 3 Facility Chklst'!BedroomOccupancy, 9, 1, 1, 1)</f>
        <v>0</v>
      </c>
      <c r="C123" s="207" t="str">
        <f ca="1">IF(OFFSET('Personal Care 3 Facility Chklst'!BedroomOccupancy, 9, 3, 1, 1) = 0, "", OFFSET('Personal Care 3 Facility Chklst'!BedroomOccupancy, 9, 3, 1, 1))</f>
        <v/>
      </c>
    </row>
    <row r="124" spans="1:3">
      <c r="A124" s="176">
        <f ca="1">OFFSET('Personal Care 3 Facility Chklst'!BedroomOccupancy, 10, 0, 1, 1)</f>
        <v>0</v>
      </c>
      <c r="B124" s="13">
        <f ca="1">OFFSET('Personal Care 3 Facility Chklst'!BedroomOccupancy, 10, 1, 1, 1)</f>
        <v>0</v>
      </c>
      <c r="C124" s="207" t="str">
        <f ca="1">IF(OFFSET('Personal Care 3 Facility Chklst'!BedroomOccupancy, 10, 3, 1, 1) = 0, "", OFFSET('Personal Care 3 Facility Chklst'!BedroomOccupancy, 10, 3, 1, 1))</f>
        <v/>
      </c>
    </row>
    <row r="125" spans="1:3">
      <c r="A125" s="176">
        <f ca="1">OFFSET('Personal Care 3 Facility Chklst'!BedroomOccupancy, 11, 0, 1, 1)</f>
        <v>0</v>
      </c>
      <c r="B125" s="13">
        <f ca="1">OFFSET('Personal Care 3 Facility Chklst'!BedroomOccupancy, 11, 1, 1, 1)</f>
        <v>0</v>
      </c>
      <c r="C125" s="207" t="str">
        <f ca="1">IF(OFFSET('Personal Care 3 Facility Chklst'!BedroomOccupancy, 11, 3, 1, 1) = 0, "", OFFSET('Personal Care 3 Facility Chklst'!BedroomOccupancy, 11, 3, 1, 1))</f>
        <v/>
      </c>
    </row>
    <row r="126" spans="1:3">
      <c r="A126" s="176">
        <f ca="1">OFFSET('Personal Care 3 Facility Chklst'!BedroomOccupancy, 12, 0, 1, 1)</f>
        <v>0</v>
      </c>
      <c r="B126" s="13">
        <f ca="1">OFFSET('Personal Care 3 Facility Chklst'!BedroomOccupancy, 12, 1, 1, 1)</f>
        <v>0</v>
      </c>
      <c r="C126" s="207" t="str">
        <f ca="1">IF(OFFSET('Personal Care 3 Facility Chklst'!BedroomOccupancy, 12, 3, 1, 1) = 0, "", OFFSET('Personal Care 3 Facility Chklst'!BedroomOccupancy, 12, 3, 1, 1))</f>
        <v/>
      </c>
    </row>
    <row r="127" spans="1:3">
      <c r="A127" s="176">
        <f ca="1">OFFSET('Personal Care 3 Facility Chklst'!BedroomOccupancy, 13, 0, 1, 1)</f>
        <v>0</v>
      </c>
      <c r="B127" s="13">
        <f ca="1">OFFSET('Personal Care 3 Facility Chklst'!BedroomOccupancy, 13, 1, 1, 1)</f>
        <v>0</v>
      </c>
      <c r="C127" s="207" t="str">
        <f ca="1">IF(OFFSET('Personal Care 3 Facility Chklst'!BedroomOccupancy, 13, 3, 1, 1) = 0, "", OFFSET('Personal Care 3 Facility Chklst'!BedroomOccupancy, 13, 3, 1, 1))</f>
        <v/>
      </c>
    </row>
    <row r="128" spans="1:3">
      <c r="A128" s="176">
        <f ca="1">OFFSET('Personal Care 3 Facility Chklst'!BedroomOccupancy, 14, 0, 1, 1)</f>
        <v>0</v>
      </c>
      <c r="B128" s="13">
        <f ca="1">OFFSET('Personal Care 3 Facility Chklst'!BedroomOccupancy, 14, 1, 1, 1)</f>
        <v>0</v>
      </c>
      <c r="C128" s="207" t="str">
        <f ca="1">IF(OFFSET('Personal Care 3 Facility Chklst'!BedroomOccupancy, 14, 3, 1, 1) = 0, "", OFFSET('Personal Care 3 Facility Chklst'!BedroomOccupancy, 14, 3, 1, 1))</f>
        <v/>
      </c>
    </row>
    <row r="129" spans="1:3">
      <c r="A129" s="176">
        <f ca="1">OFFSET('Personal Care 3 Facility Chklst'!BedroomOccupancy, 15, 0, 1, 1)</f>
        <v>0</v>
      </c>
      <c r="B129" s="13">
        <f ca="1">OFFSET('Personal Care 3 Facility Chklst'!BedroomOccupancy, 15, 1, 1, 1)</f>
        <v>0</v>
      </c>
      <c r="C129" s="207" t="str">
        <f ca="1">IF(OFFSET('Personal Care 3 Facility Chklst'!BedroomOccupancy, 15, 3, 1, 1) = 0, "", OFFSET('Personal Care 3 Facility Chklst'!BedroomOccupancy, 15, 3, 1, 1))</f>
        <v/>
      </c>
    </row>
    <row r="130" spans="1:3">
      <c r="A130" s="176">
        <f ca="1">OFFSET('Personal Care 3 Facility Chklst'!BedroomOccupancy, 16, 0, 1, 1)</f>
        <v>0</v>
      </c>
      <c r="B130" s="13">
        <f ca="1">OFFSET('Personal Care 3 Facility Chklst'!BedroomOccupancy, 16, 1, 1, 1)</f>
        <v>0</v>
      </c>
      <c r="C130" s="207" t="str">
        <f ca="1">IF(OFFSET('Personal Care 3 Facility Chklst'!BedroomOccupancy, 16, 3, 1, 1) = 0, "", OFFSET('Personal Care 3 Facility Chklst'!BedroomOccupancy, 16, 3, 1, 1))</f>
        <v/>
      </c>
    </row>
    <row r="131" spans="1:3">
      <c r="A131" s="176">
        <f ca="1">OFFSET('Personal Care 3 Facility Chklst'!BedroomOccupancy, 17, 0, 1, 1)</f>
        <v>0</v>
      </c>
      <c r="B131" s="13">
        <f ca="1">OFFSET('Personal Care 3 Facility Chklst'!BedroomOccupancy, 17, 1, 1, 1)</f>
        <v>0</v>
      </c>
      <c r="C131" s="207" t="str">
        <f ca="1">IF(OFFSET('Personal Care 3 Facility Chklst'!BedroomOccupancy, 17, 3, 1, 1) = 0, "", OFFSET('Personal Care 3 Facility Chklst'!BedroomOccupancy, 17, 3, 1, 1))</f>
        <v/>
      </c>
    </row>
    <row r="132" spans="1:3">
      <c r="A132" s="176">
        <f ca="1">OFFSET('Personal Care 3 Facility Chklst'!BedroomOccupancy, 18, 0, 1, 1)</f>
        <v>0</v>
      </c>
      <c r="B132" s="13">
        <f ca="1">OFFSET('Personal Care 3 Facility Chklst'!BedroomOccupancy, 18, 1, 1, 1)</f>
        <v>0</v>
      </c>
      <c r="C132" s="207" t="str">
        <f ca="1">IF(OFFSET('Personal Care 3 Facility Chklst'!BedroomOccupancy, 18, 3, 1, 1) = 0, "", OFFSET('Personal Care 3 Facility Chklst'!BedroomOccupancy, 18, 3, 1, 1))</f>
        <v/>
      </c>
    </row>
    <row r="133" spans="1:3">
      <c r="A133" s="176">
        <f ca="1">OFFSET('Personal Care 3 Facility Chklst'!BedroomOccupancy, 19, 0, 1, 1)</f>
        <v>0</v>
      </c>
      <c r="B133" s="13">
        <f ca="1">OFFSET('Personal Care 3 Facility Chklst'!BedroomOccupancy, 19, 1, 1, 1)</f>
        <v>0</v>
      </c>
      <c r="C133" s="207" t="str">
        <f ca="1">IF(OFFSET('Personal Care 3 Facility Chklst'!BedroomOccupancy, 19, 3, 1, 1) = 0, "", OFFSET('Personal Care 3 Facility Chklst'!BedroomOccupancy, 19, 3, 1, 1))</f>
        <v/>
      </c>
    </row>
    <row r="134" spans="1:3">
      <c r="A134" s="176">
        <f ca="1">OFFSET('Personal Care 3 Facility Chklst'!BedroomOccupancy, 20, 0, 1, 1)</f>
        <v>0</v>
      </c>
      <c r="B134" s="13">
        <f ca="1">OFFSET('Personal Care 3 Facility Chklst'!BedroomOccupancy, 20, 1, 1, 1)</f>
        <v>0</v>
      </c>
      <c r="C134" s="207" t="str">
        <f ca="1">IF(OFFSET('Personal Care 3 Facility Chklst'!BedroomOccupancy, 20, 3, 1, 1) = 0, "", OFFSET('Personal Care 3 Facility Chklst'!BedroomOccupancy, 20, 3, 1, 1))</f>
        <v/>
      </c>
    </row>
    <row r="135" spans="1:3">
      <c r="A135" s="176">
        <f ca="1">OFFSET('Personal Care 3 Facility Chklst'!BedroomOccupancy, 21, 0, 1, 1)</f>
        <v>0</v>
      </c>
      <c r="B135" s="13">
        <f ca="1">OFFSET('Personal Care 3 Facility Chklst'!BedroomOccupancy, 21, 1, 1, 1)</f>
        <v>0</v>
      </c>
      <c r="C135" s="207" t="str">
        <f ca="1">IF(OFFSET('Personal Care 3 Facility Chklst'!BedroomOccupancy, 21, 3, 1, 1) = 0, "", OFFSET('Personal Care 3 Facility Chklst'!BedroomOccupancy, 21, 3, 1, 1))</f>
        <v/>
      </c>
    </row>
    <row r="136" spans="1:3">
      <c r="A136" s="176">
        <f ca="1">OFFSET('Personal Care 3 Facility Chklst'!BedroomOccupancy, 22, 0, 1, 1)</f>
        <v>0</v>
      </c>
      <c r="B136" s="13">
        <f ca="1">OFFSET('Personal Care 3 Facility Chklst'!BedroomOccupancy, 22, 1, 1, 1)</f>
        <v>0</v>
      </c>
      <c r="C136" s="207" t="str">
        <f ca="1">IF(OFFSET('Personal Care 3 Facility Chklst'!BedroomOccupancy, 22, 3, 1, 1) = 0, "", OFFSET('Personal Care 3 Facility Chklst'!BedroomOccupancy, 22, 3, 1, 1))</f>
        <v/>
      </c>
    </row>
    <row r="137" spans="1:3">
      <c r="A137" s="176">
        <f ca="1">OFFSET('Personal Care 3 Facility Chklst'!BedroomOccupancy, 23, 0, 1, 1)</f>
        <v>0</v>
      </c>
      <c r="B137" s="13">
        <f ca="1">OFFSET('Personal Care 3 Facility Chklst'!BedroomOccupancy, 23, 1, 1, 1)</f>
        <v>0</v>
      </c>
      <c r="C137" s="207" t="str">
        <f ca="1">IF(OFFSET('Personal Care 3 Facility Chklst'!BedroomOccupancy, 23, 3, 1, 1) = 0, "", OFFSET('Personal Care 3 Facility Chklst'!BedroomOccupancy, 23, 3, 1, 1))</f>
        <v/>
      </c>
    </row>
    <row r="138" spans="1:3">
      <c r="A138" s="176">
        <f ca="1">OFFSET('Personal Care 3 Facility Chklst'!BedroomOccupancy, 24, 0, 1, 1)</f>
        <v>0</v>
      </c>
      <c r="B138" s="13">
        <f ca="1">OFFSET('Personal Care 3 Facility Chklst'!BedroomOccupancy, 24, 1, 1, 1)</f>
        <v>0</v>
      </c>
      <c r="C138" s="207" t="str">
        <f ca="1">IF(OFFSET('Personal Care 3 Facility Chklst'!BedroomOccupancy, 24, 3, 1, 1) = 0, "", OFFSET('Personal Care 3 Facility Chklst'!BedroomOccupancy, 24, 3, 1, 1))</f>
        <v/>
      </c>
    </row>
    <row r="139" spans="1:3">
      <c r="A139" s="176">
        <f ca="1">OFFSET('Personal Care 3 Facility Chklst'!BedroomOccupancy, 25, 0, 1, 1)</f>
        <v>0</v>
      </c>
      <c r="B139" s="13">
        <f ca="1">OFFSET('Personal Care 3 Facility Chklst'!BedroomOccupancy, 25, 1, 1, 1)</f>
        <v>0</v>
      </c>
      <c r="C139" s="207" t="str">
        <f ca="1">IF(OFFSET('Personal Care 3 Facility Chklst'!BedroomOccupancy, 25, 3, 1, 1) = 0, "", OFFSET('Personal Care 3 Facility Chklst'!BedroomOccupancy, 25, 3, 1, 1))</f>
        <v/>
      </c>
    </row>
    <row r="140" spans="1:3">
      <c r="A140" s="176">
        <f ca="1">OFFSET('Personal Care 3 Facility Chklst'!BedroomOccupancy, 26, 0, 1, 1)</f>
        <v>0</v>
      </c>
      <c r="B140" s="13">
        <f ca="1">OFFSET('Personal Care 3 Facility Chklst'!BedroomOccupancy, 26, 1, 1, 1)</f>
        <v>0</v>
      </c>
      <c r="C140" s="207" t="str">
        <f ca="1">IF(OFFSET('Personal Care 3 Facility Chklst'!BedroomOccupancy, 26, 3, 1, 1) = 0, "", OFFSET('Personal Care 3 Facility Chklst'!BedroomOccupancy, 26, 3, 1, 1))</f>
        <v/>
      </c>
    </row>
    <row r="141" spans="1:3">
      <c r="A141" s="176">
        <f ca="1">OFFSET('Personal Care 3 Facility Chklst'!BedroomOccupancy, 27, 0, 1, 1)</f>
        <v>0</v>
      </c>
      <c r="B141" s="13">
        <f ca="1">OFFSET('Personal Care 3 Facility Chklst'!BedroomOccupancy, 27, 1, 1, 1)</f>
        <v>0</v>
      </c>
      <c r="C141" s="207" t="str">
        <f ca="1">IF(OFFSET('Personal Care 3 Facility Chklst'!BedroomOccupancy, 27, 3, 1, 1) = 0, "", OFFSET('Personal Care 3 Facility Chklst'!BedroomOccupancy, 27, 3, 1, 1))</f>
        <v/>
      </c>
    </row>
    <row r="142" spans="1:3">
      <c r="A142" s="176">
        <f ca="1">OFFSET('Personal Care 3 Facility Chklst'!BedroomOccupancy, 28, 0, 1, 1)</f>
        <v>0</v>
      </c>
      <c r="B142" s="13">
        <f ca="1">OFFSET('Personal Care 3 Facility Chklst'!BedroomOccupancy, 28, 1, 1, 1)</f>
        <v>0</v>
      </c>
      <c r="C142" s="207" t="str">
        <f ca="1">IF(OFFSET('Personal Care 3 Facility Chklst'!BedroomOccupancy, 28, 3, 1, 1) = 0, "", OFFSET('Personal Care 3 Facility Chklst'!BedroomOccupancy, 28, 3, 1, 1))</f>
        <v/>
      </c>
    </row>
    <row r="143" spans="1:3" ht="15" thickBot="1">
      <c r="A143" s="178">
        <f ca="1">OFFSET('Personal Care 3 Facility Chklst'!BedroomOccupancy, 29, 0, 1, 1)</f>
        <v>0</v>
      </c>
      <c r="B143" s="172">
        <f ca="1">OFFSET('Personal Care 3 Facility Chklst'!BedroomOccupancy, 29, 1, 1, 1)</f>
        <v>0</v>
      </c>
      <c r="C143" s="208" t="str">
        <f ca="1">IF(OFFSET('Personal Care 3 Facility Chklst'!BedroomOccupancy, 29, 3, 1, 1) = 0, "", OFFSET('Personal Care 3 Facility Chklst'!BedroomOccupancy, 29, 3, 1, 1))</f>
        <v/>
      </c>
    </row>
    <row r="145" spans="1:21" ht="15" thickBot="1"/>
    <row r="146" spans="1:21">
      <c r="A146" s="209" t="s">
        <v>1004</v>
      </c>
      <c r="B146" s="169"/>
      <c r="C146" s="169"/>
      <c r="D146" s="169"/>
      <c r="E146" s="169"/>
      <c r="F146" s="169"/>
      <c r="G146" s="169"/>
      <c r="H146" s="169"/>
      <c r="I146" s="170"/>
    </row>
    <row r="147" spans="1:21" ht="15" thickBot="1">
      <c r="A147" s="179" t="s">
        <v>1251</v>
      </c>
      <c r="B147" s="180"/>
      <c r="C147" s="180"/>
      <c r="D147" s="180"/>
      <c r="E147" s="180"/>
      <c r="F147" s="180"/>
      <c r="G147" s="180"/>
      <c r="H147" s="180"/>
      <c r="I147" s="177"/>
    </row>
    <row r="148" spans="1:21">
      <c r="A148" s="181" t="s">
        <v>1005</v>
      </c>
      <c r="B148" s="182" t="s">
        <v>1006</v>
      </c>
      <c r="C148" s="182" t="s">
        <v>1007</v>
      </c>
      <c r="D148" s="182" t="s">
        <v>1008</v>
      </c>
      <c r="E148" s="182" t="s">
        <v>1009</v>
      </c>
      <c r="F148" s="182" t="s">
        <v>1010</v>
      </c>
      <c r="G148" s="182" t="s">
        <v>1011</v>
      </c>
      <c r="H148" s="183" t="s">
        <v>1012</v>
      </c>
      <c r="I148" s="177"/>
    </row>
    <row r="149" spans="1:21">
      <c r="A149" s="176">
        <v>1</v>
      </c>
      <c r="B149">
        <f ca="1">OFFSET('ALRC Indiv Fund Summary (Print)'!AfcAuthToMngMoney, 0, 1, 1, 1)</f>
        <v>1</v>
      </c>
      <c r="C149">
        <f ca="1">OFFSET('ALRC Indiv Fund Summary (Print)'!AfcAuthToMngMoney, 0, 2, 1, 1)</f>
        <v>6</v>
      </c>
      <c r="D149">
        <f ca="1">OFFSET('ALRC Indiv Fund Summary (Print)'!AfcAuthToMngMoney, 0,3, 1, 1)</f>
        <v>11</v>
      </c>
      <c r="E149">
        <f ca="1">OFFSET('ALRC Indiv Fund Summary (Print)'!AfcAuthToMngMoney, 0, 4, 1, 1)</f>
        <v>16</v>
      </c>
      <c r="F149">
        <f ca="1">OFFSET('ALRC Indiv Fund Summary (Print)'!AfcAuthToMngMoney, 0, 5, 1, 1)</f>
        <v>21</v>
      </c>
      <c r="G149">
        <f ca="1">OFFSET('ALRC Indiv Fund Summary (Print)'!AfcAuthToMngMoney, 0, 6, 1, 1)</f>
        <v>26</v>
      </c>
      <c r="H149" s="177">
        <f ca="1">OFFSET('ALRC Indiv Fund Summary (Print)'!AfcAuthToMngMoney, 0, 8, 1, 1)</f>
        <v>0</v>
      </c>
      <c r="I149" s="177"/>
    </row>
    <row r="150" spans="1:21">
      <c r="A150" s="176">
        <v>1</v>
      </c>
      <c r="B150">
        <f ca="1">OFFSET('ALRC Indiv Fund Summary (Print)'!AfcAuthToMngMoney, 1, 1, 1, 1)</f>
        <v>2</v>
      </c>
      <c r="C150">
        <f ca="1">OFFSET('ALRC Indiv Fund Summary (Print)'!AfcAuthToMngMoney, 1, 2, 1, 1)</f>
        <v>7</v>
      </c>
      <c r="D150">
        <f ca="1">OFFSET('ALRC Indiv Fund Summary (Print)'!AfcAuthToMngMoney, 1,3, 1, 1)</f>
        <v>12</v>
      </c>
      <c r="E150">
        <f ca="1">OFFSET('ALRC Indiv Fund Summary (Print)'!AfcAuthToMngMoney, 1, 4, 1, 1)</f>
        <v>17</v>
      </c>
      <c r="F150">
        <f ca="1">OFFSET('ALRC Indiv Fund Summary (Print)'!AfcAuthToMngMoney, 1, 5, 1, 1)</f>
        <v>22</v>
      </c>
      <c r="G150">
        <f ca="1">OFFSET('ALRC Indiv Fund Summary (Print)'!AfcAuthToMngMoney, 1, 6, 1, 1)</f>
        <v>27</v>
      </c>
      <c r="H150" s="177">
        <f ca="1">OFFSET('ALRC Indiv Fund Summary (Print)'!AfcAuthToMngMoney, 1, 8, 1, 1)</f>
        <v>0</v>
      </c>
      <c r="I150" s="177"/>
    </row>
    <row r="151" spans="1:21">
      <c r="A151" s="176">
        <v>1</v>
      </c>
      <c r="B151">
        <f ca="1">OFFSET('ALRC Indiv Fund Summary (Print)'!AfcAuthToMngMoney, 2, 1, 1, 1)</f>
        <v>3</v>
      </c>
      <c r="C151">
        <f ca="1">OFFSET('ALRC Indiv Fund Summary (Print)'!AfcAuthToMngMoney, 2, 2, 1, 1)</f>
        <v>8</v>
      </c>
      <c r="D151">
        <f ca="1">OFFSET('ALRC Indiv Fund Summary (Print)'!AfcAuthToMngMoney, 2,3, 1, 1)</f>
        <v>13</v>
      </c>
      <c r="E151">
        <f ca="1">OFFSET('ALRC Indiv Fund Summary (Print)'!AfcAuthToMngMoney, 2, 4, 1, 1)</f>
        <v>18</v>
      </c>
      <c r="F151">
        <f ca="1">OFFSET('ALRC Indiv Fund Summary (Print)'!AfcAuthToMngMoney, 2, 5, 1, 1)</f>
        <v>23</v>
      </c>
      <c r="G151">
        <f ca="1">OFFSET('ALRC Indiv Fund Summary (Print)'!AfcAuthToMngMoney, 2, 6, 1, 1)</f>
        <v>28</v>
      </c>
      <c r="H151" s="177">
        <f ca="1">OFFSET('ALRC Indiv Fund Summary (Print)'!AfcAuthToMngMoney, 2, 8, 1, 1)</f>
        <v>0</v>
      </c>
      <c r="I151" s="177"/>
    </row>
    <row r="152" spans="1:21">
      <c r="A152" s="176">
        <v>1</v>
      </c>
      <c r="B152">
        <f ca="1">OFFSET('ALRC Indiv Fund Summary (Print)'!AfcAuthToMngMoney, 3, 1, 1, 1)</f>
        <v>4</v>
      </c>
      <c r="C152">
        <f ca="1">OFFSET('ALRC Indiv Fund Summary (Print)'!AfcAuthToMngMoney, 3, 2, 1, 1)</f>
        <v>9</v>
      </c>
      <c r="D152">
        <f ca="1">OFFSET('ALRC Indiv Fund Summary (Print)'!AfcAuthToMngMoney, 3,3, 1, 1)</f>
        <v>14</v>
      </c>
      <c r="E152">
        <f ca="1">OFFSET('ALRC Indiv Fund Summary (Print)'!AfcAuthToMngMoney, 3, 4, 1, 1)</f>
        <v>19</v>
      </c>
      <c r="F152">
        <f ca="1">OFFSET('ALRC Indiv Fund Summary (Print)'!AfcAuthToMngMoney, 3, 5, 1, 1)</f>
        <v>24</v>
      </c>
      <c r="G152">
        <f ca="1">OFFSET('ALRC Indiv Fund Summary (Print)'!AfcAuthToMngMoney, 3, 6, 1, 1)</f>
        <v>29</v>
      </c>
      <c r="H152" s="177">
        <f ca="1">OFFSET('ALRC Indiv Fund Summary (Print)'!AfcAuthToMngMoney, 3, 8, 1, 1)</f>
        <v>0</v>
      </c>
      <c r="I152" s="177"/>
    </row>
    <row r="153" spans="1:21" ht="15" thickBot="1">
      <c r="A153" s="178">
        <v>1</v>
      </c>
      <c r="B153" s="201">
        <f ca="1">OFFSET('ALRC Indiv Fund Summary (Print)'!AfcAuthToMngMoney, 4, 1, 1, 1)</f>
        <v>5</v>
      </c>
      <c r="C153" s="201">
        <f ca="1">OFFSET('ALRC Indiv Fund Summary (Print)'!AfcAuthToMngMoney, 4, 2, 1, 1)</f>
        <v>10</v>
      </c>
      <c r="D153" s="201">
        <f ca="1">OFFSET('ALRC Indiv Fund Summary (Print)'!AfcAuthToMngMoney, 4,3, 1, 1)</f>
        <v>15</v>
      </c>
      <c r="E153" s="201">
        <f ca="1">OFFSET('ALRC Indiv Fund Summary (Print)'!AfcAuthToMngMoney, 4, 4, 1, 1)</f>
        <v>20</v>
      </c>
      <c r="F153" s="201">
        <f ca="1">OFFSET('ALRC Indiv Fund Summary (Print)'!AfcAuthToMngMoney, 4, 5, 1, 1)</f>
        <v>25</v>
      </c>
      <c r="G153" s="201">
        <f ca="1">OFFSET('ALRC Indiv Fund Summary (Print)'!AfcAuthToMngMoney, 4, 6, 1, 1)</f>
        <v>30</v>
      </c>
      <c r="H153" s="202">
        <f ca="1">OFFSET('ALRC Indiv Fund Summary (Print)'!AfcAuthToMngMoney, 4, 8, 1, 1)</f>
        <v>0</v>
      </c>
      <c r="I153" s="177"/>
    </row>
    <row r="154" spans="1:21">
      <c r="A154" s="154"/>
      <c r="I154" s="177"/>
    </row>
    <row r="155" spans="1:21" ht="15" thickBot="1">
      <c r="A155" s="154" t="s">
        <v>1272</v>
      </c>
      <c r="I155" s="177"/>
    </row>
    <row r="156" spans="1:21">
      <c r="A156" s="181" t="s">
        <v>1005</v>
      </c>
      <c r="B156" s="182" t="s">
        <v>1013</v>
      </c>
      <c r="C156" s="183" t="s">
        <v>1014</v>
      </c>
      <c r="I156" s="177"/>
    </row>
    <row r="157" spans="1:21">
      <c r="A157" s="176">
        <f ca="1">OFFSET('ALRC Indiv Fund Summary (Print)'!PldPtyCshFndRcncltn, 0, 0, 1, 1)</f>
        <v>2</v>
      </c>
      <c r="B157" s="155">
        <f ca="1">OFFSET('ALRC Indiv Fund Summary (Print)'!PldPtyCshFndRcncltn, 0, 1, 1, 1)</f>
        <v>0</v>
      </c>
      <c r="C157" s="185">
        <f ca="1">OFFSET('ALRC Indiv Fund Summary (Print)'!PldPtyCshFndRcncltn, 0, 2, 1, 1)</f>
        <v>0</v>
      </c>
      <c r="I157" s="177"/>
    </row>
    <row r="158" spans="1:21" ht="15" thickBot="1">
      <c r="A158" s="178">
        <f ca="1">OFFSET('ALRC Indiv Fund Summary (Print)'!PldPtyCshFndRcncltn, 1, 0, 1, 1)</f>
        <v>3</v>
      </c>
      <c r="B158" s="174">
        <f ca="1">OFFSET('ALRC Indiv Fund Summary (Print)'!PldPtyCshFndRcncltn, 1, 1, 1, 1)</f>
        <v>0</v>
      </c>
      <c r="C158" s="186">
        <f ca="1">OFFSET('ALRC Indiv Fund Summary (Print)'!PldPtyCshFndRcncltn, 1, 2, 1, 1)</f>
        <v>0</v>
      </c>
      <c r="I158" s="177"/>
    </row>
    <row r="159" spans="1:21">
      <c r="A159" s="154"/>
      <c r="I159" s="177"/>
    </row>
    <row r="160" spans="1:21" ht="15" thickBot="1">
      <c r="A160" s="179" t="s">
        <v>1259</v>
      </c>
      <c r="B160" s="180"/>
      <c r="C160" s="180"/>
      <c r="D160" s="180"/>
      <c r="E160" s="180"/>
      <c r="F160" s="180"/>
      <c r="G160" s="180"/>
      <c r="H160" s="180"/>
      <c r="I160" s="187"/>
      <c r="J160" s="180"/>
      <c r="K160" s="180"/>
      <c r="L160" s="188"/>
      <c r="M160" s="188"/>
      <c r="N160" s="188"/>
      <c r="O160" s="188"/>
      <c r="P160" s="189"/>
      <c r="Q160" s="188"/>
      <c r="R160" s="188"/>
      <c r="S160" s="188"/>
      <c r="T160" s="188"/>
      <c r="U160" s="189"/>
    </row>
    <row r="161" spans="1:22" s="62" customFormat="1">
      <c r="A161" s="181" t="s">
        <v>1003</v>
      </c>
      <c r="B161" s="182" t="s">
        <v>1005</v>
      </c>
      <c r="C161" s="182" t="s">
        <v>1013</v>
      </c>
      <c r="D161" s="183" t="s">
        <v>1014</v>
      </c>
      <c r="E161" s="190"/>
      <c r="F161" s="190"/>
      <c r="G161" s="190"/>
      <c r="H161" s="190"/>
      <c r="I161" s="191"/>
      <c r="J161" s="190"/>
      <c r="K161" s="190"/>
      <c r="L161" s="190"/>
      <c r="M161" s="192"/>
      <c r="N161" s="192"/>
      <c r="O161" s="192"/>
      <c r="P161" s="192"/>
      <c r="Q161" s="193"/>
      <c r="R161" s="192"/>
      <c r="S161" s="192"/>
      <c r="T161" s="192"/>
      <c r="U161" s="192"/>
      <c r="V161" s="193"/>
    </row>
    <row r="162" spans="1:22">
      <c r="A162" s="154">
        <f ca="1">OFFSET('ALRC Indiv Fund Summary (Print)'!IndvPtyCshFndRcncltn, 0, 1, 1, 1)</f>
        <v>0</v>
      </c>
      <c r="B162" s="13">
        <f ca="1">OFFSET('ALRC Indiv Fund Summary (Print)'!IndvPtyCshFndRcncltn, 0, 0, 1, 1)</f>
        <v>0</v>
      </c>
      <c r="C162" s="155">
        <f ca="1">IF(OFFSET('ALRC Indiv Fund Summary (Print)'!IndvPtyCshFndRcncltn, 0, 2, 1, 1)="",0,OFFSET('ALRC Indiv Fund Summary (Print)'!IndvPtyCshFndRcncltn, 0, 2, 1, 1))</f>
        <v>0</v>
      </c>
      <c r="D162" s="185">
        <f ca="1">IF(OFFSET('ALRC Indiv Fund Summary (Print)'!IndvPtyCshFndRcncltn, 0, 3, 1, 1)="", 0, OFFSET('ALRC Indiv Fund Summary (Print)'!IndvPtyCshFndRcncltn, 0, 3, 1, 1))</f>
        <v>0</v>
      </c>
      <c r="E162" s="180"/>
      <c r="F162" s="180"/>
      <c r="G162" s="180"/>
      <c r="H162" s="180"/>
      <c r="I162" s="187"/>
      <c r="J162" s="180"/>
      <c r="K162" s="180"/>
      <c r="L162" s="188"/>
      <c r="M162" s="188"/>
      <c r="N162" s="188"/>
      <c r="O162" s="188"/>
      <c r="P162" s="189"/>
      <c r="Q162" s="188"/>
      <c r="R162" s="188"/>
      <c r="S162" s="188"/>
      <c r="T162" s="188"/>
      <c r="U162" s="189"/>
    </row>
    <row r="163" spans="1:22">
      <c r="A163" s="154">
        <f ca="1">OFFSET('ALRC Indiv Fund Summary (Print)'!IndvPtyCshFndRcncltn, 1, 1, 1, 1)</f>
        <v>0</v>
      </c>
      <c r="B163" s="13">
        <f ca="1">OFFSET('ALRC Indiv Fund Summary (Print)'!IndvPtyCshFndRcncltn, 1, 0, 1, 1)</f>
        <v>0</v>
      </c>
      <c r="C163" s="155">
        <f ca="1">IF(OFFSET('ALRC Indiv Fund Summary (Print)'!IndvPtyCshFndRcncltn, 1, 2, 1, 1)="",0,OFFSET('ALRC Indiv Fund Summary (Print)'!IndvPtyCshFndRcncltn, 1, 2, 1, 1))</f>
        <v>0</v>
      </c>
      <c r="D163" s="185">
        <f ca="1">IF(OFFSET('ALRC Indiv Fund Summary (Print)'!IndvPtyCshFndRcncltn, 1, 3, 1, 1)="", 0, OFFSET('ALRC Indiv Fund Summary (Print)'!IndvPtyCshFndRcncltn, 1, 3, 1, 1))</f>
        <v>0</v>
      </c>
      <c r="E163" s="180"/>
      <c r="F163" s="180"/>
      <c r="G163" s="180"/>
      <c r="H163" s="180"/>
      <c r="I163" s="187"/>
      <c r="J163" s="180"/>
      <c r="K163" s="180"/>
      <c r="L163" s="188"/>
      <c r="M163" s="188"/>
      <c r="N163" s="188"/>
      <c r="O163" s="188"/>
      <c r="P163" s="189"/>
      <c r="Q163" s="188"/>
      <c r="R163" s="188"/>
      <c r="S163" s="188"/>
      <c r="T163" s="188"/>
      <c r="U163" s="189"/>
    </row>
    <row r="164" spans="1:22">
      <c r="A164" s="154">
        <f ca="1">OFFSET('ALRC Indiv Fund Summary (Print)'!IndvPtyCshFndRcncltn, 2, 1, 1, 1)</f>
        <v>0</v>
      </c>
      <c r="B164" s="13">
        <f ca="1">OFFSET('ALRC Indiv Fund Summary (Print)'!IndvPtyCshFndRcncltn, 2, 0, 1, 1)</f>
        <v>0</v>
      </c>
      <c r="C164" s="155">
        <f ca="1">IF(OFFSET('ALRC Indiv Fund Summary (Print)'!IndvPtyCshFndRcncltn, 2, 2, 1, 1)="",0,OFFSET('ALRC Indiv Fund Summary (Print)'!IndvPtyCshFndRcncltn, 2, 2, 1, 1))</f>
        <v>0</v>
      </c>
      <c r="D164" s="185">
        <f ca="1">IF(OFFSET('ALRC Indiv Fund Summary (Print)'!IndvPtyCshFndRcncltn, 0, 3, 1, 1)="", 0, OFFSET('ALRC Indiv Fund Summary (Print)'!IndvPtyCshFndRcncltn, 2, 3, 1, 1))</f>
        <v>0</v>
      </c>
      <c r="E164" s="180"/>
      <c r="F164" s="180"/>
      <c r="G164" s="180"/>
      <c r="H164" s="180"/>
      <c r="I164" s="187"/>
      <c r="J164" s="180"/>
      <c r="K164" s="180"/>
      <c r="L164" s="188"/>
      <c r="M164" s="188"/>
      <c r="N164" s="188"/>
      <c r="O164" s="188"/>
      <c r="P164" s="189"/>
      <c r="Q164" s="188"/>
      <c r="R164" s="188"/>
      <c r="S164" s="188"/>
      <c r="T164" s="188"/>
      <c r="U164" s="189"/>
    </row>
    <row r="165" spans="1:22">
      <c r="A165" s="154">
        <f ca="1">OFFSET('ALRC Indiv Fund Summary (Print)'!IndvPtyCshFndRcncltn, 3, 1, 1, 1)</f>
        <v>0</v>
      </c>
      <c r="B165" s="13">
        <f ca="1">OFFSET('ALRC Indiv Fund Summary (Print)'!IndvPtyCshFndRcncltn, 3, 0, 1, 1)</f>
        <v>0</v>
      </c>
      <c r="C165" s="155">
        <f ca="1">IF(OFFSET('ALRC Indiv Fund Summary (Print)'!IndvPtyCshFndRcncltn, 3, 2, 1, 1)="",0,OFFSET('ALRC Indiv Fund Summary (Print)'!IndvPtyCshFndRcncltn, 3, 2, 1, 1))</f>
        <v>0</v>
      </c>
      <c r="D165" s="185">
        <f ca="1">IF(OFFSET('ALRC Indiv Fund Summary (Print)'!IndvPtyCshFndRcncltn, 3, 3, 1, 1)="", 0, OFFSET('ALRC Indiv Fund Summary (Print)'!IndvPtyCshFndRcncltn, 3, 3, 1, 1))</f>
        <v>0</v>
      </c>
      <c r="E165" s="180"/>
      <c r="F165" s="180"/>
      <c r="G165" s="180"/>
      <c r="H165" s="180"/>
      <c r="I165" s="187"/>
      <c r="J165" s="180"/>
      <c r="K165" s="180"/>
      <c r="L165" s="188"/>
      <c r="M165" s="188"/>
      <c r="N165" s="188"/>
      <c r="O165" s="188"/>
      <c r="P165" s="189"/>
      <c r="Q165" s="188"/>
      <c r="R165" s="188"/>
      <c r="S165" s="188"/>
      <c r="T165" s="188"/>
      <c r="U165" s="189"/>
    </row>
    <row r="166" spans="1:22">
      <c r="A166" s="154">
        <f ca="1">OFFSET('ALRC Indiv Fund Summary (Print)'!IndvPtyCshFndRcncltn, 4, 1, 1, 1)</f>
        <v>0</v>
      </c>
      <c r="B166" s="13">
        <f ca="1">OFFSET('ALRC Indiv Fund Summary (Print)'!IndvPtyCshFndRcncltn, 4, 0, 1, 1)</f>
        <v>0</v>
      </c>
      <c r="C166" s="155">
        <f ca="1">IF(OFFSET('ALRC Indiv Fund Summary (Print)'!IndvPtyCshFndRcncltn, 4, 2, 1, 1)="",0,OFFSET('ALRC Indiv Fund Summary (Print)'!IndvPtyCshFndRcncltn, 4, 2, 1, 1))</f>
        <v>0</v>
      </c>
      <c r="D166" s="185">
        <f ca="1">IF(OFFSET('ALRC Indiv Fund Summary (Print)'!IndvPtyCshFndRcncltn, 4, 3, 1, 1)="", 0, OFFSET('ALRC Indiv Fund Summary (Print)'!IndvPtyCshFndRcncltn, 4, 3, 1, 1))</f>
        <v>0</v>
      </c>
      <c r="E166" s="180"/>
      <c r="F166" s="180"/>
      <c r="G166" s="180"/>
      <c r="H166" s="180"/>
      <c r="I166" s="187"/>
      <c r="J166" s="180"/>
      <c r="K166" s="180"/>
      <c r="L166" s="188"/>
      <c r="M166" s="188"/>
      <c r="N166" s="188"/>
      <c r="O166" s="188"/>
      <c r="P166" s="189"/>
      <c r="Q166" s="188"/>
      <c r="R166" s="188"/>
      <c r="S166" s="188"/>
      <c r="T166" s="188"/>
      <c r="U166" s="189"/>
    </row>
    <row r="167" spans="1:22">
      <c r="A167" s="154">
        <f ca="1">OFFSET('ALRC Indiv Fund Summary (Print)'!IndvPtyCshFndRcncltn, 5, 1, 1, 1)</f>
        <v>0</v>
      </c>
      <c r="B167" s="13">
        <f ca="1">OFFSET('ALRC Indiv Fund Summary (Print)'!IndvPtyCshFndRcncltn, 5, 0, 1, 1)</f>
        <v>0</v>
      </c>
      <c r="C167" s="155">
        <f ca="1">IF(OFFSET('ALRC Indiv Fund Summary (Print)'!IndvPtyCshFndRcncltn, 5, 2, 1, 1)="",0,OFFSET('ALRC Indiv Fund Summary (Print)'!IndvPtyCshFndRcncltn, 5, 2, 1, 1))</f>
        <v>0</v>
      </c>
      <c r="D167" s="185">
        <f ca="1">IF(OFFSET('ALRC Indiv Fund Summary (Print)'!IndvPtyCshFndRcncltn, 5, 3, 1, 1)="", 0, OFFSET('ALRC Indiv Fund Summary (Print)'!IndvPtyCshFndRcncltn, 5, 3, 1, 1))</f>
        <v>0</v>
      </c>
      <c r="E167" s="180"/>
      <c r="F167" s="180"/>
      <c r="G167" s="180"/>
      <c r="H167" s="180"/>
      <c r="I167" s="187"/>
      <c r="J167" s="180"/>
      <c r="K167" s="180"/>
      <c r="L167" s="188"/>
      <c r="M167" s="188"/>
      <c r="N167" s="188"/>
      <c r="O167" s="188"/>
      <c r="P167" s="189"/>
      <c r="Q167" s="188"/>
      <c r="R167" s="188"/>
      <c r="S167" s="188"/>
      <c r="T167" s="188"/>
      <c r="U167" s="189"/>
    </row>
    <row r="168" spans="1:22">
      <c r="A168" s="154">
        <f ca="1">OFFSET('ALRC Indiv Fund Summary (Print)'!IndvPtyCshFndRcncltn, 6, 1, 1, 1)</f>
        <v>0</v>
      </c>
      <c r="B168" s="13">
        <f ca="1">OFFSET('ALRC Indiv Fund Summary (Print)'!IndvPtyCshFndRcncltn, 6, 0, 1, 1)</f>
        <v>0</v>
      </c>
      <c r="C168" s="155">
        <f ca="1">IF(OFFSET('ALRC Indiv Fund Summary (Print)'!IndvPtyCshFndRcncltn, 6, 2, 1, 1)="",0,OFFSET('ALRC Indiv Fund Summary (Print)'!IndvPtyCshFndRcncltn, 6, 2, 1, 1))</f>
        <v>0</v>
      </c>
      <c r="D168" s="185">
        <f ca="1">IF(OFFSET('ALRC Indiv Fund Summary (Print)'!IndvPtyCshFndRcncltn, 6, 3, 1, 1)="", 0, OFFSET('ALRC Indiv Fund Summary (Print)'!IndvPtyCshFndRcncltn, 6, 3, 1, 1))</f>
        <v>0</v>
      </c>
      <c r="E168" s="180"/>
      <c r="F168" s="180"/>
      <c r="G168" s="180"/>
      <c r="H168" s="180"/>
      <c r="I168" s="187"/>
      <c r="J168" s="180"/>
      <c r="K168" s="180"/>
      <c r="L168" s="188"/>
      <c r="M168" s="188"/>
      <c r="N168" s="188"/>
      <c r="O168" s="188"/>
      <c r="P168" s="189"/>
      <c r="Q168" s="188"/>
      <c r="R168" s="188"/>
      <c r="S168" s="188"/>
      <c r="T168" s="188"/>
      <c r="U168" s="189"/>
    </row>
    <row r="169" spans="1:22">
      <c r="A169" s="154">
        <f ca="1">OFFSET('ALRC Indiv Fund Summary (Print)'!IndvPtyCshFndRcncltn, 7, 1, 1, 1)</f>
        <v>0</v>
      </c>
      <c r="B169" s="13">
        <f ca="1">OFFSET('ALRC Indiv Fund Summary (Print)'!IndvPtyCshFndRcncltn, 7, 0, 1, 1)</f>
        <v>0</v>
      </c>
      <c r="C169" s="155">
        <f ca="1">IF(OFFSET('ALRC Indiv Fund Summary (Print)'!IndvPtyCshFndRcncltn, 7, 2, 1, 1)="",0,OFFSET('ALRC Indiv Fund Summary (Print)'!IndvPtyCshFndRcncltn, 7, 2, 1, 1))</f>
        <v>0</v>
      </c>
      <c r="D169" s="185">
        <f ca="1">IF(OFFSET('ALRC Indiv Fund Summary (Print)'!IndvPtyCshFndRcncltn, 7, 3, 1, 1)="", 0, OFFSET('ALRC Indiv Fund Summary (Print)'!IndvPtyCshFndRcncltn, 7, 3, 1, 1))</f>
        <v>0</v>
      </c>
      <c r="E169" s="180"/>
      <c r="F169" s="180"/>
      <c r="G169" s="180"/>
      <c r="H169" s="180"/>
      <c r="I169" s="187"/>
      <c r="J169" s="180"/>
      <c r="K169" s="180"/>
      <c r="L169" s="188"/>
      <c r="M169" s="188"/>
      <c r="N169" s="188"/>
      <c r="O169" s="188"/>
      <c r="P169" s="189"/>
      <c r="Q169" s="188"/>
      <c r="R169" s="188"/>
      <c r="S169" s="188"/>
      <c r="T169" s="188"/>
      <c r="U169" s="189"/>
    </row>
    <row r="170" spans="1:22">
      <c r="A170" s="154">
        <f ca="1">OFFSET('ALRC Indiv Fund Summary (Print)'!IndvPtyCshFndRcncltn, 8, 1, 1, 1)</f>
        <v>0</v>
      </c>
      <c r="B170" s="13">
        <f ca="1">OFFSET('ALRC Indiv Fund Summary (Print)'!IndvPtyCshFndRcncltn, 8, 0, 1, 1)</f>
        <v>0</v>
      </c>
      <c r="C170" s="155">
        <f ca="1">IF(OFFSET('ALRC Indiv Fund Summary (Print)'!IndvPtyCshFndRcncltn, 8, 2, 1, 1)="",0,OFFSET('ALRC Indiv Fund Summary (Print)'!IndvPtyCshFndRcncltn, 8, 2, 1, 1))</f>
        <v>0</v>
      </c>
      <c r="D170" s="185">
        <f ca="1">IF(OFFSET('ALRC Indiv Fund Summary (Print)'!IndvPtyCshFndRcncltn, 8, 3, 1, 1)="", 0, OFFSET('ALRC Indiv Fund Summary (Print)'!IndvPtyCshFndRcncltn, 8, 3, 1, 1))</f>
        <v>0</v>
      </c>
      <c r="E170" s="180"/>
      <c r="F170" s="180"/>
      <c r="G170" s="180"/>
      <c r="H170" s="180"/>
      <c r="I170" s="187"/>
      <c r="J170" s="180"/>
      <c r="K170" s="180"/>
      <c r="L170" s="188"/>
      <c r="M170" s="188"/>
      <c r="N170" s="188"/>
      <c r="O170" s="188"/>
      <c r="P170" s="189"/>
      <c r="Q170" s="188"/>
      <c r="R170" s="188"/>
      <c r="S170" s="188"/>
      <c r="T170" s="188"/>
      <c r="U170" s="189"/>
    </row>
    <row r="171" spans="1:22">
      <c r="A171" s="154">
        <f ca="1">OFFSET('ALRC Indiv Fund Summary (Print)'!IndvPtyCshFndRcncltn, 9, 1, 1, 1)</f>
        <v>0</v>
      </c>
      <c r="B171" s="13">
        <f ca="1">OFFSET('ALRC Indiv Fund Summary (Print)'!IndvPtyCshFndRcncltn, 9, 0, 1, 1)</f>
        <v>0</v>
      </c>
      <c r="C171" s="155">
        <f ca="1">IF(OFFSET('ALRC Indiv Fund Summary (Print)'!IndvPtyCshFndRcncltn, 9, 2, 1, 1)="",0,OFFSET('ALRC Indiv Fund Summary (Print)'!IndvPtyCshFndRcncltn, 9, 2, 1, 1))</f>
        <v>0</v>
      </c>
      <c r="D171" s="185">
        <f ca="1">IF(OFFSET('ALRC Indiv Fund Summary (Print)'!IndvPtyCshFndRcncltn, 9, 3, 1, 1)="", 0, OFFSET('ALRC Indiv Fund Summary (Print)'!IndvPtyCshFndRcncltn, 9, 3, 1, 1))</f>
        <v>0</v>
      </c>
      <c r="E171" s="180"/>
      <c r="F171" s="180"/>
      <c r="G171" s="180"/>
      <c r="H171" s="180"/>
      <c r="I171" s="187"/>
      <c r="J171" s="180"/>
      <c r="K171" s="180"/>
      <c r="L171" s="188"/>
      <c r="M171" s="188"/>
      <c r="N171" s="188"/>
      <c r="O171" s="188"/>
      <c r="P171" s="189"/>
      <c r="Q171" s="188"/>
      <c r="R171" s="188"/>
      <c r="S171" s="188"/>
      <c r="T171" s="188"/>
      <c r="U171" s="189"/>
    </row>
    <row r="172" spans="1:22">
      <c r="A172" s="154">
        <f ca="1">OFFSET('ALRC Indiv Fund Summary (Print)'!IndvPtyCshFndRcncltn, 10, 1, 1, 1)</f>
        <v>0</v>
      </c>
      <c r="B172" s="13">
        <f ca="1">OFFSET('ALRC Indiv Fund Summary (Print)'!IndvPtyCshFndRcncltn, 10, 0, 1, 1)</f>
        <v>0</v>
      </c>
      <c r="C172" s="155">
        <f ca="1">IF(OFFSET('ALRC Indiv Fund Summary (Print)'!IndvPtyCshFndRcncltn,10, 2, 1, 1)="",0,OFFSET('ALRC Indiv Fund Summary (Print)'!IndvPtyCshFndRcncltn, 10, 2, 1, 1))</f>
        <v>0</v>
      </c>
      <c r="D172" s="185">
        <f ca="1">IF(OFFSET('ALRC Indiv Fund Summary (Print)'!IndvPtyCshFndRcncltn, 10, 3, 1, 1)="", 0, OFFSET('ALRC Indiv Fund Summary (Print)'!IndvPtyCshFndRcncltn, 10, 3, 1, 1))</f>
        <v>0</v>
      </c>
      <c r="E172" s="180"/>
      <c r="F172" s="180"/>
      <c r="G172" s="180"/>
      <c r="H172" s="180"/>
      <c r="I172" s="187"/>
      <c r="J172" s="180"/>
      <c r="K172" s="180"/>
      <c r="L172" s="188"/>
      <c r="M172" s="188"/>
      <c r="N172" s="188"/>
      <c r="O172" s="188"/>
      <c r="P172" s="189"/>
      <c r="Q172" s="188"/>
      <c r="R172" s="188"/>
      <c r="S172" s="188"/>
      <c r="T172" s="188"/>
      <c r="U172" s="189"/>
    </row>
    <row r="173" spans="1:22">
      <c r="A173" s="154">
        <f ca="1">OFFSET('ALRC Indiv Fund Summary (Print)'!IndvPtyCshFndRcncltn, 11, 1, 1, 1)</f>
        <v>0</v>
      </c>
      <c r="B173" s="13">
        <f ca="1">OFFSET('ALRC Indiv Fund Summary (Print)'!IndvPtyCshFndRcncltn, 11, 0, 1, 1)</f>
        <v>0</v>
      </c>
      <c r="C173" s="155">
        <f ca="1">IF(OFFSET('ALRC Indiv Fund Summary (Print)'!IndvPtyCshFndRcncltn, 11, 2, 1, 1)="",0,OFFSET('ALRC Indiv Fund Summary (Print)'!IndvPtyCshFndRcncltn, 11, 2, 1, 1))</f>
        <v>0</v>
      </c>
      <c r="D173" s="185">
        <f ca="1">IF(OFFSET('ALRC Indiv Fund Summary (Print)'!IndvPtyCshFndRcncltn, 11, 3, 1, 1)="", 0, OFFSET('ALRC Indiv Fund Summary (Print)'!IndvPtyCshFndRcncltn, 11, 3, 1, 1))</f>
        <v>0</v>
      </c>
      <c r="E173" s="180"/>
      <c r="F173" s="180"/>
      <c r="G173" s="180"/>
      <c r="H173" s="180"/>
      <c r="I173" s="187"/>
      <c r="J173" s="180"/>
      <c r="K173" s="180"/>
      <c r="L173" s="188"/>
      <c r="M173" s="188"/>
      <c r="N173" s="188"/>
      <c r="O173" s="188"/>
      <c r="P173" s="189"/>
      <c r="Q173" s="188"/>
      <c r="R173" s="188"/>
      <c r="S173" s="188"/>
      <c r="T173" s="188"/>
      <c r="U173" s="189"/>
    </row>
    <row r="174" spans="1:22">
      <c r="A174" s="154">
        <f ca="1">OFFSET('ALRC Indiv Fund Summary (Print)'!IndvPtyCshFndRcncltn, 12, 1, 1, 1)</f>
        <v>0</v>
      </c>
      <c r="B174" s="13">
        <f ca="1">OFFSET('ALRC Indiv Fund Summary (Print)'!IndvPtyCshFndRcncltn, 12, 0, 1, 1)</f>
        <v>0</v>
      </c>
      <c r="C174" s="155">
        <f ca="1">IF(OFFSET('ALRC Indiv Fund Summary (Print)'!IndvPtyCshFndRcncltn, 12, 2, 1, 1)="",0,OFFSET('ALRC Indiv Fund Summary (Print)'!IndvPtyCshFndRcncltn, 12, 2, 1, 1))</f>
        <v>0</v>
      </c>
      <c r="D174" s="185">
        <f ca="1">IF(OFFSET('ALRC Indiv Fund Summary (Print)'!IndvPtyCshFndRcncltn, 12, 3, 1, 1)="", 0, OFFSET('ALRC Indiv Fund Summary (Print)'!IndvPtyCshFndRcncltn, 12, 3, 1, 1))</f>
        <v>0</v>
      </c>
      <c r="E174" s="180"/>
      <c r="F174" s="180"/>
      <c r="G174" s="180"/>
      <c r="H174" s="180"/>
      <c r="I174" s="187"/>
      <c r="J174" s="180"/>
      <c r="K174" s="180"/>
      <c r="L174" s="188"/>
      <c r="M174" s="188"/>
      <c r="N174" s="188"/>
      <c r="O174" s="188"/>
      <c r="P174" s="189"/>
      <c r="Q174" s="188"/>
      <c r="R174" s="188"/>
      <c r="S174" s="188"/>
      <c r="T174" s="188"/>
      <c r="U174" s="189"/>
    </row>
    <row r="175" spans="1:22">
      <c r="A175" s="154">
        <f ca="1">OFFSET('ALRC Indiv Fund Summary (Print)'!IndvPtyCshFndRcncltn, 13, 1, 1, 1)</f>
        <v>0</v>
      </c>
      <c r="B175" s="13">
        <f ca="1">OFFSET('ALRC Indiv Fund Summary (Print)'!IndvPtyCshFndRcncltn, 13, 0, 1, 1)</f>
        <v>0</v>
      </c>
      <c r="C175" s="155">
        <f ca="1">IF(OFFSET('ALRC Indiv Fund Summary (Print)'!IndvPtyCshFndRcncltn, 13, 2, 1, 1)="",0,OFFSET('ALRC Indiv Fund Summary (Print)'!IndvPtyCshFndRcncltn, 13, 2, 1, 1))</f>
        <v>0</v>
      </c>
      <c r="D175" s="185">
        <f ca="1">IF(OFFSET('ALRC Indiv Fund Summary (Print)'!IndvPtyCshFndRcncltn, 13, 3, 1, 1)="", 0, OFFSET('ALRC Indiv Fund Summary (Print)'!IndvPtyCshFndRcncltn, 13, 3, 1, 1))</f>
        <v>0</v>
      </c>
      <c r="E175" s="180"/>
      <c r="F175" s="180"/>
      <c r="G175" s="180"/>
      <c r="H175" s="180"/>
      <c r="I175" s="187"/>
      <c r="J175" s="180"/>
      <c r="K175" s="180"/>
      <c r="L175" s="188"/>
      <c r="M175" s="188"/>
      <c r="N175" s="188"/>
      <c r="O175" s="188"/>
      <c r="P175" s="189"/>
      <c r="Q175" s="188"/>
      <c r="R175" s="188"/>
      <c r="S175" s="188"/>
      <c r="T175" s="188"/>
      <c r="U175" s="189"/>
    </row>
    <row r="176" spans="1:22">
      <c r="A176" s="154">
        <f ca="1">OFFSET('ALRC Indiv Fund Summary (Print)'!IndvPtyCshFndRcncltn, 14, 1, 1, 1)</f>
        <v>0</v>
      </c>
      <c r="B176" s="13">
        <f ca="1">OFFSET('ALRC Indiv Fund Summary (Print)'!IndvPtyCshFndRcncltn, 14, 0, 1, 1)</f>
        <v>0</v>
      </c>
      <c r="C176" s="155">
        <f ca="1">IF(OFFSET('ALRC Indiv Fund Summary (Print)'!IndvPtyCshFndRcncltn, 14, 2, 1, 1)="",0,OFFSET('ALRC Indiv Fund Summary (Print)'!IndvPtyCshFndRcncltn, 14, 2, 1, 1))</f>
        <v>0</v>
      </c>
      <c r="D176" s="185">
        <f ca="1">IF(OFFSET('ALRC Indiv Fund Summary (Print)'!IndvPtyCshFndRcncltn, 14, 3, 1, 1)="", 0, OFFSET('ALRC Indiv Fund Summary (Print)'!IndvPtyCshFndRcncltn, 14, 3, 1, 1))</f>
        <v>0</v>
      </c>
      <c r="E176" s="180"/>
      <c r="F176" s="180"/>
      <c r="G176" s="180"/>
      <c r="H176" s="180"/>
      <c r="I176" s="187"/>
      <c r="J176" s="180"/>
      <c r="K176" s="180"/>
      <c r="L176" s="188"/>
      <c r="M176" s="188"/>
      <c r="N176" s="188"/>
      <c r="O176" s="188"/>
      <c r="P176" s="189"/>
      <c r="Q176" s="188"/>
      <c r="R176" s="188"/>
      <c r="S176" s="188"/>
      <c r="T176" s="188"/>
      <c r="U176" s="189"/>
    </row>
    <row r="177" spans="1:21">
      <c r="A177" s="154">
        <f ca="1">OFFSET('ALRC Indiv Fund Summary (Print)'!IndvPtyCshFndRcncltn, 0, 6, 1, 1)</f>
        <v>0</v>
      </c>
      <c r="B177" s="13">
        <f ca="1">OFFSET('ALRC Indiv Fund Summary (Print)'!IndvPtyCshFndRcncltn, 0, 5, 1, 1)</f>
        <v>0</v>
      </c>
      <c r="C177" s="155">
        <f ca="1">IF(OFFSET('ALRC Indiv Fund Summary (Print)'!IndvPtyCshFndRcncltn, 0, 7, 1, 1)="",0,OFFSET('ALRC Indiv Fund Summary (Print)'!IndvPtyCshFndRcncltn, 0, 7, 1, 1))</f>
        <v>0</v>
      </c>
      <c r="D177" s="185">
        <f ca="1">IF(OFFSET('ALRC Indiv Fund Summary (Print)'!IndvPtyCshFndRcncltn, 0, 8, 1, 1)="", 0, OFFSET('ALRC Indiv Fund Summary (Print)'!IndvPtyCshFndRcncltn, 0, 8, 1, 1))</f>
        <v>0</v>
      </c>
      <c r="E177" s="180"/>
      <c r="F177" s="180"/>
      <c r="G177" s="180"/>
      <c r="H177" s="180"/>
      <c r="I177" s="187"/>
      <c r="J177" s="180"/>
      <c r="K177" s="180"/>
      <c r="L177" s="188"/>
      <c r="M177" s="188"/>
      <c r="N177" s="188"/>
      <c r="O177" s="188"/>
      <c r="P177" s="189"/>
      <c r="Q177" s="188"/>
      <c r="R177" s="188"/>
      <c r="S177" s="188"/>
      <c r="T177" s="188"/>
      <c r="U177" s="189"/>
    </row>
    <row r="178" spans="1:21">
      <c r="A178" s="154">
        <f ca="1">OFFSET('ALRC Indiv Fund Summary (Print)'!IndvPtyCshFndRcncltn, 1, 6, 1, 1)</f>
        <v>0</v>
      </c>
      <c r="B178" s="13">
        <f ca="1">OFFSET('ALRC Indiv Fund Summary (Print)'!IndvPtyCshFndRcncltn, 1, 5, 1, 1)</f>
        <v>0</v>
      </c>
      <c r="C178" s="155">
        <f ca="1">IF(OFFSET('ALRC Indiv Fund Summary (Print)'!IndvPtyCshFndRcncltn, 1, 7, 1, 1)="",0,OFFSET('ALRC Indiv Fund Summary (Print)'!IndvPtyCshFndRcncltn, 1, 7, 1, 1))</f>
        <v>0</v>
      </c>
      <c r="D178" s="185">
        <f ca="1">IF(OFFSET('ALRC Indiv Fund Summary (Print)'!IndvPtyCshFndRcncltn, 1, 8, 1, 1)="", 0, OFFSET('ALRC Indiv Fund Summary (Print)'!IndvPtyCshFndRcncltn, 1, 8, 1, 1))</f>
        <v>0</v>
      </c>
      <c r="E178" s="180"/>
      <c r="F178" s="180"/>
      <c r="G178" s="180"/>
      <c r="H178" s="180"/>
      <c r="I178" s="187"/>
      <c r="J178" s="180"/>
      <c r="K178" s="180"/>
      <c r="L178" s="188"/>
      <c r="M178" s="188"/>
      <c r="N178" s="188"/>
      <c r="O178" s="188"/>
      <c r="P178" s="189"/>
      <c r="Q178" s="188"/>
      <c r="R178" s="188"/>
      <c r="S178" s="188"/>
      <c r="T178" s="188"/>
      <c r="U178" s="189"/>
    </row>
    <row r="179" spans="1:21">
      <c r="A179" s="154">
        <f ca="1">OFFSET('ALRC Indiv Fund Summary (Print)'!IndvPtyCshFndRcncltn, 2, 6, 1, 1)</f>
        <v>0</v>
      </c>
      <c r="B179" s="13">
        <f ca="1">OFFSET('ALRC Indiv Fund Summary (Print)'!IndvPtyCshFndRcncltn, 2, 5, 1, 1)</f>
        <v>0</v>
      </c>
      <c r="C179" s="155">
        <f ca="1">IF(OFFSET('ALRC Indiv Fund Summary (Print)'!IndvPtyCshFndRcncltn, 2, 7, 1, 1)="",0,OFFSET('ALRC Indiv Fund Summary (Print)'!IndvPtyCshFndRcncltn, 2, 7, 1, 1))</f>
        <v>0</v>
      </c>
      <c r="D179" s="185">
        <f ca="1">IF(OFFSET('ALRC Indiv Fund Summary (Print)'!IndvPtyCshFndRcncltn, 0, 8, 1, 1)="", 0, OFFSET('ALRC Indiv Fund Summary (Print)'!IndvPtyCshFndRcncltn, 2, 8, 1, 1))</f>
        <v>0</v>
      </c>
      <c r="E179" s="180"/>
      <c r="F179" s="180"/>
      <c r="G179" s="180"/>
      <c r="H179" s="180"/>
      <c r="I179" s="187"/>
      <c r="J179" s="180"/>
      <c r="K179" s="180"/>
      <c r="L179" s="188"/>
      <c r="M179" s="188"/>
      <c r="N179" s="188"/>
      <c r="O179" s="188"/>
      <c r="P179" s="189"/>
      <c r="Q179" s="188"/>
      <c r="R179" s="188"/>
      <c r="S179" s="188"/>
      <c r="T179" s="188"/>
      <c r="U179" s="189"/>
    </row>
    <row r="180" spans="1:21">
      <c r="A180" s="154">
        <f ca="1">OFFSET('ALRC Indiv Fund Summary (Print)'!IndvPtyCshFndRcncltn, 3, 6, 1, 1)</f>
        <v>0</v>
      </c>
      <c r="B180" s="13">
        <f ca="1">OFFSET('ALRC Indiv Fund Summary (Print)'!IndvPtyCshFndRcncltn, 3, 5, 1, 1)</f>
        <v>0</v>
      </c>
      <c r="C180" s="155">
        <f ca="1">IF(OFFSET('ALRC Indiv Fund Summary (Print)'!IndvPtyCshFndRcncltn, 3, 7, 1, 1)="",0,OFFSET('ALRC Indiv Fund Summary (Print)'!IndvPtyCshFndRcncltn, 3, 7, 1, 1))</f>
        <v>0</v>
      </c>
      <c r="D180" s="185">
        <f ca="1">IF(OFFSET('ALRC Indiv Fund Summary (Print)'!IndvPtyCshFndRcncltn, 3, 8, 1, 1)="", 0, OFFSET('ALRC Indiv Fund Summary (Print)'!IndvPtyCshFndRcncltn, 3, 8, 1, 1))</f>
        <v>0</v>
      </c>
      <c r="E180" s="180"/>
      <c r="F180" s="180"/>
      <c r="G180" s="180"/>
      <c r="H180" s="180"/>
      <c r="I180" s="187"/>
      <c r="J180" s="180"/>
      <c r="K180" s="180"/>
      <c r="L180" s="188"/>
      <c r="M180" s="188"/>
      <c r="N180" s="188"/>
      <c r="O180" s="188"/>
      <c r="P180" s="189"/>
      <c r="Q180" s="188"/>
      <c r="R180" s="188"/>
      <c r="S180" s="188"/>
      <c r="T180" s="188"/>
      <c r="U180" s="189"/>
    </row>
    <row r="181" spans="1:21">
      <c r="A181" s="154">
        <f ca="1">OFFSET('ALRC Indiv Fund Summary (Print)'!IndvPtyCshFndRcncltn, 4, 6, 1, 1)</f>
        <v>0</v>
      </c>
      <c r="B181" s="13">
        <f ca="1">OFFSET('ALRC Indiv Fund Summary (Print)'!IndvPtyCshFndRcncltn, 4, 5, 1, 1)</f>
        <v>0</v>
      </c>
      <c r="C181" s="155">
        <f ca="1">IF(OFFSET('ALRC Indiv Fund Summary (Print)'!IndvPtyCshFndRcncltn, 4, 7, 1, 1)="",0,OFFSET('ALRC Indiv Fund Summary (Print)'!IndvPtyCshFndRcncltn, 4, 7, 1, 1))</f>
        <v>0</v>
      </c>
      <c r="D181" s="185">
        <f ca="1">IF(OFFSET('ALRC Indiv Fund Summary (Print)'!IndvPtyCshFndRcncltn, 4, 8, 1, 1)="", 0, OFFSET('ALRC Indiv Fund Summary (Print)'!IndvPtyCshFndRcncltn, 4, 8, 1, 1))</f>
        <v>0</v>
      </c>
      <c r="E181" s="180"/>
      <c r="F181" s="180"/>
      <c r="G181" s="180"/>
      <c r="H181" s="180"/>
      <c r="I181" s="187"/>
      <c r="J181" s="180"/>
      <c r="K181" s="180"/>
      <c r="L181" s="188"/>
      <c r="M181" s="188"/>
      <c r="N181" s="188"/>
      <c r="O181" s="188"/>
      <c r="P181" s="189"/>
      <c r="Q181" s="188"/>
      <c r="R181" s="188"/>
      <c r="S181" s="188"/>
      <c r="T181" s="188"/>
      <c r="U181" s="189"/>
    </row>
    <row r="182" spans="1:21">
      <c r="A182" s="154">
        <f ca="1">OFFSET('ALRC Indiv Fund Summary (Print)'!IndvPtyCshFndRcncltn, 5, 6, 1, 1)</f>
        <v>0</v>
      </c>
      <c r="B182" s="13">
        <f ca="1">OFFSET('ALRC Indiv Fund Summary (Print)'!IndvPtyCshFndRcncltn, 5, 5, 1, 1)</f>
        <v>0</v>
      </c>
      <c r="C182" s="155">
        <f ca="1">IF(OFFSET('ALRC Indiv Fund Summary (Print)'!IndvPtyCshFndRcncltn, 5, 7, 1, 1)="",0,OFFSET('ALRC Indiv Fund Summary (Print)'!IndvPtyCshFndRcncltn, 5, 7, 1, 1))</f>
        <v>0</v>
      </c>
      <c r="D182" s="185">
        <f ca="1">IF(OFFSET('ALRC Indiv Fund Summary (Print)'!IndvPtyCshFndRcncltn, 5, 8, 1, 1)="", 0, OFFSET('ALRC Indiv Fund Summary (Print)'!IndvPtyCshFndRcncltn, 5, 8, 1, 1))</f>
        <v>0</v>
      </c>
      <c r="E182" s="180"/>
      <c r="F182" s="180"/>
      <c r="G182" s="180"/>
      <c r="H182" s="180"/>
      <c r="I182" s="187"/>
      <c r="J182" s="180"/>
      <c r="K182" s="180"/>
      <c r="L182" s="188"/>
      <c r="M182" s="188"/>
      <c r="N182" s="188"/>
      <c r="O182" s="188"/>
      <c r="P182" s="189"/>
      <c r="Q182" s="188"/>
      <c r="R182" s="188"/>
      <c r="S182" s="188"/>
      <c r="T182" s="188"/>
      <c r="U182" s="189"/>
    </row>
    <row r="183" spans="1:21">
      <c r="A183" s="154">
        <f ca="1">OFFSET('ALRC Indiv Fund Summary (Print)'!IndvPtyCshFndRcncltn, 6, 6, 1, 1)</f>
        <v>0</v>
      </c>
      <c r="B183" s="13">
        <f ca="1">OFFSET('ALRC Indiv Fund Summary (Print)'!IndvPtyCshFndRcncltn, 6, 5, 1, 1)</f>
        <v>0</v>
      </c>
      <c r="C183" s="155">
        <f ca="1">IF(OFFSET('ALRC Indiv Fund Summary (Print)'!IndvPtyCshFndRcncltn, 6, 7, 1, 1)="",0,OFFSET('ALRC Indiv Fund Summary (Print)'!IndvPtyCshFndRcncltn, 6, 7, 1, 1))</f>
        <v>0</v>
      </c>
      <c r="D183" s="185">
        <f ca="1">IF(OFFSET('ALRC Indiv Fund Summary (Print)'!IndvPtyCshFndRcncltn, 6, 8, 1, 1)="", 0, OFFSET('ALRC Indiv Fund Summary (Print)'!IndvPtyCshFndRcncltn, 6, 8, 1, 1))</f>
        <v>0</v>
      </c>
      <c r="E183" s="180"/>
      <c r="F183" s="180"/>
      <c r="G183" s="180"/>
      <c r="H183" s="180"/>
      <c r="I183" s="187"/>
      <c r="J183" s="180"/>
      <c r="K183" s="180"/>
      <c r="L183" s="188"/>
      <c r="M183" s="188"/>
      <c r="N183" s="188"/>
      <c r="O183" s="188"/>
      <c r="P183" s="189"/>
      <c r="Q183" s="188"/>
      <c r="R183" s="188"/>
      <c r="S183" s="188"/>
      <c r="T183" s="188"/>
      <c r="U183" s="189"/>
    </row>
    <row r="184" spans="1:21">
      <c r="A184" s="154">
        <f ca="1">OFFSET('ALRC Indiv Fund Summary (Print)'!IndvPtyCshFndRcncltn, 7, 6, 1, 1)</f>
        <v>0</v>
      </c>
      <c r="B184" s="13">
        <f ca="1">OFFSET('ALRC Indiv Fund Summary (Print)'!IndvPtyCshFndRcncltn, 7, 5, 1, 1)</f>
        <v>0</v>
      </c>
      <c r="C184" s="155">
        <f ca="1">IF(OFFSET('ALRC Indiv Fund Summary (Print)'!IndvPtyCshFndRcncltn, 7, 7, 1, 1)="",0,OFFSET('ALRC Indiv Fund Summary (Print)'!IndvPtyCshFndRcncltn, 7, 7, 1, 1))</f>
        <v>0</v>
      </c>
      <c r="D184" s="185">
        <f ca="1">IF(OFFSET('ALRC Indiv Fund Summary (Print)'!IndvPtyCshFndRcncltn, 7, 8, 1, 1)="", 0, OFFSET('ALRC Indiv Fund Summary (Print)'!IndvPtyCshFndRcncltn, 7, 8, 1, 1))</f>
        <v>0</v>
      </c>
      <c r="E184" s="180"/>
      <c r="F184" s="180"/>
      <c r="G184" s="180"/>
      <c r="H184" s="180"/>
      <c r="I184" s="187"/>
      <c r="J184" s="180"/>
      <c r="K184" s="180"/>
      <c r="L184" s="188"/>
      <c r="M184" s="188"/>
      <c r="N184" s="188"/>
      <c r="O184" s="188"/>
      <c r="P184" s="189"/>
      <c r="Q184" s="188"/>
      <c r="R184" s="188"/>
      <c r="S184" s="188"/>
      <c r="T184" s="188"/>
      <c r="U184" s="189"/>
    </row>
    <row r="185" spans="1:21">
      <c r="A185" s="154">
        <f ca="1">OFFSET('ALRC Indiv Fund Summary (Print)'!IndvPtyCshFndRcncltn, 8, 6, 1, 1)</f>
        <v>0</v>
      </c>
      <c r="B185" s="13">
        <f ca="1">OFFSET('ALRC Indiv Fund Summary (Print)'!IndvPtyCshFndRcncltn, 8, 5, 1, 1)</f>
        <v>0</v>
      </c>
      <c r="C185" s="155">
        <f ca="1">IF(OFFSET('ALRC Indiv Fund Summary (Print)'!IndvPtyCshFndRcncltn, 8, 7, 1, 1)="",0,OFFSET('ALRC Indiv Fund Summary (Print)'!IndvPtyCshFndRcncltn, 8, 7, 1, 1))</f>
        <v>0</v>
      </c>
      <c r="D185" s="185">
        <f ca="1">IF(OFFSET('ALRC Indiv Fund Summary (Print)'!IndvPtyCshFndRcncltn, 8, 8, 1, 1)="", 0, OFFSET('ALRC Indiv Fund Summary (Print)'!IndvPtyCshFndRcncltn, 8, 8, 1, 1))</f>
        <v>0</v>
      </c>
      <c r="E185" s="180"/>
      <c r="F185" s="180"/>
      <c r="G185" s="180"/>
      <c r="H185" s="180"/>
      <c r="I185" s="187"/>
      <c r="J185" s="180"/>
      <c r="K185" s="180"/>
      <c r="L185" s="188"/>
      <c r="M185" s="188"/>
      <c r="N185" s="188"/>
      <c r="O185" s="188"/>
      <c r="P185" s="189"/>
      <c r="Q185" s="188"/>
      <c r="R185" s="188"/>
      <c r="S185" s="188"/>
      <c r="T185" s="188"/>
      <c r="U185" s="189"/>
    </row>
    <row r="186" spans="1:21">
      <c r="A186" s="154">
        <f ca="1">OFFSET('ALRC Indiv Fund Summary (Print)'!IndvPtyCshFndRcncltn, 9, 6, 1, 1)</f>
        <v>0</v>
      </c>
      <c r="B186" s="13">
        <f ca="1">OFFSET('ALRC Indiv Fund Summary (Print)'!IndvPtyCshFndRcncltn, 9, 5, 1, 1)</f>
        <v>0</v>
      </c>
      <c r="C186" s="155">
        <f ca="1">IF(OFFSET('ALRC Indiv Fund Summary (Print)'!IndvPtyCshFndRcncltn, 9, 7, 1, 1)="",0,OFFSET('ALRC Indiv Fund Summary (Print)'!IndvPtyCshFndRcncltn, 9, 7, 1, 1))</f>
        <v>0</v>
      </c>
      <c r="D186" s="185">
        <f ca="1">IF(OFFSET('ALRC Indiv Fund Summary (Print)'!IndvPtyCshFndRcncltn, 9, 8, 1, 1)="", 0, OFFSET('ALRC Indiv Fund Summary (Print)'!IndvPtyCshFndRcncltn, 9, 8, 1, 1))</f>
        <v>0</v>
      </c>
      <c r="E186" s="180"/>
      <c r="F186" s="180"/>
      <c r="G186" s="180"/>
      <c r="H186" s="180"/>
      <c r="I186" s="187"/>
      <c r="J186" s="180"/>
      <c r="K186" s="180"/>
      <c r="L186" s="188"/>
      <c r="M186" s="188"/>
      <c r="N186" s="188"/>
      <c r="O186" s="188"/>
      <c r="P186" s="189"/>
      <c r="Q186" s="188"/>
      <c r="R186" s="188"/>
      <c r="S186" s="188"/>
      <c r="T186" s="188"/>
      <c r="U186" s="189"/>
    </row>
    <row r="187" spans="1:21">
      <c r="A187" s="154">
        <f ca="1">OFFSET('ALRC Indiv Fund Summary (Print)'!IndvPtyCshFndRcncltn, 10, 6, 1, 1)</f>
        <v>0</v>
      </c>
      <c r="B187" s="13">
        <f ca="1">OFFSET('ALRC Indiv Fund Summary (Print)'!IndvPtyCshFndRcncltn, 10, 5, 1, 1)</f>
        <v>0</v>
      </c>
      <c r="C187" s="155">
        <f ca="1">IF(OFFSET('ALRC Indiv Fund Summary (Print)'!IndvPtyCshFndRcncltn,10, 7, 1, 1)="",0,OFFSET('ALRC Indiv Fund Summary (Print)'!IndvPtyCshFndRcncltn, 10, 7, 1, 1))</f>
        <v>0</v>
      </c>
      <c r="D187" s="185">
        <f ca="1">IF(OFFSET('ALRC Indiv Fund Summary (Print)'!IndvPtyCshFndRcncltn, 10, 8, 1, 1)="", 0, OFFSET('ALRC Indiv Fund Summary (Print)'!IndvPtyCshFndRcncltn, 10, 8, 1, 1))</f>
        <v>0</v>
      </c>
      <c r="E187" s="180"/>
      <c r="F187" s="180"/>
      <c r="G187" s="180"/>
      <c r="H187" s="180"/>
      <c r="I187" s="187"/>
      <c r="J187" s="180"/>
      <c r="K187" s="180"/>
      <c r="L187" s="188"/>
      <c r="M187" s="188"/>
      <c r="N187" s="188"/>
      <c r="O187" s="188"/>
      <c r="P187" s="189"/>
      <c r="Q187" s="188"/>
      <c r="R187" s="188"/>
      <c r="S187" s="188"/>
      <c r="T187" s="188"/>
      <c r="U187" s="189"/>
    </row>
    <row r="188" spans="1:21">
      <c r="A188" s="154">
        <f ca="1">OFFSET('ALRC Indiv Fund Summary (Print)'!IndvPtyCshFndRcncltn, 11, 6, 1, 1)</f>
        <v>0</v>
      </c>
      <c r="B188" s="13">
        <f ca="1">OFFSET('ALRC Indiv Fund Summary (Print)'!IndvPtyCshFndRcncltn, 11, 5, 1, 1)</f>
        <v>0</v>
      </c>
      <c r="C188" s="155">
        <f ca="1">IF(OFFSET('ALRC Indiv Fund Summary (Print)'!IndvPtyCshFndRcncltn, 11, 7, 1, 1)="",0,OFFSET('ALRC Indiv Fund Summary (Print)'!IndvPtyCshFndRcncltn, 11, 7, 1, 1))</f>
        <v>0</v>
      </c>
      <c r="D188" s="185">
        <f ca="1">IF(OFFSET('ALRC Indiv Fund Summary (Print)'!IndvPtyCshFndRcncltn, 11, 8, 1, 1)="", 0, OFFSET('ALRC Indiv Fund Summary (Print)'!IndvPtyCshFndRcncltn, 11, 8, 1, 1))</f>
        <v>0</v>
      </c>
      <c r="E188" s="180"/>
      <c r="F188" s="180"/>
      <c r="G188" s="180"/>
      <c r="H188" s="180"/>
      <c r="I188" s="187"/>
      <c r="J188" s="180"/>
      <c r="K188" s="180"/>
      <c r="L188" s="188"/>
      <c r="M188" s="188"/>
      <c r="N188" s="188"/>
      <c r="O188" s="188"/>
      <c r="P188" s="189"/>
      <c r="Q188" s="188"/>
      <c r="R188" s="188"/>
      <c r="S188" s="188"/>
      <c r="T188" s="188"/>
      <c r="U188" s="189"/>
    </row>
    <row r="189" spans="1:21">
      <c r="A189" s="154">
        <f ca="1">OFFSET('ALRC Indiv Fund Summary (Print)'!IndvPtyCshFndRcncltn, 12, 6, 1, 1)</f>
        <v>0</v>
      </c>
      <c r="B189" s="13">
        <f ca="1">OFFSET('ALRC Indiv Fund Summary (Print)'!IndvPtyCshFndRcncltn, 12, 5, 1, 1)</f>
        <v>0</v>
      </c>
      <c r="C189" s="155">
        <f ca="1">IF(OFFSET('ALRC Indiv Fund Summary (Print)'!IndvPtyCshFndRcncltn, 12, 7, 1, 1)="",0,OFFSET('ALRC Indiv Fund Summary (Print)'!IndvPtyCshFndRcncltn, 12, 7, 1, 1))</f>
        <v>0</v>
      </c>
      <c r="D189" s="185">
        <f ca="1">IF(OFFSET('ALRC Indiv Fund Summary (Print)'!IndvPtyCshFndRcncltn, 12, 8, 1, 1)="", 0, OFFSET('ALRC Indiv Fund Summary (Print)'!IndvPtyCshFndRcncltn, 12, 8, 1, 1))</f>
        <v>0</v>
      </c>
      <c r="E189" s="180"/>
      <c r="F189" s="180"/>
      <c r="G189" s="180"/>
      <c r="H189" s="180"/>
      <c r="I189" s="187"/>
      <c r="J189" s="180"/>
      <c r="K189" s="180"/>
      <c r="L189" s="188"/>
      <c r="M189" s="188"/>
      <c r="N189" s="188"/>
      <c r="O189" s="188"/>
      <c r="P189" s="189"/>
      <c r="Q189" s="188"/>
      <c r="R189" s="188"/>
      <c r="S189" s="188"/>
      <c r="T189" s="188"/>
      <c r="U189" s="189"/>
    </row>
    <row r="190" spans="1:21">
      <c r="A190" s="154">
        <f ca="1">OFFSET('ALRC Indiv Fund Summary (Print)'!IndvPtyCshFndRcncltn, 13, 6, 1, 1)</f>
        <v>0</v>
      </c>
      <c r="B190" s="13">
        <f ca="1">OFFSET('ALRC Indiv Fund Summary (Print)'!IndvPtyCshFndRcncltn, 13, 5, 1, 1)</f>
        <v>0</v>
      </c>
      <c r="C190" s="155">
        <f ca="1">IF(OFFSET('ALRC Indiv Fund Summary (Print)'!IndvPtyCshFndRcncltn, 13, 7, 1, 1)="",0,OFFSET('ALRC Indiv Fund Summary (Print)'!IndvPtyCshFndRcncltn, 13, 7, 1, 1))</f>
        <v>0</v>
      </c>
      <c r="D190" s="185">
        <f ca="1">IF(OFFSET('ALRC Indiv Fund Summary (Print)'!IndvPtyCshFndRcncltn, 13, 8, 1, 1)="", 0, OFFSET('ALRC Indiv Fund Summary (Print)'!IndvPtyCshFndRcncltn, 13, 8, 1, 1))</f>
        <v>0</v>
      </c>
      <c r="E190" s="180"/>
      <c r="F190" s="180"/>
      <c r="G190" s="180"/>
      <c r="H190" s="180"/>
      <c r="I190" s="187"/>
      <c r="J190" s="180"/>
      <c r="K190" s="180"/>
      <c r="L190" s="188"/>
      <c r="M190" s="188"/>
      <c r="N190" s="188"/>
      <c r="O190" s="188"/>
      <c r="P190" s="189"/>
      <c r="Q190" s="188"/>
      <c r="R190" s="188"/>
      <c r="S190" s="188"/>
      <c r="T190" s="188"/>
      <c r="U190" s="189"/>
    </row>
    <row r="191" spans="1:21" ht="15" thickBot="1">
      <c r="A191" s="300">
        <f ca="1">OFFSET('ALRC Indiv Fund Summary (Print)'!IndvPtyCshFndRcncltn, 14, 6, 1, 1)</f>
        <v>0</v>
      </c>
      <c r="B191" s="172">
        <f ca="1">OFFSET('ALRC Indiv Fund Summary (Print)'!IndvPtyCshFndRcncltn, 14, 5, 1, 1)</f>
        <v>0</v>
      </c>
      <c r="C191" s="174">
        <f ca="1">IF(OFFSET('ALRC Indiv Fund Summary (Print)'!IndvPtyCshFndRcncltn, 14, 7, 1, 1)="",0,OFFSET('ALRC Indiv Fund Summary (Print)'!IndvPtyCshFndRcncltn, 14, 7, 1, 1))</f>
        <v>0</v>
      </c>
      <c r="D191" s="186">
        <f ca="1">IF(OFFSET('ALRC Indiv Fund Summary (Print)'!IndvPtyCshFndRcncltn, 14, 8, 1, 1)="", 0, OFFSET('ALRC Indiv Fund Summary (Print)'!IndvPtyCshFndRcncltn, 14, 8, 1, 1))</f>
        <v>0</v>
      </c>
      <c r="E191" s="180"/>
      <c r="F191" s="180"/>
      <c r="G191" s="180"/>
      <c r="H191" s="180"/>
      <c r="I191" s="187"/>
      <c r="J191" s="180"/>
      <c r="K191" s="180"/>
      <c r="L191" s="188"/>
      <c r="M191" s="188"/>
      <c r="N191" s="188"/>
      <c r="O191" s="188"/>
      <c r="P191" s="189"/>
      <c r="Q191" s="188"/>
      <c r="R191" s="188"/>
      <c r="S191" s="188"/>
      <c r="T191" s="188"/>
      <c r="U191" s="189"/>
    </row>
    <row r="192" spans="1:21">
      <c r="A192" s="179"/>
      <c r="B192" s="180"/>
      <c r="C192" s="180"/>
      <c r="D192" s="180"/>
      <c r="E192" s="180"/>
      <c r="F192" s="180"/>
      <c r="G192" s="180"/>
      <c r="H192" s="180"/>
      <c r="I192" s="187"/>
      <c r="J192" s="180"/>
      <c r="K192" s="180"/>
      <c r="L192" s="188"/>
      <c r="M192" s="188"/>
      <c r="N192" s="188"/>
      <c r="O192" s="188"/>
      <c r="P192" s="189"/>
      <c r="Q192" s="188"/>
      <c r="R192" s="188"/>
      <c r="S192" s="188"/>
      <c r="T192" s="188"/>
      <c r="U192" s="189"/>
    </row>
    <row r="193" spans="1:21" ht="15" thickBot="1">
      <c r="A193" s="156" t="s">
        <v>1273</v>
      </c>
      <c r="B193" s="180"/>
      <c r="C193" s="180"/>
      <c r="D193" s="180"/>
      <c r="E193" s="180"/>
      <c r="F193" s="180"/>
      <c r="G193" s="180"/>
      <c r="H193" s="180"/>
      <c r="I193" s="187"/>
      <c r="J193" s="180"/>
      <c r="K193" s="180"/>
      <c r="L193" s="188"/>
      <c r="M193" s="188"/>
      <c r="N193" s="188"/>
      <c r="O193" s="188"/>
      <c r="P193" s="189"/>
      <c r="Q193" s="188"/>
      <c r="R193" s="188"/>
      <c r="S193" s="188"/>
      <c r="T193" s="188"/>
      <c r="U193" s="189"/>
    </row>
    <row r="194" spans="1:21">
      <c r="A194" s="181" t="s">
        <v>1005</v>
      </c>
      <c r="B194" s="182" t="s">
        <v>1013</v>
      </c>
      <c r="C194" s="183" t="s">
        <v>1014</v>
      </c>
      <c r="D194" s="180"/>
      <c r="E194" s="180"/>
      <c r="F194" s="180"/>
      <c r="G194" s="180"/>
      <c r="H194" s="180"/>
      <c r="I194" s="187"/>
      <c r="J194" s="180"/>
      <c r="K194" s="180"/>
      <c r="L194" s="188"/>
      <c r="M194" s="188"/>
      <c r="N194" s="188"/>
      <c r="O194" s="188"/>
      <c r="P194" s="189"/>
      <c r="Q194" s="188"/>
      <c r="R194" s="188"/>
      <c r="S194" s="188"/>
      <c r="T194" s="188"/>
      <c r="U194" s="189"/>
    </row>
    <row r="195" spans="1:21">
      <c r="A195" s="176">
        <f ca="1">OFFSET('ALRC Indiv Fund Summary (Print)'!PldTrstFndAcctRcncltn, 0, 0, 1, 1)</f>
        <v>6</v>
      </c>
      <c r="B195" s="155">
        <f ca="1">OFFSET('ALRC Indiv Fund Summary (Print)'!PldTrstFndAcctRcncltn, 0, 1, 1, 1)</f>
        <v>0</v>
      </c>
      <c r="C195" s="185">
        <f ca="1">OFFSET('ALRC Indiv Fund Summary (Print)'!PldTrstFndAcctRcncltn, 0, 2, 1, 1)</f>
        <v>0</v>
      </c>
      <c r="D195" s="180"/>
      <c r="E195" s="180"/>
      <c r="F195" s="180"/>
      <c r="G195" s="180"/>
      <c r="H195" s="180"/>
      <c r="I195" s="187"/>
      <c r="J195" s="180"/>
      <c r="K195" s="180"/>
      <c r="L195" s="188"/>
      <c r="M195" s="188"/>
      <c r="N195" s="188"/>
      <c r="O195" s="188"/>
      <c r="P195" s="189"/>
      <c r="Q195" s="188"/>
      <c r="R195" s="188"/>
      <c r="S195" s="188"/>
      <c r="T195" s="188"/>
      <c r="U195" s="189"/>
    </row>
    <row r="196" spans="1:21" ht="15" thickBot="1">
      <c r="A196" s="178">
        <f ca="1">OFFSET('ALRC Indiv Fund Summary (Print)'!PldTrstFndAcctRcncltn, 1, 0, 1, 1)</f>
        <v>7</v>
      </c>
      <c r="B196" s="174">
        <f ca="1">OFFSET('ALRC Indiv Fund Summary (Print)'!PldTrstFndAcctRcncltn, 1, 1, 1, 1)</f>
        <v>0</v>
      </c>
      <c r="C196" s="186">
        <f ca="1">OFFSET('ALRC Indiv Fund Summary (Print)'!PldTrstFndAcctRcncltn, 1, 2, 1, 1)</f>
        <v>0</v>
      </c>
      <c r="D196" s="180"/>
      <c r="E196" s="180"/>
      <c r="F196" s="180"/>
      <c r="G196" s="180"/>
      <c r="H196" s="180"/>
      <c r="I196" s="187"/>
      <c r="J196" s="180"/>
      <c r="K196" s="180"/>
      <c r="L196" s="188"/>
      <c r="M196" s="188"/>
      <c r="N196" s="188"/>
      <c r="O196" s="188"/>
      <c r="P196" s="189"/>
      <c r="Q196" s="188"/>
      <c r="R196" s="188"/>
      <c r="S196" s="188"/>
      <c r="T196" s="188"/>
      <c r="U196" s="189"/>
    </row>
    <row r="197" spans="1:21">
      <c r="A197" s="179"/>
      <c r="B197" s="180"/>
      <c r="C197" s="180"/>
      <c r="D197" s="180"/>
      <c r="E197" s="180"/>
      <c r="F197" s="180"/>
      <c r="G197" s="180"/>
      <c r="H197" s="180"/>
      <c r="I197" s="187"/>
      <c r="J197" s="180"/>
      <c r="K197" s="180"/>
      <c r="L197" s="188"/>
      <c r="M197" s="188"/>
      <c r="N197" s="188"/>
      <c r="O197" s="188"/>
      <c r="P197" s="189"/>
      <c r="Q197" s="188"/>
      <c r="R197" s="188"/>
      <c r="S197" s="188"/>
      <c r="T197" s="188"/>
      <c r="U197" s="189"/>
    </row>
    <row r="198" spans="1:21" ht="15" thickBot="1">
      <c r="A198" s="179" t="s">
        <v>1260</v>
      </c>
      <c r="B198" s="180"/>
      <c r="C198" s="180"/>
      <c r="D198" s="180"/>
      <c r="E198" s="180"/>
      <c r="F198" s="180"/>
      <c r="G198" s="180"/>
      <c r="H198" s="180"/>
      <c r="I198" s="187"/>
      <c r="J198" s="180"/>
      <c r="K198" s="180"/>
      <c r="L198" s="188"/>
      <c r="M198" s="188"/>
      <c r="N198" s="188"/>
      <c r="O198" s="188"/>
      <c r="P198" s="189"/>
      <c r="Q198" s="188"/>
      <c r="R198" s="188"/>
      <c r="S198" s="188"/>
      <c r="T198" s="188"/>
      <c r="U198" s="189"/>
    </row>
    <row r="199" spans="1:21">
      <c r="A199" s="181" t="s">
        <v>1003</v>
      </c>
      <c r="B199" s="182" t="s">
        <v>1005</v>
      </c>
      <c r="C199" s="182" t="s">
        <v>1013</v>
      </c>
      <c r="D199" s="183" t="s">
        <v>1014</v>
      </c>
      <c r="E199" s="180"/>
      <c r="F199" s="180"/>
      <c r="G199" s="180"/>
      <c r="H199" s="180"/>
      <c r="I199" s="187"/>
      <c r="J199" s="180"/>
      <c r="K199" s="180"/>
      <c r="L199" s="188"/>
      <c r="M199" s="188"/>
      <c r="N199" s="188"/>
      <c r="O199" s="188"/>
      <c r="P199" s="189"/>
      <c r="Q199" s="188"/>
      <c r="R199" s="188"/>
      <c r="S199" s="188"/>
      <c r="T199" s="188"/>
      <c r="U199" s="189"/>
    </row>
    <row r="200" spans="1:21">
      <c r="A200" s="154">
        <f ca="1">OFFSET('ALRC Indiv Fund Summary (Print)'!IndvTrstFndRcncltn, 0, 1, 1, 1)</f>
        <v>0</v>
      </c>
      <c r="B200" s="13">
        <f ca="1">OFFSET('ALRC Indiv Fund Summary (Print)'!IndvTrstFndRcncltn, 0, 0, 1, 1)</f>
        <v>0</v>
      </c>
      <c r="C200" s="155">
        <f ca="1">IF(OFFSET('ALRC Indiv Fund Summary (Print)'!IndvTrstFndRcncltn, 0, 2, 1, 1)="",0,OFFSET('ALRC Indiv Fund Summary (Print)'!IndvTrstFndRcncltn, 0, 2, 1, 1))</f>
        <v>0</v>
      </c>
      <c r="D200" s="185">
        <f ca="1">IF(OFFSET('ALRC Indiv Fund Summary (Print)'!IndvTrstFndRcncltn, 0, 3, 1, 1)="", 0, OFFSET('ALRC Indiv Fund Summary (Print)'!IndvTrstFndRcncltn, 0, 3, 1, 1))</f>
        <v>0</v>
      </c>
      <c r="E200" s="180"/>
      <c r="F200" s="180"/>
      <c r="G200" s="180"/>
      <c r="H200" s="180"/>
      <c r="I200" s="187"/>
      <c r="J200" s="180"/>
      <c r="K200" s="180"/>
      <c r="L200" s="188"/>
      <c r="M200" s="188"/>
      <c r="N200" s="188"/>
      <c r="O200" s="188"/>
      <c r="P200" s="189"/>
      <c r="Q200" s="188"/>
      <c r="R200" s="188"/>
      <c r="S200" s="188"/>
      <c r="T200" s="188"/>
      <c r="U200" s="189"/>
    </row>
    <row r="201" spans="1:21">
      <c r="A201" s="154">
        <f ca="1">OFFSET('ALRC Indiv Fund Summary (Print)'!IndvTrstFndRcncltn, 1, 1, 1, 1)</f>
        <v>0</v>
      </c>
      <c r="B201" s="13">
        <f ca="1">OFFSET('ALRC Indiv Fund Summary (Print)'!IndvTrstFndRcncltn, 1, 0, 1, 1)</f>
        <v>0</v>
      </c>
      <c r="C201" s="155">
        <f ca="1">IF(OFFSET('ALRC Indiv Fund Summary (Print)'!IndvTrstFndRcncltn, 1, 2, 1, 1)="",0,OFFSET('ALRC Indiv Fund Summary (Print)'!IndvTrstFndRcncltn, 1, 2, 1, 1))</f>
        <v>0</v>
      </c>
      <c r="D201" s="185">
        <f ca="1">IF(OFFSET('ALRC Indiv Fund Summary (Print)'!IndvTrstFndRcncltn, 1, 3, 1, 1)="", 0, OFFSET('ALRC Indiv Fund Summary (Print)'!IndvTrstFndRcncltn, 1, 3, 1, 1))</f>
        <v>0</v>
      </c>
      <c r="E201" s="180"/>
      <c r="F201" s="180"/>
      <c r="G201" s="180"/>
      <c r="H201" s="180"/>
      <c r="I201" s="187"/>
      <c r="J201" s="180"/>
      <c r="K201" s="180"/>
      <c r="L201" s="188"/>
      <c r="M201" s="188"/>
      <c r="N201" s="188"/>
      <c r="O201" s="188"/>
      <c r="P201" s="189"/>
      <c r="Q201" s="188"/>
      <c r="R201" s="188"/>
      <c r="S201" s="188"/>
      <c r="T201" s="188"/>
      <c r="U201" s="189"/>
    </row>
    <row r="202" spans="1:21">
      <c r="A202" s="154">
        <f ca="1">OFFSET('ALRC Indiv Fund Summary (Print)'!IndvTrstFndRcncltn, 2, 1, 1, 1)</f>
        <v>0</v>
      </c>
      <c r="B202" s="13">
        <f ca="1">OFFSET('ALRC Indiv Fund Summary (Print)'!IndvTrstFndRcncltn, 2, 0, 1, 1)</f>
        <v>0</v>
      </c>
      <c r="C202" s="155">
        <f ca="1">IF(OFFSET('ALRC Indiv Fund Summary (Print)'!IndvTrstFndRcncltn, 2, 2, 1, 1)="",0,OFFSET('ALRC Indiv Fund Summary (Print)'!IndvTrstFndRcncltn, 2, 2, 1, 1))</f>
        <v>0</v>
      </c>
      <c r="D202" s="185">
        <f ca="1">IF(OFFSET('ALRC Indiv Fund Summary (Print)'!IndvTrstFndRcncltn, 0, 3, 1, 1)="", 0, OFFSET('ALRC Indiv Fund Summary (Print)'!IndvTrstFndRcncltn, 2, 3, 1, 1))</f>
        <v>0</v>
      </c>
      <c r="E202" s="180"/>
      <c r="F202" s="180"/>
      <c r="G202" s="180"/>
      <c r="H202" s="180"/>
      <c r="I202" s="187"/>
      <c r="J202" s="180"/>
      <c r="K202" s="180"/>
      <c r="L202" s="188"/>
      <c r="M202" s="188"/>
      <c r="N202" s="188"/>
      <c r="O202" s="188"/>
      <c r="P202" s="189"/>
      <c r="Q202" s="188"/>
      <c r="R202" s="188"/>
      <c r="S202" s="188"/>
      <c r="T202" s="188"/>
      <c r="U202" s="189"/>
    </row>
    <row r="203" spans="1:21">
      <c r="A203" s="154">
        <f ca="1">OFFSET('ALRC Indiv Fund Summary (Print)'!IndvTrstFndRcncltn, 3, 1, 1, 1)</f>
        <v>0</v>
      </c>
      <c r="B203" s="13">
        <f ca="1">OFFSET('ALRC Indiv Fund Summary (Print)'!IndvTrstFndRcncltn, 3, 0, 1, 1)</f>
        <v>0</v>
      </c>
      <c r="C203" s="155">
        <f ca="1">IF(OFFSET('ALRC Indiv Fund Summary (Print)'!IndvTrstFndRcncltn, 3, 2, 1, 1)="",0,OFFSET('ALRC Indiv Fund Summary (Print)'!IndvTrstFndRcncltn, 3, 2, 1, 1))</f>
        <v>0</v>
      </c>
      <c r="D203" s="185">
        <f ca="1">IF(OFFSET('ALRC Indiv Fund Summary (Print)'!IndvTrstFndRcncltn, 3, 3, 1, 1)="", 0, OFFSET('ALRC Indiv Fund Summary (Print)'!IndvTrstFndRcncltn, 3, 3, 1, 1))</f>
        <v>0</v>
      </c>
      <c r="E203" s="180"/>
      <c r="F203" s="180"/>
      <c r="G203" s="180"/>
      <c r="H203" s="180"/>
      <c r="I203" s="187"/>
      <c r="J203" s="180"/>
      <c r="K203" s="180"/>
      <c r="L203" s="188"/>
      <c r="M203" s="188"/>
      <c r="N203" s="188"/>
      <c r="O203" s="188"/>
      <c r="P203" s="189"/>
      <c r="Q203" s="188"/>
      <c r="R203" s="188"/>
      <c r="S203" s="188"/>
      <c r="T203" s="188"/>
      <c r="U203" s="189"/>
    </row>
    <row r="204" spans="1:21">
      <c r="A204" s="154">
        <f ca="1">OFFSET('ALRC Indiv Fund Summary (Print)'!IndvTrstFndRcncltn, 4, 1, 1, 1)</f>
        <v>0</v>
      </c>
      <c r="B204" s="13">
        <f ca="1">OFFSET('ALRC Indiv Fund Summary (Print)'!IndvTrstFndRcncltn, 4, 0, 1, 1)</f>
        <v>0</v>
      </c>
      <c r="C204" s="155">
        <f ca="1">IF(OFFSET('ALRC Indiv Fund Summary (Print)'!IndvTrstFndRcncltn, 4, 2, 1, 1)="",0,OFFSET('ALRC Indiv Fund Summary (Print)'!IndvTrstFndRcncltn, 4, 2, 1, 1))</f>
        <v>0</v>
      </c>
      <c r="D204" s="185">
        <f ca="1">IF(OFFSET('ALRC Indiv Fund Summary (Print)'!IndvTrstFndRcncltn, 4, 3, 1, 1)="", 0, OFFSET('ALRC Indiv Fund Summary (Print)'!IndvTrstFndRcncltn, 4, 3, 1, 1))</f>
        <v>0</v>
      </c>
      <c r="E204" s="180"/>
      <c r="F204" s="180"/>
      <c r="G204" s="180"/>
      <c r="H204" s="180"/>
      <c r="I204" s="187"/>
      <c r="J204" s="180"/>
      <c r="K204" s="180"/>
      <c r="L204" s="188"/>
      <c r="M204" s="188"/>
      <c r="N204" s="188"/>
      <c r="O204" s="188"/>
      <c r="P204" s="189"/>
      <c r="Q204" s="188"/>
      <c r="R204" s="188"/>
      <c r="S204" s="188"/>
      <c r="T204" s="188"/>
      <c r="U204" s="189"/>
    </row>
    <row r="205" spans="1:21">
      <c r="A205" s="154">
        <f ca="1">OFFSET('ALRC Indiv Fund Summary (Print)'!IndvTrstFndRcncltn, 5, 1, 1, 1)</f>
        <v>0</v>
      </c>
      <c r="B205" s="13">
        <f ca="1">OFFSET('ALRC Indiv Fund Summary (Print)'!IndvTrstFndRcncltn, 5, 0, 1, 1)</f>
        <v>0</v>
      </c>
      <c r="C205" s="155">
        <f ca="1">IF(OFFSET('ALRC Indiv Fund Summary (Print)'!IndvTrstFndRcncltn, 5, 2, 1, 1)="",0,OFFSET('ALRC Indiv Fund Summary (Print)'!IndvTrstFndRcncltn, 5, 2, 1, 1))</f>
        <v>0</v>
      </c>
      <c r="D205" s="185">
        <f ca="1">IF(OFFSET('ALRC Indiv Fund Summary (Print)'!IndvTrstFndRcncltn, 5, 3, 1, 1)="", 0, OFFSET('ALRC Indiv Fund Summary (Print)'!IndvTrstFndRcncltn, 5, 3, 1, 1))</f>
        <v>0</v>
      </c>
      <c r="E205" s="180"/>
      <c r="F205" s="180"/>
      <c r="G205" s="180"/>
      <c r="H205" s="180"/>
      <c r="I205" s="187"/>
      <c r="J205" s="180"/>
      <c r="K205" s="180"/>
      <c r="L205" s="188"/>
      <c r="M205" s="188"/>
      <c r="N205" s="188"/>
      <c r="O205" s="188"/>
      <c r="P205" s="189"/>
      <c r="Q205" s="188"/>
      <c r="R205" s="188"/>
      <c r="S205" s="188"/>
      <c r="T205" s="188"/>
      <c r="U205" s="189"/>
    </row>
    <row r="206" spans="1:21">
      <c r="A206" s="154">
        <f ca="1">OFFSET('ALRC Indiv Fund Summary (Print)'!IndvTrstFndRcncltn, 6, 1, 1, 1)</f>
        <v>0</v>
      </c>
      <c r="B206" s="13">
        <f ca="1">OFFSET('ALRC Indiv Fund Summary (Print)'!IndvTrstFndRcncltn, 6, 0, 1, 1)</f>
        <v>0</v>
      </c>
      <c r="C206" s="155">
        <f ca="1">IF(OFFSET('ALRC Indiv Fund Summary (Print)'!IndvTrstFndRcncltn, 6, 2, 1, 1)="",0,OFFSET('ALRC Indiv Fund Summary (Print)'!IndvTrstFndRcncltn, 6, 2, 1, 1))</f>
        <v>0</v>
      </c>
      <c r="D206" s="185">
        <f ca="1">IF(OFFSET('ALRC Indiv Fund Summary (Print)'!IndvTrstFndRcncltn, 6, 3, 1, 1)="", 0, OFFSET('ALRC Indiv Fund Summary (Print)'!IndvTrstFndRcncltn, 6, 3, 1, 1))</f>
        <v>0</v>
      </c>
      <c r="E206" s="180"/>
      <c r="F206" s="180"/>
      <c r="G206" s="180"/>
      <c r="H206" s="180"/>
      <c r="I206" s="187"/>
      <c r="J206" s="180"/>
      <c r="K206" s="180"/>
      <c r="L206" s="188"/>
      <c r="M206" s="188"/>
      <c r="N206" s="188"/>
      <c r="O206" s="188"/>
      <c r="P206" s="189"/>
      <c r="Q206" s="188"/>
      <c r="R206" s="188"/>
      <c r="S206" s="188"/>
      <c r="T206" s="188"/>
      <c r="U206" s="189"/>
    </row>
    <row r="207" spans="1:21">
      <c r="A207" s="154">
        <f ca="1">OFFSET('ALRC Indiv Fund Summary (Print)'!IndvTrstFndRcncltn, 7, 1, 1, 1)</f>
        <v>0</v>
      </c>
      <c r="B207" s="13">
        <f ca="1">OFFSET('ALRC Indiv Fund Summary (Print)'!IndvTrstFndRcncltn, 7, 0, 1, 1)</f>
        <v>0</v>
      </c>
      <c r="C207" s="155">
        <f ca="1">IF(OFFSET('ALRC Indiv Fund Summary (Print)'!IndvTrstFndRcncltn, 7, 2, 1, 1)="",0,OFFSET('ALRC Indiv Fund Summary (Print)'!IndvTrstFndRcncltn, 7, 2, 1, 1))</f>
        <v>0</v>
      </c>
      <c r="D207" s="185">
        <f ca="1">IF(OFFSET('ALRC Indiv Fund Summary (Print)'!IndvTrstFndRcncltn, 7, 3, 1, 1)="", 0, OFFSET('ALRC Indiv Fund Summary (Print)'!IndvTrstFndRcncltn, 7, 3, 1, 1))</f>
        <v>0</v>
      </c>
      <c r="E207" s="180"/>
      <c r="F207" s="180"/>
      <c r="G207" s="180"/>
      <c r="H207" s="180"/>
      <c r="I207" s="187"/>
      <c r="J207" s="180"/>
      <c r="K207" s="180"/>
      <c r="L207" s="188"/>
      <c r="M207" s="188"/>
      <c r="N207" s="188"/>
      <c r="O207" s="188"/>
      <c r="P207" s="189"/>
      <c r="Q207" s="188"/>
      <c r="R207" s="188"/>
      <c r="S207" s="188"/>
      <c r="T207" s="188"/>
      <c r="U207" s="189"/>
    </row>
    <row r="208" spans="1:21">
      <c r="A208" s="154">
        <f ca="1">OFFSET('ALRC Indiv Fund Summary (Print)'!IndvTrstFndRcncltn, 8, 1, 1, 1)</f>
        <v>0</v>
      </c>
      <c r="B208" s="13">
        <f ca="1">OFFSET('ALRC Indiv Fund Summary (Print)'!IndvTrstFndRcncltn, 8, 0, 1, 1)</f>
        <v>0</v>
      </c>
      <c r="C208" s="155">
        <f ca="1">IF(OFFSET('ALRC Indiv Fund Summary (Print)'!IndvTrstFndRcncltn, 8, 2, 1, 1)="",0,OFFSET('ALRC Indiv Fund Summary (Print)'!IndvTrstFndRcncltn, 8, 2, 1, 1))</f>
        <v>0</v>
      </c>
      <c r="D208" s="185">
        <f ca="1">IF(OFFSET('ALRC Indiv Fund Summary (Print)'!IndvTrstFndRcncltn, 8, 3, 1, 1)="", 0, OFFSET('ALRC Indiv Fund Summary (Print)'!IndvTrstFndRcncltn, 8, 3, 1, 1))</f>
        <v>0</v>
      </c>
      <c r="E208" s="180"/>
      <c r="F208" s="180"/>
      <c r="G208" s="180"/>
      <c r="H208" s="180"/>
      <c r="I208" s="187"/>
      <c r="J208" s="180"/>
      <c r="K208" s="180"/>
      <c r="L208" s="188"/>
      <c r="M208" s="188"/>
      <c r="N208" s="188"/>
      <c r="O208" s="188"/>
      <c r="P208" s="189"/>
      <c r="Q208" s="188"/>
      <c r="R208" s="188"/>
      <c r="S208" s="188"/>
      <c r="T208" s="188"/>
      <c r="U208" s="189"/>
    </row>
    <row r="209" spans="1:21">
      <c r="A209" s="154">
        <f ca="1">OFFSET('ALRC Indiv Fund Summary (Print)'!IndvTrstFndRcncltn, 9, 1, 1, 1)</f>
        <v>0</v>
      </c>
      <c r="B209" s="13">
        <f ca="1">OFFSET('ALRC Indiv Fund Summary (Print)'!IndvTrstFndRcncltn, 9, 0, 1, 1)</f>
        <v>0</v>
      </c>
      <c r="C209" s="155">
        <f ca="1">IF(OFFSET('ALRC Indiv Fund Summary (Print)'!IndvTrstFndRcncltn, 9, 2, 1, 1)="",0,OFFSET('ALRC Indiv Fund Summary (Print)'!IndvTrstFndRcncltn, 9, 2, 1, 1))</f>
        <v>0</v>
      </c>
      <c r="D209" s="185">
        <f ca="1">IF(OFFSET('ALRC Indiv Fund Summary (Print)'!IndvTrstFndRcncltn, 9, 3, 1, 1)="", 0, OFFSET('ALRC Indiv Fund Summary (Print)'!IndvTrstFndRcncltn, 9, 3, 1, 1))</f>
        <v>0</v>
      </c>
      <c r="E209" s="180"/>
      <c r="F209" s="180"/>
      <c r="G209" s="180"/>
      <c r="H209" s="180"/>
      <c r="I209" s="187"/>
      <c r="J209" s="180"/>
      <c r="K209" s="180"/>
      <c r="L209" s="188"/>
      <c r="M209" s="188"/>
      <c r="N209" s="188"/>
      <c r="O209" s="188"/>
      <c r="P209" s="189"/>
      <c r="Q209" s="188"/>
      <c r="R209" s="188"/>
      <c r="S209" s="188"/>
      <c r="T209" s="188"/>
      <c r="U209" s="189"/>
    </row>
    <row r="210" spans="1:21">
      <c r="A210" s="154">
        <f ca="1">OFFSET('ALRC Indiv Fund Summary (Print)'!IndvTrstFndRcncltn, 10, 1, 1, 1)</f>
        <v>0</v>
      </c>
      <c r="B210" s="13">
        <f ca="1">OFFSET('ALRC Indiv Fund Summary (Print)'!IndvTrstFndRcncltn, 10, 0, 1, 1)</f>
        <v>0</v>
      </c>
      <c r="C210" s="155">
        <f ca="1">IF(OFFSET('ALRC Indiv Fund Summary (Print)'!IndvTrstFndRcncltn,10, 2, 1, 1)="",0,OFFSET('ALRC Indiv Fund Summary (Print)'!IndvTrstFndRcncltn, 10, 2, 1, 1))</f>
        <v>0</v>
      </c>
      <c r="D210" s="185">
        <f ca="1">IF(OFFSET('ALRC Indiv Fund Summary (Print)'!IndvTrstFndRcncltn, 10, 3, 1, 1)="", 0, OFFSET('ALRC Indiv Fund Summary (Print)'!IndvTrstFndRcncltn, 10, 3, 1, 1))</f>
        <v>0</v>
      </c>
      <c r="E210" s="180"/>
      <c r="F210" s="180"/>
      <c r="G210" s="180"/>
      <c r="H210" s="180"/>
      <c r="I210" s="187"/>
      <c r="J210" s="180"/>
      <c r="K210" s="180"/>
      <c r="L210" s="188"/>
      <c r="M210" s="188"/>
      <c r="N210" s="188"/>
      <c r="O210" s="188"/>
      <c r="P210" s="189"/>
      <c r="Q210" s="188"/>
      <c r="R210" s="188"/>
      <c r="S210" s="188"/>
      <c r="T210" s="188"/>
      <c r="U210" s="189"/>
    </row>
    <row r="211" spans="1:21">
      <c r="A211" s="154">
        <f ca="1">OFFSET('ALRC Indiv Fund Summary (Print)'!IndvTrstFndRcncltn, 11, 1, 1, 1)</f>
        <v>0</v>
      </c>
      <c r="B211" s="13">
        <f ca="1">OFFSET('ALRC Indiv Fund Summary (Print)'!IndvTrstFndRcncltn, 11, 0, 1, 1)</f>
        <v>0</v>
      </c>
      <c r="C211" s="155">
        <f ca="1">IF(OFFSET('ALRC Indiv Fund Summary (Print)'!IndvTrstFndRcncltn, 11, 2, 1, 1)="",0,OFFSET('ALRC Indiv Fund Summary (Print)'!IndvTrstFndRcncltn, 11, 2, 1, 1))</f>
        <v>0</v>
      </c>
      <c r="D211" s="185">
        <f ca="1">IF(OFFSET('ALRC Indiv Fund Summary (Print)'!IndvTrstFndRcncltn, 11, 3, 1, 1)="", 0, OFFSET('ALRC Indiv Fund Summary (Print)'!IndvTrstFndRcncltn, 11, 3, 1, 1))</f>
        <v>0</v>
      </c>
      <c r="E211" s="180"/>
      <c r="F211" s="180"/>
      <c r="G211" s="180"/>
      <c r="H211" s="180"/>
      <c r="I211" s="187"/>
      <c r="J211" s="180"/>
      <c r="K211" s="180"/>
      <c r="L211" s="188"/>
      <c r="M211" s="188"/>
      <c r="N211" s="188"/>
      <c r="O211" s="188"/>
      <c r="P211" s="189"/>
      <c r="Q211" s="188"/>
      <c r="R211" s="188"/>
      <c r="S211" s="188"/>
      <c r="T211" s="188"/>
      <c r="U211" s="189"/>
    </row>
    <row r="212" spans="1:21">
      <c r="A212" s="154">
        <f ca="1">OFFSET('ALRC Indiv Fund Summary (Print)'!IndvTrstFndRcncltn, 12, 1, 1, 1)</f>
        <v>0</v>
      </c>
      <c r="B212" s="13">
        <f ca="1">OFFSET('ALRC Indiv Fund Summary (Print)'!IndvTrstFndRcncltn, 12, 0, 1, 1)</f>
        <v>0</v>
      </c>
      <c r="C212" s="155">
        <f ca="1">IF(OFFSET('ALRC Indiv Fund Summary (Print)'!IndvTrstFndRcncltn, 12, 2, 1, 1)="",0,OFFSET('ALRC Indiv Fund Summary (Print)'!IndvTrstFndRcncltn, 12, 2, 1, 1))</f>
        <v>0</v>
      </c>
      <c r="D212" s="185">
        <f ca="1">IF(OFFSET('ALRC Indiv Fund Summary (Print)'!IndvTrstFndRcncltn, 12, 3, 1, 1)="", 0, OFFSET('ALRC Indiv Fund Summary (Print)'!IndvTrstFndRcncltn, 12, 3, 1, 1))</f>
        <v>0</v>
      </c>
      <c r="E212" s="180"/>
      <c r="F212" s="180"/>
      <c r="G212" s="180"/>
      <c r="H212" s="180"/>
      <c r="I212" s="187"/>
      <c r="J212" s="180"/>
      <c r="K212" s="180"/>
      <c r="L212" s="188"/>
      <c r="M212" s="188"/>
      <c r="N212" s="188"/>
      <c r="O212" s="188"/>
      <c r="P212" s="189"/>
      <c r="Q212" s="188"/>
      <c r="R212" s="188"/>
      <c r="S212" s="188"/>
      <c r="T212" s="188"/>
      <c r="U212" s="189"/>
    </row>
    <row r="213" spans="1:21">
      <c r="A213" s="154">
        <f ca="1">OFFSET('ALRC Indiv Fund Summary (Print)'!IndvTrstFndRcncltn, 13, 1, 1, 1)</f>
        <v>0</v>
      </c>
      <c r="B213" s="13">
        <f ca="1">OFFSET('ALRC Indiv Fund Summary (Print)'!IndvTrstFndRcncltn, 13, 0, 1, 1)</f>
        <v>0</v>
      </c>
      <c r="C213" s="155">
        <f ca="1">IF(OFFSET('ALRC Indiv Fund Summary (Print)'!IndvTrstFndRcncltn, 13, 2, 1, 1)="",0,OFFSET('ALRC Indiv Fund Summary (Print)'!IndvTrstFndRcncltn, 13, 2, 1, 1))</f>
        <v>0</v>
      </c>
      <c r="D213" s="185">
        <f ca="1">IF(OFFSET('ALRC Indiv Fund Summary (Print)'!IndvTrstFndRcncltn, 13, 3, 1, 1)="", 0, OFFSET('ALRC Indiv Fund Summary (Print)'!IndvTrstFndRcncltn, 13, 3, 1, 1))</f>
        <v>0</v>
      </c>
      <c r="E213" s="180"/>
      <c r="F213" s="180"/>
      <c r="G213" s="180"/>
      <c r="H213" s="180"/>
      <c r="I213" s="187"/>
      <c r="J213" s="180"/>
      <c r="K213" s="180"/>
      <c r="L213" s="188"/>
      <c r="M213" s="188"/>
      <c r="N213" s="188"/>
      <c r="O213" s="188"/>
      <c r="P213" s="189"/>
      <c r="Q213" s="188"/>
      <c r="R213" s="188"/>
      <c r="S213" s="188"/>
      <c r="T213" s="188"/>
      <c r="U213" s="189"/>
    </row>
    <row r="214" spans="1:21">
      <c r="A214" s="154">
        <f ca="1">OFFSET('ALRC Indiv Fund Summary (Print)'!IndvTrstFndRcncltn, 14, 1, 1, 1)</f>
        <v>0</v>
      </c>
      <c r="B214" s="13">
        <f ca="1">OFFSET('ALRC Indiv Fund Summary (Print)'!IndvTrstFndRcncltn, 14, 0, 1, 1)</f>
        <v>0</v>
      </c>
      <c r="C214" s="155">
        <f ca="1">IF(OFFSET('ALRC Indiv Fund Summary (Print)'!IndvTrstFndRcncltn, 14, 2, 1, 1)="",0,OFFSET('ALRC Indiv Fund Summary (Print)'!IndvTrstFndRcncltn, 14, 2, 1, 1))</f>
        <v>0</v>
      </c>
      <c r="D214" s="185">
        <f ca="1">IF(OFFSET('ALRC Indiv Fund Summary (Print)'!IndvTrstFndRcncltn, 14, 3, 1, 1)="", 0, OFFSET('ALRC Indiv Fund Summary (Print)'!IndvTrstFndRcncltn, 14, 3, 1, 1))</f>
        <v>0</v>
      </c>
      <c r="E214" s="180"/>
      <c r="F214" s="180"/>
      <c r="G214" s="180"/>
      <c r="H214" s="180"/>
      <c r="I214" s="187"/>
      <c r="J214" s="180"/>
      <c r="K214" s="180"/>
      <c r="L214" s="188"/>
      <c r="M214" s="188"/>
      <c r="N214" s="188"/>
      <c r="O214" s="188"/>
      <c r="P214" s="189"/>
      <c r="Q214" s="188"/>
      <c r="R214" s="188"/>
      <c r="S214" s="188"/>
      <c r="T214" s="188"/>
      <c r="U214" s="189"/>
    </row>
    <row r="215" spans="1:21">
      <c r="A215" s="154">
        <f ca="1">OFFSET('ALRC Indiv Fund Summary (Print)'!IndvTrstFndRcncltn, 0, 6, 1, 1)</f>
        <v>0</v>
      </c>
      <c r="B215" s="13">
        <f ca="1">OFFSET('ALRC Indiv Fund Summary (Print)'!IndvTrstFndRcncltn, 0, 5, 1, 1)</f>
        <v>0</v>
      </c>
      <c r="C215" s="155">
        <f ca="1">IF(OFFSET('ALRC Indiv Fund Summary (Print)'!IndvTrstFndRcncltn, 0, 7, 1, 1)="",0,OFFSET('ALRC Indiv Fund Summary (Print)'!IndvTrstFndRcncltn, 0, 7, 1, 1))</f>
        <v>0</v>
      </c>
      <c r="D215" s="185">
        <f ca="1">IF(OFFSET('ALRC Indiv Fund Summary (Print)'!IndvTrstFndRcncltn, 0, 8, 1, 1)="", 0, OFFSET('ALRC Indiv Fund Summary (Print)'!IndvTrstFndRcncltn, 0, 8, 1, 1))</f>
        <v>0</v>
      </c>
      <c r="E215" s="180"/>
      <c r="F215" s="180"/>
      <c r="G215" s="180"/>
      <c r="H215" s="180"/>
      <c r="I215" s="187"/>
      <c r="J215" s="180"/>
      <c r="K215" s="180"/>
      <c r="L215" s="188"/>
      <c r="M215" s="188"/>
      <c r="N215" s="188"/>
      <c r="O215" s="188"/>
      <c r="P215" s="189"/>
      <c r="Q215" s="188"/>
      <c r="R215" s="188"/>
      <c r="S215" s="188"/>
      <c r="T215" s="188"/>
      <c r="U215" s="189"/>
    </row>
    <row r="216" spans="1:21">
      <c r="A216" s="154">
        <f ca="1">OFFSET('ALRC Indiv Fund Summary (Print)'!IndvTrstFndRcncltn, 1, 6, 1, 1)</f>
        <v>0</v>
      </c>
      <c r="B216" s="13">
        <f ca="1">OFFSET('ALRC Indiv Fund Summary (Print)'!IndvTrstFndRcncltn, 1, 5, 1, 1)</f>
        <v>0</v>
      </c>
      <c r="C216" s="155">
        <f ca="1">IF(OFFSET('ALRC Indiv Fund Summary (Print)'!IndvTrstFndRcncltn, 1, 7, 1, 1)="",0,OFFSET('ALRC Indiv Fund Summary (Print)'!IndvTrstFndRcncltn, 1, 7, 1, 1))</f>
        <v>0</v>
      </c>
      <c r="D216" s="185">
        <f ca="1">IF(OFFSET('ALRC Indiv Fund Summary (Print)'!IndvTrstFndRcncltn, 1, 8, 1, 1)="", 0, OFFSET('ALRC Indiv Fund Summary (Print)'!IndvTrstFndRcncltn, 1, 8, 1, 1))</f>
        <v>0</v>
      </c>
      <c r="E216" s="180"/>
      <c r="F216" s="180"/>
      <c r="G216" s="180"/>
      <c r="H216" s="180"/>
      <c r="I216" s="187"/>
      <c r="J216" s="180"/>
      <c r="K216" s="180"/>
      <c r="L216" s="188"/>
      <c r="M216" s="188"/>
      <c r="N216" s="188"/>
      <c r="O216" s="188"/>
      <c r="P216" s="189"/>
      <c r="Q216" s="188"/>
      <c r="R216" s="188"/>
      <c r="S216" s="188"/>
      <c r="T216" s="188"/>
      <c r="U216" s="189"/>
    </row>
    <row r="217" spans="1:21">
      <c r="A217" s="154">
        <f ca="1">OFFSET('ALRC Indiv Fund Summary (Print)'!IndvTrstFndRcncltn, 2, 6, 1, 1)</f>
        <v>0</v>
      </c>
      <c r="B217" s="13">
        <f ca="1">OFFSET('ALRC Indiv Fund Summary (Print)'!IndvTrstFndRcncltn, 2, 5, 1, 1)</f>
        <v>0</v>
      </c>
      <c r="C217" s="155">
        <f ca="1">IF(OFFSET('ALRC Indiv Fund Summary (Print)'!IndvTrstFndRcncltn, 2, 7, 1, 1)="",0,OFFSET('ALRC Indiv Fund Summary (Print)'!IndvTrstFndRcncltn, 2, 7, 1, 1))</f>
        <v>0</v>
      </c>
      <c r="D217" s="185">
        <f ca="1">IF(OFFSET('ALRC Indiv Fund Summary (Print)'!IndvTrstFndRcncltn, 0, 8, 1, 1)="", 0, OFFSET('ALRC Indiv Fund Summary (Print)'!IndvTrstFndRcncltn, 2, 8, 1, 1))</f>
        <v>0</v>
      </c>
      <c r="E217" s="180"/>
      <c r="F217" s="180"/>
      <c r="G217" s="180"/>
      <c r="H217" s="180"/>
      <c r="I217" s="187"/>
      <c r="J217" s="180"/>
      <c r="K217" s="180"/>
      <c r="L217" s="188"/>
      <c r="M217" s="188"/>
      <c r="N217" s="188"/>
      <c r="O217" s="188"/>
      <c r="P217" s="189"/>
      <c r="Q217" s="188"/>
      <c r="R217" s="188"/>
      <c r="S217" s="188"/>
      <c r="T217" s="188"/>
      <c r="U217" s="189"/>
    </row>
    <row r="218" spans="1:21">
      <c r="A218" s="154">
        <f ca="1">OFFSET('ALRC Indiv Fund Summary (Print)'!IndvTrstFndRcncltn, 3, 6, 1, 1)</f>
        <v>0</v>
      </c>
      <c r="B218" s="13">
        <f ca="1">OFFSET('ALRC Indiv Fund Summary (Print)'!IndvTrstFndRcncltn, 3, 5, 1, 1)</f>
        <v>0</v>
      </c>
      <c r="C218" s="155">
        <f ca="1">IF(OFFSET('ALRC Indiv Fund Summary (Print)'!IndvTrstFndRcncltn, 3, 7, 1, 1)="",0,OFFSET('ALRC Indiv Fund Summary (Print)'!IndvTrstFndRcncltn, 3, 7, 1, 1))</f>
        <v>0</v>
      </c>
      <c r="D218" s="185">
        <f ca="1">IF(OFFSET('ALRC Indiv Fund Summary (Print)'!IndvTrstFndRcncltn, 3, 8, 1, 1)="", 0, OFFSET('ALRC Indiv Fund Summary (Print)'!IndvTrstFndRcncltn, 3, 8, 1, 1))</f>
        <v>0</v>
      </c>
      <c r="E218" s="180"/>
      <c r="F218" s="180"/>
      <c r="G218" s="180"/>
      <c r="H218" s="180"/>
      <c r="I218" s="187"/>
      <c r="J218" s="180"/>
      <c r="K218" s="180"/>
      <c r="L218" s="188"/>
      <c r="M218" s="188"/>
      <c r="N218" s="188"/>
      <c r="O218" s="188"/>
      <c r="P218" s="189"/>
      <c r="Q218" s="188"/>
      <c r="R218" s="188"/>
      <c r="S218" s="188"/>
      <c r="T218" s="188"/>
      <c r="U218" s="189"/>
    </row>
    <row r="219" spans="1:21">
      <c r="A219" s="154">
        <f ca="1">OFFSET('ALRC Indiv Fund Summary (Print)'!IndvTrstFndRcncltn, 4, 6, 1, 1)</f>
        <v>0</v>
      </c>
      <c r="B219" s="13">
        <f ca="1">OFFSET('ALRC Indiv Fund Summary (Print)'!IndvTrstFndRcncltn, 4, 5, 1, 1)</f>
        <v>0</v>
      </c>
      <c r="C219" s="155">
        <f ca="1">IF(OFFSET('ALRC Indiv Fund Summary (Print)'!IndvTrstFndRcncltn, 4, 7, 1, 1)="",0,OFFSET('ALRC Indiv Fund Summary (Print)'!IndvTrstFndRcncltn, 4, 7, 1, 1))</f>
        <v>0</v>
      </c>
      <c r="D219" s="185">
        <f ca="1">IF(OFFSET('ALRC Indiv Fund Summary (Print)'!IndvTrstFndRcncltn, 4, 8, 1, 1)="", 0, OFFSET('ALRC Indiv Fund Summary (Print)'!IndvTrstFndRcncltn, 4, 8, 1, 1))</f>
        <v>0</v>
      </c>
      <c r="E219" s="180"/>
      <c r="F219" s="180"/>
      <c r="G219" s="180"/>
      <c r="H219" s="180"/>
      <c r="I219" s="187"/>
      <c r="J219" s="180"/>
      <c r="K219" s="180"/>
      <c r="L219" s="188"/>
      <c r="M219" s="188"/>
      <c r="N219" s="188"/>
      <c r="O219" s="188"/>
      <c r="P219" s="189"/>
      <c r="Q219" s="188"/>
      <c r="R219" s="188"/>
      <c r="S219" s="188"/>
      <c r="T219" s="188"/>
      <c r="U219" s="189"/>
    </row>
    <row r="220" spans="1:21">
      <c r="A220" s="154">
        <f ca="1">OFFSET('ALRC Indiv Fund Summary (Print)'!IndvTrstFndRcncltn, 5, 6, 1, 1)</f>
        <v>0</v>
      </c>
      <c r="B220" s="13">
        <f ca="1">OFFSET('ALRC Indiv Fund Summary (Print)'!IndvTrstFndRcncltn, 5, 5, 1, 1)</f>
        <v>0</v>
      </c>
      <c r="C220" s="155">
        <f ca="1">IF(OFFSET('ALRC Indiv Fund Summary (Print)'!IndvTrstFndRcncltn, 5, 7, 1, 1)="",0,OFFSET('ALRC Indiv Fund Summary (Print)'!IndvTrstFndRcncltn, 5, 7, 1, 1))</f>
        <v>0</v>
      </c>
      <c r="D220" s="185">
        <f ca="1">IF(OFFSET('ALRC Indiv Fund Summary (Print)'!IndvTrstFndRcncltn, 5, 8, 1, 1)="", 0, OFFSET('ALRC Indiv Fund Summary (Print)'!IndvTrstFndRcncltn, 5, 8, 1, 1))</f>
        <v>0</v>
      </c>
      <c r="E220" s="180"/>
      <c r="F220" s="180"/>
      <c r="G220" s="180"/>
      <c r="H220" s="180"/>
      <c r="I220" s="187"/>
      <c r="J220" s="180"/>
      <c r="K220" s="180"/>
      <c r="L220" s="188"/>
      <c r="M220" s="188"/>
      <c r="N220" s="188"/>
      <c r="O220" s="188"/>
      <c r="P220" s="189"/>
      <c r="Q220" s="188"/>
      <c r="R220" s="188"/>
      <c r="S220" s="188"/>
      <c r="T220" s="188"/>
      <c r="U220" s="189"/>
    </row>
    <row r="221" spans="1:21">
      <c r="A221" s="154">
        <f ca="1">OFFSET('ALRC Indiv Fund Summary (Print)'!IndvTrstFndRcncltn, 6, 6, 1, 1)</f>
        <v>0</v>
      </c>
      <c r="B221" s="13">
        <f ca="1">OFFSET('ALRC Indiv Fund Summary (Print)'!IndvTrstFndRcncltn, 6, 5, 1, 1)</f>
        <v>0</v>
      </c>
      <c r="C221" s="155">
        <f ca="1">IF(OFFSET('ALRC Indiv Fund Summary (Print)'!IndvTrstFndRcncltn, 6, 7, 1, 1)="",0,OFFSET('ALRC Indiv Fund Summary (Print)'!IndvTrstFndRcncltn, 6, 7, 1, 1))</f>
        <v>0</v>
      </c>
      <c r="D221" s="185">
        <f ca="1">IF(OFFSET('ALRC Indiv Fund Summary (Print)'!IndvTrstFndRcncltn, 6, 8, 1, 1)="", 0, OFFSET('ALRC Indiv Fund Summary (Print)'!IndvTrstFndRcncltn, 6, 8, 1, 1))</f>
        <v>0</v>
      </c>
      <c r="E221" s="180"/>
      <c r="F221" s="180"/>
      <c r="G221" s="180"/>
      <c r="H221" s="180"/>
      <c r="I221" s="187"/>
      <c r="J221" s="180"/>
      <c r="K221" s="180"/>
      <c r="L221" s="188"/>
      <c r="M221" s="188"/>
      <c r="N221" s="188"/>
      <c r="O221" s="188"/>
      <c r="P221" s="189"/>
      <c r="Q221" s="188"/>
      <c r="R221" s="188"/>
      <c r="S221" s="188"/>
      <c r="T221" s="188"/>
      <c r="U221" s="189"/>
    </row>
    <row r="222" spans="1:21">
      <c r="A222" s="154">
        <f ca="1">OFFSET('ALRC Indiv Fund Summary (Print)'!IndvTrstFndRcncltn, 7, 6, 1, 1)</f>
        <v>0</v>
      </c>
      <c r="B222" s="13">
        <f ca="1">OFFSET('ALRC Indiv Fund Summary (Print)'!IndvTrstFndRcncltn, 7, 5, 1, 1)</f>
        <v>0</v>
      </c>
      <c r="C222" s="155">
        <f ca="1">IF(OFFSET('ALRC Indiv Fund Summary (Print)'!IndvTrstFndRcncltn, 7, 7, 1, 1)="",0,OFFSET('ALRC Indiv Fund Summary (Print)'!IndvTrstFndRcncltn, 7, 7, 1, 1))</f>
        <v>0</v>
      </c>
      <c r="D222" s="185">
        <f ca="1">IF(OFFSET('ALRC Indiv Fund Summary (Print)'!IndvTrstFndRcncltn, 7, 8, 1, 1)="", 0, OFFSET('ALRC Indiv Fund Summary (Print)'!IndvTrstFndRcncltn, 7, 8, 1, 1))</f>
        <v>0</v>
      </c>
      <c r="E222" s="180"/>
      <c r="F222" s="180"/>
      <c r="G222" s="180"/>
      <c r="H222" s="180"/>
      <c r="I222" s="187"/>
      <c r="J222" s="180"/>
      <c r="K222" s="180"/>
      <c r="L222" s="188"/>
      <c r="M222" s="188"/>
      <c r="N222" s="188"/>
      <c r="O222" s="188"/>
      <c r="P222" s="189"/>
      <c r="Q222" s="188"/>
      <c r="R222" s="188"/>
      <c r="S222" s="188"/>
      <c r="T222" s="188"/>
      <c r="U222" s="189"/>
    </row>
    <row r="223" spans="1:21">
      <c r="A223" s="154">
        <f ca="1">OFFSET('ALRC Indiv Fund Summary (Print)'!IndvTrstFndRcncltn, 8, 6, 1, 1)</f>
        <v>0</v>
      </c>
      <c r="B223" s="13">
        <f ca="1">OFFSET('ALRC Indiv Fund Summary (Print)'!IndvTrstFndRcncltn, 8, 5, 1, 1)</f>
        <v>0</v>
      </c>
      <c r="C223" s="155">
        <f ca="1">IF(OFFSET('ALRC Indiv Fund Summary (Print)'!IndvTrstFndRcncltn, 8, 7, 1, 1)="",0,OFFSET('ALRC Indiv Fund Summary (Print)'!IndvTrstFndRcncltn, 8, 7, 1, 1))</f>
        <v>0</v>
      </c>
      <c r="D223" s="185">
        <f ca="1">IF(OFFSET('ALRC Indiv Fund Summary (Print)'!IndvTrstFndRcncltn, 8, 8, 1, 1)="", 0, OFFSET('ALRC Indiv Fund Summary (Print)'!IndvTrstFndRcncltn, 8, 8, 1, 1))</f>
        <v>0</v>
      </c>
      <c r="E223" s="180"/>
      <c r="F223" s="180"/>
      <c r="G223" s="180"/>
      <c r="H223" s="180"/>
      <c r="I223" s="187"/>
      <c r="J223" s="180"/>
      <c r="K223" s="180"/>
      <c r="L223" s="188"/>
      <c r="M223" s="188"/>
      <c r="N223" s="188"/>
      <c r="O223" s="188"/>
      <c r="P223" s="189"/>
      <c r="Q223" s="188"/>
      <c r="R223" s="188"/>
      <c r="S223" s="188"/>
      <c r="T223" s="188"/>
      <c r="U223" s="189"/>
    </row>
    <row r="224" spans="1:21">
      <c r="A224" s="154">
        <f ca="1">OFFSET('ALRC Indiv Fund Summary (Print)'!IndvTrstFndRcncltn, 9, 6, 1, 1)</f>
        <v>0</v>
      </c>
      <c r="B224" s="13">
        <f ca="1">OFFSET('ALRC Indiv Fund Summary (Print)'!IndvTrstFndRcncltn, 9, 5, 1, 1)</f>
        <v>0</v>
      </c>
      <c r="C224" s="155">
        <f ca="1">IF(OFFSET('ALRC Indiv Fund Summary (Print)'!IndvTrstFndRcncltn, 9, 7, 1, 1)="",0,OFFSET('ALRC Indiv Fund Summary (Print)'!IndvTrstFndRcncltn, 9, 7, 1, 1))</f>
        <v>0</v>
      </c>
      <c r="D224" s="185">
        <f ca="1">IF(OFFSET('ALRC Indiv Fund Summary (Print)'!IndvTrstFndRcncltn, 9, 8, 1, 1)="", 0, OFFSET('ALRC Indiv Fund Summary (Print)'!IndvTrstFndRcncltn, 9, 8, 1, 1))</f>
        <v>0</v>
      </c>
      <c r="E224" s="180"/>
      <c r="F224" s="180"/>
      <c r="G224" s="180"/>
      <c r="H224" s="180"/>
      <c r="I224" s="187"/>
      <c r="J224" s="180"/>
      <c r="K224" s="180"/>
      <c r="L224" s="188"/>
      <c r="M224" s="188"/>
      <c r="N224" s="188"/>
      <c r="O224" s="188"/>
      <c r="P224" s="189"/>
      <c r="Q224" s="188"/>
      <c r="R224" s="188"/>
      <c r="S224" s="188"/>
      <c r="T224" s="188"/>
      <c r="U224" s="189"/>
    </row>
    <row r="225" spans="1:21">
      <c r="A225" s="154">
        <f ca="1">OFFSET('ALRC Indiv Fund Summary (Print)'!IndvTrstFndRcncltn, 10, 6, 1, 1)</f>
        <v>0</v>
      </c>
      <c r="B225" s="13">
        <f ca="1">OFFSET('ALRC Indiv Fund Summary (Print)'!IndvTrstFndRcncltn, 10, 5, 1, 1)</f>
        <v>0</v>
      </c>
      <c r="C225" s="155">
        <f ca="1">IF(OFFSET('ALRC Indiv Fund Summary (Print)'!IndvTrstFndRcncltn,10, 7, 1, 1)="",0,OFFSET('ALRC Indiv Fund Summary (Print)'!IndvTrstFndRcncltn, 10, 7, 1, 1))</f>
        <v>0</v>
      </c>
      <c r="D225" s="185">
        <f ca="1">IF(OFFSET('ALRC Indiv Fund Summary (Print)'!IndvTrstFndRcncltn, 10, 8, 1, 1)="", 0, OFFSET('ALRC Indiv Fund Summary (Print)'!IndvTrstFndRcncltn, 10, 8, 1, 1))</f>
        <v>0</v>
      </c>
      <c r="E225" s="180"/>
      <c r="F225" s="180"/>
      <c r="G225" s="180"/>
      <c r="H225" s="180"/>
      <c r="I225" s="187"/>
      <c r="J225" s="180"/>
      <c r="K225" s="180"/>
      <c r="L225" s="188"/>
      <c r="M225" s="188"/>
      <c r="N225" s="188"/>
      <c r="O225" s="188"/>
      <c r="P225" s="189"/>
      <c r="Q225" s="188"/>
      <c r="R225" s="188"/>
      <c r="S225" s="188"/>
      <c r="T225" s="188"/>
      <c r="U225" s="189"/>
    </row>
    <row r="226" spans="1:21">
      <c r="A226" s="154">
        <f ca="1">OFFSET('ALRC Indiv Fund Summary (Print)'!IndvTrstFndRcncltn, 11, 6, 1, 1)</f>
        <v>0</v>
      </c>
      <c r="B226" s="13">
        <f ca="1">OFFSET('ALRC Indiv Fund Summary (Print)'!IndvTrstFndRcncltn, 11, 5, 1, 1)</f>
        <v>0</v>
      </c>
      <c r="C226" s="155">
        <f ca="1">IF(OFFSET('ALRC Indiv Fund Summary (Print)'!IndvTrstFndRcncltn, 11, 7, 1, 1)="",0,OFFSET('ALRC Indiv Fund Summary (Print)'!IndvTrstFndRcncltn, 11, 7, 1, 1))</f>
        <v>0</v>
      </c>
      <c r="D226" s="185">
        <f ca="1">IF(OFFSET('ALRC Indiv Fund Summary (Print)'!IndvTrstFndRcncltn, 11, 8, 1, 1)="", 0, OFFSET('ALRC Indiv Fund Summary (Print)'!IndvTrstFndRcncltn, 11, 8, 1, 1))</f>
        <v>0</v>
      </c>
      <c r="E226" s="180"/>
      <c r="F226" s="180"/>
      <c r="G226" s="180"/>
      <c r="H226" s="180"/>
      <c r="I226" s="187"/>
      <c r="J226" s="180"/>
      <c r="K226" s="180"/>
      <c r="L226" s="188"/>
      <c r="M226" s="188"/>
      <c r="N226" s="188"/>
      <c r="O226" s="188"/>
      <c r="P226" s="189"/>
      <c r="Q226" s="188"/>
      <c r="R226" s="188"/>
      <c r="S226" s="188"/>
      <c r="T226" s="188"/>
      <c r="U226" s="189"/>
    </row>
    <row r="227" spans="1:21">
      <c r="A227" s="154">
        <f ca="1">OFFSET('ALRC Indiv Fund Summary (Print)'!IndvTrstFndRcncltn, 12, 6, 1, 1)</f>
        <v>0</v>
      </c>
      <c r="B227" s="13">
        <f ca="1">OFFSET('ALRC Indiv Fund Summary (Print)'!IndvTrstFndRcncltn, 12, 5, 1, 1)</f>
        <v>0</v>
      </c>
      <c r="C227" s="155">
        <f ca="1">IF(OFFSET('ALRC Indiv Fund Summary (Print)'!IndvTrstFndRcncltn, 12, 7, 1, 1)="",0,OFFSET('ALRC Indiv Fund Summary (Print)'!IndvTrstFndRcncltn, 12, 7, 1, 1))</f>
        <v>0</v>
      </c>
      <c r="D227" s="185">
        <f ca="1">IF(OFFSET('ALRC Indiv Fund Summary (Print)'!IndvTrstFndRcncltn, 12, 8, 1, 1)="", 0, OFFSET('ALRC Indiv Fund Summary (Print)'!IndvTrstFndRcncltn, 12, 8, 1, 1))</f>
        <v>0</v>
      </c>
      <c r="E227" s="180"/>
      <c r="F227" s="180"/>
      <c r="G227" s="180"/>
      <c r="H227" s="180"/>
      <c r="I227" s="187"/>
      <c r="J227" s="180"/>
      <c r="K227" s="180"/>
      <c r="L227" s="188"/>
      <c r="M227" s="188"/>
      <c r="N227" s="188"/>
      <c r="O227" s="188"/>
      <c r="P227" s="189"/>
      <c r="Q227" s="188"/>
      <c r="R227" s="188"/>
      <c r="S227" s="188"/>
      <c r="T227" s="188"/>
      <c r="U227" s="189"/>
    </row>
    <row r="228" spans="1:21">
      <c r="A228" s="154">
        <f ca="1">OFFSET('ALRC Indiv Fund Summary (Print)'!IndvTrstFndRcncltn, 13, 6, 1, 1)</f>
        <v>0</v>
      </c>
      <c r="B228" s="13">
        <f ca="1">OFFSET('ALRC Indiv Fund Summary (Print)'!IndvTrstFndRcncltn, 13, 5, 1, 1)</f>
        <v>0</v>
      </c>
      <c r="C228" s="155">
        <f ca="1">IF(OFFSET('ALRC Indiv Fund Summary (Print)'!IndvTrstFndRcncltn, 13, 7, 1, 1)="",0,OFFSET('ALRC Indiv Fund Summary (Print)'!IndvTrstFndRcncltn, 13, 7, 1, 1))</f>
        <v>0</v>
      </c>
      <c r="D228" s="185">
        <f ca="1">IF(OFFSET('ALRC Indiv Fund Summary (Print)'!IndvTrstFndRcncltn, 13, 8, 1, 1)="", 0, OFFSET('ALRC Indiv Fund Summary (Print)'!IndvTrstFndRcncltn, 13, 8, 1, 1))</f>
        <v>0</v>
      </c>
      <c r="E228" s="180"/>
      <c r="F228" s="180"/>
      <c r="G228" s="180"/>
      <c r="H228" s="180"/>
      <c r="I228" s="187"/>
      <c r="J228" s="180"/>
      <c r="K228" s="180"/>
      <c r="L228" s="188"/>
      <c r="M228" s="188"/>
      <c r="N228" s="188"/>
      <c r="O228" s="188"/>
      <c r="P228" s="189"/>
      <c r="Q228" s="188"/>
      <c r="R228" s="188"/>
      <c r="S228" s="188"/>
      <c r="T228" s="188"/>
      <c r="U228" s="189"/>
    </row>
    <row r="229" spans="1:21" ht="15" thickBot="1">
      <c r="A229" s="300">
        <f ca="1">OFFSET('ALRC Indiv Fund Summary (Print)'!IndvTrstFndRcncltn, 14, 6, 1, 1)</f>
        <v>0</v>
      </c>
      <c r="B229" s="172">
        <f ca="1">OFFSET('ALRC Indiv Fund Summary (Print)'!IndvTrstFndRcncltn, 14, 5, 1, 1)</f>
        <v>0</v>
      </c>
      <c r="C229" s="174">
        <f ca="1">IF(OFFSET('ALRC Indiv Fund Summary (Print)'!IndvTrstFndRcncltn, 14, 7, 1, 1)="",0,OFFSET('ALRC Indiv Fund Summary (Print)'!IndvTrstFndRcncltn, 14, 7, 1, 1))</f>
        <v>0</v>
      </c>
      <c r="D229" s="186">
        <f ca="1">IF(OFFSET('ALRC Indiv Fund Summary (Print)'!IndvTrstFndRcncltn, 14, 8, 1, 1)="", 0, OFFSET('ALRC Indiv Fund Summary (Print)'!IndvTrstFndRcncltn, 14, 8, 1, 1))</f>
        <v>0</v>
      </c>
      <c r="E229" s="180"/>
      <c r="F229" s="180"/>
      <c r="G229" s="180"/>
      <c r="H229" s="180"/>
      <c r="I229" s="187"/>
      <c r="J229" s="180"/>
      <c r="K229" s="180"/>
      <c r="L229" s="188"/>
      <c r="M229" s="188"/>
      <c r="N229" s="188"/>
      <c r="O229" s="188"/>
      <c r="P229" s="189"/>
      <c r="Q229" s="188"/>
      <c r="R229" s="188"/>
      <c r="S229" s="188"/>
      <c r="T229" s="188"/>
      <c r="U229" s="189"/>
    </row>
    <row r="230" spans="1:21">
      <c r="A230" s="179"/>
      <c r="B230" s="180"/>
      <c r="C230" s="180"/>
      <c r="D230" s="180"/>
      <c r="E230" s="180"/>
      <c r="F230" s="180"/>
      <c r="G230" s="180"/>
      <c r="H230" s="180"/>
      <c r="I230" s="187"/>
      <c r="J230" s="180"/>
      <c r="K230" s="180"/>
      <c r="L230" s="188"/>
      <c r="M230" s="188"/>
      <c r="N230" s="188"/>
      <c r="O230" s="188"/>
      <c r="P230" s="189"/>
      <c r="Q230" s="188"/>
      <c r="R230" s="188"/>
      <c r="S230" s="188"/>
      <c r="T230" s="188"/>
      <c r="U230" s="189"/>
    </row>
    <row r="231" spans="1:21" ht="15" thickBot="1">
      <c r="A231" s="179" t="s">
        <v>1274</v>
      </c>
      <c r="B231" s="180"/>
      <c r="C231" s="180"/>
      <c r="D231" s="180"/>
      <c r="E231" s="180"/>
      <c r="F231" s="180"/>
      <c r="G231" s="180"/>
      <c r="H231" s="180"/>
      <c r="I231" s="187"/>
      <c r="J231" s="180"/>
      <c r="K231" s="180"/>
      <c r="L231" s="188"/>
      <c r="M231" s="188"/>
      <c r="N231" s="188"/>
      <c r="O231" s="188"/>
      <c r="P231" s="189"/>
      <c r="Q231" s="188"/>
      <c r="R231" s="188"/>
      <c r="S231" s="188"/>
      <c r="T231" s="188"/>
      <c r="U231" s="189"/>
    </row>
    <row r="232" spans="1:21">
      <c r="A232" s="181" t="s">
        <v>1005</v>
      </c>
      <c r="B232" s="182" t="s">
        <v>242</v>
      </c>
      <c r="C232" s="182" t="s">
        <v>1521</v>
      </c>
      <c r="D232" s="432" t="s">
        <v>1522</v>
      </c>
      <c r="E232" s="432" t="s">
        <v>1523</v>
      </c>
      <c r="F232" s="183" t="s">
        <v>1058</v>
      </c>
      <c r="G232" s="180"/>
      <c r="H232" s="180"/>
      <c r="I232" s="187"/>
      <c r="J232" s="180"/>
      <c r="K232" s="180"/>
      <c r="L232" s="188"/>
      <c r="M232" s="188"/>
      <c r="N232" s="188"/>
      <c r="O232" s="188"/>
      <c r="P232" s="189"/>
      <c r="Q232" s="188"/>
      <c r="R232" s="188"/>
      <c r="S232" s="188"/>
      <c r="T232" s="188"/>
      <c r="U232" s="189"/>
    </row>
    <row r="233" spans="1:21">
      <c r="A233" s="176">
        <v>10</v>
      </c>
      <c r="B233" s="319">
        <f ca="1">IF(OFFSET('ALRC Indiv Fund Summary (Print)'!PrrtdIntPldTrstFndAcct, 0, 2, 1, 1) = DATE(1900,1,0),DATE(1900,1,1), OFFSET('ALRC Indiv Fund Summary (Print)'!PrrtdIntPldTrstFndAcct, 0, 2, 1, 1))</f>
        <v>1</v>
      </c>
      <c r="C233" s="155">
        <f ca="1">IF(OFFSET('ALRC Indiv Fund Summary (Print)'!PrrtdIntPldTrstFndAcct, 0, 3, 1, 1) = "", 0, OFFSET('ALRC Indiv Fund Summary (Print)'!PrrtdIntPldTrstFndAcct, 0, 3, 1, 1))</f>
        <v>0</v>
      </c>
      <c r="D233" s="319">
        <f ca="1">IF(OFFSET('ALRC Indiv Fund Summary (Print)'!PrrtdIntPldTrstFndAcct, 0, 4, 1, 1) = DATE(1900,1,0),DATE(1900,1,1), OFFSET('ALRC Indiv Fund Summary (Print)'!PrrtdIntPldTrstFndAcct, 0, 4, 1, 1))</f>
        <v>1</v>
      </c>
      <c r="E233" s="155">
        <f ca="1">IF(OFFSET('ALRC Indiv Fund Summary (Print)'!PrrtdIntPldTrstFndAcct, 0, 5, 1, 1) = "", 0, OFFSET('ALRC Indiv Fund Summary (Print)'!PrrtdIntPldTrstFndAcct, 0, 5, 1, 1))</f>
        <v>0</v>
      </c>
      <c r="F233" s="177">
        <f ca="1">OFFSET('ALRC Indiv Fund Summary (Print)'!PrrtdIntPldTrstFndAcct, 0, 1, 1, 1)</f>
        <v>0</v>
      </c>
      <c r="G233" s="180"/>
      <c r="H233" s="180"/>
      <c r="I233" s="187"/>
      <c r="J233" s="180"/>
      <c r="K233" s="180"/>
      <c r="L233" s="188"/>
      <c r="M233" s="188"/>
      <c r="N233" s="188"/>
      <c r="O233" s="188"/>
      <c r="P233" s="189"/>
      <c r="Q233" s="188"/>
      <c r="R233" s="188"/>
      <c r="S233" s="188"/>
      <c r="T233" s="188"/>
      <c r="U233" s="189"/>
    </row>
    <row r="234" spans="1:21">
      <c r="A234" s="176">
        <v>10</v>
      </c>
      <c r="B234" s="319">
        <f ca="1">IF(OFFSET('ALRC Indiv Fund Summary (Print)'!PrrtdIntPldTrstFndAcct, 1, 2, 1, 1) = DATE(1900,1,0),DATE(1900,1,1), OFFSET('ALRC Indiv Fund Summary (Print)'!PrrtdIntPldTrstFndAcct, 1, 2, 1, 1))</f>
        <v>1</v>
      </c>
      <c r="C234" s="155">
        <f ca="1">IF(OFFSET('ALRC Indiv Fund Summary (Print)'!PrrtdIntPldTrstFndAcct, 1, 3, 1, 1) = "", 0, OFFSET('ALRC Indiv Fund Summary (Print)'!PrrtdIntPldTrstFndAcct, 1, 3, 1, 1))</f>
        <v>0</v>
      </c>
      <c r="D234" s="319">
        <f ca="1">IF(OFFSET('ALRC Indiv Fund Summary (Print)'!PrrtdIntPldTrstFndAcct, 1, 4, 1, 1) = DATE(1900,1,0),DATE(1900,1,1), OFFSET('ALRC Indiv Fund Summary (Print)'!PrrtdIntPldTrstFndAcct, 1, 4, 1, 1))</f>
        <v>1</v>
      </c>
      <c r="E234" s="155">
        <f ca="1">IF(OFFSET('ALRC Indiv Fund Summary (Print)'!PrrtdIntPldTrstFndAcct, 1, 5, 1, 1) = "", 0, OFFSET('ALRC Indiv Fund Summary (Print)'!PrrtdIntPldTrstFndAcct, 1, 5, 1, 1))</f>
        <v>0</v>
      </c>
      <c r="F234" s="177">
        <f ca="1">OFFSET('ALRC Indiv Fund Summary (Print)'!PrrtdIntPldTrstFndAcct, 1, 1, 1, 1)</f>
        <v>0</v>
      </c>
      <c r="G234" s="180"/>
      <c r="H234" s="180"/>
      <c r="I234" s="187"/>
      <c r="J234" s="180"/>
      <c r="K234" s="180"/>
      <c r="L234" s="188"/>
      <c r="M234" s="188"/>
      <c r="N234" s="188"/>
      <c r="O234" s="188"/>
      <c r="P234" s="189"/>
      <c r="Q234" s="188"/>
      <c r="R234" s="188"/>
      <c r="S234" s="188"/>
      <c r="T234" s="188"/>
      <c r="U234" s="189"/>
    </row>
    <row r="235" spans="1:21">
      <c r="A235" s="176">
        <v>10</v>
      </c>
      <c r="B235" s="319">
        <f ca="1">IF(OFFSET('ALRC Indiv Fund Summary (Print)'!PrrtdIntPldTrstFndAcct, 2, 2, 1, 1) = DATE(1900,1,0),DATE(1900,1,1), OFFSET('ALRC Indiv Fund Summary (Print)'!PrrtdIntPldTrstFndAcct, 2, 2, 1, 1))</f>
        <v>1</v>
      </c>
      <c r="C235" s="155">
        <f ca="1">IF(OFFSET('ALRC Indiv Fund Summary (Print)'!PrrtdIntPldTrstFndAcct, 2, 3, 1, 1) = "", 0, OFFSET('ALRC Indiv Fund Summary (Print)'!PrrtdIntPldTrstFndAcct, 2, 3, 1, 1))</f>
        <v>0</v>
      </c>
      <c r="D235" s="319">
        <f ca="1">IF(OFFSET('ALRC Indiv Fund Summary (Print)'!PrrtdIntPldTrstFndAcct, 2, 4, 1, 1) = DATE(1900,1,0),DATE(1900,1,1), OFFSET('ALRC Indiv Fund Summary (Print)'!PrrtdIntPldTrstFndAcct, 2, 4, 1, 1))</f>
        <v>1</v>
      </c>
      <c r="E235" s="155">
        <f ca="1">IF(OFFSET('ALRC Indiv Fund Summary (Print)'!PrrtdIntPldTrstFndAcct, 2, 5, 1, 1) = "", 0, OFFSET('ALRC Indiv Fund Summary (Print)'!PrrtdIntPldTrstFndAcct, 2, 5, 1, 1))</f>
        <v>0</v>
      </c>
      <c r="F235" s="177">
        <f ca="1">OFFSET('ALRC Indiv Fund Summary (Print)'!PrrtdIntPldTrstFndAcct, 2, 1, 1, 1)</f>
        <v>0</v>
      </c>
      <c r="G235" s="180"/>
      <c r="H235" s="180"/>
      <c r="I235" s="187"/>
      <c r="J235" s="180"/>
      <c r="K235" s="180"/>
      <c r="L235" s="188"/>
      <c r="M235" s="188"/>
      <c r="N235" s="188"/>
      <c r="O235" s="188"/>
      <c r="P235" s="189"/>
      <c r="Q235" s="188"/>
      <c r="R235" s="188"/>
      <c r="S235" s="188"/>
      <c r="T235" s="188"/>
      <c r="U235" s="189"/>
    </row>
    <row r="236" spans="1:21">
      <c r="A236" s="176">
        <v>10</v>
      </c>
      <c r="B236" s="319">
        <f ca="1">IF(OFFSET('ALRC Indiv Fund Summary (Print)'!PrrtdIntPldTrstFndAcct, 3, 2, 1, 1) = DATE(1900,1,0),DATE(1900,1,1), OFFSET('ALRC Indiv Fund Summary (Print)'!PrrtdIntPldTrstFndAcct, 3, 2, 1, 1))</f>
        <v>1</v>
      </c>
      <c r="C236" s="155">
        <f ca="1">IF(OFFSET('ALRC Indiv Fund Summary (Print)'!PrrtdIntPldTrstFndAcct, 3, 3, 1, 1) = "", 0, OFFSET('ALRC Indiv Fund Summary (Print)'!PrrtdIntPldTrstFndAcct, 3, 3, 1, 1))</f>
        <v>0</v>
      </c>
      <c r="D236" s="319">
        <f ca="1">IF(OFFSET('ALRC Indiv Fund Summary (Print)'!PrrtdIntPldTrstFndAcct, 3, 4, 1, 1) = DATE(1900,1,0),DATE(1900,1,1), OFFSET('ALRC Indiv Fund Summary (Print)'!PrrtdIntPldTrstFndAcct, 3, 4, 1, 1))</f>
        <v>1</v>
      </c>
      <c r="E236" s="155">
        <f ca="1">IF(OFFSET('ALRC Indiv Fund Summary (Print)'!PrrtdIntPldTrstFndAcct, 3, 5, 1, 1) = "", 0, OFFSET('ALRC Indiv Fund Summary (Print)'!PrrtdIntPldTrstFndAcct, 3, 5, 1, 1))</f>
        <v>0</v>
      </c>
      <c r="F236" s="177">
        <f ca="1">OFFSET('ALRC Indiv Fund Summary (Print)'!PrrtdIntPldTrstFndAcct, 3, 1, 1, 1)</f>
        <v>0</v>
      </c>
      <c r="G236" s="180"/>
      <c r="H236" s="180"/>
      <c r="I236" s="187"/>
      <c r="J236" s="180"/>
      <c r="K236" s="180"/>
      <c r="L236" s="188"/>
      <c r="M236" s="188"/>
      <c r="N236" s="188"/>
      <c r="O236" s="188"/>
      <c r="P236" s="189"/>
      <c r="Q236" s="188"/>
      <c r="R236" s="188"/>
      <c r="S236" s="188"/>
      <c r="T236" s="188"/>
      <c r="U236" s="189"/>
    </row>
    <row r="237" spans="1:21">
      <c r="A237" s="176">
        <v>10</v>
      </c>
      <c r="B237" s="319">
        <f ca="1">IF(OFFSET('ALRC Indiv Fund Summary (Print)'!PrrtdIntPldTrstFndAcct, 4, 2, 1, 1) = DATE(1900,1,0),DATE(1900,1,1), OFFSET('ALRC Indiv Fund Summary (Print)'!PrrtdIntPldTrstFndAcct, 4, 2, 1, 1))</f>
        <v>1</v>
      </c>
      <c r="C237" s="155">
        <f ca="1">IF(OFFSET('ALRC Indiv Fund Summary (Print)'!PrrtdIntPldTrstFndAcct, 4, 3, 1, 1) = "", 0, OFFSET('ALRC Indiv Fund Summary (Print)'!PrrtdIntPldTrstFndAcct, 4, 3, 1, 1))</f>
        <v>0</v>
      </c>
      <c r="D237" s="319">
        <f ca="1">IF(OFFSET('ALRC Indiv Fund Summary (Print)'!PrrtdIntPldTrstFndAcct, 4, 4, 1, 1) = DATE(1900,1,0),DATE(1900,1,1), OFFSET('ALRC Indiv Fund Summary (Print)'!PrrtdIntPldTrstFndAcct, 4, 4, 1, 1))</f>
        <v>1</v>
      </c>
      <c r="E237" s="155">
        <f ca="1">IF(OFFSET('ALRC Indiv Fund Summary (Print)'!PrrtdIntPldTrstFndAcct, 4, 5, 1, 1) = "", 0, OFFSET('ALRC Indiv Fund Summary (Print)'!PrrtdIntPldTrstFndAcct, 4, 5, 1, 1))</f>
        <v>0</v>
      </c>
      <c r="F237" s="177">
        <f ca="1">OFFSET('ALRC Indiv Fund Summary (Print)'!PrrtdIntPldTrstFndAcct, 4, 1, 1, 1)</f>
        <v>0</v>
      </c>
      <c r="G237" s="180"/>
      <c r="H237" s="180"/>
      <c r="I237" s="187"/>
      <c r="J237" s="180"/>
      <c r="K237" s="180"/>
      <c r="L237" s="188"/>
      <c r="M237" s="188"/>
      <c r="N237" s="188"/>
      <c r="O237" s="188"/>
      <c r="P237" s="189"/>
      <c r="Q237" s="188"/>
      <c r="R237" s="188"/>
      <c r="S237" s="188"/>
      <c r="T237" s="188"/>
      <c r="U237" s="189"/>
    </row>
    <row r="238" spans="1:21">
      <c r="A238" s="176">
        <v>10</v>
      </c>
      <c r="B238" s="319">
        <f ca="1">IF(OFFSET('ALRC Indiv Fund Summary (Print)'!PrrtdIntPldTrstFndAcct, 5, 2, 1, 1) = DATE(1900,1,0),DATE(1900,1,1), OFFSET('ALRC Indiv Fund Summary (Print)'!PrrtdIntPldTrstFndAcct, 5, 2, 1, 1))</f>
        <v>1</v>
      </c>
      <c r="C238" s="155">
        <f ca="1">IF(OFFSET('ALRC Indiv Fund Summary (Print)'!PrrtdIntPldTrstFndAcct, 5, 3, 1, 1) = "", 0, OFFSET('ALRC Indiv Fund Summary (Print)'!PrrtdIntPldTrstFndAcct, 5, 3, 1, 1))</f>
        <v>0</v>
      </c>
      <c r="D238" s="319">
        <f ca="1">IF(OFFSET('ALRC Indiv Fund Summary (Print)'!PrrtdIntPldTrstFndAcct, 5, 4, 1, 1) = DATE(1900,1,0),DATE(1900,1,1), OFFSET('ALRC Indiv Fund Summary (Print)'!PrrtdIntPldTrstFndAcct, 5, 4, 1, 1))</f>
        <v>1</v>
      </c>
      <c r="E238" s="155">
        <f ca="1">IF(OFFSET('ALRC Indiv Fund Summary (Print)'!PrrtdIntPldTrstFndAcct, 5, 5, 1, 1) = "", 0, OFFSET('ALRC Indiv Fund Summary (Print)'!PrrtdIntPldTrstFndAcct, 5, 5, 1, 1))</f>
        <v>0</v>
      </c>
      <c r="F238" s="177">
        <f ca="1">OFFSET('ALRC Indiv Fund Summary (Print)'!PrrtdIntPldTrstFndAcct, 5, 1, 1, 1)</f>
        <v>0</v>
      </c>
      <c r="G238" s="180"/>
      <c r="H238" s="180"/>
      <c r="I238" s="187"/>
      <c r="J238" s="180"/>
      <c r="K238" s="180"/>
      <c r="L238" s="188"/>
      <c r="M238" s="188"/>
      <c r="N238" s="188"/>
      <c r="O238" s="188"/>
      <c r="P238" s="189"/>
      <c r="Q238" s="188"/>
      <c r="R238" s="188"/>
      <c r="S238" s="188"/>
      <c r="T238" s="188"/>
      <c r="U238" s="189"/>
    </row>
    <row r="239" spans="1:21">
      <c r="A239" s="176">
        <v>10</v>
      </c>
      <c r="B239" s="319">
        <f ca="1">IF(OFFSET('ALRC Indiv Fund Summary (Print)'!PrrtdIntPldTrstFndAcct, 6, 2, 1, 1) = DATE(1900,1,0),DATE(1900,1,1), OFFSET('ALRC Indiv Fund Summary (Print)'!PrrtdIntPldTrstFndAcct, 6, 2, 1, 1))</f>
        <v>1</v>
      </c>
      <c r="C239" s="155">
        <f ca="1">IF(OFFSET('ALRC Indiv Fund Summary (Print)'!PrrtdIntPldTrstFndAcct, 6, 3, 1, 1) = "", 0, OFFSET('ALRC Indiv Fund Summary (Print)'!PrrtdIntPldTrstFndAcct, 6, 3, 1, 1))</f>
        <v>0</v>
      </c>
      <c r="D239" s="319">
        <f ca="1">IF(OFFSET('ALRC Indiv Fund Summary (Print)'!PrrtdIntPldTrstFndAcct, 6, 4, 1, 1) = DATE(1900,1,0),DATE(1900,1,1), OFFSET('ALRC Indiv Fund Summary (Print)'!PrrtdIntPldTrstFndAcct, 6, 4, 1, 1))</f>
        <v>1</v>
      </c>
      <c r="E239" s="155">
        <f ca="1">IF(OFFSET('ALRC Indiv Fund Summary (Print)'!PrrtdIntPldTrstFndAcct, 6, 5, 1, 1) = "", 0, OFFSET('ALRC Indiv Fund Summary (Print)'!PrrtdIntPldTrstFndAcct, 6, 5, 1, 1))</f>
        <v>0</v>
      </c>
      <c r="F239" s="177">
        <f ca="1">OFFSET('ALRC Indiv Fund Summary (Print)'!PrrtdIntPldTrstFndAcct, 6, 1, 1, 1)</f>
        <v>0</v>
      </c>
      <c r="G239" s="180"/>
      <c r="H239" s="180"/>
      <c r="I239" s="187"/>
      <c r="J239" s="180"/>
      <c r="K239" s="180"/>
      <c r="L239" s="188"/>
      <c r="M239" s="188"/>
      <c r="N239" s="188"/>
      <c r="O239" s="188"/>
      <c r="P239" s="189"/>
      <c r="Q239" s="188"/>
      <c r="R239" s="188"/>
      <c r="S239" s="188"/>
      <c r="T239" s="188"/>
      <c r="U239" s="189"/>
    </row>
    <row r="240" spans="1:21">
      <c r="A240" s="176">
        <v>10</v>
      </c>
      <c r="B240" s="319">
        <f ca="1">IF(OFFSET('ALRC Indiv Fund Summary (Print)'!PrrtdIntPldTrstFndAcct, 7, 2, 1, 1) = DATE(1900,1,0),DATE(1900,1,1), OFFSET('ALRC Indiv Fund Summary (Print)'!PrrtdIntPldTrstFndAcct, 7, 2, 1, 1))</f>
        <v>1</v>
      </c>
      <c r="C240" s="155">
        <f ca="1">IF(OFFSET('ALRC Indiv Fund Summary (Print)'!PrrtdIntPldTrstFndAcct, 7, 3, 1, 1) = "", 0, OFFSET('ALRC Indiv Fund Summary (Print)'!PrrtdIntPldTrstFndAcct, 7, 3, 1, 1))</f>
        <v>0</v>
      </c>
      <c r="D240" s="319">
        <f ca="1">IF(OFFSET('ALRC Indiv Fund Summary (Print)'!PrrtdIntPldTrstFndAcct, 7, 4, 1, 1) = DATE(1900,1,0),DATE(1900,1,1), OFFSET('ALRC Indiv Fund Summary (Print)'!PrrtdIntPldTrstFndAcct, 7, 4, 1, 1))</f>
        <v>1</v>
      </c>
      <c r="E240" s="155">
        <f ca="1">IF(OFFSET('ALRC Indiv Fund Summary (Print)'!PrrtdIntPldTrstFndAcct, 7, 5, 1, 1) = "", 0, OFFSET('ALRC Indiv Fund Summary (Print)'!PrrtdIntPldTrstFndAcct, 7, 5, 1, 1))</f>
        <v>0</v>
      </c>
      <c r="F240" s="177">
        <f ca="1">OFFSET('ALRC Indiv Fund Summary (Print)'!PrrtdIntPldTrstFndAcct, 7, 1, 1, 1)</f>
        <v>0</v>
      </c>
      <c r="G240" s="180"/>
      <c r="H240" s="180"/>
      <c r="I240" s="187"/>
      <c r="J240" s="180"/>
      <c r="K240" s="180"/>
      <c r="L240" s="188"/>
      <c r="M240" s="188"/>
      <c r="N240" s="188"/>
      <c r="O240" s="188"/>
      <c r="P240" s="189"/>
      <c r="Q240" s="188"/>
      <c r="R240" s="188"/>
      <c r="S240" s="188"/>
      <c r="T240" s="188"/>
      <c r="U240" s="189"/>
    </row>
    <row r="241" spans="1:21">
      <c r="A241" s="176">
        <v>10</v>
      </c>
      <c r="B241" s="319">
        <f ca="1">IF(OFFSET('ALRC Indiv Fund Summary (Print)'!PrrtdIntPldTrstFndAcct, 8, 2, 1, 1) = DATE(1900,1,0),DATE(1900,1,1), OFFSET('ALRC Indiv Fund Summary (Print)'!PrrtdIntPldTrstFndAcct, 8, 2, 1, 1))</f>
        <v>1</v>
      </c>
      <c r="C241" s="155">
        <f ca="1">IF(OFFSET('ALRC Indiv Fund Summary (Print)'!PrrtdIntPldTrstFndAcct, 8, 3, 1, 1) = "", 0, OFFSET('ALRC Indiv Fund Summary (Print)'!PrrtdIntPldTrstFndAcct, 8, 3, 1, 1))</f>
        <v>0</v>
      </c>
      <c r="D241" s="319">
        <f ca="1">IF(OFFSET('ALRC Indiv Fund Summary (Print)'!PrrtdIntPldTrstFndAcct, 8, 4, 1, 1) = DATE(1900,1,0),DATE(1900,1,1), OFFSET('ALRC Indiv Fund Summary (Print)'!PrrtdIntPldTrstFndAcct, 8, 4, 1, 1))</f>
        <v>1</v>
      </c>
      <c r="E241" s="155">
        <f ca="1">IF(OFFSET('ALRC Indiv Fund Summary (Print)'!PrrtdIntPldTrstFndAcct, 8, 5, 1, 1) = "", 0, OFFSET('ALRC Indiv Fund Summary (Print)'!PrrtdIntPldTrstFndAcct, 8, 5, 1, 1))</f>
        <v>0</v>
      </c>
      <c r="F241" s="177">
        <f ca="1">OFFSET('ALRC Indiv Fund Summary (Print)'!PrrtdIntPldTrstFndAcct, 8, 1, 1, 1)</f>
        <v>0</v>
      </c>
      <c r="G241" s="180"/>
      <c r="H241" s="180"/>
      <c r="I241" s="187"/>
      <c r="J241" s="180"/>
      <c r="K241" s="180"/>
      <c r="L241" s="188"/>
      <c r="M241" s="188"/>
      <c r="N241" s="188"/>
      <c r="O241" s="188"/>
      <c r="P241" s="189"/>
      <c r="Q241" s="188"/>
      <c r="R241" s="188"/>
      <c r="S241" s="188"/>
      <c r="T241" s="188"/>
      <c r="U241" s="189"/>
    </row>
    <row r="242" spans="1:21">
      <c r="A242" s="176">
        <v>10</v>
      </c>
      <c r="B242" s="319">
        <f ca="1">IF(OFFSET('ALRC Indiv Fund Summary (Print)'!PrrtdIntPldTrstFndAcct, 9, 2, 1, 1) = DATE(1900,1,0),DATE(1900,1,1), OFFSET('ALRC Indiv Fund Summary (Print)'!PrrtdIntPldTrstFndAcct, 9, 2, 1, 1))</f>
        <v>1</v>
      </c>
      <c r="C242" s="155">
        <f ca="1">IF(OFFSET('ALRC Indiv Fund Summary (Print)'!PrrtdIntPldTrstFndAcct, 9, 3, 1, 1) = "", 0, OFFSET('ALRC Indiv Fund Summary (Print)'!PrrtdIntPldTrstFndAcct, 9, 3, 1, 1))</f>
        <v>0</v>
      </c>
      <c r="D242" s="319">
        <f ca="1">IF(OFFSET('ALRC Indiv Fund Summary (Print)'!PrrtdIntPldTrstFndAcct, 9, 4, 1, 1) = DATE(1900,1,0),DATE(1900,1,1), OFFSET('ALRC Indiv Fund Summary (Print)'!PrrtdIntPldTrstFndAcct, 9, 4, 1, 1))</f>
        <v>1</v>
      </c>
      <c r="E242" s="155">
        <f ca="1">IF(OFFSET('ALRC Indiv Fund Summary (Print)'!PrrtdIntPldTrstFndAcct, 9, 5, 1, 1) = "", 0, OFFSET('ALRC Indiv Fund Summary (Print)'!PrrtdIntPldTrstFndAcct, 9, 5, 1, 1))</f>
        <v>0</v>
      </c>
      <c r="F242" s="177">
        <f ca="1">OFFSET('ALRC Indiv Fund Summary (Print)'!PrrtdIntPldTrstFndAcct, 9, 1, 1, 1)</f>
        <v>0</v>
      </c>
      <c r="G242" s="180"/>
      <c r="H242" s="180"/>
      <c r="I242" s="187"/>
      <c r="J242" s="180"/>
      <c r="K242" s="180"/>
      <c r="L242" s="188"/>
      <c r="M242" s="188"/>
      <c r="N242" s="188"/>
      <c r="O242" s="188"/>
      <c r="P242" s="189"/>
      <c r="Q242" s="188"/>
      <c r="R242" s="188"/>
      <c r="S242" s="188"/>
      <c r="T242" s="188"/>
      <c r="U242" s="189"/>
    </row>
    <row r="243" spans="1:21">
      <c r="A243" s="176">
        <v>10</v>
      </c>
      <c r="B243" s="319">
        <f ca="1">IF(OFFSET('ALRC Indiv Fund Summary (Print)'!PrrtdIntPldTrstFndAcct, 10, 2, 1, 1) = DATE(1900,1,0),DATE(1900,1,1), OFFSET('ALRC Indiv Fund Summary (Print)'!PrrtdIntPldTrstFndAcct, 10, 2, 1, 1))</f>
        <v>1</v>
      </c>
      <c r="C243" s="155">
        <f ca="1">IF(OFFSET('ALRC Indiv Fund Summary (Print)'!PrrtdIntPldTrstFndAcct, 10, 3, 1, 1) = "", 0, OFFSET('ALRC Indiv Fund Summary (Print)'!PrrtdIntPldTrstFndAcct, 10, 3, 1, 1))</f>
        <v>0</v>
      </c>
      <c r="D243" s="319">
        <f ca="1">IF(OFFSET('ALRC Indiv Fund Summary (Print)'!PrrtdIntPldTrstFndAcct, 10, 4, 1, 1) = DATE(1900,1,0),DATE(1900,1,1), OFFSET('ALRC Indiv Fund Summary (Print)'!PrrtdIntPldTrstFndAcct, 10, 4, 1, 1))</f>
        <v>1</v>
      </c>
      <c r="E243" s="155">
        <f ca="1">IF(OFFSET('ALRC Indiv Fund Summary (Print)'!PrrtdIntPldTrstFndAcct, 10, 5, 1, 1) = "", 0, OFFSET('ALRC Indiv Fund Summary (Print)'!PrrtdIntPldTrstFndAcct, 10, 5, 1, 1))</f>
        <v>0</v>
      </c>
      <c r="F243" s="177">
        <f ca="1">OFFSET('ALRC Indiv Fund Summary (Print)'!PrrtdIntPldTrstFndAcct, 10, 1, 1, 1)</f>
        <v>0</v>
      </c>
      <c r="G243" s="180"/>
      <c r="H243" s="180"/>
      <c r="I243" s="187"/>
      <c r="J243" s="180"/>
      <c r="K243" s="180"/>
      <c r="L243" s="188"/>
      <c r="M243" s="188"/>
      <c r="N243" s="188"/>
      <c r="O243" s="188"/>
      <c r="P243" s="189"/>
      <c r="Q243" s="188"/>
      <c r="R243" s="188"/>
      <c r="S243" s="188"/>
      <c r="T243" s="188"/>
      <c r="U243" s="189"/>
    </row>
    <row r="244" spans="1:21">
      <c r="A244" s="176">
        <v>10</v>
      </c>
      <c r="B244" s="319">
        <f ca="1">IF(OFFSET('ALRC Indiv Fund Summary (Print)'!PrrtdIntPldTrstFndAcct, 11, 2, 1, 1) = DATE(1900,1,0),DATE(1900,1,1), OFFSET('ALRC Indiv Fund Summary (Print)'!PrrtdIntPldTrstFndAcct, 11, 2, 1, 1))</f>
        <v>1</v>
      </c>
      <c r="C244" s="155">
        <f ca="1">IF(OFFSET('ALRC Indiv Fund Summary (Print)'!PrrtdIntPldTrstFndAcct, 11, 3, 1, 1) = "", 0, OFFSET('ALRC Indiv Fund Summary (Print)'!PrrtdIntPldTrstFndAcct, 11, 3, 1, 1))</f>
        <v>0</v>
      </c>
      <c r="D244" s="319">
        <f ca="1">IF(OFFSET('ALRC Indiv Fund Summary (Print)'!PrrtdIntPldTrstFndAcct, 11, 4, 1, 1) = DATE(1900,1,0),DATE(1900,1,1), OFFSET('ALRC Indiv Fund Summary (Print)'!PrrtdIntPldTrstFndAcct, 11, 4, 1, 1))</f>
        <v>1</v>
      </c>
      <c r="E244" s="155">
        <f ca="1">IF(OFFSET('ALRC Indiv Fund Summary (Print)'!PrrtdIntPldTrstFndAcct, 11, 5, 1, 1) = "", 0, OFFSET('ALRC Indiv Fund Summary (Print)'!PrrtdIntPldTrstFndAcct, 11, 5, 1, 1))</f>
        <v>0</v>
      </c>
      <c r="F244" s="177">
        <f ca="1">OFFSET('ALRC Indiv Fund Summary (Print)'!PrrtdIntPldTrstFndAcct, 11, 1, 1, 1)</f>
        <v>0</v>
      </c>
      <c r="G244" s="180"/>
      <c r="H244" s="180"/>
      <c r="I244" s="187"/>
      <c r="J244" s="180"/>
      <c r="K244" s="180"/>
      <c r="L244" s="188"/>
      <c r="M244" s="188"/>
      <c r="N244" s="188"/>
      <c r="O244" s="188"/>
      <c r="P244" s="189"/>
      <c r="Q244" s="188"/>
      <c r="R244" s="188"/>
      <c r="S244" s="188"/>
      <c r="T244" s="188"/>
      <c r="U244" s="189"/>
    </row>
    <row r="245" spans="1:21">
      <c r="A245" s="176">
        <v>10</v>
      </c>
      <c r="B245" s="319">
        <f ca="1">IF(OFFSET('ALRC Indiv Fund Summary (Print)'!PrrtdIntPldTrstFndAcct, 12, 2, 1, 1) = DATE(1900,1,0),DATE(1900,1,1), OFFSET('ALRC Indiv Fund Summary (Print)'!PrrtdIntPldTrstFndAcct, 12, 2, 1, 1))</f>
        <v>1</v>
      </c>
      <c r="C245" s="155">
        <f ca="1">IF(OFFSET('ALRC Indiv Fund Summary (Print)'!PrrtdIntPldTrstFndAcct, 12, 3, 1, 1) = "", 0, OFFSET('ALRC Indiv Fund Summary (Print)'!PrrtdIntPldTrstFndAcct, 12, 3, 1, 1))</f>
        <v>0</v>
      </c>
      <c r="D245" s="319">
        <f ca="1">IF(OFFSET('ALRC Indiv Fund Summary (Print)'!PrrtdIntPldTrstFndAcct, 12, 4, 1, 1) = DATE(1900,1,0),DATE(1900,1,1), OFFSET('ALRC Indiv Fund Summary (Print)'!PrrtdIntPldTrstFndAcct, 12, 4, 1, 1))</f>
        <v>1</v>
      </c>
      <c r="E245" s="155">
        <f ca="1">IF(OFFSET('ALRC Indiv Fund Summary (Print)'!PrrtdIntPldTrstFndAcct, 12, 5, 1, 1) = "", 0, OFFSET('ALRC Indiv Fund Summary (Print)'!PrrtdIntPldTrstFndAcct, 12, 5, 1, 1))</f>
        <v>0</v>
      </c>
      <c r="F245" s="177">
        <f ca="1">OFFSET('ALRC Indiv Fund Summary (Print)'!PrrtdIntPldTrstFndAcct, 12, 1, 1, 1)</f>
        <v>0</v>
      </c>
      <c r="G245" s="180"/>
      <c r="H245" s="180"/>
      <c r="I245" s="187"/>
      <c r="J245" s="180"/>
      <c r="K245" s="180"/>
      <c r="L245" s="188"/>
      <c r="M245" s="188"/>
      <c r="N245" s="188"/>
      <c r="O245" s="188"/>
      <c r="P245" s="189"/>
      <c r="Q245" s="188"/>
      <c r="R245" s="188"/>
      <c r="S245" s="188"/>
      <c r="T245" s="188"/>
      <c r="U245" s="189"/>
    </row>
    <row r="246" spans="1:21">
      <c r="A246" s="176">
        <v>10</v>
      </c>
      <c r="B246" s="319">
        <f ca="1">IF(OFFSET('ALRC Indiv Fund Summary (Print)'!PrrtdIntPldTrstFndAcct, 13, 2, 1, 1) = DATE(1900,1,0),DATE(1900,1,1), OFFSET('ALRC Indiv Fund Summary (Print)'!PrrtdIntPldTrstFndAcct, 13, 2, 1, 1))</f>
        <v>1</v>
      </c>
      <c r="C246" s="155">
        <f ca="1">IF(OFFSET('ALRC Indiv Fund Summary (Print)'!PrrtdIntPldTrstFndAcct, 13, 3, 1, 1) = "", 0, OFFSET('ALRC Indiv Fund Summary (Print)'!PrrtdIntPldTrstFndAcct, 13, 3, 1, 1))</f>
        <v>0</v>
      </c>
      <c r="D246" s="319">
        <f ca="1">IF(OFFSET('ALRC Indiv Fund Summary (Print)'!PrrtdIntPldTrstFndAcct, 13, 4, 1, 1) = DATE(1900,1,0),DATE(1900,1,1), OFFSET('ALRC Indiv Fund Summary (Print)'!PrrtdIntPldTrstFndAcct, 13, 4, 1, 1))</f>
        <v>1</v>
      </c>
      <c r="E246" s="155">
        <f ca="1">IF(OFFSET('ALRC Indiv Fund Summary (Print)'!PrrtdIntPldTrstFndAcct, 13, 5, 1, 1) = "", 0, OFFSET('ALRC Indiv Fund Summary (Print)'!PrrtdIntPldTrstFndAcct, 13, 5, 1, 1))</f>
        <v>0</v>
      </c>
      <c r="F246" s="177">
        <f ca="1">OFFSET('ALRC Indiv Fund Summary (Print)'!PrrtdIntPldTrstFndAcct, 13, 1, 1, 1)</f>
        <v>0</v>
      </c>
      <c r="G246" s="180"/>
      <c r="H246" s="180"/>
      <c r="I246" s="187"/>
      <c r="J246" s="180"/>
      <c r="K246" s="180"/>
      <c r="L246" s="188"/>
      <c r="M246" s="188"/>
      <c r="N246" s="188"/>
      <c r="O246" s="188"/>
      <c r="P246" s="189"/>
      <c r="Q246" s="188"/>
      <c r="R246" s="188"/>
      <c r="S246" s="188"/>
      <c r="T246" s="188"/>
      <c r="U246" s="189"/>
    </row>
    <row r="247" spans="1:21">
      <c r="A247" s="176">
        <v>10</v>
      </c>
      <c r="B247" s="319">
        <f ca="1">IF(OFFSET('ALRC Indiv Fund Summary (Print)'!PrrtdIntPldTrstFndAcct, 14, 2, 1, 1) = DATE(1900,1,0),DATE(1900,1,1), OFFSET('ALRC Indiv Fund Summary (Print)'!PrrtdIntPldTrstFndAcct, 14, 2, 1, 1))</f>
        <v>1</v>
      </c>
      <c r="C247" s="155">
        <f ca="1">IF(OFFSET('ALRC Indiv Fund Summary (Print)'!PrrtdIntPldTrstFndAcct, 14, 3, 1, 1) = "", 0, OFFSET('ALRC Indiv Fund Summary (Print)'!PrrtdIntPldTrstFndAcct, 14, 3, 1, 1))</f>
        <v>0</v>
      </c>
      <c r="D247" s="319">
        <f ca="1">IF(OFFSET('ALRC Indiv Fund Summary (Print)'!PrrtdIntPldTrstFndAcct, 14, 4, 1, 1) = DATE(1900,1,0),DATE(1900,1,1), OFFSET('ALRC Indiv Fund Summary (Print)'!PrrtdIntPldTrstFndAcct, 14, 4, 1, 1))</f>
        <v>1</v>
      </c>
      <c r="E247" s="155">
        <f ca="1">IF(OFFSET('ALRC Indiv Fund Summary (Print)'!PrrtdIntPldTrstFndAcct, 14, 5, 1, 1) = "", 0, OFFSET('ALRC Indiv Fund Summary (Print)'!PrrtdIntPldTrstFndAcct, 14, 5, 1, 1))</f>
        <v>0</v>
      </c>
      <c r="F247" s="177">
        <f ca="1">OFFSET('ALRC Indiv Fund Summary (Print)'!PrrtdIntPldTrstFndAcct, 14, 1, 1, 1)</f>
        <v>0</v>
      </c>
      <c r="G247" s="180"/>
      <c r="H247" s="180"/>
      <c r="I247" s="187"/>
      <c r="J247" s="180"/>
      <c r="K247" s="180"/>
      <c r="L247" s="188"/>
      <c r="M247" s="188"/>
      <c r="N247" s="188"/>
      <c r="O247" s="188"/>
      <c r="P247" s="189"/>
      <c r="Q247" s="188"/>
      <c r="R247" s="188"/>
      <c r="S247" s="188"/>
      <c r="T247" s="188"/>
      <c r="U247" s="189"/>
    </row>
    <row r="248" spans="1:21">
      <c r="A248" s="176">
        <v>10</v>
      </c>
      <c r="B248" s="319">
        <f ca="1">IF(OFFSET('ALRC Indiv Fund Summary (Print)'!PrrtdIntPldTrstFndAcct, 0, 8, 1, 1) = DATE(1900,1,0),DATE(1900,1,1), OFFSET('ALRC Indiv Fund Summary (Print)'!PrrtdIntPldTrstFndAcct, 0, 8, 1, 1))</f>
        <v>1</v>
      </c>
      <c r="C248" s="155">
        <f ca="1">IF(OFFSET('ALRC Indiv Fund Summary (Print)'!PrrtdIntPldTrstFndAcct, 0, 9, 1, 1) = "", 0, OFFSET('ALRC Indiv Fund Summary (Print)'!PrrtdIntPldTrstFndAcct, 0, 9, 1, 1))</f>
        <v>0</v>
      </c>
      <c r="D248" s="319">
        <f ca="1">IF(OFFSET('ALRC Indiv Fund Summary (Print)'!PrrtdIntPldTrstFndAcct, 0, 10, 1, 1) = DATE(1900,1,0),DATE(1900,1,1), OFFSET('ALRC Indiv Fund Summary (Print)'!PrrtdIntPldTrstFndAcct, 0, 10, 1, 1))</f>
        <v>1</v>
      </c>
      <c r="E248" s="155">
        <f ca="1">IF(OFFSET('ALRC Indiv Fund Summary (Print)'!PrrtdIntPldTrstFndAcct, 0, 11, 1, 1) = "", 0, OFFSET('ALRC Indiv Fund Summary (Print)'!PrrtdIntPldTrstFndAcct, 0, 11, 1, 1))</f>
        <v>0</v>
      </c>
      <c r="F248" s="177">
        <f ca="1">OFFSET('ALRC Indiv Fund Summary (Print)'!PrrtdIntPldTrstFndAcct, 0, 7, 1, 1)</f>
        <v>0</v>
      </c>
      <c r="G248" s="180"/>
      <c r="H248" s="180"/>
      <c r="I248" s="187"/>
      <c r="J248" s="180"/>
      <c r="K248" s="180"/>
      <c r="L248" s="188"/>
      <c r="M248" s="188"/>
      <c r="N248" s="188"/>
      <c r="O248" s="188"/>
      <c r="P248" s="189"/>
      <c r="Q248" s="188"/>
      <c r="R248" s="188"/>
      <c r="S248" s="188"/>
      <c r="T248" s="188"/>
      <c r="U248" s="189"/>
    </row>
    <row r="249" spans="1:21">
      <c r="A249" s="176">
        <v>10</v>
      </c>
      <c r="B249" s="319">
        <f ca="1">IF(OFFSET('ALRC Indiv Fund Summary (Print)'!PrrtdIntPldTrstFndAcct, 1, 8, 1, 1) = DATE(1900,1,0),DATE(1900,1,1), OFFSET('ALRC Indiv Fund Summary (Print)'!PrrtdIntPldTrstFndAcct, 1, 8, 1, 1))</f>
        <v>1</v>
      </c>
      <c r="C249" s="155">
        <f ca="1">IF(OFFSET('ALRC Indiv Fund Summary (Print)'!PrrtdIntPldTrstFndAcct, 1, 9, 1, 1) = "", 0, OFFSET('ALRC Indiv Fund Summary (Print)'!PrrtdIntPldTrstFndAcct, 1, 9, 1, 1))</f>
        <v>0</v>
      </c>
      <c r="D249" s="319">
        <f ca="1">IF(OFFSET('ALRC Indiv Fund Summary (Print)'!PrrtdIntPldTrstFndAcct, 1, 10, 1, 1) = DATE(1900,1,0),DATE(1900,1,1), OFFSET('ALRC Indiv Fund Summary (Print)'!PrrtdIntPldTrstFndAcct, 1, 10, 1, 1))</f>
        <v>1</v>
      </c>
      <c r="E249" s="155">
        <f ca="1">IF(OFFSET('ALRC Indiv Fund Summary (Print)'!PrrtdIntPldTrstFndAcct, 1, 11, 1, 1) = "", 0, OFFSET('ALRC Indiv Fund Summary (Print)'!PrrtdIntPldTrstFndAcct, 1, 11, 1, 1))</f>
        <v>0</v>
      </c>
      <c r="F249" s="177">
        <f ca="1">OFFSET('ALRC Indiv Fund Summary (Print)'!PrrtdIntPldTrstFndAcct, 1, 7, 1, 1)</f>
        <v>0</v>
      </c>
      <c r="G249" s="180"/>
      <c r="H249" s="180"/>
      <c r="I249" s="187"/>
      <c r="J249" s="180"/>
      <c r="K249" s="180"/>
      <c r="L249" s="188"/>
      <c r="M249" s="188"/>
      <c r="N249" s="188"/>
      <c r="O249" s="188"/>
      <c r="P249" s="189"/>
      <c r="Q249" s="188"/>
      <c r="R249" s="188"/>
      <c r="S249" s="188"/>
      <c r="T249" s="188"/>
      <c r="U249" s="189"/>
    </row>
    <row r="250" spans="1:21">
      <c r="A250" s="176">
        <v>10</v>
      </c>
      <c r="B250" s="319">
        <f ca="1">IF(OFFSET('ALRC Indiv Fund Summary (Print)'!PrrtdIntPldTrstFndAcct, 2, 8, 1, 1) = DATE(1900,1,0),DATE(1900,1,1), OFFSET('ALRC Indiv Fund Summary (Print)'!PrrtdIntPldTrstFndAcct, 2, 8, 1, 1))</f>
        <v>1</v>
      </c>
      <c r="C250" s="155">
        <f ca="1">IF(OFFSET('ALRC Indiv Fund Summary (Print)'!PrrtdIntPldTrstFndAcct, 2, 9, 1, 1) = "", 0, OFFSET('ALRC Indiv Fund Summary (Print)'!PrrtdIntPldTrstFndAcct, 2, 9, 1, 1))</f>
        <v>0</v>
      </c>
      <c r="D250" s="319">
        <f ca="1">IF(OFFSET('ALRC Indiv Fund Summary (Print)'!PrrtdIntPldTrstFndAcct, 2, 10, 1, 1) = DATE(1900,1,0),DATE(1900,1,1), OFFSET('ALRC Indiv Fund Summary (Print)'!PrrtdIntPldTrstFndAcct, 2, 10, 1, 1))</f>
        <v>1</v>
      </c>
      <c r="E250" s="155">
        <f ca="1">IF(OFFSET('ALRC Indiv Fund Summary (Print)'!PrrtdIntPldTrstFndAcct, 2, 11, 1, 1) = "", 0, OFFSET('ALRC Indiv Fund Summary (Print)'!PrrtdIntPldTrstFndAcct, 2, 11, 1, 1))</f>
        <v>0</v>
      </c>
      <c r="F250" s="177">
        <f ca="1">OFFSET('ALRC Indiv Fund Summary (Print)'!PrrtdIntPldTrstFndAcct, 2, 7, 1, 1)</f>
        <v>0</v>
      </c>
      <c r="G250" s="180"/>
      <c r="H250" s="180"/>
      <c r="I250" s="187"/>
      <c r="J250" s="180"/>
      <c r="K250" s="180"/>
      <c r="L250" s="188"/>
      <c r="M250" s="188"/>
      <c r="N250" s="188"/>
      <c r="O250" s="188"/>
      <c r="P250" s="189"/>
      <c r="Q250" s="188"/>
      <c r="R250" s="188"/>
      <c r="S250" s="188"/>
      <c r="T250" s="188"/>
      <c r="U250" s="189"/>
    </row>
    <row r="251" spans="1:21">
      <c r="A251" s="176">
        <v>10</v>
      </c>
      <c r="B251" s="319">
        <f ca="1">IF(OFFSET('ALRC Indiv Fund Summary (Print)'!PrrtdIntPldTrstFndAcct, 3, 8, 1, 1) = DATE(1900,1,0),DATE(1900,1,1), OFFSET('ALRC Indiv Fund Summary (Print)'!PrrtdIntPldTrstFndAcct, 3, 8, 1, 1))</f>
        <v>1</v>
      </c>
      <c r="C251" s="155">
        <f ca="1">IF(OFFSET('ALRC Indiv Fund Summary (Print)'!PrrtdIntPldTrstFndAcct, 3, 9, 1, 1) = "", 0, OFFSET('ALRC Indiv Fund Summary (Print)'!PrrtdIntPldTrstFndAcct, 3, 9, 1, 1))</f>
        <v>0</v>
      </c>
      <c r="D251" s="319">
        <f ca="1">IF(OFFSET('ALRC Indiv Fund Summary (Print)'!PrrtdIntPldTrstFndAcct, 3, 10, 1, 1) = DATE(1900,1,0),DATE(1900,1,1), OFFSET('ALRC Indiv Fund Summary (Print)'!PrrtdIntPldTrstFndAcct, 3, 10, 1, 1))</f>
        <v>1</v>
      </c>
      <c r="E251" s="155">
        <f ca="1">IF(OFFSET('ALRC Indiv Fund Summary (Print)'!PrrtdIntPldTrstFndAcct, 3, 11, 1, 1) = "", 0, OFFSET('ALRC Indiv Fund Summary (Print)'!PrrtdIntPldTrstFndAcct, 3, 11, 1, 1))</f>
        <v>0</v>
      </c>
      <c r="F251" s="177">
        <f ca="1">OFFSET('ALRC Indiv Fund Summary (Print)'!PrrtdIntPldTrstFndAcct, 3, 7, 1, 1)</f>
        <v>0</v>
      </c>
      <c r="G251" s="180"/>
      <c r="H251" s="180"/>
      <c r="I251" s="187"/>
      <c r="J251" s="180"/>
      <c r="K251" s="180"/>
      <c r="L251" s="188"/>
      <c r="M251" s="188"/>
      <c r="N251" s="188"/>
      <c r="O251" s="188"/>
      <c r="P251" s="189"/>
      <c r="Q251" s="188"/>
      <c r="R251" s="188"/>
      <c r="S251" s="188"/>
      <c r="T251" s="188"/>
      <c r="U251" s="189"/>
    </row>
    <row r="252" spans="1:21">
      <c r="A252" s="176">
        <v>10</v>
      </c>
      <c r="B252" s="319">
        <f ca="1">IF(OFFSET('ALRC Indiv Fund Summary (Print)'!PrrtdIntPldTrstFndAcct, 4, 8, 1, 1) = DATE(1900,1,0),DATE(1900,1,1), OFFSET('ALRC Indiv Fund Summary (Print)'!PrrtdIntPldTrstFndAcct, 4, 8, 1, 1))</f>
        <v>1</v>
      </c>
      <c r="C252" s="155">
        <f ca="1">IF(OFFSET('ALRC Indiv Fund Summary (Print)'!PrrtdIntPldTrstFndAcct, 4, 9, 1, 1) = "", 0, OFFSET('ALRC Indiv Fund Summary (Print)'!PrrtdIntPldTrstFndAcct, 4, 9, 1, 1))</f>
        <v>0</v>
      </c>
      <c r="D252" s="319">
        <f ca="1">IF(OFFSET('ALRC Indiv Fund Summary (Print)'!PrrtdIntPldTrstFndAcct, 4, 10, 1, 1) = DATE(1900,1,0),DATE(1900,1,1), OFFSET('ALRC Indiv Fund Summary (Print)'!PrrtdIntPldTrstFndAcct, 4, 10, 1, 1))</f>
        <v>1</v>
      </c>
      <c r="E252" s="155">
        <f ca="1">IF(OFFSET('ALRC Indiv Fund Summary (Print)'!PrrtdIntPldTrstFndAcct, 4, 11, 1, 1) = "", 0, OFFSET('ALRC Indiv Fund Summary (Print)'!PrrtdIntPldTrstFndAcct, 4, 11, 1, 1))</f>
        <v>0</v>
      </c>
      <c r="F252" s="177">
        <f ca="1">OFFSET('ALRC Indiv Fund Summary (Print)'!PrrtdIntPldTrstFndAcct, 4, 7, 1, 1)</f>
        <v>0</v>
      </c>
      <c r="G252" s="180"/>
      <c r="H252" s="180"/>
      <c r="I252" s="187"/>
      <c r="J252" s="180"/>
      <c r="K252" s="180"/>
      <c r="L252" s="188"/>
      <c r="M252" s="188"/>
      <c r="N252" s="188"/>
      <c r="O252" s="188"/>
      <c r="P252" s="189"/>
      <c r="Q252" s="188"/>
      <c r="R252" s="188"/>
      <c r="S252" s="188"/>
      <c r="T252" s="188"/>
      <c r="U252" s="189"/>
    </row>
    <row r="253" spans="1:21">
      <c r="A253" s="176">
        <v>10</v>
      </c>
      <c r="B253" s="319">
        <f ca="1">IF(OFFSET('ALRC Indiv Fund Summary (Print)'!PrrtdIntPldTrstFndAcct, 5, 8, 1, 1) = DATE(1900,1,0),DATE(1900,1,1), OFFSET('ALRC Indiv Fund Summary (Print)'!PrrtdIntPldTrstFndAcct, 5, 8, 1, 1))</f>
        <v>1</v>
      </c>
      <c r="C253" s="155">
        <f ca="1">IF(OFFSET('ALRC Indiv Fund Summary (Print)'!PrrtdIntPldTrstFndAcct, 5, 9, 1, 1) = "", 0, OFFSET('ALRC Indiv Fund Summary (Print)'!PrrtdIntPldTrstFndAcct, 5, 9, 1, 1))</f>
        <v>0</v>
      </c>
      <c r="D253" s="319">
        <f ca="1">IF(OFFSET('ALRC Indiv Fund Summary (Print)'!PrrtdIntPldTrstFndAcct, 5, 10, 1, 1) = DATE(1900,1,0),DATE(1900,1,1), OFFSET('ALRC Indiv Fund Summary (Print)'!PrrtdIntPldTrstFndAcct, 5, 10, 1, 1))</f>
        <v>1</v>
      </c>
      <c r="E253" s="155">
        <f ca="1">IF(OFFSET('ALRC Indiv Fund Summary (Print)'!PrrtdIntPldTrstFndAcct, 5, 11, 1, 1) = "", 0, OFFSET('ALRC Indiv Fund Summary (Print)'!PrrtdIntPldTrstFndAcct, 5, 11, 1, 1))</f>
        <v>0</v>
      </c>
      <c r="F253" s="177">
        <f ca="1">OFFSET('ALRC Indiv Fund Summary (Print)'!PrrtdIntPldTrstFndAcct, 5, 7, 1, 1)</f>
        <v>0</v>
      </c>
      <c r="G253" s="180"/>
      <c r="H253" s="180"/>
      <c r="I253" s="187"/>
      <c r="J253" s="180"/>
      <c r="K253" s="180"/>
      <c r="L253" s="188"/>
      <c r="M253" s="188"/>
      <c r="N253" s="188"/>
      <c r="O253" s="188"/>
      <c r="P253" s="189"/>
      <c r="Q253" s="188"/>
      <c r="R253" s="188"/>
      <c r="S253" s="188"/>
      <c r="T253" s="188"/>
      <c r="U253" s="189"/>
    </row>
    <row r="254" spans="1:21">
      <c r="A254" s="176">
        <v>10</v>
      </c>
      <c r="B254" s="319">
        <f ca="1">IF(OFFSET('ALRC Indiv Fund Summary (Print)'!PrrtdIntPldTrstFndAcct, 6, 8, 1, 1) = DATE(1900,1,0),DATE(1900,1,1), OFFSET('ALRC Indiv Fund Summary (Print)'!PrrtdIntPldTrstFndAcct, 6, 8, 1, 1))</f>
        <v>1</v>
      </c>
      <c r="C254" s="155">
        <f ca="1">IF(OFFSET('ALRC Indiv Fund Summary (Print)'!PrrtdIntPldTrstFndAcct, 6, 9, 1, 1) = "", 0, OFFSET('ALRC Indiv Fund Summary (Print)'!PrrtdIntPldTrstFndAcct, 6, 9, 1, 1))</f>
        <v>0</v>
      </c>
      <c r="D254" s="319">
        <f ca="1">IF(OFFSET('ALRC Indiv Fund Summary (Print)'!PrrtdIntPldTrstFndAcct, 6, 10, 1, 1) = DATE(1900,1,0),DATE(1900,1,1), OFFSET('ALRC Indiv Fund Summary (Print)'!PrrtdIntPldTrstFndAcct, 6, 10, 1, 1))</f>
        <v>1</v>
      </c>
      <c r="E254" s="155">
        <f ca="1">IF(OFFSET('ALRC Indiv Fund Summary (Print)'!PrrtdIntPldTrstFndAcct, 6, 11, 1, 1) = "", 0, OFFSET('ALRC Indiv Fund Summary (Print)'!PrrtdIntPldTrstFndAcct, 6, 11, 1, 1))</f>
        <v>0</v>
      </c>
      <c r="F254" s="177">
        <f ca="1">OFFSET('ALRC Indiv Fund Summary (Print)'!PrrtdIntPldTrstFndAcct, 6, 7, 1, 1)</f>
        <v>0</v>
      </c>
      <c r="G254" s="180"/>
      <c r="H254" s="180"/>
      <c r="I254" s="187"/>
      <c r="J254" s="180"/>
      <c r="K254" s="180"/>
      <c r="L254" s="188"/>
      <c r="M254" s="188"/>
      <c r="N254" s="188"/>
      <c r="O254" s="188"/>
      <c r="P254" s="189"/>
      <c r="Q254" s="188"/>
      <c r="R254" s="188"/>
      <c r="S254" s="188"/>
      <c r="T254" s="188"/>
      <c r="U254" s="189"/>
    </row>
    <row r="255" spans="1:21">
      <c r="A255" s="176">
        <v>10</v>
      </c>
      <c r="B255" s="319">
        <f ca="1">IF(OFFSET('ALRC Indiv Fund Summary (Print)'!PrrtdIntPldTrstFndAcct, 7, 8, 1, 1) = DATE(1900,1,0),DATE(1900,1,1), OFFSET('ALRC Indiv Fund Summary (Print)'!PrrtdIntPldTrstFndAcct, 7, 8, 1, 1))</f>
        <v>1</v>
      </c>
      <c r="C255" s="155">
        <f ca="1">IF(OFFSET('ALRC Indiv Fund Summary (Print)'!PrrtdIntPldTrstFndAcct, 7, 9, 1, 1) = "", 0, OFFSET('ALRC Indiv Fund Summary (Print)'!PrrtdIntPldTrstFndAcct, 7, 9, 1, 1))</f>
        <v>0</v>
      </c>
      <c r="D255" s="319">
        <f ca="1">IF(OFFSET('ALRC Indiv Fund Summary (Print)'!PrrtdIntPldTrstFndAcct, 7, 10, 1, 1) = DATE(1900,1,0),DATE(1900,1,1), OFFSET('ALRC Indiv Fund Summary (Print)'!PrrtdIntPldTrstFndAcct, 7, 10, 1, 1))</f>
        <v>1</v>
      </c>
      <c r="E255" s="155">
        <f ca="1">IF(OFFSET('ALRC Indiv Fund Summary (Print)'!PrrtdIntPldTrstFndAcct, 7, 11, 1, 1) = "", 0, OFFSET('ALRC Indiv Fund Summary (Print)'!PrrtdIntPldTrstFndAcct, 7, 11, 1, 1))</f>
        <v>0</v>
      </c>
      <c r="F255" s="177">
        <f ca="1">OFFSET('ALRC Indiv Fund Summary (Print)'!PrrtdIntPldTrstFndAcct, 7, 7, 1, 1)</f>
        <v>0</v>
      </c>
      <c r="G255" s="180"/>
      <c r="H255" s="180"/>
      <c r="I255" s="187"/>
      <c r="J255" s="180"/>
      <c r="K255" s="180"/>
      <c r="L255" s="188"/>
      <c r="M255" s="188"/>
      <c r="N255" s="188"/>
      <c r="O255" s="188"/>
      <c r="P255" s="189"/>
      <c r="Q255" s="188"/>
      <c r="R255" s="188"/>
      <c r="S255" s="188"/>
      <c r="T255" s="188"/>
      <c r="U255" s="189"/>
    </row>
    <row r="256" spans="1:21">
      <c r="A256" s="176">
        <v>10</v>
      </c>
      <c r="B256" s="319">
        <f ca="1">IF(OFFSET('ALRC Indiv Fund Summary (Print)'!PrrtdIntPldTrstFndAcct, 8, 8, 1, 1) = DATE(1900,1,0),DATE(1900,1,1), OFFSET('ALRC Indiv Fund Summary (Print)'!PrrtdIntPldTrstFndAcct, 8, 8, 1, 1))</f>
        <v>1</v>
      </c>
      <c r="C256" s="155">
        <f ca="1">IF(OFFSET('ALRC Indiv Fund Summary (Print)'!PrrtdIntPldTrstFndAcct, 8, 9, 1, 1) = "", 0, OFFSET('ALRC Indiv Fund Summary (Print)'!PrrtdIntPldTrstFndAcct, 8, 9, 1, 1))</f>
        <v>0</v>
      </c>
      <c r="D256" s="319">
        <f ca="1">IF(OFFSET('ALRC Indiv Fund Summary (Print)'!PrrtdIntPldTrstFndAcct, 8, 10, 1, 1) = DATE(1900,1,0),DATE(1900,1,1), OFFSET('ALRC Indiv Fund Summary (Print)'!PrrtdIntPldTrstFndAcct, 8, 10, 1, 1))</f>
        <v>1</v>
      </c>
      <c r="E256" s="155">
        <f ca="1">IF(OFFSET('ALRC Indiv Fund Summary (Print)'!PrrtdIntPldTrstFndAcct, 8, 11, 1, 1) = "", 0, OFFSET('ALRC Indiv Fund Summary (Print)'!PrrtdIntPldTrstFndAcct, 8, 11, 1, 1))</f>
        <v>0</v>
      </c>
      <c r="F256" s="177">
        <f ca="1">OFFSET('ALRC Indiv Fund Summary (Print)'!PrrtdIntPldTrstFndAcct, 8, 7, 1, 1)</f>
        <v>0</v>
      </c>
      <c r="G256" s="180"/>
      <c r="H256" s="180"/>
      <c r="I256" s="187"/>
      <c r="J256" s="180"/>
      <c r="K256" s="180"/>
      <c r="L256" s="188"/>
      <c r="M256" s="188"/>
      <c r="N256" s="188"/>
      <c r="O256" s="188"/>
      <c r="P256" s="189"/>
      <c r="Q256" s="188"/>
      <c r="R256" s="188"/>
      <c r="S256" s="188"/>
      <c r="T256" s="188"/>
      <c r="U256" s="189"/>
    </row>
    <row r="257" spans="1:21">
      <c r="A257" s="176">
        <v>10</v>
      </c>
      <c r="B257" s="319">
        <f ca="1">IF(OFFSET('ALRC Indiv Fund Summary (Print)'!PrrtdIntPldTrstFndAcct, 9, 8, 1, 1) = DATE(1900,1,0),DATE(1900,1,1), OFFSET('ALRC Indiv Fund Summary (Print)'!PrrtdIntPldTrstFndAcct, 9, 8, 1, 1))</f>
        <v>1</v>
      </c>
      <c r="C257" s="155">
        <f ca="1">IF(OFFSET('ALRC Indiv Fund Summary (Print)'!PrrtdIntPldTrstFndAcct, 9, 9, 1, 1) = "", 0, OFFSET('ALRC Indiv Fund Summary (Print)'!PrrtdIntPldTrstFndAcct, 9, 9, 1, 1))</f>
        <v>0</v>
      </c>
      <c r="D257" s="319">
        <f ca="1">IF(OFFSET('ALRC Indiv Fund Summary (Print)'!PrrtdIntPldTrstFndAcct, 9, 10, 1, 1) = DATE(1900,1,0),DATE(1900,1,1), OFFSET('ALRC Indiv Fund Summary (Print)'!PrrtdIntPldTrstFndAcct, 9, 10, 1, 1))</f>
        <v>1</v>
      </c>
      <c r="E257" s="155">
        <f ca="1">IF(OFFSET('ALRC Indiv Fund Summary (Print)'!PrrtdIntPldTrstFndAcct, 9, 11, 1, 1) = "", 0, OFFSET('ALRC Indiv Fund Summary (Print)'!PrrtdIntPldTrstFndAcct, 9, 11, 1, 1))</f>
        <v>0</v>
      </c>
      <c r="F257" s="177">
        <f ca="1">OFFSET('ALRC Indiv Fund Summary (Print)'!PrrtdIntPldTrstFndAcct, 9, 7, 1, 1)</f>
        <v>0</v>
      </c>
      <c r="G257" s="180"/>
      <c r="H257" s="180"/>
      <c r="I257" s="187"/>
      <c r="J257" s="180"/>
      <c r="K257" s="180"/>
      <c r="L257" s="188"/>
      <c r="M257" s="188"/>
      <c r="N257" s="188"/>
      <c r="O257" s="188"/>
      <c r="P257" s="189"/>
      <c r="Q257" s="188"/>
      <c r="R257" s="188"/>
      <c r="S257" s="188"/>
      <c r="T257" s="188"/>
      <c r="U257" s="189"/>
    </row>
    <row r="258" spans="1:21">
      <c r="A258" s="176">
        <v>10</v>
      </c>
      <c r="B258" s="319">
        <f ca="1">IF(OFFSET('ALRC Indiv Fund Summary (Print)'!PrrtdIntPldTrstFndAcct, 10, 8, 1, 1) = DATE(1900,1,0),DATE(1900,1,1), OFFSET('ALRC Indiv Fund Summary (Print)'!PrrtdIntPldTrstFndAcct, 10, 8, 1, 1))</f>
        <v>1</v>
      </c>
      <c r="C258" s="155">
        <f ca="1">IF(OFFSET('ALRC Indiv Fund Summary (Print)'!PrrtdIntPldTrstFndAcct, 10, 9, 1, 1) = "", 0, OFFSET('ALRC Indiv Fund Summary (Print)'!PrrtdIntPldTrstFndAcct, 10, 9, 1, 1))</f>
        <v>0</v>
      </c>
      <c r="D258" s="319">
        <f ca="1">IF(OFFSET('ALRC Indiv Fund Summary (Print)'!PrrtdIntPldTrstFndAcct, 10, 10, 1, 1) = DATE(1900,1,0),DATE(1900,1,1), OFFSET('ALRC Indiv Fund Summary (Print)'!PrrtdIntPldTrstFndAcct, 10, 10, 1, 1))</f>
        <v>1</v>
      </c>
      <c r="E258" s="155">
        <f ca="1">IF(OFFSET('ALRC Indiv Fund Summary (Print)'!PrrtdIntPldTrstFndAcct, 10, 11, 1, 1) = "", 0, OFFSET('ALRC Indiv Fund Summary (Print)'!PrrtdIntPldTrstFndAcct, 10, 11, 1, 1))</f>
        <v>0</v>
      </c>
      <c r="F258" s="177">
        <f ca="1">OFFSET('ALRC Indiv Fund Summary (Print)'!PrrtdIntPldTrstFndAcct, 10, 7, 1, 1)</f>
        <v>0</v>
      </c>
      <c r="G258" s="180"/>
      <c r="H258" s="180"/>
      <c r="I258" s="187"/>
      <c r="J258" s="180"/>
      <c r="K258" s="180"/>
      <c r="L258" s="188"/>
      <c r="M258" s="188"/>
      <c r="N258" s="188"/>
      <c r="O258" s="188"/>
      <c r="P258" s="189"/>
      <c r="Q258" s="188"/>
      <c r="R258" s="188"/>
      <c r="S258" s="188"/>
      <c r="T258" s="188"/>
      <c r="U258" s="189"/>
    </row>
    <row r="259" spans="1:21">
      <c r="A259" s="176">
        <v>10</v>
      </c>
      <c r="B259" s="319">
        <f ca="1">IF(OFFSET('ALRC Indiv Fund Summary (Print)'!PrrtdIntPldTrstFndAcct, 11, 8, 1, 1) = DATE(1900,1,0),DATE(1900,1,1), OFFSET('ALRC Indiv Fund Summary (Print)'!PrrtdIntPldTrstFndAcct, 11, 8, 1, 1))</f>
        <v>1</v>
      </c>
      <c r="C259" s="155">
        <f ca="1">IF(OFFSET('ALRC Indiv Fund Summary (Print)'!PrrtdIntPldTrstFndAcct, 11, 9, 1, 1) = "", 0, OFFSET('ALRC Indiv Fund Summary (Print)'!PrrtdIntPldTrstFndAcct, 11, 9, 1, 1))</f>
        <v>0</v>
      </c>
      <c r="D259" s="319">
        <f ca="1">IF(OFFSET('ALRC Indiv Fund Summary (Print)'!PrrtdIntPldTrstFndAcct, 11, 10, 1, 1) = DATE(1900,1,0),DATE(1900,1,1), OFFSET('ALRC Indiv Fund Summary (Print)'!PrrtdIntPldTrstFndAcct, 11, 10, 1, 1))</f>
        <v>1</v>
      </c>
      <c r="E259" s="155">
        <f ca="1">IF(OFFSET('ALRC Indiv Fund Summary (Print)'!PrrtdIntPldTrstFndAcct, 11, 11, 1, 1) = "", 0, OFFSET('ALRC Indiv Fund Summary (Print)'!PrrtdIntPldTrstFndAcct, 11, 11, 1, 1))</f>
        <v>0</v>
      </c>
      <c r="F259" s="177">
        <f ca="1">OFFSET('ALRC Indiv Fund Summary (Print)'!PrrtdIntPldTrstFndAcct, 11, 7, 1, 1)</f>
        <v>0</v>
      </c>
      <c r="G259" s="180"/>
      <c r="H259" s="180"/>
      <c r="I259" s="187"/>
      <c r="J259" s="180"/>
      <c r="K259" s="180"/>
      <c r="L259" s="188"/>
      <c r="M259" s="188"/>
      <c r="N259" s="188"/>
      <c r="O259" s="188"/>
      <c r="P259" s="189"/>
      <c r="Q259" s="188"/>
      <c r="R259" s="188"/>
      <c r="S259" s="188"/>
      <c r="T259" s="188"/>
      <c r="U259" s="189"/>
    </row>
    <row r="260" spans="1:21">
      <c r="A260" s="176">
        <v>10</v>
      </c>
      <c r="B260" s="319">
        <f ca="1">IF(OFFSET('ALRC Indiv Fund Summary (Print)'!PrrtdIntPldTrstFndAcct, 12, 8, 1, 1) = DATE(1900,1,0),DATE(1900,1,1), OFFSET('ALRC Indiv Fund Summary (Print)'!PrrtdIntPldTrstFndAcct, 12, 8, 1, 1))</f>
        <v>1</v>
      </c>
      <c r="C260" s="155">
        <f ca="1">IF(OFFSET('ALRC Indiv Fund Summary (Print)'!PrrtdIntPldTrstFndAcct, 12, 9, 1, 1) = "", 0, OFFSET('ALRC Indiv Fund Summary (Print)'!PrrtdIntPldTrstFndAcct, 12, 9, 1, 1))</f>
        <v>0</v>
      </c>
      <c r="D260" s="319">
        <f ca="1">IF(OFFSET('ALRC Indiv Fund Summary (Print)'!PrrtdIntPldTrstFndAcct, 12, 10, 1, 1) = DATE(1900,1,0),DATE(1900,1,1), OFFSET('ALRC Indiv Fund Summary (Print)'!PrrtdIntPldTrstFndAcct, 12, 10, 1, 1))</f>
        <v>1</v>
      </c>
      <c r="E260" s="155">
        <f ca="1">IF(OFFSET('ALRC Indiv Fund Summary (Print)'!PrrtdIntPldTrstFndAcct, 12, 11, 1, 1) = "", 0, OFFSET('ALRC Indiv Fund Summary (Print)'!PrrtdIntPldTrstFndAcct, 12, 11, 1, 1))</f>
        <v>0</v>
      </c>
      <c r="F260" s="177">
        <f ca="1">OFFSET('ALRC Indiv Fund Summary (Print)'!PrrtdIntPldTrstFndAcct, 12, 7, 1, 1)</f>
        <v>0</v>
      </c>
      <c r="G260" s="180"/>
      <c r="H260" s="180"/>
      <c r="I260" s="187"/>
      <c r="J260" s="180"/>
      <c r="K260" s="180"/>
      <c r="L260" s="188"/>
      <c r="M260" s="188"/>
      <c r="N260" s="188"/>
      <c r="O260" s="188"/>
      <c r="P260" s="189"/>
      <c r="Q260" s="188"/>
      <c r="R260" s="188"/>
      <c r="S260" s="188"/>
      <c r="T260" s="188"/>
      <c r="U260" s="189"/>
    </row>
    <row r="261" spans="1:21">
      <c r="A261" s="176">
        <v>10</v>
      </c>
      <c r="B261" s="319">
        <f ca="1">IF(OFFSET('ALRC Indiv Fund Summary (Print)'!PrrtdIntPldTrstFndAcct, 13, 8, 1, 1) = DATE(1900,1,0),DATE(1900,1,1), OFFSET('ALRC Indiv Fund Summary (Print)'!PrrtdIntPldTrstFndAcct, 13, 8, 1, 1))</f>
        <v>1</v>
      </c>
      <c r="C261" s="155">
        <f ca="1">IF(OFFSET('ALRC Indiv Fund Summary (Print)'!PrrtdIntPldTrstFndAcct, 13, 9, 1, 1) = "", 0, OFFSET('ALRC Indiv Fund Summary (Print)'!PrrtdIntPldTrstFndAcct, 13, 9, 1, 1))</f>
        <v>0</v>
      </c>
      <c r="D261" s="319">
        <f ca="1">IF(OFFSET('ALRC Indiv Fund Summary (Print)'!PrrtdIntPldTrstFndAcct, 13, 10, 1, 1) = DATE(1900,1,0),DATE(1900,1,1), OFFSET('ALRC Indiv Fund Summary (Print)'!PrrtdIntPldTrstFndAcct, 13, 10, 1, 1))</f>
        <v>1</v>
      </c>
      <c r="E261" s="155">
        <f ca="1">IF(OFFSET('ALRC Indiv Fund Summary (Print)'!PrrtdIntPldTrstFndAcct, 13, 11, 1, 1) = "", 0, OFFSET('ALRC Indiv Fund Summary (Print)'!PrrtdIntPldTrstFndAcct, 13, 11, 1, 1))</f>
        <v>0</v>
      </c>
      <c r="F261" s="177">
        <f ca="1">OFFSET('ALRC Indiv Fund Summary (Print)'!PrrtdIntPldTrstFndAcct, 13, 7, 1, 1)</f>
        <v>0</v>
      </c>
      <c r="G261" s="180"/>
      <c r="H261" s="180"/>
      <c r="I261" s="187"/>
      <c r="J261" s="180"/>
      <c r="K261" s="180"/>
      <c r="L261" s="188"/>
      <c r="M261" s="188"/>
      <c r="N261" s="188"/>
      <c r="O261" s="188"/>
      <c r="P261" s="189"/>
      <c r="Q261" s="188"/>
      <c r="R261" s="188"/>
      <c r="S261" s="188"/>
      <c r="T261" s="188"/>
      <c r="U261" s="189"/>
    </row>
    <row r="262" spans="1:21" ht="15" thickBot="1">
      <c r="A262" s="178">
        <v>10</v>
      </c>
      <c r="B262" s="320">
        <f ca="1">IF(OFFSET('ALRC Indiv Fund Summary (Print)'!PrrtdIntPldTrstFndAcct, 14, 8, 1, 1) = DATE(1900,1,0),DATE(1900,1,1), OFFSET('ALRC Indiv Fund Summary (Print)'!PrrtdIntPldTrstFndAcct, 14, 8, 1, 1))</f>
        <v>1</v>
      </c>
      <c r="C262" s="174">
        <f ca="1">IF(OFFSET('ALRC Indiv Fund Summary (Print)'!PrrtdIntPldTrstFndAcct, 14, 9, 1, 1) = "", 0, OFFSET('ALRC Indiv Fund Summary (Print)'!PrrtdIntPldTrstFndAcct, 14, 9, 1, 1))</f>
        <v>0</v>
      </c>
      <c r="D262" s="320">
        <f ca="1">IF(OFFSET('ALRC Indiv Fund Summary (Print)'!PrrtdIntPldTrstFndAcct, 14, 10, 1, 1) = DATE(1900,1,0),DATE(1900,1,1), OFFSET('ALRC Indiv Fund Summary (Print)'!PrrtdIntPldTrstFndAcct, 14, 10, 1, 1))</f>
        <v>1</v>
      </c>
      <c r="E262" s="174">
        <f ca="1">IF(OFFSET('ALRC Indiv Fund Summary (Print)'!PrrtdIntPldTrstFndAcct, 14, 11, 1, 1) = "", 0, OFFSET('ALRC Indiv Fund Summary (Print)'!PrrtdIntPldTrstFndAcct, 14, 11, 1, 1))</f>
        <v>0</v>
      </c>
      <c r="F262" s="202">
        <f ca="1">OFFSET('ALRC Indiv Fund Summary (Print)'!PrrtdIntPldTrstFndAcct, 14, 7, 1, 1)</f>
        <v>0</v>
      </c>
      <c r="G262" s="180"/>
      <c r="H262" s="180"/>
      <c r="I262" s="187"/>
      <c r="J262" s="180"/>
      <c r="K262" s="180"/>
      <c r="L262" s="188"/>
      <c r="M262" s="188"/>
      <c r="N262" s="188"/>
      <c r="O262" s="188"/>
      <c r="P262" s="189"/>
      <c r="Q262" s="188"/>
      <c r="R262" s="188"/>
      <c r="S262" s="188"/>
      <c r="T262" s="188"/>
      <c r="U262" s="189"/>
    </row>
    <row r="263" spans="1:21">
      <c r="A263" s="206"/>
      <c r="B263" s="180"/>
      <c r="C263" s="180"/>
      <c r="D263" s="180"/>
      <c r="E263" s="180"/>
      <c r="F263" s="180"/>
      <c r="G263" s="180"/>
      <c r="H263" s="180"/>
      <c r="I263" s="187"/>
      <c r="J263" s="180"/>
      <c r="K263" s="180"/>
      <c r="L263" s="188"/>
      <c r="M263" s="188"/>
      <c r="N263" s="188"/>
      <c r="O263" s="188"/>
      <c r="P263" s="189"/>
      <c r="Q263" s="188"/>
      <c r="R263" s="188"/>
      <c r="S263" s="188"/>
      <c r="T263" s="188"/>
      <c r="U263" s="189"/>
    </row>
    <row r="264" spans="1:21" ht="15" thickBot="1">
      <c r="A264" s="180" t="s">
        <v>1254</v>
      </c>
      <c r="B264" s="180"/>
      <c r="C264" s="180"/>
      <c r="D264" s="180"/>
      <c r="E264" s="180"/>
      <c r="F264" s="180"/>
      <c r="G264" s="180"/>
      <c r="H264" s="180"/>
      <c r="I264" s="187"/>
      <c r="J264" s="180"/>
      <c r="K264" s="180"/>
      <c r="L264" s="188"/>
      <c r="M264" s="188"/>
      <c r="N264" s="188"/>
      <c r="O264" s="188"/>
      <c r="P264" s="189"/>
      <c r="Q264" s="188"/>
      <c r="R264" s="188"/>
      <c r="S264" s="188"/>
      <c r="T264" s="188"/>
      <c r="U264" s="189"/>
    </row>
    <row r="265" spans="1:21">
      <c r="A265" s="181" t="s">
        <v>1005</v>
      </c>
      <c r="B265" s="182" t="s">
        <v>242</v>
      </c>
      <c r="C265" s="182" t="s">
        <v>187</v>
      </c>
      <c r="D265" s="432" t="s">
        <v>1522</v>
      </c>
      <c r="E265" s="432" t="s">
        <v>1523</v>
      </c>
      <c r="F265" s="183" t="s">
        <v>1003</v>
      </c>
      <c r="G265" s="180"/>
      <c r="H265" s="180"/>
      <c r="I265" s="187"/>
      <c r="J265" s="180"/>
      <c r="K265" s="180"/>
      <c r="L265" s="188"/>
      <c r="M265" s="188"/>
      <c r="N265" s="188"/>
      <c r="O265" s="188"/>
      <c r="P265" s="189"/>
      <c r="Q265" s="188"/>
      <c r="R265" s="188"/>
      <c r="S265" s="188"/>
      <c r="T265" s="188"/>
      <c r="U265" s="189"/>
    </row>
    <row r="266" spans="1:21">
      <c r="A266" s="176">
        <v>11</v>
      </c>
      <c r="B266" s="319">
        <f ca="1">IF(OFFSET('ALRC Indiv Fund Summary (Print)'!BnkChgsPldTrstFndAcct, 0, 2, 1, 1) = DATE(1900,1,0),DATE(1900,1,1), OFFSET('ALRC Indiv Fund Summary (Print)'!BnkChgsPldTrstFndAcct, 0, 2, 1, 1))</f>
        <v>1</v>
      </c>
      <c r="C266" s="155">
        <f ca="1">IF(OFFSET('ALRC Indiv Fund Summary (Print)'!BnkChgsPldTrstFndAcct, 0, 3, 1, 1) = "", 0, OFFSET('ALRC Indiv Fund Summary (Print)'!BnkChgsPldTrstFndAcct, 0, 3, 1, 1))</f>
        <v>0</v>
      </c>
      <c r="D266" s="319">
        <f ca="1">IF(OFFSET('ALRC Indiv Fund Summary (Print)'!BnkChgsPldTrstFndAcct, 0, 4, 1, 1) = DATE(1900,1,0),DATE(1900,1,1), OFFSET('ALRC Indiv Fund Summary (Print)'!BnkChgsPldTrstFndAcct, 0, 4, 1, 1))</f>
        <v>1</v>
      </c>
      <c r="E266" s="155">
        <f ca="1">IF(OFFSET('ALRC Indiv Fund Summary (Print)'!BnkChgsPldTrstFndAcct, 0, 5, 1, 1) = "", 0, OFFSET('ALRC Indiv Fund Summary (Print)'!BnkChgsPldTrstFndAcct, 0, 5, 1, 1))</f>
        <v>0</v>
      </c>
      <c r="F266" s="177">
        <f ca="1">OFFSET('ALRC Indiv Fund Summary (Print)'!BnkChgsPldTrstFndAcct, 0, 1, 1, 1)</f>
        <v>0</v>
      </c>
      <c r="G266" s="180"/>
      <c r="H266" s="180"/>
      <c r="I266" s="187"/>
      <c r="J266" s="180"/>
      <c r="K266" s="180"/>
      <c r="L266" s="188"/>
      <c r="M266" s="188"/>
      <c r="N266" s="188"/>
      <c r="O266" s="188"/>
      <c r="P266" s="189"/>
      <c r="Q266" s="188"/>
      <c r="R266" s="188"/>
      <c r="S266" s="188"/>
      <c r="T266" s="188"/>
      <c r="U266" s="189"/>
    </row>
    <row r="267" spans="1:21">
      <c r="A267" s="176">
        <v>11</v>
      </c>
      <c r="B267" s="319">
        <f ca="1">IF(OFFSET('ALRC Indiv Fund Summary (Print)'!BnkChgsPldTrstFndAcct, 1, 2, 1, 1) = DATE(1900,1,0),DATE(1900,1,1), OFFSET('ALRC Indiv Fund Summary (Print)'!BnkChgsPldTrstFndAcct, 1, 2, 1, 1))</f>
        <v>1</v>
      </c>
      <c r="C267" s="155">
        <f ca="1">IF(OFFSET('ALRC Indiv Fund Summary (Print)'!BnkChgsPldTrstFndAcct, 1, 3, 1, 1) = "", 0, OFFSET('ALRC Indiv Fund Summary (Print)'!BnkChgsPldTrstFndAcct, 1, 3, 1, 1))</f>
        <v>0</v>
      </c>
      <c r="D267" s="319">
        <f ca="1">IF(OFFSET('ALRC Indiv Fund Summary (Print)'!BnkChgsPldTrstFndAcct, 1, 4, 1, 1) = DATE(1900,1,0),DATE(1900,1,1), OFFSET('ALRC Indiv Fund Summary (Print)'!BnkChgsPldTrstFndAcct, 1, 4, 1, 1))</f>
        <v>1</v>
      </c>
      <c r="E267" s="155">
        <f ca="1">IF(OFFSET('ALRC Indiv Fund Summary (Print)'!BnkChgsPldTrstFndAcct, 1, 5, 1, 1) = "", 0, OFFSET('ALRC Indiv Fund Summary (Print)'!BnkChgsPldTrstFndAcct, 1, 5, 1, 1))</f>
        <v>0</v>
      </c>
      <c r="F267" s="177">
        <f ca="1">OFFSET('ALRC Indiv Fund Summary (Print)'!BnkChgsPldTrstFndAcct, 1, 1, 1, 1)</f>
        <v>0</v>
      </c>
      <c r="G267" s="180"/>
      <c r="H267" s="180"/>
      <c r="I267" s="187"/>
      <c r="J267" s="180"/>
      <c r="K267" s="180"/>
      <c r="L267" s="188"/>
      <c r="M267" s="188"/>
      <c r="N267" s="188"/>
      <c r="O267" s="188"/>
      <c r="P267" s="189"/>
      <c r="Q267" s="188"/>
      <c r="R267" s="188"/>
      <c r="S267" s="188"/>
      <c r="T267" s="188"/>
      <c r="U267" s="189"/>
    </row>
    <row r="268" spans="1:21">
      <c r="A268" s="176">
        <v>11</v>
      </c>
      <c r="B268" s="319">
        <f ca="1">IF(OFFSET('ALRC Indiv Fund Summary (Print)'!BnkChgsPldTrstFndAcct, 2, 2, 1, 1) = DATE(1900,1,0),DATE(1900,1,1), OFFSET('ALRC Indiv Fund Summary (Print)'!BnkChgsPldTrstFndAcct, 2, 2, 1, 1))</f>
        <v>1</v>
      </c>
      <c r="C268" s="155">
        <f ca="1">IF(OFFSET('ALRC Indiv Fund Summary (Print)'!BnkChgsPldTrstFndAcct, 2, 3, 1, 1) = "", 0, OFFSET('ALRC Indiv Fund Summary (Print)'!BnkChgsPldTrstFndAcct, 2, 3, 1, 1))</f>
        <v>0</v>
      </c>
      <c r="D268" s="319">
        <f ca="1">IF(OFFSET('ALRC Indiv Fund Summary (Print)'!BnkChgsPldTrstFndAcct, 2, 4, 1, 1) = DATE(1900,1,0),DATE(1900,1,1), OFFSET('ALRC Indiv Fund Summary (Print)'!BnkChgsPldTrstFndAcct, 2, 4, 1, 1))</f>
        <v>1</v>
      </c>
      <c r="E268" s="155">
        <f ca="1">IF(OFFSET('ALRC Indiv Fund Summary (Print)'!BnkChgsPldTrstFndAcct, 2, 5, 1, 1) = "", 0, OFFSET('ALRC Indiv Fund Summary (Print)'!BnkChgsPldTrstFndAcct, 2, 5, 1, 1))</f>
        <v>0</v>
      </c>
      <c r="F268" s="177">
        <f ca="1">OFFSET('ALRC Indiv Fund Summary (Print)'!BnkChgsPldTrstFndAcct, 2, 1, 1, 1)</f>
        <v>0</v>
      </c>
      <c r="G268" s="180"/>
      <c r="H268" s="180"/>
      <c r="I268" s="187"/>
      <c r="J268" s="180"/>
      <c r="K268" s="180"/>
      <c r="L268" s="188"/>
      <c r="M268" s="188"/>
      <c r="N268" s="188"/>
      <c r="O268" s="188"/>
      <c r="P268" s="189"/>
      <c r="Q268" s="188"/>
      <c r="R268" s="188"/>
      <c r="S268" s="188"/>
      <c r="T268" s="188"/>
      <c r="U268" s="189"/>
    </row>
    <row r="269" spans="1:21">
      <c r="A269" s="176">
        <v>11</v>
      </c>
      <c r="B269" s="319">
        <f ca="1">IF(OFFSET('ALRC Indiv Fund Summary (Print)'!BnkChgsPldTrstFndAcct, 3, 2, 1, 1) = DATE(1900,1,0),DATE(1900,1,1), OFFSET('ALRC Indiv Fund Summary (Print)'!BnkChgsPldTrstFndAcct, 3, 2, 1, 1))</f>
        <v>1</v>
      </c>
      <c r="C269" s="155">
        <f ca="1">IF(OFFSET('ALRC Indiv Fund Summary (Print)'!BnkChgsPldTrstFndAcct, 3, 3, 1, 1) = "", 0, OFFSET('ALRC Indiv Fund Summary (Print)'!BnkChgsPldTrstFndAcct, 3, 3, 1, 1))</f>
        <v>0</v>
      </c>
      <c r="D269" s="319">
        <f ca="1">IF(OFFSET('ALRC Indiv Fund Summary (Print)'!BnkChgsPldTrstFndAcct, 3, 4, 1, 1) = DATE(1900,1,0),DATE(1900,1,1), OFFSET('ALRC Indiv Fund Summary (Print)'!BnkChgsPldTrstFndAcct, 3, 4, 1, 1))</f>
        <v>1</v>
      </c>
      <c r="E269" s="155">
        <f ca="1">IF(OFFSET('ALRC Indiv Fund Summary (Print)'!BnkChgsPldTrstFndAcct, 3, 5, 1, 1) = "", 0, OFFSET('ALRC Indiv Fund Summary (Print)'!BnkChgsPldTrstFndAcct, 3, 5, 1, 1))</f>
        <v>0</v>
      </c>
      <c r="F269" s="177">
        <f ca="1">OFFSET('ALRC Indiv Fund Summary (Print)'!BnkChgsPldTrstFndAcct, 3, 1, 1, 1)</f>
        <v>0</v>
      </c>
      <c r="G269" s="180"/>
      <c r="H269" s="180"/>
      <c r="I269" s="187"/>
      <c r="J269" s="180"/>
      <c r="K269" s="180"/>
      <c r="L269" s="188"/>
      <c r="M269" s="188"/>
      <c r="N269" s="188"/>
      <c r="O269" s="188"/>
      <c r="P269" s="189"/>
      <c r="Q269" s="188"/>
      <c r="R269" s="188"/>
      <c r="S269" s="188"/>
      <c r="T269" s="188"/>
      <c r="U269" s="189"/>
    </row>
    <row r="270" spans="1:21">
      <c r="A270" s="176">
        <v>11</v>
      </c>
      <c r="B270" s="319">
        <f ca="1">IF(OFFSET('ALRC Indiv Fund Summary (Print)'!BnkChgsPldTrstFndAcct, 4, 2, 1, 1) = DATE(1900,1,0),DATE(1900,1,1), OFFSET('ALRC Indiv Fund Summary (Print)'!BnkChgsPldTrstFndAcct, 4, 2, 1, 1))</f>
        <v>1</v>
      </c>
      <c r="C270" s="155">
        <f ca="1">IF(OFFSET('ALRC Indiv Fund Summary (Print)'!BnkChgsPldTrstFndAcct, 4, 3, 1, 1) = "", 0, OFFSET('ALRC Indiv Fund Summary (Print)'!BnkChgsPldTrstFndAcct, 4, 3, 1, 1))</f>
        <v>0</v>
      </c>
      <c r="D270" s="319">
        <f ca="1">IF(OFFSET('ALRC Indiv Fund Summary (Print)'!BnkChgsPldTrstFndAcct, 4, 4, 1, 1) = DATE(1900,1,0),DATE(1900,1,1), OFFSET('ALRC Indiv Fund Summary (Print)'!BnkChgsPldTrstFndAcct, 4, 4, 1, 1))</f>
        <v>1</v>
      </c>
      <c r="E270" s="155">
        <f ca="1">IF(OFFSET('ALRC Indiv Fund Summary (Print)'!BnkChgsPldTrstFndAcct, 4, 5, 1, 1) = "", 0, OFFSET('ALRC Indiv Fund Summary (Print)'!BnkChgsPldTrstFndAcct, 4, 5, 1, 1))</f>
        <v>0</v>
      </c>
      <c r="F270" s="177">
        <f ca="1">OFFSET('ALRC Indiv Fund Summary (Print)'!BnkChgsPldTrstFndAcct, 4, 1, 1, 1)</f>
        <v>0</v>
      </c>
      <c r="G270" s="180"/>
      <c r="H270" s="180"/>
      <c r="I270" s="187"/>
      <c r="J270" s="180"/>
      <c r="K270" s="180"/>
      <c r="L270" s="188"/>
      <c r="M270" s="188"/>
      <c r="N270" s="188"/>
      <c r="O270" s="188"/>
      <c r="P270" s="189"/>
      <c r="Q270" s="188"/>
      <c r="R270" s="188"/>
      <c r="S270" s="188"/>
      <c r="T270" s="188"/>
      <c r="U270" s="189"/>
    </row>
    <row r="271" spans="1:21">
      <c r="A271" s="176">
        <v>11</v>
      </c>
      <c r="B271" s="319">
        <f ca="1">IF(OFFSET('ALRC Indiv Fund Summary (Print)'!BnkChgsPldTrstFndAcct, 5, 2, 1, 1) = DATE(1900,1,0),DATE(1900,1,1), OFFSET('ALRC Indiv Fund Summary (Print)'!BnkChgsPldTrstFndAcct, 5, 2, 1, 1))</f>
        <v>1</v>
      </c>
      <c r="C271" s="155">
        <f ca="1">IF(OFFSET('ALRC Indiv Fund Summary (Print)'!BnkChgsPldTrstFndAcct, 5, 3, 1, 1) = "", 0, OFFSET('ALRC Indiv Fund Summary (Print)'!BnkChgsPldTrstFndAcct, 5, 3, 1, 1))</f>
        <v>0</v>
      </c>
      <c r="D271" s="319">
        <f ca="1">IF(OFFSET('ALRC Indiv Fund Summary (Print)'!BnkChgsPldTrstFndAcct, 5, 4, 1, 1) = DATE(1900,1,0),DATE(1900,1,1), OFFSET('ALRC Indiv Fund Summary (Print)'!BnkChgsPldTrstFndAcct, 5, 4, 1, 1))</f>
        <v>1</v>
      </c>
      <c r="E271" s="155">
        <f ca="1">IF(OFFSET('ALRC Indiv Fund Summary (Print)'!BnkChgsPldTrstFndAcct, 5, 5, 1, 1) = "", 0, OFFSET('ALRC Indiv Fund Summary (Print)'!BnkChgsPldTrstFndAcct, 5, 5, 1, 1))</f>
        <v>0</v>
      </c>
      <c r="F271" s="177">
        <f ca="1">OFFSET('ALRC Indiv Fund Summary (Print)'!BnkChgsPldTrstFndAcct, 5, 1, 1, 1)</f>
        <v>0</v>
      </c>
      <c r="G271" s="180"/>
      <c r="H271" s="180"/>
      <c r="I271" s="187"/>
      <c r="J271" s="180"/>
      <c r="K271" s="180"/>
      <c r="L271" s="188"/>
      <c r="M271" s="188"/>
      <c r="N271" s="188"/>
      <c r="O271" s="188"/>
      <c r="P271" s="189"/>
      <c r="Q271" s="188"/>
      <c r="R271" s="188"/>
      <c r="S271" s="188"/>
      <c r="T271" s="188"/>
      <c r="U271" s="189"/>
    </row>
    <row r="272" spans="1:21">
      <c r="A272" s="176">
        <v>11</v>
      </c>
      <c r="B272" s="319">
        <f ca="1">IF(OFFSET('ALRC Indiv Fund Summary (Print)'!BnkChgsPldTrstFndAcct, 6, 2, 1, 1) = DATE(1900,1,0),DATE(1900,1,1), OFFSET('ALRC Indiv Fund Summary (Print)'!BnkChgsPldTrstFndAcct, 6, 2, 1, 1))</f>
        <v>1</v>
      </c>
      <c r="C272" s="155">
        <f ca="1">IF(OFFSET('ALRC Indiv Fund Summary (Print)'!BnkChgsPldTrstFndAcct, 6, 3, 1, 1) = "", 0, OFFSET('ALRC Indiv Fund Summary (Print)'!BnkChgsPldTrstFndAcct, 6, 3, 1, 1))</f>
        <v>0</v>
      </c>
      <c r="D272" s="319">
        <f ca="1">IF(OFFSET('ALRC Indiv Fund Summary (Print)'!BnkChgsPldTrstFndAcct, 6, 4, 1, 1) = DATE(1900,1,0),DATE(1900,1,1), OFFSET('ALRC Indiv Fund Summary (Print)'!BnkChgsPldTrstFndAcct, 6, 4, 1, 1))</f>
        <v>1</v>
      </c>
      <c r="E272" s="155">
        <f ca="1">IF(OFFSET('ALRC Indiv Fund Summary (Print)'!BnkChgsPldTrstFndAcct, 6, 5, 1, 1) = "", 0, OFFSET('ALRC Indiv Fund Summary (Print)'!BnkChgsPldTrstFndAcct, 6, 5, 1, 1))</f>
        <v>0</v>
      </c>
      <c r="F272" s="177">
        <f ca="1">OFFSET('ALRC Indiv Fund Summary (Print)'!BnkChgsPldTrstFndAcct, 6, 1, 1, 1)</f>
        <v>0</v>
      </c>
      <c r="G272" s="180"/>
      <c r="H272" s="180"/>
      <c r="I272" s="187"/>
      <c r="J272" s="180"/>
      <c r="K272" s="180"/>
      <c r="L272" s="188"/>
      <c r="M272" s="188"/>
      <c r="N272" s="188"/>
      <c r="O272" s="188"/>
      <c r="P272" s="189"/>
      <c r="Q272" s="188"/>
      <c r="R272" s="188"/>
      <c r="S272" s="188"/>
      <c r="T272" s="188"/>
      <c r="U272" s="189"/>
    </row>
    <row r="273" spans="1:21">
      <c r="A273" s="176">
        <v>11</v>
      </c>
      <c r="B273" s="319">
        <f ca="1">IF(OFFSET('ALRC Indiv Fund Summary (Print)'!BnkChgsPldTrstFndAcct, 7, 2, 1, 1) = DATE(1900,1,0),DATE(1900,1,1), OFFSET('ALRC Indiv Fund Summary (Print)'!BnkChgsPldTrstFndAcct, 7, 2, 1, 1))</f>
        <v>1</v>
      </c>
      <c r="C273" s="155">
        <f ca="1">IF(OFFSET('ALRC Indiv Fund Summary (Print)'!BnkChgsPldTrstFndAcct, 7, 3, 1, 1) = "", 0, OFFSET('ALRC Indiv Fund Summary (Print)'!BnkChgsPldTrstFndAcct, 7, 3, 1, 1))</f>
        <v>0</v>
      </c>
      <c r="D273" s="319">
        <f ca="1">IF(OFFSET('ALRC Indiv Fund Summary (Print)'!BnkChgsPldTrstFndAcct, 7, 4, 1, 1) = DATE(1900,1,0),DATE(1900,1,1), OFFSET('ALRC Indiv Fund Summary (Print)'!BnkChgsPldTrstFndAcct, 7, 4, 1, 1))</f>
        <v>1</v>
      </c>
      <c r="E273" s="155">
        <f ca="1">IF(OFFSET('ALRC Indiv Fund Summary (Print)'!BnkChgsPldTrstFndAcct, 7, 5, 1, 1) = "", 0, OFFSET('ALRC Indiv Fund Summary (Print)'!BnkChgsPldTrstFndAcct, 7, 5, 1, 1))</f>
        <v>0</v>
      </c>
      <c r="F273" s="177">
        <f ca="1">OFFSET('ALRC Indiv Fund Summary (Print)'!BnkChgsPldTrstFndAcct, 7, 1, 1, 1)</f>
        <v>0</v>
      </c>
      <c r="G273" s="180"/>
      <c r="H273" s="180"/>
      <c r="I273" s="187"/>
      <c r="J273" s="180"/>
      <c r="K273" s="180"/>
      <c r="L273" s="188"/>
      <c r="M273" s="188"/>
      <c r="N273" s="188"/>
      <c r="O273" s="188"/>
      <c r="P273" s="189"/>
      <c r="Q273" s="188"/>
      <c r="R273" s="188"/>
      <c r="S273" s="188"/>
      <c r="T273" s="188"/>
      <c r="U273" s="189"/>
    </row>
    <row r="274" spans="1:21">
      <c r="A274" s="176">
        <v>11</v>
      </c>
      <c r="B274" s="319">
        <f ca="1">IF(OFFSET('ALRC Indiv Fund Summary (Print)'!BnkChgsPldTrstFndAcct, 8, 2, 1, 1) = DATE(1900,1,0),DATE(1900,1,1), OFFSET('ALRC Indiv Fund Summary (Print)'!BnkChgsPldTrstFndAcct, 8, 2, 1, 1))</f>
        <v>1</v>
      </c>
      <c r="C274" s="155">
        <f ca="1">IF(OFFSET('ALRC Indiv Fund Summary (Print)'!BnkChgsPldTrstFndAcct, 8, 3, 1, 1) = "", 0, OFFSET('ALRC Indiv Fund Summary (Print)'!BnkChgsPldTrstFndAcct, 8, 3, 1, 1))</f>
        <v>0</v>
      </c>
      <c r="D274" s="319">
        <f ca="1">IF(OFFSET('ALRC Indiv Fund Summary (Print)'!BnkChgsPldTrstFndAcct, 8, 4, 1, 1) = DATE(1900,1,0),DATE(1900,1,1), OFFSET('ALRC Indiv Fund Summary (Print)'!BnkChgsPldTrstFndAcct, 8, 4, 1, 1))</f>
        <v>1</v>
      </c>
      <c r="E274" s="155">
        <f ca="1">IF(OFFSET('ALRC Indiv Fund Summary (Print)'!BnkChgsPldTrstFndAcct, 8, 5, 1, 1) = "", 0, OFFSET('ALRC Indiv Fund Summary (Print)'!BnkChgsPldTrstFndAcct, 8, 5, 1, 1))</f>
        <v>0</v>
      </c>
      <c r="F274" s="177">
        <f ca="1">OFFSET('ALRC Indiv Fund Summary (Print)'!BnkChgsPldTrstFndAcct, 8, 1, 1, 1)</f>
        <v>0</v>
      </c>
      <c r="G274" s="180"/>
      <c r="H274" s="180"/>
      <c r="I274" s="187"/>
      <c r="J274" s="180"/>
      <c r="K274" s="180"/>
      <c r="L274" s="188"/>
      <c r="M274" s="188"/>
      <c r="N274" s="188"/>
      <c r="O274" s="188"/>
      <c r="P274" s="189"/>
      <c r="Q274" s="188"/>
      <c r="R274" s="188"/>
      <c r="S274" s="188"/>
      <c r="T274" s="188"/>
      <c r="U274" s="189"/>
    </row>
    <row r="275" spans="1:21">
      <c r="A275" s="176">
        <v>11</v>
      </c>
      <c r="B275" s="319">
        <f ca="1">IF(OFFSET('ALRC Indiv Fund Summary (Print)'!BnkChgsPldTrstFndAcct, 9, 2, 1, 1) = DATE(1900,1,0),DATE(1900,1,1), OFFSET('ALRC Indiv Fund Summary (Print)'!BnkChgsPldTrstFndAcct, 9, 2, 1, 1))</f>
        <v>1</v>
      </c>
      <c r="C275" s="155">
        <f ca="1">IF(OFFSET('ALRC Indiv Fund Summary (Print)'!BnkChgsPldTrstFndAcct, 9, 3, 1, 1) = "", 0, OFFSET('ALRC Indiv Fund Summary (Print)'!BnkChgsPldTrstFndAcct, 9, 3, 1, 1))</f>
        <v>0</v>
      </c>
      <c r="D275" s="319">
        <f ca="1">IF(OFFSET('ALRC Indiv Fund Summary (Print)'!BnkChgsPldTrstFndAcct, 9, 4, 1, 1) = DATE(1900,1,0),DATE(1900,1,1), OFFSET('ALRC Indiv Fund Summary (Print)'!BnkChgsPldTrstFndAcct, 9, 4, 1, 1))</f>
        <v>1</v>
      </c>
      <c r="E275" s="155">
        <f ca="1">IF(OFFSET('ALRC Indiv Fund Summary (Print)'!BnkChgsPldTrstFndAcct, 9, 5, 1, 1) = "", 0, OFFSET('ALRC Indiv Fund Summary (Print)'!BnkChgsPldTrstFndAcct, 9, 5, 1, 1))</f>
        <v>0</v>
      </c>
      <c r="F275" s="177">
        <f ca="1">OFFSET('ALRC Indiv Fund Summary (Print)'!BnkChgsPldTrstFndAcct, 9, 1, 1, 1)</f>
        <v>0</v>
      </c>
      <c r="G275" s="180"/>
      <c r="H275" s="180"/>
      <c r="I275" s="187"/>
      <c r="J275" s="180"/>
      <c r="K275" s="180"/>
      <c r="L275" s="188"/>
      <c r="M275" s="188"/>
      <c r="N275" s="188"/>
      <c r="O275" s="188"/>
      <c r="P275" s="189"/>
      <c r="Q275" s="188"/>
      <c r="R275" s="188"/>
      <c r="S275" s="188"/>
      <c r="T275" s="188"/>
      <c r="U275" s="189"/>
    </row>
    <row r="276" spans="1:21">
      <c r="A276" s="176">
        <v>11</v>
      </c>
      <c r="B276" s="319">
        <f ca="1">IF(OFFSET('ALRC Indiv Fund Summary (Print)'!BnkChgsPldTrstFndAcct, 10, 2, 1, 1) = DATE(1900,1,0),DATE(1900,1,1), OFFSET('ALRC Indiv Fund Summary (Print)'!BnkChgsPldTrstFndAcct, 10, 2, 1, 1))</f>
        <v>1</v>
      </c>
      <c r="C276" s="155">
        <f ca="1">IF(OFFSET('ALRC Indiv Fund Summary (Print)'!BnkChgsPldTrstFndAcct, 10, 3, 1, 1) = "", 0, OFFSET('ALRC Indiv Fund Summary (Print)'!BnkChgsPldTrstFndAcct, 10, 3, 1, 1))</f>
        <v>0</v>
      </c>
      <c r="D276" s="319">
        <f ca="1">IF(OFFSET('ALRC Indiv Fund Summary (Print)'!BnkChgsPldTrstFndAcct, 10, 4, 1, 1) = DATE(1900,1,0),DATE(1900,1,1), OFFSET('ALRC Indiv Fund Summary (Print)'!BnkChgsPldTrstFndAcct, 10, 4, 1, 1))</f>
        <v>1</v>
      </c>
      <c r="E276" s="155">
        <f ca="1">IF(OFFSET('ALRC Indiv Fund Summary (Print)'!BnkChgsPldTrstFndAcct, 10, 5, 1, 1) = "", 0, OFFSET('ALRC Indiv Fund Summary (Print)'!BnkChgsPldTrstFndAcct, 10, 5, 1, 1))</f>
        <v>0</v>
      </c>
      <c r="F276" s="177">
        <f ca="1">OFFSET('ALRC Indiv Fund Summary (Print)'!BnkChgsPldTrstFndAcct, 10, 1, 1, 1)</f>
        <v>0</v>
      </c>
      <c r="G276" s="180"/>
      <c r="H276" s="180"/>
      <c r="I276" s="187"/>
      <c r="J276" s="180"/>
      <c r="K276" s="180"/>
      <c r="L276" s="188"/>
      <c r="M276" s="188"/>
      <c r="N276" s="188"/>
      <c r="O276" s="188"/>
      <c r="P276" s="189"/>
      <c r="Q276" s="188"/>
      <c r="R276" s="188"/>
      <c r="S276" s="188"/>
      <c r="T276" s="188"/>
      <c r="U276" s="189"/>
    </row>
    <row r="277" spans="1:21">
      <c r="A277" s="176">
        <v>11</v>
      </c>
      <c r="B277" s="319">
        <f ca="1">IF(OFFSET('ALRC Indiv Fund Summary (Print)'!BnkChgsPldTrstFndAcct, 11, 2, 1, 1) = DATE(1900,1,0),DATE(1900,1,1), OFFSET('ALRC Indiv Fund Summary (Print)'!BnkChgsPldTrstFndAcct, 11, 2, 1, 1))</f>
        <v>1</v>
      </c>
      <c r="C277" s="155">
        <f ca="1">IF(OFFSET('ALRC Indiv Fund Summary (Print)'!BnkChgsPldTrstFndAcct, 11, 3, 1, 1) = "", 0, OFFSET('ALRC Indiv Fund Summary (Print)'!BnkChgsPldTrstFndAcct, 11, 3, 1, 1))</f>
        <v>0</v>
      </c>
      <c r="D277" s="319">
        <f ca="1">IF(OFFSET('ALRC Indiv Fund Summary (Print)'!BnkChgsPldTrstFndAcct, 11, 4, 1, 1) = DATE(1900,1,0),DATE(1900,1,1), OFFSET('ALRC Indiv Fund Summary (Print)'!BnkChgsPldTrstFndAcct, 11, 4, 1, 1))</f>
        <v>1</v>
      </c>
      <c r="E277" s="155">
        <f ca="1">IF(OFFSET('ALRC Indiv Fund Summary (Print)'!BnkChgsPldTrstFndAcct, 11, 5, 1, 1) = "", 0, OFFSET('ALRC Indiv Fund Summary (Print)'!BnkChgsPldTrstFndAcct, 11, 5, 1, 1))</f>
        <v>0</v>
      </c>
      <c r="F277" s="177">
        <f ca="1">OFFSET('ALRC Indiv Fund Summary (Print)'!BnkChgsPldTrstFndAcct, 11, 1, 1, 1)</f>
        <v>0</v>
      </c>
      <c r="G277" s="180"/>
      <c r="H277" s="180"/>
      <c r="I277" s="187"/>
      <c r="J277" s="180"/>
      <c r="K277" s="180"/>
      <c r="L277" s="188"/>
      <c r="M277" s="188"/>
      <c r="N277" s="188"/>
      <c r="O277" s="188"/>
      <c r="P277" s="189"/>
      <c r="Q277" s="188"/>
      <c r="R277" s="188"/>
      <c r="S277" s="188"/>
      <c r="T277" s="188"/>
      <c r="U277" s="189"/>
    </row>
    <row r="278" spans="1:21">
      <c r="A278" s="176">
        <v>11</v>
      </c>
      <c r="B278" s="319">
        <f ca="1">IF(OFFSET('ALRC Indiv Fund Summary (Print)'!BnkChgsPldTrstFndAcct, 12, 2, 1, 1) = DATE(1900,1,0),DATE(1900,1,1), OFFSET('ALRC Indiv Fund Summary (Print)'!BnkChgsPldTrstFndAcct, 12, 2, 1, 1))</f>
        <v>1</v>
      </c>
      <c r="C278" s="155">
        <f ca="1">IF(OFFSET('ALRC Indiv Fund Summary (Print)'!BnkChgsPldTrstFndAcct, 12, 3, 1, 1) = "", 0, OFFSET('ALRC Indiv Fund Summary (Print)'!BnkChgsPldTrstFndAcct, 12, 3, 1, 1))</f>
        <v>0</v>
      </c>
      <c r="D278" s="319">
        <f ca="1">IF(OFFSET('ALRC Indiv Fund Summary (Print)'!BnkChgsPldTrstFndAcct, 12, 4, 1, 1) = DATE(1900,1,0),DATE(1900,1,1), OFFSET('ALRC Indiv Fund Summary (Print)'!BnkChgsPldTrstFndAcct, 12, 4, 1, 1))</f>
        <v>1</v>
      </c>
      <c r="E278" s="155">
        <f ca="1">IF(OFFSET('ALRC Indiv Fund Summary (Print)'!BnkChgsPldTrstFndAcct, 12, 5, 1, 1) = "", 0, OFFSET('ALRC Indiv Fund Summary (Print)'!BnkChgsPldTrstFndAcct, 12, 5, 1, 1))</f>
        <v>0</v>
      </c>
      <c r="F278" s="177">
        <f ca="1">OFFSET('ALRC Indiv Fund Summary (Print)'!BnkChgsPldTrstFndAcct, 12, 1, 1, 1)</f>
        <v>0</v>
      </c>
      <c r="G278" s="180"/>
      <c r="H278" s="180"/>
      <c r="I278" s="187"/>
      <c r="J278" s="180"/>
      <c r="K278" s="180"/>
      <c r="L278" s="188"/>
      <c r="M278" s="188"/>
      <c r="N278" s="188"/>
      <c r="O278" s="188"/>
      <c r="P278" s="189"/>
      <c r="Q278" s="188"/>
      <c r="R278" s="188"/>
      <c r="S278" s="188"/>
      <c r="T278" s="188"/>
      <c r="U278" s="189"/>
    </row>
    <row r="279" spans="1:21">
      <c r="A279" s="176">
        <v>11</v>
      </c>
      <c r="B279" s="319">
        <f ca="1">IF(OFFSET('ALRC Indiv Fund Summary (Print)'!BnkChgsPldTrstFndAcct, 13, 2, 1, 1) = DATE(1900,1,0),DATE(1900,1,1), OFFSET('ALRC Indiv Fund Summary (Print)'!BnkChgsPldTrstFndAcct, 13, 2, 1, 1))</f>
        <v>1</v>
      </c>
      <c r="C279" s="155">
        <f ca="1">IF(OFFSET('ALRC Indiv Fund Summary (Print)'!BnkChgsPldTrstFndAcct, 13, 3, 1, 1) = "", 0, OFFSET('ALRC Indiv Fund Summary (Print)'!BnkChgsPldTrstFndAcct, 13, 3, 1, 1))</f>
        <v>0</v>
      </c>
      <c r="D279" s="319">
        <f ca="1">IF(OFFSET('ALRC Indiv Fund Summary (Print)'!BnkChgsPldTrstFndAcct, 13, 4, 1, 1) = DATE(1900,1,0),DATE(1900,1,1), OFFSET('ALRC Indiv Fund Summary (Print)'!BnkChgsPldTrstFndAcct, 13, 4, 1, 1))</f>
        <v>1</v>
      </c>
      <c r="E279" s="155">
        <f ca="1">IF(OFFSET('ALRC Indiv Fund Summary (Print)'!BnkChgsPldTrstFndAcct, 13, 5, 1, 1) = "", 0, OFFSET('ALRC Indiv Fund Summary (Print)'!BnkChgsPldTrstFndAcct, 13, 5, 1, 1))</f>
        <v>0</v>
      </c>
      <c r="F279" s="177">
        <f ca="1">OFFSET('ALRC Indiv Fund Summary (Print)'!BnkChgsPldTrstFndAcct, 13, 1, 1, 1)</f>
        <v>0</v>
      </c>
      <c r="G279" s="180"/>
      <c r="H279" s="180"/>
      <c r="I279" s="187"/>
      <c r="J279" s="180"/>
      <c r="K279" s="180"/>
      <c r="L279" s="188"/>
      <c r="M279" s="188"/>
      <c r="N279" s="188"/>
      <c r="O279" s="188"/>
      <c r="P279" s="189"/>
      <c r="Q279" s="188"/>
      <c r="R279" s="188"/>
      <c r="S279" s="188"/>
      <c r="T279" s="188"/>
      <c r="U279" s="189"/>
    </row>
    <row r="280" spans="1:21">
      <c r="A280" s="176">
        <v>11</v>
      </c>
      <c r="B280" s="319">
        <f ca="1">IF(OFFSET('ALRC Indiv Fund Summary (Print)'!BnkChgsPldTrstFndAcct, 14, 2, 1, 1) = DATE(1900,1,0),DATE(1900,1,1), OFFSET('ALRC Indiv Fund Summary (Print)'!BnkChgsPldTrstFndAcct, 14, 2, 1, 1))</f>
        <v>1</v>
      </c>
      <c r="C280" s="155">
        <f ca="1">IF(OFFSET('ALRC Indiv Fund Summary (Print)'!BnkChgsPldTrstFndAcct, 14, 3, 1, 1) = "", 0, OFFSET('ALRC Indiv Fund Summary (Print)'!BnkChgsPldTrstFndAcct, 14, 3, 1, 1))</f>
        <v>0</v>
      </c>
      <c r="D280" s="319">
        <f ca="1">IF(OFFSET('ALRC Indiv Fund Summary (Print)'!BnkChgsPldTrstFndAcct, 14, 4, 1, 1) = DATE(1900,1,0),DATE(1900,1,1), OFFSET('ALRC Indiv Fund Summary (Print)'!BnkChgsPldTrstFndAcct, 14, 4, 1, 1))</f>
        <v>1</v>
      </c>
      <c r="E280" s="155">
        <f ca="1">IF(OFFSET('ALRC Indiv Fund Summary (Print)'!BnkChgsPldTrstFndAcct, 14, 5, 1, 1) = "", 0, OFFSET('ALRC Indiv Fund Summary (Print)'!BnkChgsPldTrstFndAcct, 14, 5, 1, 1))</f>
        <v>0</v>
      </c>
      <c r="F280" s="177">
        <f ca="1">OFFSET('ALRC Indiv Fund Summary (Print)'!BnkChgsPldTrstFndAcct, 14, 1, 1, 1)</f>
        <v>0</v>
      </c>
      <c r="G280" s="180"/>
      <c r="H280" s="180"/>
      <c r="I280" s="187"/>
      <c r="J280" s="180"/>
      <c r="K280" s="180"/>
      <c r="L280" s="188"/>
      <c r="M280" s="188"/>
      <c r="N280" s="188"/>
      <c r="O280" s="188"/>
      <c r="P280" s="189"/>
      <c r="Q280" s="188"/>
      <c r="R280" s="188"/>
      <c r="S280" s="188"/>
      <c r="T280" s="188"/>
      <c r="U280" s="189"/>
    </row>
    <row r="281" spans="1:21">
      <c r="A281" s="176">
        <v>11</v>
      </c>
      <c r="B281" s="319">
        <f ca="1">IF(OFFSET('ALRC Indiv Fund Summary (Print)'!BnkChgsPldTrstFndAcct, 0, 8, 1, 1) = DATE(1900,1,0),DATE(1900,1,1), OFFSET('ALRC Indiv Fund Summary (Print)'!BnkChgsPldTrstFndAcct, 0, 8, 1, 1))</f>
        <v>1</v>
      </c>
      <c r="C281" s="155">
        <f ca="1">IF(OFFSET('ALRC Indiv Fund Summary (Print)'!BnkChgsPldTrstFndAcct, 0, 9, 1, 1) = "", 0, OFFSET('ALRC Indiv Fund Summary (Print)'!BnkChgsPldTrstFndAcct, 0, 9, 1, 1))</f>
        <v>0</v>
      </c>
      <c r="D281" s="319">
        <f ca="1">IF(OFFSET('ALRC Indiv Fund Summary (Print)'!BnkChgsPldTrstFndAcct, 0, 10, 1, 1) = DATE(1900,1,0),DATE(1900,1,1), OFFSET('ALRC Indiv Fund Summary (Print)'!BnkChgsPldTrstFndAcct, 0, 10, 1, 1))</f>
        <v>1</v>
      </c>
      <c r="E281" s="155">
        <f ca="1">IF(OFFSET('ALRC Indiv Fund Summary (Print)'!BnkChgsPldTrstFndAcct, 0, 11, 1, 1) = "", 0, OFFSET('ALRC Indiv Fund Summary (Print)'!BnkChgsPldTrstFndAcct, 0, 11, 1, 1))</f>
        <v>0</v>
      </c>
      <c r="F281" s="177">
        <f ca="1">OFFSET('ALRC Indiv Fund Summary (Print)'!BnkChgsPldTrstFndAcct, 0, 7, 1, 1)</f>
        <v>0</v>
      </c>
      <c r="G281" s="180"/>
      <c r="H281" s="180"/>
      <c r="I281" s="187"/>
      <c r="J281" s="180"/>
      <c r="K281" s="180"/>
      <c r="L281" s="188"/>
      <c r="M281" s="188"/>
      <c r="N281" s="188"/>
      <c r="O281" s="188"/>
      <c r="P281" s="189"/>
      <c r="Q281" s="188"/>
      <c r="R281" s="188"/>
      <c r="S281" s="188"/>
      <c r="T281" s="188"/>
      <c r="U281" s="189"/>
    </row>
    <row r="282" spans="1:21">
      <c r="A282" s="176">
        <v>11</v>
      </c>
      <c r="B282" s="319">
        <f ca="1">IF(OFFSET('ALRC Indiv Fund Summary (Print)'!BnkChgsPldTrstFndAcct, 1, 8, 1, 1) = DATE(1900,1,0),DATE(1900,1,1), OFFSET('ALRC Indiv Fund Summary (Print)'!BnkChgsPldTrstFndAcct, 1, 8, 1, 1))</f>
        <v>1</v>
      </c>
      <c r="C282" s="155">
        <f ca="1">IF(OFFSET('ALRC Indiv Fund Summary (Print)'!BnkChgsPldTrstFndAcct, 1, 9, 1, 1) = "", 0, OFFSET('ALRC Indiv Fund Summary (Print)'!BnkChgsPldTrstFndAcct, 1, 9, 1, 1))</f>
        <v>0</v>
      </c>
      <c r="D282" s="319">
        <f ca="1">IF(OFFSET('ALRC Indiv Fund Summary (Print)'!BnkChgsPldTrstFndAcct, 1, 10, 1, 1) = DATE(1900,1,0),DATE(1900,1,1), OFFSET('ALRC Indiv Fund Summary (Print)'!BnkChgsPldTrstFndAcct, 1, 10, 1, 1))</f>
        <v>1</v>
      </c>
      <c r="E282" s="155">
        <f ca="1">IF(OFFSET('ALRC Indiv Fund Summary (Print)'!BnkChgsPldTrstFndAcct, 1, 11, 1, 1) = "", 0, OFFSET('ALRC Indiv Fund Summary (Print)'!BnkChgsPldTrstFndAcct, 1, 11, 1, 1))</f>
        <v>0</v>
      </c>
      <c r="F282" s="177">
        <f ca="1">OFFSET('ALRC Indiv Fund Summary (Print)'!BnkChgsPldTrstFndAcct, 1, 7, 1, 1)</f>
        <v>0</v>
      </c>
      <c r="G282" s="180"/>
      <c r="H282" s="180"/>
      <c r="I282" s="187"/>
      <c r="J282" s="180"/>
      <c r="K282" s="180"/>
      <c r="L282" s="188"/>
      <c r="M282" s="188"/>
      <c r="N282" s="188"/>
      <c r="O282" s="188"/>
      <c r="P282" s="189"/>
      <c r="Q282" s="188"/>
      <c r="R282" s="188"/>
      <c r="S282" s="188"/>
      <c r="T282" s="188"/>
      <c r="U282" s="189"/>
    </row>
    <row r="283" spans="1:21">
      <c r="A283" s="176">
        <v>11</v>
      </c>
      <c r="B283" s="319">
        <f ca="1">IF(OFFSET('ALRC Indiv Fund Summary (Print)'!BnkChgsPldTrstFndAcct, 2, 8, 1, 1) = DATE(1900,1,0),DATE(1900,1,1), OFFSET('ALRC Indiv Fund Summary (Print)'!BnkChgsPldTrstFndAcct, 2, 8, 1, 1))</f>
        <v>1</v>
      </c>
      <c r="C283" s="155">
        <f ca="1">IF(OFFSET('ALRC Indiv Fund Summary (Print)'!BnkChgsPldTrstFndAcct, 2, 9, 1, 1) = "", 0, OFFSET('ALRC Indiv Fund Summary (Print)'!BnkChgsPldTrstFndAcct, 2, 9, 1, 1))</f>
        <v>0</v>
      </c>
      <c r="D283" s="319">
        <f ca="1">IF(OFFSET('ALRC Indiv Fund Summary (Print)'!BnkChgsPldTrstFndAcct, 2, 10, 1, 1) = DATE(1900,1,0),DATE(1900,1,1), OFFSET('ALRC Indiv Fund Summary (Print)'!BnkChgsPldTrstFndAcct, 2, 10, 1, 1))</f>
        <v>1</v>
      </c>
      <c r="E283" s="155">
        <f ca="1">IF(OFFSET('ALRC Indiv Fund Summary (Print)'!BnkChgsPldTrstFndAcct, 2, 11, 1, 1) = "", 0, OFFSET('ALRC Indiv Fund Summary (Print)'!BnkChgsPldTrstFndAcct, 2, 11, 1, 1))</f>
        <v>0</v>
      </c>
      <c r="F283" s="177">
        <f ca="1">OFFSET('ALRC Indiv Fund Summary (Print)'!BnkChgsPldTrstFndAcct, 2, 7, 1, 1)</f>
        <v>0</v>
      </c>
      <c r="G283" s="180"/>
      <c r="H283" s="180"/>
      <c r="I283" s="187"/>
      <c r="J283" s="180"/>
      <c r="K283" s="180"/>
      <c r="L283" s="188"/>
      <c r="M283" s="188"/>
      <c r="N283" s="188"/>
      <c r="O283" s="188"/>
      <c r="P283" s="189"/>
      <c r="Q283" s="188"/>
      <c r="R283" s="188"/>
      <c r="S283" s="188"/>
      <c r="T283" s="188"/>
      <c r="U283" s="189"/>
    </row>
    <row r="284" spans="1:21">
      <c r="A284" s="176">
        <v>11</v>
      </c>
      <c r="B284" s="319">
        <f ca="1">IF(OFFSET('ALRC Indiv Fund Summary (Print)'!BnkChgsPldTrstFndAcct, 3, 8, 1, 1) = DATE(1900,1,0),DATE(1900,1,1), OFFSET('ALRC Indiv Fund Summary (Print)'!BnkChgsPldTrstFndAcct, 3, 8, 1, 1))</f>
        <v>1</v>
      </c>
      <c r="C284" s="155">
        <f ca="1">IF(OFFSET('ALRC Indiv Fund Summary (Print)'!BnkChgsPldTrstFndAcct, 3, 9, 1, 1) = "", 0, OFFSET('ALRC Indiv Fund Summary (Print)'!BnkChgsPldTrstFndAcct, 3, 9, 1, 1))</f>
        <v>0</v>
      </c>
      <c r="D284" s="319">
        <f ca="1">IF(OFFSET('ALRC Indiv Fund Summary (Print)'!BnkChgsPldTrstFndAcct, 3, 10, 1, 1) = DATE(1900,1,0),DATE(1900,1,1), OFFSET('ALRC Indiv Fund Summary (Print)'!BnkChgsPldTrstFndAcct, 3, 10, 1, 1))</f>
        <v>1</v>
      </c>
      <c r="E284" s="155">
        <f ca="1">IF(OFFSET('ALRC Indiv Fund Summary (Print)'!BnkChgsPldTrstFndAcct, 3, 11, 1, 1) = "", 0, OFFSET('ALRC Indiv Fund Summary (Print)'!BnkChgsPldTrstFndAcct, 3, 11, 1, 1))</f>
        <v>0</v>
      </c>
      <c r="F284" s="177">
        <f ca="1">OFFSET('ALRC Indiv Fund Summary (Print)'!BnkChgsPldTrstFndAcct, 3, 7, 1, 1)</f>
        <v>0</v>
      </c>
      <c r="G284" s="180"/>
      <c r="H284" s="180"/>
      <c r="I284" s="187"/>
      <c r="J284" s="180"/>
      <c r="K284" s="180"/>
      <c r="L284" s="188"/>
      <c r="M284" s="188"/>
      <c r="N284" s="188"/>
      <c r="O284" s="188"/>
      <c r="P284" s="189"/>
      <c r="Q284" s="188"/>
      <c r="R284" s="188"/>
      <c r="S284" s="188"/>
      <c r="T284" s="188"/>
      <c r="U284" s="189"/>
    </row>
    <row r="285" spans="1:21">
      <c r="A285" s="176">
        <v>11</v>
      </c>
      <c r="B285" s="319">
        <f ca="1">IF(OFFSET('ALRC Indiv Fund Summary (Print)'!BnkChgsPldTrstFndAcct, 4, 8, 1, 1) = DATE(1900,1,0),DATE(1900,1,1), OFFSET('ALRC Indiv Fund Summary (Print)'!BnkChgsPldTrstFndAcct, 4, 8, 1, 1))</f>
        <v>1</v>
      </c>
      <c r="C285" s="155">
        <f ca="1">IF(OFFSET('ALRC Indiv Fund Summary (Print)'!BnkChgsPldTrstFndAcct, 4, 9, 1, 1) = "", 0, OFFSET('ALRC Indiv Fund Summary (Print)'!BnkChgsPldTrstFndAcct, 4, 9, 1, 1))</f>
        <v>0</v>
      </c>
      <c r="D285" s="319">
        <f ca="1">IF(OFFSET('ALRC Indiv Fund Summary (Print)'!BnkChgsPldTrstFndAcct, 4, 10, 1, 1) = DATE(1900,1,0),DATE(1900,1,1), OFFSET('ALRC Indiv Fund Summary (Print)'!BnkChgsPldTrstFndAcct, 4, 10, 1, 1))</f>
        <v>1</v>
      </c>
      <c r="E285" s="155">
        <f ca="1">IF(OFFSET('ALRC Indiv Fund Summary (Print)'!BnkChgsPldTrstFndAcct, 4, 11, 1, 1) = "", 0, OFFSET('ALRC Indiv Fund Summary (Print)'!BnkChgsPldTrstFndAcct, 4, 11, 1, 1))</f>
        <v>0</v>
      </c>
      <c r="F285" s="177">
        <f ca="1">OFFSET('ALRC Indiv Fund Summary (Print)'!BnkChgsPldTrstFndAcct, 4, 7, 1, 1)</f>
        <v>0</v>
      </c>
      <c r="G285" s="180"/>
      <c r="H285" s="180"/>
      <c r="I285" s="187"/>
      <c r="J285" s="180"/>
      <c r="K285" s="180"/>
      <c r="L285" s="188"/>
      <c r="M285" s="188"/>
      <c r="N285" s="188"/>
      <c r="O285" s="188"/>
      <c r="P285" s="189"/>
      <c r="Q285" s="188"/>
      <c r="R285" s="188"/>
      <c r="S285" s="188"/>
      <c r="T285" s="188"/>
      <c r="U285" s="189"/>
    </row>
    <row r="286" spans="1:21">
      <c r="A286" s="176">
        <v>11</v>
      </c>
      <c r="B286" s="319">
        <f ca="1">IF(OFFSET('ALRC Indiv Fund Summary (Print)'!BnkChgsPldTrstFndAcct, 5, 8, 1, 1) = DATE(1900,1,0),DATE(1900,1,1), OFFSET('ALRC Indiv Fund Summary (Print)'!BnkChgsPldTrstFndAcct, 5, 8, 1, 1))</f>
        <v>1</v>
      </c>
      <c r="C286" s="155">
        <f ca="1">IF(OFFSET('ALRC Indiv Fund Summary (Print)'!BnkChgsPldTrstFndAcct, 5, 9, 1, 1) = "", 0, OFFSET('ALRC Indiv Fund Summary (Print)'!BnkChgsPldTrstFndAcct, 5, 9, 1, 1))</f>
        <v>0</v>
      </c>
      <c r="D286" s="319">
        <f ca="1">IF(OFFSET('ALRC Indiv Fund Summary (Print)'!BnkChgsPldTrstFndAcct, 5, 10, 1, 1) = DATE(1900,1,0),DATE(1900,1,1), OFFSET('ALRC Indiv Fund Summary (Print)'!BnkChgsPldTrstFndAcct, 5, 10, 1, 1))</f>
        <v>1</v>
      </c>
      <c r="E286" s="155">
        <f ca="1">IF(OFFSET('ALRC Indiv Fund Summary (Print)'!BnkChgsPldTrstFndAcct, 5, 11, 1, 1) = "", 0, OFFSET('ALRC Indiv Fund Summary (Print)'!BnkChgsPldTrstFndAcct, 5, 11, 1, 1))</f>
        <v>0</v>
      </c>
      <c r="F286" s="177">
        <f ca="1">OFFSET('ALRC Indiv Fund Summary (Print)'!BnkChgsPldTrstFndAcct, 5, 7, 1, 1)</f>
        <v>0</v>
      </c>
      <c r="G286" s="180"/>
      <c r="H286" s="180"/>
      <c r="I286" s="187"/>
      <c r="J286" s="180"/>
      <c r="K286" s="180"/>
      <c r="L286" s="188"/>
      <c r="M286" s="188"/>
      <c r="N286" s="188"/>
      <c r="O286" s="188"/>
      <c r="P286" s="189"/>
      <c r="Q286" s="188"/>
      <c r="R286" s="188"/>
      <c r="S286" s="188"/>
      <c r="T286" s="188"/>
      <c r="U286" s="189"/>
    </row>
    <row r="287" spans="1:21">
      <c r="A287" s="176">
        <v>11</v>
      </c>
      <c r="B287" s="319">
        <f ca="1">IF(OFFSET('ALRC Indiv Fund Summary (Print)'!BnkChgsPldTrstFndAcct, 6, 8, 1, 1) = DATE(1900,1,0),DATE(1900,1,1), OFFSET('ALRC Indiv Fund Summary (Print)'!BnkChgsPldTrstFndAcct, 6, 8, 1, 1))</f>
        <v>1</v>
      </c>
      <c r="C287" s="155">
        <f ca="1">IF(OFFSET('ALRC Indiv Fund Summary (Print)'!BnkChgsPldTrstFndAcct, 6, 9, 1, 1) = "", 0, OFFSET('ALRC Indiv Fund Summary (Print)'!BnkChgsPldTrstFndAcct, 6, 9, 1, 1))</f>
        <v>0</v>
      </c>
      <c r="D287" s="319">
        <f ca="1">IF(OFFSET('ALRC Indiv Fund Summary (Print)'!BnkChgsPldTrstFndAcct, 6, 10, 1, 1) = DATE(1900,1,0),DATE(1900,1,1), OFFSET('ALRC Indiv Fund Summary (Print)'!BnkChgsPldTrstFndAcct, 6, 10, 1, 1))</f>
        <v>1</v>
      </c>
      <c r="E287" s="155">
        <f ca="1">IF(OFFSET('ALRC Indiv Fund Summary (Print)'!BnkChgsPldTrstFndAcct, 6, 11, 1, 1) = "", 0, OFFSET('ALRC Indiv Fund Summary (Print)'!BnkChgsPldTrstFndAcct, 6, 11, 1, 1))</f>
        <v>0</v>
      </c>
      <c r="F287" s="177">
        <f ca="1">OFFSET('ALRC Indiv Fund Summary (Print)'!BnkChgsPldTrstFndAcct, 6, 7, 1, 1)</f>
        <v>0</v>
      </c>
      <c r="G287" s="180"/>
      <c r="H287" s="180"/>
      <c r="I287" s="187"/>
      <c r="J287" s="180"/>
      <c r="K287" s="180"/>
      <c r="L287" s="188"/>
      <c r="M287" s="188"/>
      <c r="N287" s="188"/>
      <c r="O287" s="188"/>
      <c r="P287" s="189"/>
      <c r="Q287" s="188"/>
      <c r="R287" s="188"/>
      <c r="S287" s="188"/>
      <c r="T287" s="188"/>
      <c r="U287" s="189"/>
    </row>
    <row r="288" spans="1:21">
      <c r="A288" s="176">
        <v>11</v>
      </c>
      <c r="B288" s="319">
        <f ca="1">IF(OFFSET('ALRC Indiv Fund Summary (Print)'!BnkChgsPldTrstFndAcct, 7, 8, 1, 1) = DATE(1900,1,0),DATE(1900,1,1), OFFSET('ALRC Indiv Fund Summary (Print)'!BnkChgsPldTrstFndAcct, 7, 8, 1, 1))</f>
        <v>1</v>
      </c>
      <c r="C288" s="155">
        <f ca="1">IF(OFFSET('ALRC Indiv Fund Summary (Print)'!BnkChgsPldTrstFndAcct, 7, 9, 1, 1) = "", 0, OFFSET('ALRC Indiv Fund Summary (Print)'!BnkChgsPldTrstFndAcct, 7, 9, 1, 1))</f>
        <v>0</v>
      </c>
      <c r="D288" s="319">
        <f ca="1">IF(OFFSET('ALRC Indiv Fund Summary (Print)'!BnkChgsPldTrstFndAcct, 7, 10, 1, 1) = DATE(1900,1,0),DATE(1900,1,1), OFFSET('ALRC Indiv Fund Summary (Print)'!BnkChgsPldTrstFndAcct, 7, 10, 1, 1))</f>
        <v>1</v>
      </c>
      <c r="E288" s="155">
        <f ca="1">IF(OFFSET('ALRC Indiv Fund Summary (Print)'!BnkChgsPldTrstFndAcct, 7, 11, 1, 1) = "", 0, OFFSET('ALRC Indiv Fund Summary (Print)'!BnkChgsPldTrstFndAcct, 7, 11, 1, 1))</f>
        <v>0</v>
      </c>
      <c r="F288" s="177">
        <f ca="1">OFFSET('ALRC Indiv Fund Summary (Print)'!BnkChgsPldTrstFndAcct, 7, 7, 1, 1)</f>
        <v>0</v>
      </c>
      <c r="G288" s="180"/>
      <c r="H288" s="180"/>
      <c r="I288" s="187"/>
      <c r="J288" s="180"/>
      <c r="K288" s="180"/>
      <c r="L288" s="188"/>
      <c r="M288" s="188"/>
      <c r="N288" s="188"/>
      <c r="O288" s="188"/>
      <c r="P288" s="189"/>
      <c r="Q288" s="188"/>
      <c r="R288" s="188"/>
      <c r="S288" s="188"/>
      <c r="T288" s="188"/>
      <c r="U288" s="189"/>
    </row>
    <row r="289" spans="1:21">
      <c r="A289" s="176">
        <v>11</v>
      </c>
      <c r="B289" s="319">
        <f ca="1">IF(OFFSET('ALRC Indiv Fund Summary (Print)'!BnkChgsPldTrstFndAcct, 8, 8, 1, 1) = DATE(1900,1,0),DATE(1900,1,1), OFFSET('ALRC Indiv Fund Summary (Print)'!BnkChgsPldTrstFndAcct, 8, 8, 1, 1))</f>
        <v>1</v>
      </c>
      <c r="C289" s="155">
        <f ca="1">IF(OFFSET('ALRC Indiv Fund Summary (Print)'!BnkChgsPldTrstFndAcct, 8, 9, 1, 1) = "", 0, OFFSET('ALRC Indiv Fund Summary (Print)'!BnkChgsPldTrstFndAcct, 8, 9, 1, 1))</f>
        <v>0</v>
      </c>
      <c r="D289" s="319">
        <f ca="1">IF(OFFSET('ALRC Indiv Fund Summary (Print)'!BnkChgsPldTrstFndAcct, 8, 10, 1, 1) = DATE(1900,1,0),DATE(1900,1,1), OFFSET('ALRC Indiv Fund Summary (Print)'!BnkChgsPldTrstFndAcct, 8, 10, 1, 1))</f>
        <v>1</v>
      </c>
      <c r="E289" s="155">
        <f ca="1">IF(OFFSET('ALRC Indiv Fund Summary (Print)'!BnkChgsPldTrstFndAcct, 8, 11, 1, 1) = "", 0, OFFSET('ALRC Indiv Fund Summary (Print)'!BnkChgsPldTrstFndAcct, 8, 11, 1, 1))</f>
        <v>0</v>
      </c>
      <c r="F289" s="177">
        <f ca="1">OFFSET('ALRC Indiv Fund Summary (Print)'!BnkChgsPldTrstFndAcct, 8, 7, 1, 1)</f>
        <v>0</v>
      </c>
      <c r="G289" s="180"/>
      <c r="H289" s="180"/>
      <c r="I289" s="187"/>
      <c r="J289" s="180"/>
      <c r="K289" s="180"/>
      <c r="L289" s="188"/>
      <c r="M289" s="188"/>
      <c r="N289" s="188"/>
      <c r="O289" s="188"/>
      <c r="P289" s="189"/>
      <c r="Q289" s="188"/>
      <c r="R289" s="188"/>
      <c r="S289" s="188"/>
      <c r="T289" s="188"/>
      <c r="U289" s="189"/>
    </row>
    <row r="290" spans="1:21">
      <c r="A290" s="176">
        <v>11</v>
      </c>
      <c r="B290" s="319">
        <f ca="1">IF(OFFSET('ALRC Indiv Fund Summary (Print)'!BnkChgsPldTrstFndAcct, 9, 8, 1, 1) = DATE(1900,1,0),DATE(1900,1,1), OFFSET('ALRC Indiv Fund Summary (Print)'!BnkChgsPldTrstFndAcct, 9, 8, 1, 1))</f>
        <v>1</v>
      </c>
      <c r="C290" s="155">
        <f ca="1">IF(OFFSET('ALRC Indiv Fund Summary (Print)'!BnkChgsPldTrstFndAcct, 9, 9, 1, 1) = "", 0, OFFSET('ALRC Indiv Fund Summary (Print)'!BnkChgsPldTrstFndAcct, 9, 9, 1, 1))</f>
        <v>0</v>
      </c>
      <c r="D290" s="319">
        <f ca="1">IF(OFFSET('ALRC Indiv Fund Summary (Print)'!BnkChgsPldTrstFndAcct, 9, 10, 1, 1) = DATE(1900,1,0),DATE(1900,1,1), OFFSET('ALRC Indiv Fund Summary (Print)'!BnkChgsPldTrstFndAcct, 9, 10, 1, 1))</f>
        <v>1</v>
      </c>
      <c r="E290" s="155">
        <f ca="1">IF(OFFSET('ALRC Indiv Fund Summary (Print)'!BnkChgsPldTrstFndAcct, 9, 11, 1, 1) = "", 0, OFFSET('ALRC Indiv Fund Summary (Print)'!BnkChgsPldTrstFndAcct, 9, 11, 1, 1))</f>
        <v>0</v>
      </c>
      <c r="F290" s="177">
        <f ca="1">OFFSET('ALRC Indiv Fund Summary (Print)'!BnkChgsPldTrstFndAcct, 9, 7, 1, 1)</f>
        <v>0</v>
      </c>
      <c r="G290" s="180"/>
      <c r="H290" s="180"/>
      <c r="I290" s="187"/>
      <c r="J290" s="180"/>
      <c r="K290" s="180"/>
      <c r="L290" s="188"/>
      <c r="M290" s="188"/>
      <c r="N290" s="188"/>
      <c r="O290" s="188"/>
      <c r="P290" s="189"/>
      <c r="Q290" s="188"/>
      <c r="R290" s="188"/>
      <c r="S290" s="188"/>
      <c r="T290" s="188"/>
      <c r="U290" s="189"/>
    </row>
    <row r="291" spans="1:21">
      <c r="A291" s="176">
        <v>11</v>
      </c>
      <c r="B291" s="319">
        <f ca="1">IF(OFFSET('ALRC Indiv Fund Summary (Print)'!BnkChgsPldTrstFndAcct, 10, 8, 1, 1) = DATE(1900,1,0),DATE(1900,1,1), OFFSET('ALRC Indiv Fund Summary (Print)'!BnkChgsPldTrstFndAcct, 10, 8, 1, 1))</f>
        <v>1</v>
      </c>
      <c r="C291" s="155">
        <f ca="1">IF(OFFSET('ALRC Indiv Fund Summary (Print)'!BnkChgsPldTrstFndAcct, 10, 9, 1, 1) = "", 0, OFFSET('ALRC Indiv Fund Summary (Print)'!BnkChgsPldTrstFndAcct, 10, 9, 1, 1))</f>
        <v>0</v>
      </c>
      <c r="D291" s="319">
        <f ca="1">IF(OFFSET('ALRC Indiv Fund Summary (Print)'!BnkChgsPldTrstFndAcct, 10, 10, 1, 1) = DATE(1900,1,0),DATE(1900,1,1), OFFSET('ALRC Indiv Fund Summary (Print)'!BnkChgsPldTrstFndAcct, 10, 10, 1, 1))</f>
        <v>1</v>
      </c>
      <c r="E291" s="155">
        <f ca="1">IF(OFFSET('ALRC Indiv Fund Summary (Print)'!BnkChgsPldTrstFndAcct, 10, 11, 1, 1) = "", 0, OFFSET('ALRC Indiv Fund Summary (Print)'!BnkChgsPldTrstFndAcct, 10, 11, 1, 1))</f>
        <v>0</v>
      </c>
      <c r="F291" s="177">
        <f ca="1">OFFSET('ALRC Indiv Fund Summary (Print)'!BnkChgsPldTrstFndAcct, 10, 7, 1, 1)</f>
        <v>0</v>
      </c>
      <c r="G291" s="180"/>
      <c r="H291" s="180"/>
      <c r="I291" s="187"/>
      <c r="J291" s="180"/>
      <c r="K291" s="180"/>
      <c r="L291" s="188"/>
      <c r="M291" s="188"/>
      <c r="N291" s="188"/>
      <c r="O291" s="188"/>
      <c r="P291" s="189"/>
      <c r="Q291" s="188"/>
      <c r="R291" s="188"/>
      <c r="S291" s="188"/>
      <c r="T291" s="188"/>
      <c r="U291" s="189"/>
    </row>
    <row r="292" spans="1:21">
      <c r="A292" s="176">
        <v>11</v>
      </c>
      <c r="B292" s="319">
        <f ca="1">IF(OFFSET('ALRC Indiv Fund Summary (Print)'!BnkChgsPldTrstFndAcct, 11, 8, 1, 1) = DATE(1900,1,0),DATE(1900,1,1), OFFSET('ALRC Indiv Fund Summary (Print)'!BnkChgsPldTrstFndAcct, 11, 8, 1, 1))</f>
        <v>1</v>
      </c>
      <c r="C292" s="155">
        <f ca="1">IF(OFFSET('ALRC Indiv Fund Summary (Print)'!BnkChgsPldTrstFndAcct, 11, 9, 1, 1) = "", 0, OFFSET('ALRC Indiv Fund Summary (Print)'!BnkChgsPldTrstFndAcct, 11, 9, 1, 1))</f>
        <v>0</v>
      </c>
      <c r="D292" s="319">
        <f ca="1">IF(OFFSET('ALRC Indiv Fund Summary (Print)'!BnkChgsPldTrstFndAcct, 11, 10, 1, 1) = DATE(1900,1,0),DATE(1900,1,1), OFFSET('ALRC Indiv Fund Summary (Print)'!BnkChgsPldTrstFndAcct, 11, 10, 1, 1))</f>
        <v>1</v>
      </c>
      <c r="E292" s="155">
        <f ca="1">IF(OFFSET('ALRC Indiv Fund Summary (Print)'!BnkChgsPldTrstFndAcct, 11, 11, 1, 1) = "", 0, OFFSET('ALRC Indiv Fund Summary (Print)'!BnkChgsPldTrstFndAcct, 11, 11, 1, 1))</f>
        <v>0</v>
      </c>
      <c r="F292" s="177">
        <f ca="1">OFFSET('ALRC Indiv Fund Summary (Print)'!BnkChgsPldTrstFndAcct, 11, 7, 1, 1)</f>
        <v>0</v>
      </c>
      <c r="G292" s="180"/>
      <c r="H292" s="180"/>
      <c r="I292" s="187"/>
      <c r="J292" s="180"/>
      <c r="K292" s="180"/>
      <c r="L292" s="188"/>
      <c r="M292" s="188"/>
      <c r="N292" s="188"/>
      <c r="O292" s="188"/>
      <c r="P292" s="189"/>
      <c r="Q292" s="188"/>
      <c r="R292" s="188"/>
      <c r="S292" s="188"/>
      <c r="T292" s="188"/>
      <c r="U292" s="189"/>
    </row>
    <row r="293" spans="1:21">
      <c r="A293" s="176">
        <v>11</v>
      </c>
      <c r="B293" s="319">
        <f ca="1">IF(OFFSET('ALRC Indiv Fund Summary (Print)'!BnkChgsPldTrstFndAcct, 12, 8, 1, 1) = DATE(1900,1,0),DATE(1900,1,1), OFFSET('ALRC Indiv Fund Summary (Print)'!BnkChgsPldTrstFndAcct, 12, 8, 1, 1))</f>
        <v>1</v>
      </c>
      <c r="C293" s="155">
        <f ca="1">IF(OFFSET('ALRC Indiv Fund Summary (Print)'!BnkChgsPldTrstFndAcct, 12, 9, 1, 1) = "", 0, OFFSET('ALRC Indiv Fund Summary (Print)'!BnkChgsPldTrstFndAcct, 12, 9, 1, 1))</f>
        <v>0</v>
      </c>
      <c r="D293" s="319">
        <f ca="1">IF(OFFSET('ALRC Indiv Fund Summary (Print)'!BnkChgsPldTrstFndAcct, 12, 10, 1, 1) = DATE(1900,1,0),DATE(1900,1,1), OFFSET('ALRC Indiv Fund Summary (Print)'!BnkChgsPldTrstFndAcct, 12, 10, 1, 1))</f>
        <v>1</v>
      </c>
      <c r="E293" s="155">
        <f ca="1">IF(OFFSET('ALRC Indiv Fund Summary (Print)'!BnkChgsPldTrstFndAcct, 12, 11, 1, 1) = "", 0, OFFSET('ALRC Indiv Fund Summary (Print)'!BnkChgsPldTrstFndAcct, 12, 11, 1, 1))</f>
        <v>0</v>
      </c>
      <c r="F293" s="177">
        <f ca="1">OFFSET('ALRC Indiv Fund Summary (Print)'!BnkChgsPldTrstFndAcct, 12, 7, 1, 1)</f>
        <v>0</v>
      </c>
      <c r="G293" s="180"/>
      <c r="H293" s="180"/>
      <c r="I293" s="187"/>
      <c r="J293" s="180"/>
      <c r="K293" s="180"/>
      <c r="L293" s="188"/>
      <c r="M293" s="188"/>
      <c r="N293" s="188"/>
      <c r="O293" s="188"/>
      <c r="P293" s="189"/>
      <c r="Q293" s="188"/>
      <c r="R293" s="188"/>
      <c r="S293" s="188"/>
      <c r="T293" s="188"/>
      <c r="U293" s="189"/>
    </row>
    <row r="294" spans="1:21">
      <c r="A294" s="176">
        <v>11</v>
      </c>
      <c r="B294" s="319">
        <f ca="1">IF(OFFSET('ALRC Indiv Fund Summary (Print)'!BnkChgsPldTrstFndAcct, 13, 8, 1, 1) = DATE(1900,1,0),DATE(1900,1,1), OFFSET('ALRC Indiv Fund Summary (Print)'!BnkChgsPldTrstFndAcct, 13, 8, 1, 1))</f>
        <v>1</v>
      </c>
      <c r="C294" s="155">
        <f ca="1">IF(OFFSET('ALRC Indiv Fund Summary (Print)'!BnkChgsPldTrstFndAcct, 13, 9, 1, 1) = "", 0, OFFSET('ALRC Indiv Fund Summary (Print)'!BnkChgsPldTrstFndAcct, 13, 9, 1, 1))</f>
        <v>0</v>
      </c>
      <c r="D294" s="319">
        <f ca="1">IF(OFFSET('ALRC Indiv Fund Summary (Print)'!BnkChgsPldTrstFndAcct, 13, 10, 1, 1) = DATE(1900,1,0),DATE(1900,1,1), OFFSET('ALRC Indiv Fund Summary (Print)'!BnkChgsPldTrstFndAcct, 13, 10, 1, 1))</f>
        <v>1</v>
      </c>
      <c r="E294" s="155">
        <f ca="1">IF(OFFSET('ALRC Indiv Fund Summary (Print)'!BnkChgsPldTrstFndAcct, 13, 11, 1, 1) = "", 0, OFFSET('ALRC Indiv Fund Summary (Print)'!BnkChgsPldTrstFndAcct, 13, 11, 1, 1))</f>
        <v>0</v>
      </c>
      <c r="F294" s="177">
        <f ca="1">OFFSET('ALRC Indiv Fund Summary (Print)'!BnkChgsPldTrstFndAcct, 13, 7, 1, 1)</f>
        <v>0</v>
      </c>
      <c r="G294" s="180"/>
      <c r="H294" s="180"/>
      <c r="I294" s="187"/>
      <c r="J294" s="180"/>
      <c r="K294" s="180"/>
      <c r="L294" s="188"/>
      <c r="M294" s="188"/>
      <c r="N294" s="188"/>
      <c r="O294" s="188"/>
      <c r="P294" s="189"/>
      <c r="Q294" s="188"/>
      <c r="R294" s="188"/>
      <c r="S294" s="188"/>
      <c r="T294" s="188"/>
      <c r="U294" s="189"/>
    </row>
    <row r="295" spans="1:21" ht="15" thickBot="1">
      <c r="A295" s="178">
        <v>11</v>
      </c>
      <c r="B295" s="320">
        <f ca="1">IF(OFFSET('ALRC Indiv Fund Summary (Print)'!BnkChgsPldTrstFndAcct, 14, 8, 1, 1) = DATE(1900,1,0),DATE(1900,1,1), OFFSET('ALRC Indiv Fund Summary (Print)'!BnkChgsPldTrstFndAcct, 14, 8, 1, 1))</f>
        <v>1</v>
      </c>
      <c r="C295" s="174">
        <f ca="1">IF(OFFSET('ALRC Indiv Fund Summary (Print)'!BnkChgsPldTrstFndAcct, 14, 9, 1, 1) = "", 0, OFFSET('ALRC Indiv Fund Summary (Print)'!BnkChgsPldTrstFndAcct, 14, 9, 1, 1))</f>
        <v>0</v>
      </c>
      <c r="D295" s="320">
        <f ca="1">IF(OFFSET('ALRC Indiv Fund Summary (Print)'!BnkChgsPldTrstFndAcct, 14, 10, 1, 1) = DATE(1900,1,0),DATE(1900,1,1), OFFSET('ALRC Indiv Fund Summary (Print)'!BnkChgsPldTrstFndAcct, 14, 10, 1, 1))</f>
        <v>1</v>
      </c>
      <c r="E295" s="174">
        <f ca="1">IF(OFFSET('ALRC Indiv Fund Summary (Print)'!BnkChgsPldTrstFndAcct, 14, 11, 1, 1) = "", 0, OFFSET('ALRC Indiv Fund Summary (Print)'!BnkChgsPldTrstFndAcct, 14, 11, 1, 1))</f>
        <v>0</v>
      </c>
      <c r="F295" s="202">
        <f ca="1">OFFSET('ALRC Indiv Fund Summary (Print)'!BnkChgsPldTrstFndAcct, 14, 7, 1, 1)</f>
        <v>0</v>
      </c>
      <c r="G295" s="180"/>
      <c r="H295" s="180"/>
      <c r="I295" s="187"/>
      <c r="J295" s="180"/>
      <c r="K295" s="180"/>
      <c r="L295" s="188"/>
      <c r="M295" s="188"/>
      <c r="N295" s="188"/>
      <c r="O295" s="188"/>
      <c r="P295" s="189"/>
      <c r="Q295" s="188"/>
      <c r="R295" s="188"/>
      <c r="S295" s="188"/>
      <c r="T295" s="188"/>
      <c r="U295" s="189"/>
    </row>
    <row r="296" spans="1:21">
      <c r="A296" s="179"/>
      <c r="B296" s="180"/>
      <c r="C296" s="180"/>
      <c r="D296" s="180"/>
      <c r="E296" s="180"/>
      <c r="F296" s="180"/>
      <c r="G296" s="180"/>
      <c r="H296" s="180"/>
      <c r="I296" s="187"/>
      <c r="J296" s="180"/>
      <c r="K296" s="180"/>
      <c r="L296" s="188"/>
      <c r="M296" s="188"/>
      <c r="N296" s="188"/>
      <c r="O296" s="188"/>
      <c r="P296" s="189"/>
      <c r="Q296" s="188"/>
      <c r="R296" s="188"/>
      <c r="S296" s="188"/>
      <c r="T296" s="188"/>
      <c r="U296" s="189"/>
    </row>
    <row r="297" spans="1:21" ht="15" thickBot="1">
      <c r="A297" s="179" t="s">
        <v>1253</v>
      </c>
      <c r="B297" s="180"/>
      <c r="C297" s="180"/>
      <c r="D297" s="180"/>
      <c r="E297" s="180"/>
      <c r="F297" s="180"/>
      <c r="G297" s="180"/>
      <c r="H297" s="180"/>
      <c r="I297" s="187"/>
      <c r="J297" s="180"/>
      <c r="K297" s="180"/>
      <c r="L297" s="188"/>
      <c r="M297" s="188"/>
      <c r="N297" s="188"/>
      <c r="O297" s="188"/>
      <c r="P297" s="189"/>
      <c r="Q297" s="188"/>
      <c r="R297" s="188"/>
      <c r="S297" s="188"/>
      <c r="T297" s="188"/>
      <c r="U297" s="189"/>
    </row>
    <row r="298" spans="1:21">
      <c r="A298" s="181" t="s">
        <v>1003</v>
      </c>
      <c r="B298" s="182" t="s">
        <v>1005</v>
      </c>
      <c r="C298" s="182" t="s">
        <v>242</v>
      </c>
      <c r="D298" s="182" t="s">
        <v>187</v>
      </c>
      <c r="E298" s="432" t="s">
        <v>1522</v>
      </c>
      <c r="F298" s="433" t="s">
        <v>1523</v>
      </c>
      <c r="G298" s="180"/>
      <c r="H298" s="180"/>
      <c r="I298" s="187"/>
      <c r="J298" s="180"/>
      <c r="K298" s="180"/>
      <c r="L298" s="188"/>
      <c r="M298" s="188"/>
      <c r="N298" s="188"/>
      <c r="O298" s="188"/>
      <c r="P298" s="189"/>
      <c r="Q298" s="188"/>
      <c r="R298" s="188"/>
      <c r="S298" s="188"/>
      <c r="T298" s="188"/>
      <c r="U298" s="189"/>
    </row>
    <row r="299" spans="1:21">
      <c r="A299" s="154">
        <f ca="1">OFFSET('ALRC Indiv Fund Summary (Print)'!BnkChgsFcltyChcIndvTrstFndAcct, 0, 1, 1, 1)</f>
        <v>0</v>
      </c>
      <c r="B299" s="425">
        <v>12</v>
      </c>
      <c r="C299" s="319">
        <f ca="1">IF(OFFSET('ALRC Indiv Fund Summary (Print)'!BnkChgsFcltyChcIndvTrstFndAcct, 0, 2, 1, 1) = DATE(1900,1,0),DATE(1900,1,1), OFFSET('ALRC Indiv Fund Summary (Print)'!BnkChgsFcltyChcIndvTrstFndAcct, 0, 2, 1, 1))</f>
        <v>1</v>
      </c>
      <c r="D299" s="155">
        <f ca="1">IF(OFFSET('ALRC Indiv Fund Summary (Print)'!BnkChgsFcltyChcIndvTrstFndAcct, 0, 3, 1, 1) = "", 0, OFFSET('ALRC Indiv Fund Summary (Print)'!BnkChgsFcltyChcIndvTrstFndAcct, 0, 3, 1, 1))</f>
        <v>0</v>
      </c>
      <c r="E299" s="319">
        <f ca="1">IF(OFFSET('ALRC Indiv Fund Summary (Print)'!BnkChgsFcltyChcIndvTrstFndAcct, 0, 4, 1, 1) = DATE(1900,1,0),DATE(1900,1,1), OFFSET('ALRC Indiv Fund Summary (Print)'!BnkChgsFcltyChcIndvTrstFndAcct, 0, 4, 1, 1))</f>
        <v>1</v>
      </c>
      <c r="F299" s="185">
        <f ca="1">IF(OFFSET('ALRC Indiv Fund Summary (Print)'!BnkChgsFcltyChcIndvTrstFndAcct, 0, 5, 1, 1) = "", 0, OFFSET('ALRC Indiv Fund Summary (Print)'!BnkChgsFcltyChcIndvTrstFndAcct, 0, 5, 1, 1))</f>
        <v>0</v>
      </c>
      <c r="G299" s="180"/>
      <c r="H299" s="180"/>
      <c r="I299" s="187"/>
      <c r="J299" s="180"/>
      <c r="K299" s="180"/>
      <c r="L299" s="188"/>
      <c r="M299" s="188"/>
      <c r="N299" s="188"/>
      <c r="O299" s="188"/>
      <c r="P299" s="189"/>
      <c r="Q299" s="188"/>
      <c r="R299" s="188"/>
      <c r="S299" s="188"/>
      <c r="T299" s="188"/>
      <c r="U299" s="189"/>
    </row>
    <row r="300" spans="1:21">
      <c r="A300" s="154">
        <f ca="1">OFFSET('ALRC Indiv Fund Summary (Print)'!BnkChgsFcltyChcIndvTrstFndAcct, 1, 1, 1, 1)</f>
        <v>0</v>
      </c>
      <c r="B300" s="425">
        <v>12</v>
      </c>
      <c r="C300" s="319">
        <f ca="1">IF(OFFSET('ALRC Indiv Fund Summary (Print)'!BnkChgsFcltyChcIndvTrstFndAcct, 1, 2, 1, 1) = DATE(1900,1,0),DATE(1900,1,1), OFFSET('ALRC Indiv Fund Summary (Print)'!BnkChgsFcltyChcIndvTrstFndAcct, 1, 2, 1, 1))</f>
        <v>1</v>
      </c>
      <c r="D300" s="155">
        <f ca="1">IF(OFFSET('ALRC Indiv Fund Summary (Print)'!BnkChgsFcltyChcIndvTrstFndAcct, 1, 3, 1, 1) = "", 0, OFFSET('ALRC Indiv Fund Summary (Print)'!BnkChgsFcltyChcIndvTrstFndAcct, 1, 3, 1, 1))</f>
        <v>0</v>
      </c>
      <c r="E300" s="319">
        <f ca="1">IF(OFFSET('ALRC Indiv Fund Summary (Print)'!BnkChgsFcltyChcIndvTrstFndAcct, 1, 4, 1, 1) = DATE(1900,1,0),DATE(1900,1,1), OFFSET('ALRC Indiv Fund Summary (Print)'!BnkChgsFcltyChcIndvTrstFndAcct, 1, 4, 1, 1))</f>
        <v>1</v>
      </c>
      <c r="F300" s="185">
        <f ca="1">IF(OFFSET('ALRC Indiv Fund Summary (Print)'!BnkChgsFcltyChcIndvTrstFndAcct, 1, 5, 1, 1) = "", 0, OFFSET('ALRC Indiv Fund Summary (Print)'!BnkChgsFcltyChcIndvTrstFndAcct, 1, 5, 1, 1))</f>
        <v>0</v>
      </c>
      <c r="G300" s="180"/>
      <c r="H300" s="180"/>
      <c r="I300" s="187"/>
      <c r="J300" s="180"/>
      <c r="K300" s="180"/>
      <c r="L300" s="188"/>
      <c r="M300" s="188"/>
      <c r="N300" s="188"/>
      <c r="O300" s="188"/>
      <c r="P300" s="189"/>
      <c r="Q300" s="188"/>
      <c r="R300" s="188"/>
      <c r="S300" s="188"/>
      <c r="T300" s="188"/>
      <c r="U300" s="189"/>
    </row>
    <row r="301" spans="1:21">
      <c r="A301" s="154">
        <f ca="1">OFFSET('ALRC Indiv Fund Summary (Print)'!BnkChgsFcltyChcIndvTrstFndAcct, 2, 1, 1, 1)</f>
        <v>0</v>
      </c>
      <c r="B301" s="425">
        <v>12</v>
      </c>
      <c r="C301" s="319">
        <f ca="1">IF(OFFSET('ALRC Indiv Fund Summary (Print)'!BnkChgsFcltyChcIndvTrstFndAcct, 2, 2, 1, 1) = DATE(1900,1,0),DATE(1900,1,1), OFFSET('ALRC Indiv Fund Summary (Print)'!BnkChgsFcltyChcIndvTrstFndAcct, 2, 2, 1, 1))</f>
        <v>1</v>
      </c>
      <c r="D301" s="155">
        <f ca="1">IF(OFFSET('ALRC Indiv Fund Summary (Print)'!BnkChgsFcltyChcIndvTrstFndAcct, 2, 3, 1, 1) = "", 0, OFFSET('ALRC Indiv Fund Summary (Print)'!BnkChgsFcltyChcIndvTrstFndAcct, 2, 3, 1, 1))</f>
        <v>0</v>
      </c>
      <c r="E301" s="319">
        <f ca="1">IF(OFFSET('ALRC Indiv Fund Summary (Print)'!BnkChgsFcltyChcIndvTrstFndAcct, 2, 4, 1, 1) = DATE(1900,1,0),DATE(1900,1,1), OFFSET('ALRC Indiv Fund Summary (Print)'!BnkChgsFcltyChcIndvTrstFndAcct, 2, 4, 1, 1))</f>
        <v>1</v>
      </c>
      <c r="F301" s="185">
        <f ca="1">IF(OFFSET('ALRC Indiv Fund Summary (Print)'!BnkChgsFcltyChcIndvTrstFndAcct, 2, 5, 1, 1) = "", 0, OFFSET('ALRC Indiv Fund Summary (Print)'!BnkChgsFcltyChcIndvTrstFndAcct, 2, 5, 1, 1))</f>
        <v>0</v>
      </c>
      <c r="G301" s="180"/>
      <c r="H301" s="180"/>
      <c r="I301" s="187"/>
      <c r="J301" s="180"/>
      <c r="K301" s="180"/>
      <c r="L301" s="188"/>
      <c r="M301" s="188"/>
      <c r="N301" s="188"/>
      <c r="O301" s="188"/>
      <c r="P301" s="189"/>
      <c r="Q301" s="188"/>
      <c r="R301" s="188"/>
      <c r="S301" s="188"/>
      <c r="T301" s="188"/>
      <c r="U301" s="189"/>
    </row>
    <row r="302" spans="1:21">
      <c r="A302" s="154">
        <f ca="1">OFFSET('ALRC Indiv Fund Summary (Print)'!BnkChgsFcltyChcIndvTrstFndAcct, 3, 1, 1, 1)</f>
        <v>0</v>
      </c>
      <c r="B302" s="425">
        <v>12</v>
      </c>
      <c r="C302" s="319">
        <f ca="1">IF(OFFSET('ALRC Indiv Fund Summary (Print)'!BnkChgsFcltyChcIndvTrstFndAcct, 3, 2, 1, 1) = DATE(1900,1,0),DATE(1900,1,1), OFFSET('ALRC Indiv Fund Summary (Print)'!BnkChgsFcltyChcIndvTrstFndAcct, 3, 2, 1, 1))</f>
        <v>1</v>
      </c>
      <c r="D302" s="155">
        <f ca="1">IF(OFFSET('ALRC Indiv Fund Summary (Print)'!BnkChgsFcltyChcIndvTrstFndAcct, 3, 3, 1, 1) = "", 0, OFFSET('ALRC Indiv Fund Summary (Print)'!BnkChgsFcltyChcIndvTrstFndAcct, 3, 3, 1, 1))</f>
        <v>0</v>
      </c>
      <c r="E302" s="319">
        <f ca="1">IF(OFFSET('ALRC Indiv Fund Summary (Print)'!BnkChgsFcltyChcIndvTrstFndAcct, 3, 4, 1, 1) = DATE(1900,1,0),DATE(1900,1,1), OFFSET('ALRC Indiv Fund Summary (Print)'!BnkChgsFcltyChcIndvTrstFndAcct, 3, 4, 1, 1))</f>
        <v>1</v>
      </c>
      <c r="F302" s="185">
        <f ca="1">IF(OFFSET('ALRC Indiv Fund Summary (Print)'!BnkChgsFcltyChcIndvTrstFndAcct, 3, 5, 1, 1) = "", 0, OFFSET('ALRC Indiv Fund Summary (Print)'!BnkChgsFcltyChcIndvTrstFndAcct, 3, 5, 1, 1))</f>
        <v>0</v>
      </c>
      <c r="G302" s="180"/>
      <c r="H302" s="180"/>
      <c r="I302" s="187"/>
      <c r="J302" s="180"/>
      <c r="K302" s="180"/>
      <c r="L302" s="188"/>
      <c r="M302" s="188"/>
      <c r="N302" s="188"/>
      <c r="O302" s="188"/>
      <c r="P302" s="189"/>
      <c r="Q302" s="188"/>
      <c r="R302" s="188"/>
      <c r="S302" s="188"/>
      <c r="T302" s="188"/>
      <c r="U302" s="189"/>
    </row>
    <row r="303" spans="1:21">
      <c r="A303" s="154">
        <f ca="1">OFFSET('ALRC Indiv Fund Summary (Print)'!BnkChgsFcltyChcIndvTrstFndAcct, 4, 1, 1, 1)</f>
        <v>0</v>
      </c>
      <c r="B303" s="425">
        <v>12</v>
      </c>
      <c r="C303" s="319">
        <f ca="1">IF(OFFSET('ALRC Indiv Fund Summary (Print)'!BnkChgsFcltyChcIndvTrstFndAcct, 4, 2, 1, 1) = DATE(1900,1,0),DATE(1900,1,1), OFFSET('ALRC Indiv Fund Summary (Print)'!BnkChgsFcltyChcIndvTrstFndAcct, 4, 2, 1, 1))</f>
        <v>1</v>
      </c>
      <c r="D303" s="155">
        <f ca="1">IF(OFFSET('ALRC Indiv Fund Summary (Print)'!BnkChgsFcltyChcIndvTrstFndAcct, 4, 3, 1, 1) = "", 0, OFFSET('ALRC Indiv Fund Summary (Print)'!BnkChgsFcltyChcIndvTrstFndAcct, 4, 3, 1, 1))</f>
        <v>0</v>
      </c>
      <c r="E303" s="319">
        <f ca="1">IF(OFFSET('ALRC Indiv Fund Summary (Print)'!BnkChgsFcltyChcIndvTrstFndAcct, 4, 4, 1, 1) = DATE(1900,1,0),DATE(1900,1,1), OFFSET('ALRC Indiv Fund Summary (Print)'!BnkChgsFcltyChcIndvTrstFndAcct, 4, 4, 1, 1))</f>
        <v>1</v>
      </c>
      <c r="F303" s="185">
        <f ca="1">IF(OFFSET('ALRC Indiv Fund Summary (Print)'!BnkChgsFcltyChcIndvTrstFndAcct, 4, 5, 1, 1) = "", 0, OFFSET('ALRC Indiv Fund Summary (Print)'!BnkChgsFcltyChcIndvTrstFndAcct, 4, 5, 1, 1))</f>
        <v>0</v>
      </c>
      <c r="G303" s="180"/>
      <c r="H303" s="180"/>
      <c r="I303" s="187"/>
      <c r="J303" s="180"/>
      <c r="K303" s="180"/>
      <c r="L303" s="188"/>
      <c r="M303" s="188"/>
      <c r="N303" s="188"/>
      <c r="O303" s="188"/>
      <c r="P303" s="189"/>
      <c r="Q303" s="188"/>
      <c r="R303" s="188"/>
      <c r="S303" s="188"/>
      <c r="T303" s="188"/>
      <c r="U303" s="189"/>
    </row>
    <row r="304" spans="1:21">
      <c r="A304" s="154">
        <f ca="1">OFFSET('ALRC Indiv Fund Summary (Print)'!BnkChgsFcltyChcIndvTrstFndAcct, 5, 1, 1, 1)</f>
        <v>0</v>
      </c>
      <c r="B304" s="425">
        <v>12</v>
      </c>
      <c r="C304" s="319">
        <f ca="1">IF(OFFSET('ALRC Indiv Fund Summary (Print)'!BnkChgsFcltyChcIndvTrstFndAcct, 5, 2, 1, 1) = DATE(1900,1,0),DATE(1900,1,1), OFFSET('ALRC Indiv Fund Summary (Print)'!BnkChgsFcltyChcIndvTrstFndAcct, 5, 2, 1, 1))</f>
        <v>1</v>
      </c>
      <c r="D304" s="155">
        <f ca="1">IF(OFFSET('ALRC Indiv Fund Summary (Print)'!BnkChgsFcltyChcIndvTrstFndAcct, 5, 3, 1, 1) = "", 0, OFFSET('ALRC Indiv Fund Summary (Print)'!BnkChgsFcltyChcIndvTrstFndAcct, 5, 3, 1, 1))</f>
        <v>0</v>
      </c>
      <c r="E304" s="319">
        <f ca="1">IF(OFFSET('ALRC Indiv Fund Summary (Print)'!BnkChgsFcltyChcIndvTrstFndAcct, 5, 4, 1, 1) = DATE(1900,1,0),DATE(1900,1,1), OFFSET('ALRC Indiv Fund Summary (Print)'!BnkChgsFcltyChcIndvTrstFndAcct, 5, 4, 1, 1))</f>
        <v>1</v>
      </c>
      <c r="F304" s="185">
        <f ca="1">IF(OFFSET('ALRC Indiv Fund Summary (Print)'!BnkChgsFcltyChcIndvTrstFndAcct, 5, 5, 1, 1) = "", 0, OFFSET('ALRC Indiv Fund Summary (Print)'!BnkChgsFcltyChcIndvTrstFndAcct, 5, 5, 1, 1))</f>
        <v>0</v>
      </c>
      <c r="G304" s="180"/>
      <c r="H304" s="180"/>
      <c r="I304" s="187"/>
      <c r="J304" s="180"/>
      <c r="K304" s="180"/>
      <c r="L304" s="188"/>
      <c r="M304" s="188"/>
      <c r="N304" s="188"/>
      <c r="O304" s="188"/>
      <c r="P304" s="189"/>
      <c r="Q304" s="188"/>
      <c r="R304" s="188"/>
      <c r="S304" s="188"/>
      <c r="T304" s="188"/>
      <c r="U304" s="189"/>
    </row>
    <row r="305" spans="1:21">
      <c r="A305" s="154">
        <f ca="1">OFFSET('ALRC Indiv Fund Summary (Print)'!BnkChgsFcltyChcIndvTrstFndAcct, 6, 1, 1, 1)</f>
        <v>0</v>
      </c>
      <c r="B305" s="425">
        <v>12</v>
      </c>
      <c r="C305" s="319">
        <f ca="1">IF(OFFSET('ALRC Indiv Fund Summary (Print)'!BnkChgsFcltyChcIndvTrstFndAcct, 6, 2, 1, 1) = DATE(1900,1,0),DATE(1900,1,1), OFFSET('ALRC Indiv Fund Summary (Print)'!BnkChgsFcltyChcIndvTrstFndAcct, 6, 2, 1, 1))</f>
        <v>1</v>
      </c>
      <c r="D305" s="155">
        <f ca="1">IF(OFFSET('ALRC Indiv Fund Summary (Print)'!BnkChgsFcltyChcIndvTrstFndAcct, 6, 3, 1, 1) = "", 0, OFFSET('ALRC Indiv Fund Summary (Print)'!BnkChgsFcltyChcIndvTrstFndAcct, 6, 3, 1, 1))</f>
        <v>0</v>
      </c>
      <c r="E305" s="319">
        <f ca="1">IF(OFFSET('ALRC Indiv Fund Summary (Print)'!BnkChgsFcltyChcIndvTrstFndAcct, 6, 4, 1, 1) = DATE(1900,1,0),DATE(1900,1,1), OFFSET('ALRC Indiv Fund Summary (Print)'!BnkChgsFcltyChcIndvTrstFndAcct, 6, 4, 1, 1))</f>
        <v>1</v>
      </c>
      <c r="F305" s="185">
        <f ca="1">IF(OFFSET('ALRC Indiv Fund Summary (Print)'!BnkChgsFcltyChcIndvTrstFndAcct, 6, 5, 1, 1) = "", 0, OFFSET('ALRC Indiv Fund Summary (Print)'!BnkChgsFcltyChcIndvTrstFndAcct, 6, 5, 1, 1))</f>
        <v>0</v>
      </c>
      <c r="G305" s="180"/>
      <c r="H305" s="180"/>
      <c r="I305" s="187"/>
      <c r="J305" s="180"/>
      <c r="K305" s="180"/>
      <c r="L305" s="188"/>
      <c r="M305" s="188"/>
      <c r="N305" s="188"/>
      <c r="O305" s="188"/>
      <c r="P305" s="189"/>
      <c r="Q305" s="188"/>
      <c r="R305" s="188"/>
      <c r="S305" s="188"/>
      <c r="T305" s="188"/>
      <c r="U305" s="189"/>
    </row>
    <row r="306" spans="1:21">
      <c r="A306" s="154">
        <f ca="1">OFFSET('ALRC Indiv Fund Summary (Print)'!BnkChgsFcltyChcIndvTrstFndAcct, 7, 1, 1, 1)</f>
        <v>0</v>
      </c>
      <c r="B306" s="425">
        <v>12</v>
      </c>
      <c r="C306" s="319">
        <f ca="1">IF(OFFSET('ALRC Indiv Fund Summary (Print)'!BnkChgsFcltyChcIndvTrstFndAcct, 7, 2, 1, 1) = DATE(1900,1,0),DATE(1900,1,1), OFFSET('ALRC Indiv Fund Summary (Print)'!BnkChgsFcltyChcIndvTrstFndAcct, 7, 2, 1, 1))</f>
        <v>1</v>
      </c>
      <c r="D306" s="155">
        <f ca="1">IF(OFFSET('ALRC Indiv Fund Summary (Print)'!BnkChgsFcltyChcIndvTrstFndAcct, 7, 3, 1, 1) = "", 0, OFFSET('ALRC Indiv Fund Summary (Print)'!BnkChgsFcltyChcIndvTrstFndAcct, 7, 3, 1, 1))</f>
        <v>0</v>
      </c>
      <c r="E306" s="319">
        <f ca="1">IF(OFFSET('ALRC Indiv Fund Summary (Print)'!BnkChgsFcltyChcIndvTrstFndAcct, 7, 4, 1, 1) = DATE(1900,1,0),DATE(1900,1,1), OFFSET('ALRC Indiv Fund Summary (Print)'!BnkChgsFcltyChcIndvTrstFndAcct, 7, 4, 1, 1))</f>
        <v>1</v>
      </c>
      <c r="F306" s="185">
        <f ca="1">IF(OFFSET('ALRC Indiv Fund Summary (Print)'!BnkChgsFcltyChcIndvTrstFndAcct, 7, 5, 1, 1) = "", 0, OFFSET('ALRC Indiv Fund Summary (Print)'!BnkChgsFcltyChcIndvTrstFndAcct, 7, 5, 1, 1))</f>
        <v>0</v>
      </c>
      <c r="G306" s="180"/>
      <c r="H306" s="180"/>
      <c r="I306" s="187"/>
      <c r="J306" s="180"/>
      <c r="K306" s="180"/>
      <c r="L306" s="188"/>
      <c r="M306" s="188"/>
      <c r="N306" s="188"/>
      <c r="O306" s="188"/>
      <c r="P306" s="189"/>
      <c r="Q306" s="188"/>
      <c r="R306" s="188"/>
      <c r="S306" s="188"/>
      <c r="T306" s="188"/>
      <c r="U306" s="189"/>
    </row>
    <row r="307" spans="1:21">
      <c r="A307" s="154">
        <f ca="1">OFFSET('ALRC Indiv Fund Summary (Print)'!BnkChgsFcltyChcIndvTrstFndAcct, 8, 1, 1, 1)</f>
        <v>0</v>
      </c>
      <c r="B307" s="425">
        <v>12</v>
      </c>
      <c r="C307" s="319">
        <f ca="1">IF(OFFSET('ALRC Indiv Fund Summary (Print)'!BnkChgsFcltyChcIndvTrstFndAcct, 8, 2, 1, 1) = DATE(1900,1,0),DATE(1900,1,1), OFFSET('ALRC Indiv Fund Summary (Print)'!BnkChgsFcltyChcIndvTrstFndAcct, 8, 2, 1, 1))</f>
        <v>1</v>
      </c>
      <c r="D307" s="155">
        <f ca="1">IF(OFFSET('ALRC Indiv Fund Summary (Print)'!BnkChgsFcltyChcIndvTrstFndAcct, 8, 3, 1, 1) = "", 0, OFFSET('ALRC Indiv Fund Summary (Print)'!BnkChgsFcltyChcIndvTrstFndAcct, 8, 3, 1, 1))</f>
        <v>0</v>
      </c>
      <c r="E307" s="319">
        <f ca="1">IF(OFFSET('ALRC Indiv Fund Summary (Print)'!BnkChgsFcltyChcIndvTrstFndAcct, 8, 4, 1, 1) = DATE(1900,1,0),DATE(1900,1,1), OFFSET('ALRC Indiv Fund Summary (Print)'!BnkChgsFcltyChcIndvTrstFndAcct, 8, 4, 1, 1))</f>
        <v>1</v>
      </c>
      <c r="F307" s="185">
        <f ca="1">IF(OFFSET('ALRC Indiv Fund Summary (Print)'!BnkChgsFcltyChcIndvTrstFndAcct, 8, 5, 1, 1) = "", 0, OFFSET('ALRC Indiv Fund Summary (Print)'!BnkChgsFcltyChcIndvTrstFndAcct, 8, 5, 1, 1))</f>
        <v>0</v>
      </c>
      <c r="G307" s="180"/>
      <c r="H307" s="180"/>
      <c r="I307" s="187"/>
      <c r="J307" s="180"/>
      <c r="K307" s="180"/>
      <c r="L307" s="188"/>
      <c r="M307" s="188"/>
      <c r="N307" s="188"/>
      <c r="O307" s="188"/>
      <c r="P307" s="189"/>
      <c r="Q307" s="188"/>
      <c r="R307" s="188"/>
      <c r="S307" s="188"/>
      <c r="T307" s="188"/>
      <c r="U307" s="189"/>
    </row>
    <row r="308" spans="1:21">
      <c r="A308" s="154">
        <f ca="1">OFFSET('ALRC Indiv Fund Summary (Print)'!BnkChgsFcltyChcIndvTrstFndAcct, 9, 1, 1, 1)</f>
        <v>0</v>
      </c>
      <c r="B308" s="425">
        <v>12</v>
      </c>
      <c r="C308" s="319">
        <f ca="1">IF(OFFSET('ALRC Indiv Fund Summary (Print)'!BnkChgsFcltyChcIndvTrstFndAcct, 9, 2, 1, 1) = DATE(1900,1,0),DATE(1900,1,1), OFFSET('ALRC Indiv Fund Summary (Print)'!BnkChgsFcltyChcIndvTrstFndAcct, 9, 2, 1, 1))</f>
        <v>1</v>
      </c>
      <c r="D308" s="155">
        <f ca="1">IF(OFFSET('ALRC Indiv Fund Summary (Print)'!BnkChgsFcltyChcIndvTrstFndAcct, 9, 3, 1, 1) = "", 0, OFFSET('ALRC Indiv Fund Summary (Print)'!BnkChgsFcltyChcIndvTrstFndAcct, 9, 3, 1, 1))</f>
        <v>0</v>
      </c>
      <c r="E308" s="319">
        <f ca="1">IF(OFFSET('ALRC Indiv Fund Summary (Print)'!BnkChgsFcltyChcIndvTrstFndAcct, 9, 4, 1, 1) = DATE(1900,1,0),DATE(1900,1,1), OFFSET('ALRC Indiv Fund Summary (Print)'!BnkChgsFcltyChcIndvTrstFndAcct, 9, 4, 1, 1))</f>
        <v>1</v>
      </c>
      <c r="F308" s="185">
        <f ca="1">IF(OFFSET('ALRC Indiv Fund Summary (Print)'!BnkChgsFcltyChcIndvTrstFndAcct, 9, 5, 1, 1) = "", 0, OFFSET('ALRC Indiv Fund Summary (Print)'!BnkChgsFcltyChcIndvTrstFndAcct, 9, 5, 1, 1))</f>
        <v>0</v>
      </c>
      <c r="G308" s="180"/>
      <c r="H308" s="180"/>
      <c r="I308" s="187"/>
      <c r="J308" s="180"/>
      <c r="K308" s="180"/>
      <c r="L308" s="188"/>
      <c r="M308" s="188"/>
      <c r="N308" s="188"/>
      <c r="O308" s="188"/>
      <c r="P308" s="189"/>
      <c r="Q308" s="188"/>
      <c r="R308" s="188"/>
      <c r="S308" s="188"/>
      <c r="T308" s="188"/>
      <c r="U308" s="189"/>
    </row>
    <row r="309" spans="1:21">
      <c r="A309" s="154">
        <f ca="1">OFFSET('ALRC Indiv Fund Summary (Print)'!BnkChgsFcltyChcIndvTrstFndAcct, 10, 1, 1, 1)</f>
        <v>0</v>
      </c>
      <c r="B309" s="425">
        <v>12</v>
      </c>
      <c r="C309" s="319">
        <f ca="1">IF(OFFSET('ALRC Indiv Fund Summary (Print)'!BnkChgsFcltyChcIndvTrstFndAcct, 10, 2, 1, 1) = DATE(1900,1,0),DATE(1900,1,1), OFFSET('ALRC Indiv Fund Summary (Print)'!BnkChgsFcltyChcIndvTrstFndAcct, 10, 2, 1, 1))</f>
        <v>1</v>
      </c>
      <c r="D309" s="155">
        <f ca="1">IF(OFFSET('ALRC Indiv Fund Summary (Print)'!BnkChgsFcltyChcIndvTrstFndAcct, 10, 3, 1, 1) = "", 0, OFFSET('ALRC Indiv Fund Summary (Print)'!BnkChgsFcltyChcIndvTrstFndAcct, 10, 3, 1, 1))</f>
        <v>0</v>
      </c>
      <c r="E309" s="319">
        <f ca="1">IF(OFFSET('ALRC Indiv Fund Summary (Print)'!BnkChgsFcltyChcIndvTrstFndAcct, 10, 4, 1, 1) = DATE(1900,1,0),DATE(1900,1,1), OFFSET('ALRC Indiv Fund Summary (Print)'!BnkChgsFcltyChcIndvTrstFndAcct, 10, 4, 1, 1))</f>
        <v>1</v>
      </c>
      <c r="F309" s="185">
        <f ca="1">IF(OFFSET('ALRC Indiv Fund Summary (Print)'!BnkChgsFcltyChcIndvTrstFndAcct, 10, 5, 1, 1) = "", 0, OFFSET('ALRC Indiv Fund Summary (Print)'!BnkChgsFcltyChcIndvTrstFndAcct, 10, 5, 1, 1))</f>
        <v>0</v>
      </c>
      <c r="G309" s="180"/>
      <c r="H309" s="180"/>
      <c r="I309" s="187"/>
      <c r="J309" s="180"/>
      <c r="K309" s="180"/>
      <c r="L309" s="188"/>
      <c r="M309" s="188"/>
      <c r="N309" s="188"/>
      <c r="O309" s="188"/>
      <c r="P309" s="189"/>
      <c r="Q309" s="188"/>
      <c r="R309" s="188"/>
      <c r="S309" s="188"/>
      <c r="T309" s="188"/>
      <c r="U309" s="189"/>
    </row>
    <row r="310" spans="1:21">
      <c r="A310" s="154">
        <f ca="1">OFFSET('ALRC Indiv Fund Summary (Print)'!BnkChgsFcltyChcIndvTrstFndAcct, 11, 1, 1, 1)</f>
        <v>0</v>
      </c>
      <c r="B310" s="425">
        <v>12</v>
      </c>
      <c r="C310" s="319">
        <f ca="1">IF(OFFSET('ALRC Indiv Fund Summary (Print)'!BnkChgsFcltyChcIndvTrstFndAcct, 11, 2, 1, 1) = DATE(1900,1,0),DATE(1900,1,1), OFFSET('ALRC Indiv Fund Summary (Print)'!BnkChgsFcltyChcIndvTrstFndAcct, 11, 2, 1, 1))</f>
        <v>1</v>
      </c>
      <c r="D310" s="155">
        <f ca="1">IF(OFFSET('ALRC Indiv Fund Summary (Print)'!BnkChgsFcltyChcIndvTrstFndAcct, 11, 3, 1, 1) = "", 0, OFFSET('ALRC Indiv Fund Summary (Print)'!BnkChgsFcltyChcIndvTrstFndAcct, 11, 3, 1, 1))</f>
        <v>0</v>
      </c>
      <c r="E310" s="319">
        <f ca="1">IF(OFFSET('ALRC Indiv Fund Summary (Print)'!BnkChgsFcltyChcIndvTrstFndAcct, 11, 4, 1, 1) = DATE(1900,1,0),DATE(1900,1,1), OFFSET('ALRC Indiv Fund Summary (Print)'!BnkChgsFcltyChcIndvTrstFndAcct, 11, 4, 1, 1))</f>
        <v>1</v>
      </c>
      <c r="F310" s="185">
        <f ca="1">IF(OFFSET('ALRC Indiv Fund Summary (Print)'!BnkChgsFcltyChcIndvTrstFndAcct, 11, 5, 1, 1) = "", 0, OFFSET('ALRC Indiv Fund Summary (Print)'!BnkChgsFcltyChcIndvTrstFndAcct, 11, 5, 1, 1))</f>
        <v>0</v>
      </c>
      <c r="G310" s="180"/>
      <c r="H310" s="180"/>
      <c r="I310" s="187"/>
      <c r="J310" s="180"/>
      <c r="K310" s="180"/>
      <c r="L310" s="188"/>
      <c r="M310" s="188"/>
      <c r="N310" s="188"/>
      <c r="O310" s="188"/>
      <c r="P310" s="189"/>
      <c r="Q310" s="188"/>
      <c r="R310" s="188"/>
      <c r="S310" s="188"/>
      <c r="T310" s="188"/>
      <c r="U310" s="189"/>
    </row>
    <row r="311" spans="1:21">
      <c r="A311" s="154">
        <f ca="1">OFFSET('ALRC Indiv Fund Summary (Print)'!BnkChgsFcltyChcIndvTrstFndAcct, 12, 1, 1, 1)</f>
        <v>0</v>
      </c>
      <c r="B311" s="425">
        <v>12</v>
      </c>
      <c r="C311" s="319">
        <f ca="1">IF(OFFSET('ALRC Indiv Fund Summary (Print)'!BnkChgsFcltyChcIndvTrstFndAcct, 12, 2, 1, 1) = DATE(1900,1,0),DATE(1900,1,1), OFFSET('ALRC Indiv Fund Summary (Print)'!BnkChgsFcltyChcIndvTrstFndAcct, 12, 2, 1, 1))</f>
        <v>1</v>
      </c>
      <c r="D311" s="155">
        <f ca="1">IF(OFFSET('ALRC Indiv Fund Summary (Print)'!BnkChgsFcltyChcIndvTrstFndAcct, 12, 3, 1, 1) = "", 0, OFFSET('ALRC Indiv Fund Summary (Print)'!BnkChgsFcltyChcIndvTrstFndAcct, 12, 3, 1, 1))</f>
        <v>0</v>
      </c>
      <c r="E311" s="319">
        <f ca="1">IF(OFFSET('ALRC Indiv Fund Summary (Print)'!BnkChgsFcltyChcIndvTrstFndAcct, 12, 4, 1, 1) = DATE(1900,1,0),DATE(1900,1,1), OFFSET('ALRC Indiv Fund Summary (Print)'!BnkChgsFcltyChcIndvTrstFndAcct, 12, 4, 1, 1))</f>
        <v>1</v>
      </c>
      <c r="F311" s="185">
        <f ca="1">IF(OFFSET('ALRC Indiv Fund Summary (Print)'!BnkChgsFcltyChcIndvTrstFndAcct, 12, 5, 1, 1) = "", 0, OFFSET('ALRC Indiv Fund Summary (Print)'!BnkChgsFcltyChcIndvTrstFndAcct, 12, 5, 1, 1))</f>
        <v>0</v>
      </c>
      <c r="G311" s="180"/>
      <c r="H311" s="180"/>
      <c r="I311" s="187"/>
      <c r="J311" s="180"/>
      <c r="K311" s="180"/>
      <c r="L311" s="188"/>
      <c r="M311" s="188"/>
      <c r="N311" s="188"/>
      <c r="O311" s="188"/>
      <c r="P311" s="189"/>
      <c r="Q311" s="188"/>
      <c r="R311" s="188"/>
      <c r="S311" s="188"/>
      <c r="T311" s="188"/>
      <c r="U311" s="189"/>
    </row>
    <row r="312" spans="1:21">
      <c r="A312" s="154">
        <f ca="1">OFFSET('ALRC Indiv Fund Summary (Print)'!BnkChgsFcltyChcIndvTrstFndAcct, 13, 1, 1, 1)</f>
        <v>0</v>
      </c>
      <c r="B312" s="425">
        <v>12</v>
      </c>
      <c r="C312" s="319">
        <f ca="1">IF(OFFSET('ALRC Indiv Fund Summary (Print)'!BnkChgsFcltyChcIndvTrstFndAcct, 13, 2, 1, 1) = DATE(1900,1,0),DATE(1900,1,1), OFFSET('ALRC Indiv Fund Summary (Print)'!BnkChgsFcltyChcIndvTrstFndAcct, 13, 2, 1, 1))</f>
        <v>1</v>
      </c>
      <c r="D312" s="155">
        <f ca="1">IF(OFFSET('ALRC Indiv Fund Summary (Print)'!BnkChgsFcltyChcIndvTrstFndAcct, 13, 3, 1, 1) = "", 0, OFFSET('ALRC Indiv Fund Summary (Print)'!BnkChgsFcltyChcIndvTrstFndAcct, 13, 3, 1, 1))</f>
        <v>0</v>
      </c>
      <c r="E312" s="319">
        <f ca="1">IF(OFFSET('ALRC Indiv Fund Summary (Print)'!BnkChgsFcltyChcIndvTrstFndAcct, 13, 4, 1, 1) = DATE(1900,1,0),DATE(1900,1,1), OFFSET('ALRC Indiv Fund Summary (Print)'!BnkChgsFcltyChcIndvTrstFndAcct, 13, 4, 1, 1))</f>
        <v>1</v>
      </c>
      <c r="F312" s="185">
        <f ca="1">IF(OFFSET('ALRC Indiv Fund Summary (Print)'!BnkChgsFcltyChcIndvTrstFndAcct, 13, 5, 1, 1) = "", 0, OFFSET('ALRC Indiv Fund Summary (Print)'!BnkChgsFcltyChcIndvTrstFndAcct, 13, 5, 1, 1))</f>
        <v>0</v>
      </c>
      <c r="G312" s="180"/>
      <c r="H312" s="180"/>
      <c r="I312" s="187"/>
      <c r="J312" s="180"/>
      <c r="K312" s="180"/>
      <c r="L312" s="188"/>
      <c r="M312" s="188"/>
      <c r="N312" s="188"/>
      <c r="O312" s="188"/>
      <c r="P312" s="189"/>
      <c r="Q312" s="188"/>
      <c r="R312" s="188"/>
      <c r="S312" s="188"/>
      <c r="T312" s="188"/>
      <c r="U312" s="189"/>
    </row>
    <row r="313" spans="1:21">
      <c r="A313" s="154">
        <f ca="1">OFFSET('ALRC Indiv Fund Summary (Print)'!BnkChgsFcltyChcIndvTrstFndAcct, 14, 1, 1, 1)</f>
        <v>0</v>
      </c>
      <c r="B313" s="425">
        <v>12</v>
      </c>
      <c r="C313" s="319">
        <f ca="1">IF(OFFSET('ALRC Indiv Fund Summary (Print)'!BnkChgsFcltyChcIndvTrstFndAcct, 14, 2, 1, 1) = DATE(1900,1,0),DATE(1900,1,1), OFFSET('ALRC Indiv Fund Summary (Print)'!BnkChgsFcltyChcIndvTrstFndAcct, 14, 2, 1, 1))</f>
        <v>1</v>
      </c>
      <c r="D313" s="155">
        <f ca="1">IF(OFFSET('ALRC Indiv Fund Summary (Print)'!BnkChgsFcltyChcIndvTrstFndAcct, 14, 3, 1, 1) = "", 0, OFFSET('ALRC Indiv Fund Summary (Print)'!BnkChgsFcltyChcIndvTrstFndAcct, 14, 3, 1, 1))</f>
        <v>0</v>
      </c>
      <c r="E313" s="319">
        <f ca="1">IF(OFFSET('ALRC Indiv Fund Summary (Print)'!BnkChgsFcltyChcIndvTrstFndAcct, 14, 4, 1, 1) = DATE(1900,1,0),DATE(1900,1,1), OFFSET('ALRC Indiv Fund Summary (Print)'!BnkChgsFcltyChcIndvTrstFndAcct, 14, 4, 1, 1))</f>
        <v>1</v>
      </c>
      <c r="F313" s="185">
        <f ca="1">IF(OFFSET('ALRC Indiv Fund Summary (Print)'!BnkChgsFcltyChcIndvTrstFndAcct, 14, 5, 1, 1) = "", 0, OFFSET('ALRC Indiv Fund Summary (Print)'!BnkChgsFcltyChcIndvTrstFndAcct, 14, 5, 1, 1))</f>
        <v>0</v>
      </c>
      <c r="G313" s="180"/>
      <c r="H313" s="180"/>
      <c r="I313" s="187"/>
      <c r="J313" s="180"/>
      <c r="K313" s="180"/>
      <c r="L313" s="188"/>
      <c r="M313" s="188"/>
      <c r="N313" s="188"/>
      <c r="O313" s="188"/>
      <c r="P313" s="189"/>
      <c r="Q313" s="188"/>
      <c r="R313" s="188"/>
      <c r="S313" s="188"/>
      <c r="T313" s="188"/>
      <c r="U313" s="189"/>
    </row>
    <row r="314" spans="1:21">
      <c r="A314" s="154">
        <f ca="1">OFFSET('ALRC Indiv Fund Summary (Print)'!BnkChgsFcltyChcIndvTrstFndAcct, 0, 7, 1, 1)</f>
        <v>0</v>
      </c>
      <c r="B314" s="425">
        <v>12</v>
      </c>
      <c r="C314" s="319">
        <f ca="1">IF(OFFSET('ALRC Indiv Fund Summary (Print)'!BnkChgsFcltyChcIndvTrstFndAcct, 0, 8, 1, 1) = DATE(1900,1,0),DATE(1900,1,1), OFFSET('ALRC Indiv Fund Summary (Print)'!BnkChgsFcltyChcIndvTrstFndAcct, 0, 8, 1, 1))</f>
        <v>1</v>
      </c>
      <c r="D314" s="155">
        <f ca="1">IF(OFFSET('ALRC Indiv Fund Summary (Print)'!BnkChgsFcltyChcIndvTrstFndAcct, 0, 9, 1, 1) = "", 0, OFFSET('ALRC Indiv Fund Summary (Print)'!BnkChgsFcltyChcIndvTrstFndAcct, 0, 9, 1, 1))</f>
        <v>0</v>
      </c>
      <c r="E314" s="319">
        <f ca="1">IF(OFFSET('ALRC Indiv Fund Summary (Print)'!BnkChgsFcltyChcIndvTrstFndAcct, 0, 10, 1, 1) = DATE(1900,1,0),DATE(1900,1,1), OFFSET('ALRC Indiv Fund Summary (Print)'!BnkChgsFcltyChcIndvTrstFndAcct, 0, 10, 1, 1))</f>
        <v>1</v>
      </c>
      <c r="F314" s="185">
        <f ca="1">IF(OFFSET('ALRC Indiv Fund Summary (Print)'!BnkChgsFcltyChcIndvTrstFndAcct, 0, 11, 1, 1) = "", 0, OFFSET('ALRC Indiv Fund Summary (Print)'!BnkChgsFcltyChcIndvTrstFndAcct, 0, 11, 1, 1))</f>
        <v>0</v>
      </c>
      <c r="G314" s="180"/>
      <c r="H314" s="180"/>
      <c r="I314" s="187"/>
      <c r="J314" s="180"/>
      <c r="K314" s="180"/>
      <c r="L314" s="188"/>
      <c r="M314" s="188"/>
      <c r="N314" s="188"/>
      <c r="O314" s="188"/>
      <c r="P314" s="189"/>
      <c r="Q314" s="188"/>
      <c r="R314" s="188"/>
      <c r="S314" s="188"/>
      <c r="T314" s="188"/>
      <c r="U314" s="189"/>
    </row>
    <row r="315" spans="1:21">
      <c r="A315" s="154">
        <f ca="1">OFFSET('ALRC Indiv Fund Summary (Print)'!BnkChgsFcltyChcIndvTrstFndAcct, 1, 7, 1, 1)</f>
        <v>0</v>
      </c>
      <c r="B315" s="425">
        <v>12</v>
      </c>
      <c r="C315" s="319">
        <f ca="1">IF(OFFSET('ALRC Indiv Fund Summary (Print)'!BnkChgsFcltyChcIndvTrstFndAcct, 1, 8, 1, 1) = DATE(1900,1,0),DATE(1900,1,1), OFFSET('ALRC Indiv Fund Summary (Print)'!BnkChgsFcltyChcIndvTrstFndAcct, 1, 8, 1, 1))</f>
        <v>1</v>
      </c>
      <c r="D315" s="155">
        <f ca="1">IF(OFFSET('ALRC Indiv Fund Summary (Print)'!BnkChgsFcltyChcIndvTrstFndAcct, 1, 9, 1, 1) = "", 0, OFFSET('ALRC Indiv Fund Summary (Print)'!BnkChgsFcltyChcIndvTrstFndAcct, 1, 9, 1, 1))</f>
        <v>0</v>
      </c>
      <c r="E315" s="319">
        <f ca="1">IF(OFFSET('ALRC Indiv Fund Summary (Print)'!BnkChgsFcltyChcIndvTrstFndAcct, 1, 10, 1, 1) = DATE(1900,1,0),DATE(1900,1,1), OFFSET('ALRC Indiv Fund Summary (Print)'!BnkChgsFcltyChcIndvTrstFndAcct, 1, 10, 1, 1))</f>
        <v>1</v>
      </c>
      <c r="F315" s="185">
        <f ca="1">IF(OFFSET('ALRC Indiv Fund Summary (Print)'!BnkChgsFcltyChcIndvTrstFndAcct, 1, 11, 1, 1) = "", 0, OFFSET('ALRC Indiv Fund Summary (Print)'!BnkChgsFcltyChcIndvTrstFndAcct, 1, 11, 1, 1))</f>
        <v>0</v>
      </c>
      <c r="G315" s="180"/>
      <c r="H315" s="180"/>
      <c r="I315" s="187"/>
      <c r="J315" s="180"/>
      <c r="K315" s="180"/>
      <c r="L315" s="188"/>
      <c r="M315" s="188"/>
      <c r="N315" s="188"/>
      <c r="O315" s="188"/>
      <c r="P315" s="189"/>
      <c r="Q315" s="188"/>
      <c r="R315" s="188"/>
      <c r="S315" s="188"/>
      <c r="T315" s="188"/>
      <c r="U315" s="189"/>
    </row>
    <row r="316" spans="1:21">
      <c r="A316" s="154">
        <f ca="1">OFFSET('ALRC Indiv Fund Summary (Print)'!BnkChgsFcltyChcIndvTrstFndAcct, 2, 7, 1, 1)</f>
        <v>0</v>
      </c>
      <c r="B316" s="425">
        <v>12</v>
      </c>
      <c r="C316" s="319">
        <f ca="1">IF(OFFSET('ALRC Indiv Fund Summary (Print)'!BnkChgsFcltyChcIndvTrstFndAcct, 2, 8, 1, 1) = DATE(1900,1,0),DATE(1900,1,1), OFFSET('ALRC Indiv Fund Summary (Print)'!BnkChgsFcltyChcIndvTrstFndAcct, 2, 8, 1, 1))</f>
        <v>1</v>
      </c>
      <c r="D316" s="155">
        <f ca="1">IF(OFFSET('ALRC Indiv Fund Summary (Print)'!BnkChgsFcltyChcIndvTrstFndAcct, 2, 9, 1, 1) = "", 0, OFFSET('ALRC Indiv Fund Summary (Print)'!BnkChgsFcltyChcIndvTrstFndAcct, 2, 9, 1, 1))</f>
        <v>0</v>
      </c>
      <c r="E316" s="319">
        <f ca="1">IF(OFFSET('ALRC Indiv Fund Summary (Print)'!BnkChgsFcltyChcIndvTrstFndAcct, 2, 10, 1, 1) = DATE(1900,1,0),DATE(1900,1,1), OFFSET('ALRC Indiv Fund Summary (Print)'!BnkChgsFcltyChcIndvTrstFndAcct, 2, 10, 1, 1))</f>
        <v>1</v>
      </c>
      <c r="F316" s="185">
        <f ca="1">IF(OFFSET('ALRC Indiv Fund Summary (Print)'!BnkChgsFcltyChcIndvTrstFndAcct, 2, 11, 1, 1) = "", 0, OFFSET('ALRC Indiv Fund Summary (Print)'!BnkChgsFcltyChcIndvTrstFndAcct, 2, 11, 1, 1))</f>
        <v>0</v>
      </c>
      <c r="G316" s="180"/>
      <c r="H316" s="180"/>
      <c r="I316" s="187"/>
      <c r="J316" s="180"/>
      <c r="K316" s="180"/>
      <c r="L316" s="188"/>
      <c r="M316" s="188"/>
      <c r="N316" s="188"/>
      <c r="O316" s="188"/>
      <c r="P316" s="189"/>
      <c r="Q316" s="188"/>
      <c r="R316" s="188"/>
      <c r="S316" s="188"/>
      <c r="T316" s="188"/>
      <c r="U316" s="189"/>
    </row>
    <row r="317" spans="1:21">
      <c r="A317" s="154">
        <f ca="1">OFFSET('ALRC Indiv Fund Summary (Print)'!BnkChgsFcltyChcIndvTrstFndAcct, 3, 7, 1, 1)</f>
        <v>0</v>
      </c>
      <c r="B317" s="425">
        <v>12</v>
      </c>
      <c r="C317" s="319">
        <f ca="1">IF(OFFSET('ALRC Indiv Fund Summary (Print)'!BnkChgsFcltyChcIndvTrstFndAcct, 3, 8, 1, 1) = DATE(1900,1,0),DATE(1900,1,1), OFFSET('ALRC Indiv Fund Summary (Print)'!BnkChgsFcltyChcIndvTrstFndAcct, 3, 8, 1, 1))</f>
        <v>1</v>
      </c>
      <c r="D317" s="155">
        <f ca="1">IF(OFFSET('ALRC Indiv Fund Summary (Print)'!BnkChgsFcltyChcIndvTrstFndAcct, 3, 9, 1, 1) = "", 0, OFFSET('ALRC Indiv Fund Summary (Print)'!BnkChgsFcltyChcIndvTrstFndAcct, 3, 9, 1, 1))</f>
        <v>0</v>
      </c>
      <c r="E317" s="319">
        <f ca="1">IF(OFFSET('ALRC Indiv Fund Summary (Print)'!BnkChgsFcltyChcIndvTrstFndAcct, 3, 10, 1, 1) = DATE(1900,1,0),DATE(1900,1,1), OFFSET('ALRC Indiv Fund Summary (Print)'!BnkChgsFcltyChcIndvTrstFndAcct, 3, 10, 1, 1))</f>
        <v>1</v>
      </c>
      <c r="F317" s="185">
        <f ca="1">IF(OFFSET('ALRC Indiv Fund Summary (Print)'!BnkChgsFcltyChcIndvTrstFndAcct, 3, 11, 1, 1) = "", 0, OFFSET('ALRC Indiv Fund Summary (Print)'!BnkChgsFcltyChcIndvTrstFndAcct, 3, 11, 1, 1))</f>
        <v>0</v>
      </c>
      <c r="G317" s="180"/>
      <c r="H317" s="180"/>
      <c r="I317" s="187"/>
      <c r="J317" s="180"/>
      <c r="K317" s="180"/>
      <c r="L317" s="188"/>
      <c r="M317" s="188"/>
      <c r="N317" s="188"/>
      <c r="O317" s="188"/>
      <c r="P317" s="189"/>
      <c r="Q317" s="188"/>
      <c r="R317" s="188"/>
      <c r="S317" s="188"/>
      <c r="T317" s="188"/>
      <c r="U317" s="189"/>
    </row>
    <row r="318" spans="1:21">
      <c r="A318" s="154">
        <f ca="1">OFFSET('ALRC Indiv Fund Summary (Print)'!BnkChgsFcltyChcIndvTrstFndAcct, 4, 7, 1, 1)</f>
        <v>0</v>
      </c>
      <c r="B318" s="425">
        <v>12</v>
      </c>
      <c r="C318" s="319">
        <f ca="1">IF(OFFSET('ALRC Indiv Fund Summary (Print)'!BnkChgsFcltyChcIndvTrstFndAcct, 4, 8, 1, 1) = DATE(1900,1,0),DATE(1900,1,1), OFFSET('ALRC Indiv Fund Summary (Print)'!BnkChgsFcltyChcIndvTrstFndAcct, 4, 8, 1, 1))</f>
        <v>1</v>
      </c>
      <c r="D318" s="155">
        <f ca="1">IF(OFFSET('ALRC Indiv Fund Summary (Print)'!BnkChgsFcltyChcIndvTrstFndAcct, 4, 9, 1, 1) = "", 0, OFFSET('ALRC Indiv Fund Summary (Print)'!BnkChgsFcltyChcIndvTrstFndAcct, 4, 9, 1, 1))</f>
        <v>0</v>
      </c>
      <c r="E318" s="319">
        <f ca="1">IF(OFFSET('ALRC Indiv Fund Summary (Print)'!BnkChgsFcltyChcIndvTrstFndAcct, 4, 10, 1, 1) = DATE(1900,1,0),DATE(1900,1,1), OFFSET('ALRC Indiv Fund Summary (Print)'!BnkChgsFcltyChcIndvTrstFndAcct, 4, 10, 1, 1))</f>
        <v>1</v>
      </c>
      <c r="F318" s="185">
        <f ca="1">IF(OFFSET('ALRC Indiv Fund Summary (Print)'!BnkChgsFcltyChcIndvTrstFndAcct, 4, 11, 1, 1) = "", 0, OFFSET('ALRC Indiv Fund Summary (Print)'!BnkChgsFcltyChcIndvTrstFndAcct, 4, 11, 1, 1))</f>
        <v>0</v>
      </c>
      <c r="G318" s="180"/>
      <c r="H318" s="180"/>
      <c r="I318" s="187"/>
      <c r="J318" s="180"/>
      <c r="K318" s="180"/>
      <c r="L318" s="188"/>
      <c r="M318" s="188"/>
      <c r="N318" s="188"/>
      <c r="O318" s="188"/>
      <c r="P318" s="189"/>
      <c r="Q318" s="188"/>
      <c r="R318" s="188"/>
      <c r="S318" s="188"/>
      <c r="T318" s="188"/>
      <c r="U318" s="189"/>
    </row>
    <row r="319" spans="1:21">
      <c r="A319" s="154">
        <f ca="1">OFFSET('ALRC Indiv Fund Summary (Print)'!BnkChgsFcltyChcIndvTrstFndAcct, 5, 7, 1, 1)</f>
        <v>0</v>
      </c>
      <c r="B319" s="425">
        <v>12</v>
      </c>
      <c r="C319" s="319">
        <f ca="1">IF(OFFSET('ALRC Indiv Fund Summary (Print)'!BnkChgsFcltyChcIndvTrstFndAcct, 5, 8, 1, 1) = DATE(1900,1,0),DATE(1900,1,1), OFFSET('ALRC Indiv Fund Summary (Print)'!BnkChgsFcltyChcIndvTrstFndAcct, 5, 8, 1, 1))</f>
        <v>1</v>
      </c>
      <c r="D319" s="155">
        <f ca="1">IF(OFFSET('ALRC Indiv Fund Summary (Print)'!BnkChgsFcltyChcIndvTrstFndAcct, 5, 9, 1, 1) = "", 0, OFFSET('ALRC Indiv Fund Summary (Print)'!BnkChgsFcltyChcIndvTrstFndAcct, 5, 9, 1, 1))</f>
        <v>0</v>
      </c>
      <c r="E319" s="319">
        <f ca="1">IF(OFFSET('ALRC Indiv Fund Summary (Print)'!BnkChgsFcltyChcIndvTrstFndAcct, 5, 10, 1, 1) = DATE(1900,1,0),DATE(1900,1,1), OFFSET('ALRC Indiv Fund Summary (Print)'!BnkChgsFcltyChcIndvTrstFndAcct, 5, 10, 1, 1))</f>
        <v>1</v>
      </c>
      <c r="F319" s="185">
        <f ca="1">IF(OFFSET('ALRC Indiv Fund Summary (Print)'!BnkChgsFcltyChcIndvTrstFndAcct, 5, 11, 1, 1) = "", 0, OFFSET('ALRC Indiv Fund Summary (Print)'!BnkChgsFcltyChcIndvTrstFndAcct, 5, 11, 1, 1))</f>
        <v>0</v>
      </c>
      <c r="G319" s="180"/>
      <c r="H319" s="180"/>
      <c r="I319" s="187"/>
      <c r="J319" s="180"/>
      <c r="K319" s="180"/>
      <c r="L319" s="188"/>
      <c r="M319" s="188"/>
      <c r="N319" s="188"/>
      <c r="O319" s="188"/>
      <c r="P319" s="189"/>
      <c r="Q319" s="188"/>
      <c r="R319" s="188"/>
      <c r="S319" s="188"/>
      <c r="T319" s="188"/>
      <c r="U319" s="189"/>
    </row>
    <row r="320" spans="1:21">
      <c r="A320" s="154">
        <f ca="1">OFFSET('ALRC Indiv Fund Summary (Print)'!BnkChgsFcltyChcIndvTrstFndAcct, 6, 7, 1, 1)</f>
        <v>0</v>
      </c>
      <c r="B320" s="425">
        <v>12</v>
      </c>
      <c r="C320" s="319">
        <f ca="1">IF(OFFSET('ALRC Indiv Fund Summary (Print)'!BnkChgsFcltyChcIndvTrstFndAcct, 6, 8, 1, 1) = DATE(1900,1,0),DATE(1900,1,1), OFFSET('ALRC Indiv Fund Summary (Print)'!BnkChgsFcltyChcIndvTrstFndAcct, 6, 8, 1, 1))</f>
        <v>1</v>
      </c>
      <c r="D320" s="155">
        <f ca="1">IF(OFFSET('ALRC Indiv Fund Summary (Print)'!BnkChgsFcltyChcIndvTrstFndAcct, 6, 9, 1, 1) = "", 0, OFFSET('ALRC Indiv Fund Summary (Print)'!BnkChgsFcltyChcIndvTrstFndAcct, 6, 9, 1, 1))</f>
        <v>0</v>
      </c>
      <c r="E320" s="319">
        <f ca="1">IF(OFFSET('ALRC Indiv Fund Summary (Print)'!BnkChgsFcltyChcIndvTrstFndAcct, 6, 10, 1, 1) = DATE(1900,1,0),DATE(1900,1,1), OFFSET('ALRC Indiv Fund Summary (Print)'!BnkChgsFcltyChcIndvTrstFndAcct, 6, 10, 1, 1))</f>
        <v>1</v>
      </c>
      <c r="F320" s="185">
        <f ca="1">IF(OFFSET('ALRC Indiv Fund Summary (Print)'!BnkChgsFcltyChcIndvTrstFndAcct, 6, 11, 1, 1) = "", 0, OFFSET('ALRC Indiv Fund Summary (Print)'!BnkChgsFcltyChcIndvTrstFndAcct, 6, 11, 1, 1))</f>
        <v>0</v>
      </c>
      <c r="G320" s="180"/>
      <c r="H320" s="180"/>
      <c r="I320" s="187"/>
      <c r="J320" s="180"/>
      <c r="K320" s="180"/>
      <c r="L320" s="188"/>
      <c r="M320" s="188"/>
      <c r="N320" s="188"/>
      <c r="O320" s="188"/>
      <c r="P320" s="189"/>
      <c r="Q320" s="188"/>
      <c r="R320" s="188"/>
      <c r="S320" s="188"/>
      <c r="T320" s="188"/>
      <c r="U320" s="189"/>
    </row>
    <row r="321" spans="1:21">
      <c r="A321" s="154">
        <f ca="1">OFFSET('ALRC Indiv Fund Summary (Print)'!BnkChgsFcltyChcIndvTrstFndAcct, 7, 7, 1, 1)</f>
        <v>0</v>
      </c>
      <c r="B321" s="425">
        <v>12</v>
      </c>
      <c r="C321" s="319">
        <f ca="1">IF(OFFSET('ALRC Indiv Fund Summary (Print)'!BnkChgsFcltyChcIndvTrstFndAcct, 7, 8, 1, 1) = DATE(1900,1,0),DATE(1900,1,1), OFFSET('ALRC Indiv Fund Summary (Print)'!BnkChgsFcltyChcIndvTrstFndAcct, 7, 8, 1, 1))</f>
        <v>1</v>
      </c>
      <c r="D321" s="155">
        <f ca="1">IF(OFFSET('ALRC Indiv Fund Summary (Print)'!BnkChgsFcltyChcIndvTrstFndAcct, 7, 9, 1, 1) = "", 0, OFFSET('ALRC Indiv Fund Summary (Print)'!BnkChgsFcltyChcIndvTrstFndAcct, 7, 9, 1, 1))</f>
        <v>0</v>
      </c>
      <c r="E321" s="319">
        <f ca="1">IF(OFFSET('ALRC Indiv Fund Summary (Print)'!BnkChgsFcltyChcIndvTrstFndAcct, 7, 10, 1, 1) = DATE(1900,1,0),DATE(1900,1,1), OFFSET('ALRC Indiv Fund Summary (Print)'!BnkChgsFcltyChcIndvTrstFndAcct, 7, 10, 1, 1))</f>
        <v>1</v>
      </c>
      <c r="F321" s="185">
        <f ca="1">IF(OFFSET('ALRC Indiv Fund Summary (Print)'!BnkChgsFcltyChcIndvTrstFndAcct, 7, 11, 1, 1) = "", 0, OFFSET('ALRC Indiv Fund Summary (Print)'!BnkChgsFcltyChcIndvTrstFndAcct, 7, 11, 1, 1))</f>
        <v>0</v>
      </c>
      <c r="G321" s="180"/>
      <c r="H321" s="180"/>
      <c r="I321" s="187"/>
      <c r="J321" s="180"/>
      <c r="K321" s="180"/>
      <c r="L321" s="188"/>
      <c r="M321" s="188"/>
      <c r="N321" s="188"/>
      <c r="O321" s="188"/>
      <c r="P321" s="189"/>
      <c r="Q321" s="188"/>
      <c r="R321" s="188"/>
      <c r="S321" s="188"/>
      <c r="T321" s="188"/>
      <c r="U321" s="189"/>
    </row>
    <row r="322" spans="1:21">
      <c r="A322" s="154">
        <f ca="1">OFFSET('ALRC Indiv Fund Summary (Print)'!BnkChgsFcltyChcIndvTrstFndAcct, 8, 7, 1, 1)</f>
        <v>0</v>
      </c>
      <c r="B322" s="425">
        <v>12</v>
      </c>
      <c r="C322" s="319">
        <f ca="1">IF(OFFSET('ALRC Indiv Fund Summary (Print)'!BnkChgsFcltyChcIndvTrstFndAcct, 8, 8, 1, 1) = DATE(1900,1,0),DATE(1900,1,1), OFFSET('ALRC Indiv Fund Summary (Print)'!BnkChgsFcltyChcIndvTrstFndAcct, 8, 8, 1, 1))</f>
        <v>1</v>
      </c>
      <c r="D322" s="155">
        <f ca="1">IF(OFFSET('ALRC Indiv Fund Summary (Print)'!BnkChgsFcltyChcIndvTrstFndAcct, 8, 9, 1, 1) = "", 0, OFFSET('ALRC Indiv Fund Summary (Print)'!BnkChgsFcltyChcIndvTrstFndAcct, 8, 9, 1, 1))</f>
        <v>0</v>
      </c>
      <c r="E322" s="319">
        <f ca="1">IF(OFFSET('ALRC Indiv Fund Summary (Print)'!BnkChgsFcltyChcIndvTrstFndAcct, 8, 10, 1, 1) = DATE(1900,1,0),DATE(1900,1,1), OFFSET('ALRC Indiv Fund Summary (Print)'!BnkChgsFcltyChcIndvTrstFndAcct, 8, 10, 1, 1))</f>
        <v>1</v>
      </c>
      <c r="F322" s="185">
        <f ca="1">IF(OFFSET('ALRC Indiv Fund Summary (Print)'!BnkChgsFcltyChcIndvTrstFndAcct, 8, 11, 1, 1) = "", 0, OFFSET('ALRC Indiv Fund Summary (Print)'!BnkChgsFcltyChcIndvTrstFndAcct, 8, 11, 1, 1))</f>
        <v>0</v>
      </c>
      <c r="G322" s="180"/>
      <c r="H322" s="180"/>
      <c r="I322" s="187"/>
      <c r="J322" s="180"/>
      <c r="K322" s="180"/>
      <c r="L322" s="188"/>
      <c r="M322" s="188"/>
      <c r="N322" s="188"/>
      <c r="O322" s="188"/>
      <c r="P322" s="189"/>
      <c r="Q322" s="188"/>
      <c r="R322" s="188"/>
      <c r="S322" s="188"/>
      <c r="T322" s="188"/>
      <c r="U322" s="189"/>
    </row>
    <row r="323" spans="1:21">
      <c r="A323" s="154">
        <f ca="1">OFFSET('ALRC Indiv Fund Summary (Print)'!BnkChgsFcltyChcIndvTrstFndAcct, 9, 7, 1, 1)</f>
        <v>0</v>
      </c>
      <c r="B323" s="425">
        <v>12</v>
      </c>
      <c r="C323" s="319">
        <f ca="1">IF(OFFSET('ALRC Indiv Fund Summary (Print)'!BnkChgsFcltyChcIndvTrstFndAcct, 9, 8, 1, 1) = DATE(1900,1,0),DATE(1900,1,1), OFFSET('ALRC Indiv Fund Summary (Print)'!BnkChgsFcltyChcIndvTrstFndAcct, 9, 8, 1, 1))</f>
        <v>1</v>
      </c>
      <c r="D323" s="155">
        <f ca="1">IF(OFFSET('ALRC Indiv Fund Summary (Print)'!BnkChgsFcltyChcIndvTrstFndAcct, 9, 9, 1, 1) = "", 0, OFFSET('ALRC Indiv Fund Summary (Print)'!BnkChgsFcltyChcIndvTrstFndAcct, 9, 9, 1, 1))</f>
        <v>0</v>
      </c>
      <c r="E323" s="319">
        <f ca="1">IF(OFFSET('ALRC Indiv Fund Summary (Print)'!BnkChgsFcltyChcIndvTrstFndAcct, 9, 10, 1, 1) = DATE(1900,1,0),DATE(1900,1,1), OFFSET('ALRC Indiv Fund Summary (Print)'!BnkChgsFcltyChcIndvTrstFndAcct, 9, 10, 1, 1))</f>
        <v>1</v>
      </c>
      <c r="F323" s="185">
        <f ca="1">IF(OFFSET('ALRC Indiv Fund Summary (Print)'!BnkChgsFcltyChcIndvTrstFndAcct, 9, 11, 1, 1) = "", 0, OFFSET('ALRC Indiv Fund Summary (Print)'!BnkChgsFcltyChcIndvTrstFndAcct, 9, 11, 1, 1))</f>
        <v>0</v>
      </c>
      <c r="G323" s="180"/>
      <c r="H323" s="180"/>
      <c r="I323" s="187"/>
      <c r="J323" s="180"/>
      <c r="K323" s="180"/>
      <c r="L323" s="188"/>
      <c r="M323" s="188"/>
      <c r="N323" s="188"/>
      <c r="O323" s="188"/>
      <c r="P323" s="189"/>
      <c r="Q323" s="188"/>
      <c r="R323" s="188"/>
      <c r="S323" s="188"/>
      <c r="T323" s="188"/>
      <c r="U323" s="189"/>
    </row>
    <row r="324" spans="1:21">
      <c r="A324" s="154">
        <f ca="1">OFFSET('ALRC Indiv Fund Summary (Print)'!BnkChgsFcltyChcIndvTrstFndAcct, 10, 7, 1, 1)</f>
        <v>0</v>
      </c>
      <c r="B324" s="425">
        <v>12</v>
      </c>
      <c r="C324" s="319">
        <f ca="1">IF(OFFSET('ALRC Indiv Fund Summary (Print)'!BnkChgsFcltyChcIndvTrstFndAcct, 10, 8, 1, 1) = DATE(1900,1,0),DATE(1900,1,1), OFFSET('ALRC Indiv Fund Summary (Print)'!BnkChgsFcltyChcIndvTrstFndAcct, 10, 8, 1, 1))</f>
        <v>1</v>
      </c>
      <c r="D324" s="155">
        <f ca="1">IF(OFFSET('ALRC Indiv Fund Summary (Print)'!BnkChgsFcltyChcIndvTrstFndAcct, 10, 9, 1, 1) = "", 0, OFFSET('ALRC Indiv Fund Summary (Print)'!BnkChgsFcltyChcIndvTrstFndAcct, 10, 9, 1, 1))</f>
        <v>0</v>
      </c>
      <c r="E324" s="319">
        <f ca="1">IF(OFFSET('ALRC Indiv Fund Summary (Print)'!BnkChgsFcltyChcIndvTrstFndAcct, 10, 10, 1, 1) = DATE(1900,1,0),DATE(1900,1,1), OFFSET('ALRC Indiv Fund Summary (Print)'!BnkChgsFcltyChcIndvTrstFndAcct, 10, 10, 1, 1))</f>
        <v>1</v>
      </c>
      <c r="F324" s="185">
        <f ca="1">IF(OFFSET('ALRC Indiv Fund Summary (Print)'!BnkChgsFcltyChcIndvTrstFndAcct, 10, 11, 1, 1) = "", 0, OFFSET('ALRC Indiv Fund Summary (Print)'!BnkChgsFcltyChcIndvTrstFndAcct, 10, 11, 1, 1))</f>
        <v>0</v>
      </c>
      <c r="G324" s="180"/>
      <c r="H324" s="180"/>
      <c r="I324" s="187"/>
      <c r="J324" s="180"/>
      <c r="K324" s="180"/>
      <c r="L324" s="188"/>
      <c r="M324" s="188"/>
      <c r="N324" s="188"/>
      <c r="O324" s="188"/>
      <c r="P324" s="189"/>
      <c r="Q324" s="188"/>
      <c r="R324" s="188"/>
      <c r="S324" s="188"/>
      <c r="T324" s="188"/>
      <c r="U324" s="189"/>
    </row>
    <row r="325" spans="1:21">
      <c r="A325" s="154">
        <f ca="1">OFFSET('ALRC Indiv Fund Summary (Print)'!BnkChgsFcltyChcIndvTrstFndAcct, 11, 7, 1, 1)</f>
        <v>0</v>
      </c>
      <c r="B325" s="425">
        <v>12</v>
      </c>
      <c r="C325" s="319">
        <f ca="1">IF(OFFSET('ALRC Indiv Fund Summary (Print)'!BnkChgsFcltyChcIndvTrstFndAcct, 11, 8, 1, 1) = DATE(1900,1,0),DATE(1900,1,1), OFFSET('ALRC Indiv Fund Summary (Print)'!BnkChgsFcltyChcIndvTrstFndAcct, 11, 8, 1, 1))</f>
        <v>1</v>
      </c>
      <c r="D325" s="155">
        <f ca="1">IF(OFFSET('ALRC Indiv Fund Summary (Print)'!BnkChgsFcltyChcIndvTrstFndAcct, 11, 9, 1, 1) = "", 0, OFFSET('ALRC Indiv Fund Summary (Print)'!BnkChgsFcltyChcIndvTrstFndAcct, 11, 9, 1, 1))</f>
        <v>0</v>
      </c>
      <c r="E325" s="319">
        <f ca="1">IF(OFFSET('ALRC Indiv Fund Summary (Print)'!BnkChgsFcltyChcIndvTrstFndAcct, 11, 10, 1, 1) = DATE(1900,1,0),DATE(1900,1,1), OFFSET('ALRC Indiv Fund Summary (Print)'!BnkChgsFcltyChcIndvTrstFndAcct, 11, 10, 1, 1))</f>
        <v>1</v>
      </c>
      <c r="F325" s="185">
        <f ca="1">IF(OFFSET('ALRC Indiv Fund Summary (Print)'!BnkChgsFcltyChcIndvTrstFndAcct, 11, 11, 1, 1) = "", 0, OFFSET('ALRC Indiv Fund Summary (Print)'!BnkChgsFcltyChcIndvTrstFndAcct, 11, 11, 1, 1))</f>
        <v>0</v>
      </c>
      <c r="G325" s="180"/>
      <c r="H325" s="180"/>
      <c r="I325" s="187"/>
      <c r="J325" s="180"/>
      <c r="K325" s="180"/>
      <c r="L325" s="188"/>
      <c r="M325" s="188"/>
      <c r="N325" s="188"/>
      <c r="O325" s="188"/>
      <c r="P325" s="189"/>
      <c r="Q325" s="188"/>
      <c r="R325" s="188"/>
      <c r="S325" s="188"/>
      <c r="T325" s="188"/>
      <c r="U325" s="189"/>
    </row>
    <row r="326" spans="1:21">
      <c r="A326" s="154">
        <f ca="1">OFFSET('ALRC Indiv Fund Summary (Print)'!BnkChgsFcltyChcIndvTrstFndAcct, 12, 7, 1, 1)</f>
        <v>0</v>
      </c>
      <c r="B326" s="425">
        <v>12</v>
      </c>
      <c r="C326" s="319">
        <f ca="1">IF(OFFSET('ALRC Indiv Fund Summary (Print)'!BnkChgsFcltyChcIndvTrstFndAcct, 12, 8, 1, 1) = DATE(1900,1,0),DATE(1900,1,1), OFFSET('ALRC Indiv Fund Summary (Print)'!BnkChgsFcltyChcIndvTrstFndAcct, 12, 8, 1, 1))</f>
        <v>1</v>
      </c>
      <c r="D326" s="155">
        <f ca="1">IF(OFFSET('ALRC Indiv Fund Summary (Print)'!BnkChgsFcltyChcIndvTrstFndAcct, 12, 9, 1, 1) = "", 0, OFFSET('ALRC Indiv Fund Summary (Print)'!BnkChgsFcltyChcIndvTrstFndAcct, 12, 9, 1, 1))</f>
        <v>0</v>
      </c>
      <c r="E326" s="319">
        <f ca="1">IF(OFFSET('ALRC Indiv Fund Summary (Print)'!BnkChgsFcltyChcIndvTrstFndAcct, 12, 10, 1, 1) = DATE(1900,1,0),DATE(1900,1,1), OFFSET('ALRC Indiv Fund Summary (Print)'!BnkChgsFcltyChcIndvTrstFndAcct, 12, 10, 1, 1))</f>
        <v>1</v>
      </c>
      <c r="F326" s="185">
        <f ca="1">IF(OFFSET('ALRC Indiv Fund Summary (Print)'!BnkChgsFcltyChcIndvTrstFndAcct, 12, 11, 1, 1) = "", 0, OFFSET('ALRC Indiv Fund Summary (Print)'!BnkChgsFcltyChcIndvTrstFndAcct, 12, 11, 1, 1))</f>
        <v>0</v>
      </c>
      <c r="G326" s="180"/>
      <c r="H326" s="180"/>
      <c r="I326" s="187"/>
      <c r="J326" s="180"/>
      <c r="K326" s="180"/>
      <c r="L326" s="188"/>
      <c r="M326" s="188"/>
      <c r="N326" s="188"/>
      <c r="O326" s="188"/>
      <c r="P326" s="189"/>
      <c r="Q326" s="188"/>
      <c r="R326" s="188"/>
      <c r="S326" s="188"/>
      <c r="T326" s="188"/>
      <c r="U326" s="189"/>
    </row>
    <row r="327" spans="1:21">
      <c r="A327" s="154">
        <f ca="1">OFFSET('ALRC Indiv Fund Summary (Print)'!BnkChgsFcltyChcIndvTrstFndAcct, 13, 7, 1, 1)</f>
        <v>0</v>
      </c>
      <c r="B327" s="425">
        <v>12</v>
      </c>
      <c r="C327" s="319">
        <f ca="1">IF(OFFSET('ALRC Indiv Fund Summary (Print)'!BnkChgsFcltyChcIndvTrstFndAcct, 13, 8, 1, 1) = DATE(1900,1,0),DATE(1900,1,1), OFFSET('ALRC Indiv Fund Summary (Print)'!BnkChgsFcltyChcIndvTrstFndAcct, 13, 8, 1, 1))</f>
        <v>1</v>
      </c>
      <c r="D327" s="155">
        <f ca="1">IF(OFFSET('ALRC Indiv Fund Summary (Print)'!BnkChgsFcltyChcIndvTrstFndAcct, 13, 9, 1, 1) = "", 0, OFFSET('ALRC Indiv Fund Summary (Print)'!BnkChgsFcltyChcIndvTrstFndAcct, 13, 9, 1, 1))</f>
        <v>0</v>
      </c>
      <c r="E327" s="319">
        <f ca="1">IF(OFFSET('ALRC Indiv Fund Summary (Print)'!BnkChgsFcltyChcIndvTrstFndAcct, 13, 10, 1, 1) = DATE(1900,1,0),DATE(1900,1,1), OFFSET('ALRC Indiv Fund Summary (Print)'!BnkChgsFcltyChcIndvTrstFndAcct, 13, 10, 1, 1))</f>
        <v>1</v>
      </c>
      <c r="F327" s="185">
        <f ca="1">IF(OFFSET('ALRC Indiv Fund Summary (Print)'!BnkChgsFcltyChcIndvTrstFndAcct, 13, 11, 1, 1) = "", 0, OFFSET('ALRC Indiv Fund Summary (Print)'!BnkChgsFcltyChcIndvTrstFndAcct, 13, 11, 1, 1))</f>
        <v>0</v>
      </c>
      <c r="G327" s="180"/>
      <c r="H327" s="180"/>
      <c r="I327" s="187"/>
      <c r="J327" s="180"/>
      <c r="K327" s="180"/>
      <c r="L327" s="188"/>
      <c r="M327" s="188"/>
      <c r="N327" s="188"/>
      <c r="O327" s="188"/>
      <c r="P327" s="189"/>
      <c r="Q327" s="188"/>
      <c r="R327" s="188"/>
      <c r="S327" s="188"/>
      <c r="T327" s="188"/>
      <c r="U327" s="189"/>
    </row>
    <row r="328" spans="1:21" ht="15" thickBot="1">
      <c r="A328" s="300">
        <f ca="1">OFFSET('ALRC Indiv Fund Summary (Print)'!BnkChgsFcltyChcIndvTrstFndAcct, 14, 7, 1, 1)</f>
        <v>0</v>
      </c>
      <c r="B328" s="152">
        <v>12</v>
      </c>
      <c r="C328" s="320">
        <f ca="1">IF(OFFSET('ALRC Indiv Fund Summary (Print)'!BnkChgsFcltyChcIndvTrstFndAcct, 14, 8, 1, 1) = DATE(1900,1,0),DATE(1900,1,1), OFFSET('ALRC Indiv Fund Summary (Print)'!BnkChgsFcltyChcIndvTrstFndAcct, 14, 8, 1, 1))</f>
        <v>1</v>
      </c>
      <c r="D328" s="174">
        <f ca="1">IF(OFFSET('ALRC Indiv Fund Summary (Print)'!BnkChgsFcltyChcIndvTrstFndAcct, 14, 9, 1, 1) = "", 0, OFFSET('ALRC Indiv Fund Summary (Print)'!BnkChgsFcltyChcIndvTrstFndAcct, 14, 9, 1, 1))</f>
        <v>0</v>
      </c>
      <c r="E328" s="320">
        <f ca="1">IF(OFFSET('ALRC Indiv Fund Summary (Print)'!BnkChgsFcltyChcIndvTrstFndAcct, 14, 10, 1, 1) = DATE(1900,1,0),DATE(1900,1,1), OFFSET('ALRC Indiv Fund Summary (Print)'!BnkChgsFcltyChcIndvTrstFndAcct, 14, 10, 1, 1))</f>
        <v>1</v>
      </c>
      <c r="F328" s="186">
        <f ca="1">IF(OFFSET('ALRC Indiv Fund Summary (Print)'!BnkChgsFcltyChcIndvTrstFndAcct, 14, 11, 1, 1) = "", 0, OFFSET('ALRC Indiv Fund Summary (Print)'!BnkChgsFcltyChcIndvTrstFndAcct, 14, 11, 1, 1))</f>
        <v>0</v>
      </c>
      <c r="G328" s="180"/>
      <c r="H328" s="180"/>
      <c r="I328" s="187"/>
      <c r="J328" s="180"/>
      <c r="K328" s="180"/>
      <c r="L328" s="188"/>
      <c r="M328" s="188"/>
      <c r="N328" s="188"/>
      <c r="O328" s="188"/>
      <c r="P328" s="189"/>
      <c r="Q328" s="188"/>
      <c r="R328" s="188"/>
      <c r="S328" s="188"/>
      <c r="T328" s="188"/>
      <c r="U328" s="189"/>
    </row>
    <row r="329" spans="1:21">
      <c r="A329" s="179"/>
      <c r="B329" s="180"/>
      <c r="C329" s="180"/>
      <c r="D329" s="180"/>
      <c r="E329" s="180"/>
      <c r="F329" s="180"/>
      <c r="G329" s="180"/>
      <c r="H329" s="180"/>
      <c r="I329" s="187"/>
      <c r="J329" s="180"/>
      <c r="K329" s="180"/>
      <c r="L329" s="188"/>
      <c r="M329" s="188"/>
      <c r="N329" s="188"/>
      <c r="O329" s="188"/>
      <c r="P329" s="189"/>
      <c r="Q329" s="188"/>
      <c r="R329" s="188"/>
      <c r="S329" s="188"/>
      <c r="T329" s="188"/>
      <c r="U329" s="189"/>
    </row>
    <row r="330" spans="1:21" ht="15" thickBot="1">
      <c r="A330" s="179" t="s">
        <v>1258</v>
      </c>
      <c r="B330" s="180"/>
      <c r="C330" s="180"/>
      <c r="D330" s="180"/>
      <c r="F330" s="180"/>
      <c r="G330" s="180"/>
      <c r="H330" s="180"/>
      <c r="I330" s="187"/>
      <c r="J330" s="180"/>
      <c r="K330" s="180"/>
      <c r="L330" s="188"/>
      <c r="M330" s="188"/>
      <c r="N330" s="188"/>
      <c r="O330" s="188"/>
      <c r="P330" s="189"/>
      <c r="Q330" s="188"/>
      <c r="R330" s="188"/>
      <c r="S330" s="188"/>
      <c r="T330" s="188"/>
      <c r="U330" s="189"/>
    </row>
    <row r="331" spans="1:21">
      <c r="A331" s="209" t="s">
        <v>1005</v>
      </c>
      <c r="B331" s="182" t="s">
        <v>1015</v>
      </c>
      <c r="C331" s="182" t="s">
        <v>1014</v>
      </c>
      <c r="D331" s="433" t="s">
        <v>1058</v>
      </c>
      <c r="E331" s="180"/>
      <c r="F331" s="180"/>
      <c r="G331" s="180"/>
      <c r="H331" s="180"/>
      <c r="I331" s="187"/>
      <c r="J331" s="180"/>
      <c r="K331" s="180"/>
      <c r="L331" s="188"/>
      <c r="M331" s="188"/>
      <c r="N331" s="188"/>
      <c r="O331" s="188"/>
      <c r="P331" s="189"/>
      <c r="Q331" s="188"/>
      <c r="R331" s="188"/>
      <c r="S331" s="188"/>
      <c r="T331" s="188"/>
      <c r="U331" s="189"/>
    </row>
    <row r="332" spans="1:21">
      <c r="A332" s="176">
        <v>13</v>
      </c>
      <c r="B332" s="157">
        <f ca="1">IF(OFFSET('ALRC Indiv Fund Summary (Print)'!DpstsPldTrstFndAcct, 0, 2, 1, 1) =DATE(1900,1,0),DATE(1900,1,1),OFFSET('ALRC Indiv Fund Summary (Print)'!DpstsPldTrstFndAcct, 0, 2, 1, 1))</f>
        <v>1</v>
      </c>
      <c r="C332" s="155">
        <f ca="1">IF(OFFSET('ALRC Indiv Fund Summary (Print)'!DpstsPldTrstFndAcct, 0, 3, 1, 1) = "", 0, OFFSET('ALRC Indiv Fund Summary (Print)'!DpstsPldTrstFndAcct, 0, 3, 1, 1))</f>
        <v>0</v>
      </c>
      <c r="D332" s="177">
        <f ca="1">OFFSET('ALRC Indiv Fund Summary (Print)'!DpstsPldTrstFndAcct, 0, 1, 1, 1)</f>
        <v>0</v>
      </c>
      <c r="F332" s="180"/>
      <c r="G332" s="180"/>
      <c r="H332" s="180"/>
      <c r="I332" s="187"/>
      <c r="J332" s="180"/>
      <c r="K332" s="180"/>
      <c r="L332" s="188"/>
      <c r="M332" s="188"/>
      <c r="N332" s="188"/>
      <c r="O332" s="188"/>
      <c r="P332" s="189"/>
      <c r="Q332" s="188"/>
      <c r="R332" s="188"/>
      <c r="S332" s="188"/>
      <c r="T332" s="188"/>
      <c r="U332" s="189"/>
    </row>
    <row r="333" spans="1:21">
      <c r="A333" s="176">
        <v>13</v>
      </c>
      <c r="B333" s="157">
        <f ca="1">IF(OFFSET('ALRC Indiv Fund Summary (Print)'!DpstsPldTrstFndAcct, 1, 2, 1, 1) =DATE(1900,1,0),DATE(1900,1,1),OFFSET('ALRC Indiv Fund Summary (Print)'!DpstsPldTrstFndAcct, 1, 2, 1, 1))</f>
        <v>1</v>
      </c>
      <c r="C333" s="155">
        <f ca="1">IF(OFFSET('ALRC Indiv Fund Summary (Print)'!DpstsPldTrstFndAcct, 1, 3, 1, 1) = "", 0, OFFSET('ALRC Indiv Fund Summary (Print)'!DpstsPldTrstFndAcct, 1, 3, 1, 1))</f>
        <v>0</v>
      </c>
      <c r="D333" s="177">
        <f ca="1">OFFSET('ALRC Indiv Fund Summary (Print)'!DpstsPldTrstFndAcct, 1, 1, 1, 1)</f>
        <v>0</v>
      </c>
      <c r="E333" s="180"/>
      <c r="F333" s="180"/>
      <c r="G333" s="180"/>
      <c r="H333" s="180"/>
      <c r="I333" s="187"/>
      <c r="J333" s="180"/>
      <c r="K333" s="180"/>
      <c r="L333" s="188"/>
      <c r="M333" s="188"/>
      <c r="N333" s="188"/>
      <c r="O333" s="188"/>
      <c r="P333" s="189"/>
      <c r="Q333" s="188"/>
      <c r="R333" s="188"/>
      <c r="S333" s="188"/>
      <c r="T333" s="188"/>
      <c r="U333" s="189"/>
    </row>
    <row r="334" spans="1:21">
      <c r="A334" s="176">
        <v>13</v>
      </c>
      <c r="B334" s="157">
        <f ca="1">IF(OFFSET('ALRC Indiv Fund Summary (Print)'!DpstsPldTrstFndAcct, 2, 2, 1, 1) =DATE(1900,1,0),DATE(1900,1,1),OFFSET('ALRC Indiv Fund Summary (Print)'!DpstsPldTrstFndAcct, 2, 2, 1, 1))</f>
        <v>1</v>
      </c>
      <c r="C334" s="155">
        <f ca="1">IF(OFFSET('ALRC Indiv Fund Summary (Print)'!DpstsPldTrstFndAcct, 2, 3, 1, 1) = "", 0, OFFSET('ALRC Indiv Fund Summary (Print)'!DpstsPldTrstFndAcct, 2, 3, 1, 1))</f>
        <v>0</v>
      </c>
      <c r="D334" s="177">
        <f ca="1">OFFSET('ALRC Indiv Fund Summary (Print)'!DpstsPldTrstFndAcct, 2, 1, 1, 1)</f>
        <v>0</v>
      </c>
      <c r="E334" s="180"/>
      <c r="F334" s="180"/>
      <c r="G334" s="180"/>
      <c r="H334" s="180"/>
      <c r="I334" s="187"/>
      <c r="J334" s="180"/>
      <c r="K334" s="180"/>
      <c r="L334" s="188"/>
      <c r="M334" s="188"/>
      <c r="N334" s="188"/>
      <c r="O334" s="188"/>
      <c r="P334" s="189"/>
      <c r="Q334" s="188"/>
      <c r="R334" s="188"/>
      <c r="S334" s="188"/>
      <c r="T334" s="188"/>
      <c r="U334" s="189"/>
    </row>
    <row r="335" spans="1:21">
      <c r="A335" s="176">
        <v>13</v>
      </c>
      <c r="B335" s="157">
        <f ca="1">IF(OFFSET('ALRC Indiv Fund Summary (Print)'!DpstsPldTrstFndAcct, 3, 2, 1, 1) =DATE(1900,1,0),DATE(1900,1,1),OFFSET('ALRC Indiv Fund Summary (Print)'!DpstsPldTrstFndAcct, 3, 2, 1, 1))</f>
        <v>1</v>
      </c>
      <c r="C335" s="155">
        <f ca="1">IF(OFFSET('ALRC Indiv Fund Summary (Print)'!DpstsPldTrstFndAcct, 3, 3, 1, 1) = "", 0, OFFSET('ALRC Indiv Fund Summary (Print)'!DpstsPldTrstFndAcct, 3, 3, 1, 1))</f>
        <v>0</v>
      </c>
      <c r="D335" s="177">
        <f ca="1">OFFSET('ALRC Indiv Fund Summary (Print)'!DpstsPldTrstFndAcct, 3, 1, 1, 1)</f>
        <v>0</v>
      </c>
      <c r="E335" s="180"/>
      <c r="F335" s="180"/>
      <c r="G335" s="180"/>
      <c r="H335" s="180"/>
      <c r="I335" s="187"/>
      <c r="J335" s="180"/>
      <c r="K335" s="180"/>
      <c r="L335" s="188"/>
      <c r="M335" s="188"/>
      <c r="N335" s="188"/>
      <c r="O335" s="188"/>
      <c r="P335" s="189"/>
      <c r="Q335" s="188"/>
      <c r="R335" s="188"/>
      <c r="S335" s="188"/>
      <c r="T335" s="188"/>
      <c r="U335" s="189"/>
    </row>
    <row r="336" spans="1:21">
      <c r="A336" s="176">
        <v>13</v>
      </c>
      <c r="B336" s="157">
        <f ca="1">IF(OFFSET('ALRC Indiv Fund Summary (Print)'!DpstsPldTrstFndAcct, 4, 2, 1, 1) =DATE(1900,1,0),DATE(1900,1,1),OFFSET('ALRC Indiv Fund Summary (Print)'!DpstsPldTrstFndAcct, 4, 2, 1, 1))</f>
        <v>1</v>
      </c>
      <c r="C336" s="155">
        <f ca="1">IF(OFFSET('ALRC Indiv Fund Summary (Print)'!DpstsPldTrstFndAcct, 4, 3, 1, 1) = "", 0, OFFSET('ALRC Indiv Fund Summary (Print)'!DpstsPldTrstFndAcct, 4, 3, 1, 1))</f>
        <v>0</v>
      </c>
      <c r="D336" s="177">
        <f ca="1">OFFSET('ALRC Indiv Fund Summary (Print)'!DpstsPldTrstFndAcct, 4, 1, 1, 1)</f>
        <v>0</v>
      </c>
      <c r="E336" s="180"/>
      <c r="F336" s="180"/>
      <c r="G336" s="180"/>
      <c r="H336" s="180"/>
      <c r="I336" s="187"/>
      <c r="J336" s="180"/>
      <c r="K336" s="180"/>
      <c r="L336" s="188"/>
      <c r="M336" s="188"/>
      <c r="N336" s="188"/>
      <c r="O336" s="188"/>
      <c r="P336" s="189"/>
      <c r="Q336" s="188"/>
      <c r="R336" s="188"/>
      <c r="S336" s="188"/>
      <c r="T336" s="188"/>
      <c r="U336" s="189"/>
    </row>
    <row r="337" spans="1:21">
      <c r="A337" s="176">
        <v>13</v>
      </c>
      <c r="B337" s="157">
        <f ca="1">IF(OFFSET('ALRC Indiv Fund Summary (Print)'!DpstsPldTrstFndAcct, 5, 2, 1, 1) =DATE(1900,1,0),DATE(1900,1,1),OFFSET('ALRC Indiv Fund Summary (Print)'!DpstsPldTrstFndAcct, 5, 2, 1, 1))</f>
        <v>1</v>
      </c>
      <c r="C337" s="155">
        <f ca="1">IF(OFFSET('ALRC Indiv Fund Summary (Print)'!DpstsPldTrstFndAcct, 5, 3, 1, 1) = "", 0, OFFSET('ALRC Indiv Fund Summary (Print)'!DpstsPldTrstFndAcct, 5, 3, 1, 1))</f>
        <v>0</v>
      </c>
      <c r="D337" s="177">
        <f ca="1">OFFSET('ALRC Indiv Fund Summary (Print)'!DpstsPldTrstFndAcct, 5, 1, 1, 1)</f>
        <v>0</v>
      </c>
      <c r="E337" s="180"/>
      <c r="F337" s="180"/>
      <c r="G337" s="180"/>
      <c r="H337" s="180"/>
      <c r="I337" s="187"/>
      <c r="J337" s="180"/>
      <c r="K337" s="180"/>
      <c r="L337" s="188"/>
      <c r="M337" s="188"/>
      <c r="N337" s="188"/>
      <c r="O337" s="188"/>
      <c r="P337" s="189"/>
      <c r="Q337" s="188"/>
      <c r="R337" s="188"/>
      <c r="S337" s="188"/>
      <c r="T337" s="188"/>
      <c r="U337" s="189"/>
    </row>
    <row r="338" spans="1:21">
      <c r="A338" s="176">
        <v>13</v>
      </c>
      <c r="B338" s="157">
        <f ca="1">IF(OFFSET('ALRC Indiv Fund Summary (Print)'!DpstsPldTrstFndAcct, 6, 2, 1, 1) =DATE(1900,1,0),DATE(1900,1,1),OFFSET('ALRC Indiv Fund Summary (Print)'!DpstsPldTrstFndAcct, 6, 2, 1, 1))</f>
        <v>1</v>
      </c>
      <c r="C338" s="155">
        <f ca="1">IF(OFFSET('ALRC Indiv Fund Summary (Print)'!DpstsPldTrstFndAcct, 6, 3, 1, 1) = "", 0, OFFSET('ALRC Indiv Fund Summary (Print)'!DpstsPldTrstFndAcct, 6, 3, 1, 1))</f>
        <v>0</v>
      </c>
      <c r="D338" s="177">
        <f ca="1">OFFSET('ALRC Indiv Fund Summary (Print)'!DpstsPldTrstFndAcct, 6, 1, 1, 1)</f>
        <v>0</v>
      </c>
      <c r="E338" s="180"/>
      <c r="F338" s="180"/>
      <c r="G338" s="180"/>
      <c r="H338" s="180"/>
      <c r="I338" s="187"/>
      <c r="J338" s="180"/>
      <c r="K338" s="180"/>
      <c r="L338" s="188"/>
      <c r="M338" s="188"/>
      <c r="N338" s="188"/>
      <c r="O338" s="188"/>
      <c r="P338" s="189"/>
      <c r="Q338" s="188"/>
      <c r="R338" s="188"/>
      <c r="S338" s="188"/>
      <c r="T338" s="188"/>
      <c r="U338" s="189"/>
    </row>
    <row r="339" spans="1:21">
      <c r="A339" s="176">
        <v>13</v>
      </c>
      <c r="B339" s="157">
        <f ca="1">IF(OFFSET('ALRC Indiv Fund Summary (Print)'!DpstsPldTrstFndAcct, 7, 2, 1, 1) =DATE(1900,1,0),DATE(1900,1,1),OFFSET('ALRC Indiv Fund Summary (Print)'!DpstsPldTrstFndAcct, 7, 2, 1, 1))</f>
        <v>1</v>
      </c>
      <c r="C339" s="155">
        <f ca="1">IF(OFFSET('ALRC Indiv Fund Summary (Print)'!DpstsPldTrstFndAcct, 7, 3, 1, 1) = "", 0, OFFSET('ALRC Indiv Fund Summary (Print)'!DpstsPldTrstFndAcct, 7, 3, 1, 1))</f>
        <v>0</v>
      </c>
      <c r="D339" s="177">
        <f ca="1">OFFSET('ALRC Indiv Fund Summary (Print)'!DpstsPldTrstFndAcct, 7, 1, 1, 1)</f>
        <v>0</v>
      </c>
      <c r="E339" s="180"/>
      <c r="F339" s="180"/>
      <c r="G339" s="180"/>
      <c r="H339" s="180"/>
      <c r="I339" s="187"/>
      <c r="J339" s="180"/>
      <c r="K339" s="180"/>
      <c r="L339" s="188"/>
      <c r="M339" s="188"/>
      <c r="N339" s="188"/>
      <c r="O339" s="188"/>
      <c r="P339" s="189"/>
      <c r="Q339" s="188"/>
      <c r="R339" s="188"/>
      <c r="S339" s="188"/>
      <c r="T339" s="188"/>
      <c r="U339" s="189"/>
    </row>
    <row r="340" spans="1:21">
      <c r="A340" s="176">
        <v>13</v>
      </c>
      <c r="B340" s="157">
        <f ca="1">IF(OFFSET('ALRC Indiv Fund Summary (Print)'!DpstsPldTrstFndAcct, 8, 2, 1, 1) =DATE(1900,1,0),DATE(1900,1,1),OFFSET('ALRC Indiv Fund Summary (Print)'!DpstsPldTrstFndAcct, 8, 2, 1, 1))</f>
        <v>1</v>
      </c>
      <c r="C340" s="155">
        <f ca="1">IF(OFFSET('ALRC Indiv Fund Summary (Print)'!DpstsPldTrstFndAcct, 8, 3, 1, 1) = "", 0, OFFSET('ALRC Indiv Fund Summary (Print)'!DpstsPldTrstFndAcct, 8, 3, 1, 1))</f>
        <v>0</v>
      </c>
      <c r="D340" s="177">
        <f ca="1">OFFSET('ALRC Indiv Fund Summary (Print)'!DpstsPldTrstFndAcct, 8, 1, 1, 1)</f>
        <v>0</v>
      </c>
      <c r="E340" s="180"/>
      <c r="F340" s="180"/>
      <c r="G340" s="180"/>
      <c r="H340" s="180"/>
      <c r="I340" s="187"/>
      <c r="J340" s="180"/>
      <c r="K340" s="180"/>
      <c r="L340" s="188"/>
      <c r="M340" s="188"/>
      <c r="N340" s="188"/>
      <c r="O340" s="188"/>
      <c r="P340" s="189"/>
      <c r="Q340" s="188"/>
      <c r="R340" s="188"/>
      <c r="S340" s="188"/>
      <c r="T340" s="188"/>
      <c r="U340" s="189"/>
    </row>
    <row r="341" spans="1:21">
      <c r="A341" s="176">
        <v>13</v>
      </c>
      <c r="B341" s="157">
        <f ca="1">IF(OFFSET('ALRC Indiv Fund Summary (Print)'!DpstsPldTrstFndAcct, 9, 2, 1, 1) =DATE(1900,1,0),DATE(1900,1,1),OFFSET('ALRC Indiv Fund Summary (Print)'!DpstsPldTrstFndAcct, 9, 2, 1, 1))</f>
        <v>1</v>
      </c>
      <c r="C341" s="155">
        <f ca="1">IF(OFFSET('ALRC Indiv Fund Summary (Print)'!DpstsPldTrstFndAcct, 9, 3, 1, 1) = "", 0, OFFSET('ALRC Indiv Fund Summary (Print)'!DpstsPldTrstFndAcct, 9, 3, 1, 1))</f>
        <v>0</v>
      </c>
      <c r="D341" s="177">
        <f ca="1">OFFSET('ALRC Indiv Fund Summary (Print)'!DpstsPldTrstFndAcct, 9, 1, 1, 1)</f>
        <v>0</v>
      </c>
      <c r="E341" s="180"/>
      <c r="F341" s="180"/>
      <c r="G341" s="180"/>
      <c r="H341" s="180"/>
      <c r="I341" s="187"/>
      <c r="J341" s="180"/>
      <c r="K341" s="180"/>
      <c r="L341" s="188"/>
      <c r="M341" s="188"/>
      <c r="N341" s="188"/>
      <c r="O341" s="188"/>
      <c r="P341" s="189"/>
      <c r="Q341" s="188"/>
      <c r="R341" s="188"/>
      <c r="S341" s="188"/>
      <c r="T341" s="188"/>
      <c r="U341" s="189"/>
    </row>
    <row r="342" spans="1:21">
      <c r="A342" s="176">
        <v>13</v>
      </c>
      <c r="B342" s="157">
        <f ca="1">IF(OFFSET('ALRC Indiv Fund Summary (Print)'!DpstsPldTrstFndAcct, 10, 2, 1, 1) =DATE(1900,1,0),DATE(1900,1,1),OFFSET('ALRC Indiv Fund Summary (Print)'!DpstsPldTrstFndAcct, 10, 2, 1, 1))</f>
        <v>1</v>
      </c>
      <c r="C342" s="155">
        <f ca="1">IF(OFFSET('ALRC Indiv Fund Summary (Print)'!DpstsPldTrstFndAcct, 10, 3, 1, 1) = "", 0, OFFSET('ALRC Indiv Fund Summary (Print)'!DpstsPldTrstFndAcct, 10, 3, 1, 1))</f>
        <v>0</v>
      </c>
      <c r="D342" s="177">
        <f ca="1">OFFSET('ALRC Indiv Fund Summary (Print)'!DpstsPldTrstFndAcct, 10, 1, 1, 1)</f>
        <v>0</v>
      </c>
      <c r="E342" s="180"/>
      <c r="F342" s="180"/>
      <c r="G342" s="180"/>
      <c r="H342" s="180"/>
      <c r="I342" s="187"/>
      <c r="J342" s="180"/>
      <c r="K342" s="180"/>
      <c r="L342" s="188"/>
      <c r="M342" s="188"/>
      <c r="N342" s="188"/>
      <c r="O342" s="188"/>
      <c r="P342" s="189"/>
      <c r="Q342" s="188"/>
      <c r="R342" s="188"/>
      <c r="S342" s="188"/>
      <c r="T342" s="188"/>
      <c r="U342" s="189"/>
    </row>
    <row r="343" spans="1:21">
      <c r="A343" s="176">
        <v>13</v>
      </c>
      <c r="B343" s="157">
        <f ca="1">IF(OFFSET('ALRC Indiv Fund Summary (Print)'!DpstsPldTrstFndAcct, 11, 2, 1, 1) =DATE(1900,1,0),DATE(1900,1,1),OFFSET('ALRC Indiv Fund Summary (Print)'!DpstsPldTrstFndAcct, 11, 2, 1, 1))</f>
        <v>1</v>
      </c>
      <c r="C343" s="155">
        <f ca="1">IF(OFFSET('ALRC Indiv Fund Summary (Print)'!DpstsPldTrstFndAcct, 11, 3, 1, 1) = "", 0, OFFSET('ALRC Indiv Fund Summary (Print)'!DpstsPldTrstFndAcct, 11, 3, 1, 1))</f>
        <v>0</v>
      </c>
      <c r="D343" s="177">
        <f ca="1">OFFSET('ALRC Indiv Fund Summary (Print)'!DpstsPldTrstFndAcct, 11, 1, 1, 1)</f>
        <v>0</v>
      </c>
      <c r="E343" s="180"/>
      <c r="F343" s="180"/>
      <c r="G343" s="180"/>
      <c r="H343" s="180"/>
      <c r="I343" s="187"/>
      <c r="J343" s="180"/>
      <c r="K343" s="180"/>
      <c r="L343" s="188"/>
      <c r="M343" s="188"/>
      <c r="N343" s="188"/>
      <c r="O343" s="188"/>
      <c r="P343" s="189"/>
      <c r="Q343" s="188"/>
      <c r="R343" s="188"/>
      <c r="S343" s="188"/>
      <c r="T343" s="188"/>
      <c r="U343" s="189"/>
    </row>
    <row r="344" spans="1:21">
      <c r="A344" s="176">
        <v>13</v>
      </c>
      <c r="B344" s="157">
        <f ca="1">IF(OFFSET('ALRC Indiv Fund Summary (Print)'!DpstsPldTrstFndAcct, 12, 2, 1, 1) =DATE(1900,1,0),DATE(1900,1,1),OFFSET('ALRC Indiv Fund Summary (Print)'!DpstsPldTrstFndAcct, 12, 2, 1, 1))</f>
        <v>1</v>
      </c>
      <c r="C344" s="155">
        <f ca="1">IF(OFFSET('ALRC Indiv Fund Summary (Print)'!DpstsPldTrstFndAcct, 12, 3, 1, 1) = "", 0, OFFSET('ALRC Indiv Fund Summary (Print)'!DpstsPldTrstFndAcct, 12, 3, 1, 1))</f>
        <v>0</v>
      </c>
      <c r="D344" s="177">
        <f ca="1">OFFSET('ALRC Indiv Fund Summary (Print)'!DpstsPldTrstFndAcct, 12, 1, 1, 1)</f>
        <v>0</v>
      </c>
      <c r="E344" s="180"/>
      <c r="F344" s="180"/>
      <c r="G344" s="180"/>
      <c r="H344" s="180"/>
      <c r="I344" s="187"/>
      <c r="J344" s="180"/>
      <c r="K344" s="180"/>
      <c r="L344" s="188"/>
      <c r="M344" s="188"/>
      <c r="N344" s="188"/>
      <c r="O344" s="188"/>
      <c r="P344" s="189"/>
      <c r="Q344" s="188"/>
      <c r="R344" s="188"/>
      <c r="S344" s="188"/>
      <c r="T344" s="188"/>
      <c r="U344" s="189"/>
    </row>
    <row r="345" spans="1:21">
      <c r="A345" s="176">
        <v>13</v>
      </c>
      <c r="B345" s="157">
        <f ca="1">IF(OFFSET('ALRC Indiv Fund Summary (Print)'!DpstsPldTrstFndAcct, 13, 2, 1, 1) =DATE(1900,1,0),DATE(1900,1,1),OFFSET('ALRC Indiv Fund Summary (Print)'!DpstsPldTrstFndAcct, 13, 2, 1, 1))</f>
        <v>1</v>
      </c>
      <c r="C345" s="155">
        <f ca="1">IF(OFFSET('ALRC Indiv Fund Summary (Print)'!DpstsPldTrstFndAcct, 13, 3, 1, 1) = "", 0, OFFSET('ALRC Indiv Fund Summary (Print)'!DpstsPldTrstFndAcct, 13, 3, 1, 1))</f>
        <v>0</v>
      </c>
      <c r="D345" s="177">
        <f ca="1">OFFSET('ALRC Indiv Fund Summary (Print)'!DpstsPldTrstFndAcct, 13, 1, 1, 1)</f>
        <v>0</v>
      </c>
      <c r="E345" s="180"/>
      <c r="F345" s="180"/>
      <c r="G345" s="180"/>
      <c r="H345" s="180"/>
      <c r="I345" s="187"/>
      <c r="J345" s="180"/>
      <c r="K345" s="180"/>
      <c r="L345" s="188"/>
      <c r="M345" s="188"/>
      <c r="N345" s="188"/>
      <c r="O345" s="188"/>
      <c r="P345" s="189"/>
      <c r="Q345" s="188"/>
      <c r="R345" s="188"/>
      <c r="S345" s="188"/>
      <c r="T345" s="188"/>
      <c r="U345" s="189"/>
    </row>
    <row r="346" spans="1:21">
      <c r="A346" s="176">
        <v>13</v>
      </c>
      <c r="B346" s="157">
        <f ca="1">IF(OFFSET('ALRC Indiv Fund Summary (Print)'!DpstsPldTrstFndAcct, 14, 2, 1, 1) =DATE(1900,1,0),DATE(1900,1,1),OFFSET('ALRC Indiv Fund Summary (Print)'!DpstsPldTrstFndAcct, 14, 2, 1, 1))</f>
        <v>1</v>
      </c>
      <c r="C346" s="155">
        <f ca="1">IF(OFFSET('ALRC Indiv Fund Summary (Print)'!DpstsPldTrstFndAcct, 14, 3, 1, 1) = "", 0, OFFSET('ALRC Indiv Fund Summary (Print)'!DpstsPldTrstFndAcct, 14, 3, 1, 1))</f>
        <v>0</v>
      </c>
      <c r="D346" s="177">
        <f ca="1">OFFSET('ALRC Indiv Fund Summary (Print)'!DpstsPldTrstFndAcct, 14, 1, 1, 1)</f>
        <v>0</v>
      </c>
      <c r="E346" s="180"/>
      <c r="F346" s="180"/>
      <c r="G346" s="180"/>
      <c r="H346" s="180"/>
      <c r="I346" s="187"/>
      <c r="J346" s="180"/>
      <c r="K346" s="180"/>
      <c r="L346" s="188"/>
      <c r="M346" s="188"/>
      <c r="N346" s="188"/>
      <c r="O346" s="188"/>
      <c r="P346" s="189"/>
      <c r="Q346" s="188"/>
      <c r="R346" s="188"/>
      <c r="S346" s="188"/>
      <c r="T346" s="188"/>
      <c r="U346" s="189"/>
    </row>
    <row r="347" spans="1:21">
      <c r="A347" s="176">
        <v>13</v>
      </c>
      <c r="B347" s="157">
        <f ca="1">IF(OFFSET('ALRC Indiv Fund Summary (Print)'!DpstsPldTrstFndAcct, 0, 7, 1, 1) =DATE(1900,1,0),DATE(1900,1,1),OFFSET('ALRC Indiv Fund Summary (Print)'!DpstsPldTrstFndAcct, 0, 7, 1, 1))</f>
        <v>1</v>
      </c>
      <c r="C347" s="155">
        <f ca="1">IF(OFFSET('ALRC Indiv Fund Summary (Print)'!DpstsPldTrstFndAcct, 0, 8, 1, 1) = "", 0, OFFSET('ALRC Indiv Fund Summary (Print)'!DpstsPldTrstFndAcct, 0, 8, 1, 1))</f>
        <v>0</v>
      </c>
      <c r="D347" s="177">
        <f ca="1">OFFSET('ALRC Indiv Fund Summary (Print)'!DpstsPldTrstFndAcct, 0, 6, 1, 1)</f>
        <v>0</v>
      </c>
      <c r="E347" s="180"/>
      <c r="F347" s="180"/>
      <c r="G347" s="180"/>
      <c r="H347" s="180"/>
      <c r="I347" s="187"/>
      <c r="J347" s="180"/>
      <c r="K347" s="180"/>
      <c r="L347" s="188"/>
      <c r="M347" s="188"/>
      <c r="N347" s="188"/>
      <c r="O347" s="188"/>
      <c r="P347" s="189"/>
      <c r="Q347" s="188"/>
      <c r="R347" s="188"/>
      <c r="S347" s="188"/>
      <c r="T347" s="188"/>
      <c r="U347" s="189"/>
    </row>
    <row r="348" spans="1:21">
      <c r="A348" s="176">
        <v>13</v>
      </c>
      <c r="B348" s="157">
        <f ca="1">IF(OFFSET('ALRC Indiv Fund Summary (Print)'!DpstsPldTrstFndAcct, 1, 7, 1, 1) =DATE(1900,1,0),DATE(1900,1,1),OFFSET('ALRC Indiv Fund Summary (Print)'!DpstsPldTrstFndAcct, 1, 7, 1, 1))</f>
        <v>1</v>
      </c>
      <c r="C348" s="155">
        <f ca="1">IF(OFFSET('ALRC Indiv Fund Summary (Print)'!DpstsPldTrstFndAcct, 1, 8, 1, 1) = "", 0, OFFSET('ALRC Indiv Fund Summary (Print)'!DpstsPldTrstFndAcct, 1, 8, 1, 1))</f>
        <v>0</v>
      </c>
      <c r="D348" s="177">
        <f ca="1">OFFSET('ALRC Indiv Fund Summary (Print)'!DpstsPldTrstFndAcct, 1, 6, 1, 1)</f>
        <v>0</v>
      </c>
      <c r="E348" s="180"/>
      <c r="F348" s="180"/>
      <c r="G348" s="180"/>
      <c r="H348" s="180"/>
      <c r="I348" s="187"/>
      <c r="J348" s="180"/>
      <c r="K348" s="180"/>
      <c r="L348" s="188"/>
      <c r="M348" s="188"/>
      <c r="N348" s="188"/>
      <c r="O348" s="188"/>
      <c r="P348" s="189"/>
      <c r="Q348" s="188"/>
      <c r="R348" s="188"/>
      <c r="S348" s="188"/>
      <c r="T348" s="188"/>
      <c r="U348" s="189"/>
    </row>
    <row r="349" spans="1:21">
      <c r="A349" s="176">
        <v>13</v>
      </c>
      <c r="B349" s="157">
        <f ca="1">IF(OFFSET('ALRC Indiv Fund Summary (Print)'!DpstsPldTrstFndAcct, 2, 7, 1, 1) =DATE(1900,1,0),DATE(1900,1,1),OFFSET('ALRC Indiv Fund Summary (Print)'!DpstsPldTrstFndAcct, 2, 7, 1, 1))</f>
        <v>1</v>
      </c>
      <c r="C349" s="155">
        <f ca="1">IF(OFFSET('ALRC Indiv Fund Summary (Print)'!DpstsPldTrstFndAcct, 2, 8, 1, 1) = "", 0, OFFSET('ALRC Indiv Fund Summary (Print)'!DpstsPldTrstFndAcct, 2, 8, 1, 1))</f>
        <v>0</v>
      </c>
      <c r="D349" s="177">
        <f ca="1">OFFSET('ALRC Indiv Fund Summary (Print)'!DpstsPldTrstFndAcct, 2, 6, 1, 1)</f>
        <v>0</v>
      </c>
      <c r="E349" s="180"/>
      <c r="F349" s="180"/>
      <c r="G349" s="180"/>
      <c r="H349" s="180"/>
      <c r="I349" s="187"/>
      <c r="J349" s="180"/>
      <c r="K349" s="180"/>
      <c r="L349" s="188"/>
      <c r="M349" s="188"/>
      <c r="N349" s="188"/>
      <c r="O349" s="188"/>
      <c r="P349" s="189"/>
      <c r="Q349" s="188"/>
      <c r="R349" s="188"/>
      <c r="S349" s="188"/>
      <c r="T349" s="188"/>
      <c r="U349" s="189"/>
    </row>
    <row r="350" spans="1:21">
      <c r="A350" s="176">
        <v>13</v>
      </c>
      <c r="B350" s="157">
        <f ca="1">IF(OFFSET('ALRC Indiv Fund Summary (Print)'!DpstsPldTrstFndAcct, 3, 7, 1, 1) =DATE(1900,1,0),DATE(1900,1,1),OFFSET('ALRC Indiv Fund Summary (Print)'!DpstsPldTrstFndAcct, 3, 7, 1, 1))</f>
        <v>1</v>
      </c>
      <c r="C350" s="155">
        <f ca="1">IF(OFFSET('ALRC Indiv Fund Summary (Print)'!DpstsPldTrstFndAcct, 3, 8, 1, 1) = "", 0, OFFSET('ALRC Indiv Fund Summary (Print)'!DpstsPldTrstFndAcct, 3, 8, 1, 1))</f>
        <v>0</v>
      </c>
      <c r="D350" s="177">
        <f ca="1">OFFSET('ALRC Indiv Fund Summary (Print)'!DpstsPldTrstFndAcct, 3, 6, 1, 1)</f>
        <v>0</v>
      </c>
      <c r="E350" s="180"/>
      <c r="F350" s="180"/>
      <c r="G350" s="180"/>
      <c r="H350" s="180"/>
      <c r="I350" s="187"/>
      <c r="J350" s="180"/>
      <c r="K350" s="180"/>
      <c r="L350" s="188"/>
      <c r="M350" s="188"/>
      <c r="N350" s="188"/>
      <c r="O350" s="188"/>
      <c r="P350" s="189"/>
      <c r="Q350" s="188"/>
      <c r="R350" s="188"/>
      <c r="S350" s="188"/>
      <c r="T350" s="188"/>
      <c r="U350" s="189"/>
    </row>
    <row r="351" spans="1:21">
      <c r="A351" s="176">
        <v>13</v>
      </c>
      <c r="B351" s="157">
        <f ca="1">IF(OFFSET('ALRC Indiv Fund Summary (Print)'!DpstsPldTrstFndAcct, 4, 7, 1, 1) =DATE(1900,1,0),DATE(1900,1,1),OFFSET('ALRC Indiv Fund Summary (Print)'!DpstsPldTrstFndAcct, 4, 7, 1, 1))</f>
        <v>1</v>
      </c>
      <c r="C351" s="155">
        <f ca="1">IF(OFFSET('ALRC Indiv Fund Summary (Print)'!DpstsPldTrstFndAcct, 4, 8, 1, 1) = "", 0, OFFSET('ALRC Indiv Fund Summary (Print)'!DpstsPldTrstFndAcct, 4, 8, 1, 1))</f>
        <v>0</v>
      </c>
      <c r="D351" s="177">
        <f ca="1">OFFSET('ALRC Indiv Fund Summary (Print)'!DpstsPldTrstFndAcct, 4, 6, 1, 1)</f>
        <v>0</v>
      </c>
      <c r="E351" s="180"/>
      <c r="F351" s="180"/>
      <c r="G351" s="180"/>
      <c r="H351" s="180"/>
      <c r="I351" s="187"/>
      <c r="J351" s="180"/>
      <c r="K351" s="180"/>
      <c r="L351" s="188"/>
      <c r="M351" s="188"/>
      <c r="N351" s="188"/>
      <c r="O351" s="188"/>
      <c r="P351" s="189"/>
      <c r="Q351" s="188"/>
      <c r="R351" s="188"/>
      <c r="S351" s="188"/>
      <c r="T351" s="188"/>
      <c r="U351" s="189"/>
    </row>
    <row r="352" spans="1:21">
      <c r="A352" s="176">
        <v>13</v>
      </c>
      <c r="B352" s="157">
        <f ca="1">IF(OFFSET('ALRC Indiv Fund Summary (Print)'!DpstsPldTrstFndAcct, 5, 7, 1, 1) =DATE(1900,1,0),DATE(1900,1,1),OFFSET('ALRC Indiv Fund Summary (Print)'!DpstsPldTrstFndAcct, 5, 7, 1, 1))</f>
        <v>1</v>
      </c>
      <c r="C352" s="155">
        <f ca="1">IF(OFFSET('ALRC Indiv Fund Summary (Print)'!DpstsPldTrstFndAcct, 5, 8, 1, 1) = "", 0, OFFSET('ALRC Indiv Fund Summary (Print)'!DpstsPldTrstFndAcct, 5, 8, 1, 1))</f>
        <v>0</v>
      </c>
      <c r="D352" s="177">
        <f ca="1">OFFSET('ALRC Indiv Fund Summary (Print)'!DpstsPldTrstFndAcct, 5, 6, 1, 1)</f>
        <v>0</v>
      </c>
      <c r="E352" s="180"/>
      <c r="F352" s="180"/>
      <c r="G352" s="180"/>
      <c r="H352" s="180"/>
      <c r="I352" s="187"/>
      <c r="J352" s="180"/>
      <c r="K352" s="180"/>
      <c r="L352" s="188"/>
      <c r="M352" s="188"/>
      <c r="N352" s="188"/>
      <c r="O352" s="188"/>
      <c r="P352" s="189"/>
      <c r="Q352" s="188"/>
      <c r="R352" s="188"/>
      <c r="S352" s="188"/>
      <c r="T352" s="188"/>
      <c r="U352" s="189"/>
    </row>
    <row r="353" spans="1:21">
      <c r="A353" s="176">
        <v>13</v>
      </c>
      <c r="B353" s="157">
        <f ca="1">IF(OFFSET('ALRC Indiv Fund Summary (Print)'!DpstsPldTrstFndAcct, 6, 7, 1, 1) =DATE(1900,1,0),DATE(1900,1,1),OFFSET('ALRC Indiv Fund Summary (Print)'!DpstsPldTrstFndAcct, 6, 7, 1, 1))</f>
        <v>1</v>
      </c>
      <c r="C353" s="155">
        <f ca="1">IF(OFFSET('ALRC Indiv Fund Summary (Print)'!DpstsPldTrstFndAcct, 6, 8, 1, 1) = "", 0, OFFSET('ALRC Indiv Fund Summary (Print)'!DpstsPldTrstFndAcct, 6, 8, 1, 1))</f>
        <v>0</v>
      </c>
      <c r="D353" s="177">
        <f ca="1">OFFSET('ALRC Indiv Fund Summary (Print)'!DpstsPldTrstFndAcct, 6, 6, 1, 1)</f>
        <v>0</v>
      </c>
      <c r="E353" s="180"/>
      <c r="F353" s="180"/>
      <c r="G353" s="180"/>
      <c r="H353" s="180"/>
      <c r="I353" s="187"/>
      <c r="J353" s="180"/>
      <c r="K353" s="180"/>
      <c r="L353" s="188"/>
      <c r="M353" s="188"/>
      <c r="N353" s="188"/>
      <c r="O353" s="188"/>
      <c r="P353" s="189"/>
      <c r="Q353" s="188"/>
      <c r="R353" s="188"/>
      <c r="S353" s="188"/>
      <c r="T353" s="188"/>
      <c r="U353" s="189"/>
    </row>
    <row r="354" spans="1:21">
      <c r="A354" s="176">
        <v>13</v>
      </c>
      <c r="B354" s="157">
        <f ca="1">IF(OFFSET('ALRC Indiv Fund Summary (Print)'!DpstsPldTrstFndAcct, 7, 7, 1, 1) =DATE(1900,1,0),DATE(1900,1,1),OFFSET('ALRC Indiv Fund Summary (Print)'!DpstsPldTrstFndAcct, 7, 7, 1, 1))</f>
        <v>1</v>
      </c>
      <c r="C354" s="155">
        <f ca="1">IF(OFFSET('ALRC Indiv Fund Summary (Print)'!DpstsPldTrstFndAcct, 7, 8, 1, 1) = "", 0, OFFSET('ALRC Indiv Fund Summary (Print)'!DpstsPldTrstFndAcct, 7, 8, 1, 1))</f>
        <v>0</v>
      </c>
      <c r="D354" s="177">
        <f ca="1">OFFSET('ALRC Indiv Fund Summary (Print)'!DpstsPldTrstFndAcct, 7, 6, 1, 1)</f>
        <v>0</v>
      </c>
      <c r="E354" s="180"/>
      <c r="F354" s="180"/>
      <c r="G354" s="180"/>
      <c r="H354" s="180"/>
      <c r="I354" s="187"/>
      <c r="J354" s="180"/>
      <c r="K354" s="180"/>
      <c r="L354" s="188"/>
      <c r="M354" s="188"/>
      <c r="N354" s="188"/>
      <c r="O354" s="188"/>
      <c r="P354" s="189"/>
      <c r="Q354" s="188"/>
      <c r="R354" s="188"/>
      <c r="S354" s="188"/>
      <c r="T354" s="188"/>
      <c r="U354" s="189"/>
    </row>
    <row r="355" spans="1:21">
      <c r="A355" s="176">
        <v>13</v>
      </c>
      <c r="B355" s="157">
        <f ca="1">IF(OFFSET('ALRC Indiv Fund Summary (Print)'!DpstsPldTrstFndAcct, 8, 7, 1, 1) =DATE(1900,1,0),DATE(1900,1,1),OFFSET('ALRC Indiv Fund Summary (Print)'!DpstsPldTrstFndAcct, 8, 7, 1, 1))</f>
        <v>1</v>
      </c>
      <c r="C355" s="155">
        <f ca="1">IF(OFFSET('ALRC Indiv Fund Summary (Print)'!DpstsPldTrstFndAcct, 8, 8, 1, 1) = "", 0, OFFSET('ALRC Indiv Fund Summary (Print)'!DpstsPldTrstFndAcct, 8, 8, 1, 1))</f>
        <v>0</v>
      </c>
      <c r="D355" s="177">
        <f ca="1">OFFSET('ALRC Indiv Fund Summary (Print)'!DpstsPldTrstFndAcct, 8, 6, 1, 1)</f>
        <v>0</v>
      </c>
      <c r="E355" s="180"/>
      <c r="F355" s="180"/>
      <c r="G355" s="180"/>
      <c r="H355" s="180"/>
      <c r="I355" s="187"/>
      <c r="J355" s="180"/>
      <c r="K355" s="180"/>
      <c r="L355" s="188"/>
      <c r="M355" s="188"/>
      <c r="N355" s="188"/>
      <c r="O355" s="188"/>
      <c r="P355" s="189"/>
      <c r="Q355" s="188"/>
      <c r="R355" s="188"/>
      <c r="S355" s="188"/>
      <c r="T355" s="188"/>
      <c r="U355" s="189"/>
    </row>
    <row r="356" spans="1:21">
      <c r="A356" s="176">
        <v>13</v>
      </c>
      <c r="B356" s="157">
        <f ca="1">IF(OFFSET('ALRC Indiv Fund Summary (Print)'!DpstsPldTrstFndAcct, 9, 7, 1, 1) =DATE(1900,1,0),DATE(1900,1,1),OFFSET('ALRC Indiv Fund Summary (Print)'!DpstsPldTrstFndAcct, 9, 7, 1, 1))</f>
        <v>1</v>
      </c>
      <c r="C356" s="155">
        <f ca="1">IF(OFFSET('ALRC Indiv Fund Summary (Print)'!DpstsPldTrstFndAcct, 9, 8, 1, 1) = "", 0, OFFSET('ALRC Indiv Fund Summary (Print)'!DpstsPldTrstFndAcct, 9, 8, 1, 1))</f>
        <v>0</v>
      </c>
      <c r="D356" s="177">
        <f ca="1">OFFSET('ALRC Indiv Fund Summary (Print)'!DpstsPldTrstFndAcct, 9, 6, 1, 1)</f>
        <v>0</v>
      </c>
      <c r="E356" s="180"/>
      <c r="F356" s="180"/>
      <c r="G356" s="180"/>
      <c r="H356" s="180"/>
      <c r="I356" s="187"/>
      <c r="J356" s="180"/>
      <c r="K356" s="180"/>
      <c r="L356" s="188"/>
      <c r="M356" s="188"/>
      <c r="N356" s="188"/>
      <c r="O356" s="188"/>
      <c r="P356" s="189"/>
      <c r="Q356" s="188"/>
      <c r="R356" s="188"/>
      <c r="S356" s="188"/>
      <c r="T356" s="188"/>
      <c r="U356" s="189"/>
    </row>
    <row r="357" spans="1:21">
      <c r="A357" s="176">
        <v>13</v>
      </c>
      <c r="B357" s="157">
        <f ca="1">IF(OFFSET('ALRC Indiv Fund Summary (Print)'!DpstsPldTrstFndAcct, 10, 7, 1, 1) =DATE(1900,1,0),DATE(1900,1,1),OFFSET('ALRC Indiv Fund Summary (Print)'!DpstsPldTrstFndAcct, 10, 7, 1, 1))</f>
        <v>1</v>
      </c>
      <c r="C357" s="155">
        <f ca="1">IF(OFFSET('ALRC Indiv Fund Summary (Print)'!DpstsPldTrstFndAcct, 10, 8, 1, 1) = "", 0, OFFSET('ALRC Indiv Fund Summary (Print)'!DpstsPldTrstFndAcct, 10, 8, 1, 1))</f>
        <v>0</v>
      </c>
      <c r="D357" s="177">
        <f ca="1">OFFSET('ALRC Indiv Fund Summary (Print)'!DpstsPldTrstFndAcct, 10, 6, 1, 1)</f>
        <v>0</v>
      </c>
      <c r="E357" s="180"/>
      <c r="F357" s="180"/>
      <c r="G357" s="180"/>
      <c r="H357" s="180"/>
      <c r="I357" s="187"/>
      <c r="J357" s="180"/>
      <c r="K357" s="180"/>
      <c r="L357" s="188"/>
      <c r="M357" s="188"/>
      <c r="N357" s="188"/>
      <c r="O357" s="188"/>
      <c r="P357" s="189"/>
      <c r="Q357" s="188"/>
      <c r="R357" s="188"/>
      <c r="S357" s="188"/>
      <c r="T357" s="188"/>
      <c r="U357" s="189"/>
    </row>
    <row r="358" spans="1:21">
      <c r="A358" s="176">
        <v>13</v>
      </c>
      <c r="B358" s="157">
        <f ca="1">IF(OFFSET('ALRC Indiv Fund Summary (Print)'!DpstsPldTrstFndAcct, 11, 7, 1, 1) =DATE(1900,1,0),DATE(1900,1,1),OFFSET('ALRC Indiv Fund Summary (Print)'!DpstsPldTrstFndAcct, 11, 7, 1, 1))</f>
        <v>1</v>
      </c>
      <c r="C358" s="155">
        <f ca="1">IF(OFFSET('ALRC Indiv Fund Summary (Print)'!DpstsPldTrstFndAcct, 11, 8, 1, 1) = "", 0, OFFSET('ALRC Indiv Fund Summary (Print)'!DpstsPldTrstFndAcct, 11, 8, 1, 1))</f>
        <v>0</v>
      </c>
      <c r="D358" s="177">
        <f ca="1">OFFSET('ALRC Indiv Fund Summary (Print)'!DpstsPldTrstFndAcct, 11, 6, 1, 1)</f>
        <v>0</v>
      </c>
      <c r="E358" s="180"/>
      <c r="F358" s="180"/>
      <c r="G358" s="180"/>
      <c r="H358" s="180"/>
      <c r="I358" s="187"/>
      <c r="J358" s="180"/>
      <c r="K358" s="180"/>
      <c r="L358" s="188"/>
      <c r="M358" s="188"/>
      <c r="N358" s="188"/>
      <c r="O358" s="188"/>
      <c r="P358" s="189"/>
      <c r="Q358" s="188"/>
      <c r="R358" s="188"/>
      <c r="S358" s="188"/>
      <c r="T358" s="188"/>
      <c r="U358" s="189"/>
    </row>
    <row r="359" spans="1:21">
      <c r="A359" s="176">
        <v>13</v>
      </c>
      <c r="B359" s="157">
        <f ca="1">IF(OFFSET('ALRC Indiv Fund Summary (Print)'!DpstsPldTrstFndAcct, 12, 7, 1, 1) =DATE(1900,1,0),DATE(1900,1,1),OFFSET('ALRC Indiv Fund Summary (Print)'!DpstsPldTrstFndAcct, 12, 7, 1, 1))</f>
        <v>1</v>
      </c>
      <c r="C359" s="155">
        <f ca="1">IF(OFFSET('ALRC Indiv Fund Summary (Print)'!DpstsPldTrstFndAcct, 12, 8, 1, 1) = "", 0, OFFSET('ALRC Indiv Fund Summary (Print)'!DpstsPldTrstFndAcct, 12, 8, 1, 1))</f>
        <v>0</v>
      </c>
      <c r="D359" s="177">
        <f ca="1">OFFSET('ALRC Indiv Fund Summary (Print)'!DpstsPldTrstFndAcct, 12, 6, 1, 1)</f>
        <v>0</v>
      </c>
      <c r="E359" s="180"/>
      <c r="F359" s="180"/>
      <c r="G359" s="180"/>
      <c r="H359" s="180"/>
      <c r="I359" s="187"/>
      <c r="J359" s="180"/>
      <c r="K359" s="180"/>
      <c r="L359" s="188"/>
      <c r="M359" s="188"/>
      <c r="N359" s="188"/>
      <c r="O359" s="188"/>
      <c r="P359" s="189"/>
      <c r="Q359" s="188"/>
      <c r="R359" s="188"/>
      <c r="S359" s="188"/>
      <c r="T359" s="188"/>
      <c r="U359" s="189"/>
    </row>
    <row r="360" spans="1:21">
      <c r="A360" s="176">
        <v>13</v>
      </c>
      <c r="B360" s="157">
        <f ca="1">IF(OFFSET('ALRC Indiv Fund Summary (Print)'!DpstsPldTrstFndAcct, 13, 7, 1, 1) =DATE(1900,1,0),DATE(1900,1,1),OFFSET('ALRC Indiv Fund Summary (Print)'!DpstsPldTrstFndAcct, 13, 7, 1, 1))</f>
        <v>1</v>
      </c>
      <c r="C360" s="155">
        <f ca="1">IF(OFFSET('ALRC Indiv Fund Summary (Print)'!DpstsPldTrstFndAcct, 13, 8, 1, 1) = "", 0, OFFSET('ALRC Indiv Fund Summary (Print)'!DpstsPldTrstFndAcct, 13, 8, 1, 1))</f>
        <v>0</v>
      </c>
      <c r="D360" s="177">
        <f ca="1">OFFSET('ALRC Indiv Fund Summary (Print)'!DpstsPldTrstFndAcct, 13, 6, 1, 1)</f>
        <v>0</v>
      </c>
      <c r="E360" s="180"/>
      <c r="F360" s="180"/>
      <c r="G360" s="180"/>
      <c r="H360" s="180"/>
      <c r="I360" s="187"/>
      <c r="J360" s="180"/>
      <c r="K360" s="180"/>
      <c r="L360" s="188"/>
      <c r="M360" s="188"/>
      <c r="N360" s="188"/>
      <c r="O360" s="188"/>
      <c r="P360" s="189"/>
      <c r="Q360" s="188"/>
      <c r="R360" s="188"/>
      <c r="S360" s="188"/>
      <c r="T360" s="188"/>
      <c r="U360" s="189"/>
    </row>
    <row r="361" spans="1:21" ht="15" thickBot="1">
      <c r="A361" s="178">
        <v>13</v>
      </c>
      <c r="B361" s="194">
        <f ca="1">IF(OFFSET('ALRC Indiv Fund Summary (Print)'!DpstsPldTrstFndAcct, 14, 7, 1, 1) =DATE(1900,1,0),DATE(1900,1,1),OFFSET('ALRC Indiv Fund Summary (Print)'!DpstsPldTrstFndAcct, 14, 7, 1, 1))</f>
        <v>1</v>
      </c>
      <c r="C361" s="174">
        <f ca="1">IF(OFFSET('ALRC Indiv Fund Summary (Print)'!DpstsPldTrstFndAcct, 14, 8, 1, 1) = "", 0, OFFSET('ALRC Indiv Fund Summary (Print)'!DpstsPldTrstFndAcct, 14, 8, 1, 1))</f>
        <v>0</v>
      </c>
      <c r="D361" s="202">
        <f ca="1">OFFSET('ALRC Indiv Fund Summary (Print)'!DpstsPldTrstFndAcct, 14, 6, 1, 1)</f>
        <v>0</v>
      </c>
      <c r="E361" s="180"/>
      <c r="F361" s="180"/>
      <c r="G361" s="180"/>
      <c r="H361" s="180"/>
      <c r="I361" s="187"/>
      <c r="J361" s="180"/>
      <c r="K361" s="180"/>
      <c r="L361" s="188"/>
      <c r="M361" s="188"/>
      <c r="N361" s="188"/>
      <c r="O361" s="188"/>
      <c r="P361" s="189"/>
      <c r="Q361" s="188"/>
      <c r="R361" s="188"/>
      <c r="S361" s="188"/>
      <c r="T361" s="188"/>
      <c r="U361" s="189"/>
    </row>
    <row r="362" spans="1:21">
      <c r="A362" s="179"/>
      <c r="B362" s="180"/>
      <c r="C362" s="180"/>
      <c r="D362" s="180"/>
      <c r="E362" s="180"/>
      <c r="F362" s="180"/>
      <c r="G362" s="180"/>
      <c r="H362" s="180"/>
      <c r="I362" s="187"/>
      <c r="J362" s="180"/>
      <c r="K362" s="180"/>
      <c r="L362" s="188"/>
      <c r="M362" s="188"/>
      <c r="N362" s="188"/>
      <c r="O362" s="188"/>
      <c r="P362" s="189"/>
      <c r="Q362" s="188"/>
      <c r="R362" s="188"/>
      <c r="S362" s="188"/>
      <c r="T362" s="188"/>
      <c r="U362" s="189"/>
    </row>
    <row r="363" spans="1:21" ht="15" thickBot="1">
      <c r="A363" s="179" t="s">
        <v>1257</v>
      </c>
      <c r="B363" s="180"/>
      <c r="C363" s="180"/>
      <c r="D363" s="180"/>
      <c r="E363" s="180"/>
      <c r="F363" s="180"/>
      <c r="G363" s="180"/>
      <c r="H363" s="180"/>
      <c r="I363" s="187"/>
      <c r="J363" s="180"/>
      <c r="K363" s="180"/>
      <c r="L363" s="188"/>
      <c r="M363" s="188"/>
      <c r="N363" s="188"/>
      <c r="O363" s="188"/>
      <c r="P363" s="189"/>
      <c r="Q363" s="188"/>
      <c r="R363" s="188"/>
      <c r="S363" s="188"/>
      <c r="T363" s="188"/>
      <c r="U363" s="189"/>
    </row>
    <row r="364" spans="1:21">
      <c r="A364" s="181" t="s">
        <v>1003</v>
      </c>
      <c r="B364" s="182" t="s">
        <v>1005</v>
      </c>
      <c r="C364" s="182" t="s">
        <v>1015</v>
      </c>
      <c r="D364" s="183" t="s">
        <v>187</v>
      </c>
      <c r="E364" s="180"/>
      <c r="F364" s="180"/>
      <c r="G364" s="180"/>
      <c r="H364" s="180"/>
      <c r="I364" s="187"/>
      <c r="J364" s="180"/>
      <c r="K364" s="180"/>
      <c r="L364" s="188"/>
      <c r="M364" s="188"/>
      <c r="N364" s="188"/>
      <c r="O364" s="188"/>
      <c r="P364" s="189"/>
      <c r="Q364" s="188"/>
      <c r="R364" s="188"/>
      <c r="S364" s="188"/>
      <c r="T364" s="188"/>
      <c r="U364" s="189"/>
    </row>
    <row r="365" spans="1:21">
      <c r="A365" s="154">
        <f ca="1">OFFSET('ALRC Indiv Fund Summary (Print)'!DpstsIndvTrstFndOrPtyCshAcct, 0, 1, 1, 1)</f>
        <v>0</v>
      </c>
      <c r="B365" s="13">
        <v>13</v>
      </c>
      <c r="C365" s="157">
        <f ca="1">IF(OFFSET('ALRC Indiv Fund Summary (Print)'!DpstsIndvTrstFndOrPtyCshAcct, 0, 2, 1, 1) =DATE(1900,1,0),DATE(1900,1,1),OFFSET('ALRC Indiv Fund Summary (Print)'!DpstsIndvTrstFndOrPtyCshAcct, 0, 2, 1, 1))</f>
        <v>1</v>
      </c>
      <c r="D365" s="185">
        <f ca="1">IF(OFFSET('ALRC Indiv Fund Summary (Print)'!DpstsIndvTrstFndOrPtyCshAcct, 0, 3, 1, 1) = "", 0, OFFSET('ALRC Indiv Fund Summary (Print)'!DpstsIndvTrstFndOrPtyCshAcct, 0, 3, 1, 1))</f>
        <v>0</v>
      </c>
      <c r="E365" s="180"/>
      <c r="F365" s="180"/>
      <c r="G365" s="180"/>
      <c r="H365" s="180"/>
      <c r="I365" s="187"/>
      <c r="J365" s="180"/>
      <c r="K365" s="180"/>
      <c r="L365" s="188"/>
      <c r="M365" s="188"/>
      <c r="N365" s="188"/>
      <c r="O365" s="188"/>
      <c r="P365" s="189"/>
      <c r="Q365" s="188"/>
      <c r="R365" s="188"/>
      <c r="S365" s="188"/>
      <c r="T365" s="188"/>
      <c r="U365" s="189"/>
    </row>
    <row r="366" spans="1:21">
      <c r="A366" s="154">
        <f ca="1">OFFSET('ALRC Indiv Fund Summary (Print)'!DpstsIndvTrstFndOrPtyCshAcct, 1, 1, 1, 1)</f>
        <v>0</v>
      </c>
      <c r="B366" s="13">
        <v>13</v>
      </c>
      <c r="C366" s="157">
        <f ca="1">IF(OFFSET('ALRC Indiv Fund Summary (Print)'!DpstsIndvTrstFndOrPtyCshAcct, 1, 2, 1, 1) =DATE(1900,1,0),DATE(1900,1,1),OFFSET('ALRC Indiv Fund Summary (Print)'!DpstsIndvTrstFndOrPtyCshAcct, 1, 2, 1, 1))</f>
        <v>1</v>
      </c>
      <c r="D366" s="185">
        <f ca="1">IF(OFFSET('ALRC Indiv Fund Summary (Print)'!DpstsIndvTrstFndOrPtyCshAcct, 1, 3, 1, 1) = "", 0, OFFSET('ALRC Indiv Fund Summary (Print)'!DpstsIndvTrstFndOrPtyCshAcct, 1, 3, 1, 1))</f>
        <v>0</v>
      </c>
      <c r="E366" s="180"/>
      <c r="F366" s="180"/>
      <c r="G366" s="180"/>
      <c r="H366" s="180"/>
      <c r="I366" s="187"/>
      <c r="J366" s="180"/>
      <c r="K366" s="180"/>
      <c r="L366" s="188"/>
      <c r="M366" s="188"/>
      <c r="N366" s="188"/>
      <c r="O366" s="188"/>
      <c r="P366" s="189"/>
      <c r="Q366" s="188"/>
      <c r="R366" s="188"/>
      <c r="S366" s="188"/>
      <c r="T366" s="188"/>
      <c r="U366" s="189"/>
    </row>
    <row r="367" spans="1:21">
      <c r="A367" s="154">
        <f ca="1">OFFSET('ALRC Indiv Fund Summary (Print)'!DpstsIndvTrstFndOrPtyCshAcct, 2, 1, 1, 1)</f>
        <v>0</v>
      </c>
      <c r="B367" s="13">
        <v>13</v>
      </c>
      <c r="C367" s="157">
        <f ca="1">IF(OFFSET('ALRC Indiv Fund Summary (Print)'!DpstsIndvTrstFndOrPtyCshAcct, 2, 2, 1, 1) =DATE(1900,1,0),DATE(1900,1,1),OFFSET('ALRC Indiv Fund Summary (Print)'!DpstsIndvTrstFndOrPtyCshAcct, 2, 2, 1, 1))</f>
        <v>1</v>
      </c>
      <c r="D367" s="185">
        <f ca="1">IF(OFFSET('ALRC Indiv Fund Summary (Print)'!DpstsIndvTrstFndOrPtyCshAcct, 2, 3, 1, 1) = "", 0, OFFSET('ALRC Indiv Fund Summary (Print)'!DpstsIndvTrstFndOrPtyCshAcct, 2, 3, 1, 1))</f>
        <v>0</v>
      </c>
      <c r="E367" s="180"/>
      <c r="F367" s="180"/>
      <c r="G367" s="180"/>
      <c r="H367" s="180"/>
      <c r="I367" s="187"/>
      <c r="J367" s="180"/>
      <c r="K367" s="180"/>
      <c r="L367" s="188"/>
      <c r="M367" s="188"/>
      <c r="N367" s="188"/>
      <c r="O367" s="188"/>
      <c r="P367" s="189"/>
      <c r="Q367" s="188"/>
      <c r="R367" s="188"/>
      <c r="S367" s="188"/>
      <c r="T367" s="188"/>
      <c r="U367" s="189"/>
    </row>
    <row r="368" spans="1:21">
      <c r="A368" s="154">
        <f ca="1">OFFSET('ALRC Indiv Fund Summary (Print)'!DpstsIndvTrstFndOrPtyCshAcct, 3, 1, 1, 1)</f>
        <v>0</v>
      </c>
      <c r="B368" s="13">
        <v>13</v>
      </c>
      <c r="C368" s="157">
        <f ca="1">IF(OFFSET('ALRC Indiv Fund Summary (Print)'!DpstsIndvTrstFndOrPtyCshAcct, 3, 2, 1, 1) =DATE(1900,1,0),DATE(1900,1,1),OFFSET('ALRC Indiv Fund Summary (Print)'!DpstsIndvTrstFndOrPtyCshAcct, 3, 2, 1, 1))</f>
        <v>1</v>
      </c>
      <c r="D368" s="185">
        <f ca="1">IF(OFFSET('ALRC Indiv Fund Summary (Print)'!DpstsIndvTrstFndOrPtyCshAcct, 3, 3, 1, 1) = "", 0, OFFSET('ALRC Indiv Fund Summary (Print)'!DpstsIndvTrstFndOrPtyCshAcct, 3, 3, 1, 1))</f>
        <v>0</v>
      </c>
      <c r="E368" s="180"/>
      <c r="F368" s="180"/>
      <c r="G368" s="180"/>
      <c r="H368" s="180"/>
      <c r="I368" s="187"/>
      <c r="J368" s="180"/>
      <c r="K368" s="180"/>
      <c r="L368" s="188"/>
      <c r="M368" s="188"/>
      <c r="N368" s="188"/>
      <c r="O368" s="188"/>
      <c r="P368" s="189"/>
      <c r="Q368" s="188"/>
      <c r="R368" s="188"/>
      <c r="S368" s="188"/>
      <c r="T368" s="188"/>
      <c r="U368" s="189"/>
    </row>
    <row r="369" spans="1:21">
      <c r="A369" s="154">
        <f ca="1">OFFSET('ALRC Indiv Fund Summary (Print)'!DpstsIndvTrstFndOrPtyCshAcct, 4, 1, 1, 1)</f>
        <v>0</v>
      </c>
      <c r="B369" s="13">
        <v>13</v>
      </c>
      <c r="C369" s="157">
        <f ca="1">IF(OFFSET('ALRC Indiv Fund Summary (Print)'!DpstsIndvTrstFndOrPtyCshAcct, 4, 2, 1, 1) =DATE(1900,1,0),DATE(1900,1,1),OFFSET('ALRC Indiv Fund Summary (Print)'!DpstsIndvTrstFndOrPtyCshAcct, 4, 2, 1, 1))</f>
        <v>1</v>
      </c>
      <c r="D369" s="185">
        <f ca="1">IF(OFFSET('ALRC Indiv Fund Summary (Print)'!DpstsIndvTrstFndOrPtyCshAcct, 4, 3, 1, 1) = "", 0, OFFSET('ALRC Indiv Fund Summary (Print)'!DpstsIndvTrstFndOrPtyCshAcct, 4, 3, 1, 1))</f>
        <v>0</v>
      </c>
      <c r="E369" s="180"/>
      <c r="F369" s="180"/>
      <c r="G369" s="180"/>
      <c r="H369" s="180"/>
      <c r="I369" s="187"/>
      <c r="J369" s="180"/>
      <c r="K369" s="180"/>
      <c r="L369" s="188"/>
      <c r="M369" s="188"/>
      <c r="N369" s="188"/>
      <c r="O369" s="188"/>
      <c r="P369" s="189"/>
      <c r="Q369" s="188"/>
      <c r="R369" s="188"/>
      <c r="S369" s="188"/>
      <c r="T369" s="188"/>
      <c r="U369" s="189"/>
    </row>
    <row r="370" spans="1:21">
      <c r="A370" s="154">
        <f ca="1">OFFSET('ALRC Indiv Fund Summary (Print)'!DpstsIndvTrstFndOrPtyCshAcct, 5, 1, 1, 1)</f>
        <v>0</v>
      </c>
      <c r="B370" s="13">
        <v>13</v>
      </c>
      <c r="C370" s="157">
        <f ca="1">IF(OFFSET('ALRC Indiv Fund Summary (Print)'!DpstsIndvTrstFndOrPtyCshAcct, 5, 2, 1, 1) =DATE(1900,1,0),DATE(1900,1,1),OFFSET('ALRC Indiv Fund Summary (Print)'!DpstsIndvTrstFndOrPtyCshAcct, 5, 2, 1, 1))</f>
        <v>1</v>
      </c>
      <c r="D370" s="185">
        <f ca="1">IF(OFFSET('ALRC Indiv Fund Summary (Print)'!DpstsIndvTrstFndOrPtyCshAcct, 5, 3, 1, 1) = "", 0, OFFSET('ALRC Indiv Fund Summary (Print)'!DpstsIndvTrstFndOrPtyCshAcct, 5, 3, 1, 1))</f>
        <v>0</v>
      </c>
      <c r="E370" s="180"/>
      <c r="F370" s="180"/>
      <c r="G370" s="180"/>
      <c r="H370" s="180"/>
      <c r="I370" s="187"/>
      <c r="J370" s="180"/>
      <c r="K370" s="180"/>
      <c r="L370" s="188"/>
      <c r="M370" s="188"/>
      <c r="N370" s="188"/>
      <c r="O370" s="188"/>
      <c r="P370" s="189"/>
      <c r="Q370" s="188"/>
      <c r="R370" s="188"/>
      <c r="S370" s="188"/>
      <c r="T370" s="188"/>
      <c r="U370" s="189"/>
    </row>
    <row r="371" spans="1:21">
      <c r="A371" s="154">
        <f ca="1">OFFSET('ALRC Indiv Fund Summary (Print)'!DpstsIndvTrstFndOrPtyCshAcct, 6, 1, 1, 1)</f>
        <v>0</v>
      </c>
      <c r="B371" s="13">
        <v>13</v>
      </c>
      <c r="C371" s="157">
        <f ca="1">IF(OFFSET('ALRC Indiv Fund Summary (Print)'!DpstsIndvTrstFndOrPtyCshAcct, 6, 2, 1, 1) =DATE(1900,1,0),DATE(1900,1,1),OFFSET('ALRC Indiv Fund Summary (Print)'!DpstsIndvTrstFndOrPtyCshAcct, 6, 2, 1, 1))</f>
        <v>1</v>
      </c>
      <c r="D371" s="185">
        <f ca="1">IF(OFFSET('ALRC Indiv Fund Summary (Print)'!DpstsIndvTrstFndOrPtyCshAcct, 6, 3, 1, 1) = "", 0, OFFSET('ALRC Indiv Fund Summary (Print)'!DpstsIndvTrstFndOrPtyCshAcct, 6, 3, 1, 1))</f>
        <v>0</v>
      </c>
      <c r="E371" s="180"/>
      <c r="F371" s="180"/>
      <c r="G371" s="180"/>
      <c r="H371" s="180"/>
      <c r="I371" s="187"/>
      <c r="J371" s="180"/>
      <c r="K371" s="180"/>
      <c r="L371" s="188"/>
      <c r="M371" s="188"/>
      <c r="N371" s="188"/>
      <c r="O371" s="188"/>
      <c r="P371" s="189"/>
      <c r="Q371" s="188"/>
      <c r="R371" s="188"/>
      <c r="S371" s="188"/>
      <c r="T371" s="188"/>
      <c r="U371" s="189"/>
    </row>
    <row r="372" spans="1:21">
      <c r="A372" s="154">
        <f ca="1">OFFSET('ALRC Indiv Fund Summary (Print)'!DpstsIndvTrstFndOrPtyCshAcct, 7, 1, 1, 1)</f>
        <v>0</v>
      </c>
      <c r="B372" s="13">
        <v>13</v>
      </c>
      <c r="C372" s="157">
        <f ca="1">IF(OFFSET('ALRC Indiv Fund Summary (Print)'!DpstsIndvTrstFndOrPtyCshAcct, 7, 2, 1, 1) =DATE(1900,1,0),DATE(1900,1,1),OFFSET('ALRC Indiv Fund Summary (Print)'!DpstsIndvTrstFndOrPtyCshAcct, 7, 2, 1, 1))</f>
        <v>1</v>
      </c>
      <c r="D372" s="185">
        <f ca="1">IF(OFFSET('ALRC Indiv Fund Summary (Print)'!DpstsIndvTrstFndOrPtyCshAcct, 7, 3, 1, 1) = "", 0, OFFSET('ALRC Indiv Fund Summary (Print)'!DpstsIndvTrstFndOrPtyCshAcct, 7, 3, 1, 1))</f>
        <v>0</v>
      </c>
      <c r="E372" s="180"/>
      <c r="F372" s="180"/>
      <c r="G372" s="180"/>
      <c r="H372" s="180"/>
      <c r="I372" s="187"/>
      <c r="J372" s="180"/>
      <c r="K372" s="180"/>
      <c r="L372" s="188"/>
      <c r="M372" s="188"/>
      <c r="N372" s="188"/>
      <c r="O372" s="188"/>
      <c r="P372" s="189"/>
      <c r="Q372" s="188"/>
      <c r="R372" s="188"/>
      <c r="S372" s="188"/>
      <c r="T372" s="188"/>
      <c r="U372" s="189"/>
    </row>
    <row r="373" spans="1:21">
      <c r="A373" s="154">
        <f ca="1">OFFSET('ALRC Indiv Fund Summary (Print)'!DpstsIndvTrstFndOrPtyCshAcct, 8, 1, 1, 1)</f>
        <v>0</v>
      </c>
      <c r="B373" s="13">
        <v>13</v>
      </c>
      <c r="C373" s="157">
        <f ca="1">IF(OFFSET('ALRC Indiv Fund Summary (Print)'!DpstsIndvTrstFndOrPtyCshAcct, 8, 2, 1, 1) =DATE(1900,1,0),DATE(1900,1,1),OFFSET('ALRC Indiv Fund Summary (Print)'!DpstsIndvTrstFndOrPtyCshAcct, 8, 2, 1, 1))</f>
        <v>1</v>
      </c>
      <c r="D373" s="185">
        <f ca="1">IF(OFFSET('ALRC Indiv Fund Summary (Print)'!DpstsIndvTrstFndOrPtyCshAcct, 8, 3, 1, 1) = "", 0, OFFSET('ALRC Indiv Fund Summary (Print)'!DpstsIndvTrstFndOrPtyCshAcct, 8, 3, 1, 1))</f>
        <v>0</v>
      </c>
      <c r="E373" s="180"/>
      <c r="F373" s="180"/>
      <c r="G373" s="180"/>
      <c r="H373" s="180"/>
      <c r="I373" s="187"/>
      <c r="J373" s="180"/>
      <c r="K373" s="180"/>
      <c r="L373" s="188"/>
      <c r="M373" s="188"/>
      <c r="N373" s="188"/>
      <c r="O373" s="188"/>
      <c r="P373" s="189"/>
      <c r="Q373" s="188"/>
      <c r="R373" s="188"/>
      <c r="S373" s="188"/>
      <c r="T373" s="188"/>
      <c r="U373" s="189"/>
    </row>
    <row r="374" spans="1:21">
      <c r="A374" s="154">
        <f ca="1">OFFSET('ALRC Indiv Fund Summary (Print)'!DpstsIndvTrstFndOrPtyCshAcct, 9, 1, 1, 1)</f>
        <v>0</v>
      </c>
      <c r="B374" s="13">
        <v>13</v>
      </c>
      <c r="C374" s="157">
        <f ca="1">IF(OFFSET('ALRC Indiv Fund Summary (Print)'!DpstsIndvTrstFndOrPtyCshAcct, 9, 2, 1, 1) =DATE(1900,1,0),DATE(1900,1,1),OFFSET('ALRC Indiv Fund Summary (Print)'!DpstsIndvTrstFndOrPtyCshAcct, 9, 2, 1, 1))</f>
        <v>1</v>
      </c>
      <c r="D374" s="185">
        <f ca="1">IF(OFFSET('ALRC Indiv Fund Summary (Print)'!DpstsIndvTrstFndOrPtyCshAcct, 9, 3, 1, 1) = "", 0, OFFSET('ALRC Indiv Fund Summary (Print)'!DpstsIndvTrstFndOrPtyCshAcct, 9, 3, 1, 1))</f>
        <v>0</v>
      </c>
      <c r="E374" s="180"/>
      <c r="F374" s="180"/>
      <c r="G374" s="180"/>
      <c r="H374" s="180"/>
      <c r="I374" s="187"/>
      <c r="J374" s="180"/>
      <c r="K374" s="180"/>
      <c r="L374" s="188"/>
      <c r="M374" s="188"/>
      <c r="N374" s="188"/>
      <c r="O374" s="188"/>
      <c r="P374" s="189"/>
      <c r="Q374" s="188"/>
      <c r="R374" s="188"/>
      <c r="S374" s="188"/>
      <c r="T374" s="188"/>
      <c r="U374" s="189"/>
    </row>
    <row r="375" spans="1:21">
      <c r="A375" s="154">
        <f ca="1">OFFSET('ALRC Indiv Fund Summary (Print)'!DpstsIndvTrstFndOrPtyCshAcct, 10, 1, 1, 1)</f>
        <v>0</v>
      </c>
      <c r="B375" s="13">
        <v>13</v>
      </c>
      <c r="C375" s="157">
        <f ca="1">IF(OFFSET('ALRC Indiv Fund Summary (Print)'!DpstsIndvTrstFndOrPtyCshAcct, 10, 2, 1, 1) =DATE(1900,1,0),DATE(1900,1,1),OFFSET('ALRC Indiv Fund Summary (Print)'!DpstsIndvTrstFndOrPtyCshAcct, 10, 2, 1, 1))</f>
        <v>1</v>
      </c>
      <c r="D375" s="185">
        <f ca="1">IF(OFFSET('ALRC Indiv Fund Summary (Print)'!DpstsIndvTrstFndOrPtyCshAcct, 10, 3, 1, 1) = "", 0, OFFSET('ALRC Indiv Fund Summary (Print)'!DpstsIndvTrstFndOrPtyCshAcct, 10, 3, 1, 1))</f>
        <v>0</v>
      </c>
      <c r="E375" s="180"/>
      <c r="F375" s="180"/>
      <c r="G375" s="180"/>
      <c r="H375" s="180"/>
      <c r="I375" s="187"/>
      <c r="J375" s="180"/>
      <c r="K375" s="180"/>
      <c r="L375" s="188"/>
      <c r="M375" s="188"/>
      <c r="N375" s="188"/>
      <c r="O375" s="188"/>
      <c r="P375" s="189"/>
      <c r="Q375" s="188"/>
      <c r="R375" s="188"/>
      <c r="S375" s="188"/>
      <c r="T375" s="188"/>
      <c r="U375" s="189"/>
    </row>
    <row r="376" spans="1:21">
      <c r="A376" s="154">
        <f ca="1">OFFSET('ALRC Indiv Fund Summary (Print)'!DpstsIndvTrstFndOrPtyCshAcct, 11, 1, 1, 1)</f>
        <v>0</v>
      </c>
      <c r="B376" s="13">
        <v>13</v>
      </c>
      <c r="C376" s="157">
        <f ca="1">IF(OFFSET('ALRC Indiv Fund Summary (Print)'!DpstsIndvTrstFndOrPtyCshAcct, 11, 2, 1, 1) =DATE(1900,1,0),DATE(1900,1,1),OFFSET('ALRC Indiv Fund Summary (Print)'!DpstsIndvTrstFndOrPtyCshAcct, 11, 2, 1, 1))</f>
        <v>1</v>
      </c>
      <c r="D376" s="185">
        <f ca="1">IF(OFFSET('ALRC Indiv Fund Summary (Print)'!DpstsIndvTrstFndOrPtyCshAcct, 11, 3, 1, 1) = "", 0, OFFSET('ALRC Indiv Fund Summary (Print)'!DpstsIndvTrstFndOrPtyCshAcct, 11, 3, 1, 1))</f>
        <v>0</v>
      </c>
      <c r="E376" s="180"/>
      <c r="F376" s="180"/>
      <c r="G376" s="180"/>
      <c r="H376" s="180"/>
      <c r="I376" s="187"/>
      <c r="J376" s="180"/>
      <c r="K376" s="180"/>
      <c r="L376" s="188"/>
      <c r="M376" s="188"/>
      <c r="N376" s="188"/>
      <c r="O376" s="188"/>
      <c r="P376" s="189"/>
      <c r="Q376" s="188"/>
      <c r="R376" s="188"/>
      <c r="S376" s="188"/>
      <c r="T376" s="188"/>
      <c r="U376" s="189"/>
    </row>
    <row r="377" spans="1:21">
      <c r="A377" s="154">
        <f ca="1">OFFSET('ALRC Indiv Fund Summary (Print)'!DpstsIndvTrstFndOrPtyCshAcct, 12, 1, 1, 1)</f>
        <v>0</v>
      </c>
      <c r="B377" s="13">
        <v>13</v>
      </c>
      <c r="C377" s="157">
        <f ca="1">IF(OFFSET('ALRC Indiv Fund Summary (Print)'!DpstsIndvTrstFndOrPtyCshAcct, 12, 2, 1, 1) =DATE(1900,1,0),DATE(1900,1,1),OFFSET('ALRC Indiv Fund Summary (Print)'!DpstsIndvTrstFndOrPtyCshAcct, 12, 2, 1, 1))</f>
        <v>1</v>
      </c>
      <c r="D377" s="185">
        <f ca="1">IF(OFFSET('ALRC Indiv Fund Summary (Print)'!DpstsIndvTrstFndOrPtyCshAcct, 12, 3, 1, 1) = "", 0, OFFSET('ALRC Indiv Fund Summary (Print)'!DpstsIndvTrstFndOrPtyCshAcct, 12, 3, 1, 1))</f>
        <v>0</v>
      </c>
      <c r="E377" s="180"/>
      <c r="F377" s="180"/>
      <c r="G377" s="180"/>
      <c r="H377" s="180"/>
      <c r="I377" s="187"/>
      <c r="J377" s="180"/>
      <c r="K377" s="180"/>
      <c r="L377" s="188"/>
      <c r="M377" s="188"/>
      <c r="N377" s="188"/>
      <c r="O377" s="188"/>
      <c r="P377" s="189"/>
      <c r="Q377" s="188"/>
      <c r="R377" s="188"/>
      <c r="S377" s="188"/>
      <c r="T377" s="188"/>
      <c r="U377" s="189"/>
    </row>
    <row r="378" spans="1:21">
      <c r="A378" s="154">
        <f ca="1">OFFSET('ALRC Indiv Fund Summary (Print)'!DpstsIndvTrstFndOrPtyCshAcct, 13, 1, 1, 1)</f>
        <v>0</v>
      </c>
      <c r="B378" s="13">
        <v>13</v>
      </c>
      <c r="C378" s="157">
        <f ca="1">IF(OFFSET('ALRC Indiv Fund Summary (Print)'!DpstsIndvTrstFndOrPtyCshAcct, 13, 2, 1, 1) =DATE(1900,1,0),DATE(1900,1,1),OFFSET('ALRC Indiv Fund Summary (Print)'!DpstsIndvTrstFndOrPtyCshAcct, 13, 2, 1, 1))</f>
        <v>1</v>
      </c>
      <c r="D378" s="185">
        <f ca="1">IF(OFFSET('ALRC Indiv Fund Summary (Print)'!DpstsIndvTrstFndOrPtyCshAcct, 13, 3, 1, 1) = "", 0, OFFSET('ALRC Indiv Fund Summary (Print)'!DpstsIndvTrstFndOrPtyCshAcct, 13, 3, 1, 1))</f>
        <v>0</v>
      </c>
      <c r="E378" s="180"/>
      <c r="F378" s="180"/>
      <c r="G378" s="180"/>
      <c r="H378" s="180"/>
      <c r="I378" s="187"/>
      <c r="J378" s="180"/>
      <c r="K378" s="180"/>
      <c r="L378" s="188"/>
      <c r="M378" s="188"/>
      <c r="N378" s="188"/>
      <c r="O378" s="188"/>
      <c r="P378" s="189"/>
      <c r="Q378" s="188"/>
      <c r="R378" s="188"/>
      <c r="S378" s="188"/>
      <c r="T378" s="188"/>
      <c r="U378" s="189"/>
    </row>
    <row r="379" spans="1:21">
      <c r="A379" s="154">
        <f ca="1">OFFSET('ALRC Indiv Fund Summary (Print)'!DpstsIndvTrstFndOrPtyCshAcct, 14, 1, 1, 1)</f>
        <v>0</v>
      </c>
      <c r="B379" s="13">
        <v>13</v>
      </c>
      <c r="C379" s="157">
        <f ca="1">IF(OFFSET('ALRC Indiv Fund Summary (Print)'!DpstsIndvTrstFndOrPtyCshAcct, 14, 2, 1, 1) =DATE(1900,1,0),DATE(1900,1,1),OFFSET('ALRC Indiv Fund Summary (Print)'!DpstsIndvTrstFndOrPtyCshAcct, 14, 2, 1, 1))</f>
        <v>1</v>
      </c>
      <c r="D379" s="185">
        <f ca="1">IF(OFFSET('ALRC Indiv Fund Summary (Print)'!DpstsIndvTrstFndOrPtyCshAcct, 14, 3, 1, 1) = "", 0, OFFSET('ALRC Indiv Fund Summary (Print)'!DpstsIndvTrstFndOrPtyCshAcct, 14, 3, 1, 1))</f>
        <v>0</v>
      </c>
      <c r="E379" s="180"/>
      <c r="F379" s="180"/>
      <c r="G379" s="180"/>
      <c r="H379" s="180"/>
      <c r="I379" s="187"/>
      <c r="J379" s="180"/>
      <c r="K379" s="180"/>
      <c r="L379" s="188"/>
      <c r="M379" s="188"/>
      <c r="N379" s="188"/>
      <c r="O379" s="188"/>
      <c r="P379" s="189"/>
      <c r="Q379" s="188"/>
      <c r="R379" s="188"/>
      <c r="S379" s="188"/>
      <c r="T379" s="188"/>
      <c r="U379" s="189"/>
    </row>
    <row r="380" spans="1:21">
      <c r="A380" s="154">
        <f ca="1">OFFSET('ALRC Indiv Fund Summary (Print)'!DpstsIndvTrstFndOrPtyCshAcct, 0, 6, 1, 1)</f>
        <v>0</v>
      </c>
      <c r="B380" s="13">
        <v>13</v>
      </c>
      <c r="C380" s="157">
        <f ca="1">IF(OFFSET('ALRC Indiv Fund Summary (Print)'!DpstsIndvTrstFndOrPtyCshAcct, 0, 7, 1, 1) =DATE(1900,1,0),DATE(1900,1,1),OFFSET('ALRC Indiv Fund Summary (Print)'!DpstsIndvTrstFndOrPtyCshAcct, 0, 7, 1, 1))</f>
        <v>1</v>
      </c>
      <c r="D380" s="185">
        <f ca="1">IF(OFFSET('ALRC Indiv Fund Summary (Print)'!DpstsIndvTrstFndOrPtyCshAcct, 0, 8, 1, 1) = "", 0, OFFSET('ALRC Indiv Fund Summary (Print)'!DpstsIndvTrstFndOrPtyCshAcct, 0, 8, 1, 1))</f>
        <v>0</v>
      </c>
      <c r="E380" s="180"/>
      <c r="F380" s="180"/>
      <c r="G380" s="180"/>
      <c r="H380" s="180"/>
      <c r="I380" s="187"/>
      <c r="J380" s="180"/>
      <c r="K380" s="180"/>
      <c r="L380" s="188"/>
      <c r="M380" s="188"/>
      <c r="N380" s="188"/>
      <c r="O380" s="188"/>
      <c r="P380" s="189"/>
      <c r="Q380" s="188"/>
      <c r="R380" s="188"/>
      <c r="S380" s="188"/>
      <c r="T380" s="188"/>
      <c r="U380" s="189"/>
    </row>
    <row r="381" spans="1:21">
      <c r="A381" s="154">
        <f ca="1">OFFSET('ALRC Indiv Fund Summary (Print)'!DpstsIndvTrstFndOrPtyCshAcct, 1, 6, 1, 1)</f>
        <v>0</v>
      </c>
      <c r="B381" s="13">
        <v>13</v>
      </c>
      <c r="C381" s="157">
        <f ca="1">IF(OFFSET('ALRC Indiv Fund Summary (Print)'!DpstsIndvTrstFndOrPtyCshAcct, 1, 7, 1, 1) =DATE(1900,1,0),DATE(1900,1,1),OFFSET('ALRC Indiv Fund Summary (Print)'!DpstsIndvTrstFndOrPtyCshAcct, 1, 7, 1, 1))</f>
        <v>1</v>
      </c>
      <c r="D381" s="185">
        <f ca="1">IF(OFFSET('ALRC Indiv Fund Summary (Print)'!DpstsIndvTrstFndOrPtyCshAcct, 1, 8, 1, 1) = "", 0, OFFSET('ALRC Indiv Fund Summary (Print)'!DpstsIndvTrstFndOrPtyCshAcct, 1, 8, 1, 1))</f>
        <v>0</v>
      </c>
      <c r="E381" s="180"/>
      <c r="F381" s="180"/>
      <c r="G381" s="180"/>
      <c r="H381" s="180"/>
      <c r="I381" s="187"/>
      <c r="J381" s="180"/>
      <c r="K381" s="180"/>
      <c r="L381" s="188"/>
      <c r="M381" s="188"/>
      <c r="N381" s="188"/>
      <c r="O381" s="188"/>
      <c r="P381" s="189"/>
      <c r="Q381" s="188"/>
      <c r="R381" s="188"/>
      <c r="S381" s="188"/>
      <c r="T381" s="188"/>
      <c r="U381" s="189"/>
    </row>
    <row r="382" spans="1:21">
      <c r="A382" s="154">
        <f ca="1">OFFSET('ALRC Indiv Fund Summary (Print)'!DpstsIndvTrstFndOrPtyCshAcct, 2, 6, 1, 1)</f>
        <v>0</v>
      </c>
      <c r="B382" s="13">
        <v>13</v>
      </c>
      <c r="C382" s="157">
        <f ca="1">IF(OFFSET('ALRC Indiv Fund Summary (Print)'!DpstsIndvTrstFndOrPtyCshAcct, 2, 7, 1, 1) =DATE(1900,1,0),DATE(1900,1,1),OFFSET('ALRC Indiv Fund Summary (Print)'!DpstsIndvTrstFndOrPtyCshAcct, 2, 7, 1, 1))</f>
        <v>1</v>
      </c>
      <c r="D382" s="185">
        <f ca="1">IF(OFFSET('ALRC Indiv Fund Summary (Print)'!DpstsIndvTrstFndOrPtyCshAcct, 2, 8, 1, 1) = "", 0, OFFSET('ALRC Indiv Fund Summary (Print)'!DpstsIndvTrstFndOrPtyCshAcct, 2, 8, 1, 1))</f>
        <v>0</v>
      </c>
      <c r="E382" s="180"/>
      <c r="F382" s="180"/>
      <c r="G382" s="180"/>
      <c r="H382" s="180"/>
      <c r="I382" s="187"/>
      <c r="J382" s="180"/>
      <c r="K382" s="180"/>
      <c r="L382" s="188"/>
      <c r="M382" s="188"/>
      <c r="N382" s="188"/>
      <c r="O382" s="188"/>
      <c r="P382" s="189"/>
      <c r="Q382" s="188"/>
      <c r="R382" s="188"/>
      <c r="S382" s="188"/>
      <c r="T382" s="188"/>
      <c r="U382" s="189"/>
    </row>
    <row r="383" spans="1:21">
      <c r="A383" s="154">
        <f ca="1">OFFSET('ALRC Indiv Fund Summary (Print)'!DpstsIndvTrstFndOrPtyCshAcct, 3, 6, 1, 1)</f>
        <v>0</v>
      </c>
      <c r="B383" s="13">
        <v>13</v>
      </c>
      <c r="C383" s="157">
        <f ca="1">IF(OFFSET('ALRC Indiv Fund Summary (Print)'!DpstsIndvTrstFndOrPtyCshAcct, 3, 7, 1, 1) =DATE(1900,1,0),DATE(1900,1,1),OFFSET('ALRC Indiv Fund Summary (Print)'!DpstsIndvTrstFndOrPtyCshAcct, 3, 7, 1, 1))</f>
        <v>1</v>
      </c>
      <c r="D383" s="185">
        <f ca="1">IF(OFFSET('ALRC Indiv Fund Summary (Print)'!DpstsIndvTrstFndOrPtyCshAcct, 3, 8, 1, 1) = "", 0, OFFSET('ALRC Indiv Fund Summary (Print)'!DpstsIndvTrstFndOrPtyCshAcct, 3, 8, 1, 1))</f>
        <v>0</v>
      </c>
      <c r="E383" s="180"/>
      <c r="F383" s="180"/>
      <c r="G383" s="180"/>
      <c r="H383" s="180"/>
      <c r="I383" s="187"/>
      <c r="J383" s="180"/>
      <c r="K383" s="180"/>
      <c r="L383" s="188"/>
      <c r="M383" s="188"/>
      <c r="N383" s="188"/>
      <c r="O383" s="188"/>
      <c r="P383" s="189"/>
      <c r="Q383" s="188"/>
      <c r="R383" s="188"/>
      <c r="S383" s="188"/>
      <c r="T383" s="188"/>
      <c r="U383" s="189"/>
    </row>
    <row r="384" spans="1:21">
      <c r="A384" s="154">
        <f ca="1">OFFSET('ALRC Indiv Fund Summary (Print)'!DpstsIndvTrstFndOrPtyCshAcct, 4, 6, 1, 1)</f>
        <v>0</v>
      </c>
      <c r="B384" s="13">
        <v>13</v>
      </c>
      <c r="C384" s="157">
        <f ca="1">IF(OFFSET('ALRC Indiv Fund Summary (Print)'!DpstsIndvTrstFndOrPtyCshAcct, 4, 7, 1, 1) =DATE(1900,1,0),DATE(1900,1,1),OFFSET('ALRC Indiv Fund Summary (Print)'!DpstsIndvTrstFndOrPtyCshAcct, 4, 7, 1, 1))</f>
        <v>1</v>
      </c>
      <c r="D384" s="185">
        <f ca="1">IF(OFFSET('ALRC Indiv Fund Summary (Print)'!DpstsIndvTrstFndOrPtyCshAcct, 4, 8, 1, 1) = "", 0, OFFSET('ALRC Indiv Fund Summary (Print)'!DpstsIndvTrstFndOrPtyCshAcct, 4, 8, 1, 1))</f>
        <v>0</v>
      </c>
      <c r="E384" s="180"/>
      <c r="F384" s="180"/>
      <c r="G384" s="180"/>
      <c r="H384" s="180"/>
      <c r="I384" s="187"/>
      <c r="J384" s="180"/>
      <c r="K384" s="180"/>
      <c r="L384" s="188"/>
      <c r="M384" s="188"/>
      <c r="N384" s="188"/>
      <c r="O384" s="188"/>
      <c r="P384" s="189"/>
      <c r="Q384" s="188"/>
      <c r="R384" s="188"/>
      <c r="S384" s="188"/>
      <c r="T384" s="188"/>
      <c r="U384" s="189"/>
    </row>
    <row r="385" spans="1:21">
      <c r="A385" s="154">
        <f ca="1">OFFSET('ALRC Indiv Fund Summary (Print)'!DpstsIndvTrstFndOrPtyCshAcct, 5, 6, 1, 1)</f>
        <v>0</v>
      </c>
      <c r="B385" s="13">
        <v>13</v>
      </c>
      <c r="C385" s="157">
        <f ca="1">IF(OFFSET('ALRC Indiv Fund Summary (Print)'!DpstsIndvTrstFndOrPtyCshAcct, 5, 7, 1, 1) =DATE(1900,1,0),DATE(1900,1,1),OFFSET('ALRC Indiv Fund Summary (Print)'!DpstsIndvTrstFndOrPtyCshAcct, 5, 7, 1, 1))</f>
        <v>1</v>
      </c>
      <c r="D385" s="185">
        <f ca="1">IF(OFFSET('ALRC Indiv Fund Summary (Print)'!DpstsIndvTrstFndOrPtyCshAcct, 5, 8, 1, 1) = "", 0, OFFSET('ALRC Indiv Fund Summary (Print)'!DpstsIndvTrstFndOrPtyCshAcct, 5, 8, 1, 1))</f>
        <v>0</v>
      </c>
      <c r="E385" s="180"/>
      <c r="F385" s="180"/>
      <c r="G385" s="180"/>
      <c r="H385" s="180"/>
      <c r="I385" s="187"/>
      <c r="J385" s="180"/>
      <c r="K385" s="180"/>
      <c r="L385" s="188"/>
      <c r="M385" s="188"/>
      <c r="N385" s="188"/>
      <c r="O385" s="188"/>
      <c r="P385" s="189"/>
      <c r="Q385" s="188"/>
      <c r="R385" s="188"/>
      <c r="S385" s="188"/>
      <c r="T385" s="188"/>
      <c r="U385" s="189"/>
    </row>
    <row r="386" spans="1:21">
      <c r="A386" s="154">
        <f ca="1">OFFSET('ALRC Indiv Fund Summary (Print)'!DpstsIndvTrstFndOrPtyCshAcct, 6, 6, 1, 1)</f>
        <v>0</v>
      </c>
      <c r="B386" s="13">
        <v>13</v>
      </c>
      <c r="C386" s="157">
        <f ca="1">IF(OFFSET('ALRC Indiv Fund Summary (Print)'!DpstsIndvTrstFndOrPtyCshAcct, 6, 7, 1, 1) =DATE(1900,1,0),DATE(1900,1,1),OFFSET('ALRC Indiv Fund Summary (Print)'!DpstsIndvTrstFndOrPtyCshAcct, 6, 7, 1, 1))</f>
        <v>1</v>
      </c>
      <c r="D386" s="185">
        <f ca="1">IF(OFFSET('ALRC Indiv Fund Summary (Print)'!DpstsIndvTrstFndOrPtyCshAcct, 6, 8, 1, 1) = "", 0, OFFSET('ALRC Indiv Fund Summary (Print)'!DpstsIndvTrstFndOrPtyCshAcct, 6, 8, 1, 1))</f>
        <v>0</v>
      </c>
      <c r="E386" s="180"/>
      <c r="F386" s="180"/>
      <c r="G386" s="180"/>
      <c r="H386" s="180"/>
      <c r="I386" s="187"/>
      <c r="J386" s="180"/>
      <c r="K386" s="180"/>
      <c r="L386" s="188"/>
      <c r="M386" s="188"/>
      <c r="N386" s="188"/>
      <c r="O386" s="188"/>
      <c r="P386" s="189"/>
      <c r="Q386" s="188"/>
      <c r="R386" s="188"/>
      <c r="S386" s="188"/>
      <c r="T386" s="188"/>
      <c r="U386" s="189"/>
    </row>
    <row r="387" spans="1:21">
      <c r="A387" s="154">
        <f ca="1">OFFSET('ALRC Indiv Fund Summary (Print)'!DpstsIndvTrstFndOrPtyCshAcct, 7, 6, 1, 1)</f>
        <v>0</v>
      </c>
      <c r="B387" s="13">
        <v>13</v>
      </c>
      <c r="C387" s="157">
        <f ca="1">IF(OFFSET('ALRC Indiv Fund Summary (Print)'!DpstsIndvTrstFndOrPtyCshAcct, 7, 7, 1, 1) =DATE(1900,1,0),DATE(1900,1,1),OFFSET('ALRC Indiv Fund Summary (Print)'!DpstsIndvTrstFndOrPtyCshAcct, 7, 7, 1, 1))</f>
        <v>1</v>
      </c>
      <c r="D387" s="185">
        <f ca="1">IF(OFFSET('ALRC Indiv Fund Summary (Print)'!DpstsIndvTrstFndOrPtyCshAcct, 7, 8, 1, 1) = "", 0, OFFSET('ALRC Indiv Fund Summary (Print)'!DpstsIndvTrstFndOrPtyCshAcct, 7, 8, 1, 1))</f>
        <v>0</v>
      </c>
      <c r="E387" s="180"/>
      <c r="F387" s="180"/>
      <c r="G387" s="180"/>
      <c r="H387" s="180"/>
      <c r="I387" s="187"/>
      <c r="J387" s="180"/>
      <c r="K387" s="180"/>
      <c r="L387" s="188"/>
      <c r="M387" s="188"/>
      <c r="N387" s="188"/>
      <c r="O387" s="188"/>
      <c r="P387" s="189"/>
      <c r="Q387" s="188"/>
      <c r="R387" s="188"/>
      <c r="S387" s="188"/>
      <c r="T387" s="188"/>
      <c r="U387" s="189"/>
    </row>
    <row r="388" spans="1:21">
      <c r="A388" s="154">
        <f ca="1">OFFSET('ALRC Indiv Fund Summary (Print)'!DpstsIndvTrstFndOrPtyCshAcct, 8, 6, 1, 1)</f>
        <v>0</v>
      </c>
      <c r="B388" s="13">
        <v>13</v>
      </c>
      <c r="C388" s="157">
        <f ca="1">IF(OFFSET('ALRC Indiv Fund Summary (Print)'!DpstsIndvTrstFndOrPtyCshAcct, 8, 7, 1, 1) =DATE(1900,1,0),DATE(1900,1,1),OFFSET('ALRC Indiv Fund Summary (Print)'!DpstsIndvTrstFndOrPtyCshAcct, 8, 7, 1, 1))</f>
        <v>1</v>
      </c>
      <c r="D388" s="185">
        <f ca="1">IF(OFFSET('ALRC Indiv Fund Summary (Print)'!DpstsIndvTrstFndOrPtyCshAcct, 8, 8, 1, 1) = "", 0, OFFSET('ALRC Indiv Fund Summary (Print)'!DpstsIndvTrstFndOrPtyCshAcct, 8, 8, 1, 1))</f>
        <v>0</v>
      </c>
      <c r="E388" s="180"/>
      <c r="F388" s="180"/>
      <c r="G388" s="180"/>
      <c r="H388" s="180"/>
      <c r="I388" s="187"/>
      <c r="J388" s="180"/>
      <c r="K388" s="180"/>
      <c r="L388" s="188"/>
      <c r="M388" s="188"/>
      <c r="N388" s="188"/>
      <c r="O388" s="188"/>
      <c r="P388" s="189"/>
      <c r="Q388" s="188"/>
      <c r="R388" s="188"/>
      <c r="S388" s="188"/>
      <c r="T388" s="188"/>
      <c r="U388" s="189"/>
    </row>
    <row r="389" spans="1:21">
      <c r="A389" s="154">
        <f ca="1">OFFSET('ALRC Indiv Fund Summary (Print)'!DpstsIndvTrstFndOrPtyCshAcct, 9, 6, 1, 1)</f>
        <v>0</v>
      </c>
      <c r="B389" s="13">
        <v>13</v>
      </c>
      <c r="C389" s="157">
        <f ca="1">IF(OFFSET('ALRC Indiv Fund Summary (Print)'!DpstsIndvTrstFndOrPtyCshAcct, 9, 7, 1, 1) =DATE(1900,1,0),DATE(1900,1,1),OFFSET('ALRC Indiv Fund Summary (Print)'!DpstsIndvTrstFndOrPtyCshAcct, 9, 7, 1, 1))</f>
        <v>1</v>
      </c>
      <c r="D389" s="185">
        <f ca="1">IF(OFFSET('ALRC Indiv Fund Summary (Print)'!DpstsIndvTrstFndOrPtyCshAcct, 9, 8, 1, 1) = "", 0, OFFSET('ALRC Indiv Fund Summary (Print)'!DpstsIndvTrstFndOrPtyCshAcct, 9, 8, 1, 1))</f>
        <v>0</v>
      </c>
      <c r="E389" s="180"/>
      <c r="F389" s="180"/>
      <c r="G389" s="180"/>
      <c r="H389" s="180"/>
      <c r="I389" s="187"/>
      <c r="J389" s="180"/>
      <c r="K389" s="180"/>
      <c r="L389" s="188"/>
      <c r="M389" s="188"/>
      <c r="N389" s="188"/>
      <c r="O389" s="188"/>
      <c r="P389" s="189"/>
      <c r="Q389" s="188"/>
      <c r="R389" s="188"/>
      <c r="S389" s="188"/>
      <c r="T389" s="188"/>
      <c r="U389" s="189"/>
    </row>
    <row r="390" spans="1:21">
      <c r="A390" s="154">
        <f ca="1">OFFSET('ALRC Indiv Fund Summary (Print)'!DpstsIndvTrstFndOrPtyCshAcct, 10, 6, 1, 1)</f>
        <v>0</v>
      </c>
      <c r="B390" s="13">
        <v>13</v>
      </c>
      <c r="C390" s="157">
        <f ca="1">IF(OFFSET('ALRC Indiv Fund Summary (Print)'!DpstsIndvTrstFndOrPtyCshAcct, 10, 7, 1, 1) =DATE(1900,1,0),DATE(1900,1,1),OFFSET('ALRC Indiv Fund Summary (Print)'!DpstsIndvTrstFndOrPtyCshAcct, 10, 7, 1, 1))</f>
        <v>1</v>
      </c>
      <c r="D390" s="185">
        <f ca="1">IF(OFFSET('ALRC Indiv Fund Summary (Print)'!DpstsIndvTrstFndOrPtyCshAcct, 10, 8, 1, 1) = "", 0, OFFSET('ALRC Indiv Fund Summary (Print)'!DpstsIndvTrstFndOrPtyCshAcct, 10, 8, 1, 1))</f>
        <v>0</v>
      </c>
      <c r="E390" s="180"/>
      <c r="F390" s="180"/>
      <c r="G390" s="180"/>
      <c r="H390" s="180"/>
      <c r="I390" s="187"/>
      <c r="J390" s="180"/>
      <c r="K390" s="180"/>
      <c r="L390" s="188"/>
      <c r="M390" s="188"/>
      <c r="N390" s="188"/>
      <c r="O390" s="188"/>
      <c r="P390" s="189"/>
      <c r="Q390" s="188"/>
      <c r="R390" s="188"/>
      <c r="S390" s="188"/>
      <c r="T390" s="188"/>
      <c r="U390" s="189"/>
    </row>
    <row r="391" spans="1:21">
      <c r="A391" s="154">
        <f ca="1">OFFSET('ALRC Indiv Fund Summary (Print)'!DpstsIndvTrstFndOrPtyCshAcct, 11, 6, 1, 1)</f>
        <v>0</v>
      </c>
      <c r="B391" s="13">
        <v>13</v>
      </c>
      <c r="C391" s="157">
        <f ca="1">IF(OFFSET('ALRC Indiv Fund Summary (Print)'!DpstsIndvTrstFndOrPtyCshAcct, 11, 7, 1, 1) =DATE(1900,1,0),DATE(1900,1,1),OFFSET('ALRC Indiv Fund Summary (Print)'!DpstsIndvTrstFndOrPtyCshAcct, 11, 7, 1, 1))</f>
        <v>1</v>
      </c>
      <c r="D391" s="185">
        <f ca="1">IF(OFFSET('ALRC Indiv Fund Summary (Print)'!DpstsIndvTrstFndOrPtyCshAcct, 11, 8, 1, 1) = "", 0, OFFSET('ALRC Indiv Fund Summary (Print)'!DpstsIndvTrstFndOrPtyCshAcct, 11, 8, 1, 1))</f>
        <v>0</v>
      </c>
      <c r="E391" s="180"/>
      <c r="F391" s="180"/>
      <c r="G391" s="180"/>
      <c r="H391" s="180"/>
      <c r="I391" s="187"/>
      <c r="J391" s="180"/>
      <c r="K391" s="180"/>
      <c r="L391" s="188"/>
      <c r="M391" s="188"/>
      <c r="N391" s="188"/>
      <c r="O391" s="188"/>
      <c r="P391" s="189"/>
      <c r="Q391" s="188"/>
      <c r="R391" s="188"/>
      <c r="S391" s="188"/>
      <c r="T391" s="188"/>
      <c r="U391" s="189"/>
    </row>
    <row r="392" spans="1:21">
      <c r="A392" s="154">
        <f ca="1">OFFSET('ALRC Indiv Fund Summary (Print)'!DpstsIndvTrstFndOrPtyCshAcct, 12, 6, 1, 1)</f>
        <v>0</v>
      </c>
      <c r="B392" s="13">
        <v>13</v>
      </c>
      <c r="C392" s="157">
        <f ca="1">IF(OFFSET('ALRC Indiv Fund Summary (Print)'!DpstsIndvTrstFndOrPtyCshAcct, 12, 7, 1, 1) =DATE(1900,1,0),DATE(1900,1,1),OFFSET('ALRC Indiv Fund Summary (Print)'!DpstsIndvTrstFndOrPtyCshAcct, 12, 7, 1, 1))</f>
        <v>1</v>
      </c>
      <c r="D392" s="185">
        <f ca="1">IF(OFFSET('ALRC Indiv Fund Summary (Print)'!DpstsIndvTrstFndOrPtyCshAcct, 12, 8, 1, 1) = "", 0, OFFSET('ALRC Indiv Fund Summary (Print)'!DpstsIndvTrstFndOrPtyCshAcct, 12, 8, 1, 1))</f>
        <v>0</v>
      </c>
      <c r="E392" s="180"/>
      <c r="F392" s="180"/>
      <c r="G392" s="180"/>
      <c r="H392" s="180"/>
      <c r="I392" s="187"/>
      <c r="J392" s="180"/>
      <c r="K392" s="180"/>
      <c r="L392" s="188"/>
      <c r="M392" s="188"/>
      <c r="N392" s="188"/>
      <c r="O392" s="188"/>
      <c r="P392" s="189"/>
      <c r="Q392" s="188"/>
      <c r="R392" s="188"/>
      <c r="S392" s="188"/>
      <c r="T392" s="188"/>
      <c r="U392" s="189"/>
    </row>
    <row r="393" spans="1:21">
      <c r="A393" s="154">
        <f ca="1">OFFSET('ALRC Indiv Fund Summary (Print)'!DpstsIndvTrstFndOrPtyCshAcct, 13, 6, 1, 1)</f>
        <v>0</v>
      </c>
      <c r="B393" s="13">
        <v>13</v>
      </c>
      <c r="C393" s="157">
        <f ca="1">IF(OFFSET('ALRC Indiv Fund Summary (Print)'!DpstsIndvTrstFndOrPtyCshAcct, 13, 7, 1, 1) =DATE(1900,1,0),DATE(1900,1,1),OFFSET('ALRC Indiv Fund Summary (Print)'!DpstsIndvTrstFndOrPtyCshAcct, 13, 7, 1, 1))</f>
        <v>1</v>
      </c>
      <c r="D393" s="185">
        <f ca="1">IF(OFFSET('ALRC Indiv Fund Summary (Print)'!DpstsIndvTrstFndOrPtyCshAcct, 13, 8, 1, 1) = "", 0, OFFSET('ALRC Indiv Fund Summary (Print)'!DpstsIndvTrstFndOrPtyCshAcct, 13, 8, 1, 1))</f>
        <v>0</v>
      </c>
      <c r="E393" s="180"/>
      <c r="F393" s="180"/>
      <c r="G393" s="180"/>
      <c r="H393" s="180"/>
      <c r="I393" s="187"/>
      <c r="J393" s="180"/>
      <c r="K393" s="180"/>
      <c r="L393" s="188"/>
      <c r="M393" s="188"/>
      <c r="N393" s="188"/>
      <c r="O393" s="188"/>
      <c r="P393" s="189"/>
      <c r="Q393" s="188"/>
      <c r="R393" s="188"/>
      <c r="S393" s="188"/>
      <c r="T393" s="188"/>
      <c r="U393" s="189"/>
    </row>
    <row r="394" spans="1:21" ht="15" thickBot="1">
      <c r="A394" s="300">
        <f ca="1">OFFSET('ALRC Indiv Fund Summary (Print)'!DpstsIndvTrstFndOrPtyCshAcct, 14, 6, 1, 1)</f>
        <v>0</v>
      </c>
      <c r="B394" s="172">
        <v>13</v>
      </c>
      <c r="C394" s="194">
        <f ca="1">IF(OFFSET('ALRC Indiv Fund Summary (Print)'!DpstsIndvTrstFndOrPtyCshAcct, 14, 7, 1, 1) =DATE(1900,1,0),DATE(1900,1,1),OFFSET('ALRC Indiv Fund Summary (Print)'!DpstsIndvTrstFndOrPtyCshAcct, 14, 7, 1, 1))</f>
        <v>1</v>
      </c>
      <c r="D394" s="186">
        <f ca="1">IF(OFFSET('ALRC Indiv Fund Summary (Print)'!DpstsIndvTrstFndOrPtyCshAcct, 14, 8, 1, 1) = "", 0, OFFSET('ALRC Indiv Fund Summary (Print)'!DpstsIndvTrstFndOrPtyCshAcct, 14, 8, 1, 1))</f>
        <v>0</v>
      </c>
      <c r="E394" s="180"/>
      <c r="F394" s="180"/>
      <c r="G394" s="180"/>
      <c r="H394" s="180"/>
      <c r="I394" s="187"/>
      <c r="J394" s="180"/>
      <c r="K394" s="180"/>
      <c r="L394" s="188"/>
      <c r="M394" s="188"/>
      <c r="N394" s="188"/>
      <c r="O394" s="188"/>
      <c r="P394" s="189"/>
      <c r="Q394" s="188"/>
      <c r="R394" s="188"/>
      <c r="S394" s="188"/>
      <c r="T394" s="188"/>
      <c r="U394" s="189"/>
    </row>
    <row r="395" spans="1:21">
      <c r="A395" s="179"/>
      <c r="B395" s="180"/>
      <c r="C395" s="180"/>
      <c r="D395" s="180"/>
      <c r="E395" s="180"/>
      <c r="F395" s="180"/>
      <c r="G395" s="180"/>
      <c r="H395" s="180"/>
      <c r="I395" s="187"/>
      <c r="J395" s="180"/>
      <c r="K395" s="180"/>
      <c r="L395" s="188"/>
      <c r="M395" s="188"/>
      <c r="N395" s="188"/>
      <c r="O395" s="188"/>
      <c r="P395" s="189"/>
      <c r="Q395" s="188"/>
      <c r="R395" s="188"/>
      <c r="S395" s="188"/>
      <c r="T395" s="188"/>
      <c r="U395" s="189"/>
    </row>
    <row r="396" spans="1:21" ht="15" thickBot="1">
      <c r="A396" s="179" t="s">
        <v>1279</v>
      </c>
      <c r="B396" s="180"/>
      <c r="C396" s="180"/>
      <c r="D396" s="180"/>
      <c r="E396" s="180"/>
      <c r="F396" s="180"/>
      <c r="G396" s="180"/>
      <c r="H396" s="180"/>
      <c r="I396" s="187"/>
      <c r="J396" s="180"/>
      <c r="K396" s="180"/>
      <c r="L396" s="188"/>
      <c r="M396" s="188"/>
      <c r="N396" s="188"/>
      <c r="O396" s="188"/>
      <c r="P396" s="189"/>
      <c r="Q396" s="188"/>
      <c r="R396" s="188"/>
      <c r="S396" s="188"/>
      <c r="T396" s="188"/>
      <c r="U396" s="189"/>
    </row>
    <row r="397" spans="1:21">
      <c r="A397" s="181" t="s">
        <v>1003</v>
      </c>
      <c r="B397" s="182" t="s">
        <v>1005</v>
      </c>
      <c r="C397" s="182" t="s">
        <v>1016</v>
      </c>
      <c r="D397" s="183" t="s">
        <v>187</v>
      </c>
      <c r="E397" s="180"/>
      <c r="F397" s="180"/>
      <c r="G397" s="180"/>
      <c r="H397" s="180"/>
      <c r="I397" s="187"/>
      <c r="J397" s="180"/>
      <c r="K397" s="180"/>
      <c r="L397" s="188"/>
      <c r="M397" s="188"/>
      <c r="N397" s="188"/>
      <c r="O397" s="188"/>
      <c r="P397" s="189"/>
      <c r="Q397" s="188"/>
      <c r="R397" s="188"/>
      <c r="S397" s="188"/>
      <c r="T397" s="188"/>
      <c r="U397" s="189"/>
    </row>
    <row r="398" spans="1:21">
      <c r="A398" s="154">
        <f ca="1">OFFSET('ALRC Indiv Fund Summary (Print)'!UnauthUndocWthdrwls, 0, 1, 1, 1)</f>
        <v>0</v>
      </c>
      <c r="B398" s="13">
        <f ca="1">OFFSET('ALRC Indiv Fund Summary (Print)'!UnauthUndocWthdrwls, 0, 0, 1, 1)</f>
        <v>0</v>
      </c>
      <c r="C398" s="157">
        <f ca="1">IF(OFFSET('ALRC Indiv Fund Summary (Print)'!UnauthUndocWthdrwls, 0, 2, 1, 1) =DATE(1900,1,0),DATE(1900,1,1),OFFSET('ALRC Indiv Fund Summary (Print)'!UnauthUndocWthdrwls, 0, 2, 1, 1))</f>
        <v>1</v>
      </c>
      <c r="D398" s="185">
        <f ca="1">IF(OFFSET('ALRC Indiv Fund Summary (Print)'!UnauthUndocWthdrwls, 0, 3, 1, 1) = "", 0, OFFSET('ALRC Indiv Fund Summary (Print)'!UnauthUndocWthdrwls, 0, 3, 1, 1))</f>
        <v>0</v>
      </c>
      <c r="E398" s="180"/>
      <c r="F398" s="180"/>
      <c r="G398" s="180"/>
      <c r="H398" s="180"/>
      <c r="I398" s="187"/>
      <c r="J398" s="180"/>
      <c r="K398" s="180"/>
      <c r="L398" s="188"/>
      <c r="M398" s="188"/>
      <c r="N398" s="188"/>
      <c r="O398" s="188"/>
      <c r="P398" s="189"/>
      <c r="Q398" s="188"/>
      <c r="R398" s="188"/>
      <c r="S398" s="188"/>
      <c r="T398" s="188"/>
      <c r="U398" s="189"/>
    </row>
    <row r="399" spans="1:21">
      <c r="A399" s="154">
        <f ca="1">OFFSET('ALRC Indiv Fund Summary (Print)'!UnauthUndocWthdrwls, 1, 1, 1, 1)</f>
        <v>0</v>
      </c>
      <c r="B399" s="13">
        <f ca="1">OFFSET('ALRC Indiv Fund Summary (Print)'!UnauthUndocWthdrwls, 1, 0, 1, 1)</f>
        <v>0</v>
      </c>
      <c r="C399" s="157">
        <f ca="1">IF(OFFSET('ALRC Indiv Fund Summary (Print)'!UnauthUndocWthdrwls, 1, 2, 1, 1) =DATE(1900,1,0),DATE(1900,1,1),OFFSET('ALRC Indiv Fund Summary (Print)'!UnauthUndocWthdrwls, 1, 2, 1, 1))</f>
        <v>1</v>
      </c>
      <c r="D399" s="185">
        <f ca="1">IF(OFFSET('ALRC Indiv Fund Summary (Print)'!UnauthUndocWthdrwls, 1, 3, 1, 1) = "", 0, OFFSET('ALRC Indiv Fund Summary (Print)'!UnauthUndocWthdrwls, 1, 3, 1, 1))</f>
        <v>0</v>
      </c>
      <c r="E399" s="180"/>
      <c r="F399" s="180"/>
      <c r="G399" s="180"/>
      <c r="H399" s="180"/>
      <c r="I399" s="187"/>
      <c r="J399" s="180"/>
      <c r="K399" s="180"/>
      <c r="L399" s="188"/>
      <c r="M399" s="188"/>
      <c r="N399" s="188"/>
      <c r="O399" s="188"/>
      <c r="P399" s="189"/>
      <c r="Q399" s="188"/>
      <c r="R399" s="188"/>
      <c r="S399" s="188"/>
      <c r="T399" s="188"/>
      <c r="U399" s="189"/>
    </row>
    <row r="400" spans="1:21">
      <c r="A400" s="154">
        <f ca="1">OFFSET('ALRC Indiv Fund Summary (Print)'!UnauthUndocWthdrwls, 2, 1, 1, 1)</f>
        <v>0</v>
      </c>
      <c r="B400" s="13">
        <f ca="1">OFFSET('ALRC Indiv Fund Summary (Print)'!UnauthUndocWthdrwls, 2, 0, 1, 1)</f>
        <v>0</v>
      </c>
      <c r="C400" s="157">
        <f ca="1">IF(OFFSET('ALRC Indiv Fund Summary (Print)'!UnauthUndocWthdrwls, 2, 2, 1, 1) =DATE(1900,1,0),DATE(1900,1,1),OFFSET('ALRC Indiv Fund Summary (Print)'!UnauthUndocWthdrwls, 2, 2, 1, 1))</f>
        <v>1</v>
      </c>
      <c r="D400" s="185">
        <f ca="1">IF(OFFSET('ALRC Indiv Fund Summary (Print)'!UnauthUndocWthdrwls, 2, 3, 1, 1) = "", 0, OFFSET('ALRC Indiv Fund Summary (Print)'!UnauthUndocWthdrwls, 2, 3, 1, 1))</f>
        <v>0</v>
      </c>
      <c r="E400" s="180"/>
      <c r="F400" s="180"/>
      <c r="G400" s="180"/>
      <c r="H400" s="180"/>
      <c r="I400" s="187"/>
      <c r="J400" s="180"/>
      <c r="K400" s="180"/>
      <c r="L400" s="188"/>
      <c r="M400" s="188"/>
      <c r="N400" s="188"/>
      <c r="O400" s="188"/>
      <c r="P400" s="189"/>
      <c r="Q400" s="188"/>
      <c r="R400" s="188"/>
      <c r="S400" s="188"/>
      <c r="T400" s="188"/>
      <c r="U400" s="189"/>
    </row>
    <row r="401" spans="1:21">
      <c r="A401" s="154">
        <f ca="1">OFFSET('ALRC Indiv Fund Summary (Print)'!UnauthUndocWthdrwls, 3, 1, 1, 1)</f>
        <v>0</v>
      </c>
      <c r="B401" s="13">
        <f ca="1">OFFSET('ALRC Indiv Fund Summary (Print)'!UnauthUndocWthdrwls, 3, 0, 1, 1)</f>
        <v>0</v>
      </c>
      <c r="C401" s="157">
        <f ca="1">IF(OFFSET('ALRC Indiv Fund Summary (Print)'!UnauthUndocWthdrwls, 3, 2, 1, 1) =DATE(1900,1,0),DATE(1900,1,1),OFFSET('ALRC Indiv Fund Summary (Print)'!UnauthUndocWthdrwls, 3, 2, 1, 1))</f>
        <v>1</v>
      </c>
      <c r="D401" s="185">
        <f ca="1">IF(OFFSET('ALRC Indiv Fund Summary (Print)'!UnauthUndocWthdrwls, 3, 3, 1, 1) = "", 0, OFFSET('ALRC Indiv Fund Summary (Print)'!UnauthUndocWthdrwls, 3, 3, 1, 1))</f>
        <v>0</v>
      </c>
      <c r="E401" s="180"/>
      <c r="F401" s="180"/>
      <c r="G401" s="180"/>
      <c r="H401" s="180"/>
      <c r="I401" s="187"/>
      <c r="J401" s="180"/>
      <c r="K401" s="180"/>
      <c r="L401" s="188"/>
      <c r="M401" s="188"/>
      <c r="N401" s="188"/>
      <c r="O401" s="188"/>
      <c r="P401" s="189"/>
      <c r="Q401" s="188"/>
      <c r="R401" s="188"/>
      <c r="S401" s="188"/>
      <c r="T401" s="188"/>
      <c r="U401" s="189"/>
    </row>
    <row r="402" spans="1:21">
      <c r="A402" s="154">
        <f ca="1">OFFSET('ALRC Indiv Fund Summary (Print)'!UnauthUndocWthdrwls, 4, 1, 1, 1)</f>
        <v>0</v>
      </c>
      <c r="B402" s="13">
        <f ca="1">OFFSET('ALRC Indiv Fund Summary (Print)'!UnauthUndocWthdrwls, 4, 0, 1, 1)</f>
        <v>0</v>
      </c>
      <c r="C402" s="157">
        <f ca="1">IF(OFFSET('ALRC Indiv Fund Summary (Print)'!UnauthUndocWthdrwls, 4, 2, 1, 1) =DATE(1900,1,0),DATE(1900,1,1),OFFSET('ALRC Indiv Fund Summary (Print)'!UnauthUndocWthdrwls, 4, 2, 1, 1))</f>
        <v>1</v>
      </c>
      <c r="D402" s="185">
        <f ca="1">IF(OFFSET('ALRC Indiv Fund Summary (Print)'!UnauthUndocWthdrwls, 4, 3, 1, 1) = "", 0, OFFSET('ALRC Indiv Fund Summary (Print)'!UnauthUndocWthdrwls, 4, 3, 1, 1))</f>
        <v>0</v>
      </c>
      <c r="E402" s="180"/>
      <c r="F402" s="180"/>
      <c r="G402" s="180"/>
      <c r="H402" s="180"/>
      <c r="I402" s="187"/>
      <c r="J402" s="180"/>
      <c r="K402" s="180"/>
      <c r="L402" s="188"/>
      <c r="M402" s="188"/>
      <c r="N402" s="188"/>
      <c r="O402" s="188"/>
      <c r="P402" s="189"/>
      <c r="Q402" s="188"/>
      <c r="R402" s="188"/>
      <c r="S402" s="188"/>
      <c r="T402" s="188"/>
      <c r="U402" s="189"/>
    </row>
    <row r="403" spans="1:21">
      <c r="A403" s="154">
        <f ca="1">OFFSET('ALRC Indiv Fund Summary (Print)'!UnauthUndocWthdrwls, 5, 1, 1, 1)</f>
        <v>0</v>
      </c>
      <c r="B403" s="13">
        <f ca="1">OFFSET('ALRC Indiv Fund Summary (Print)'!UnauthUndocWthdrwls, 5, 0, 1, 1)</f>
        <v>0</v>
      </c>
      <c r="C403" s="157">
        <f ca="1">IF(OFFSET('ALRC Indiv Fund Summary (Print)'!UnauthUndocWthdrwls, 5, 2, 1, 1) =DATE(1900,1,0),DATE(1900,1,1),OFFSET('ALRC Indiv Fund Summary (Print)'!UnauthUndocWthdrwls, 5, 2, 1, 1))</f>
        <v>1</v>
      </c>
      <c r="D403" s="185">
        <f ca="1">IF(OFFSET('ALRC Indiv Fund Summary (Print)'!UnauthUndocWthdrwls, 5, 3, 1, 1) = "", 0, OFFSET('ALRC Indiv Fund Summary (Print)'!UnauthUndocWthdrwls, 5, 3, 1, 1))</f>
        <v>0</v>
      </c>
      <c r="E403" s="180"/>
      <c r="F403" s="180"/>
      <c r="G403" s="180"/>
      <c r="H403" s="180"/>
      <c r="I403" s="187"/>
      <c r="J403" s="180"/>
      <c r="K403" s="180"/>
      <c r="L403" s="188"/>
      <c r="M403" s="188"/>
      <c r="N403" s="188"/>
      <c r="O403" s="188"/>
      <c r="P403" s="189"/>
      <c r="Q403" s="188"/>
      <c r="R403" s="188"/>
      <c r="S403" s="188"/>
      <c r="T403" s="188"/>
      <c r="U403" s="189"/>
    </row>
    <row r="404" spans="1:21">
      <c r="A404" s="154">
        <f ca="1">OFFSET('ALRC Indiv Fund Summary (Print)'!UnauthUndocWthdrwls, 6, 1, 1, 1)</f>
        <v>0</v>
      </c>
      <c r="B404" s="13">
        <f ca="1">OFFSET('ALRC Indiv Fund Summary (Print)'!UnauthUndocWthdrwls, 6, 0, 1, 1)</f>
        <v>0</v>
      </c>
      <c r="C404" s="157">
        <f ca="1">IF(OFFSET('ALRC Indiv Fund Summary (Print)'!UnauthUndocWthdrwls, 6, 2, 1, 1) =DATE(1900,1,0),DATE(1900,1,1),OFFSET('ALRC Indiv Fund Summary (Print)'!UnauthUndocWthdrwls, 6, 2, 1, 1))</f>
        <v>1</v>
      </c>
      <c r="D404" s="185">
        <f ca="1">IF(OFFSET('ALRC Indiv Fund Summary (Print)'!UnauthUndocWthdrwls, 6, 3, 1, 1) = "", 0, OFFSET('ALRC Indiv Fund Summary (Print)'!UnauthUndocWthdrwls, 6, 3, 1, 1))</f>
        <v>0</v>
      </c>
      <c r="E404" s="180"/>
      <c r="F404" s="180"/>
      <c r="G404" s="180"/>
      <c r="H404" s="180"/>
      <c r="I404" s="187"/>
      <c r="J404" s="180"/>
      <c r="K404" s="180"/>
      <c r="L404" s="188"/>
      <c r="M404" s="188"/>
      <c r="N404" s="188"/>
      <c r="O404" s="188"/>
      <c r="P404" s="189"/>
      <c r="Q404" s="188"/>
      <c r="R404" s="188"/>
      <c r="S404" s="188"/>
      <c r="T404" s="188"/>
      <c r="U404" s="189"/>
    </row>
    <row r="405" spans="1:21">
      <c r="A405" s="154">
        <f ca="1">OFFSET('ALRC Indiv Fund Summary (Print)'!UnauthUndocWthdrwls, 7, 1, 1, 1)</f>
        <v>0</v>
      </c>
      <c r="B405" s="13">
        <f ca="1">OFFSET('ALRC Indiv Fund Summary (Print)'!UnauthUndocWthdrwls, 7, 0, 1, 1)</f>
        <v>0</v>
      </c>
      <c r="C405" s="157">
        <f ca="1">IF(OFFSET('ALRC Indiv Fund Summary (Print)'!UnauthUndocWthdrwls, 7, 2, 1, 1) =DATE(1900,1,0),DATE(1900,1,1),OFFSET('ALRC Indiv Fund Summary (Print)'!UnauthUndocWthdrwls, 7, 2, 1, 1))</f>
        <v>1</v>
      </c>
      <c r="D405" s="185">
        <f ca="1">IF(OFFSET('ALRC Indiv Fund Summary (Print)'!UnauthUndocWthdrwls, 7, 3, 1, 1) = "", 0, OFFSET('ALRC Indiv Fund Summary (Print)'!UnauthUndocWthdrwls, 7, 3, 1, 1))</f>
        <v>0</v>
      </c>
      <c r="E405" s="180"/>
      <c r="F405" s="180"/>
      <c r="G405" s="180"/>
      <c r="H405" s="180"/>
      <c r="I405" s="187"/>
      <c r="J405" s="180"/>
      <c r="K405" s="180"/>
      <c r="L405" s="188"/>
      <c r="M405" s="188"/>
      <c r="N405" s="188"/>
      <c r="O405" s="188"/>
      <c r="P405" s="189"/>
      <c r="Q405" s="188"/>
      <c r="R405" s="188"/>
      <c r="S405" s="188"/>
      <c r="T405" s="188"/>
      <c r="U405" s="189"/>
    </row>
    <row r="406" spans="1:21">
      <c r="A406" s="154">
        <f ca="1">OFFSET('ALRC Indiv Fund Summary (Print)'!UnauthUndocWthdrwls, 8, 1, 1, 1)</f>
        <v>0</v>
      </c>
      <c r="B406" s="13">
        <f ca="1">OFFSET('ALRC Indiv Fund Summary (Print)'!UnauthUndocWthdrwls, 8, 0, 1, 1)</f>
        <v>0</v>
      </c>
      <c r="C406" s="157">
        <f ca="1">IF(OFFSET('ALRC Indiv Fund Summary (Print)'!UnauthUndocWthdrwls, 8, 2, 1, 1) =DATE(1900,1,0),DATE(1900,1,1),OFFSET('ALRC Indiv Fund Summary (Print)'!UnauthUndocWthdrwls, 8, 2, 1, 1))</f>
        <v>1</v>
      </c>
      <c r="D406" s="185">
        <f ca="1">IF(OFFSET('ALRC Indiv Fund Summary (Print)'!UnauthUndocWthdrwls, 8, 3, 1, 1) = "", 0, OFFSET('ALRC Indiv Fund Summary (Print)'!UnauthUndocWthdrwls, 8, 3, 1, 1))</f>
        <v>0</v>
      </c>
      <c r="E406" s="180"/>
      <c r="F406" s="180"/>
      <c r="G406" s="180"/>
      <c r="H406" s="180"/>
      <c r="I406" s="187"/>
      <c r="J406" s="180"/>
      <c r="K406" s="180"/>
      <c r="L406" s="188"/>
      <c r="M406" s="188"/>
      <c r="N406" s="188"/>
      <c r="O406" s="188"/>
      <c r="P406" s="189"/>
      <c r="Q406" s="188"/>
      <c r="R406" s="188"/>
      <c r="S406" s="188"/>
      <c r="T406" s="188"/>
      <c r="U406" s="189"/>
    </row>
    <row r="407" spans="1:21">
      <c r="A407" s="154">
        <f ca="1">OFFSET('ALRC Indiv Fund Summary (Print)'!UnauthUndocWthdrwls, 9, 1, 1, 1)</f>
        <v>0</v>
      </c>
      <c r="B407" s="13">
        <f ca="1">OFFSET('ALRC Indiv Fund Summary (Print)'!UnauthUndocWthdrwls, 9, 0, 1, 1)</f>
        <v>0</v>
      </c>
      <c r="C407" s="157">
        <f ca="1">IF(OFFSET('ALRC Indiv Fund Summary (Print)'!UnauthUndocWthdrwls, 9, 2, 1, 1) =DATE(1900,1,0),DATE(1900,1,1),OFFSET('ALRC Indiv Fund Summary (Print)'!UnauthUndocWthdrwls, 9, 2, 1, 1))</f>
        <v>1</v>
      </c>
      <c r="D407" s="185">
        <f ca="1">IF(OFFSET('ALRC Indiv Fund Summary (Print)'!UnauthUndocWthdrwls, 9, 3, 1, 1) = "", 0, OFFSET('ALRC Indiv Fund Summary (Print)'!UnauthUndocWthdrwls, 9, 3, 1, 1))</f>
        <v>0</v>
      </c>
      <c r="E407" s="180"/>
      <c r="F407" s="180"/>
      <c r="G407" s="180"/>
      <c r="H407" s="180"/>
      <c r="I407" s="187"/>
      <c r="J407" s="180"/>
      <c r="K407" s="180"/>
      <c r="L407" s="188"/>
      <c r="M407" s="188"/>
      <c r="N407" s="188"/>
      <c r="O407" s="188"/>
      <c r="P407" s="189"/>
      <c r="Q407" s="188"/>
      <c r="R407" s="188"/>
      <c r="S407" s="188"/>
      <c r="T407" s="188"/>
      <c r="U407" s="189"/>
    </row>
    <row r="408" spans="1:21">
      <c r="A408" s="154">
        <f ca="1">OFFSET('ALRC Indiv Fund Summary (Print)'!UnauthUndocWthdrwls, 10, 1, 1, 1)</f>
        <v>0</v>
      </c>
      <c r="B408" s="13">
        <f ca="1">OFFSET('ALRC Indiv Fund Summary (Print)'!UnauthUndocWthdrwls, 10, 0, 1, 1)</f>
        <v>0</v>
      </c>
      <c r="C408" s="157">
        <f ca="1">IF(OFFSET('ALRC Indiv Fund Summary (Print)'!UnauthUndocWthdrwls, 10, 2, 1, 1) =DATE(1900,1,0),DATE(1900,1,1),OFFSET('ALRC Indiv Fund Summary (Print)'!UnauthUndocWthdrwls, 10, 2, 1, 1))</f>
        <v>1</v>
      </c>
      <c r="D408" s="185">
        <f ca="1">IF(OFFSET('ALRC Indiv Fund Summary (Print)'!UnauthUndocWthdrwls, 10, 3, 1, 1) = "", 0, OFFSET('ALRC Indiv Fund Summary (Print)'!UnauthUndocWthdrwls, 10, 3, 1, 1))</f>
        <v>0</v>
      </c>
      <c r="E408" s="180"/>
      <c r="F408" s="180"/>
      <c r="G408" s="180"/>
      <c r="H408" s="180"/>
      <c r="I408" s="187"/>
      <c r="J408" s="180"/>
      <c r="K408" s="180"/>
      <c r="L408" s="188"/>
      <c r="M408" s="188"/>
      <c r="N408" s="188"/>
      <c r="O408" s="188"/>
      <c r="P408" s="189"/>
      <c r="Q408" s="188"/>
      <c r="R408" s="188"/>
      <c r="S408" s="188"/>
      <c r="T408" s="188"/>
      <c r="U408" s="189"/>
    </row>
    <row r="409" spans="1:21">
      <c r="A409" s="154">
        <f ca="1">OFFSET('ALRC Indiv Fund Summary (Print)'!UnauthUndocWthdrwls, 11, 1, 1, 1)</f>
        <v>0</v>
      </c>
      <c r="B409" s="13">
        <f ca="1">OFFSET('ALRC Indiv Fund Summary (Print)'!UnauthUndocWthdrwls, 11, 0, 1, 1)</f>
        <v>0</v>
      </c>
      <c r="C409" s="157">
        <f ca="1">IF(OFFSET('ALRC Indiv Fund Summary (Print)'!UnauthUndocWthdrwls, 11, 2, 1, 1) =DATE(1900,1,0),DATE(1900,1,1),OFFSET('ALRC Indiv Fund Summary (Print)'!UnauthUndocWthdrwls, 11, 2, 1, 1))</f>
        <v>1</v>
      </c>
      <c r="D409" s="185">
        <f ca="1">IF(OFFSET('ALRC Indiv Fund Summary (Print)'!UnauthUndocWthdrwls, 11, 3, 1, 1) = "", 0, OFFSET('ALRC Indiv Fund Summary (Print)'!UnauthUndocWthdrwls, 11, 3, 1, 1))</f>
        <v>0</v>
      </c>
      <c r="E409" s="180"/>
      <c r="F409" s="180"/>
      <c r="G409" s="180"/>
      <c r="H409" s="180"/>
      <c r="I409" s="187"/>
      <c r="J409" s="180"/>
      <c r="K409" s="180"/>
      <c r="L409" s="188"/>
      <c r="M409" s="188"/>
      <c r="N409" s="188"/>
      <c r="O409" s="188"/>
      <c r="P409" s="189"/>
      <c r="Q409" s="188"/>
      <c r="R409" s="188"/>
      <c r="S409" s="188"/>
      <c r="T409" s="188"/>
      <c r="U409" s="189"/>
    </row>
    <row r="410" spans="1:21">
      <c r="A410" s="154">
        <f ca="1">OFFSET('ALRC Indiv Fund Summary (Print)'!UnauthUndocWthdrwls, 12, 1, 1, 1)</f>
        <v>0</v>
      </c>
      <c r="B410" s="13">
        <f ca="1">OFFSET('ALRC Indiv Fund Summary (Print)'!UnauthUndocWthdrwls, 12, 0, 1, 1)</f>
        <v>0</v>
      </c>
      <c r="C410" s="157">
        <f ca="1">IF(OFFSET('ALRC Indiv Fund Summary (Print)'!UnauthUndocWthdrwls, 12, 2, 1, 1) =DATE(1900,1,0),DATE(1900,1,1),OFFSET('ALRC Indiv Fund Summary (Print)'!UnauthUndocWthdrwls, 12, 2, 1, 1))</f>
        <v>1</v>
      </c>
      <c r="D410" s="185">
        <f ca="1">IF(OFFSET('ALRC Indiv Fund Summary (Print)'!UnauthUndocWthdrwls, 12, 3, 1, 1) = "", 0, OFFSET('ALRC Indiv Fund Summary (Print)'!UnauthUndocWthdrwls, 12, 3, 1, 1))</f>
        <v>0</v>
      </c>
      <c r="E410" s="180"/>
      <c r="F410" s="180"/>
      <c r="G410" s="180"/>
      <c r="H410" s="180"/>
      <c r="I410" s="187"/>
      <c r="J410" s="180"/>
      <c r="K410" s="180"/>
      <c r="L410" s="188"/>
      <c r="M410" s="188"/>
      <c r="N410" s="188"/>
      <c r="O410" s="188"/>
      <c r="P410" s="189"/>
      <c r="Q410" s="188"/>
      <c r="R410" s="188"/>
      <c r="S410" s="188"/>
      <c r="T410" s="188"/>
      <c r="U410" s="189"/>
    </row>
    <row r="411" spans="1:21">
      <c r="A411" s="154">
        <f ca="1">OFFSET('ALRC Indiv Fund Summary (Print)'!UnauthUndocWthdrwls, 13, 1, 1, 1)</f>
        <v>0</v>
      </c>
      <c r="B411" s="13">
        <f ca="1">OFFSET('ALRC Indiv Fund Summary (Print)'!UnauthUndocWthdrwls, 13, 0, 1, 1)</f>
        <v>0</v>
      </c>
      <c r="C411" s="157">
        <f ca="1">IF(OFFSET('ALRC Indiv Fund Summary (Print)'!UnauthUndocWthdrwls, 13, 2, 1, 1) =DATE(1900,1,0),DATE(1900,1,1),OFFSET('ALRC Indiv Fund Summary (Print)'!UnauthUndocWthdrwls, 13, 2, 1, 1))</f>
        <v>1</v>
      </c>
      <c r="D411" s="185">
        <f ca="1">IF(OFFSET('ALRC Indiv Fund Summary (Print)'!UnauthUndocWthdrwls, 13, 3, 1, 1) = "", 0, OFFSET('ALRC Indiv Fund Summary (Print)'!UnauthUndocWthdrwls, 13, 3, 1, 1))</f>
        <v>0</v>
      </c>
      <c r="E411" s="180"/>
      <c r="F411" s="180"/>
      <c r="G411" s="180"/>
      <c r="H411" s="180"/>
      <c r="I411" s="187"/>
      <c r="J411" s="180"/>
      <c r="K411" s="180"/>
      <c r="L411" s="188"/>
      <c r="M411" s="188"/>
      <c r="N411" s="188"/>
      <c r="O411" s="188"/>
      <c r="P411" s="189"/>
      <c r="Q411" s="188"/>
      <c r="R411" s="188"/>
      <c r="S411" s="188"/>
      <c r="T411" s="188"/>
      <c r="U411" s="189"/>
    </row>
    <row r="412" spans="1:21">
      <c r="A412" s="154">
        <f ca="1">OFFSET('ALRC Indiv Fund Summary (Print)'!UnauthUndocWthdrwls, 14, 1, 1, 1)</f>
        <v>0</v>
      </c>
      <c r="B412" s="13">
        <f ca="1">OFFSET('ALRC Indiv Fund Summary (Print)'!UnauthUndocWthdrwls, 14, 0, 1, 1)</f>
        <v>0</v>
      </c>
      <c r="C412" s="157">
        <f ca="1">IF(OFFSET('ALRC Indiv Fund Summary (Print)'!UnauthUndocWthdrwls, 14, 2, 1, 1) =DATE(1900,1,0),DATE(1900,1,1),OFFSET('ALRC Indiv Fund Summary (Print)'!UnauthUndocWthdrwls, 14, 2, 1, 1))</f>
        <v>1</v>
      </c>
      <c r="D412" s="185">
        <f ca="1">IF(OFFSET('ALRC Indiv Fund Summary (Print)'!UnauthUndocWthdrwls, 14, 3, 1, 1) = "", 0, OFFSET('ALRC Indiv Fund Summary (Print)'!UnauthUndocWthdrwls, 14, 3, 1, 1))</f>
        <v>0</v>
      </c>
      <c r="E412" s="180"/>
      <c r="F412" s="180"/>
      <c r="G412" s="180"/>
      <c r="H412" s="180"/>
      <c r="I412" s="187"/>
      <c r="J412" s="180"/>
      <c r="K412" s="180"/>
      <c r="L412" s="188"/>
      <c r="M412" s="188"/>
      <c r="N412" s="188"/>
      <c r="O412" s="188"/>
      <c r="P412" s="189"/>
      <c r="Q412" s="188"/>
      <c r="R412" s="188"/>
      <c r="S412" s="188"/>
      <c r="T412" s="188"/>
      <c r="U412" s="189"/>
    </row>
    <row r="413" spans="1:21">
      <c r="A413" s="154">
        <f ca="1">OFFSET('ALRC Indiv Fund Summary (Print)'!UnauthUndocWthdrwls, 15, 1, 1, 1)</f>
        <v>0</v>
      </c>
      <c r="B413" s="13">
        <f ca="1">OFFSET('ALRC Indiv Fund Summary (Print)'!UnauthUndocWthdrwls, 15, 0, 1, 1)</f>
        <v>0</v>
      </c>
      <c r="C413" s="157">
        <f ca="1">IF(OFFSET('ALRC Indiv Fund Summary (Print)'!UnauthUndocWthdrwls, 15, 2, 1, 1) =DATE(1900,1,0),DATE(1900,1,1),OFFSET('ALRC Indiv Fund Summary (Print)'!UnauthUndocWthdrwls, 15, 2, 1, 1))</f>
        <v>1</v>
      </c>
      <c r="D413" s="185">
        <f ca="1">IF(OFFSET('ALRC Indiv Fund Summary (Print)'!UnauthUndocWthdrwls, 15, 3, 1, 1) = "", 0, OFFSET('ALRC Indiv Fund Summary (Print)'!UnauthUndocWthdrwls, 15, 3, 1, 1))</f>
        <v>0</v>
      </c>
      <c r="E413" s="180"/>
      <c r="F413" s="180"/>
      <c r="G413" s="180"/>
      <c r="H413" s="180"/>
      <c r="I413" s="187"/>
      <c r="J413" s="180"/>
      <c r="K413" s="180"/>
      <c r="L413" s="188"/>
      <c r="M413" s="188"/>
      <c r="N413" s="188"/>
      <c r="O413" s="188"/>
      <c r="P413" s="189"/>
      <c r="Q413" s="188"/>
      <c r="R413" s="188"/>
      <c r="S413" s="188"/>
      <c r="T413" s="188"/>
      <c r="U413" s="189"/>
    </row>
    <row r="414" spans="1:21">
      <c r="A414" s="154">
        <f ca="1">OFFSET('ALRC Indiv Fund Summary (Print)'!UnauthUndocWthdrwls, 16, 1, 1, 1)</f>
        <v>0</v>
      </c>
      <c r="B414" s="13">
        <f ca="1">OFFSET('ALRC Indiv Fund Summary (Print)'!UnauthUndocWthdrwls, 16, 0, 1, 1)</f>
        <v>0</v>
      </c>
      <c r="C414" s="157">
        <f ca="1">IF(OFFSET('ALRC Indiv Fund Summary (Print)'!UnauthUndocWthdrwls, 16, 2, 1, 1) =DATE(1900,1,0),DATE(1900,1,1),OFFSET('ALRC Indiv Fund Summary (Print)'!UnauthUndocWthdrwls, 16, 2, 1, 1))</f>
        <v>1</v>
      </c>
      <c r="D414" s="185">
        <f ca="1">IF(OFFSET('ALRC Indiv Fund Summary (Print)'!UnauthUndocWthdrwls, 16, 3, 1, 1) = "", 0, OFFSET('ALRC Indiv Fund Summary (Print)'!UnauthUndocWthdrwls, 16, 3, 1, 1))</f>
        <v>0</v>
      </c>
      <c r="E414" s="180"/>
      <c r="F414" s="180"/>
      <c r="G414" s="180"/>
      <c r="H414" s="180"/>
      <c r="I414" s="187"/>
      <c r="J414" s="180"/>
      <c r="K414" s="180"/>
      <c r="L414" s="188"/>
      <c r="M414" s="188"/>
      <c r="N414" s="188"/>
      <c r="O414" s="188"/>
      <c r="P414" s="189"/>
      <c r="Q414" s="188"/>
      <c r="R414" s="188"/>
      <c r="S414" s="188"/>
      <c r="T414" s="188"/>
      <c r="U414" s="189"/>
    </row>
    <row r="415" spans="1:21">
      <c r="A415" s="154">
        <f ca="1">OFFSET('ALRC Indiv Fund Summary (Print)'!UnauthUndocWthdrwls, 17, 1, 1, 1)</f>
        <v>0</v>
      </c>
      <c r="B415" s="13">
        <f ca="1">OFFSET('ALRC Indiv Fund Summary (Print)'!UnauthUndocWthdrwls, 17, 0, 1, 1)</f>
        <v>0</v>
      </c>
      <c r="C415" s="157">
        <f ca="1">IF(OFFSET('ALRC Indiv Fund Summary (Print)'!UnauthUndocWthdrwls, 17, 2, 1, 1) =DATE(1900,1,0),DATE(1900,1,1),OFFSET('ALRC Indiv Fund Summary (Print)'!UnauthUndocWthdrwls, 17, 2, 1, 1))</f>
        <v>1</v>
      </c>
      <c r="D415" s="185">
        <f ca="1">IF(OFFSET('ALRC Indiv Fund Summary (Print)'!UnauthUndocWthdrwls, 17, 3, 1, 1) = "", 0, OFFSET('ALRC Indiv Fund Summary (Print)'!UnauthUndocWthdrwls, 17, 3, 1, 1))</f>
        <v>0</v>
      </c>
      <c r="E415" s="180"/>
      <c r="F415" s="180"/>
      <c r="G415" s="180"/>
      <c r="H415" s="180"/>
      <c r="I415" s="187"/>
      <c r="J415" s="180"/>
      <c r="K415" s="180"/>
      <c r="L415" s="188"/>
      <c r="M415" s="188"/>
      <c r="N415" s="188"/>
      <c r="O415" s="188"/>
      <c r="P415" s="189"/>
      <c r="Q415" s="188"/>
      <c r="R415" s="188"/>
      <c r="S415" s="188"/>
      <c r="T415" s="188"/>
      <c r="U415" s="189"/>
    </row>
    <row r="416" spans="1:21">
      <c r="A416" s="154">
        <f ca="1">OFFSET('ALRC Indiv Fund Summary (Print)'!UnauthUndocWthdrwls, 18, 1, 1, 1)</f>
        <v>0</v>
      </c>
      <c r="B416" s="13">
        <f ca="1">OFFSET('ALRC Indiv Fund Summary (Print)'!UnauthUndocWthdrwls, 18, 0, 1, 1)</f>
        <v>0</v>
      </c>
      <c r="C416" s="157">
        <f ca="1">IF(OFFSET('ALRC Indiv Fund Summary (Print)'!UnauthUndocWthdrwls, 18, 2, 1, 1) =DATE(1900,1,0),DATE(1900,1,1),OFFSET('ALRC Indiv Fund Summary (Print)'!UnauthUndocWthdrwls, 18, 2, 1, 1))</f>
        <v>1</v>
      </c>
      <c r="D416" s="185">
        <f ca="1">IF(OFFSET('ALRC Indiv Fund Summary (Print)'!UnauthUndocWthdrwls, 18, 3, 1, 1) = "", 0, OFFSET('ALRC Indiv Fund Summary (Print)'!UnauthUndocWthdrwls, 18, 3, 1, 1))</f>
        <v>0</v>
      </c>
      <c r="E416" s="180"/>
      <c r="F416" s="180"/>
      <c r="G416" s="180"/>
      <c r="H416" s="180"/>
      <c r="I416" s="187"/>
      <c r="J416" s="180"/>
      <c r="K416" s="180"/>
      <c r="L416" s="188"/>
      <c r="M416" s="188"/>
      <c r="N416" s="188"/>
      <c r="O416" s="188"/>
      <c r="P416" s="189"/>
      <c r="Q416" s="188"/>
      <c r="R416" s="188"/>
      <c r="S416" s="188"/>
      <c r="T416" s="188"/>
      <c r="U416" s="189"/>
    </row>
    <row r="417" spans="1:21">
      <c r="A417" s="154">
        <f ca="1">OFFSET('ALRC Indiv Fund Summary (Print)'!UnauthUndocWthdrwls, 19, 1, 1, 1)</f>
        <v>0</v>
      </c>
      <c r="B417" s="13">
        <f ca="1">OFFSET('ALRC Indiv Fund Summary (Print)'!UnauthUndocWthdrwls, 19, 0, 1, 1)</f>
        <v>0</v>
      </c>
      <c r="C417" s="157">
        <f ca="1">IF(OFFSET('ALRC Indiv Fund Summary (Print)'!UnauthUndocWthdrwls, 19, 2, 1, 1) =DATE(1900,1,0),DATE(1900,1,1),OFFSET('ALRC Indiv Fund Summary (Print)'!UnauthUndocWthdrwls, 19, 2, 1, 1))</f>
        <v>1</v>
      </c>
      <c r="D417" s="185">
        <f ca="1">IF(OFFSET('ALRC Indiv Fund Summary (Print)'!UnauthUndocWthdrwls, 19, 3, 1, 1) = "", 0, OFFSET('ALRC Indiv Fund Summary (Print)'!UnauthUndocWthdrwls, 19, 3, 1, 1))</f>
        <v>0</v>
      </c>
      <c r="E417" s="180"/>
      <c r="F417" s="180"/>
      <c r="G417" s="180"/>
      <c r="H417" s="180"/>
      <c r="I417" s="187"/>
      <c r="J417" s="180"/>
      <c r="K417" s="180"/>
      <c r="L417" s="188"/>
      <c r="M417" s="188"/>
      <c r="N417" s="188"/>
      <c r="O417" s="188"/>
      <c r="P417" s="189"/>
      <c r="Q417" s="188"/>
      <c r="R417" s="188"/>
      <c r="S417" s="188"/>
      <c r="T417" s="188"/>
      <c r="U417" s="189"/>
    </row>
    <row r="418" spans="1:21">
      <c r="A418" s="154">
        <f ca="1">OFFSET('ALRC Indiv Fund Summary (Print)'!UnauthUndocWthdrwls, 20, 1, 1, 1)</f>
        <v>0</v>
      </c>
      <c r="B418" s="13">
        <f ca="1">OFFSET('ALRC Indiv Fund Summary (Print)'!UnauthUndocWthdrwls, 20, 0, 1, 1)</f>
        <v>0</v>
      </c>
      <c r="C418" s="157">
        <f ca="1">IF(OFFSET('ALRC Indiv Fund Summary (Print)'!UnauthUndocWthdrwls, 20, 2, 1, 1) =DATE(1900,1,0),DATE(1900,1,1),OFFSET('ALRC Indiv Fund Summary (Print)'!UnauthUndocWthdrwls, 20, 2, 1, 1))</f>
        <v>1</v>
      </c>
      <c r="D418" s="185">
        <f ca="1">IF(OFFSET('ALRC Indiv Fund Summary (Print)'!UnauthUndocWthdrwls, 20, 3, 1, 1) = "", 0, OFFSET('ALRC Indiv Fund Summary (Print)'!UnauthUndocWthdrwls, 20, 3, 1, 1))</f>
        <v>0</v>
      </c>
      <c r="E418" s="180"/>
      <c r="F418" s="180"/>
      <c r="G418" s="180"/>
      <c r="H418" s="180"/>
      <c r="I418" s="187"/>
      <c r="J418" s="180"/>
      <c r="K418" s="180"/>
      <c r="L418" s="188"/>
      <c r="M418" s="188"/>
      <c r="N418" s="188"/>
      <c r="O418" s="188"/>
      <c r="P418" s="189"/>
      <c r="Q418" s="188"/>
      <c r="R418" s="188"/>
      <c r="S418" s="188"/>
      <c r="T418" s="188"/>
      <c r="U418" s="189"/>
    </row>
    <row r="419" spans="1:21">
      <c r="A419" s="154">
        <f ca="1">OFFSET('ALRC Indiv Fund Summary (Print)'!UnauthUndocWthdrwls, 21, 1, 1, 1)</f>
        <v>0</v>
      </c>
      <c r="B419" s="13">
        <f ca="1">OFFSET('ALRC Indiv Fund Summary (Print)'!UnauthUndocWthdrwls, 21, 0, 1, 1)</f>
        <v>0</v>
      </c>
      <c r="C419" s="157">
        <f ca="1">IF(OFFSET('ALRC Indiv Fund Summary (Print)'!UnauthUndocWthdrwls, 21, 2, 1, 1) =DATE(1900,1,0),DATE(1900,1,1),OFFSET('ALRC Indiv Fund Summary (Print)'!UnauthUndocWthdrwls, 21, 2, 1, 1))</f>
        <v>1</v>
      </c>
      <c r="D419" s="185">
        <f ca="1">IF(OFFSET('ALRC Indiv Fund Summary (Print)'!UnauthUndocWthdrwls, 21, 3, 1, 1) = "", 0, OFFSET('ALRC Indiv Fund Summary (Print)'!UnauthUndocWthdrwls, 21, 3, 1, 1))</f>
        <v>0</v>
      </c>
      <c r="E419" s="180"/>
      <c r="F419" s="180"/>
      <c r="G419" s="180"/>
      <c r="H419" s="180"/>
      <c r="I419" s="187"/>
      <c r="J419" s="180"/>
      <c r="K419" s="180"/>
      <c r="L419" s="188"/>
      <c r="M419" s="188"/>
      <c r="N419" s="188"/>
      <c r="O419" s="188"/>
      <c r="P419" s="189"/>
      <c r="Q419" s="188"/>
      <c r="R419" s="188"/>
      <c r="S419" s="188"/>
      <c r="T419" s="188"/>
      <c r="U419" s="189"/>
    </row>
    <row r="420" spans="1:21">
      <c r="A420" s="154">
        <f ca="1">OFFSET('ALRC Indiv Fund Summary (Print)'!UnauthUndocWthdrwls, 22, 1, 1, 1)</f>
        <v>0</v>
      </c>
      <c r="B420" s="13">
        <f ca="1">OFFSET('ALRC Indiv Fund Summary (Print)'!UnauthUndocWthdrwls, 22, 0, 1, 1)</f>
        <v>0</v>
      </c>
      <c r="C420" s="157">
        <f ca="1">IF(OFFSET('ALRC Indiv Fund Summary (Print)'!UnauthUndocWthdrwls, 22, 2, 1, 1) =DATE(1900,1,0),DATE(1900,1,1),OFFSET('ALRC Indiv Fund Summary (Print)'!UnauthUndocWthdrwls, 22, 2, 1, 1))</f>
        <v>1</v>
      </c>
      <c r="D420" s="185">
        <f ca="1">IF(OFFSET('ALRC Indiv Fund Summary (Print)'!UnauthUndocWthdrwls, 22, 3, 1, 1) = "", 0, OFFSET('ALRC Indiv Fund Summary (Print)'!UnauthUndocWthdrwls, 22, 3, 1, 1))</f>
        <v>0</v>
      </c>
      <c r="E420" s="180"/>
      <c r="F420" s="180"/>
      <c r="G420" s="180"/>
      <c r="H420" s="180"/>
      <c r="I420" s="187"/>
      <c r="J420" s="180"/>
      <c r="K420" s="180"/>
      <c r="L420" s="188"/>
      <c r="M420" s="188"/>
      <c r="N420" s="188"/>
      <c r="O420" s="188"/>
      <c r="P420" s="189"/>
      <c r="Q420" s="188"/>
      <c r="R420" s="188"/>
      <c r="S420" s="188"/>
      <c r="T420" s="188"/>
      <c r="U420" s="189"/>
    </row>
    <row r="421" spans="1:21">
      <c r="A421" s="154">
        <f ca="1">OFFSET('ALRC Indiv Fund Summary (Print)'!UnauthUndocWthdrwls, 23, 1, 1, 1)</f>
        <v>0</v>
      </c>
      <c r="B421" s="13">
        <f ca="1">OFFSET('ALRC Indiv Fund Summary (Print)'!UnauthUndocWthdrwls, 23, 0, 1, 1)</f>
        <v>0</v>
      </c>
      <c r="C421" s="157">
        <f ca="1">IF(OFFSET('ALRC Indiv Fund Summary (Print)'!UnauthUndocWthdrwls, 23, 2, 1, 1) =DATE(1900,1,0),DATE(1900,1,1),OFFSET('ALRC Indiv Fund Summary (Print)'!UnauthUndocWthdrwls, 23, 2, 1, 1))</f>
        <v>1</v>
      </c>
      <c r="D421" s="185">
        <f ca="1">IF(OFFSET('ALRC Indiv Fund Summary (Print)'!UnauthUndocWthdrwls, 23, 3, 1, 1) = "", 0, OFFSET('ALRC Indiv Fund Summary (Print)'!UnauthUndocWthdrwls, 23, 3, 1, 1))</f>
        <v>0</v>
      </c>
      <c r="E421" s="180"/>
      <c r="F421" s="180"/>
      <c r="G421" s="180"/>
      <c r="H421" s="180"/>
      <c r="I421" s="187"/>
      <c r="J421" s="180"/>
      <c r="K421" s="180"/>
      <c r="L421" s="188"/>
      <c r="M421" s="188"/>
      <c r="N421" s="188"/>
      <c r="O421" s="188"/>
      <c r="P421" s="189"/>
      <c r="Q421" s="188"/>
      <c r="R421" s="188"/>
      <c r="S421" s="188"/>
      <c r="T421" s="188"/>
      <c r="U421" s="189"/>
    </row>
    <row r="422" spans="1:21">
      <c r="A422" s="154">
        <f ca="1">OFFSET('ALRC Indiv Fund Summary (Print)'!UnauthUndocWthdrwls, 24, 1, 1, 1)</f>
        <v>0</v>
      </c>
      <c r="B422" s="13">
        <f ca="1">OFFSET('ALRC Indiv Fund Summary (Print)'!UnauthUndocWthdrwls, 24, 0, 1, 1)</f>
        <v>0</v>
      </c>
      <c r="C422" s="157">
        <f ca="1">IF(OFFSET('ALRC Indiv Fund Summary (Print)'!UnauthUndocWthdrwls, 24, 2, 1, 1) =DATE(1900,1,0),DATE(1900,1,1),OFFSET('ALRC Indiv Fund Summary (Print)'!UnauthUndocWthdrwls, 24, 2, 1, 1))</f>
        <v>1</v>
      </c>
      <c r="D422" s="185">
        <f ca="1">IF(OFFSET('ALRC Indiv Fund Summary (Print)'!UnauthUndocWthdrwls, 24, 3, 1, 1) = "", 0, OFFSET('ALRC Indiv Fund Summary (Print)'!UnauthUndocWthdrwls, 24, 3, 1, 1))</f>
        <v>0</v>
      </c>
      <c r="E422" s="180"/>
      <c r="F422" s="180"/>
      <c r="G422" s="180"/>
      <c r="H422" s="180"/>
      <c r="I422" s="187"/>
      <c r="J422" s="180"/>
      <c r="K422" s="180"/>
      <c r="L422" s="188"/>
      <c r="M422" s="188"/>
      <c r="N422" s="188"/>
      <c r="O422" s="188"/>
      <c r="P422" s="189"/>
      <c r="Q422" s="188"/>
      <c r="R422" s="188"/>
      <c r="S422" s="188"/>
      <c r="T422" s="188"/>
      <c r="U422" s="189"/>
    </row>
    <row r="423" spans="1:21">
      <c r="A423" s="154">
        <f ca="1">OFFSET('ALRC Indiv Fund Summary (Print)'!UnauthUndocWthdrwls, 25, 1, 1, 1)</f>
        <v>0</v>
      </c>
      <c r="B423" s="13">
        <f ca="1">OFFSET('ALRC Indiv Fund Summary (Print)'!UnauthUndocWthdrwls, 25, 0, 1, 1)</f>
        <v>0</v>
      </c>
      <c r="C423" s="157">
        <f ca="1">IF(OFFSET('ALRC Indiv Fund Summary (Print)'!UnauthUndocWthdrwls, 25, 2, 1, 1) =DATE(1900,1,0),DATE(1900,1,1),OFFSET('ALRC Indiv Fund Summary (Print)'!UnauthUndocWthdrwls, 25, 2, 1, 1))</f>
        <v>1</v>
      </c>
      <c r="D423" s="185">
        <f ca="1">IF(OFFSET('ALRC Indiv Fund Summary (Print)'!UnauthUndocWthdrwls, 25, 3, 1, 1) = "", 0, OFFSET('ALRC Indiv Fund Summary (Print)'!UnauthUndocWthdrwls, 25, 3, 1, 1))</f>
        <v>0</v>
      </c>
      <c r="E423" s="180"/>
      <c r="F423" s="180"/>
      <c r="G423" s="180"/>
      <c r="H423" s="180"/>
      <c r="I423" s="187"/>
      <c r="J423" s="180"/>
      <c r="K423" s="180"/>
      <c r="L423" s="188"/>
      <c r="M423" s="188"/>
      <c r="N423" s="188"/>
      <c r="O423" s="188"/>
      <c r="P423" s="189"/>
      <c r="Q423" s="188"/>
      <c r="R423" s="188"/>
      <c r="S423" s="188"/>
      <c r="T423" s="188"/>
      <c r="U423" s="189"/>
    </row>
    <row r="424" spans="1:21">
      <c r="A424" s="154">
        <f ca="1">OFFSET('ALRC Indiv Fund Summary (Print)'!UnauthUndocWthdrwls, 26, 1, 1, 1)</f>
        <v>0</v>
      </c>
      <c r="B424" s="13">
        <f ca="1">OFFSET('ALRC Indiv Fund Summary (Print)'!UnauthUndocWthdrwls, 26, 0, 1, 1)</f>
        <v>0</v>
      </c>
      <c r="C424" s="157">
        <f ca="1">IF(OFFSET('ALRC Indiv Fund Summary (Print)'!UnauthUndocWthdrwls, 26, 2, 1, 1) =DATE(1900,1,0),DATE(1900,1,1),OFFSET('ALRC Indiv Fund Summary (Print)'!UnauthUndocWthdrwls, 26, 2, 1, 1))</f>
        <v>1</v>
      </c>
      <c r="D424" s="185">
        <f ca="1">IF(OFFSET('ALRC Indiv Fund Summary (Print)'!UnauthUndocWthdrwls, 26, 3, 1, 1) = "", 0, OFFSET('ALRC Indiv Fund Summary (Print)'!UnauthUndocWthdrwls, 26, 3, 1, 1))</f>
        <v>0</v>
      </c>
      <c r="E424" s="180"/>
      <c r="F424" s="180"/>
      <c r="G424" s="180"/>
      <c r="H424" s="180"/>
      <c r="I424" s="187"/>
      <c r="J424" s="180"/>
      <c r="K424" s="180"/>
      <c r="L424" s="188"/>
      <c r="M424" s="188"/>
      <c r="N424" s="188"/>
      <c r="O424" s="188"/>
      <c r="P424" s="189"/>
      <c r="Q424" s="188"/>
      <c r="R424" s="188"/>
      <c r="S424" s="188"/>
      <c r="T424" s="188"/>
      <c r="U424" s="189"/>
    </row>
    <row r="425" spans="1:21">
      <c r="A425" s="154">
        <f ca="1">OFFSET('ALRC Indiv Fund Summary (Print)'!UnauthUndocWthdrwls, 27, 1, 1, 1)</f>
        <v>0</v>
      </c>
      <c r="B425" s="13">
        <f ca="1">OFFSET('ALRC Indiv Fund Summary (Print)'!UnauthUndocWthdrwls, 27, 0, 1, 1)</f>
        <v>0</v>
      </c>
      <c r="C425" s="157">
        <f ca="1">IF(OFFSET('ALRC Indiv Fund Summary (Print)'!UnauthUndocWthdrwls, 27, 2, 1, 1) =DATE(1900,1,0),DATE(1900,1,1),OFFSET('ALRC Indiv Fund Summary (Print)'!UnauthUndocWthdrwls, 27, 2, 1, 1))</f>
        <v>1</v>
      </c>
      <c r="D425" s="185">
        <f ca="1">IF(OFFSET('ALRC Indiv Fund Summary (Print)'!UnauthUndocWthdrwls, 27, 3, 1, 1) = "", 0, OFFSET('ALRC Indiv Fund Summary (Print)'!UnauthUndocWthdrwls, 27, 3, 1, 1))</f>
        <v>0</v>
      </c>
      <c r="E425" s="180"/>
      <c r="F425" s="180"/>
      <c r="G425" s="180"/>
      <c r="H425" s="180"/>
      <c r="I425" s="187"/>
      <c r="J425" s="180"/>
      <c r="K425" s="180"/>
      <c r="L425" s="188"/>
      <c r="M425" s="188"/>
      <c r="N425" s="188"/>
      <c r="O425" s="188"/>
      <c r="P425" s="189"/>
      <c r="Q425" s="188"/>
      <c r="R425" s="188"/>
      <c r="S425" s="188"/>
      <c r="T425" s="188"/>
      <c r="U425" s="189"/>
    </row>
    <row r="426" spans="1:21">
      <c r="A426" s="154">
        <f ca="1">OFFSET('ALRC Indiv Fund Summary (Print)'!UnauthUndocWthdrwls, 28, 1, 1, 1)</f>
        <v>0</v>
      </c>
      <c r="B426" s="13">
        <f ca="1">OFFSET('ALRC Indiv Fund Summary (Print)'!UnauthUndocWthdrwls, 28, 0, 1, 1)</f>
        <v>0</v>
      </c>
      <c r="C426" s="157">
        <f ca="1">IF(OFFSET('ALRC Indiv Fund Summary (Print)'!UnauthUndocWthdrwls, 28, 2, 1, 1) =DATE(1900,1,0),DATE(1900,1,1),OFFSET('ALRC Indiv Fund Summary (Print)'!UnauthUndocWthdrwls, 28, 2, 1, 1))</f>
        <v>1</v>
      </c>
      <c r="D426" s="185">
        <f ca="1">IF(OFFSET('ALRC Indiv Fund Summary (Print)'!UnauthUndocWthdrwls, 28, 3, 1, 1) = "", 0, OFFSET('ALRC Indiv Fund Summary (Print)'!UnauthUndocWthdrwls, 28, 3, 1, 1))</f>
        <v>0</v>
      </c>
      <c r="E426" s="180"/>
      <c r="F426" s="180"/>
      <c r="G426" s="180"/>
      <c r="H426" s="180"/>
      <c r="I426" s="187"/>
      <c r="J426" s="180"/>
      <c r="K426" s="180"/>
      <c r="L426" s="188"/>
      <c r="M426" s="188"/>
      <c r="N426" s="188"/>
      <c r="O426" s="188"/>
      <c r="P426" s="189"/>
      <c r="Q426" s="188"/>
      <c r="R426" s="188"/>
      <c r="S426" s="188"/>
      <c r="T426" s="188"/>
      <c r="U426" s="189"/>
    </row>
    <row r="427" spans="1:21">
      <c r="A427" s="154">
        <f ca="1">OFFSET('ALRC Indiv Fund Summary (Print)'!UnauthUndocWthdrwls, 29, 1, 1, 1)</f>
        <v>0</v>
      </c>
      <c r="B427" s="13">
        <f ca="1">OFFSET('ALRC Indiv Fund Summary (Print)'!UnauthUndocWthdrwls, 29, 0, 1, 1)</f>
        <v>0</v>
      </c>
      <c r="C427" s="157">
        <f ca="1">IF(OFFSET('ALRC Indiv Fund Summary (Print)'!UnauthUndocWthdrwls, 29, 2, 1, 1) =DATE(1900,1,0),DATE(1900,1,1),OFFSET('ALRC Indiv Fund Summary (Print)'!UnauthUndocWthdrwls, 29, 2, 1, 1))</f>
        <v>1</v>
      </c>
      <c r="D427" s="185">
        <f ca="1">IF(OFFSET('ALRC Indiv Fund Summary (Print)'!UnauthUndocWthdrwls, 29, 3, 1, 1) = "", 0, OFFSET('ALRC Indiv Fund Summary (Print)'!UnauthUndocWthdrwls, 29, 3, 1, 1))</f>
        <v>0</v>
      </c>
      <c r="E427" s="180"/>
      <c r="F427" s="180"/>
      <c r="G427" s="180"/>
      <c r="H427" s="180"/>
      <c r="I427" s="187"/>
      <c r="J427" s="180"/>
      <c r="K427" s="180"/>
      <c r="L427" s="188"/>
      <c r="M427" s="188"/>
      <c r="N427" s="188"/>
      <c r="O427" s="188"/>
      <c r="P427" s="189"/>
      <c r="Q427" s="188"/>
      <c r="R427" s="188"/>
      <c r="S427" s="188"/>
      <c r="T427" s="188"/>
      <c r="U427" s="189"/>
    </row>
    <row r="428" spans="1:21">
      <c r="A428" s="154">
        <f ca="1">OFFSET('ALRC Indiv Fund Summary (Print)'!UnauthUndocWthdrwls, 0, 6, 1, 1)</f>
        <v>0</v>
      </c>
      <c r="B428" s="13">
        <f ca="1">OFFSET('ALRC Indiv Fund Summary (Print)'!UnauthUndocWthdrwls, 0, 5, 1, 1)</f>
        <v>0</v>
      </c>
      <c r="C428" s="157">
        <f ca="1">IF(OFFSET('ALRC Indiv Fund Summary (Print)'!UnauthUndocWthdrwls, 0, 7, 1, 1) =DATE(1900,1,0),DATE(1900,1,1),OFFSET('ALRC Indiv Fund Summary (Print)'!UnauthUndocWthdrwls, 0, 7, 1, 1))</f>
        <v>1</v>
      </c>
      <c r="D428" s="185">
        <f ca="1">IF(OFFSET('ALRC Indiv Fund Summary (Print)'!UnauthUndocWthdrwls, 0, 8, 1, 1) = "", 0, OFFSET('ALRC Indiv Fund Summary (Print)'!UnauthUndocWthdrwls, 0, 8, 1, 1))</f>
        <v>0</v>
      </c>
      <c r="E428" s="180"/>
      <c r="F428" s="180"/>
      <c r="G428" s="180"/>
      <c r="H428" s="180"/>
      <c r="I428" s="187"/>
      <c r="J428" s="180"/>
      <c r="K428" s="180"/>
      <c r="L428" s="188"/>
      <c r="M428" s="188"/>
      <c r="N428" s="188"/>
      <c r="O428" s="188"/>
      <c r="P428" s="189"/>
      <c r="Q428" s="188"/>
      <c r="R428" s="188"/>
      <c r="S428" s="188"/>
      <c r="T428" s="188"/>
      <c r="U428" s="189"/>
    </row>
    <row r="429" spans="1:21">
      <c r="A429" s="154">
        <f ca="1">OFFSET('ALRC Indiv Fund Summary (Print)'!UnauthUndocWthdrwls, 1, 6, 1, 1)</f>
        <v>0</v>
      </c>
      <c r="B429" s="13">
        <f ca="1">OFFSET('ALRC Indiv Fund Summary (Print)'!UnauthUndocWthdrwls, 1, 5, 1, 1)</f>
        <v>0</v>
      </c>
      <c r="C429" s="157">
        <f ca="1">IF(OFFSET('ALRC Indiv Fund Summary (Print)'!UnauthUndocWthdrwls, 1, 7, 1, 1) =DATE(1900,1,0),DATE(1900,1,1),OFFSET('ALRC Indiv Fund Summary (Print)'!UnauthUndocWthdrwls, 1, 7, 1, 1))</f>
        <v>1</v>
      </c>
      <c r="D429" s="185">
        <f ca="1">IF(OFFSET('ALRC Indiv Fund Summary (Print)'!UnauthUndocWthdrwls, 1, 8, 1, 1) = "", 0, OFFSET('ALRC Indiv Fund Summary (Print)'!UnauthUndocWthdrwls, 1, 8, 1, 1))</f>
        <v>0</v>
      </c>
      <c r="E429" s="180"/>
      <c r="F429" s="180"/>
      <c r="G429" s="180"/>
      <c r="H429" s="180"/>
      <c r="I429" s="187"/>
      <c r="J429" s="180"/>
      <c r="K429" s="180"/>
      <c r="L429" s="188"/>
      <c r="M429" s="188"/>
      <c r="N429" s="188"/>
      <c r="O429" s="188"/>
      <c r="P429" s="189"/>
      <c r="Q429" s="188"/>
      <c r="R429" s="188"/>
      <c r="S429" s="188"/>
      <c r="T429" s="188"/>
      <c r="U429" s="189"/>
    </row>
    <row r="430" spans="1:21">
      <c r="A430" s="154">
        <f ca="1">OFFSET('ALRC Indiv Fund Summary (Print)'!UnauthUndocWthdrwls, 2, 6, 1, 1)</f>
        <v>0</v>
      </c>
      <c r="B430" s="13">
        <f ca="1">OFFSET('ALRC Indiv Fund Summary (Print)'!UnauthUndocWthdrwls, 2, 5, 1, 1)</f>
        <v>0</v>
      </c>
      <c r="C430" s="157">
        <f ca="1">IF(OFFSET('ALRC Indiv Fund Summary (Print)'!UnauthUndocWthdrwls, 2, 7, 1, 1) =DATE(1900,1,0),DATE(1900,1,1),OFFSET('ALRC Indiv Fund Summary (Print)'!UnauthUndocWthdrwls, 2, 7, 1, 1))</f>
        <v>1</v>
      </c>
      <c r="D430" s="185">
        <f ca="1">IF(OFFSET('ALRC Indiv Fund Summary (Print)'!UnauthUndocWthdrwls, 2, 8, 1, 1) = "", 0, OFFSET('ALRC Indiv Fund Summary (Print)'!UnauthUndocWthdrwls, 2, 8, 1, 1))</f>
        <v>0</v>
      </c>
      <c r="E430" s="180"/>
      <c r="F430" s="180"/>
      <c r="G430" s="180"/>
      <c r="H430" s="180"/>
      <c r="I430" s="187"/>
      <c r="J430" s="180"/>
      <c r="K430" s="180"/>
      <c r="L430" s="188"/>
      <c r="M430" s="188"/>
      <c r="N430" s="188"/>
      <c r="O430" s="188"/>
      <c r="P430" s="189"/>
      <c r="Q430" s="188"/>
      <c r="R430" s="188"/>
      <c r="S430" s="188"/>
      <c r="T430" s="188"/>
      <c r="U430" s="189"/>
    </row>
    <row r="431" spans="1:21">
      <c r="A431" s="154">
        <f ca="1">OFFSET('ALRC Indiv Fund Summary (Print)'!UnauthUndocWthdrwls, 3, 6, 1, 1)</f>
        <v>0</v>
      </c>
      <c r="B431" s="13">
        <f ca="1">OFFSET('ALRC Indiv Fund Summary (Print)'!UnauthUndocWthdrwls, 3, 5, 1, 1)</f>
        <v>0</v>
      </c>
      <c r="C431" s="157">
        <f ca="1">IF(OFFSET('ALRC Indiv Fund Summary (Print)'!UnauthUndocWthdrwls, 3, 7, 1, 1) =DATE(1900,1,0),DATE(1900,1,1),OFFSET('ALRC Indiv Fund Summary (Print)'!UnauthUndocWthdrwls, 3, 7, 1, 1))</f>
        <v>1</v>
      </c>
      <c r="D431" s="185">
        <f ca="1">IF(OFFSET('ALRC Indiv Fund Summary (Print)'!UnauthUndocWthdrwls, 3, 8, 1, 1) = "", 0, OFFSET('ALRC Indiv Fund Summary (Print)'!UnauthUndocWthdrwls, 3, 8, 1, 1))</f>
        <v>0</v>
      </c>
      <c r="E431" s="180"/>
      <c r="F431" s="180"/>
      <c r="G431" s="180"/>
      <c r="H431" s="180"/>
      <c r="I431" s="187"/>
      <c r="J431" s="180"/>
      <c r="K431" s="180"/>
      <c r="L431" s="188"/>
      <c r="M431" s="188"/>
      <c r="N431" s="188"/>
      <c r="O431" s="188"/>
      <c r="P431" s="189"/>
      <c r="Q431" s="188"/>
      <c r="R431" s="188"/>
      <c r="S431" s="188"/>
      <c r="T431" s="188"/>
      <c r="U431" s="189"/>
    </row>
    <row r="432" spans="1:21">
      <c r="A432" s="154">
        <f ca="1">OFFSET('ALRC Indiv Fund Summary (Print)'!UnauthUndocWthdrwls, 4, 6, 1, 1)</f>
        <v>0</v>
      </c>
      <c r="B432" s="13">
        <f ca="1">OFFSET('ALRC Indiv Fund Summary (Print)'!UnauthUndocWthdrwls, 4, 5, 1, 1)</f>
        <v>0</v>
      </c>
      <c r="C432" s="157">
        <f ca="1">IF(OFFSET('ALRC Indiv Fund Summary (Print)'!UnauthUndocWthdrwls, 4, 7, 1, 1) =DATE(1900,1,0),DATE(1900,1,1),OFFSET('ALRC Indiv Fund Summary (Print)'!UnauthUndocWthdrwls, 4, 7, 1, 1))</f>
        <v>1</v>
      </c>
      <c r="D432" s="185">
        <f ca="1">IF(OFFSET('ALRC Indiv Fund Summary (Print)'!UnauthUndocWthdrwls, 4, 8, 1, 1) = "", 0, OFFSET('ALRC Indiv Fund Summary (Print)'!UnauthUndocWthdrwls, 4, 8, 1, 1))</f>
        <v>0</v>
      </c>
      <c r="E432" s="180"/>
      <c r="F432" s="180"/>
      <c r="G432" s="180"/>
      <c r="H432" s="180"/>
      <c r="I432" s="187"/>
      <c r="J432" s="180"/>
      <c r="K432" s="180"/>
      <c r="L432" s="188"/>
      <c r="M432" s="188"/>
      <c r="N432" s="188"/>
      <c r="O432" s="188"/>
      <c r="P432" s="189"/>
      <c r="Q432" s="188"/>
      <c r="R432" s="188"/>
      <c r="S432" s="188"/>
      <c r="T432" s="188"/>
      <c r="U432" s="189"/>
    </row>
    <row r="433" spans="1:21">
      <c r="A433" s="154">
        <f ca="1">OFFSET('ALRC Indiv Fund Summary (Print)'!UnauthUndocWthdrwls, 5, 6, 1, 1)</f>
        <v>0</v>
      </c>
      <c r="B433" s="13">
        <f ca="1">OFFSET('ALRC Indiv Fund Summary (Print)'!UnauthUndocWthdrwls, 5, 5, 1, 1)</f>
        <v>0</v>
      </c>
      <c r="C433" s="157">
        <f ca="1">IF(OFFSET('ALRC Indiv Fund Summary (Print)'!UnauthUndocWthdrwls, 5, 7, 1, 1) =DATE(1900,1,0),DATE(1900,1,1),OFFSET('ALRC Indiv Fund Summary (Print)'!UnauthUndocWthdrwls, 5, 7, 1, 1))</f>
        <v>1</v>
      </c>
      <c r="D433" s="185">
        <f ca="1">IF(OFFSET('ALRC Indiv Fund Summary (Print)'!UnauthUndocWthdrwls, 5, 8, 1, 1) = "", 0, OFFSET('ALRC Indiv Fund Summary (Print)'!UnauthUndocWthdrwls, 5, 8, 1, 1))</f>
        <v>0</v>
      </c>
      <c r="E433" s="180"/>
      <c r="F433" s="180"/>
      <c r="G433" s="180"/>
      <c r="H433" s="180"/>
      <c r="I433" s="187"/>
      <c r="J433" s="180"/>
      <c r="K433" s="180"/>
      <c r="L433" s="188"/>
      <c r="M433" s="188"/>
      <c r="N433" s="188"/>
      <c r="O433" s="188"/>
      <c r="P433" s="189"/>
      <c r="Q433" s="188"/>
      <c r="R433" s="188"/>
      <c r="S433" s="188"/>
      <c r="T433" s="188"/>
      <c r="U433" s="189"/>
    </row>
    <row r="434" spans="1:21">
      <c r="A434" s="154">
        <f ca="1">OFFSET('ALRC Indiv Fund Summary (Print)'!UnauthUndocWthdrwls, 6, 6, 1, 1)</f>
        <v>0</v>
      </c>
      <c r="B434" s="13">
        <f ca="1">OFFSET('ALRC Indiv Fund Summary (Print)'!UnauthUndocWthdrwls, 6, 5, 1, 1)</f>
        <v>0</v>
      </c>
      <c r="C434" s="157">
        <f ca="1">IF(OFFSET('ALRC Indiv Fund Summary (Print)'!UnauthUndocWthdrwls, 6, 7, 1, 1) =DATE(1900,1,0),DATE(1900,1,1),OFFSET('ALRC Indiv Fund Summary (Print)'!UnauthUndocWthdrwls, 6, 7, 1, 1))</f>
        <v>1</v>
      </c>
      <c r="D434" s="185">
        <f ca="1">IF(OFFSET('ALRC Indiv Fund Summary (Print)'!UnauthUndocWthdrwls, 6, 8, 1, 1) = "", 0, OFFSET('ALRC Indiv Fund Summary (Print)'!UnauthUndocWthdrwls, 6, 8, 1, 1))</f>
        <v>0</v>
      </c>
      <c r="E434" s="180"/>
      <c r="F434" s="180"/>
      <c r="G434" s="180"/>
      <c r="H434" s="180"/>
      <c r="I434" s="187"/>
      <c r="J434" s="180"/>
      <c r="K434" s="180"/>
      <c r="L434" s="188"/>
      <c r="M434" s="188"/>
      <c r="N434" s="188"/>
      <c r="O434" s="188"/>
      <c r="P434" s="189"/>
      <c r="Q434" s="188"/>
      <c r="R434" s="188"/>
      <c r="S434" s="188"/>
      <c r="T434" s="188"/>
      <c r="U434" s="189"/>
    </row>
    <row r="435" spans="1:21">
      <c r="A435" s="154">
        <f ca="1">OFFSET('ALRC Indiv Fund Summary (Print)'!UnauthUndocWthdrwls, 7, 6, 1, 1)</f>
        <v>0</v>
      </c>
      <c r="B435" s="13">
        <f ca="1">OFFSET('ALRC Indiv Fund Summary (Print)'!UnauthUndocWthdrwls, 7, 5, 1, 1)</f>
        <v>0</v>
      </c>
      <c r="C435" s="157">
        <f ca="1">IF(OFFSET('ALRC Indiv Fund Summary (Print)'!UnauthUndocWthdrwls, 7, 7, 1, 1) =DATE(1900,1,0),DATE(1900,1,1),OFFSET('ALRC Indiv Fund Summary (Print)'!UnauthUndocWthdrwls, 7, 7, 1, 1))</f>
        <v>1</v>
      </c>
      <c r="D435" s="185">
        <f ca="1">IF(OFFSET('ALRC Indiv Fund Summary (Print)'!UnauthUndocWthdrwls, 7, 8, 1, 1) = "", 0, OFFSET('ALRC Indiv Fund Summary (Print)'!UnauthUndocWthdrwls, 7, 8, 1, 1))</f>
        <v>0</v>
      </c>
      <c r="E435" s="180"/>
      <c r="F435" s="180"/>
      <c r="G435" s="180"/>
      <c r="H435" s="180"/>
      <c r="I435" s="187"/>
      <c r="J435" s="180"/>
      <c r="K435" s="180"/>
      <c r="L435" s="188"/>
      <c r="M435" s="188"/>
      <c r="N435" s="188"/>
      <c r="O435" s="188"/>
      <c r="P435" s="189"/>
      <c r="Q435" s="188"/>
      <c r="R435" s="188"/>
      <c r="S435" s="188"/>
      <c r="T435" s="188"/>
      <c r="U435" s="189"/>
    </row>
    <row r="436" spans="1:21">
      <c r="A436" s="154">
        <f ca="1">OFFSET('ALRC Indiv Fund Summary (Print)'!UnauthUndocWthdrwls, 8, 6, 1, 1)</f>
        <v>0</v>
      </c>
      <c r="B436" s="13">
        <f ca="1">OFFSET('ALRC Indiv Fund Summary (Print)'!UnauthUndocWthdrwls, 8, 5, 1, 1)</f>
        <v>0</v>
      </c>
      <c r="C436" s="157">
        <f ca="1">IF(OFFSET('ALRC Indiv Fund Summary (Print)'!UnauthUndocWthdrwls, 8, 7, 1, 1) =DATE(1900,1,0),DATE(1900,1,1),OFFSET('ALRC Indiv Fund Summary (Print)'!UnauthUndocWthdrwls, 8, 7, 1, 1))</f>
        <v>1</v>
      </c>
      <c r="D436" s="185">
        <f ca="1">IF(OFFSET('ALRC Indiv Fund Summary (Print)'!UnauthUndocWthdrwls, 8, 8, 1, 1) = "", 0, OFFSET('ALRC Indiv Fund Summary (Print)'!UnauthUndocWthdrwls, 8, 8, 1, 1))</f>
        <v>0</v>
      </c>
      <c r="E436" s="180"/>
      <c r="F436" s="180"/>
      <c r="G436" s="180"/>
      <c r="H436" s="180"/>
      <c r="I436" s="187"/>
      <c r="J436" s="180"/>
      <c r="K436" s="180"/>
      <c r="L436" s="188"/>
      <c r="M436" s="188"/>
      <c r="N436" s="188"/>
      <c r="O436" s="188"/>
      <c r="P436" s="189"/>
      <c r="Q436" s="188"/>
      <c r="R436" s="188"/>
      <c r="S436" s="188"/>
      <c r="T436" s="188"/>
      <c r="U436" s="189"/>
    </row>
    <row r="437" spans="1:21">
      <c r="A437" s="154">
        <f ca="1">OFFSET('ALRC Indiv Fund Summary (Print)'!UnauthUndocWthdrwls, 9, 6, 1, 1)</f>
        <v>0</v>
      </c>
      <c r="B437" s="13">
        <f ca="1">OFFSET('ALRC Indiv Fund Summary (Print)'!UnauthUndocWthdrwls, 9, 5, 1, 1)</f>
        <v>0</v>
      </c>
      <c r="C437" s="157">
        <f ca="1">IF(OFFSET('ALRC Indiv Fund Summary (Print)'!UnauthUndocWthdrwls, 9, 7, 1, 1) =DATE(1900,1,0),DATE(1900,1,1),OFFSET('ALRC Indiv Fund Summary (Print)'!UnauthUndocWthdrwls, 9, 7, 1, 1))</f>
        <v>1</v>
      </c>
      <c r="D437" s="185">
        <f ca="1">IF(OFFSET('ALRC Indiv Fund Summary (Print)'!UnauthUndocWthdrwls, 9, 8, 1, 1) = "", 0, OFFSET('ALRC Indiv Fund Summary (Print)'!UnauthUndocWthdrwls, 9, 8, 1, 1))</f>
        <v>0</v>
      </c>
      <c r="E437" s="180"/>
      <c r="F437" s="180"/>
      <c r="G437" s="180"/>
      <c r="H437" s="180"/>
      <c r="I437" s="187"/>
      <c r="J437" s="180"/>
      <c r="K437" s="180"/>
      <c r="L437" s="188"/>
      <c r="M437" s="188"/>
      <c r="N437" s="188"/>
      <c r="O437" s="188"/>
      <c r="P437" s="189"/>
      <c r="Q437" s="188"/>
      <c r="R437" s="188"/>
      <c r="S437" s="188"/>
      <c r="T437" s="188"/>
      <c r="U437" s="189"/>
    </row>
    <row r="438" spans="1:21">
      <c r="A438" s="154">
        <f ca="1">OFFSET('ALRC Indiv Fund Summary (Print)'!UnauthUndocWthdrwls, 10, 6, 1, 1)</f>
        <v>0</v>
      </c>
      <c r="B438" s="13">
        <f ca="1">OFFSET('ALRC Indiv Fund Summary (Print)'!UnauthUndocWthdrwls, 10, 5, 1, 1)</f>
        <v>0</v>
      </c>
      <c r="C438" s="157">
        <f ca="1">IF(OFFSET('ALRC Indiv Fund Summary (Print)'!UnauthUndocWthdrwls, 10, 7, 1, 1) =DATE(1900,1,0),DATE(1900,1,1),OFFSET('ALRC Indiv Fund Summary (Print)'!UnauthUndocWthdrwls, 10, 7, 1, 1))</f>
        <v>1</v>
      </c>
      <c r="D438" s="185">
        <f ca="1">IF(OFFSET('ALRC Indiv Fund Summary (Print)'!UnauthUndocWthdrwls, 10, 8, 1, 1) = "", 0, OFFSET('ALRC Indiv Fund Summary (Print)'!UnauthUndocWthdrwls, 10, 8, 1, 1))</f>
        <v>0</v>
      </c>
      <c r="E438" s="180"/>
      <c r="F438" s="180"/>
      <c r="G438" s="180"/>
      <c r="H438" s="180"/>
      <c r="I438" s="187"/>
      <c r="J438" s="180"/>
      <c r="K438" s="180"/>
      <c r="L438" s="188"/>
      <c r="M438" s="188"/>
      <c r="N438" s="188"/>
      <c r="O438" s="188"/>
      <c r="P438" s="189"/>
      <c r="Q438" s="188"/>
      <c r="R438" s="188"/>
      <c r="S438" s="188"/>
      <c r="T438" s="188"/>
      <c r="U438" s="189"/>
    </row>
    <row r="439" spans="1:21">
      <c r="A439" s="154">
        <f ca="1">OFFSET('ALRC Indiv Fund Summary (Print)'!UnauthUndocWthdrwls, 11, 6, 1, 1)</f>
        <v>0</v>
      </c>
      <c r="B439" s="13">
        <f ca="1">OFFSET('ALRC Indiv Fund Summary (Print)'!UnauthUndocWthdrwls, 11, 5, 1, 1)</f>
        <v>0</v>
      </c>
      <c r="C439" s="157">
        <f ca="1">IF(OFFSET('ALRC Indiv Fund Summary (Print)'!UnauthUndocWthdrwls, 11, 7, 1, 1) =DATE(1900,1,0),DATE(1900,1,1),OFFSET('ALRC Indiv Fund Summary (Print)'!UnauthUndocWthdrwls, 11, 7, 1, 1))</f>
        <v>1</v>
      </c>
      <c r="D439" s="185">
        <f ca="1">IF(OFFSET('ALRC Indiv Fund Summary (Print)'!UnauthUndocWthdrwls, 11, 8, 1, 1) = "", 0, OFFSET('ALRC Indiv Fund Summary (Print)'!UnauthUndocWthdrwls, 11, 8, 1, 1))</f>
        <v>0</v>
      </c>
      <c r="E439" s="180"/>
      <c r="F439" s="180"/>
      <c r="G439" s="180"/>
      <c r="H439" s="180"/>
      <c r="I439" s="187"/>
      <c r="J439" s="180"/>
      <c r="K439" s="180"/>
      <c r="L439" s="188"/>
      <c r="M439" s="188"/>
      <c r="N439" s="188"/>
      <c r="O439" s="188"/>
      <c r="P439" s="189"/>
      <c r="Q439" s="188"/>
      <c r="R439" s="188"/>
      <c r="S439" s="188"/>
      <c r="T439" s="188"/>
      <c r="U439" s="189"/>
    </row>
    <row r="440" spans="1:21">
      <c r="A440" s="154">
        <f ca="1">OFFSET('ALRC Indiv Fund Summary (Print)'!UnauthUndocWthdrwls, 12, 6, 1, 1)</f>
        <v>0</v>
      </c>
      <c r="B440" s="13">
        <f ca="1">OFFSET('ALRC Indiv Fund Summary (Print)'!UnauthUndocWthdrwls, 12, 5, 1, 1)</f>
        <v>0</v>
      </c>
      <c r="C440" s="157">
        <f ca="1">IF(OFFSET('ALRC Indiv Fund Summary (Print)'!UnauthUndocWthdrwls, 12, 7, 1, 1) =DATE(1900,1,0),DATE(1900,1,1),OFFSET('ALRC Indiv Fund Summary (Print)'!UnauthUndocWthdrwls, 12, 7, 1, 1))</f>
        <v>1</v>
      </c>
      <c r="D440" s="185">
        <f ca="1">IF(OFFSET('ALRC Indiv Fund Summary (Print)'!UnauthUndocWthdrwls, 12, 8, 1, 1) = "", 0, OFFSET('ALRC Indiv Fund Summary (Print)'!UnauthUndocWthdrwls, 12, 8, 1, 1))</f>
        <v>0</v>
      </c>
      <c r="E440" s="180"/>
      <c r="F440" s="180"/>
      <c r="G440" s="180"/>
      <c r="H440" s="180"/>
      <c r="I440" s="187"/>
      <c r="J440" s="180"/>
      <c r="K440" s="180"/>
      <c r="L440" s="188"/>
      <c r="M440" s="188"/>
      <c r="N440" s="188"/>
      <c r="O440" s="188"/>
      <c r="P440" s="189"/>
      <c r="Q440" s="188"/>
      <c r="R440" s="188"/>
      <c r="S440" s="188"/>
      <c r="T440" s="188"/>
      <c r="U440" s="189"/>
    </row>
    <row r="441" spans="1:21">
      <c r="A441" s="154">
        <f ca="1">OFFSET('ALRC Indiv Fund Summary (Print)'!UnauthUndocWthdrwls, 13, 6, 1, 1)</f>
        <v>0</v>
      </c>
      <c r="B441" s="13">
        <f ca="1">OFFSET('ALRC Indiv Fund Summary (Print)'!UnauthUndocWthdrwls, 13, 5, 1, 1)</f>
        <v>0</v>
      </c>
      <c r="C441" s="157">
        <f ca="1">IF(OFFSET('ALRC Indiv Fund Summary (Print)'!UnauthUndocWthdrwls, 13, 7, 1, 1) =DATE(1900,1,0),DATE(1900,1,1),OFFSET('ALRC Indiv Fund Summary (Print)'!UnauthUndocWthdrwls, 13, 7, 1, 1))</f>
        <v>1</v>
      </c>
      <c r="D441" s="185">
        <f ca="1">IF(OFFSET('ALRC Indiv Fund Summary (Print)'!UnauthUndocWthdrwls, 13, 8, 1, 1) = "", 0, OFFSET('ALRC Indiv Fund Summary (Print)'!UnauthUndocWthdrwls, 13, 8, 1, 1))</f>
        <v>0</v>
      </c>
      <c r="E441" s="180"/>
      <c r="F441" s="180"/>
      <c r="G441" s="180"/>
      <c r="H441" s="180"/>
      <c r="I441" s="187"/>
      <c r="J441" s="180"/>
      <c r="K441" s="180"/>
      <c r="L441" s="188"/>
      <c r="M441" s="188"/>
      <c r="N441" s="188"/>
      <c r="O441" s="188"/>
      <c r="P441" s="189"/>
      <c r="Q441" s="188"/>
      <c r="R441" s="188"/>
      <c r="S441" s="188"/>
      <c r="T441" s="188"/>
      <c r="U441" s="189"/>
    </row>
    <row r="442" spans="1:21">
      <c r="A442" s="154">
        <f ca="1">OFFSET('ALRC Indiv Fund Summary (Print)'!UnauthUndocWthdrwls, 14, 6, 1, 1)</f>
        <v>0</v>
      </c>
      <c r="B442" s="13">
        <f ca="1">OFFSET('ALRC Indiv Fund Summary (Print)'!UnauthUndocWthdrwls, 14, 5, 1, 1)</f>
        <v>0</v>
      </c>
      <c r="C442" s="157">
        <f ca="1">IF(OFFSET('ALRC Indiv Fund Summary (Print)'!UnauthUndocWthdrwls, 14, 7, 1, 1) =DATE(1900,1,0),DATE(1900,1,1),OFFSET('ALRC Indiv Fund Summary (Print)'!UnauthUndocWthdrwls, 14, 7, 1, 1))</f>
        <v>1</v>
      </c>
      <c r="D442" s="185">
        <f ca="1">IF(OFFSET('ALRC Indiv Fund Summary (Print)'!UnauthUndocWthdrwls, 14, 8, 1, 1) = "", 0, OFFSET('ALRC Indiv Fund Summary (Print)'!UnauthUndocWthdrwls, 14, 8, 1, 1))</f>
        <v>0</v>
      </c>
      <c r="E442" s="180"/>
      <c r="F442" s="180"/>
      <c r="G442" s="180"/>
      <c r="H442" s="180"/>
      <c r="I442" s="187"/>
      <c r="J442" s="180"/>
      <c r="K442" s="180"/>
      <c r="L442" s="188"/>
      <c r="M442" s="188"/>
      <c r="N442" s="188"/>
      <c r="O442" s="188"/>
      <c r="P442" s="189"/>
      <c r="Q442" s="188"/>
      <c r="R442" s="188"/>
      <c r="S442" s="188"/>
      <c r="T442" s="188"/>
      <c r="U442" s="189"/>
    </row>
    <row r="443" spans="1:21">
      <c r="A443" s="154">
        <f ca="1">OFFSET('ALRC Indiv Fund Summary (Print)'!UnauthUndocWthdrwls, 15, 6, 1, 1)</f>
        <v>0</v>
      </c>
      <c r="B443" s="13">
        <f ca="1">OFFSET('ALRC Indiv Fund Summary (Print)'!UnauthUndocWthdrwls, 15, 5, 1, 1)</f>
        <v>0</v>
      </c>
      <c r="C443" s="157">
        <f ca="1">IF(OFFSET('ALRC Indiv Fund Summary (Print)'!UnauthUndocWthdrwls, 15, 7, 1, 1) =DATE(1900,1,0),DATE(1900,1,1),OFFSET('ALRC Indiv Fund Summary (Print)'!UnauthUndocWthdrwls, 15, 7, 1, 1))</f>
        <v>1</v>
      </c>
      <c r="D443" s="185">
        <f ca="1">IF(OFFSET('ALRC Indiv Fund Summary (Print)'!UnauthUndocWthdrwls, 15, 8, 1, 1) = "", 0, OFFSET('ALRC Indiv Fund Summary (Print)'!UnauthUndocWthdrwls, 15, 8, 1, 1))</f>
        <v>0</v>
      </c>
      <c r="E443" s="180"/>
      <c r="F443" s="180"/>
      <c r="G443" s="180"/>
      <c r="H443" s="180"/>
      <c r="I443" s="187"/>
      <c r="J443" s="180"/>
      <c r="K443" s="180"/>
      <c r="L443" s="188"/>
      <c r="M443" s="188"/>
      <c r="N443" s="188"/>
      <c r="O443" s="188"/>
      <c r="P443" s="189"/>
      <c r="Q443" s="188"/>
      <c r="R443" s="188"/>
      <c r="S443" s="188"/>
      <c r="T443" s="188"/>
      <c r="U443" s="189"/>
    </row>
    <row r="444" spans="1:21">
      <c r="A444" s="154">
        <f ca="1">OFFSET('ALRC Indiv Fund Summary (Print)'!UnauthUndocWthdrwls, 16, 6, 1, 1)</f>
        <v>0</v>
      </c>
      <c r="B444" s="13">
        <f ca="1">OFFSET('ALRC Indiv Fund Summary (Print)'!UnauthUndocWthdrwls, 16, 5, 1, 1)</f>
        <v>0</v>
      </c>
      <c r="C444" s="157">
        <f ca="1">IF(OFFSET('ALRC Indiv Fund Summary (Print)'!UnauthUndocWthdrwls, 16, 7, 1, 1) =DATE(1900,1,0),DATE(1900,1,1),OFFSET('ALRC Indiv Fund Summary (Print)'!UnauthUndocWthdrwls, 16, 7, 1, 1))</f>
        <v>1</v>
      </c>
      <c r="D444" s="185">
        <f ca="1">IF(OFFSET('ALRC Indiv Fund Summary (Print)'!UnauthUndocWthdrwls, 16, 8, 1, 1) = "", 0, OFFSET('ALRC Indiv Fund Summary (Print)'!UnauthUndocWthdrwls, 16, 8, 1, 1))</f>
        <v>0</v>
      </c>
      <c r="E444" s="180"/>
      <c r="F444" s="180"/>
      <c r="G444" s="180"/>
      <c r="H444" s="180"/>
      <c r="I444" s="187"/>
      <c r="J444" s="180"/>
      <c r="K444" s="180"/>
      <c r="L444" s="188"/>
      <c r="M444" s="188"/>
      <c r="N444" s="188"/>
      <c r="O444" s="188"/>
      <c r="P444" s="189"/>
      <c r="Q444" s="188"/>
      <c r="R444" s="188"/>
      <c r="S444" s="188"/>
      <c r="T444" s="188"/>
      <c r="U444" s="189"/>
    </row>
    <row r="445" spans="1:21">
      <c r="A445" s="154">
        <f ca="1">OFFSET('ALRC Indiv Fund Summary (Print)'!UnauthUndocWthdrwls, 17, 6, 1, 1)</f>
        <v>0</v>
      </c>
      <c r="B445" s="13">
        <f ca="1">OFFSET('ALRC Indiv Fund Summary (Print)'!UnauthUndocWthdrwls, 17, 5, 1, 1)</f>
        <v>0</v>
      </c>
      <c r="C445" s="157">
        <f ca="1">IF(OFFSET('ALRC Indiv Fund Summary (Print)'!UnauthUndocWthdrwls, 17, 7, 1, 1) =DATE(1900,1,0),DATE(1900,1,1),OFFSET('ALRC Indiv Fund Summary (Print)'!UnauthUndocWthdrwls, 17, 7, 1, 1))</f>
        <v>1</v>
      </c>
      <c r="D445" s="185">
        <f ca="1">IF(OFFSET('ALRC Indiv Fund Summary (Print)'!UnauthUndocWthdrwls, 17, 8, 1, 1) = "", 0, OFFSET('ALRC Indiv Fund Summary (Print)'!UnauthUndocWthdrwls, 17, 8, 1, 1))</f>
        <v>0</v>
      </c>
      <c r="E445" s="180"/>
      <c r="F445" s="180"/>
      <c r="G445" s="180"/>
      <c r="H445" s="180"/>
      <c r="I445" s="187"/>
      <c r="J445" s="180"/>
      <c r="K445" s="180"/>
      <c r="L445" s="188"/>
      <c r="M445" s="188"/>
      <c r="N445" s="188"/>
      <c r="O445" s="188"/>
      <c r="P445" s="189"/>
      <c r="Q445" s="188"/>
      <c r="R445" s="188"/>
      <c r="S445" s="188"/>
      <c r="T445" s="188"/>
      <c r="U445" s="189"/>
    </row>
    <row r="446" spans="1:21">
      <c r="A446" s="154">
        <f ca="1">OFFSET('ALRC Indiv Fund Summary (Print)'!UnauthUndocWthdrwls, 18, 6, 1, 1)</f>
        <v>0</v>
      </c>
      <c r="B446" s="13">
        <f ca="1">OFFSET('ALRC Indiv Fund Summary (Print)'!UnauthUndocWthdrwls, 18, 5, 1, 1)</f>
        <v>0</v>
      </c>
      <c r="C446" s="157">
        <f ca="1">IF(OFFSET('ALRC Indiv Fund Summary (Print)'!UnauthUndocWthdrwls, 18, 7, 1, 1) =DATE(1900,1,0),DATE(1900,1,1),OFFSET('ALRC Indiv Fund Summary (Print)'!UnauthUndocWthdrwls, 18, 7, 1, 1))</f>
        <v>1</v>
      </c>
      <c r="D446" s="185">
        <f ca="1">IF(OFFSET('ALRC Indiv Fund Summary (Print)'!UnauthUndocWthdrwls, 18, 8, 1, 1) = "", 0, OFFSET('ALRC Indiv Fund Summary (Print)'!UnauthUndocWthdrwls, 18, 8, 1, 1))</f>
        <v>0</v>
      </c>
      <c r="E446" s="180"/>
      <c r="F446" s="180"/>
      <c r="G446" s="180"/>
      <c r="H446" s="180"/>
      <c r="I446" s="187"/>
      <c r="J446" s="180"/>
      <c r="K446" s="180"/>
      <c r="L446" s="188"/>
      <c r="M446" s="188"/>
      <c r="N446" s="188"/>
      <c r="O446" s="188"/>
      <c r="P446" s="189"/>
      <c r="Q446" s="188"/>
      <c r="R446" s="188"/>
      <c r="S446" s="188"/>
      <c r="T446" s="188"/>
      <c r="U446" s="189"/>
    </row>
    <row r="447" spans="1:21">
      <c r="A447" s="154">
        <f ca="1">OFFSET('ALRC Indiv Fund Summary (Print)'!UnauthUndocWthdrwls, 19, 6, 1, 1)</f>
        <v>0</v>
      </c>
      <c r="B447" s="13">
        <f ca="1">OFFSET('ALRC Indiv Fund Summary (Print)'!UnauthUndocWthdrwls, 19, 5, 1, 1)</f>
        <v>0</v>
      </c>
      <c r="C447" s="157">
        <f ca="1">IF(OFFSET('ALRC Indiv Fund Summary (Print)'!UnauthUndocWthdrwls, 19, 7, 1, 1) =DATE(1900,1,0),DATE(1900,1,1),OFFSET('ALRC Indiv Fund Summary (Print)'!UnauthUndocWthdrwls, 19, 7, 1, 1))</f>
        <v>1</v>
      </c>
      <c r="D447" s="185">
        <f ca="1">IF(OFFSET('ALRC Indiv Fund Summary (Print)'!UnauthUndocWthdrwls, 19, 8, 1, 1) = "", 0, OFFSET('ALRC Indiv Fund Summary (Print)'!UnauthUndocWthdrwls, 19, 8, 1, 1))</f>
        <v>0</v>
      </c>
      <c r="E447" s="180"/>
      <c r="F447" s="180"/>
      <c r="G447" s="180"/>
      <c r="H447" s="180"/>
      <c r="I447" s="187"/>
      <c r="J447" s="180"/>
      <c r="K447" s="180"/>
      <c r="L447" s="188"/>
      <c r="M447" s="188"/>
      <c r="N447" s="188"/>
      <c r="O447" s="188"/>
      <c r="P447" s="189"/>
      <c r="Q447" s="188"/>
      <c r="R447" s="188"/>
      <c r="S447" s="188"/>
      <c r="T447" s="188"/>
      <c r="U447" s="189"/>
    </row>
    <row r="448" spans="1:21">
      <c r="A448" s="154">
        <f ca="1">OFFSET('ALRC Indiv Fund Summary (Print)'!UnauthUndocWthdrwls, 20, 6, 1, 1)</f>
        <v>0</v>
      </c>
      <c r="B448" s="13">
        <f ca="1">OFFSET('ALRC Indiv Fund Summary (Print)'!UnauthUndocWthdrwls, 20, 5, 1, 1)</f>
        <v>0</v>
      </c>
      <c r="C448" s="157">
        <f ca="1">IF(OFFSET('ALRC Indiv Fund Summary (Print)'!UnauthUndocWthdrwls, 20, 7, 1, 1) =DATE(1900,1,0),DATE(1900,1,1),OFFSET('ALRC Indiv Fund Summary (Print)'!UnauthUndocWthdrwls, 20, 7, 1, 1))</f>
        <v>1</v>
      </c>
      <c r="D448" s="185">
        <f ca="1">IF(OFFSET('ALRC Indiv Fund Summary (Print)'!UnauthUndocWthdrwls, 20, 8, 1, 1) = "", 0, OFFSET('ALRC Indiv Fund Summary (Print)'!UnauthUndocWthdrwls, 20, 8, 1, 1))</f>
        <v>0</v>
      </c>
      <c r="E448" s="180"/>
      <c r="F448" s="180"/>
      <c r="G448" s="180"/>
      <c r="H448" s="180"/>
      <c r="I448" s="187"/>
      <c r="J448" s="180"/>
      <c r="K448" s="180"/>
      <c r="L448" s="188"/>
      <c r="M448" s="188"/>
      <c r="N448" s="188"/>
      <c r="O448" s="188"/>
      <c r="P448" s="189"/>
      <c r="Q448" s="188"/>
      <c r="R448" s="188"/>
      <c r="S448" s="188"/>
      <c r="T448" s="188"/>
      <c r="U448" s="189"/>
    </row>
    <row r="449" spans="1:21">
      <c r="A449" s="154">
        <f ca="1">OFFSET('ALRC Indiv Fund Summary (Print)'!UnauthUndocWthdrwls, 21, 6, 1, 1)</f>
        <v>0</v>
      </c>
      <c r="B449" s="13">
        <f ca="1">OFFSET('ALRC Indiv Fund Summary (Print)'!UnauthUndocWthdrwls, 21, 5, 1, 1)</f>
        <v>0</v>
      </c>
      <c r="C449" s="157">
        <f ca="1">IF(OFFSET('ALRC Indiv Fund Summary (Print)'!UnauthUndocWthdrwls, 21, 7, 1, 1) =DATE(1900,1,0),DATE(1900,1,1),OFFSET('ALRC Indiv Fund Summary (Print)'!UnauthUndocWthdrwls, 21, 7, 1, 1))</f>
        <v>1</v>
      </c>
      <c r="D449" s="185">
        <f ca="1">IF(OFFSET('ALRC Indiv Fund Summary (Print)'!UnauthUndocWthdrwls, 21, 8, 1, 1) = "", 0, OFFSET('ALRC Indiv Fund Summary (Print)'!UnauthUndocWthdrwls, 21, 8, 1, 1))</f>
        <v>0</v>
      </c>
      <c r="E449" s="180"/>
      <c r="F449" s="180"/>
      <c r="G449" s="180"/>
      <c r="H449" s="180"/>
      <c r="I449" s="187"/>
      <c r="J449" s="180"/>
      <c r="K449" s="180"/>
      <c r="L449" s="188"/>
      <c r="M449" s="188"/>
      <c r="N449" s="188"/>
      <c r="O449" s="188"/>
      <c r="P449" s="189"/>
      <c r="Q449" s="188"/>
      <c r="R449" s="188"/>
      <c r="S449" s="188"/>
      <c r="T449" s="188"/>
      <c r="U449" s="189"/>
    </row>
    <row r="450" spans="1:21">
      <c r="A450" s="154">
        <f ca="1">OFFSET('ALRC Indiv Fund Summary (Print)'!UnauthUndocWthdrwls, 22, 6, 1, 1)</f>
        <v>0</v>
      </c>
      <c r="B450" s="13">
        <f ca="1">OFFSET('ALRC Indiv Fund Summary (Print)'!UnauthUndocWthdrwls, 22, 5, 1, 1)</f>
        <v>0</v>
      </c>
      <c r="C450" s="157">
        <f ca="1">IF(OFFSET('ALRC Indiv Fund Summary (Print)'!UnauthUndocWthdrwls, 22, 7, 1, 1) =DATE(1900,1,0),DATE(1900,1,1),OFFSET('ALRC Indiv Fund Summary (Print)'!UnauthUndocWthdrwls, 22, 7, 1, 1))</f>
        <v>1</v>
      </c>
      <c r="D450" s="185">
        <f ca="1">IF(OFFSET('ALRC Indiv Fund Summary (Print)'!UnauthUndocWthdrwls, 22, 8, 1, 1) = "", 0, OFFSET('ALRC Indiv Fund Summary (Print)'!UnauthUndocWthdrwls, 22, 8, 1, 1))</f>
        <v>0</v>
      </c>
      <c r="E450" s="180"/>
      <c r="F450" s="180"/>
      <c r="G450" s="180"/>
      <c r="H450" s="180"/>
      <c r="I450" s="187"/>
      <c r="J450" s="180"/>
      <c r="K450" s="180"/>
      <c r="L450" s="188"/>
      <c r="M450" s="188"/>
      <c r="N450" s="188"/>
      <c r="O450" s="188"/>
      <c r="P450" s="189"/>
      <c r="Q450" s="188"/>
      <c r="R450" s="188"/>
      <c r="S450" s="188"/>
      <c r="T450" s="188"/>
      <c r="U450" s="189"/>
    </row>
    <row r="451" spans="1:21">
      <c r="A451" s="154">
        <f ca="1">OFFSET('ALRC Indiv Fund Summary (Print)'!UnauthUndocWthdrwls, 23, 6, 1, 1)</f>
        <v>0</v>
      </c>
      <c r="B451" s="13">
        <f ca="1">OFFSET('ALRC Indiv Fund Summary (Print)'!UnauthUndocWthdrwls, 23, 5, 1, 1)</f>
        <v>0</v>
      </c>
      <c r="C451" s="157">
        <f ca="1">IF(OFFSET('ALRC Indiv Fund Summary (Print)'!UnauthUndocWthdrwls, 23, 7, 1, 1) =DATE(1900,1,0),DATE(1900,1,1),OFFSET('ALRC Indiv Fund Summary (Print)'!UnauthUndocWthdrwls, 23, 7, 1, 1))</f>
        <v>1</v>
      </c>
      <c r="D451" s="185">
        <f ca="1">IF(OFFSET('ALRC Indiv Fund Summary (Print)'!UnauthUndocWthdrwls, 23, 8, 1, 1) = "", 0, OFFSET('ALRC Indiv Fund Summary (Print)'!UnauthUndocWthdrwls, 23, 8, 1, 1))</f>
        <v>0</v>
      </c>
      <c r="E451" s="180"/>
      <c r="F451" s="180"/>
      <c r="G451" s="180"/>
      <c r="H451" s="180"/>
      <c r="I451" s="187"/>
      <c r="J451" s="180"/>
      <c r="K451" s="180"/>
      <c r="L451" s="188"/>
      <c r="M451" s="188"/>
      <c r="N451" s="188"/>
      <c r="O451" s="188"/>
      <c r="P451" s="189"/>
      <c r="Q451" s="188"/>
      <c r="R451" s="188"/>
      <c r="S451" s="188"/>
      <c r="T451" s="188"/>
      <c r="U451" s="189"/>
    </row>
    <row r="452" spans="1:21">
      <c r="A452" s="154">
        <f ca="1">OFFSET('ALRC Indiv Fund Summary (Print)'!UnauthUndocWthdrwls, 24, 6, 1, 1)</f>
        <v>0</v>
      </c>
      <c r="B452" s="13">
        <f ca="1">OFFSET('ALRC Indiv Fund Summary (Print)'!UnauthUndocWthdrwls, 24, 5, 1, 1)</f>
        <v>0</v>
      </c>
      <c r="C452" s="157">
        <f ca="1">IF(OFFSET('ALRC Indiv Fund Summary (Print)'!UnauthUndocWthdrwls, 24, 7, 1, 1) =DATE(1900,1,0),DATE(1900,1,1),OFFSET('ALRC Indiv Fund Summary (Print)'!UnauthUndocWthdrwls, 24, 7, 1, 1))</f>
        <v>1</v>
      </c>
      <c r="D452" s="185">
        <f ca="1">IF(OFFSET('ALRC Indiv Fund Summary (Print)'!UnauthUndocWthdrwls, 24, 8, 1, 1) = "", 0, OFFSET('ALRC Indiv Fund Summary (Print)'!UnauthUndocWthdrwls, 24, 8, 1, 1))</f>
        <v>0</v>
      </c>
      <c r="E452" s="180"/>
      <c r="F452" s="180"/>
      <c r="G452" s="180"/>
      <c r="H452" s="180"/>
      <c r="I452" s="187"/>
      <c r="J452" s="180"/>
      <c r="K452" s="180"/>
      <c r="L452" s="188"/>
      <c r="M452" s="188"/>
      <c r="N452" s="188"/>
      <c r="O452" s="188"/>
      <c r="P452" s="189"/>
      <c r="Q452" s="188"/>
      <c r="R452" s="188"/>
      <c r="S452" s="188"/>
      <c r="T452" s="188"/>
      <c r="U452" s="189"/>
    </row>
    <row r="453" spans="1:21">
      <c r="A453" s="154">
        <f ca="1">OFFSET('ALRC Indiv Fund Summary (Print)'!UnauthUndocWthdrwls, 25, 6, 1, 1)</f>
        <v>0</v>
      </c>
      <c r="B453" s="13">
        <f ca="1">OFFSET('ALRC Indiv Fund Summary (Print)'!UnauthUndocWthdrwls, 25, 5, 1, 1)</f>
        <v>0</v>
      </c>
      <c r="C453" s="157">
        <f ca="1">IF(OFFSET('ALRC Indiv Fund Summary (Print)'!UnauthUndocWthdrwls, 25, 7, 1, 1) =DATE(1900,1,0),DATE(1900,1,1),OFFSET('ALRC Indiv Fund Summary (Print)'!UnauthUndocWthdrwls, 25, 7, 1, 1))</f>
        <v>1</v>
      </c>
      <c r="D453" s="185">
        <f ca="1">IF(OFFSET('ALRC Indiv Fund Summary (Print)'!UnauthUndocWthdrwls, 25, 8, 1, 1) = "", 0, OFFSET('ALRC Indiv Fund Summary (Print)'!UnauthUndocWthdrwls, 25, 8, 1, 1))</f>
        <v>0</v>
      </c>
      <c r="E453" s="180"/>
      <c r="F453" s="180"/>
      <c r="G453" s="180"/>
      <c r="H453" s="180"/>
      <c r="I453" s="187"/>
      <c r="J453" s="180"/>
      <c r="K453" s="180"/>
      <c r="L453" s="188"/>
      <c r="M453" s="188"/>
      <c r="N453" s="188"/>
      <c r="O453" s="188"/>
      <c r="P453" s="189"/>
      <c r="Q453" s="188"/>
      <c r="R453" s="188"/>
      <c r="S453" s="188"/>
      <c r="T453" s="188"/>
      <c r="U453" s="189"/>
    </row>
    <row r="454" spans="1:21">
      <c r="A454" s="154">
        <f ca="1">OFFSET('ALRC Indiv Fund Summary (Print)'!UnauthUndocWthdrwls, 26, 6, 1, 1)</f>
        <v>0</v>
      </c>
      <c r="B454" s="13">
        <f ca="1">OFFSET('ALRC Indiv Fund Summary (Print)'!UnauthUndocWthdrwls, 26, 5, 1, 1)</f>
        <v>0</v>
      </c>
      <c r="C454" s="157">
        <f ca="1">IF(OFFSET('ALRC Indiv Fund Summary (Print)'!UnauthUndocWthdrwls, 26, 7, 1, 1) =DATE(1900,1,0),DATE(1900,1,1),OFFSET('ALRC Indiv Fund Summary (Print)'!UnauthUndocWthdrwls, 26, 7, 1, 1))</f>
        <v>1</v>
      </c>
      <c r="D454" s="185">
        <f ca="1">IF(OFFSET('ALRC Indiv Fund Summary (Print)'!UnauthUndocWthdrwls, 26, 8, 1, 1) = "", 0, OFFSET('ALRC Indiv Fund Summary (Print)'!UnauthUndocWthdrwls, 26, 8, 1, 1))</f>
        <v>0</v>
      </c>
      <c r="E454" s="180"/>
      <c r="F454" s="180"/>
      <c r="G454" s="180"/>
      <c r="H454" s="180"/>
      <c r="I454" s="187"/>
      <c r="J454" s="180"/>
      <c r="K454" s="180"/>
      <c r="L454" s="188"/>
      <c r="M454" s="188"/>
      <c r="N454" s="188"/>
      <c r="O454" s="188"/>
      <c r="P454" s="189"/>
      <c r="Q454" s="188"/>
      <c r="R454" s="188"/>
      <c r="S454" s="188"/>
      <c r="T454" s="188"/>
      <c r="U454" s="189"/>
    </row>
    <row r="455" spans="1:21">
      <c r="A455" s="154">
        <f ca="1">OFFSET('ALRC Indiv Fund Summary (Print)'!UnauthUndocWthdrwls, 27, 6, 1, 1)</f>
        <v>0</v>
      </c>
      <c r="B455" s="13">
        <f ca="1">OFFSET('ALRC Indiv Fund Summary (Print)'!UnauthUndocWthdrwls, 27, 5, 1, 1)</f>
        <v>0</v>
      </c>
      <c r="C455" s="157">
        <f ca="1">IF(OFFSET('ALRC Indiv Fund Summary (Print)'!UnauthUndocWthdrwls, 27, 7, 1, 1) =DATE(1900,1,0),DATE(1900,1,1),OFFSET('ALRC Indiv Fund Summary (Print)'!UnauthUndocWthdrwls, 27, 7, 1, 1))</f>
        <v>1</v>
      </c>
      <c r="D455" s="185">
        <f ca="1">IF(OFFSET('ALRC Indiv Fund Summary (Print)'!UnauthUndocWthdrwls, 27, 8, 1, 1) = "", 0, OFFSET('ALRC Indiv Fund Summary (Print)'!UnauthUndocWthdrwls, 27, 8, 1, 1))</f>
        <v>0</v>
      </c>
      <c r="E455" s="180"/>
      <c r="F455" s="180"/>
      <c r="G455" s="180"/>
      <c r="H455" s="180"/>
      <c r="I455" s="187"/>
      <c r="J455" s="180"/>
      <c r="K455" s="180"/>
      <c r="L455" s="188"/>
      <c r="M455" s="188"/>
      <c r="N455" s="188"/>
      <c r="O455" s="188"/>
      <c r="P455" s="189"/>
      <c r="Q455" s="188"/>
      <c r="R455" s="188"/>
      <c r="S455" s="188"/>
      <c r="T455" s="188"/>
      <c r="U455" s="189"/>
    </row>
    <row r="456" spans="1:21">
      <c r="A456" s="154">
        <f ca="1">OFFSET('ALRC Indiv Fund Summary (Print)'!UnauthUndocWthdrwls, 28, 6, 1, 1)</f>
        <v>0</v>
      </c>
      <c r="B456" s="13">
        <f ca="1">OFFSET('ALRC Indiv Fund Summary (Print)'!UnauthUndocWthdrwls, 28, 5, 1, 1)</f>
        <v>0</v>
      </c>
      <c r="C456" s="157">
        <f ca="1">IF(OFFSET('ALRC Indiv Fund Summary (Print)'!UnauthUndocWthdrwls, 28, 7, 1, 1) =DATE(1900,1,0),DATE(1900,1,1),OFFSET('ALRC Indiv Fund Summary (Print)'!UnauthUndocWthdrwls, 28, 7, 1, 1))</f>
        <v>1</v>
      </c>
      <c r="D456" s="185">
        <f ca="1">IF(OFFSET('ALRC Indiv Fund Summary (Print)'!UnauthUndocWthdrwls, 28, 8, 1, 1) = "", 0, OFFSET('ALRC Indiv Fund Summary (Print)'!UnauthUndocWthdrwls, 28, 8, 1, 1))</f>
        <v>0</v>
      </c>
      <c r="E456" s="180"/>
      <c r="F456" s="180"/>
      <c r="G456" s="180"/>
      <c r="H456" s="180"/>
      <c r="I456" s="187"/>
      <c r="J456" s="180"/>
      <c r="K456" s="180"/>
      <c r="L456" s="188"/>
      <c r="M456" s="188"/>
      <c r="N456" s="188"/>
      <c r="O456" s="188"/>
      <c r="P456" s="189"/>
      <c r="Q456" s="188"/>
      <c r="R456" s="188"/>
      <c r="S456" s="188"/>
      <c r="T456" s="188"/>
      <c r="U456" s="189"/>
    </row>
    <row r="457" spans="1:21" ht="15" thickBot="1">
      <c r="A457" s="300">
        <f ca="1">OFFSET('ALRC Indiv Fund Summary (Print)'!UnauthUndocWthdrwls, 29, 6, 1, 1)</f>
        <v>0</v>
      </c>
      <c r="B457" s="172">
        <f ca="1">OFFSET('ALRC Indiv Fund Summary (Print)'!UnauthUndocWthdrwls, 29, 5, 1, 1)</f>
        <v>0</v>
      </c>
      <c r="C457" s="194">
        <f ca="1">IF(OFFSET('ALRC Indiv Fund Summary (Print)'!UnauthUndocWthdrwls, 29, 7, 1, 1) =DATE(1900,1,0),DATE(1900,1,1),OFFSET('ALRC Indiv Fund Summary (Print)'!UnauthUndocWthdrwls, 29, 7, 1, 1))</f>
        <v>1</v>
      </c>
      <c r="D457" s="186">
        <f ca="1">IF(OFFSET('ALRC Indiv Fund Summary (Print)'!UnauthUndocWthdrwls, 29, 8, 1, 1) = "", 0, OFFSET('ALRC Indiv Fund Summary (Print)'!UnauthUndocWthdrwls, 29, 8, 1, 1))</f>
        <v>0</v>
      </c>
      <c r="E457" s="180"/>
      <c r="F457" s="180"/>
      <c r="G457" s="180"/>
      <c r="H457" s="180"/>
      <c r="I457" s="187"/>
      <c r="J457" s="180"/>
      <c r="K457" s="180"/>
      <c r="L457" s="188"/>
      <c r="M457" s="188"/>
      <c r="N457" s="188"/>
      <c r="O457" s="188"/>
      <c r="P457" s="189"/>
      <c r="Q457" s="188"/>
      <c r="R457" s="188"/>
      <c r="S457" s="188"/>
      <c r="T457" s="188"/>
      <c r="U457" s="189"/>
    </row>
    <row r="458" spans="1:21">
      <c r="A458" s="179"/>
      <c r="B458" s="180"/>
      <c r="C458" s="180"/>
      <c r="D458" s="180"/>
      <c r="E458" s="180"/>
      <c r="F458" s="180"/>
      <c r="G458" s="180"/>
      <c r="H458" s="180"/>
      <c r="I458" s="187"/>
      <c r="J458" s="180"/>
      <c r="K458" s="180"/>
      <c r="L458" s="188"/>
      <c r="M458" s="188"/>
      <c r="N458" s="188"/>
      <c r="O458" s="188"/>
      <c r="P458" s="189"/>
      <c r="Q458" s="188"/>
      <c r="R458" s="188"/>
      <c r="S458" s="188"/>
      <c r="T458" s="188"/>
      <c r="U458" s="189"/>
    </row>
    <row r="459" spans="1:21" ht="15" thickBot="1">
      <c r="A459" s="179" t="s">
        <v>1278</v>
      </c>
      <c r="B459" s="180"/>
      <c r="C459" s="180"/>
      <c r="D459" s="180"/>
      <c r="E459" s="180"/>
      <c r="F459" s="180"/>
      <c r="G459" s="180"/>
      <c r="H459" s="180"/>
      <c r="I459" s="187"/>
      <c r="J459" s="180"/>
      <c r="K459" s="180"/>
      <c r="L459" s="188"/>
      <c r="M459" s="188"/>
      <c r="N459" s="188"/>
      <c r="O459" s="188"/>
      <c r="P459" s="189"/>
      <c r="Q459" s="188"/>
      <c r="R459" s="188"/>
      <c r="S459" s="188"/>
      <c r="T459" s="188"/>
      <c r="U459" s="189"/>
    </row>
    <row r="460" spans="1:21">
      <c r="A460" s="181" t="s">
        <v>1003</v>
      </c>
      <c r="B460" s="182" t="s">
        <v>1005</v>
      </c>
      <c r="C460" s="182" t="s">
        <v>1016</v>
      </c>
      <c r="D460" s="183" t="s">
        <v>187</v>
      </c>
      <c r="E460" s="180"/>
      <c r="F460" s="180"/>
      <c r="G460" s="180"/>
      <c r="H460" s="180"/>
      <c r="I460" s="187"/>
      <c r="J460" s="180"/>
      <c r="K460" s="180"/>
      <c r="L460" s="188"/>
      <c r="M460" s="188"/>
      <c r="N460" s="188"/>
      <c r="O460" s="188"/>
      <c r="P460" s="189"/>
      <c r="Q460" s="188"/>
      <c r="R460" s="188"/>
      <c r="S460" s="188"/>
      <c r="T460" s="188"/>
      <c r="U460" s="189"/>
    </row>
    <row r="461" spans="1:21">
      <c r="A461" s="154">
        <f ca="1">OFFSET('ALRC Indiv Fund Summary (Print)'!UnallwblWthdrwls, 0, 1, 1, 1)</f>
        <v>0</v>
      </c>
      <c r="B461" s="13">
        <f ca="1">OFFSET('ALRC Indiv Fund Summary (Print)'!UnallwblWthdrwls, 0, 0, 1, 1)</f>
        <v>0</v>
      </c>
      <c r="C461" s="157">
        <f ca="1">IF(OFFSET('ALRC Indiv Fund Summary (Print)'!UnallwblWthdrwls, 0, 2, 1, 1) =DATE(1900,1,0),DATE(1900,1,1),OFFSET('ALRC Indiv Fund Summary (Print)'!UnallwblWthdrwls, 0, 2, 1, 1))</f>
        <v>1</v>
      </c>
      <c r="D461" s="185">
        <f ca="1">IF(OFFSET('ALRC Indiv Fund Summary (Print)'!UnallwblWthdrwls, 0, 3, 1, 1) = "", 0, OFFSET('ALRC Indiv Fund Summary (Print)'!UnallwblWthdrwls, 0, 3, 1, 1))</f>
        <v>0</v>
      </c>
      <c r="E461" s="180"/>
      <c r="F461" s="180"/>
      <c r="G461" s="180"/>
      <c r="H461" s="180"/>
      <c r="I461" s="187"/>
      <c r="J461" s="180"/>
      <c r="K461" s="180"/>
      <c r="L461" s="188"/>
      <c r="M461" s="188"/>
      <c r="N461" s="188"/>
      <c r="O461" s="188"/>
      <c r="P461" s="189"/>
      <c r="Q461" s="188"/>
      <c r="R461" s="188"/>
      <c r="S461" s="188"/>
      <c r="T461" s="188"/>
      <c r="U461" s="189"/>
    </row>
    <row r="462" spans="1:21">
      <c r="A462" s="154">
        <f ca="1">OFFSET('ALRC Indiv Fund Summary (Print)'!UnallwblWthdrwls, 1, 1, 1, 1)</f>
        <v>0</v>
      </c>
      <c r="B462" s="13">
        <f ca="1">OFFSET('ALRC Indiv Fund Summary (Print)'!UnallwblWthdrwls, 1, 0, 1, 1)</f>
        <v>0</v>
      </c>
      <c r="C462" s="157">
        <f ca="1">IF(OFFSET('ALRC Indiv Fund Summary (Print)'!UnallwblWthdrwls, 1, 2, 1, 1) =DATE(1900,1,0),DATE(1900,1,1),OFFSET('ALRC Indiv Fund Summary (Print)'!UnallwblWthdrwls, 1, 2, 1, 1))</f>
        <v>1</v>
      </c>
      <c r="D462" s="185">
        <f ca="1">IF(OFFSET('ALRC Indiv Fund Summary (Print)'!UnallwblWthdrwls, 1, 3, 1, 1) = "", 0, OFFSET('ALRC Indiv Fund Summary (Print)'!UnallwblWthdrwls, 1, 3, 1, 1))</f>
        <v>0</v>
      </c>
      <c r="E462" s="180"/>
      <c r="F462" s="180"/>
      <c r="G462" s="180"/>
      <c r="H462" s="180"/>
      <c r="I462" s="187"/>
      <c r="J462" s="180"/>
      <c r="K462" s="180"/>
      <c r="L462" s="188"/>
      <c r="M462" s="188"/>
      <c r="N462" s="188"/>
      <c r="O462" s="188"/>
      <c r="P462" s="189"/>
      <c r="Q462" s="188"/>
      <c r="R462" s="188"/>
      <c r="S462" s="188"/>
      <c r="T462" s="188"/>
      <c r="U462" s="189"/>
    </row>
    <row r="463" spans="1:21">
      <c r="A463" s="154">
        <f ca="1">OFFSET('ALRC Indiv Fund Summary (Print)'!UnallwblWthdrwls, 2, 1, 1, 1)</f>
        <v>0</v>
      </c>
      <c r="B463" s="13">
        <f ca="1">OFFSET('ALRC Indiv Fund Summary (Print)'!UnallwblWthdrwls, 2, 0, 1, 1)</f>
        <v>0</v>
      </c>
      <c r="C463" s="157">
        <f ca="1">IF(OFFSET('ALRC Indiv Fund Summary (Print)'!UnallwblWthdrwls, 2, 2, 1, 1) =DATE(1900,1,0),DATE(1900,1,1),OFFSET('ALRC Indiv Fund Summary (Print)'!UnallwblWthdrwls, 2, 2, 1, 1))</f>
        <v>1</v>
      </c>
      <c r="D463" s="185">
        <f ca="1">IF(OFFSET('ALRC Indiv Fund Summary (Print)'!UnallwblWthdrwls, 2, 3, 1, 1) = "", 0, OFFSET('ALRC Indiv Fund Summary (Print)'!UnallwblWthdrwls, 2, 3, 1, 1))</f>
        <v>0</v>
      </c>
      <c r="E463" s="180"/>
      <c r="F463" s="180"/>
      <c r="G463" s="180"/>
      <c r="H463" s="180"/>
      <c r="I463" s="187"/>
      <c r="J463" s="180"/>
      <c r="K463" s="180"/>
      <c r="L463" s="188"/>
      <c r="M463" s="188"/>
      <c r="N463" s="188"/>
      <c r="O463" s="188"/>
      <c r="P463" s="189"/>
      <c r="Q463" s="188"/>
      <c r="R463" s="188"/>
      <c r="S463" s="188"/>
      <c r="T463" s="188"/>
      <c r="U463" s="189"/>
    </row>
    <row r="464" spans="1:21">
      <c r="A464" s="154">
        <f ca="1">OFFSET('ALRC Indiv Fund Summary (Print)'!UnallwblWthdrwls, 3, 1, 1, 1)</f>
        <v>0</v>
      </c>
      <c r="B464" s="13">
        <f ca="1">OFFSET('ALRC Indiv Fund Summary (Print)'!UnallwblWthdrwls, 3, 0, 1, 1)</f>
        <v>0</v>
      </c>
      <c r="C464" s="157">
        <f ca="1">IF(OFFSET('ALRC Indiv Fund Summary (Print)'!UnallwblWthdrwls, 3, 2, 1, 1) =DATE(1900,1,0),DATE(1900,1,1),OFFSET('ALRC Indiv Fund Summary (Print)'!UnallwblWthdrwls, 3, 2, 1, 1))</f>
        <v>1</v>
      </c>
      <c r="D464" s="185">
        <f ca="1">IF(OFFSET('ALRC Indiv Fund Summary (Print)'!UnallwblWthdrwls, 3, 3, 1, 1) = "", 0, OFFSET('ALRC Indiv Fund Summary (Print)'!UnallwblWthdrwls, 3, 3, 1, 1))</f>
        <v>0</v>
      </c>
      <c r="E464" s="180"/>
      <c r="F464" s="180"/>
      <c r="G464" s="180"/>
      <c r="H464" s="180"/>
      <c r="I464" s="187"/>
      <c r="J464" s="180"/>
      <c r="K464" s="180"/>
      <c r="L464" s="188"/>
      <c r="M464" s="188"/>
      <c r="N464" s="188"/>
      <c r="O464" s="188"/>
      <c r="P464" s="189"/>
      <c r="Q464" s="188"/>
      <c r="R464" s="188"/>
      <c r="S464" s="188"/>
      <c r="T464" s="188"/>
      <c r="U464" s="189"/>
    </row>
    <row r="465" spans="1:21">
      <c r="A465" s="154">
        <f ca="1">OFFSET('ALRC Indiv Fund Summary (Print)'!UnallwblWthdrwls, 4, 1, 1, 1)</f>
        <v>0</v>
      </c>
      <c r="B465" s="13">
        <f ca="1">OFFSET('ALRC Indiv Fund Summary (Print)'!UnallwblWthdrwls, 4, 0, 1, 1)</f>
        <v>0</v>
      </c>
      <c r="C465" s="157">
        <f ca="1">IF(OFFSET('ALRC Indiv Fund Summary (Print)'!UnallwblWthdrwls, 4, 2, 1, 1) =DATE(1900,1,0),DATE(1900,1,1),OFFSET('ALRC Indiv Fund Summary (Print)'!UnallwblWthdrwls, 4, 2, 1, 1))</f>
        <v>1</v>
      </c>
      <c r="D465" s="185">
        <f ca="1">IF(OFFSET('ALRC Indiv Fund Summary (Print)'!UnallwblWthdrwls, 4, 3, 1, 1) = "", 0, OFFSET('ALRC Indiv Fund Summary (Print)'!UnallwblWthdrwls, 4, 3, 1, 1))</f>
        <v>0</v>
      </c>
      <c r="E465" s="180"/>
      <c r="F465" s="180"/>
      <c r="G465" s="180"/>
      <c r="H465" s="180"/>
      <c r="I465" s="187"/>
      <c r="J465" s="180"/>
      <c r="K465" s="180"/>
      <c r="L465" s="188"/>
      <c r="M465" s="188"/>
      <c r="N465" s="188"/>
      <c r="O465" s="188"/>
      <c r="P465" s="189"/>
      <c r="Q465" s="188"/>
      <c r="R465" s="188"/>
      <c r="S465" s="188"/>
      <c r="T465" s="188"/>
      <c r="U465" s="189"/>
    </row>
    <row r="466" spans="1:21">
      <c r="A466" s="154">
        <f ca="1">OFFSET('ALRC Indiv Fund Summary (Print)'!UnallwblWthdrwls, 5, 1, 1, 1)</f>
        <v>0</v>
      </c>
      <c r="B466" s="13">
        <f ca="1">OFFSET('ALRC Indiv Fund Summary (Print)'!UnallwblWthdrwls, 5, 0, 1, 1)</f>
        <v>0</v>
      </c>
      <c r="C466" s="157">
        <f ca="1">IF(OFFSET('ALRC Indiv Fund Summary (Print)'!UnallwblWthdrwls, 5, 2, 1, 1) =DATE(1900,1,0),DATE(1900,1,1),OFFSET('ALRC Indiv Fund Summary (Print)'!UnallwblWthdrwls, 5, 2, 1, 1))</f>
        <v>1</v>
      </c>
      <c r="D466" s="185">
        <f ca="1">IF(OFFSET('ALRC Indiv Fund Summary (Print)'!UnallwblWthdrwls, 5, 3, 1, 1) = "", 0, OFFSET('ALRC Indiv Fund Summary (Print)'!UnallwblWthdrwls, 5, 3, 1, 1))</f>
        <v>0</v>
      </c>
      <c r="E466" s="180"/>
      <c r="F466" s="180"/>
      <c r="G466" s="180"/>
      <c r="H466" s="180"/>
      <c r="I466" s="187"/>
      <c r="J466" s="180"/>
      <c r="K466" s="180"/>
      <c r="L466" s="188"/>
      <c r="M466" s="188"/>
      <c r="N466" s="188"/>
      <c r="O466" s="188"/>
      <c r="P466" s="189"/>
      <c r="Q466" s="188"/>
      <c r="R466" s="188"/>
      <c r="S466" s="188"/>
      <c r="T466" s="188"/>
      <c r="U466" s="189"/>
    </row>
    <row r="467" spans="1:21">
      <c r="A467" s="154">
        <f ca="1">OFFSET('ALRC Indiv Fund Summary (Print)'!UnallwblWthdrwls, 6, 1, 1, 1)</f>
        <v>0</v>
      </c>
      <c r="B467" s="13">
        <f ca="1">OFFSET('ALRC Indiv Fund Summary (Print)'!UnallwblWthdrwls, 6, 0, 1, 1)</f>
        <v>0</v>
      </c>
      <c r="C467" s="157">
        <f ca="1">IF(OFFSET('ALRC Indiv Fund Summary (Print)'!UnallwblWthdrwls, 6, 2, 1, 1) =DATE(1900,1,0),DATE(1900,1,1),OFFSET('ALRC Indiv Fund Summary (Print)'!UnallwblWthdrwls, 6, 2, 1, 1))</f>
        <v>1</v>
      </c>
      <c r="D467" s="185">
        <f ca="1">IF(OFFSET('ALRC Indiv Fund Summary (Print)'!UnallwblWthdrwls, 6, 3, 1, 1) = "", 0, OFFSET('ALRC Indiv Fund Summary (Print)'!UnallwblWthdrwls, 6, 3, 1, 1))</f>
        <v>0</v>
      </c>
      <c r="E467" s="180"/>
      <c r="F467" s="180"/>
      <c r="G467" s="180"/>
      <c r="H467" s="180"/>
      <c r="I467" s="187"/>
      <c r="J467" s="180"/>
      <c r="K467" s="180"/>
      <c r="L467" s="188"/>
      <c r="M467" s="188"/>
      <c r="N467" s="188"/>
      <c r="O467" s="188"/>
      <c r="P467" s="189"/>
      <c r="Q467" s="188"/>
      <c r="R467" s="188"/>
      <c r="S467" s="188"/>
      <c r="T467" s="188"/>
      <c r="U467" s="189"/>
    </row>
    <row r="468" spans="1:21">
      <c r="A468" s="154">
        <f ca="1">OFFSET('ALRC Indiv Fund Summary (Print)'!UnallwblWthdrwls, 7, 1, 1, 1)</f>
        <v>0</v>
      </c>
      <c r="B468" s="13">
        <f ca="1">OFFSET('ALRC Indiv Fund Summary (Print)'!UnallwblWthdrwls, 7, 0, 1, 1)</f>
        <v>0</v>
      </c>
      <c r="C468" s="157">
        <f ca="1">IF(OFFSET('ALRC Indiv Fund Summary (Print)'!UnallwblWthdrwls, 7, 2, 1, 1) =DATE(1900,1,0),DATE(1900,1,1),OFFSET('ALRC Indiv Fund Summary (Print)'!UnallwblWthdrwls, 7, 2, 1, 1))</f>
        <v>1</v>
      </c>
      <c r="D468" s="185">
        <f ca="1">IF(OFFSET('ALRC Indiv Fund Summary (Print)'!UnallwblWthdrwls, 7, 3, 1, 1) = "", 0, OFFSET('ALRC Indiv Fund Summary (Print)'!UnallwblWthdrwls, 7, 3, 1, 1))</f>
        <v>0</v>
      </c>
      <c r="E468" s="180"/>
      <c r="F468" s="180"/>
      <c r="G468" s="180"/>
      <c r="H468" s="180"/>
      <c r="I468" s="187"/>
      <c r="J468" s="180"/>
      <c r="K468" s="180"/>
      <c r="L468" s="188"/>
      <c r="M468" s="188"/>
      <c r="N468" s="188"/>
      <c r="O468" s="188"/>
      <c r="P468" s="189"/>
      <c r="Q468" s="188"/>
      <c r="R468" s="188"/>
      <c r="S468" s="188"/>
      <c r="T468" s="188"/>
      <c r="U468" s="189"/>
    </row>
    <row r="469" spans="1:21">
      <c r="A469" s="154">
        <f ca="1">OFFSET('ALRC Indiv Fund Summary (Print)'!UnallwblWthdrwls, 8, 1, 1, 1)</f>
        <v>0</v>
      </c>
      <c r="B469" s="13">
        <f ca="1">OFFSET('ALRC Indiv Fund Summary (Print)'!UnallwblWthdrwls, 8, 0, 1, 1)</f>
        <v>0</v>
      </c>
      <c r="C469" s="157">
        <f ca="1">IF(OFFSET('ALRC Indiv Fund Summary (Print)'!UnallwblWthdrwls, 8, 2, 1, 1) =DATE(1900,1,0),DATE(1900,1,1),OFFSET('ALRC Indiv Fund Summary (Print)'!UnallwblWthdrwls, 8, 2, 1, 1))</f>
        <v>1</v>
      </c>
      <c r="D469" s="185">
        <f ca="1">IF(OFFSET('ALRC Indiv Fund Summary (Print)'!UnallwblWthdrwls, 8, 3, 1, 1) = "", 0, OFFSET('ALRC Indiv Fund Summary (Print)'!UnallwblWthdrwls, 8, 3, 1, 1))</f>
        <v>0</v>
      </c>
      <c r="E469" s="180"/>
      <c r="F469" s="180"/>
      <c r="G469" s="180"/>
      <c r="H469" s="180"/>
      <c r="I469" s="187"/>
      <c r="J469" s="180"/>
      <c r="K469" s="180"/>
      <c r="L469" s="188"/>
      <c r="M469" s="188"/>
      <c r="N469" s="188"/>
      <c r="O469" s="188"/>
      <c r="P469" s="189"/>
      <c r="Q469" s="188"/>
      <c r="R469" s="188"/>
      <c r="S469" s="188"/>
      <c r="T469" s="188"/>
      <c r="U469" s="189"/>
    </row>
    <row r="470" spans="1:21">
      <c r="A470" s="154">
        <f ca="1">OFFSET('ALRC Indiv Fund Summary (Print)'!UnallwblWthdrwls, 9, 1, 1, 1)</f>
        <v>0</v>
      </c>
      <c r="B470" s="13">
        <f ca="1">OFFSET('ALRC Indiv Fund Summary (Print)'!UnallwblWthdrwls, 9, 0, 1, 1)</f>
        <v>0</v>
      </c>
      <c r="C470" s="157">
        <f ca="1">IF(OFFSET('ALRC Indiv Fund Summary (Print)'!UnallwblWthdrwls, 9, 2, 1, 1) =DATE(1900,1,0),DATE(1900,1,1),OFFSET('ALRC Indiv Fund Summary (Print)'!UnallwblWthdrwls, 9, 2, 1, 1))</f>
        <v>1</v>
      </c>
      <c r="D470" s="185">
        <f ca="1">IF(OFFSET('ALRC Indiv Fund Summary (Print)'!UnallwblWthdrwls, 9, 3, 1, 1) = "", 0, OFFSET('ALRC Indiv Fund Summary (Print)'!UnallwblWthdrwls, 9, 3, 1, 1))</f>
        <v>0</v>
      </c>
      <c r="E470" s="180"/>
      <c r="F470" s="180"/>
      <c r="G470" s="180"/>
      <c r="H470" s="180"/>
      <c r="I470" s="187"/>
      <c r="J470" s="180"/>
      <c r="K470" s="180"/>
      <c r="L470" s="188"/>
      <c r="M470" s="188"/>
      <c r="N470" s="188"/>
      <c r="O470" s="188"/>
      <c r="P470" s="189"/>
      <c r="Q470" s="188"/>
      <c r="R470" s="188"/>
      <c r="S470" s="188"/>
      <c r="T470" s="188"/>
      <c r="U470" s="189"/>
    </row>
    <row r="471" spans="1:21">
      <c r="A471" s="154">
        <f ca="1">OFFSET('ALRC Indiv Fund Summary (Print)'!UnallwblWthdrwls, 10, 1, 1, 1)</f>
        <v>0</v>
      </c>
      <c r="B471" s="13">
        <f ca="1">OFFSET('ALRC Indiv Fund Summary (Print)'!UnallwblWthdrwls, 10, 0, 1, 1)</f>
        <v>0</v>
      </c>
      <c r="C471" s="157">
        <f ca="1">IF(OFFSET('ALRC Indiv Fund Summary (Print)'!UnallwblWthdrwls, 10, 2, 1, 1) =DATE(1900,1,0),DATE(1900,1,1),OFFSET('ALRC Indiv Fund Summary (Print)'!UnallwblWthdrwls, 10, 2, 1, 1))</f>
        <v>1</v>
      </c>
      <c r="D471" s="185">
        <f ca="1">IF(OFFSET('ALRC Indiv Fund Summary (Print)'!UnallwblWthdrwls, 10, 3, 1, 1) = "", 0, OFFSET('ALRC Indiv Fund Summary (Print)'!UnallwblWthdrwls, 10, 3, 1, 1))</f>
        <v>0</v>
      </c>
      <c r="E471" s="180"/>
      <c r="F471" s="180"/>
      <c r="G471" s="180"/>
      <c r="H471" s="180"/>
      <c r="I471" s="187"/>
      <c r="J471" s="180"/>
      <c r="K471" s="180"/>
      <c r="L471" s="188"/>
      <c r="M471" s="188"/>
      <c r="N471" s="188"/>
      <c r="O471" s="188"/>
      <c r="P471" s="189"/>
      <c r="Q471" s="188"/>
      <c r="R471" s="188"/>
      <c r="S471" s="188"/>
      <c r="T471" s="188"/>
      <c r="U471" s="189"/>
    </row>
    <row r="472" spans="1:21">
      <c r="A472" s="154">
        <f ca="1">OFFSET('ALRC Indiv Fund Summary (Print)'!UnallwblWthdrwls, 11, 1, 1, 1)</f>
        <v>0</v>
      </c>
      <c r="B472" s="13">
        <f ca="1">OFFSET('ALRC Indiv Fund Summary (Print)'!UnallwblWthdrwls, 11, 0, 1, 1)</f>
        <v>0</v>
      </c>
      <c r="C472" s="157">
        <f ca="1">IF(OFFSET('ALRC Indiv Fund Summary (Print)'!UnallwblWthdrwls, 11, 2, 1, 1) =DATE(1900,1,0),DATE(1900,1,1),OFFSET('ALRC Indiv Fund Summary (Print)'!UnallwblWthdrwls, 11, 2, 1, 1))</f>
        <v>1</v>
      </c>
      <c r="D472" s="185">
        <f ca="1">IF(OFFSET('ALRC Indiv Fund Summary (Print)'!UnallwblWthdrwls, 11, 3, 1, 1) = "", 0, OFFSET('ALRC Indiv Fund Summary (Print)'!UnallwblWthdrwls, 11, 3, 1, 1))</f>
        <v>0</v>
      </c>
      <c r="E472" s="180"/>
      <c r="F472" s="180"/>
      <c r="G472" s="180"/>
      <c r="H472" s="180"/>
      <c r="I472" s="187"/>
      <c r="J472" s="180"/>
      <c r="K472" s="180"/>
      <c r="L472" s="188"/>
      <c r="M472" s="188"/>
      <c r="N472" s="188"/>
      <c r="O472" s="188"/>
      <c r="P472" s="189"/>
      <c r="Q472" s="188"/>
      <c r="R472" s="188"/>
      <c r="S472" s="188"/>
      <c r="T472" s="188"/>
      <c r="U472" s="189"/>
    </row>
    <row r="473" spans="1:21">
      <c r="A473" s="154">
        <f ca="1">OFFSET('ALRC Indiv Fund Summary (Print)'!UnallwblWthdrwls, 12, 1, 1, 1)</f>
        <v>0</v>
      </c>
      <c r="B473" s="13">
        <f ca="1">OFFSET('ALRC Indiv Fund Summary (Print)'!UnallwblWthdrwls, 12, 0, 1, 1)</f>
        <v>0</v>
      </c>
      <c r="C473" s="157">
        <f ca="1">IF(OFFSET('ALRC Indiv Fund Summary (Print)'!UnallwblWthdrwls, 12, 2, 1, 1) =DATE(1900,1,0),DATE(1900,1,1),OFFSET('ALRC Indiv Fund Summary (Print)'!UnallwblWthdrwls, 12, 2, 1, 1))</f>
        <v>1</v>
      </c>
      <c r="D473" s="185">
        <f ca="1">IF(OFFSET('ALRC Indiv Fund Summary (Print)'!UnallwblWthdrwls, 12, 3, 1, 1) = "", 0, OFFSET('ALRC Indiv Fund Summary (Print)'!UnallwblWthdrwls, 12, 3, 1, 1))</f>
        <v>0</v>
      </c>
      <c r="E473" s="180"/>
      <c r="F473" s="180"/>
      <c r="G473" s="180"/>
      <c r="H473" s="180"/>
      <c r="I473" s="187"/>
      <c r="J473" s="180"/>
      <c r="K473" s="180"/>
      <c r="L473" s="188"/>
      <c r="M473" s="188"/>
      <c r="N473" s="188"/>
      <c r="O473" s="188"/>
      <c r="P473" s="189"/>
      <c r="Q473" s="188"/>
      <c r="R473" s="188"/>
      <c r="S473" s="188"/>
      <c r="T473" s="188"/>
      <c r="U473" s="189"/>
    </row>
    <row r="474" spans="1:21">
      <c r="A474" s="154">
        <f ca="1">OFFSET('ALRC Indiv Fund Summary (Print)'!UnallwblWthdrwls, 13, 1, 1, 1)</f>
        <v>0</v>
      </c>
      <c r="B474" s="13">
        <f ca="1">OFFSET('ALRC Indiv Fund Summary (Print)'!UnallwblWthdrwls, 13, 0, 1, 1)</f>
        <v>0</v>
      </c>
      <c r="C474" s="157">
        <f ca="1">IF(OFFSET('ALRC Indiv Fund Summary (Print)'!UnallwblWthdrwls, 13, 2, 1, 1) =DATE(1900,1,0),DATE(1900,1,1),OFFSET('ALRC Indiv Fund Summary (Print)'!UnallwblWthdrwls, 13, 2, 1, 1))</f>
        <v>1</v>
      </c>
      <c r="D474" s="185">
        <f ca="1">IF(OFFSET('ALRC Indiv Fund Summary (Print)'!UnallwblWthdrwls, 13, 3, 1, 1) = "", 0, OFFSET('ALRC Indiv Fund Summary (Print)'!UnallwblWthdrwls, 13, 3, 1, 1))</f>
        <v>0</v>
      </c>
      <c r="E474" s="180"/>
      <c r="F474" s="180"/>
      <c r="G474" s="180"/>
      <c r="H474" s="180"/>
      <c r="I474" s="187"/>
      <c r="J474" s="180"/>
      <c r="K474" s="180"/>
      <c r="L474" s="188"/>
      <c r="M474" s="188"/>
      <c r="N474" s="188"/>
      <c r="O474" s="188"/>
      <c r="P474" s="189"/>
      <c r="Q474" s="188"/>
      <c r="R474" s="188"/>
      <c r="S474" s="188"/>
      <c r="T474" s="188"/>
      <c r="U474" s="189"/>
    </row>
    <row r="475" spans="1:21">
      <c r="A475" s="154">
        <f ca="1">OFFSET('ALRC Indiv Fund Summary (Print)'!UnallwblWthdrwls, 14, 1, 1, 1)</f>
        <v>0</v>
      </c>
      <c r="B475" s="13">
        <f ca="1">OFFSET('ALRC Indiv Fund Summary (Print)'!UnallwblWthdrwls, 14, 0, 1, 1)</f>
        <v>0</v>
      </c>
      <c r="C475" s="157">
        <f ca="1">IF(OFFSET('ALRC Indiv Fund Summary (Print)'!UnallwblWthdrwls, 14, 2, 1, 1) =DATE(1900,1,0),DATE(1900,1,1),OFFSET('ALRC Indiv Fund Summary (Print)'!UnallwblWthdrwls, 14, 2, 1, 1))</f>
        <v>1</v>
      </c>
      <c r="D475" s="185">
        <f ca="1">IF(OFFSET('ALRC Indiv Fund Summary (Print)'!UnallwblWthdrwls, 14, 3, 1, 1) = "", 0, OFFSET('ALRC Indiv Fund Summary (Print)'!UnallwblWthdrwls, 14, 3, 1, 1))</f>
        <v>0</v>
      </c>
      <c r="E475" s="180"/>
      <c r="F475" s="180"/>
      <c r="G475" s="180"/>
      <c r="H475" s="180"/>
      <c r="I475" s="187"/>
      <c r="J475" s="180"/>
      <c r="K475" s="180"/>
      <c r="L475" s="188"/>
      <c r="M475" s="188"/>
      <c r="N475" s="188"/>
      <c r="O475" s="188"/>
      <c r="P475" s="189"/>
      <c r="Q475" s="188"/>
      <c r="R475" s="188"/>
      <c r="S475" s="188"/>
      <c r="T475" s="188"/>
      <c r="U475" s="189"/>
    </row>
    <row r="476" spans="1:21">
      <c r="A476" s="154">
        <f ca="1">OFFSET('ALRC Indiv Fund Summary (Print)'!UnallwblWthdrwls, 15, 1, 1, 1)</f>
        <v>0</v>
      </c>
      <c r="B476" s="13">
        <f ca="1">OFFSET('ALRC Indiv Fund Summary (Print)'!UnallwblWthdrwls, 15, 0, 1, 1)</f>
        <v>0</v>
      </c>
      <c r="C476" s="157">
        <f ca="1">IF(OFFSET('ALRC Indiv Fund Summary (Print)'!UnallwblWthdrwls, 15, 2, 1, 1) =DATE(1900,1,0),DATE(1900,1,1),OFFSET('ALRC Indiv Fund Summary (Print)'!UnallwblWthdrwls, 15, 2, 1, 1))</f>
        <v>1</v>
      </c>
      <c r="D476" s="185">
        <f ca="1">IF(OFFSET('ALRC Indiv Fund Summary (Print)'!UnallwblWthdrwls, 15, 3, 1, 1) = "", 0, OFFSET('ALRC Indiv Fund Summary (Print)'!UnallwblWthdrwls, 15, 3, 1, 1))</f>
        <v>0</v>
      </c>
      <c r="E476" s="180"/>
      <c r="F476" s="180"/>
      <c r="G476" s="180"/>
      <c r="H476" s="180"/>
      <c r="I476" s="187"/>
      <c r="J476" s="180"/>
      <c r="K476" s="180"/>
      <c r="L476" s="188"/>
      <c r="M476" s="188"/>
      <c r="N476" s="188"/>
      <c r="O476" s="188"/>
      <c r="P476" s="189"/>
      <c r="Q476" s="188"/>
      <c r="R476" s="188"/>
      <c r="S476" s="188"/>
      <c r="T476" s="188"/>
      <c r="U476" s="189"/>
    </row>
    <row r="477" spans="1:21">
      <c r="A477" s="154">
        <f ca="1">OFFSET('ALRC Indiv Fund Summary (Print)'!UnallwblWthdrwls, 16, 1, 1, 1)</f>
        <v>0</v>
      </c>
      <c r="B477" s="13">
        <f ca="1">OFFSET('ALRC Indiv Fund Summary (Print)'!UnallwblWthdrwls, 16, 0, 1, 1)</f>
        <v>0</v>
      </c>
      <c r="C477" s="157">
        <f ca="1">IF(OFFSET('ALRC Indiv Fund Summary (Print)'!UnallwblWthdrwls, 16, 2, 1, 1) =DATE(1900,1,0),DATE(1900,1,1),OFFSET('ALRC Indiv Fund Summary (Print)'!UnallwblWthdrwls, 16, 2, 1, 1))</f>
        <v>1</v>
      </c>
      <c r="D477" s="185">
        <f ca="1">IF(OFFSET('ALRC Indiv Fund Summary (Print)'!UnallwblWthdrwls, 16, 3, 1, 1) = "", 0, OFFSET('ALRC Indiv Fund Summary (Print)'!UnallwblWthdrwls, 16, 3, 1, 1))</f>
        <v>0</v>
      </c>
      <c r="E477" s="180"/>
      <c r="F477" s="180"/>
      <c r="G477" s="180"/>
      <c r="H477" s="180"/>
      <c r="I477" s="187"/>
      <c r="J477" s="180"/>
      <c r="K477" s="180"/>
      <c r="L477" s="188"/>
      <c r="M477" s="188"/>
      <c r="N477" s="188"/>
      <c r="O477" s="188"/>
      <c r="P477" s="189"/>
      <c r="Q477" s="188"/>
      <c r="R477" s="188"/>
      <c r="S477" s="188"/>
      <c r="T477" s="188"/>
      <c r="U477" s="189"/>
    </row>
    <row r="478" spans="1:21">
      <c r="A478" s="154">
        <f ca="1">OFFSET('ALRC Indiv Fund Summary (Print)'!UnallwblWthdrwls, 17, 1, 1, 1)</f>
        <v>0</v>
      </c>
      <c r="B478" s="13">
        <f ca="1">OFFSET('ALRC Indiv Fund Summary (Print)'!UnallwblWthdrwls, 17, 0, 1, 1)</f>
        <v>0</v>
      </c>
      <c r="C478" s="157">
        <f ca="1">IF(OFFSET('ALRC Indiv Fund Summary (Print)'!UnallwblWthdrwls, 17, 2, 1, 1) =DATE(1900,1,0),DATE(1900,1,1),OFFSET('ALRC Indiv Fund Summary (Print)'!UnallwblWthdrwls, 17, 2, 1, 1))</f>
        <v>1</v>
      </c>
      <c r="D478" s="185">
        <f ca="1">IF(OFFSET('ALRC Indiv Fund Summary (Print)'!UnallwblWthdrwls, 17, 3, 1, 1) = "", 0, OFFSET('ALRC Indiv Fund Summary (Print)'!UnallwblWthdrwls, 17, 3, 1, 1))</f>
        <v>0</v>
      </c>
      <c r="E478" s="180"/>
      <c r="F478" s="180"/>
      <c r="G478" s="180"/>
      <c r="H478" s="180"/>
      <c r="I478" s="187"/>
      <c r="J478" s="180"/>
      <c r="K478" s="180"/>
      <c r="L478" s="188"/>
      <c r="M478" s="188"/>
      <c r="N478" s="188"/>
      <c r="O478" s="188"/>
      <c r="P478" s="189"/>
      <c r="Q478" s="188"/>
      <c r="R478" s="188"/>
      <c r="S478" s="188"/>
      <c r="T478" s="188"/>
      <c r="U478" s="189"/>
    </row>
    <row r="479" spans="1:21">
      <c r="A479" s="154">
        <f ca="1">OFFSET('ALRC Indiv Fund Summary (Print)'!UnallwblWthdrwls, 18, 1, 1, 1)</f>
        <v>0</v>
      </c>
      <c r="B479" s="13">
        <f ca="1">OFFSET('ALRC Indiv Fund Summary (Print)'!UnallwblWthdrwls, 18, 0, 1, 1)</f>
        <v>0</v>
      </c>
      <c r="C479" s="157">
        <f ca="1">IF(OFFSET('ALRC Indiv Fund Summary (Print)'!UnallwblWthdrwls, 18, 2, 1, 1) =DATE(1900,1,0),DATE(1900,1,1),OFFSET('ALRC Indiv Fund Summary (Print)'!UnallwblWthdrwls, 18, 2, 1, 1))</f>
        <v>1</v>
      </c>
      <c r="D479" s="185">
        <f ca="1">IF(OFFSET('ALRC Indiv Fund Summary (Print)'!UnallwblWthdrwls, 18, 3, 1, 1) = "", 0, OFFSET('ALRC Indiv Fund Summary (Print)'!UnallwblWthdrwls, 18, 3, 1, 1))</f>
        <v>0</v>
      </c>
      <c r="E479" s="180"/>
      <c r="F479" s="180"/>
      <c r="G479" s="180"/>
      <c r="H479" s="180"/>
      <c r="I479" s="187"/>
      <c r="J479" s="180"/>
      <c r="K479" s="180"/>
      <c r="L479" s="188"/>
      <c r="M479" s="188"/>
      <c r="N479" s="188"/>
      <c r="O479" s="188"/>
      <c r="P479" s="189"/>
      <c r="Q479" s="188"/>
      <c r="R479" s="188"/>
      <c r="S479" s="188"/>
      <c r="T479" s="188"/>
      <c r="U479" s="189"/>
    </row>
    <row r="480" spans="1:21">
      <c r="A480" s="154">
        <f ca="1">OFFSET('ALRC Indiv Fund Summary (Print)'!UnallwblWthdrwls, 19, 1, 1, 1)</f>
        <v>0</v>
      </c>
      <c r="B480" s="13">
        <f ca="1">OFFSET('ALRC Indiv Fund Summary (Print)'!UnallwblWthdrwls, 19, 0, 1, 1)</f>
        <v>0</v>
      </c>
      <c r="C480" s="157">
        <f ca="1">IF(OFFSET('ALRC Indiv Fund Summary (Print)'!UnallwblWthdrwls, 19, 2, 1, 1) =DATE(1900,1,0),DATE(1900,1,1),OFFSET('ALRC Indiv Fund Summary (Print)'!UnallwblWthdrwls, 19, 2, 1, 1))</f>
        <v>1</v>
      </c>
      <c r="D480" s="185">
        <f ca="1">IF(OFFSET('ALRC Indiv Fund Summary (Print)'!UnallwblWthdrwls, 19, 3, 1, 1) = "", 0, OFFSET('ALRC Indiv Fund Summary (Print)'!UnallwblWthdrwls, 19, 3, 1, 1))</f>
        <v>0</v>
      </c>
      <c r="E480" s="180"/>
      <c r="F480" s="180"/>
      <c r="G480" s="180"/>
      <c r="H480" s="180"/>
      <c r="I480" s="187"/>
      <c r="J480" s="180"/>
      <c r="K480" s="180"/>
      <c r="L480" s="188"/>
      <c r="M480" s="188"/>
      <c r="N480" s="188"/>
      <c r="O480" s="188"/>
      <c r="P480" s="189"/>
      <c r="Q480" s="188"/>
      <c r="R480" s="188"/>
      <c r="S480" s="188"/>
      <c r="T480" s="188"/>
      <c r="U480" s="189"/>
    </row>
    <row r="481" spans="1:21">
      <c r="A481" s="154">
        <f ca="1">OFFSET('ALRC Indiv Fund Summary (Print)'!UnallwblWthdrwls, 20, 1, 1, 1)</f>
        <v>0</v>
      </c>
      <c r="B481" s="13">
        <f ca="1">OFFSET('ALRC Indiv Fund Summary (Print)'!UnallwblWthdrwls, 20, 0, 1, 1)</f>
        <v>0</v>
      </c>
      <c r="C481" s="157">
        <f ca="1">IF(OFFSET('ALRC Indiv Fund Summary (Print)'!UnallwblWthdrwls, 20, 2, 1, 1) =DATE(1900,1,0),DATE(1900,1,1),OFFSET('ALRC Indiv Fund Summary (Print)'!UnallwblWthdrwls, 20, 2, 1, 1))</f>
        <v>1</v>
      </c>
      <c r="D481" s="185">
        <f ca="1">IF(OFFSET('ALRC Indiv Fund Summary (Print)'!UnallwblWthdrwls, 20, 3, 1, 1) = "", 0, OFFSET('ALRC Indiv Fund Summary (Print)'!UnallwblWthdrwls, 20, 3, 1, 1))</f>
        <v>0</v>
      </c>
      <c r="E481" s="180"/>
      <c r="F481" s="180"/>
      <c r="G481" s="180"/>
      <c r="H481" s="180"/>
      <c r="I481" s="187"/>
      <c r="J481" s="180"/>
      <c r="K481" s="180"/>
      <c r="L481" s="188"/>
      <c r="M481" s="188"/>
      <c r="N481" s="188"/>
      <c r="O481" s="188"/>
      <c r="P481" s="189"/>
      <c r="Q481" s="188"/>
      <c r="R481" s="188"/>
      <c r="S481" s="188"/>
      <c r="T481" s="188"/>
      <c r="U481" s="189"/>
    </row>
    <row r="482" spans="1:21">
      <c r="A482" s="154">
        <f ca="1">OFFSET('ALRC Indiv Fund Summary (Print)'!UnallwblWthdrwls, 21, 1, 1, 1)</f>
        <v>0</v>
      </c>
      <c r="B482" s="13">
        <f ca="1">OFFSET('ALRC Indiv Fund Summary (Print)'!UnallwblWthdrwls, 21, 0, 1, 1)</f>
        <v>0</v>
      </c>
      <c r="C482" s="157">
        <f ca="1">IF(OFFSET('ALRC Indiv Fund Summary (Print)'!UnallwblWthdrwls, 21, 2, 1, 1) =DATE(1900,1,0),DATE(1900,1,1),OFFSET('ALRC Indiv Fund Summary (Print)'!UnallwblWthdrwls, 21, 2, 1, 1))</f>
        <v>1</v>
      </c>
      <c r="D482" s="185">
        <f ca="1">IF(OFFSET('ALRC Indiv Fund Summary (Print)'!UnallwblWthdrwls, 21, 3, 1, 1) = "", 0, OFFSET('ALRC Indiv Fund Summary (Print)'!UnallwblWthdrwls, 21, 3, 1, 1))</f>
        <v>0</v>
      </c>
      <c r="E482" s="180"/>
      <c r="F482" s="180"/>
      <c r="G482" s="180"/>
      <c r="H482" s="180"/>
      <c r="I482" s="187"/>
      <c r="J482" s="180"/>
      <c r="K482" s="180"/>
      <c r="L482" s="188"/>
      <c r="M482" s="188"/>
      <c r="N482" s="188"/>
      <c r="O482" s="188"/>
      <c r="P482" s="189"/>
      <c r="Q482" s="188"/>
      <c r="R482" s="188"/>
      <c r="S482" s="188"/>
      <c r="T482" s="188"/>
      <c r="U482" s="189"/>
    </row>
    <row r="483" spans="1:21">
      <c r="A483" s="154">
        <f ca="1">OFFSET('ALRC Indiv Fund Summary (Print)'!UnallwblWthdrwls, 22, 1, 1, 1)</f>
        <v>0</v>
      </c>
      <c r="B483" s="13">
        <f ca="1">OFFSET('ALRC Indiv Fund Summary (Print)'!UnallwblWthdrwls, 22, 0, 1, 1)</f>
        <v>0</v>
      </c>
      <c r="C483" s="157">
        <f ca="1">IF(OFFSET('ALRC Indiv Fund Summary (Print)'!UnallwblWthdrwls, 22, 2, 1, 1) =DATE(1900,1,0),DATE(1900,1,1),OFFSET('ALRC Indiv Fund Summary (Print)'!UnallwblWthdrwls, 22, 2, 1, 1))</f>
        <v>1</v>
      </c>
      <c r="D483" s="185">
        <f ca="1">IF(OFFSET('ALRC Indiv Fund Summary (Print)'!UnallwblWthdrwls, 22, 3, 1, 1) = "", 0, OFFSET('ALRC Indiv Fund Summary (Print)'!UnallwblWthdrwls, 22, 3, 1, 1))</f>
        <v>0</v>
      </c>
      <c r="E483" s="180"/>
      <c r="F483" s="180"/>
      <c r="G483" s="180"/>
      <c r="H483" s="180"/>
      <c r="I483" s="187"/>
      <c r="J483" s="180"/>
      <c r="K483" s="180"/>
      <c r="L483" s="188"/>
      <c r="M483" s="188"/>
      <c r="N483" s="188"/>
      <c r="O483" s="188"/>
      <c r="P483" s="189"/>
      <c r="Q483" s="188"/>
      <c r="R483" s="188"/>
      <c r="S483" s="188"/>
      <c r="T483" s="188"/>
      <c r="U483" s="189"/>
    </row>
    <row r="484" spans="1:21">
      <c r="A484" s="154">
        <f ca="1">OFFSET('ALRC Indiv Fund Summary (Print)'!UnallwblWthdrwls, 23, 1, 1, 1)</f>
        <v>0</v>
      </c>
      <c r="B484" s="13">
        <f ca="1">OFFSET('ALRC Indiv Fund Summary (Print)'!UnallwblWthdrwls, 23, 0, 1, 1)</f>
        <v>0</v>
      </c>
      <c r="C484" s="157">
        <f ca="1">IF(OFFSET('ALRC Indiv Fund Summary (Print)'!UnallwblWthdrwls, 23, 2, 1, 1) =DATE(1900,1,0),DATE(1900,1,1),OFFSET('ALRC Indiv Fund Summary (Print)'!UnallwblWthdrwls, 23, 2, 1, 1))</f>
        <v>1</v>
      </c>
      <c r="D484" s="185">
        <f ca="1">IF(OFFSET('ALRC Indiv Fund Summary (Print)'!UnallwblWthdrwls, 23, 3, 1, 1) = "", 0, OFFSET('ALRC Indiv Fund Summary (Print)'!UnallwblWthdrwls, 23, 3, 1, 1))</f>
        <v>0</v>
      </c>
      <c r="E484" s="180"/>
      <c r="F484" s="180"/>
      <c r="G484" s="180"/>
      <c r="H484" s="180"/>
      <c r="I484" s="187"/>
      <c r="J484" s="180"/>
      <c r="K484" s="180"/>
      <c r="L484" s="188"/>
      <c r="M484" s="188"/>
      <c r="N484" s="188"/>
      <c r="O484" s="188"/>
      <c r="P484" s="189"/>
      <c r="Q484" s="188"/>
      <c r="R484" s="188"/>
      <c r="S484" s="188"/>
      <c r="T484" s="188"/>
      <c r="U484" s="189"/>
    </row>
    <row r="485" spans="1:21">
      <c r="A485" s="154">
        <f ca="1">OFFSET('ALRC Indiv Fund Summary (Print)'!UnallwblWthdrwls, 24, 1, 1, 1)</f>
        <v>0</v>
      </c>
      <c r="B485" s="13">
        <f ca="1">OFFSET('ALRC Indiv Fund Summary (Print)'!UnallwblWthdrwls, 24, 0, 1, 1)</f>
        <v>0</v>
      </c>
      <c r="C485" s="157">
        <f ca="1">IF(OFFSET('ALRC Indiv Fund Summary (Print)'!UnallwblWthdrwls, 24, 2, 1, 1) =DATE(1900,1,0),DATE(1900,1,1),OFFSET('ALRC Indiv Fund Summary (Print)'!UnallwblWthdrwls, 24, 2, 1, 1))</f>
        <v>1</v>
      </c>
      <c r="D485" s="185">
        <f ca="1">IF(OFFSET('ALRC Indiv Fund Summary (Print)'!UnallwblWthdrwls, 24, 3, 1, 1) = "", 0, OFFSET('ALRC Indiv Fund Summary (Print)'!UnallwblWthdrwls, 24, 3, 1, 1))</f>
        <v>0</v>
      </c>
      <c r="E485" s="180"/>
      <c r="F485" s="180"/>
      <c r="G485" s="180"/>
      <c r="H485" s="180"/>
      <c r="I485" s="187"/>
      <c r="J485" s="180"/>
      <c r="K485" s="180"/>
      <c r="L485" s="188"/>
      <c r="M485" s="188"/>
      <c r="N485" s="188"/>
      <c r="O485" s="188"/>
      <c r="P485" s="189"/>
      <c r="Q485" s="188"/>
      <c r="R485" s="188"/>
      <c r="S485" s="188"/>
      <c r="T485" s="188"/>
      <c r="U485" s="189"/>
    </row>
    <row r="486" spans="1:21">
      <c r="A486" s="154">
        <f ca="1">OFFSET('ALRC Indiv Fund Summary (Print)'!UnallwblWthdrwls, 25, 1, 1, 1)</f>
        <v>0</v>
      </c>
      <c r="B486" s="13">
        <f ca="1">OFFSET('ALRC Indiv Fund Summary (Print)'!UnallwblWthdrwls, 25, 0, 1, 1)</f>
        <v>0</v>
      </c>
      <c r="C486" s="157">
        <f ca="1">IF(OFFSET('ALRC Indiv Fund Summary (Print)'!UnallwblWthdrwls, 25, 2, 1, 1) =DATE(1900,1,0),DATE(1900,1,1),OFFSET('ALRC Indiv Fund Summary (Print)'!UnallwblWthdrwls, 25, 2, 1, 1))</f>
        <v>1</v>
      </c>
      <c r="D486" s="185">
        <f ca="1">IF(OFFSET('ALRC Indiv Fund Summary (Print)'!UnallwblWthdrwls, 25, 3, 1, 1) = "", 0, OFFSET('ALRC Indiv Fund Summary (Print)'!UnallwblWthdrwls, 25, 3, 1, 1))</f>
        <v>0</v>
      </c>
      <c r="E486" s="180"/>
      <c r="F486" s="180"/>
      <c r="G486" s="180"/>
      <c r="H486" s="180"/>
      <c r="I486" s="187"/>
      <c r="J486" s="180"/>
      <c r="K486" s="180"/>
      <c r="L486" s="188"/>
      <c r="M486" s="188"/>
      <c r="N486" s="188"/>
      <c r="O486" s="188"/>
      <c r="P486" s="189"/>
      <c r="Q486" s="188"/>
      <c r="R486" s="188"/>
      <c r="S486" s="188"/>
      <c r="T486" s="188"/>
      <c r="U486" s="189"/>
    </row>
    <row r="487" spans="1:21">
      <c r="A487" s="154">
        <f ca="1">OFFSET('ALRC Indiv Fund Summary (Print)'!UnallwblWthdrwls, 26, 1, 1, 1)</f>
        <v>0</v>
      </c>
      <c r="B487" s="13">
        <f ca="1">OFFSET('ALRC Indiv Fund Summary (Print)'!UnallwblWthdrwls, 26, 0, 1, 1)</f>
        <v>0</v>
      </c>
      <c r="C487" s="157">
        <f ca="1">IF(OFFSET('ALRC Indiv Fund Summary (Print)'!UnallwblWthdrwls, 26, 2, 1, 1) =DATE(1900,1,0),DATE(1900,1,1),OFFSET('ALRC Indiv Fund Summary (Print)'!UnallwblWthdrwls, 26, 2, 1, 1))</f>
        <v>1</v>
      </c>
      <c r="D487" s="185">
        <f ca="1">IF(OFFSET('ALRC Indiv Fund Summary (Print)'!UnallwblWthdrwls, 26, 3, 1, 1) = "", 0, OFFSET('ALRC Indiv Fund Summary (Print)'!UnallwblWthdrwls, 26, 3, 1, 1))</f>
        <v>0</v>
      </c>
      <c r="E487" s="180"/>
      <c r="F487" s="180"/>
      <c r="G487" s="180"/>
      <c r="H487" s="180"/>
      <c r="I487" s="187"/>
      <c r="J487" s="180"/>
      <c r="K487" s="180"/>
      <c r="L487" s="188"/>
      <c r="M487" s="188"/>
      <c r="N487" s="188"/>
      <c r="O487" s="188"/>
      <c r="P487" s="189"/>
      <c r="Q487" s="188"/>
      <c r="R487" s="188"/>
      <c r="S487" s="188"/>
      <c r="T487" s="188"/>
      <c r="U487" s="189"/>
    </row>
    <row r="488" spans="1:21">
      <c r="A488" s="154">
        <f ca="1">OFFSET('ALRC Indiv Fund Summary (Print)'!UnallwblWthdrwls, 27, 1, 1, 1)</f>
        <v>0</v>
      </c>
      <c r="B488" s="13">
        <f ca="1">OFFSET('ALRC Indiv Fund Summary (Print)'!UnallwblWthdrwls, 27, 0, 1, 1)</f>
        <v>0</v>
      </c>
      <c r="C488" s="157">
        <f ca="1">IF(OFFSET('ALRC Indiv Fund Summary (Print)'!UnallwblWthdrwls, 27, 2, 1, 1) =DATE(1900,1,0),DATE(1900,1,1),OFFSET('ALRC Indiv Fund Summary (Print)'!UnallwblWthdrwls, 27, 2, 1, 1))</f>
        <v>1</v>
      </c>
      <c r="D488" s="185">
        <f ca="1">IF(OFFSET('ALRC Indiv Fund Summary (Print)'!UnallwblWthdrwls, 27, 3, 1, 1) = "", 0, OFFSET('ALRC Indiv Fund Summary (Print)'!UnallwblWthdrwls, 27, 3, 1, 1))</f>
        <v>0</v>
      </c>
      <c r="E488" s="180"/>
      <c r="F488" s="180"/>
      <c r="G488" s="180"/>
      <c r="H488" s="180"/>
      <c r="I488" s="187"/>
      <c r="J488" s="180"/>
      <c r="K488" s="180"/>
      <c r="L488" s="188"/>
      <c r="M488" s="188"/>
      <c r="N488" s="188"/>
      <c r="O488" s="188"/>
      <c r="P488" s="189"/>
      <c r="Q488" s="188"/>
      <c r="R488" s="188"/>
      <c r="S488" s="188"/>
      <c r="T488" s="188"/>
      <c r="U488" s="189"/>
    </row>
    <row r="489" spans="1:21">
      <c r="A489" s="154">
        <f ca="1">OFFSET('ALRC Indiv Fund Summary (Print)'!UnallwblWthdrwls, 28, 1, 1, 1)</f>
        <v>0</v>
      </c>
      <c r="B489" s="13">
        <f ca="1">OFFSET('ALRC Indiv Fund Summary (Print)'!UnallwblWthdrwls, 28, 0, 1, 1)</f>
        <v>0</v>
      </c>
      <c r="C489" s="157">
        <f ca="1">IF(OFFSET('ALRC Indiv Fund Summary (Print)'!UnallwblWthdrwls, 28, 2, 1, 1) =DATE(1900,1,0),DATE(1900,1,1),OFFSET('ALRC Indiv Fund Summary (Print)'!UnallwblWthdrwls, 28, 2, 1, 1))</f>
        <v>1</v>
      </c>
      <c r="D489" s="185">
        <f ca="1">IF(OFFSET('ALRC Indiv Fund Summary (Print)'!UnallwblWthdrwls, 28, 3, 1, 1) = "", 0, OFFSET('ALRC Indiv Fund Summary (Print)'!UnallwblWthdrwls, 28, 3, 1, 1))</f>
        <v>0</v>
      </c>
      <c r="E489" s="180"/>
      <c r="F489" s="180"/>
      <c r="G489" s="180"/>
      <c r="H489" s="180"/>
      <c r="I489" s="187"/>
      <c r="J489" s="180"/>
      <c r="K489" s="180"/>
      <c r="L489" s="188"/>
      <c r="M489" s="188"/>
      <c r="N489" s="188"/>
      <c r="O489" s="188"/>
      <c r="P489" s="189"/>
      <c r="Q489" s="188"/>
      <c r="R489" s="188"/>
      <c r="S489" s="188"/>
      <c r="T489" s="188"/>
      <c r="U489" s="189"/>
    </row>
    <row r="490" spans="1:21">
      <c r="A490" s="154">
        <f ca="1">OFFSET('ALRC Indiv Fund Summary (Print)'!UnallwblWthdrwls, 29, 1, 1, 1)</f>
        <v>0</v>
      </c>
      <c r="B490" s="13">
        <f ca="1">OFFSET('ALRC Indiv Fund Summary (Print)'!UnallwblWthdrwls, 29, 0, 1, 1)</f>
        <v>0</v>
      </c>
      <c r="C490" s="157">
        <f ca="1">IF(OFFSET('ALRC Indiv Fund Summary (Print)'!UnallwblWthdrwls, 29, 2, 1, 1) =DATE(1900,1,0),DATE(1900,1,1),OFFSET('ALRC Indiv Fund Summary (Print)'!UnallwblWthdrwls, 29, 2, 1, 1))</f>
        <v>1</v>
      </c>
      <c r="D490" s="185">
        <f ca="1">IF(OFFSET('ALRC Indiv Fund Summary (Print)'!UnallwblWthdrwls, 29, 3, 1, 1) = "", 0, OFFSET('ALRC Indiv Fund Summary (Print)'!UnallwblWthdrwls, 29, 3, 1, 1))</f>
        <v>0</v>
      </c>
      <c r="E490" s="180"/>
      <c r="F490" s="180"/>
      <c r="G490" s="180"/>
      <c r="H490" s="180"/>
      <c r="I490" s="187"/>
      <c r="J490" s="180"/>
      <c r="K490" s="180"/>
      <c r="L490" s="188"/>
      <c r="M490" s="188"/>
      <c r="N490" s="188"/>
      <c r="O490" s="188"/>
      <c r="P490" s="189"/>
      <c r="Q490" s="188"/>
      <c r="R490" s="188"/>
      <c r="S490" s="188"/>
      <c r="T490" s="188"/>
      <c r="U490" s="189"/>
    </row>
    <row r="491" spans="1:21">
      <c r="A491" s="154">
        <f ca="1">OFFSET('ALRC Indiv Fund Summary (Print)'!UnallwblWthdrwls, 0, 6, 1, 1)</f>
        <v>0</v>
      </c>
      <c r="B491" s="13">
        <f ca="1">OFFSET('ALRC Indiv Fund Summary (Print)'!UnallwblWthdrwls, 0, 5, 1, 1)</f>
        <v>0</v>
      </c>
      <c r="C491" s="157">
        <f ca="1">IF(OFFSET('ALRC Indiv Fund Summary (Print)'!UnallwblWthdrwls, 0, 7, 1, 1) =DATE(1900,1,0),DATE(1900,1,1),OFFSET('ALRC Indiv Fund Summary (Print)'!UnallwblWthdrwls, 0, 7, 1, 1))</f>
        <v>1</v>
      </c>
      <c r="D491" s="185">
        <f ca="1">IF(OFFSET('ALRC Indiv Fund Summary (Print)'!UnallwblWthdrwls, 0, 8, 1, 1) = "", 0, OFFSET('ALRC Indiv Fund Summary (Print)'!UnallwblWthdrwls, 0, 8, 1, 1))</f>
        <v>0</v>
      </c>
      <c r="E491" s="180"/>
      <c r="F491" s="180"/>
      <c r="G491" s="180"/>
      <c r="H491" s="180"/>
      <c r="I491" s="187"/>
      <c r="J491" s="180"/>
      <c r="K491" s="180"/>
      <c r="L491" s="188"/>
      <c r="M491" s="188"/>
      <c r="N491" s="188"/>
      <c r="O491" s="188"/>
      <c r="P491" s="189"/>
      <c r="Q491" s="188"/>
      <c r="R491" s="188"/>
      <c r="S491" s="188"/>
      <c r="T491" s="188"/>
      <c r="U491" s="189"/>
    </row>
    <row r="492" spans="1:21">
      <c r="A492" s="154">
        <f ca="1">OFFSET('ALRC Indiv Fund Summary (Print)'!UnallwblWthdrwls, 1, 6, 1, 1)</f>
        <v>0</v>
      </c>
      <c r="B492" s="13">
        <f ca="1">OFFSET('ALRC Indiv Fund Summary (Print)'!UnallwblWthdrwls, 1, 5, 1, 1)</f>
        <v>0</v>
      </c>
      <c r="C492" s="157">
        <f ca="1">IF(OFFSET('ALRC Indiv Fund Summary (Print)'!UnallwblWthdrwls, 1, 7, 1, 1) =DATE(1900,1,0),DATE(1900,1,1),OFFSET('ALRC Indiv Fund Summary (Print)'!UnallwblWthdrwls, 1, 7, 1, 1))</f>
        <v>1</v>
      </c>
      <c r="D492" s="185">
        <f ca="1">IF(OFFSET('ALRC Indiv Fund Summary (Print)'!UnallwblWthdrwls, 1, 8, 1, 1) = "", 0, OFFSET('ALRC Indiv Fund Summary (Print)'!UnallwblWthdrwls, 1, 8, 1, 1))</f>
        <v>0</v>
      </c>
      <c r="E492" s="180"/>
      <c r="F492" s="180"/>
      <c r="G492" s="180"/>
      <c r="H492" s="180"/>
      <c r="I492" s="187"/>
      <c r="J492" s="180"/>
      <c r="K492" s="180"/>
      <c r="L492" s="188"/>
      <c r="M492" s="188"/>
      <c r="N492" s="188"/>
      <c r="O492" s="188"/>
      <c r="P492" s="189"/>
      <c r="Q492" s="188"/>
      <c r="R492" s="188"/>
      <c r="S492" s="188"/>
      <c r="T492" s="188"/>
      <c r="U492" s="189"/>
    </row>
    <row r="493" spans="1:21">
      <c r="A493" s="154">
        <f ca="1">OFFSET('ALRC Indiv Fund Summary (Print)'!UnallwblWthdrwls, 2, 6, 1, 1)</f>
        <v>0</v>
      </c>
      <c r="B493" s="13">
        <f ca="1">OFFSET('ALRC Indiv Fund Summary (Print)'!UnallwblWthdrwls, 2, 5, 1, 1)</f>
        <v>0</v>
      </c>
      <c r="C493" s="157">
        <f ca="1">IF(OFFSET('ALRC Indiv Fund Summary (Print)'!UnallwblWthdrwls, 2, 7, 1, 1) =DATE(1900,1,0),DATE(1900,1,1),OFFSET('ALRC Indiv Fund Summary (Print)'!UnallwblWthdrwls, 2, 7, 1, 1))</f>
        <v>1</v>
      </c>
      <c r="D493" s="185">
        <f ca="1">IF(OFFSET('ALRC Indiv Fund Summary (Print)'!UnallwblWthdrwls, 2, 8, 1, 1) = "", 0, OFFSET('ALRC Indiv Fund Summary (Print)'!UnallwblWthdrwls, 2, 8, 1, 1))</f>
        <v>0</v>
      </c>
      <c r="E493" s="180"/>
      <c r="F493" s="180"/>
      <c r="G493" s="180"/>
      <c r="H493" s="180"/>
      <c r="I493" s="187"/>
      <c r="J493" s="180"/>
      <c r="K493" s="180"/>
      <c r="L493" s="188"/>
      <c r="M493" s="188"/>
      <c r="N493" s="188"/>
      <c r="O493" s="188"/>
      <c r="P493" s="189"/>
      <c r="Q493" s="188"/>
      <c r="R493" s="188"/>
      <c r="S493" s="188"/>
      <c r="T493" s="188"/>
      <c r="U493" s="189"/>
    </row>
    <row r="494" spans="1:21">
      <c r="A494" s="154">
        <f ca="1">OFFSET('ALRC Indiv Fund Summary (Print)'!UnallwblWthdrwls, 3, 6, 1, 1)</f>
        <v>0</v>
      </c>
      <c r="B494" s="13">
        <f ca="1">OFFSET('ALRC Indiv Fund Summary (Print)'!UnallwblWthdrwls, 3, 5, 1, 1)</f>
        <v>0</v>
      </c>
      <c r="C494" s="157">
        <f ca="1">IF(OFFSET('ALRC Indiv Fund Summary (Print)'!UnallwblWthdrwls, 3, 7, 1, 1) =DATE(1900,1,0),DATE(1900,1,1),OFFSET('ALRC Indiv Fund Summary (Print)'!UnallwblWthdrwls, 3, 7, 1, 1))</f>
        <v>1</v>
      </c>
      <c r="D494" s="185">
        <f ca="1">IF(OFFSET('ALRC Indiv Fund Summary (Print)'!UnallwblWthdrwls, 3, 8, 1, 1) = "", 0, OFFSET('ALRC Indiv Fund Summary (Print)'!UnallwblWthdrwls, 3, 8, 1, 1))</f>
        <v>0</v>
      </c>
      <c r="E494" s="180"/>
      <c r="F494" s="180"/>
      <c r="G494" s="180"/>
      <c r="H494" s="180"/>
      <c r="I494" s="187"/>
      <c r="J494" s="180"/>
      <c r="K494" s="180"/>
      <c r="L494" s="188"/>
      <c r="M494" s="188"/>
      <c r="N494" s="188"/>
      <c r="O494" s="188"/>
      <c r="P494" s="189"/>
      <c r="Q494" s="188"/>
      <c r="R494" s="188"/>
      <c r="S494" s="188"/>
      <c r="T494" s="188"/>
      <c r="U494" s="189"/>
    </row>
    <row r="495" spans="1:21">
      <c r="A495" s="154">
        <f ca="1">OFFSET('ALRC Indiv Fund Summary (Print)'!UnallwblWthdrwls, 4, 6, 1, 1)</f>
        <v>0</v>
      </c>
      <c r="B495" s="13">
        <f ca="1">OFFSET('ALRC Indiv Fund Summary (Print)'!UnallwblWthdrwls, 4, 5, 1, 1)</f>
        <v>0</v>
      </c>
      <c r="C495" s="157">
        <f ca="1">IF(OFFSET('ALRC Indiv Fund Summary (Print)'!UnallwblWthdrwls, 4, 7, 1, 1) =DATE(1900,1,0),DATE(1900,1,1),OFFSET('ALRC Indiv Fund Summary (Print)'!UnallwblWthdrwls, 4, 7, 1, 1))</f>
        <v>1</v>
      </c>
      <c r="D495" s="185">
        <f ca="1">IF(OFFSET('ALRC Indiv Fund Summary (Print)'!UnallwblWthdrwls, 4, 8, 1, 1) = "", 0, OFFSET('ALRC Indiv Fund Summary (Print)'!UnallwblWthdrwls, 4, 8, 1, 1))</f>
        <v>0</v>
      </c>
      <c r="E495" s="180"/>
      <c r="F495" s="180"/>
      <c r="G495" s="180"/>
      <c r="H495" s="180"/>
      <c r="I495" s="187"/>
      <c r="J495" s="180"/>
      <c r="K495" s="180"/>
      <c r="L495" s="188"/>
      <c r="M495" s="188"/>
      <c r="N495" s="188"/>
      <c r="O495" s="188"/>
      <c r="P495" s="189"/>
      <c r="Q495" s="188"/>
      <c r="R495" s="188"/>
      <c r="S495" s="188"/>
      <c r="T495" s="188"/>
      <c r="U495" s="189"/>
    </row>
    <row r="496" spans="1:21">
      <c r="A496" s="154">
        <f ca="1">OFFSET('ALRC Indiv Fund Summary (Print)'!UnallwblWthdrwls, 5, 6, 1, 1)</f>
        <v>0</v>
      </c>
      <c r="B496" s="13">
        <f ca="1">OFFSET('ALRC Indiv Fund Summary (Print)'!UnallwblWthdrwls, 5, 5, 1, 1)</f>
        <v>0</v>
      </c>
      <c r="C496" s="157">
        <f ca="1">IF(OFFSET('ALRC Indiv Fund Summary (Print)'!UnallwblWthdrwls, 5, 7, 1, 1) =DATE(1900,1,0),DATE(1900,1,1),OFFSET('ALRC Indiv Fund Summary (Print)'!UnallwblWthdrwls, 5, 7, 1, 1))</f>
        <v>1</v>
      </c>
      <c r="D496" s="185">
        <f ca="1">IF(OFFSET('ALRC Indiv Fund Summary (Print)'!UnallwblWthdrwls, 5, 8, 1, 1) = "", 0, OFFSET('ALRC Indiv Fund Summary (Print)'!UnallwblWthdrwls, 5, 8, 1, 1))</f>
        <v>0</v>
      </c>
      <c r="E496" s="180"/>
      <c r="F496" s="180"/>
      <c r="G496" s="180"/>
      <c r="H496" s="180"/>
      <c r="I496" s="187"/>
      <c r="J496" s="180"/>
      <c r="K496" s="180"/>
      <c r="L496" s="188"/>
      <c r="M496" s="188"/>
      <c r="N496" s="188"/>
      <c r="O496" s="188"/>
      <c r="P496" s="189"/>
      <c r="Q496" s="188"/>
      <c r="R496" s="188"/>
      <c r="S496" s="188"/>
      <c r="T496" s="188"/>
      <c r="U496" s="189"/>
    </row>
    <row r="497" spans="1:21">
      <c r="A497" s="154">
        <f ca="1">OFFSET('ALRC Indiv Fund Summary (Print)'!UnallwblWthdrwls, 6, 6, 1, 1)</f>
        <v>0</v>
      </c>
      <c r="B497" s="13">
        <f ca="1">OFFSET('ALRC Indiv Fund Summary (Print)'!UnallwblWthdrwls, 6, 5, 1, 1)</f>
        <v>0</v>
      </c>
      <c r="C497" s="157">
        <f ca="1">IF(OFFSET('ALRC Indiv Fund Summary (Print)'!UnallwblWthdrwls, 6, 7, 1, 1) =DATE(1900,1,0),DATE(1900,1,1),OFFSET('ALRC Indiv Fund Summary (Print)'!UnallwblWthdrwls, 6, 7, 1, 1))</f>
        <v>1</v>
      </c>
      <c r="D497" s="185">
        <f ca="1">IF(OFFSET('ALRC Indiv Fund Summary (Print)'!UnallwblWthdrwls, 6, 8, 1, 1) = "", 0, OFFSET('ALRC Indiv Fund Summary (Print)'!UnallwblWthdrwls, 6, 8, 1, 1))</f>
        <v>0</v>
      </c>
      <c r="E497" s="180"/>
      <c r="F497" s="180"/>
      <c r="G497" s="180"/>
      <c r="H497" s="180"/>
      <c r="I497" s="187"/>
      <c r="J497" s="180"/>
      <c r="K497" s="180"/>
      <c r="L497" s="188"/>
      <c r="M497" s="188"/>
      <c r="N497" s="188"/>
      <c r="O497" s="188"/>
      <c r="P497" s="189"/>
      <c r="Q497" s="188"/>
      <c r="R497" s="188"/>
      <c r="S497" s="188"/>
      <c r="T497" s="188"/>
      <c r="U497" s="189"/>
    </row>
    <row r="498" spans="1:21">
      <c r="A498" s="154">
        <f ca="1">OFFSET('ALRC Indiv Fund Summary (Print)'!UnallwblWthdrwls, 7, 6, 1, 1)</f>
        <v>0</v>
      </c>
      <c r="B498" s="13">
        <f ca="1">OFFSET('ALRC Indiv Fund Summary (Print)'!UnallwblWthdrwls, 7, 5, 1, 1)</f>
        <v>0</v>
      </c>
      <c r="C498" s="157">
        <f ca="1">IF(OFFSET('ALRC Indiv Fund Summary (Print)'!UnallwblWthdrwls, 7, 7, 1, 1) =DATE(1900,1,0),DATE(1900,1,1),OFFSET('ALRC Indiv Fund Summary (Print)'!UnallwblWthdrwls, 7, 7, 1, 1))</f>
        <v>1</v>
      </c>
      <c r="D498" s="185">
        <f ca="1">IF(OFFSET('ALRC Indiv Fund Summary (Print)'!UnallwblWthdrwls, 7, 8, 1, 1) = "", 0, OFFSET('ALRC Indiv Fund Summary (Print)'!UnallwblWthdrwls, 7, 8, 1, 1))</f>
        <v>0</v>
      </c>
      <c r="E498" s="180"/>
      <c r="F498" s="180"/>
      <c r="G498" s="180"/>
      <c r="H498" s="180"/>
      <c r="I498" s="187"/>
      <c r="J498" s="180"/>
      <c r="K498" s="180"/>
      <c r="L498" s="188"/>
      <c r="M498" s="188"/>
      <c r="N498" s="188"/>
      <c r="O498" s="188"/>
      <c r="P498" s="189"/>
      <c r="Q498" s="188"/>
      <c r="R498" s="188"/>
      <c r="S498" s="188"/>
      <c r="T498" s="188"/>
      <c r="U498" s="189"/>
    </row>
    <row r="499" spans="1:21">
      <c r="A499" s="154">
        <f ca="1">OFFSET('ALRC Indiv Fund Summary (Print)'!UnallwblWthdrwls, 8, 6, 1, 1)</f>
        <v>0</v>
      </c>
      <c r="B499" s="13">
        <f ca="1">OFFSET('ALRC Indiv Fund Summary (Print)'!UnallwblWthdrwls, 8, 5, 1, 1)</f>
        <v>0</v>
      </c>
      <c r="C499" s="157">
        <f ca="1">IF(OFFSET('ALRC Indiv Fund Summary (Print)'!UnallwblWthdrwls, 8, 7, 1, 1) =DATE(1900,1,0),DATE(1900,1,1),OFFSET('ALRC Indiv Fund Summary (Print)'!UnallwblWthdrwls, 8, 7, 1, 1))</f>
        <v>1</v>
      </c>
      <c r="D499" s="185">
        <f ca="1">IF(OFFSET('ALRC Indiv Fund Summary (Print)'!UnallwblWthdrwls, 8, 8, 1, 1) = "", 0, OFFSET('ALRC Indiv Fund Summary (Print)'!UnallwblWthdrwls, 8, 8, 1, 1))</f>
        <v>0</v>
      </c>
      <c r="E499" s="180"/>
      <c r="F499" s="180"/>
      <c r="G499" s="180"/>
      <c r="H499" s="180"/>
      <c r="I499" s="187"/>
      <c r="J499" s="180"/>
      <c r="K499" s="180"/>
      <c r="L499" s="188"/>
      <c r="M499" s="188"/>
      <c r="N499" s="188"/>
      <c r="O499" s="188"/>
      <c r="P499" s="189"/>
      <c r="Q499" s="188"/>
      <c r="R499" s="188"/>
      <c r="S499" s="188"/>
      <c r="T499" s="188"/>
      <c r="U499" s="189"/>
    </row>
    <row r="500" spans="1:21">
      <c r="A500" s="154">
        <f ca="1">OFFSET('ALRC Indiv Fund Summary (Print)'!UnallwblWthdrwls, 9, 6, 1, 1)</f>
        <v>0</v>
      </c>
      <c r="B500" s="13">
        <f ca="1">OFFSET('ALRC Indiv Fund Summary (Print)'!UnallwblWthdrwls, 9, 5, 1, 1)</f>
        <v>0</v>
      </c>
      <c r="C500" s="157">
        <f ca="1">IF(OFFSET('ALRC Indiv Fund Summary (Print)'!UnallwblWthdrwls, 9, 7, 1, 1) =DATE(1900,1,0),DATE(1900,1,1),OFFSET('ALRC Indiv Fund Summary (Print)'!UnallwblWthdrwls, 9, 7, 1, 1))</f>
        <v>1</v>
      </c>
      <c r="D500" s="185">
        <f ca="1">IF(OFFSET('ALRC Indiv Fund Summary (Print)'!UnallwblWthdrwls, 9, 8, 1, 1) = "", 0, OFFSET('ALRC Indiv Fund Summary (Print)'!UnallwblWthdrwls, 9, 8, 1, 1))</f>
        <v>0</v>
      </c>
      <c r="E500" s="180"/>
      <c r="F500" s="180"/>
      <c r="G500" s="180"/>
      <c r="H500" s="180"/>
      <c r="I500" s="187"/>
      <c r="J500" s="180"/>
      <c r="K500" s="180"/>
      <c r="L500" s="188"/>
      <c r="M500" s="188"/>
      <c r="N500" s="188"/>
      <c r="O500" s="188"/>
      <c r="P500" s="189"/>
      <c r="Q500" s="188"/>
      <c r="R500" s="188"/>
      <c r="S500" s="188"/>
      <c r="T500" s="188"/>
      <c r="U500" s="189"/>
    </row>
    <row r="501" spans="1:21">
      <c r="A501" s="154">
        <f ca="1">OFFSET('ALRC Indiv Fund Summary (Print)'!UnallwblWthdrwls, 10, 6, 1, 1)</f>
        <v>0</v>
      </c>
      <c r="B501" s="13">
        <f ca="1">OFFSET('ALRC Indiv Fund Summary (Print)'!UnallwblWthdrwls, 10, 5, 1, 1)</f>
        <v>0</v>
      </c>
      <c r="C501" s="157">
        <f ca="1">IF(OFFSET('ALRC Indiv Fund Summary (Print)'!UnallwblWthdrwls, 10, 7, 1, 1) =DATE(1900,1,0),DATE(1900,1,1),OFFSET('ALRC Indiv Fund Summary (Print)'!UnallwblWthdrwls, 10, 7, 1, 1))</f>
        <v>1</v>
      </c>
      <c r="D501" s="185">
        <f ca="1">IF(OFFSET('ALRC Indiv Fund Summary (Print)'!UnallwblWthdrwls, 10, 8, 1, 1) = "", 0, OFFSET('ALRC Indiv Fund Summary (Print)'!UnallwblWthdrwls, 10, 8, 1, 1))</f>
        <v>0</v>
      </c>
      <c r="E501" s="180"/>
      <c r="F501" s="180"/>
      <c r="G501" s="180"/>
      <c r="H501" s="180"/>
      <c r="I501" s="187"/>
      <c r="J501" s="180"/>
      <c r="K501" s="180"/>
      <c r="L501" s="188"/>
      <c r="M501" s="188"/>
      <c r="N501" s="188"/>
      <c r="O501" s="188"/>
      <c r="P501" s="189"/>
      <c r="Q501" s="188"/>
      <c r="R501" s="188"/>
      <c r="S501" s="188"/>
      <c r="T501" s="188"/>
      <c r="U501" s="189"/>
    </row>
    <row r="502" spans="1:21">
      <c r="A502" s="154">
        <f ca="1">OFFSET('ALRC Indiv Fund Summary (Print)'!UnallwblWthdrwls, 11, 6, 1, 1)</f>
        <v>0</v>
      </c>
      <c r="B502" s="13">
        <f ca="1">OFFSET('ALRC Indiv Fund Summary (Print)'!UnallwblWthdrwls, 11, 5, 1, 1)</f>
        <v>0</v>
      </c>
      <c r="C502" s="157">
        <f ca="1">IF(OFFSET('ALRC Indiv Fund Summary (Print)'!UnallwblWthdrwls, 11, 7, 1, 1) =DATE(1900,1,0),DATE(1900,1,1),OFFSET('ALRC Indiv Fund Summary (Print)'!UnallwblWthdrwls, 11, 7, 1, 1))</f>
        <v>1</v>
      </c>
      <c r="D502" s="185">
        <f ca="1">IF(OFFSET('ALRC Indiv Fund Summary (Print)'!UnallwblWthdrwls, 11, 8, 1, 1) = "", 0, OFFSET('ALRC Indiv Fund Summary (Print)'!UnallwblWthdrwls, 11, 8, 1, 1))</f>
        <v>0</v>
      </c>
      <c r="E502" s="180"/>
      <c r="F502" s="180"/>
      <c r="G502" s="180"/>
      <c r="H502" s="180"/>
      <c r="I502" s="187"/>
      <c r="J502" s="180"/>
      <c r="K502" s="180"/>
      <c r="L502" s="188"/>
      <c r="M502" s="188"/>
      <c r="N502" s="188"/>
      <c r="O502" s="188"/>
      <c r="P502" s="189"/>
      <c r="Q502" s="188"/>
      <c r="R502" s="188"/>
      <c r="S502" s="188"/>
      <c r="T502" s="188"/>
      <c r="U502" s="189"/>
    </row>
    <row r="503" spans="1:21">
      <c r="A503" s="154">
        <f ca="1">OFFSET('ALRC Indiv Fund Summary (Print)'!UnallwblWthdrwls, 12, 6, 1, 1)</f>
        <v>0</v>
      </c>
      <c r="B503" s="13">
        <f ca="1">OFFSET('ALRC Indiv Fund Summary (Print)'!UnallwblWthdrwls, 12, 5, 1, 1)</f>
        <v>0</v>
      </c>
      <c r="C503" s="157">
        <f ca="1">IF(OFFSET('ALRC Indiv Fund Summary (Print)'!UnallwblWthdrwls, 12, 7, 1, 1) =DATE(1900,1,0),DATE(1900,1,1),OFFSET('ALRC Indiv Fund Summary (Print)'!UnallwblWthdrwls, 12, 7, 1, 1))</f>
        <v>1</v>
      </c>
      <c r="D503" s="185">
        <f ca="1">IF(OFFSET('ALRC Indiv Fund Summary (Print)'!UnallwblWthdrwls, 12, 8, 1, 1) = "", 0, OFFSET('ALRC Indiv Fund Summary (Print)'!UnallwblWthdrwls, 12, 8, 1, 1))</f>
        <v>0</v>
      </c>
      <c r="E503" s="180"/>
      <c r="F503" s="180"/>
      <c r="G503" s="180"/>
      <c r="H503" s="180"/>
      <c r="I503" s="187"/>
      <c r="J503" s="180"/>
      <c r="K503" s="180"/>
      <c r="L503" s="188"/>
      <c r="M503" s="188"/>
      <c r="N503" s="188"/>
      <c r="O503" s="188"/>
      <c r="P503" s="189"/>
      <c r="Q503" s="188"/>
      <c r="R503" s="188"/>
      <c r="S503" s="188"/>
      <c r="T503" s="188"/>
      <c r="U503" s="189"/>
    </row>
    <row r="504" spans="1:21">
      <c r="A504" s="154">
        <f ca="1">OFFSET('ALRC Indiv Fund Summary (Print)'!UnallwblWthdrwls, 13, 6, 1, 1)</f>
        <v>0</v>
      </c>
      <c r="B504" s="13">
        <f ca="1">OFFSET('ALRC Indiv Fund Summary (Print)'!UnallwblWthdrwls, 13, 5, 1, 1)</f>
        <v>0</v>
      </c>
      <c r="C504" s="157">
        <f ca="1">IF(OFFSET('ALRC Indiv Fund Summary (Print)'!UnallwblWthdrwls, 13, 7, 1, 1) =DATE(1900,1,0),DATE(1900,1,1),OFFSET('ALRC Indiv Fund Summary (Print)'!UnallwblWthdrwls, 13, 7, 1, 1))</f>
        <v>1</v>
      </c>
      <c r="D504" s="185">
        <f ca="1">IF(OFFSET('ALRC Indiv Fund Summary (Print)'!UnallwblWthdrwls, 13, 8, 1, 1) = "", 0, OFFSET('ALRC Indiv Fund Summary (Print)'!UnallwblWthdrwls, 13, 8, 1, 1))</f>
        <v>0</v>
      </c>
      <c r="E504" s="180"/>
      <c r="F504" s="180"/>
      <c r="G504" s="180"/>
      <c r="H504" s="180"/>
      <c r="I504" s="187"/>
      <c r="J504" s="180"/>
      <c r="K504" s="180"/>
      <c r="L504" s="188"/>
      <c r="M504" s="188"/>
      <c r="N504" s="188"/>
      <c r="O504" s="188"/>
      <c r="P504" s="189"/>
      <c r="Q504" s="188"/>
      <c r="R504" s="188"/>
      <c r="S504" s="188"/>
      <c r="T504" s="188"/>
      <c r="U504" s="189"/>
    </row>
    <row r="505" spans="1:21">
      <c r="A505" s="154">
        <f ca="1">OFFSET('ALRC Indiv Fund Summary (Print)'!UnallwblWthdrwls, 14, 6, 1, 1)</f>
        <v>0</v>
      </c>
      <c r="B505" s="13">
        <f ca="1">OFFSET('ALRC Indiv Fund Summary (Print)'!UnallwblWthdrwls, 14, 5, 1, 1)</f>
        <v>0</v>
      </c>
      <c r="C505" s="157">
        <f ca="1">IF(OFFSET('ALRC Indiv Fund Summary (Print)'!UnallwblWthdrwls, 14, 7, 1, 1) =DATE(1900,1,0),DATE(1900,1,1),OFFSET('ALRC Indiv Fund Summary (Print)'!UnallwblWthdrwls, 14, 7, 1, 1))</f>
        <v>1</v>
      </c>
      <c r="D505" s="185">
        <f ca="1">IF(OFFSET('ALRC Indiv Fund Summary (Print)'!UnallwblWthdrwls, 14, 8, 1, 1) = "", 0, OFFSET('ALRC Indiv Fund Summary (Print)'!UnallwblWthdrwls, 14, 8, 1, 1))</f>
        <v>0</v>
      </c>
      <c r="E505" s="180"/>
      <c r="F505" s="180"/>
      <c r="G505" s="180"/>
      <c r="H505" s="180"/>
      <c r="I505" s="187"/>
      <c r="J505" s="180"/>
      <c r="K505" s="180"/>
      <c r="L505" s="188"/>
      <c r="M505" s="188"/>
      <c r="N505" s="188"/>
      <c r="O505" s="188"/>
      <c r="P505" s="189"/>
      <c r="Q505" s="188"/>
      <c r="R505" s="188"/>
      <c r="S505" s="188"/>
      <c r="T505" s="188"/>
      <c r="U505" s="189"/>
    </row>
    <row r="506" spans="1:21">
      <c r="A506" s="154">
        <f ca="1">OFFSET('ALRC Indiv Fund Summary (Print)'!UnallwblWthdrwls, 15, 6, 1, 1)</f>
        <v>0</v>
      </c>
      <c r="B506" s="13">
        <f ca="1">OFFSET('ALRC Indiv Fund Summary (Print)'!UnallwblWthdrwls, 15, 5, 1, 1)</f>
        <v>0</v>
      </c>
      <c r="C506" s="157">
        <f ca="1">IF(OFFSET('ALRC Indiv Fund Summary (Print)'!UnallwblWthdrwls, 15, 7, 1, 1) =DATE(1900,1,0),DATE(1900,1,1),OFFSET('ALRC Indiv Fund Summary (Print)'!UnallwblWthdrwls, 15, 7, 1, 1))</f>
        <v>1</v>
      </c>
      <c r="D506" s="185">
        <f ca="1">IF(OFFSET('ALRC Indiv Fund Summary (Print)'!UnallwblWthdrwls, 15, 8, 1, 1) = "", 0, OFFSET('ALRC Indiv Fund Summary (Print)'!UnallwblWthdrwls, 15, 8, 1, 1))</f>
        <v>0</v>
      </c>
      <c r="E506" s="180"/>
      <c r="F506" s="180"/>
      <c r="G506" s="180"/>
      <c r="H506" s="180"/>
      <c r="I506" s="187"/>
      <c r="J506" s="180"/>
      <c r="K506" s="180"/>
      <c r="L506" s="188"/>
      <c r="M506" s="188"/>
      <c r="N506" s="188"/>
      <c r="O506" s="188"/>
      <c r="P506" s="189"/>
      <c r="Q506" s="188"/>
      <c r="R506" s="188"/>
      <c r="S506" s="188"/>
      <c r="T506" s="188"/>
      <c r="U506" s="189"/>
    </row>
    <row r="507" spans="1:21">
      <c r="A507" s="154">
        <f ca="1">OFFSET('ALRC Indiv Fund Summary (Print)'!UnallwblWthdrwls, 16, 6, 1, 1)</f>
        <v>0</v>
      </c>
      <c r="B507" s="13">
        <f ca="1">OFFSET('ALRC Indiv Fund Summary (Print)'!UnallwblWthdrwls, 16, 5, 1, 1)</f>
        <v>0</v>
      </c>
      <c r="C507" s="157">
        <f ca="1">IF(OFFSET('ALRC Indiv Fund Summary (Print)'!UnallwblWthdrwls, 16, 7, 1, 1) =DATE(1900,1,0),DATE(1900,1,1),OFFSET('ALRC Indiv Fund Summary (Print)'!UnallwblWthdrwls, 16, 7, 1, 1))</f>
        <v>1</v>
      </c>
      <c r="D507" s="185">
        <f ca="1">IF(OFFSET('ALRC Indiv Fund Summary (Print)'!UnallwblWthdrwls, 16, 8, 1, 1) = "", 0, OFFSET('ALRC Indiv Fund Summary (Print)'!UnallwblWthdrwls, 16, 8, 1, 1))</f>
        <v>0</v>
      </c>
      <c r="E507" s="180"/>
      <c r="F507" s="180"/>
      <c r="G507" s="180"/>
      <c r="H507" s="180"/>
      <c r="I507" s="187"/>
      <c r="J507" s="180"/>
      <c r="K507" s="180"/>
      <c r="L507" s="188"/>
      <c r="M507" s="188"/>
      <c r="N507" s="188"/>
      <c r="O507" s="188"/>
      <c r="P507" s="189"/>
      <c r="Q507" s="188"/>
      <c r="R507" s="188"/>
      <c r="S507" s="188"/>
      <c r="T507" s="188"/>
      <c r="U507" s="189"/>
    </row>
    <row r="508" spans="1:21">
      <c r="A508" s="154">
        <f ca="1">OFFSET('ALRC Indiv Fund Summary (Print)'!UnallwblWthdrwls, 17, 6, 1, 1)</f>
        <v>0</v>
      </c>
      <c r="B508" s="13">
        <f ca="1">OFFSET('ALRC Indiv Fund Summary (Print)'!UnallwblWthdrwls, 17, 5, 1, 1)</f>
        <v>0</v>
      </c>
      <c r="C508" s="157">
        <f ca="1">IF(OFFSET('ALRC Indiv Fund Summary (Print)'!UnallwblWthdrwls, 17, 7, 1, 1) =DATE(1900,1,0),DATE(1900,1,1),OFFSET('ALRC Indiv Fund Summary (Print)'!UnallwblWthdrwls, 17, 7, 1, 1))</f>
        <v>1</v>
      </c>
      <c r="D508" s="185">
        <f ca="1">IF(OFFSET('ALRC Indiv Fund Summary (Print)'!UnallwblWthdrwls, 17, 8, 1, 1) = "", 0, OFFSET('ALRC Indiv Fund Summary (Print)'!UnallwblWthdrwls, 17, 8, 1, 1))</f>
        <v>0</v>
      </c>
      <c r="E508" s="180"/>
      <c r="F508" s="180"/>
      <c r="G508" s="180"/>
      <c r="H508" s="180"/>
      <c r="I508" s="187"/>
      <c r="J508" s="180"/>
      <c r="K508" s="180"/>
      <c r="L508" s="188"/>
      <c r="M508" s="188"/>
      <c r="N508" s="188"/>
      <c r="O508" s="188"/>
      <c r="P508" s="189"/>
      <c r="Q508" s="188"/>
      <c r="R508" s="188"/>
      <c r="S508" s="188"/>
      <c r="T508" s="188"/>
      <c r="U508" s="189"/>
    </row>
    <row r="509" spans="1:21">
      <c r="A509" s="154">
        <f ca="1">OFFSET('ALRC Indiv Fund Summary (Print)'!UnallwblWthdrwls, 18, 6, 1, 1)</f>
        <v>0</v>
      </c>
      <c r="B509" s="13">
        <f ca="1">OFFSET('ALRC Indiv Fund Summary (Print)'!UnallwblWthdrwls, 18, 5, 1, 1)</f>
        <v>0</v>
      </c>
      <c r="C509" s="157">
        <f ca="1">IF(OFFSET('ALRC Indiv Fund Summary (Print)'!UnallwblWthdrwls, 18, 7, 1, 1) =DATE(1900,1,0),DATE(1900,1,1),OFFSET('ALRC Indiv Fund Summary (Print)'!UnallwblWthdrwls, 18, 7, 1, 1))</f>
        <v>1</v>
      </c>
      <c r="D509" s="185">
        <f ca="1">IF(OFFSET('ALRC Indiv Fund Summary (Print)'!UnallwblWthdrwls, 18, 8, 1, 1) = "", 0, OFFSET('ALRC Indiv Fund Summary (Print)'!UnallwblWthdrwls, 18, 8, 1, 1))</f>
        <v>0</v>
      </c>
      <c r="E509" s="180"/>
      <c r="F509" s="180"/>
      <c r="G509" s="180"/>
      <c r="H509" s="180"/>
      <c r="I509" s="187"/>
      <c r="J509" s="180"/>
      <c r="K509" s="180"/>
      <c r="L509" s="188"/>
      <c r="M509" s="188"/>
      <c r="N509" s="188"/>
      <c r="O509" s="188"/>
      <c r="P509" s="189"/>
      <c r="Q509" s="188"/>
      <c r="R509" s="188"/>
      <c r="S509" s="188"/>
      <c r="T509" s="188"/>
      <c r="U509" s="189"/>
    </row>
    <row r="510" spans="1:21">
      <c r="A510" s="154">
        <f ca="1">OFFSET('ALRC Indiv Fund Summary (Print)'!UnallwblWthdrwls, 19, 6, 1, 1)</f>
        <v>0</v>
      </c>
      <c r="B510" s="13">
        <f ca="1">OFFSET('ALRC Indiv Fund Summary (Print)'!UnallwblWthdrwls, 19, 5, 1, 1)</f>
        <v>0</v>
      </c>
      <c r="C510" s="157">
        <f ca="1">IF(OFFSET('ALRC Indiv Fund Summary (Print)'!UnallwblWthdrwls, 19, 7, 1, 1) =DATE(1900,1,0),DATE(1900,1,1),OFFSET('ALRC Indiv Fund Summary (Print)'!UnallwblWthdrwls, 19, 7, 1, 1))</f>
        <v>1</v>
      </c>
      <c r="D510" s="185">
        <f ca="1">IF(OFFSET('ALRC Indiv Fund Summary (Print)'!UnallwblWthdrwls, 19, 8, 1, 1) = "", 0, OFFSET('ALRC Indiv Fund Summary (Print)'!UnallwblWthdrwls, 19, 8, 1, 1))</f>
        <v>0</v>
      </c>
      <c r="E510" s="180"/>
      <c r="F510" s="180"/>
      <c r="G510" s="180"/>
      <c r="H510" s="180"/>
      <c r="I510" s="187"/>
      <c r="J510" s="180"/>
      <c r="K510" s="180"/>
      <c r="L510" s="188"/>
      <c r="M510" s="188"/>
      <c r="N510" s="188"/>
      <c r="O510" s="188"/>
      <c r="P510" s="189"/>
      <c r="Q510" s="188"/>
      <c r="R510" s="188"/>
      <c r="S510" s="188"/>
      <c r="T510" s="188"/>
      <c r="U510" s="189"/>
    </row>
    <row r="511" spans="1:21">
      <c r="A511" s="154">
        <f ca="1">OFFSET('ALRC Indiv Fund Summary (Print)'!UnallwblWthdrwls, 20, 6, 1, 1)</f>
        <v>0</v>
      </c>
      <c r="B511" s="13">
        <f ca="1">OFFSET('ALRC Indiv Fund Summary (Print)'!UnallwblWthdrwls, 20, 5, 1, 1)</f>
        <v>0</v>
      </c>
      <c r="C511" s="157">
        <f ca="1">IF(OFFSET('ALRC Indiv Fund Summary (Print)'!UnallwblWthdrwls, 20, 7, 1, 1) =DATE(1900,1,0),DATE(1900,1,1),OFFSET('ALRC Indiv Fund Summary (Print)'!UnallwblWthdrwls, 20, 7, 1, 1))</f>
        <v>1</v>
      </c>
      <c r="D511" s="185">
        <f ca="1">IF(OFFSET('ALRC Indiv Fund Summary (Print)'!UnallwblWthdrwls, 20, 8, 1, 1) = "", 0, OFFSET('ALRC Indiv Fund Summary (Print)'!UnallwblWthdrwls, 20, 8, 1, 1))</f>
        <v>0</v>
      </c>
      <c r="E511" s="180"/>
      <c r="F511" s="180"/>
      <c r="G511" s="180"/>
      <c r="H511" s="180"/>
      <c r="I511" s="187"/>
      <c r="J511" s="180"/>
      <c r="K511" s="180"/>
      <c r="L511" s="188"/>
      <c r="M511" s="188"/>
      <c r="N511" s="188"/>
      <c r="O511" s="188"/>
      <c r="P511" s="189"/>
      <c r="Q511" s="188"/>
      <c r="R511" s="188"/>
      <c r="S511" s="188"/>
      <c r="T511" s="188"/>
      <c r="U511" s="189"/>
    </row>
    <row r="512" spans="1:21">
      <c r="A512" s="154">
        <f ca="1">OFFSET('ALRC Indiv Fund Summary (Print)'!UnallwblWthdrwls, 21, 6, 1, 1)</f>
        <v>0</v>
      </c>
      <c r="B512" s="13">
        <f ca="1">OFFSET('ALRC Indiv Fund Summary (Print)'!UnallwblWthdrwls, 21, 5, 1, 1)</f>
        <v>0</v>
      </c>
      <c r="C512" s="157">
        <f ca="1">IF(OFFSET('ALRC Indiv Fund Summary (Print)'!UnallwblWthdrwls, 21, 7, 1, 1) =DATE(1900,1,0),DATE(1900,1,1),OFFSET('ALRC Indiv Fund Summary (Print)'!UnallwblWthdrwls, 21, 7, 1, 1))</f>
        <v>1</v>
      </c>
      <c r="D512" s="185">
        <f ca="1">IF(OFFSET('ALRC Indiv Fund Summary (Print)'!UnallwblWthdrwls, 21, 8, 1, 1) = "", 0, OFFSET('ALRC Indiv Fund Summary (Print)'!UnallwblWthdrwls, 21, 8, 1, 1))</f>
        <v>0</v>
      </c>
      <c r="E512" s="180"/>
      <c r="F512" s="180"/>
      <c r="G512" s="180"/>
      <c r="H512" s="180"/>
      <c r="I512" s="187"/>
      <c r="J512" s="180"/>
      <c r="K512" s="180"/>
      <c r="L512" s="188"/>
      <c r="M512" s="188"/>
      <c r="N512" s="188"/>
      <c r="O512" s="188"/>
      <c r="P512" s="189"/>
      <c r="Q512" s="188"/>
      <c r="R512" s="188"/>
      <c r="S512" s="188"/>
      <c r="T512" s="188"/>
      <c r="U512" s="189"/>
    </row>
    <row r="513" spans="1:21">
      <c r="A513" s="154">
        <f ca="1">OFFSET('ALRC Indiv Fund Summary (Print)'!UnallwblWthdrwls, 22, 6, 1, 1)</f>
        <v>0</v>
      </c>
      <c r="B513" s="13">
        <f ca="1">OFFSET('ALRC Indiv Fund Summary (Print)'!UnallwblWthdrwls, 22, 5, 1, 1)</f>
        <v>0</v>
      </c>
      <c r="C513" s="157">
        <f ca="1">IF(OFFSET('ALRC Indiv Fund Summary (Print)'!UnallwblWthdrwls, 22, 7, 1, 1) =DATE(1900,1,0),DATE(1900,1,1),OFFSET('ALRC Indiv Fund Summary (Print)'!UnallwblWthdrwls, 22, 7, 1, 1))</f>
        <v>1</v>
      </c>
      <c r="D513" s="185">
        <f ca="1">IF(OFFSET('ALRC Indiv Fund Summary (Print)'!UnallwblWthdrwls, 22, 8, 1, 1) = "", 0, OFFSET('ALRC Indiv Fund Summary (Print)'!UnallwblWthdrwls, 22, 8, 1, 1))</f>
        <v>0</v>
      </c>
      <c r="E513" s="180"/>
      <c r="F513" s="180"/>
      <c r="G513" s="180"/>
      <c r="H513" s="180"/>
      <c r="I513" s="187"/>
      <c r="J513" s="180"/>
      <c r="K513" s="180"/>
      <c r="L513" s="188"/>
      <c r="M513" s="188"/>
      <c r="N513" s="188"/>
      <c r="O513" s="188"/>
      <c r="P513" s="189"/>
      <c r="Q513" s="188"/>
      <c r="R513" s="188"/>
      <c r="S513" s="188"/>
      <c r="T513" s="188"/>
      <c r="U513" s="189"/>
    </row>
    <row r="514" spans="1:21">
      <c r="A514" s="154">
        <f ca="1">OFFSET('ALRC Indiv Fund Summary (Print)'!UnallwblWthdrwls, 23, 6, 1, 1)</f>
        <v>0</v>
      </c>
      <c r="B514" s="13">
        <f ca="1">OFFSET('ALRC Indiv Fund Summary (Print)'!UnallwblWthdrwls, 23, 5, 1, 1)</f>
        <v>0</v>
      </c>
      <c r="C514" s="157">
        <f ca="1">IF(OFFSET('ALRC Indiv Fund Summary (Print)'!UnallwblWthdrwls, 23, 7, 1, 1) =DATE(1900,1,0),DATE(1900,1,1),OFFSET('ALRC Indiv Fund Summary (Print)'!UnallwblWthdrwls, 23, 7, 1, 1))</f>
        <v>1</v>
      </c>
      <c r="D514" s="185">
        <f ca="1">IF(OFFSET('ALRC Indiv Fund Summary (Print)'!UnallwblWthdrwls, 23, 8, 1, 1) = "", 0, OFFSET('ALRC Indiv Fund Summary (Print)'!UnallwblWthdrwls, 23, 8, 1, 1))</f>
        <v>0</v>
      </c>
      <c r="E514" s="180"/>
      <c r="F514" s="180"/>
      <c r="G514" s="180"/>
      <c r="H514" s="180"/>
      <c r="I514" s="187"/>
      <c r="J514" s="180"/>
      <c r="K514" s="180"/>
      <c r="L514" s="188"/>
      <c r="M514" s="188"/>
      <c r="N514" s="188"/>
      <c r="O514" s="188"/>
      <c r="P514" s="189"/>
      <c r="Q514" s="188"/>
      <c r="R514" s="188"/>
      <c r="S514" s="188"/>
      <c r="T514" s="188"/>
      <c r="U514" s="189"/>
    </row>
    <row r="515" spans="1:21">
      <c r="A515" s="154">
        <f ca="1">OFFSET('ALRC Indiv Fund Summary (Print)'!UnallwblWthdrwls, 24, 6, 1, 1)</f>
        <v>0</v>
      </c>
      <c r="B515" s="13">
        <f ca="1">OFFSET('ALRC Indiv Fund Summary (Print)'!UnallwblWthdrwls, 24, 5, 1, 1)</f>
        <v>0</v>
      </c>
      <c r="C515" s="157">
        <f ca="1">IF(OFFSET('ALRC Indiv Fund Summary (Print)'!UnallwblWthdrwls, 24, 7, 1, 1) =DATE(1900,1,0),DATE(1900,1,1),OFFSET('ALRC Indiv Fund Summary (Print)'!UnallwblWthdrwls, 24, 7, 1, 1))</f>
        <v>1</v>
      </c>
      <c r="D515" s="185">
        <f ca="1">IF(OFFSET('ALRC Indiv Fund Summary (Print)'!UnallwblWthdrwls, 24, 8, 1, 1) = "", 0, OFFSET('ALRC Indiv Fund Summary (Print)'!UnallwblWthdrwls, 24, 8, 1, 1))</f>
        <v>0</v>
      </c>
      <c r="E515" s="180"/>
      <c r="F515" s="180"/>
      <c r="G515" s="180"/>
      <c r="H515" s="180"/>
      <c r="I515" s="187"/>
      <c r="J515" s="180"/>
      <c r="K515" s="180"/>
      <c r="L515" s="188"/>
      <c r="M515" s="188"/>
      <c r="N515" s="188"/>
      <c r="O515" s="188"/>
      <c r="P515" s="189"/>
      <c r="Q515" s="188"/>
      <c r="R515" s="188"/>
      <c r="S515" s="188"/>
      <c r="T515" s="188"/>
      <c r="U515" s="189"/>
    </row>
    <row r="516" spans="1:21">
      <c r="A516" s="154">
        <f ca="1">OFFSET('ALRC Indiv Fund Summary (Print)'!UnallwblWthdrwls, 25, 6, 1, 1)</f>
        <v>0</v>
      </c>
      <c r="B516" s="13">
        <f ca="1">OFFSET('ALRC Indiv Fund Summary (Print)'!UnallwblWthdrwls, 25, 5, 1, 1)</f>
        <v>0</v>
      </c>
      <c r="C516" s="157">
        <f ca="1">IF(OFFSET('ALRC Indiv Fund Summary (Print)'!UnallwblWthdrwls, 25, 7, 1, 1) =DATE(1900,1,0),DATE(1900,1,1),OFFSET('ALRC Indiv Fund Summary (Print)'!UnallwblWthdrwls, 25, 7, 1, 1))</f>
        <v>1</v>
      </c>
      <c r="D516" s="185">
        <f ca="1">IF(OFFSET('ALRC Indiv Fund Summary (Print)'!UnallwblWthdrwls, 25, 8, 1, 1) = "", 0, OFFSET('ALRC Indiv Fund Summary (Print)'!UnallwblWthdrwls, 25, 8, 1, 1))</f>
        <v>0</v>
      </c>
      <c r="E516" s="180"/>
      <c r="F516" s="180"/>
      <c r="G516" s="180"/>
      <c r="H516" s="180"/>
      <c r="I516" s="187"/>
      <c r="J516" s="180"/>
      <c r="K516" s="180"/>
      <c r="L516" s="188"/>
      <c r="M516" s="188"/>
      <c r="N516" s="188"/>
      <c r="O516" s="188"/>
      <c r="P516" s="189"/>
      <c r="Q516" s="188"/>
      <c r="R516" s="188"/>
      <c r="S516" s="188"/>
      <c r="T516" s="188"/>
      <c r="U516" s="189"/>
    </row>
    <row r="517" spans="1:21">
      <c r="A517" s="154">
        <f ca="1">OFFSET('ALRC Indiv Fund Summary (Print)'!UnallwblWthdrwls, 26, 6, 1, 1)</f>
        <v>0</v>
      </c>
      <c r="B517" s="13">
        <f ca="1">OFFSET('ALRC Indiv Fund Summary (Print)'!UnallwblWthdrwls, 26, 5, 1, 1)</f>
        <v>0</v>
      </c>
      <c r="C517" s="157">
        <f ca="1">IF(OFFSET('ALRC Indiv Fund Summary (Print)'!UnallwblWthdrwls, 26, 7, 1, 1) =DATE(1900,1,0),DATE(1900,1,1),OFFSET('ALRC Indiv Fund Summary (Print)'!UnallwblWthdrwls, 26, 7, 1, 1))</f>
        <v>1</v>
      </c>
      <c r="D517" s="185">
        <f ca="1">IF(OFFSET('ALRC Indiv Fund Summary (Print)'!UnallwblWthdrwls, 26, 8, 1, 1) = "", 0, OFFSET('ALRC Indiv Fund Summary (Print)'!UnallwblWthdrwls, 26, 8, 1, 1))</f>
        <v>0</v>
      </c>
      <c r="E517" s="180"/>
      <c r="F517" s="180"/>
      <c r="G517" s="180"/>
      <c r="H517" s="180"/>
      <c r="I517" s="187"/>
      <c r="J517" s="180"/>
      <c r="K517" s="180"/>
      <c r="L517" s="188"/>
      <c r="M517" s="188"/>
      <c r="N517" s="188"/>
      <c r="O517" s="188"/>
      <c r="P517" s="189"/>
      <c r="Q517" s="188"/>
      <c r="R517" s="188"/>
      <c r="S517" s="188"/>
      <c r="T517" s="188"/>
      <c r="U517" s="189"/>
    </row>
    <row r="518" spans="1:21">
      <c r="A518" s="154">
        <f ca="1">OFFSET('ALRC Indiv Fund Summary (Print)'!UnallwblWthdrwls, 27, 6, 1, 1)</f>
        <v>0</v>
      </c>
      <c r="B518" s="13">
        <f ca="1">OFFSET('ALRC Indiv Fund Summary (Print)'!UnallwblWthdrwls, 27, 5, 1, 1)</f>
        <v>0</v>
      </c>
      <c r="C518" s="157">
        <f ca="1">IF(OFFSET('ALRC Indiv Fund Summary (Print)'!UnallwblWthdrwls, 27, 7, 1, 1) =DATE(1900,1,0),DATE(1900,1,1),OFFSET('ALRC Indiv Fund Summary (Print)'!UnallwblWthdrwls, 27, 7, 1, 1))</f>
        <v>1</v>
      </c>
      <c r="D518" s="185">
        <f ca="1">IF(OFFSET('ALRC Indiv Fund Summary (Print)'!UnallwblWthdrwls, 27, 8, 1, 1) = "", 0, OFFSET('ALRC Indiv Fund Summary (Print)'!UnallwblWthdrwls, 27, 8, 1, 1))</f>
        <v>0</v>
      </c>
      <c r="E518" s="180"/>
      <c r="F518" s="180"/>
      <c r="G518" s="180"/>
      <c r="H518" s="180"/>
      <c r="I518" s="187"/>
      <c r="J518" s="180"/>
      <c r="K518" s="180"/>
      <c r="L518" s="188"/>
      <c r="M518" s="188"/>
      <c r="N518" s="188"/>
      <c r="O518" s="188"/>
      <c r="P518" s="189"/>
      <c r="Q518" s="188"/>
      <c r="R518" s="188"/>
      <c r="S518" s="188"/>
      <c r="T518" s="188"/>
      <c r="U518" s="189"/>
    </row>
    <row r="519" spans="1:21">
      <c r="A519" s="154">
        <f ca="1">OFFSET('ALRC Indiv Fund Summary (Print)'!UnallwblWthdrwls, 28, 6, 1, 1)</f>
        <v>0</v>
      </c>
      <c r="B519" s="13">
        <f ca="1">OFFSET('ALRC Indiv Fund Summary (Print)'!UnallwblWthdrwls, 28, 5, 1, 1)</f>
        <v>0</v>
      </c>
      <c r="C519" s="157">
        <f ca="1">IF(OFFSET('ALRC Indiv Fund Summary (Print)'!UnallwblWthdrwls, 28, 7, 1, 1) =DATE(1900,1,0),DATE(1900,1,1),OFFSET('ALRC Indiv Fund Summary (Print)'!UnallwblWthdrwls, 28, 7, 1, 1))</f>
        <v>1</v>
      </c>
      <c r="D519" s="185">
        <f ca="1">IF(OFFSET('ALRC Indiv Fund Summary (Print)'!UnallwblWthdrwls, 28, 8, 1, 1) = "", 0, OFFSET('ALRC Indiv Fund Summary (Print)'!UnallwblWthdrwls, 28, 8, 1, 1))</f>
        <v>0</v>
      </c>
      <c r="E519" s="180"/>
      <c r="F519" s="180"/>
      <c r="G519" s="180"/>
      <c r="H519" s="180"/>
      <c r="I519" s="187"/>
      <c r="J519" s="180"/>
      <c r="K519" s="180"/>
      <c r="L519" s="188"/>
      <c r="M519" s="188"/>
      <c r="N519" s="188"/>
      <c r="O519" s="188"/>
      <c r="P519" s="189"/>
      <c r="Q519" s="188"/>
      <c r="R519" s="188"/>
      <c r="S519" s="188"/>
      <c r="T519" s="188"/>
      <c r="U519" s="189"/>
    </row>
    <row r="520" spans="1:21" ht="15" thickBot="1">
      <c r="A520" s="300">
        <f ca="1">OFFSET('ALRC Indiv Fund Summary (Print)'!UnallwblWthdrwls, 29, 6, 1, 1)</f>
        <v>0</v>
      </c>
      <c r="B520" s="172">
        <f ca="1">OFFSET('ALRC Indiv Fund Summary (Print)'!UnallwblWthdrwls, 29, 5, 1, 1)</f>
        <v>0</v>
      </c>
      <c r="C520" s="194">
        <f ca="1">IF(OFFSET('ALRC Indiv Fund Summary (Print)'!UnallwblWthdrwls, 29, 7, 1, 1) =DATE(1900,1,0),DATE(1900,1,1),OFFSET('ALRC Indiv Fund Summary (Print)'!UnallwblWthdrwls, 29, 7, 1, 1))</f>
        <v>1</v>
      </c>
      <c r="D520" s="186">
        <f ca="1">IF(OFFSET('ALRC Indiv Fund Summary (Print)'!UnallwblWthdrwls, 29, 8, 1, 1) = "", 0, OFFSET('ALRC Indiv Fund Summary (Print)'!UnallwblWthdrwls, 29, 8, 1, 1))</f>
        <v>0</v>
      </c>
      <c r="E520" s="180"/>
      <c r="F520" s="180"/>
      <c r="G520" s="180"/>
      <c r="H520" s="180"/>
      <c r="I520" s="187"/>
      <c r="J520" s="180"/>
      <c r="K520" s="180"/>
      <c r="L520" s="188"/>
      <c r="M520" s="188"/>
      <c r="N520" s="188"/>
      <c r="O520" s="188"/>
      <c r="P520" s="189"/>
      <c r="Q520" s="188"/>
      <c r="R520" s="188"/>
      <c r="S520" s="188"/>
      <c r="T520" s="188"/>
      <c r="U520" s="189"/>
    </row>
    <row r="521" spans="1:21">
      <c r="A521" s="179"/>
      <c r="B521" s="180"/>
      <c r="C521" s="180"/>
      <c r="D521" s="180"/>
      <c r="E521" s="180"/>
      <c r="F521" s="180"/>
      <c r="G521" s="180"/>
      <c r="H521" s="180"/>
      <c r="I521" s="187"/>
      <c r="J521" s="180"/>
      <c r="K521" s="180"/>
      <c r="L521" s="188"/>
      <c r="M521" s="188"/>
      <c r="N521" s="188"/>
      <c r="O521" s="188"/>
      <c r="P521" s="189"/>
      <c r="Q521" s="188"/>
      <c r="R521" s="188"/>
      <c r="S521" s="188"/>
      <c r="T521" s="188"/>
      <c r="U521" s="189"/>
    </row>
    <row r="522" spans="1:21" ht="15" thickBot="1">
      <c r="A522" s="179" t="s">
        <v>1277</v>
      </c>
      <c r="B522" s="180"/>
      <c r="C522" s="180"/>
      <c r="D522" s="180"/>
      <c r="E522" s="180"/>
      <c r="G522" s="180"/>
      <c r="H522" s="180"/>
      <c r="I522" s="187"/>
      <c r="J522" s="180"/>
      <c r="K522" s="180"/>
      <c r="L522" s="188"/>
      <c r="M522" s="188"/>
      <c r="N522" s="188"/>
      <c r="O522" s="188"/>
      <c r="P522" s="189"/>
      <c r="Q522" s="188"/>
      <c r="R522" s="188"/>
      <c r="S522" s="188"/>
      <c r="T522" s="188"/>
      <c r="U522" s="189"/>
    </row>
    <row r="523" spans="1:21">
      <c r="A523" s="181" t="s">
        <v>1003</v>
      </c>
      <c r="B523" s="182" t="s">
        <v>1005</v>
      </c>
      <c r="C523" s="182" t="s">
        <v>1017</v>
      </c>
      <c r="D523" s="183" t="s">
        <v>1018</v>
      </c>
      <c r="E523" s="180"/>
      <c r="F523" s="180"/>
      <c r="G523" s="180"/>
      <c r="H523" s="180"/>
      <c r="I523" s="187"/>
      <c r="J523" s="180"/>
      <c r="K523" s="180"/>
      <c r="L523" s="188"/>
      <c r="M523" s="188"/>
      <c r="N523" s="188"/>
      <c r="O523" s="188"/>
      <c r="P523" s="189"/>
      <c r="Q523" s="188"/>
      <c r="R523" s="188"/>
      <c r="S523" s="188"/>
      <c r="T523" s="188"/>
      <c r="U523" s="189"/>
    </row>
    <row r="524" spans="1:21">
      <c r="A524" s="154">
        <f ca="1">OFFSET('ALRC Indiv Fund Summary (Print)'!TrstFndRfndDcsdOrDschdIndv, 0, 1, 1, 1)</f>
        <v>0</v>
      </c>
      <c r="B524" s="13">
        <v>30</v>
      </c>
      <c r="C524" s="157">
        <f ca="1">IF(OFFSET('ALRC Indiv Fund Summary (Print)'!TrstFndRfndDcsdOrDschdIndv, 0, 2, 1, 1) =DATE(1900,1,0),DATE(1900,1,1),OFFSET('ALRC Indiv Fund Summary (Print)'!TrstFndRfndDcsdOrDschdIndv, 0, 2, 1, 1))</f>
        <v>1</v>
      </c>
      <c r="D524" s="185">
        <f ca="1">IF(OFFSET('ALRC Indiv Fund Summary (Print)'!TrstFndRfndDcsdOrDschdIndv, 0, 3, 1, 1) = "", 0, OFFSET('ALRC Indiv Fund Summary (Print)'!TrstFndRfndDcsdOrDschdIndv, 0, 3, 1, 1))</f>
        <v>0</v>
      </c>
      <c r="E524" s="180"/>
      <c r="F524" s="180"/>
      <c r="G524" s="180"/>
      <c r="H524" s="180"/>
      <c r="I524" s="187"/>
      <c r="J524" s="180"/>
      <c r="K524" s="180"/>
      <c r="L524" s="188"/>
      <c r="M524" s="188"/>
      <c r="N524" s="188"/>
      <c r="O524" s="188"/>
      <c r="P524" s="189"/>
      <c r="Q524" s="188"/>
      <c r="R524" s="188"/>
      <c r="S524" s="188"/>
      <c r="T524" s="188"/>
      <c r="U524" s="189"/>
    </row>
    <row r="525" spans="1:21">
      <c r="A525" s="154">
        <f ca="1">OFFSET('ALRC Indiv Fund Summary (Print)'!TrstFndRfndDcsdOrDschdIndv, 1, 1, 1, 1)</f>
        <v>0</v>
      </c>
      <c r="B525" s="13">
        <v>30</v>
      </c>
      <c r="C525" s="157">
        <f ca="1">IF(OFFSET('ALRC Indiv Fund Summary (Print)'!TrstFndRfndDcsdOrDschdIndv, 1, 2, 1, 1) =DATE(1900,1,0),DATE(1900,1,1),OFFSET('ALRC Indiv Fund Summary (Print)'!TrstFndRfndDcsdOrDschdIndv, 1, 2, 1, 1))</f>
        <v>1</v>
      </c>
      <c r="D525" s="185">
        <f ca="1">IF(OFFSET('ALRC Indiv Fund Summary (Print)'!TrstFndRfndDcsdOrDschdIndv, 1, 3, 1, 1) = "", 0, OFFSET('ALRC Indiv Fund Summary (Print)'!TrstFndRfndDcsdOrDschdIndv, 1, 3, 1, 1))</f>
        <v>0</v>
      </c>
      <c r="E525" s="180"/>
      <c r="F525" s="180"/>
      <c r="G525" s="180"/>
      <c r="H525" s="180"/>
      <c r="I525" s="187"/>
      <c r="J525" s="180"/>
      <c r="K525" s="180"/>
      <c r="L525" s="188"/>
      <c r="M525" s="188"/>
      <c r="N525" s="188"/>
      <c r="O525" s="188"/>
      <c r="P525" s="189"/>
      <c r="Q525" s="188"/>
      <c r="R525" s="188"/>
      <c r="S525" s="188"/>
      <c r="T525" s="188"/>
      <c r="U525" s="189"/>
    </row>
    <row r="526" spans="1:21">
      <c r="A526" s="154">
        <f ca="1">OFFSET('ALRC Indiv Fund Summary (Print)'!TrstFndRfndDcsdOrDschdIndv, 2, 1, 1, 1)</f>
        <v>0</v>
      </c>
      <c r="B526" s="13">
        <v>30</v>
      </c>
      <c r="C526" s="157">
        <f ca="1">IF(OFFSET('ALRC Indiv Fund Summary (Print)'!TrstFndRfndDcsdOrDschdIndv, 2, 2, 1, 1) =DATE(1900,1,0),DATE(1900,1,1),OFFSET('ALRC Indiv Fund Summary (Print)'!TrstFndRfndDcsdOrDschdIndv, 2, 2, 1, 1))</f>
        <v>1</v>
      </c>
      <c r="D526" s="185">
        <f ca="1">IF(OFFSET('ALRC Indiv Fund Summary (Print)'!TrstFndRfndDcsdOrDschdIndv, 2, 3, 1, 1) = "", 0, OFFSET('ALRC Indiv Fund Summary (Print)'!TrstFndRfndDcsdOrDschdIndv, 2, 3, 1, 1))</f>
        <v>0</v>
      </c>
      <c r="E526" s="180"/>
      <c r="F526" s="180"/>
      <c r="G526" s="180"/>
      <c r="H526" s="180"/>
      <c r="I526" s="187"/>
      <c r="J526" s="180"/>
      <c r="K526" s="180"/>
      <c r="L526" s="188"/>
      <c r="M526" s="188"/>
      <c r="N526" s="188"/>
      <c r="O526" s="188"/>
      <c r="P526" s="189"/>
      <c r="Q526" s="188"/>
      <c r="R526" s="188"/>
      <c r="S526" s="188"/>
      <c r="T526" s="188"/>
      <c r="U526" s="189"/>
    </row>
    <row r="527" spans="1:21">
      <c r="A527" s="154">
        <f ca="1">OFFSET('ALRC Indiv Fund Summary (Print)'!TrstFndRfndDcsdOrDschdIndv, 3, 1, 1, 1)</f>
        <v>0</v>
      </c>
      <c r="B527" s="13">
        <v>30</v>
      </c>
      <c r="C527" s="157">
        <f ca="1">IF(OFFSET('ALRC Indiv Fund Summary (Print)'!TrstFndRfndDcsdOrDschdIndv, 3, 2, 1, 1) =DATE(1900,1,0),DATE(1900,1,1),OFFSET('ALRC Indiv Fund Summary (Print)'!TrstFndRfndDcsdOrDschdIndv, 3, 2, 1, 1))</f>
        <v>1</v>
      </c>
      <c r="D527" s="185">
        <f ca="1">IF(OFFSET('ALRC Indiv Fund Summary (Print)'!TrstFndRfndDcsdOrDschdIndv, 3, 3, 1, 1) = "", 0, OFFSET('ALRC Indiv Fund Summary (Print)'!TrstFndRfndDcsdOrDschdIndv, 3, 3, 1, 1))</f>
        <v>0</v>
      </c>
      <c r="E527" s="180"/>
      <c r="F527" s="180"/>
      <c r="G527" s="180"/>
      <c r="H527" s="180"/>
      <c r="I527" s="187"/>
      <c r="J527" s="180"/>
      <c r="K527" s="180"/>
      <c r="L527" s="188"/>
      <c r="M527" s="188"/>
      <c r="N527" s="188"/>
      <c r="O527" s="188"/>
      <c r="P527" s="189"/>
      <c r="Q527" s="188"/>
      <c r="R527" s="188"/>
      <c r="S527" s="188"/>
      <c r="T527" s="188"/>
      <c r="U527" s="189"/>
    </row>
    <row r="528" spans="1:21">
      <c r="A528" s="154">
        <f ca="1">OFFSET('ALRC Indiv Fund Summary (Print)'!TrstFndRfndDcsdOrDschdIndv, 4, 1, 1, 1)</f>
        <v>0</v>
      </c>
      <c r="B528" s="13">
        <v>30</v>
      </c>
      <c r="C528" s="157">
        <f ca="1">IF(OFFSET('ALRC Indiv Fund Summary (Print)'!TrstFndRfndDcsdOrDschdIndv, 4, 2, 1, 1) =DATE(1900,1,0),DATE(1900,1,1),OFFSET('ALRC Indiv Fund Summary (Print)'!TrstFndRfndDcsdOrDschdIndv, 4, 2, 1, 1))</f>
        <v>1</v>
      </c>
      <c r="D528" s="185">
        <f ca="1">IF(OFFSET('ALRC Indiv Fund Summary (Print)'!TrstFndRfndDcsdOrDschdIndv, 4, 3, 1, 1) = "", 0, OFFSET('ALRC Indiv Fund Summary (Print)'!TrstFndRfndDcsdOrDschdIndv, 4, 3, 1, 1))</f>
        <v>0</v>
      </c>
      <c r="E528" s="180"/>
      <c r="F528" s="180"/>
      <c r="G528" s="180"/>
      <c r="H528" s="180"/>
      <c r="I528" s="187"/>
      <c r="J528" s="180"/>
      <c r="K528" s="180"/>
      <c r="L528" s="188"/>
      <c r="M528" s="188"/>
      <c r="N528" s="188"/>
      <c r="O528" s="188"/>
      <c r="P528" s="189"/>
      <c r="Q528" s="188"/>
      <c r="R528" s="188"/>
      <c r="S528" s="188"/>
      <c r="T528" s="188"/>
      <c r="U528" s="189"/>
    </row>
    <row r="529" spans="1:21">
      <c r="A529" s="154">
        <f ca="1">OFFSET('ALRC Indiv Fund Summary (Print)'!TrstFndRfndDcsdOrDschdIndv, 5, 1, 1, 1)</f>
        <v>0</v>
      </c>
      <c r="B529" s="13">
        <v>30</v>
      </c>
      <c r="C529" s="157">
        <f ca="1">IF(OFFSET('ALRC Indiv Fund Summary (Print)'!TrstFndRfndDcsdOrDschdIndv, 5, 2, 1, 1) =DATE(1900,1,0),DATE(1900,1,1),OFFSET('ALRC Indiv Fund Summary (Print)'!TrstFndRfndDcsdOrDschdIndv, 5, 2, 1, 1))</f>
        <v>1</v>
      </c>
      <c r="D529" s="185">
        <f ca="1">IF(OFFSET('ALRC Indiv Fund Summary (Print)'!TrstFndRfndDcsdOrDschdIndv, 5, 3, 1, 1) = "", 0, OFFSET('ALRC Indiv Fund Summary (Print)'!TrstFndRfndDcsdOrDschdIndv, 5, 3, 1, 1))</f>
        <v>0</v>
      </c>
      <c r="E529" s="180"/>
      <c r="F529" s="180"/>
      <c r="G529" s="180"/>
      <c r="H529" s="180"/>
      <c r="I529" s="187"/>
      <c r="J529" s="180"/>
      <c r="K529" s="180"/>
      <c r="L529" s="188"/>
      <c r="M529" s="188"/>
      <c r="N529" s="188"/>
      <c r="O529" s="188"/>
      <c r="P529" s="189"/>
      <c r="Q529" s="188"/>
      <c r="R529" s="188"/>
      <c r="S529" s="188"/>
      <c r="T529" s="188"/>
      <c r="U529" s="189"/>
    </row>
    <row r="530" spans="1:21">
      <c r="A530" s="154">
        <f ca="1">OFFSET('ALRC Indiv Fund Summary (Print)'!TrstFndRfndDcsdOrDschdIndv, 6, 1, 1, 1)</f>
        <v>0</v>
      </c>
      <c r="B530" s="13">
        <v>30</v>
      </c>
      <c r="C530" s="157">
        <f ca="1">IF(OFFSET('ALRC Indiv Fund Summary (Print)'!TrstFndRfndDcsdOrDschdIndv, 6, 2, 1, 1) =DATE(1900,1,0),DATE(1900,1,1),OFFSET('ALRC Indiv Fund Summary (Print)'!TrstFndRfndDcsdOrDschdIndv, 6, 2, 1, 1))</f>
        <v>1</v>
      </c>
      <c r="D530" s="185">
        <f ca="1">IF(OFFSET('ALRC Indiv Fund Summary (Print)'!TrstFndRfndDcsdOrDschdIndv, 6, 3, 1, 1) = "", 0, OFFSET('ALRC Indiv Fund Summary (Print)'!TrstFndRfndDcsdOrDschdIndv, 6, 3, 1, 1))</f>
        <v>0</v>
      </c>
      <c r="E530" s="180"/>
      <c r="F530" s="180"/>
      <c r="G530" s="180"/>
      <c r="H530" s="180"/>
      <c r="I530" s="187"/>
      <c r="J530" s="180"/>
      <c r="K530" s="180"/>
      <c r="L530" s="188"/>
      <c r="M530" s="188"/>
      <c r="N530" s="188"/>
      <c r="O530" s="188"/>
      <c r="P530" s="189"/>
      <c r="Q530" s="188"/>
      <c r="R530" s="188"/>
      <c r="S530" s="188"/>
      <c r="T530" s="188"/>
      <c r="U530" s="189"/>
    </row>
    <row r="531" spans="1:21">
      <c r="A531" s="154">
        <f ca="1">OFFSET('ALRC Indiv Fund Summary (Print)'!TrstFndRfndDcsdOrDschdIndv, 7, 1, 1, 1)</f>
        <v>0</v>
      </c>
      <c r="B531" s="13">
        <v>30</v>
      </c>
      <c r="C531" s="157">
        <f ca="1">IF(OFFSET('ALRC Indiv Fund Summary (Print)'!TrstFndRfndDcsdOrDschdIndv, 7, 2, 1, 1) =DATE(1900,1,0),DATE(1900,1,1),OFFSET('ALRC Indiv Fund Summary (Print)'!TrstFndRfndDcsdOrDschdIndv, 7, 2, 1, 1))</f>
        <v>1</v>
      </c>
      <c r="D531" s="185">
        <f ca="1">IF(OFFSET('ALRC Indiv Fund Summary (Print)'!TrstFndRfndDcsdOrDschdIndv, 7, 3, 1, 1) = "", 0, OFFSET('ALRC Indiv Fund Summary (Print)'!TrstFndRfndDcsdOrDschdIndv, 7, 3, 1, 1))</f>
        <v>0</v>
      </c>
      <c r="E531" s="180"/>
      <c r="F531" s="180"/>
      <c r="G531" s="180"/>
      <c r="H531" s="180"/>
      <c r="I531" s="187"/>
      <c r="J531" s="180"/>
      <c r="K531" s="180"/>
      <c r="L531" s="188"/>
      <c r="M531" s="188"/>
      <c r="N531" s="188"/>
      <c r="O531" s="188"/>
      <c r="P531" s="189"/>
      <c r="Q531" s="188"/>
      <c r="R531" s="188"/>
      <c r="S531" s="188"/>
      <c r="T531" s="188"/>
      <c r="U531" s="189"/>
    </row>
    <row r="532" spans="1:21">
      <c r="A532" s="154">
        <f ca="1">OFFSET('ALRC Indiv Fund Summary (Print)'!TrstFndRfndDcsdOrDschdIndv, 8, 1, 1, 1)</f>
        <v>0</v>
      </c>
      <c r="B532" s="13">
        <v>30</v>
      </c>
      <c r="C532" s="157">
        <f ca="1">IF(OFFSET('ALRC Indiv Fund Summary (Print)'!TrstFndRfndDcsdOrDschdIndv, 8, 2, 1, 1) =DATE(1900,1,0),DATE(1900,1,1),OFFSET('ALRC Indiv Fund Summary (Print)'!TrstFndRfndDcsdOrDschdIndv, 8, 2, 1, 1))</f>
        <v>1</v>
      </c>
      <c r="D532" s="185">
        <f ca="1">IF(OFFSET('ALRC Indiv Fund Summary (Print)'!TrstFndRfndDcsdOrDschdIndv, 8, 3, 1, 1) = "", 0, OFFSET('ALRC Indiv Fund Summary (Print)'!TrstFndRfndDcsdOrDschdIndv, 8, 3, 1, 1))</f>
        <v>0</v>
      </c>
      <c r="E532" s="180"/>
      <c r="F532" s="180"/>
      <c r="G532" s="180"/>
      <c r="H532" s="180"/>
      <c r="I532" s="187"/>
      <c r="J532" s="180"/>
      <c r="K532" s="180"/>
      <c r="L532" s="188"/>
      <c r="M532" s="188"/>
      <c r="N532" s="188"/>
      <c r="O532" s="188"/>
      <c r="P532" s="189"/>
      <c r="Q532" s="188"/>
      <c r="R532" s="188"/>
      <c r="S532" s="188"/>
      <c r="T532" s="188"/>
      <c r="U532" s="189"/>
    </row>
    <row r="533" spans="1:21">
      <c r="A533" s="154">
        <f ca="1">OFFSET('ALRC Indiv Fund Summary (Print)'!TrstFndRfndDcsdOrDschdIndv, 9, 1, 1, 1)</f>
        <v>0</v>
      </c>
      <c r="B533" s="13">
        <v>30</v>
      </c>
      <c r="C533" s="157">
        <f ca="1">IF(OFFSET('ALRC Indiv Fund Summary (Print)'!TrstFndRfndDcsdOrDschdIndv, 9, 2, 1, 1) =DATE(1900,1,0),DATE(1900,1,1),OFFSET('ALRC Indiv Fund Summary (Print)'!TrstFndRfndDcsdOrDschdIndv, 9, 2, 1, 1))</f>
        <v>1</v>
      </c>
      <c r="D533" s="185">
        <f ca="1">IF(OFFSET('ALRC Indiv Fund Summary (Print)'!TrstFndRfndDcsdOrDschdIndv, 9, 3, 1, 1) = "", 0, OFFSET('ALRC Indiv Fund Summary (Print)'!TrstFndRfndDcsdOrDschdIndv, 9, 3, 1, 1))</f>
        <v>0</v>
      </c>
      <c r="E533" s="180"/>
      <c r="F533" s="180"/>
      <c r="G533" s="180"/>
      <c r="H533" s="180"/>
      <c r="I533" s="187"/>
      <c r="J533" s="180"/>
      <c r="K533" s="180"/>
      <c r="L533" s="188"/>
      <c r="M533" s="188"/>
      <c r="N533" s="188"/>
      <c r="O533" s="188"/>
      <c r="P533" s="189"/>
      <c r="Q533" s="188"/>
      <c r="R533" s="188"/>
      <c r="S533" s="188"/>
      <c r="T533" s="188"/>
      <c r="U533" s="189"/>
    </row>
    <row r="534" spans="1:21">
      <c r="A534" s="154">
        <f ca="1">OFFSET('ALRC Indiv Fund Summary (Print)'!TrstFndRfndDcsdOrDschdIndv, 10, 1, 1, 1)</f>
        <v>0</v>
      </c>
      <c r="B534" s="13">
        <v>30</v>
      </c>
      <c r="C534" s="157">
        <f ca="1">IF(OFFSET('ALRC Indiv Fund Summary (Print)'!TrstFndRfndDcsdOrDschdIndv, 10, 2, 1, 1) =DATE(1900,1,0),DATE(1900,1,1),OFFSET('ALRC Indiv Fund Summary (Print)'!TrstFndRfndDcsdOrDschdIndv, 10, 2, 1, 1))</f>
        <v>1</v>
      </c>
      <c r="D534" s="185">
        <f ca="1">IF(OFFSET('ALRC Indiv Fund Summary (Print)'!TrstFndRfndDcsdOrDschdIndv, 10, 3, 1, 1) = "", 0, OFFSET('ALRC Indiv Fund Summary (Print)'!TrstFndRfndDcsdOrDschdIndv, 10, 3, 1, 1))</f>
        <v>0</v>
      </c>
      <c r="E534" s="180"/>
      <c r="F534" s="180"/>
      <c r="G534" s="180"/>
      <c r="H534" s="180"/>
      <c r="I534" s="187"/>
      <c r="J534" s="180"/>
      <c r="K534" s="180"/>
      <c r="L534" s="188"/>
      <c r="M534" s="188"/>
      <c r="N534" s="188"/>
      <c r="O534" s="188"/>
      <c r="P534" s="189"/>
      <c r="Q534" s="188"/>
      <c r="R534" s="188"/>
      <c r="S534" s="188"/>
      <c r="T534" s="188"/>
      <c r="U534" s="189"/>
    </row>
    <row r="535" spans="1:21">
      <c r="A535" s="154">
        <f ca="1">OFFSET('ALRC Indiv Fund Summary (Print)'!TrstFndRfndDcsdOrDschdIndv, 11, 1, 1, 1)</f>
        <v>0</v>
      </c>
      <c r="B535" s="13">
        <v>30</v>
      </c>
      <c r="C535" s="157">
        <f ca="1">IF(OFFSET('ALRC Indiv Fund Summary (Print)'!TrstFndRfndDcsdOrDschdIndv, 11, 2, 1, 1) =DATE(1900,1,0),DATE(1900,1,1),OFFSET('ALRC Indiv Fund Summary (Print)'!TrstFndRfndDcsdOrDschdIndv, 11, 2, 1, 1))</f>
        <v>1</v>
      </c>
      <c r="D535" s="185">
        <f ca="1">IF(OFFSET('ALRC Indiv Fund Summary (Print)'!TrstFndRfndDcsdOrDschdIndv, 11, 3, 1, 1) = "", 0, OFFSET('ALRC Indiv Fund Summary (Print)'!TrstFndRfndDcsdOrDschdIndv, 11, 3, 1, 1))</f>
        <v>0</v>
      </c>
      <c r="E535" s="180"/>
      <c r="F535" s="180"/>
      <c r="G535" s="180"/>
      <c r="H535" s="180"/>
      <c r="I535" s="187"/>
      <c r="J535" s="180"/>
      <c r="K535" s="180"/>
      <c r="L535" s="188"/>
      <c r="M535" s="188"/>
      <c r="N535" s="188"/>
      <c r="O535" s="188"/>
      <c r="P535" s="189"/>
      <c r="Q535" s="188"/>
      <c r="R535" s="188"/>
      <c r="S535" s="188"/>
      <c r="T535" s="188"/>
      <c r="U535" s="189"/>
    </row>
    <row r="536" spans="1:21">
      <c r="A536" s="154">
        <f ca="1">OFFSET('ALRC Indiv Fund Summary (Print)'!TrstFndRfndDcsdOrDschdIndv, 12, 1, 1, 1)</f>
        <v>0</v>
      </c>
      <c r="B536" s="13">
        <v>30</v>
      </c>
      <c r="C536" s="157">
        <f ca="1">IF(OFFSET('ALRC Indiv Fund Summary (Print)'!TrstFndRfndDcsdOrDschdIndv, 12, 2, 1, 1) =DATE(1900,1,0),DATE(1900,1,1),OFFSET('ALRC Indiv Fund Summary (Print)'!TrstFndRfndDcsdOrDschdIndv, 12, 2, 1, 1))</f>
        <v>1</v>
      </c>
      <c r="D536" s="185">
        <f ca="1">IF(OFFSET('ALRC Indiv Fund Summary (Print)'!TrstFndRfndDcsdOrDschdIndv, 12, 3, 1, 1) = "", 0, OFFSET('ALRC Indiv Fund Summary (Print)'!TrstFndRfndDcsdOrDschdIndv, 12, 3, 1, 1))</f>
        <v>0</v>
      </c>
      <c r="E536" s="180"/>
      <c r="F536" s="180"/>
      <c r="G536" s="180"/>
      <c r="H536" s="180"/>
      <c r="I536" s="187"/>
      <c r="J536" s="180"/>
      <c r="K536" s="180"/>
      <c r="L536" s="188"/>
      <c r="M536" s="188"/>
      <c r="N536" s="188"/>
      <c r="O536" s="188"/>
      <c r="P536" s="189"/>
      <c r="Q536" s="188"/>
      <c r="R536" s="188"/>
      <c r="S536" s="188"/>
      <c r="T536" s="188"/>
      <c r="U536" s="189"/>
    </row>
    <row r="537" spans="1:21">
      <c r="A537" s="154">
        <f ca="1">OFFSET('ALRC Indiv Fund Summary (Print)'!TrstFndRfndDcsdOrDschdIndv, 13, 1, 1, 1)</f>
        <v>0</v>
      </c>
      <c r="B537" s="13">
        <v>30</v>
      </c>
      <c r="C537" s="157">
        <f ca="1">IF(OFFSET('ALRC Indiv Fund Summary (Print)'!TrstFndRfndDcsdOrDschdIndv, 13, 2, 1, 1) =DATE(1900,1,0),DATE(1900,1,1),OFFSET('ALRC Indiv Fund Summary (Print)'!TrstFndRfndDcsdOrDschdIndv, 13, 2, 1, 1))</f>
        <v>1</v>
      </c>
      <c r="D537" s="185">
        <f ca="1">IF(OFFSET('ALRC Indiv Fund Summary (Print)'!TrstFndRfndDcsdOrDschdIndv, 13, 3, 1, 1) = "", 0, OFFSET('ALRC Indiv Fund Summary (Print)'!TrstFndRfndDcsdOrDschdIndv, 13, 3, 1, 1))</f>
        <v>0</v>
      </c>
      <c r="E537" s="180"/>
      <c r="F537" s="180"/>
      <c r="G537" s="180"/>
      <c r="H537" s="180"/>
      <c r="I537" s="187"/>
      <c r="J537" s="180"/>
      <c r="K537" s="180"/>
      <c r="L537" s="188"/>
      <c r="M537" s="188"/>
      <c r="N537" s="188"/>
      <c r="O537" s="188"/>
      <c r="P537" s="189"/>
      <c r="Q537" s="188"/>
      <c r="R537" s="188"/>
      <c r="S537" s="188"/>
      <c r="T537" s="188"/>
      <c r="U537" s="189"/>
    </row>
    <row r="538" spans="1:21">
      <c r="A538" s="154">
        <f ca="1">OFFSET('ALRC Indiv Fund Summary (Print)'!TrstFndRfndDcsdOrDschdIndv, 14, 1, 1, 1)</f>
        <v>0</v>
      </c>
      <c r="B538" s="13">
        <v>30</v>
      </c>
      <c r="C538" s="157">
        <f ca="1">IF(OFFSET('ALRC Indiv Fund Summary (Print)'!TrstFndRfndDcsdOrDschdIndv, 14, 2, 1, 1) =DATE(1900,1,0),DATE(1900,1,1),OFFSET('ALRC Indiv Fund Summary (Print)'!TrstFndRfndDcsdOrDschdIndv, 14, 2, 1, 1))</f>
        <v>1</v>
      </c>
      <c r="D538" s="185">
        <f ca="1">IF(OFFSET('ALRC Indiv Fund Summary (Print)'!TrstFndRfndDcsdOrDschdIndv, 14, 3, 1, 1) = "", 0, OFFSET('ALRC Indiv Fund Summary (Print)'!TrstFndRfndDcsdOrDschdIndv, 14, 3, 1, 1))</f>
        <v>0</v>
      </c>
      <c r="E538" s="180"/>
      <c r="F538" s="180"/>
      <c r="G538" s="180"/>
      <c r="H538" s="180"/>
      <c r="I538" s="187"/>
      <c r="J538" s="180"/>
      <c r="K538" s="180"/>
      <c r="L538" s="188"/>
      <c r="M538" s="188"/>
      <c r="N538" s="188"/>
      <c r="O538" s="188"/>
      <c r="P538" s="189"/>
      <c r="Q538" s="188"/>
      <c r="R538" s="188"/>
      <c r="S538" s="188"/>
      <c r="T538" s="188"/>
      <c r="U538" s="189"/>
    </row>
    <row r="539" spans="1:21">
      <c r="A539" s="154">
        <f ca="1">OFFSET('ALRC Indiv Fund Summary (Print)'!TrstFndRfndDcsdOrDschdIndv, 15, 1, 1, 1)</f>
        <v>0</v>
      </c>
      <c r="B539" s="13">
        <v>30</v>
      </c>
      <c r="C539" s="157">
        <f ca="1">IF(OFFSET('ALRC Indiv Fund Summary (Print)'!TrstFndRfndDcsdOrDschdIndv, 15, 2, 1, 1) =DATE(1900,1,0),DATE(1900,1,1),OFFSET('ALRC Indiv Fund Summary (Print)'!TrstFndRfndDcsdOrDschdIndv, 15, 2, 1, 1))</f>
        <v>1</v>
      </c>
      <c r="D539" s="185">
        <f ca="1">IF(OFFSET('ALRC Indiv Fund Summary (Print)'!TrstFndRfndDcsdOrDschdIndv, 15, 3, 1, 1) = "", 0, OFFSET('ALRC Indiv Fund Summary (Print)'!TrstFndRfndDcsdOrDschdIndv, 15, 3, 1, 1))</f>
        <v>0</v>
      </c>
      <c r="E539" s="180"/>
      <c r="F539" s="180"/>
      <c r="G539" s="180"/>
      <c r="H539" s="180"/>
      <c r="I539" s="187"/>
      <c r="J539" s="180"/>
      <c r="K539" s="180"/>
      <c r="L539" s="188"/>
      <c r="M539" s="188"/>
      <c r="N539" s="188"/>
      <c r="O539" s="188"/>
      <c r="P539" s="189"/>
      <c r="Q539" s="188"/>
      <c r="R539" s="188"/>
      <c r="S539" s="188"/>
      <c r="T539" s="188"/>
      <c r="U539" s="189"/>
    </row>
    <row r="540" spans="1:21">
      <c r="A540" s="154">
        <f ca="1">OFFSET('ALRC Indiv Fund Summary (Print)'!TrstFndRfndDcsdOrDschdIndv, 16, 1, 1, 1)</f>
        <v>0</v>
      </c>
      <c r="B540" s="13">
        <v>30</v>
      </c>
      <c r="C540" s="157">
        <f ca="1">IF(OFFSET('ALRC Indiv Fund Summary (Print)'!TrstFndRfndDcsdOrDschdIndv, 16, 2, 1, 1) =DATE(1900,1,0),DATE(1900,1,1),OFFSET('ALRC Indiv Fund Summary (Print)'!TrstFndRfndDcsdOrDschdIndv, 16, 2, 1, 1))</f>
        <v>1</v>
      </c>
      <c r="D540" s="185">
        <f ca="1">IF(OFFSET('ALRC Indiv Fund Summary (Print)'!TrstFndRfndDcsdOrDschdIndv, 16, 3, 1, 1) = "", 0, OFFSET('ALRC Indiv Fund Summary (Print)'!TrstFndRfndDcsdOrDschdIndv, 16, 3, 1, 1))</f>
        <v>0</v>
      </c>
      <c r="E540" s="180"/>
      <c r="F540" s="180"/>
      <c r="G540" s="180"/>
      <c r="H540" s="180"/>
      <c r="I540" s="187"/>
      <c r="J540" s="180"/>
      <c r="K540" s="180"/>
      <c r="L540" s="188"/>
      <c r="M540" s="188"/>
      <c r="N540" s="188"/>
      <c r="O540" s="188"/>
      <c r="P540" s="189"/>
      <c r="Q540" s="188"/>
      <c r="R540" s="188"/>
      <c r="S540" s="188"/>
      <c r="T540" s="188"/>
      <c r="U540" s="189"/>
    </row>
    <row r="541" spans="1:21">
      <c r="A541" s="154">
        <f ca="1">OFFSET('ALRC Indiv Fund Summary (Print)'!TrstFndRfndDcsdOrDschdIndv, 17, 1, 1, 1)</f>
        <v>0</v>
      </c>
      <c r="B541" s="13">
        <v>30</v>
      </c>
      <c r="C541" s="157">
        <f ca="1">IF(OFFSET('ALRC Indiv Fund Summary (Print)'!TrstFndRfndDcsdOrDschdIndv, 17, 2, 1, 1) =DATE(1900,1,0),DATE(1900,1,1),OFFSET('ALRC Indiv Fund Summary (Print)'!TrstFndRfndDcsdOrDschdIndv, 17, 2, 1, 1))</f>
        <v>1</v>
      </c>
      <c r="D541" s="185">
        <f ca="1">IF(OFFSET('ALRC Indiv Fund Summary (Print)'!TrstFndRfndDcsdOrDschdIndv, 17, 3, 1, 1) = "", 0, OFFSET('ALRC Indiv Fund Summary (Print)'!TrstFndRfndDcsdOrDschdIndv, 17, 3, 1, 1))</f>
        <v>0</v>
      </c>
      <c r="E541" s="180"/>
      <c r="F541" s="180"/>
      <c r="G541" s="180"/>
      <c r="H541" s="180"/>
      <c r="I541" s="187"/>
      <c r="J541" s="180"/>
      <c r="K541" s="180"/>
      <c r="L541" s="188"/>
      <c r="M541" s="188"/>
      <c r="N541" s="188"/>
      <c r="O541" s="188"/>
      <c r="P541" s="189"/>
      <c r="Q541" s="188"/>
      <c r="R541" s="188"/>
      <c r="S541" s="188"/>
      <c r="T541" s="188"/>
      <c r="U541" s="189"/>
    </row>
    <row r="542" spans="1:21">
      <c r="A542" s="154">
        <f ca="1">OFFSET('ALRC Indiv Fund Summary (Print)'!TrstFndRfndDcsdOrDschdIndv, 0, 6, 1, 1)</f>
        <v>0</v>
      </c>
      <c r="B542" s="13">
        <v>30</v>
      </c>
      <c r="C542" s="157">
        <f ca="1">IF(OFFSET('ALRC Indiv Fund Summary (Print)'!TrstFndRfndDcsdOrDschdIndv, 0, 7, 1, 1) =DATE(1900,1,0),DATE(1900,1,1),OFFSET('ALRC Indiv Fund Summary (Print)'!TrstFndRfndDcsdOrDschdIndv, 0, 7, 1, 1))</f>
        <v>1</v>
      </c>
      <c r="D542" s="185">
        <f ca="1">IF(OFFSET('ALRC Indiv Fund Summary (Print)'!TrstFndRfndDcsdOrDschdIndv, 0, 8, 1, 1) = "", 0, OFFSET('ALRC Indiv Fund Summary (Print)'!TrstFndRfndDcsdOrDschdIndv, 0, 8, 1, 1))</f>
        <v>0</v>
      </c>
      <c r="E542" s="180"/>
      <c r="F542" s="180"/>
      <c r="G542" s="180"/>
      <c r="H542" s="180"/>
      <c r="I542" s="187"/>
      <c r="J542" s="180"/>
      <c r="K542" s="180"/>
      <c r="L542" s="188"/>
      <c r="M542" s="188"/>
      <c r="N542" s="188"/>
      <c r="O542" s="188"/>
      <c r="P542" s="189"/>
      <c r="Q542" s="188"/>
      <c r="R542" s="188"/>
      <c r="S542" s="188"/>
      <c r="T542" s="188"/>
      <c r="U542" s="189"/>
    </row>
    <row r="543" spans="1:21">
      <c r="A543" s="154">
        <f ca="1">OFFSET('ALRC Indiv Fund Summary (Print)'!TrstFndRfndDcsdOrDschdIndv, 1, 6, 1, 1)</f>
        <v>0</v>
      </c>
      <c r="B543" s="13">
        <v>30</v>
      </c>
      <c r="C543" s="157">
        <f ca="1">IF(OFFSET('ALRC Indiv Fund Summary (Print)'!TrstFndRfndDcsdOrDschdIndv, 1, 7, 1, 1) =DATE(1900,1,0),DATE(1900,1,1),OFFSET('ALRC Indiv Fund Summary (Print)'!TrstFndRfndDcsdOrDschdIndv, 1, 7, 1, 1))</f>
        <v>1</v>
      </c>
      <c r="D543" s="185">
        <f ca="1">IF(OFFSET('ALRC Indiv Fund Summary (Print)'!TrstFndRfndDcsdOrDschdIndv, 1, 8, 1, 1) = "", 0, OFFSET('ALRC Indiv Fund Summary (Print)'!TrstFndRfndDcsdOrDschdIndv, 1, 8, 1, 1))</f>
        <v>0</v>
      </c>
      <c r="E543" s="180"/>
      <c r="F543" s="180"/>
      <c r="G543" s="180"/>
      <c r="H543" s="180"/>
      <c r="I543" s="187"/>
      <c r="J543" s="180"/>
      <c r="K543" s="180"/>
      <c r="L543" s="188"/>
      <c r="M543" s="188"/>
      <c r="N543" s="188"/>
      <c r="O543" s="188"/>
      <c r="P543" s="189"/>
      <c r="Q543" s="188"/>
      <c r="R543" s="188"/>
      <c r="S543" s="188"/>
      <c r="T543" s="188"/>
      <c r="U543" s="189"/>
    </row>
    <row r="544" spans="1:21">
      <c r="A544" s="154">
        <f ca="1">OFFSET('ALRC Indiv Fund Summary (Print)'!TrstFndRfndDcsdOrDschdIndv, 2, 6, 1, 1)</f>
        <v>0</v>
      </c>
      <c r="B544" s="13">
        <v>30</v>
      </c>
      <c r="C544" s="157">
        <f ca="1">IF(OFFSET('ALRC Indiv Fund Summary (Print)'!TrstFndRfndDcsdOrDschdIndv, 2, 7, 1, 1) =DATE(1900,1,0),DATE(1900,1,1),OFFSET('ALRC Indiv Fund Summary (Print)'!TrstFndRfndDcsdOrDschdIndv, 2, 7, 1, 1))</f>
        <v>1</v>
      </c>
      <c r="D544" s="185">
        <f ca="1">IF(OFFSET('ALRC Indiv Fund Summary (Print)'!TrstFndRfndDcsdOrDschdIndv, 2, 8, 1, 1) = "", 0, OFFSET('ALRC Indiv Fund Summary (Print)'!TrstFndRfndDcsdOrDschdIndv, 2, 8, 1, 1))</f>
        <v>0</v>
      </c>
      <c r="E544" s="180"/>
      <c r="F544" s="180"/>
      <c r="G544" s="180"/>
      <c r="H544" s="180"/>
      <c r="I544" s="187"/>
      <c r="J544" s="180"/>
      <c r="K544" s="180"/>
      <c r="L544" s="188"/>
      <c r="M544" s="188"/>
      <c r="N544" s="188"/>
      <c r="O544" s="188"/>
      <c r="P544" s="189"/>
      <c r="Q544" s="188"/>
      <c r="R544" s="188"/>
      <c r="S544" s="188"/>
      <c r="T544" s="188"/>
      <c r="U544" s="189"/>
    </row>
    <row r="545" spans="1:21">
      <c r="A545" s="154">
        <f ca="1">OFFSET('ALRC Indiv Fund Summary (Print)'!TrstFndRfndDcsdOrDschdIndv, 3, 6, 1, 1)</f>
        <v>0</v>
      </c>
      <c r="B545" s="13">
        <v>30</v>
      </c>
      <c r="C545" s="157">
        <f ca="1">IF(OFFSET('ALRC Indiv Fund Summary (Print)'!TrstFndRfndDcsdOrDschdIndv, 3, 7, 1, 1) =DATE(1900,1,0),DATE(1900,1,1),OFFSET('ALRC Indiv Fund Summary (Print)'!TrstFndRfndDcsdOrDschdIndv, 3, 7, 1, 1))</f>
        <v>1</v>
      </c>
      <c r="D545" s="185">
        <f ca="1">IF(OFFSET('ALRC Indiv Fund Summary (Print)'!TrstFndRfndDcsdOrDschdIndv, 3, 8, 1, 1) = "", 0, OFFSET('ALRC Indiv Fund Summary (Print)'!TrstFndRfndDcsdOrDschdIndv, 3, 8, 1, 1))</f>
        <v>0</v>
      </c>
      <c r="E545" s="180"/>
      <c r="F545" s="180"/>
      <c r="G545" s="180"/>
      <c r="H545" s="180"/>
      <c r="I545" s="187"/>
      <c r="J545" s="180"/>
      <c r="K545" s="180"/>
      <c r="L545" s="188"/>
      <c r="M545" s="188"/>
      <c r="N545" s="188"/>
      <c r="O545" s="188"/>
      <c r="P545" s="189"/>
      <c r="Q545" s="188"/>
      <c r="R545" s="188"/>
      <c r="S545" s="188"/>
      <c r="T545" s="188"/>
      <c r="U545" s="189"/>
    </row>
    <row r="546" spans="1:21">
      <c r="A546" s="154">
        <f ca="1">OFFSET('ALRC Indiv Fund Summary (Print)'!TrstFndRfndDcsdOrDschdIndv, 4, 6, 1, 1)</f>
        <v>0</v>
      </c>
      <c r="B546" s="13">
        <v>30</v>
      </c>
      <c r="C546" s="157">
        <f ca="1">IF(OFFSET('ALRC Indiv Fund Summary (Print)'!TrstFndRfndDcsdOrDschdIndv, 4, 7, 1, 1) =DATE(1900,1,0),DATE(1900,1,1),OFFSET('ALRC Indiv Fund Summary (Print)'!TrstFndRfndDcsdOrDschdIndv, 4, 7, 1, 1))</f>
        <v>1</v>
      </c>
      <c r="D546" s="185">
        <f ca="1">IF(OFFSET('ALRC Indiv Fund Summary (Print)'!TrstFndRfndDcsdOrDschdIndv, 4, 8, 1, 1) = "", 0, OFFSET('ALRC Indiv Fund Summary (Print)'!TrstFndRfndDcsdOrDschdIndv, 4, 8, 1, 1))</f>
        <v>0</v>
      </c>
      <c r="E546" s="180"/>
      <c r="F546" s="180"/>
      <c r="G546" s="180"/>
      <c r="H546" s="180"/>
      <c r="I546" s="187"/>
      <c r="J546" s="180"/>
      <c r="K546" s="180"/>
      <c r="L546" s="188"/>
      <c r="M546" s="188"/>
      <c r="N546" s="188"/>
      <c r="O546" s="188"/>
      <c r="P546" s="189"/>
      <c r="Q546" s="188"/>
      <c r="R546" s="188"/>
      <c r="S546" s="188"/>
      <c r="T546" s="188"/>
      <c r="U546" s="189"/>
    </row>
    <row r="547" spans="1:21">
      <c r="A547" s="154">
        <f ca="1">OFFSET('ALRC Indiv Fund Summary (Print)'!TrstFndRfndDcsdOrDschdIndv, 5, 6, 1, 1)</f>
        <v>0</v>
      </c>
      <c r="B547" s="13">
        <v>30</v>
      </c>
      <c r="C547" s="157">
        <f ca="1">IF(OFFSET('ALRC Indiv Fund Summary (Print)'!TrstFndRfndDcsdOrDschdIndv, 5, 7, 1, 1) =DATE(1900,1,0),DATE(1900,1,1),OFFSET('ALRC Indiv Fund Summary (Print)'!TrstFndRfndDcsdOrDschdIndv, 5, 7, 1, 1))</f>
        <v>1</v>
      </c>
      <c r="D547" s="185">
        <f ca="1">IF(OFFSET('ALRC Indiv Fund Summary (Print)'!TrstFndRfndDcsdOrDschdIndv, 5, 8, 1, 1) = "", 0, OFFSET('ALRC Indiv Fund Summary (Print)'!TrstFndRfndDcsdOrDschdIndv, 5, 8, 1, 1))</f>
        <v>0</v>
      </c>
      <c r="E547" s="180"/>
      <c r="F547" s="180"/>
      <c r="G547" s="180"/>
      <c r="H547" s="180"/>
      <c r="I547" s="187"/>
      <c r="J547" s="180"/>
      <c r="K547" s="180"/>
      <c r="L547" s="188"/>
      <c r="M547" s="188"/>
      <c r="N547" s="188"/>
      <c r="O547" s="188"/>
      <c r="P547" s="189"/>
      <c r="Q547" s="188"/>
      <c r="R547" s="188"/>
      <c r="S547" s="188"/>
      <c r="T547" s="188"/>
      <c r="U547" s="189"/>
    </row>
    <row r="548" spans="1:21">
      <c r="A548" s="154">
        <f ca="1">OFFSET('ALRC Indiv Fund Summary (Print)'!TrstFndRfndDcsdOrDschdIndv, 6, 6, 1, 1)</f>
        <v>0</v>
      </c>
      <c r="B548" s="13">
        <v>30</v>
      </c>
      <c r="C548" s="157">
        <f ca="1">IF(OFFSET('ALRC Indiv Fund Summary (Print)'!TrstFndRfndDcsdOrDschdIndv, 6, 7, 1, 1) =DATE(1900,1,0),DATE(1900,1,1),OFFSET('ALRC Indiv Fund Summary (Print)'!TrstFndRfndDcsdOrDschdIndv, 6, 7, 1, 1))</f>
        <v>1</v>
      </c>
      <c r="D548" s="185">
        <f ca="1">IF(OFFSET('ALRC Indiv Fund Summary (Print)'!TrstFndRfndDcsdOrDschdIndv, 6, 8, 1, 1) = "", 0, OFFSET('ALRC Indiv Fund Summary (Print)'!TrstFndRfndDcsdOrDschdIndv, 6, 8, 1, 1))</f>
        <v>0</v>
      </c>
      <c r="E548" s="180"/>
      <c r="F548" s="180"/>
      <c r="G548" s="180"/>
      <c r="H548" s="180"/>
      <c r="I548" s="187"/>
      <c r="J548" s="180"/>
      <c r="K548" s="180"/>
      <c r="L548" s="188"/>
      <c r="M548" s="188"/>
      <c r="N548" s="188"/>
      <c r="O548" s="188"/>
      <c r="P548" s="189"/>
      <c r="Q548" s="188"/>
      <c r="R548" s="188"/>
      <c r="S548" s="188"/>
      <c r="T548" s="188"/>
      <c r="U548" s="189"/>
    </row>
    <row r="549" spans="1:21">
      <c r="A549" s="154">
        <f ca="1">OFFSET('ALRC Indiv Fund Summary (Print)'!TrstFndRfndDcsdOrDschdIndv, 7, 6, 1, 1)</f>
        <v>0</v>
      </c>
      <c r="B549" s="13">
        <v>30</v>
      </c>
      <c r="C549" s="157">
        <f ca="1">IF(OFFSET('ALRC Indiv Fund Summary (Print)'!TrstFndRfndDcsdOrDschdIndv, 7, 7, 1, 1) =DATE(1900,1,0),DATE(1900,1,1),OFFSET('ALRC Indiv Fund Summary (Print)'!TrstFndRfndDcsdOrDschdIndv, 7, 7, 1, 1))</f>
        <v>1</v>
      </c>
      <c r="D549" s="185">
        <f ca="1">IF(OFFSET('ALRC Indiv Fund Summary (Print)'!TrstFndRfndDcsdOrDschdIndv, 7, 8, 1, 1) = "", 0, OFFSET('ALRC Indiv Fund Summary (Print)'!TrstFndRfndDcsdOrDschdIndv, 7, 8, 1, 1))</f>
        <v>0</v>
      </c>
      <c r="E549" s="180"/>
      <c r="F549" s="180"/>
      <c r="G549" s="180"/>
      <c r="H549" s="180"/>
      <c r="I549" s="187"/>
      <c r="J549" s="180"/>
      <c r="K549" s="180"/>
      <c r="L549" s="188"/>
      <c r="M549" s="188"/>
      <c r="N549" s="188"/>
      <c r="O549" s="188"/>
      <c r="P549" s="189"/>
      <c r="Q549" s="188"/>
      <c r="R549" s="188"/>
      <c r="S549" s="188"/>
      <c r="T549" s="188"/>
      <c r="U549" s="189"/>
    </row>
    <row r="550" spans="1:21">
      <c r="A550" s="154">
        <f ca="1">OFFSET('ALRC Indiv Fund Summary (Print)'!TrstFndRfndDcsdOrDschdIndv, 8, 6, 1, 1)</f>
        <v>0</v>
      </c>
      <c r="B550" s="13">
        <v>30</v>
      </c>
      <c r="C550" s="157">
        <f ca="1">IF(OFFSET('ALRC Indiv Fund Summary (Print)'!TrstFndRfndDcsdOrDschdIndv, 8, 7, 1, 1) =DATE(1900,1,0),DATE(1900,1,1),OFFSET('ALRC Indiv Fund Summary (Print)'!TrstFndRfndDcsdOrDschdIndv, 8, 7, 1, 1))</f>
        <v>1</v>
      </c>
      <c r="D550" s="185">
        <f ca="1">IF(OFFSET('ALRC Indiv Fund Summary (Print)'!TrstFndRfndDcsdOrDschdIndv, 8, 8, 1, 1) = "", 0, OFFSET('ALRC Indiv Fund Summary (Print)'!TrstFndRfndDcsdOrDschdIndv, 8, 8, 1, 1))</f>
        <v>0</v>
      </c>
      <c r="E550" s="180"/>
      <c r="F550" s="180"/>
      <c r="G550" s="180"/>
      <c r="H550" s="180"/>
      <c r="I550" s="187"/>
      <c r="J550" s="180"/>
      <c r="K550" s="180"/>
      <c r="L550" s="188"/>
      <c r="M550" s="188"/>
      <c r="N550" s="188"/>
      <c r="O550" s="188"/>
      <c r="P550" s="189"/>
      <c r="Q550" s="188"/>
      <c r="R550" s="188"/>
      <c r="S550" s="188"/>
      <c r="T550" s="188"/>
      <c r="U550" s="189"/>
    </row>
    <row r="551" spans="1:21">
      <c r="A551" s="154">
        <f ca="1">OFFSET('ALRC Indiv Fund Summary (Print)'!TrstFndRfndDcsdOrDschdIndv, 9, 6, 1, 1)</f>
        <v>0</v>
      </c>
      <c r="B551" s="13">
        <v>30</v>
      </c>
      <c r="C551" s="157">
        <f ca="1">IF(OFFSET('ALRC Indiv Fund Summary (Print)'!TrstFndRfndDcsdOrDschdIndv, 9, 7, 1, 1) =DATE(1900,1,0),DATE(1900,1,1),OFFSET('ALRC Indiv Fund Summary (Print)'!TrstFndRfndDcsdOrDschdIndv, 9, 7, 1, 1))</f>
        <v>1</v>
      </c>
      <c r="D551" s="185">
        <f ca="1">IF(OFFSET('ALRC Indiv Fund Summary (Print)'!TrstFndRfndDcsdOrDschdIndv, 9, 8, 1, 1) = "", 0, OFFSET('ALRC Indiv Fund Summary (Print)'!TrstFndRfndDcsdOrDschdIndv, 9, 8, 1, 1))</f>
        <v>0</v>
      </c>
      <c r="E551" s="180"/>
      <c r="F551" s="180"/>
      <c r="G551" s="180"/>
      <c r="H551" s="180"/>
      <c r="I551" s="187"/>
      <c r="J551" s="180"/>
      <c r="K551" s="180"/>
      <c r="L551" s="188"/>
      <c r="M551" s="188"/>
      <c r="N551" s="188"/>
      <c r="O551" s="188"/>
      <c r="P551" s="189"/>
      <c r="Q551" s="188"/>
      <c r="R551" s="188"/>
      <c r="S551" s="188"/>
      <c r="T551" s="188"/>
      <c r="U551" s="189"/>
    </row>
    <row r="552" spans="1:21">
      <c r="A552" s="154">
        <f ca="1">OFFSET('ALRC Indiv Fund Summary (Print)'!TrstFndRfndDcsdOrDschdIndv, 10, 6, 1, 1)</f>
        <v>0</v>
      </c>
      <c r="B552" s="13">
        <v>30</v>
      </c>
      <c r="C552" s="157">
        <f ca="1">IF(OFFSET('ALRC Indiv Fund Summary (Print)'!TrstFndRfndDcsdOrDschdIndv, 10, 7, 1, 1) =DATE(1900,1,0),DATE(1900,1,1),OFFSET('ALRC Indiv Fund Summary (Print)'!TrstFndRfndDcsdOrDschdIndv, 10, 7, 1, 1))</f>
        <v>1</v>
      </c>
      <c r="D552" s="185">
        <f ca="1">IF(OFFSET('ALRC Indiv Fund Summary (Print)'!TrstFndRfndDcsdOrDschdIndv, 10, 8, 1, 1) = "", 0, OFFSET('ALRC Indiv Fund Summary (Print)'!TrstFndRfndDcsdOrDschdIndv, 10, 8, 1, 1))</f>
        <v>0</v>
      </c>
      <c r="E552" s="180"/>
      <c r="F552" s="180"/>
      <c r="G552" s="180"/>
      <c r="H552" s="180"/>
      <c r="I552" s="187"/>
      <c r="J552" s="180"/>
      <c r="K552" s="180"/>
      <c r="L552" s="188"/>
      <c r="M552" s="188"/>
      <c r="N552" s="188"/>
      <c r="O552" s="188"/>
      <c r="P552" s="189"/>
      <c r="Q552" s="188"/>
      <c r="R552" s="188"/>
      <c r="S552" s="188"/>
      <c r="T552" s="188"/>
      <c r="U552" s="189"/>
    </row>
    <row r="553" spans="1:21">
      <c r="A553" s="154">
        <f ca="1">OFFSET('ALRC Indiv Fund Summary (Print)'!TrstFndRfndDcsdOrDschdIndv, 11, 6, 1, 1)</f>
        <v>0</v>
      </c>
      <c r="B553" s="13">
        <v>30</v>
      </c>
      <c r="C553" s="157">
        <f ca="1">IF(OFFSET('ALRC Indiv Fund Summary (Print)'!TrstFndRfndDcsdOrDschdIndv, 11, 7, 1, 1) =DATE(1900,1,0),DATE(1900,1,1),OFFSET('ALRC Indiv Fund Summary (Print)'!TrstFndRfndDcsdOrDschdIndv, 11, 7, 1, 1))</f>
        <v>1</v>
      </c>
      <c r="D553" s="185">
        <f ca="1">IF(OFFSET('ALRC Indiv Fund Summary (Print)'!TrstFndRfndDcsdOrDschdIndv, 11, 8, 1, 1) = "", 0, OFFSET('ALRC Indiv Fund Summary (Print)'!TrstFndRfndDcsdOrDschdIndv, 11, 8, 1, 1))</f>
        <v>0</v>
      </c>
      <c r="E553" s="180"/>
      <c r="F553" s="180"/>
      <c r="G553" s="180"/>
      <c r="H553" s="180"/>
      <c r="I553" s="187"/>
      <c r="J553" s="180"/>
      <c r="K553" s="180"/>
      <c r="L553" s="188"/>
      <c r="M553" s="188"/>
      <c r="N553" s="188"/>
      <c r="O553" s="188"/>
      <c r="P553" s="189"/>
      <c r="Q553" s="188"/>
      <c r="R553" s="188"/>
      <c r="S553" s="188"/>
      <c r="T553" s="188"/>
      <c r="U553" s="189"/>
    </row>
    <row r="554" spans="1:21">
      <c r="A554" s="154">
        <f ca="1">OFFSET('ALRC Indiv Fund Summary (Print)'!TrstFndRfndDcsdOrDschdIndv, 12, 6, 1, 1)</f>
        <v>0</v>
      </c>
      <c r="B554" s="13">
        <v>30</v>
      </c>
      <c r="C554" s="157">
        <f ca="1">IF(OFFSET('ALRC Indiv Fund Summary (Print)'!TrstFndRfndDcsdOrDschdIndv, 12, 7, 1, 1) =DATE(1900,1,0),DATE(1900,1,1),OFFSET('ALRC Indiv Fund Summary (Print)'!TrstFndRfndDcsdOrDschdIndv, 12, 7, 1, 1))</f>
        <v>1</v>
      </c>
      <c r="D554" s="185">
        <f ca="1">IF(OFFSET('ALRC Indiv Fund Summary (Print)'!TrstFndRfndDcsdOrDschdIndv, 12, 8, 1, 1) = "", 0, OFFSET('ALRC Indiv Fund Summary (Print)'!TrstFndRfndDcsdOrDschdIndv, 12, 8, 1, 1))</f>
        <v>0</v>
      </c>
      <c r="E554" s="180"/>
      <c r="F554" s="180"/>
      <c r="G554" s="180"/>
      <c r="H554" s="180"/>
      <c r="I554" s="187"/>
      <c r="J554" s="180"/>
      <c r="K554" s="180"/>
      <c r="L554" s="188"/>
      <c r="M554" s="188"/>
      <c r="N554" s="188"/>
      <c r="O554" s="188"/>
      <c r="P554" s="189"/>
      <c r="Q554" s="188"/>
      <c r="R554" s="188"/>
      <c r="S554" s="188"/>
      <c r="T554" s="188"/>
      <c r="U554" s="189"/>
    </row>
    <row r="555" spans="1:21">
      <c r="A555" s="154">
        <f ca="1">OFFSET('ALRC Indiv Fund Summary (Print)'!TrstFndRfndDcsdOrDschdIndv, 13, 6, 1, 1)</f>
        <v>0</v>
      </c>
      <c r="B555" s="13">
        <v>30</v>
      </c>
      <c r="C555" s="157">
        <f ca="1">IF(OFFSET('ALRC Indiv Fund Summary (Print)'!TrstFndRfndDcsdOrDschdIndv, 13, 7, 1, 1) =DATE(1900,1,0),DATE(1900,1,1),OFFSET('ALRC Indiv Fund Summary (Print)'!TrstFndRfndDcsdOrDschdIndv, 13, 7, 1, 1))</f>
        <v>1</v>
      </c>
      <c r="D555" s="185">
        <f ca="1">IF(OFFSET('ALRC Indiv Fund Summary (Print)'!TrstFndRfndDcsdOrDschdIndv, 13, 8, 1, 1) = "", 0, OFFSET('ALRC Indiv Fund Summary (Print)'!TrstFndRfndDcsdOrDschdIndv, 13, 8, 1, 1))</f>
        <v>0</v>
      </c>
      <c r="E555" s="180"/>
      <c r="F555" s="180"/>
      <c r="G555" s="180"/>
      <c r="H555" s="180"/>
      <c r="I555" s="187"/>
      <c r="J555" s="180"/>
      <c r="K555" s="180"/>
      <c r="L555" s="188"/>
      <c r="M555" s="188"/>
      <c r="N555" s="188"/>
      <c r="O555" s="188"/>
      <c r="P555" s="189"/>
      <c r="Q555" s="188"/>
      <c r="R555" s="188"/>
      <c r="S555" s="188"/>
      <c r="T555" s="188"/>
      <c r="U555" s="189"/>
    </row>
    <row r="556" spans="1:21">
      <c r="A556" s="154">
        <f ca="1">OFFSET('ALRC Indiv Fund Summary (Print)'!TrstFndRfndDcsdOrDschdIndv, 14, 6, 1, 1)</f>
        <v>0</v>
      </c>
      <c r="B556" s="13">
        <v>30</v>
      </c>
      <c r="C556" s="157">
        <f ca="1">IF(OFFSET('ALRC Indiv Fund Summary (Print)'!TrstFndRfndDcsdOrDschdIndv, 14, 7, 1, 1) =DATE(1900,1,0),DATE(1900,1,1),OFFSET('ALRC Indiv Fund Summary (Print)'!TrstFndRfndDcsdOrDschdIndv, 14, 7, 1, 1))</f>
        <v>1</v>
      </c>
      <c r="D556" s="185">
        <f ca="1">IF(OFFSET('ALRC Indiv Fund Summary (Print)'!TrstFndRfndDcsdOrDschdIndv, 14, 8, 1, 1) = "", 0, OFFSET('ALRC Indiv Fund Summary (Print)'!TrstFndRfndDcsdOrDschdIndv, 14, 8, 1, 1))</f>
        <v>0</v>
      </c>
      <c r="E556" s="180"/>
      <c r="F556" s="180"/>
      <c r="G556" s="180"/>
      <c r="H556" s="180"/>
      <c r="I556" s="187"/>
      <c r="J556" s="180"/>
      <c r="K556" s="180"/>
      <c r="L556" s="188"/>
      <c r="M556" s="188"/>
      <c r="N556" s="188"/>
      <c r="O556" s="188"/>
      <c r="P556" s="189"/>
      <c r="Q556" s="188"/>
      <c r="R556" s="188"/>
      <c r="S556" s="188"/>
      <c r="T556" s="188"/>
      <c r="U556" s="189"/>
    </row>
    <row r="557" spans="1:21">
      <c r="A557" s="154">
        <f ca="1">OFFSET('ALRC Indiv Fund Summary (Print)'!TrstFndRfndDcsdOrDschdIndv, 15, 6, 1, 1)</f>
        <v>0</v>
      </c>
      <c r="B557" s="13">
        <v>30</v>
      </c>
      <c r="C557" s="157">
        <f ca="1">IF(OFFSET('ALRC Indiv Fund Summary (Print)'!TrstFndRfndDcsdOrDschdIndv, 15, 7, 1, 1) =DATE(1900,1,0),DATE(1900,1,1),OFFSET('ALRC Indiv Fund Summary (Print)'!TrstFndRfndDcsdOrDschdIndv, 15, 7, 1, 1))</f>
        <v>1</v>
      </c>
      <c r="D557" s="185">
        <f ca="1">IF(OFFSET('ALRC Indiv Fund Summary (Print)'!TrstFndRfndDcsdOrDschdIndv, 15, 8, 1, 1) = "", 0, OFFSET('ALRC Indiv Fund Summary (Print)'!TrstFndRfndDcsdOrDschdIndv, 15, 8, 1, 1))</f>
        <v>0</v>
      </c>
      <c r="E557" s="180"/>
      <c r="F557" s="180"/>
      <c r="G557" s="180"/>
      <c r="H557" s="180"/>
      <c r="I557" s="187"/>
      <c r="J557" s="180"/>
      <c r="K557" s="180"/>
      <c r="L557" s="188"/>
      <c r="M557" s="188"/>
      <c r="N557" s="188"/>
      <c r="O557" s="188"/>
      <c r="P557" s="189"/>
      <c r="Q557" s="188"/>
      <c r="R557" s="188"/>
      <c r="S557" s="188"/>
      <c r="T557" s="188"/>
      <c r="U557" s="189"/>
    </row>
    <row r="558" spans="1:21">
      <c r="A558" s="154">
        <f ca="1">OFFSET('ALRC Indiv Fund Summary (Print)'!TrstFndRfndDcsdOrDschdIndv, 16, 6, 1, 1)</f>
        <v>0</v>
      </c>
      <c r="B558" s="13">
        <v>30</v>
      </c>
      <c r="C558" s="157">
        <f ca="1">IF(OFFSET('ALRC Indiv Fund Summary (Print)'!TrstFndRfndDcsdOrDschdIndv, 16, 7, 1, 1) =DATE(1900,1,0),DATE(1900,1,1),OFFSET('ALRC Indiv Fund Summary (Print)'!TrstFndRfndDcsdOrDschdIndv, 16, 7, 1, 1))</f>
        <v>1</v>
      </c>
      <c r="D558" s="185">
        <f ca="1">IF(OFFSET('ALRC Indiv Fund Summary (Print)'!TrstFndRfndDcsdOrDschdIndv, 16, 8, 1, 1) = "", 0, OFFSET('ALRC Indiv Fund Summary (Print)'!TrstFndRfndDcsdOrDschdIndv, 16, 8, 1, 1))</f>
        <v>0</v>
      </c>
      <c r="E558" s="180"/>
      <c r="F558" s="180"/>
      <c r="G558" s="180"/>
      <c r="H558" s="180"/>
      <c r="I558" s="187"/>
      <c r="J558" s="180"/>
      <c r="K558" s="180"/>
      <c r="L558" s="188"/>
      <c r="M558" s="188"/>
      <c r="N558" s="188"/>
      <c r="O558" s="188"/>
      <c r="P558" s="189"/>
      <c r="Q558" s="188"/>
      <c r="R558" s="188"/>
      <c r="S558" s="188"/>
      <c r="T558" s="188"/>
      <c r="U558" s="189"/>
    </row>
    <row r="559" spans="1:21" ht="15" thickBot="1">
      <c r="A559" s="300">
        <f ca="1">OFFSET('ALRC Indiv Fund Summary (Print)'!TrstFndRfndDcsdOrDschdIndv, 17, 6, 1, 1)</f>
        <v>0</v>
      </c>
      <c r="B559" s="172">
        <v>30</v>
      </c>
      <c r="C559" s="194">
        <f ca="1">IF(OFFSET('ALRC Indiv Fund Summary (Print)'!TrstFndRfndDcsdOrDschdIndv, 17, 7, 1, 1) =DATE(1900,1,0),DATE(1900,1,1),OFFSET('ALRC Indiv Fund Summary (Print)'!TrstFndRfndDcsdOrDschdIndv, 17, 7, 1, 1))</f>
        <v>1</v>
      </c>
      <c r="D559" s="186">
        <f ca="1">IF(OFFSET('ALRC Indiv Fund Summary (Print)'!TrstFndRfndDcsdOrDschdIndv, 17, 8, 1, 1) = "", 0, OFFSET('ALRC Indiv Fund Summary (Print)'!TrstFndRfndDcsdOrDschdIndv, 17, 8, 1, 1))</f>
        <v>0</v>
      </c>
      <c r="E559" s="180"/>
      <c r="F559" s="180"/>
      <c r="G559" s="180"/>
      <c r="H559" s="180"/>
      <c r="I559" s="187"/>
      <c r="J559" s="180"/>
      <c r="K559" s="180"/>
      <c r="L559" s="188"/>
      <c r="M559" s="188"/>
      <c r="N559" s="188"/>
      <c r="O559" s="188"/>
      <c r="P559" s="189"/>
      <c r="Q559" s="188"/>
      <c r="R559" s="188"/>
      <c r="S559" s="188"/>
      <c r="T559" s="188"/>
      <c r="U559" s="189"/>
    </row>
    <row r="560" spans="1:21">
      <c r="A560" s="195"/>
      <c r="B560" s="188"/>
      <c r="C560" s="157"/>
      <c r="D560" s="196"/>
      <c r="E560" s="180"/>
      <c r="F560" s="180"/>
      <c r="G560" s="180"/>
      <c r="H560" s="180"/>
      <c r="I560" s="187"/>
      <c r="J560" s="180"/>
      <c r="K560" s="180"/>
      <c r="L560" s="188"/>
      <c r="M560" s="188"/>
      <c r="N560" s="188"/>
      <c r="O560" s="188"/>
      <c r="P560" s="189"/>
      <c r="Q560" s="188"/>
      <c r="R560" s="188"/>
      <c r="S560" s="188"/>
      <c r="T560" s="188"/>
      <c r="U560" s="189"/>
    </row>
    <row r="561" spans="1:21" ht="15" thickBot="1">
      <c r="A561" s="195" t="s">
        <v>1271</v>
      </c>
      <c r="B561" s="188"/>
      <c r="C561" s="157"/>
      <c r="D561" s="196"/>
      <c r="E561" s="180"/>
      <c r="F561" s="180"/>
      <c r="G561" s="180"/>
      <c r="H561" s="180"/>
      <c r="I561" s="187"/>
      <c r="J561" s="180"/>
      <c r="K561" s="180"/>
      <c r="L561" s="188"/>
      <c r="M561" s="188"/>
      <c r="N561" s="188"/>
      <c r="O561" s="188"/>
      <c r="P561" s="189"/>
      <c r="Q561" s="188"/>
      <c r="R561" s="188"/>
      <c r="S561" s="188"/>
      <c r="T561" s="188"/>
      <c r="U561" s="189"/>
    </row>
    <row r="562" spans="1:21">
      <c r="A562" s="181" t="s">
        <v>1003</v>
      </c>
      <c r="B562" s="182" t="s">
        <v>1005</v>
      </c>
      <c r="C562" s="182" t="s">
        <v>187</v>
      </c>
      <c r="D562" s="434" t="s">
        <v>1524</v>
      </c>
      <c r="E562" s="180"/>
      <c r="F562" s="180"/>
      <c r="G562" s="180"/>
      <c r="H562" s="180"/>
      <c r="I562" s="187"/>
      <c r="J562" s="180"/>
      <c r="K562" s="180"/>
      <c r="L562" s="188"/>
      <c r="M562" s="188"/>
      <c r="N562" s="188"/>
      <c r="O562" s="188"/>
      <c r="P562" s="189"/>
      <c r="Q562" s="188"/>
      <c r="R562" s="188"/>
      <c r="S562" s="188"/>
      <c r="T562" s="188"/>
      <c r="U562" s="189"/>
    </row>
    <row r="563" spans="1:21">
      <c r="A563" s="154">
        <f ca="1">OFFSET('ALRC Indiv Fund Summary (Print)'!OvrCollRmBdCoPayBdHld, 0, 1, 1, 1)</f>
        <v>0</v>
      </c>
      <c r="B563">
        <f ca="1">OFFSET('ALRC Indiv Fund Summary (Print)'!OvrCollRmBdCoPayBdHld, 0, 0, 1, 1)</f>
        <v>0</v>
      </c>
      <c r="C563" s="155">
        <f ca="1">IF(OFFSET('ALRC Indiv Fund Summary (Print)'!OvrCollRmBdCoPayBdHld, 0, 3, 1, 1) = "", 0, OFFSET('ALRC Indiv Fund Summary (Print)'!OvrCollRmBdCoPayBdHld, 0, 3, 1, 1))</f>
        <v>0</v>
      </c>
      <c r="D563" s="426">
        <f ca="1">IF(OFFSET('ALRC Indiv Fund Summary (Print)'!OvrCollRmBdCoPayBdHld, 0, 2, 1, 1) =DATE(1900,1,0),DATE(1900,1,1),OFFSET('ALRC Indiv Fund Summary (Print)'!OvrCollRmBdCoPayBdHld, 0, 2, 1, 1))</f>
        <v>1</v>
      </c>
      <c r="E563" s="180"/>
      <c r="F563" s="180"/>
      <c r="G563" s="180"/>
      <c r="H563" s="180"/>
      <c r="I563" s="187"/>
      <c r="J563" s="180"/>
      <c r="K563" s="180"/>
      <c r="L563" s="188"/>
      <c r="M563" s="188"/>
      <c r="N563" s="188"/>
      <c r="O563" s="188"/>
      <c r="P563" s="189"/>
      <c r="Q563" s="188"/>
      <c r="R563" s="188"/>
      <c r="S563" s="188"/>
      <c r="T563" s="188"/>
      <c r="U563" s="189"/>
    </row>
    <row r="564" spans="1:21">
      <c r="A564" s="154">
        <f ca="1">OFFSET('ALRC Indiv Fund Summary (Print)'!OvrCollRmBdCoPayBdHld, 1, 1, 1, 1)</f>
        <v>0</v>
      </c>
      <c r="B564">
        <f ca="1">OFFSET('ALRC Indiv Fund Summary (Print)'!OvrCollRmBdCoPayBdHld, 1, 0, 1, 1)</f>
        <v>0</v>
      </c>
      <c r="C564" s="155">
        <f ca="1">IF(OFFSET('ALRC Indiv Fund Summary (Print)'!OvrCollRmBdCoPayBdHld, 1, 3, 1, 1) = "", 0, OFFSET('ALRC Indiv Fund Summary (Print)'!OvrCollRmBdCoPayBdHld, 1, 3, 1, 1))</f>
        <v>0</v>
      </c>
      <c r="D564" s="426">
        <f ca="1">IF(OFFSET('ALRC Indiv Fund Summary (Print)'!OvrCollRmBdCoPayBdHld, 1, 2, 1, 1) =DATE(1900,1,0),DATE(1900,1,1),OFFSET('ALRC Indiv Fund Summary (Print)'!OvrCollRmBdCoPayBdHld, 1, 2, 1, 1))</f>
        <v>1</v>
      </c>
      <c r="E564" s="180"/>
      <c r="F564" s="180"/>
      <c r="G564" s="180"/>
      <c r="H564" s="180"/>
      <c r="I564" s="187"/>
      <c r="J564" s="180"/>
      <c r="K564" s="180"/>
      <c r="L564" s="188"/>
      <c r="M564" s="188"/>
      <c r="N564" s="188"/>
      <c r="O564" s="188"/>
      <c r="P564" s="189"/>
      <c r="Q564" s="188"/>
      <c r="R564" s="188"/>
      <c r="S564" s="188"/>
      <c r="T564" s="188"/>
      <c r="U564" s="189"/>
    </row>
    <row r="565" spans="1:21">
      <c r="A565" s="154">
        <f ca="1">OFFSET('ALRC Indiv Fund Summary (Print)'!OvrCollRmBdCoPayBdHld, 2, 1, 1, 1)</f>
        <v>0</v>
      </c>
      <c r="B565">
        <f ca="1">OFFSET('ALRC Indiv Fund Summary (Print)'!OvrCollRmBdCoPayBdHld, 2, 0, 1, 1)</f>
        <v>0</v>
      </c>
      <c r="C565" s="155">
        <f ca="1">IF(OFFSET('ALRC Indiv Fund Summary (Print)'!OvrCollRmBdCoPayBdHld, 2, 3, 1, 1) = "", 0, OFFSET('ALRC Indiv Fund Summary (Print)'!OvrCollRmBdCoPayBdHld, 2, 3, 1, 1))</f>
        <v>0</v>
      </c>
      <c r="D565" s="426">
        <f ca="1">IF(OFFSET('ALRC Indiv Fund Summary (Print)'!OvrCollRmBdCoPayBdHld, 2, 2, 1, 1) =DATE(1900,1,0),DATE(1900,1,1),OFFSET('ALRC Indiv Fund Summary (Print)'!OvrCollRmBdCoPayBdHld, 2, 2, 1, 1))</f>
        <v>1</v>
      </c>
      <c r="E565" s="180"/>
      <c r="F565" s="180"/>
      <c r="G565" s="180"/>
      <c r="H565" s="180"/>
      <c r="I565" s="187"/>
      <c r="J565" s="180"/>
      <c r="K565" s="180"/>
      <c r="L565" s="188"/>
      <c r="M565" s="188"/>
      <c r="N565" s="188"/>
      <c r="O565" s="188"/>
      <c r="P565" s="189"/>
      <c r="Q565" s="188"/>
      <c r="R565" s="188"/>
      <c r="S565" s="188"/>
      <c r="T565" s="188"/>
      <c r="U565" s="189"/>
    </row>
    <row r="566" spans="1:21">
      <c r="A566" s="154">
        <f ca="1">OFFSET('ALRC Indiv Fund Summary (Print)'!OvrCollRmBdCoPayBdHld, 3, 1, 1, 1)</f>
        <v>0</v>
      </c>
      <c r="B566">
        <f ca="1">OFFSET('ALRC Indiv Fund Summary (Print)'!OvrCollRmBdCoPayBdHld, 3, 0, 1, 1)</f>
        <v>0</v>
      </c>
      <c r="C566" s="155">
        <f ca="1">IF(OFFSET('ALRC Indiv Fund Summary (Print)'!OvrCollRmBdCoPayBdHld, 3, 3, 1, 1) = "", 0, OFFSET('ALRC Indiv Fund Summary (Print)'!OvrCollRmBdCoPayBdHld, 3, 3, 1, 1))</f>
        <v>0</v>
      </c>
      <c r="D566" s="426">
        <f ca="1">IF(OFFSET('ALRC Indiv Fund Summary (Print)'!OvrCollRmBdCoPayBdHld, 3, 2, 1, 1) =DATE(1900,1,0),DATE(1900,1,1),OFFSET('ALRC Indiv Fund Summary (Print)'!OvrCollRmBdCoPayBdHld, 3, 2, 1, 1))</f>
        <v>1</v>
      </c>
      <c r="E566" s="180"/>
      <c r="F566" s="180"/>
      <c r="G566" s="180"/>
      <c r="H566" s="180"/>
      <c r="I566" s="187"/>
      <c r="J566" s="180"/>
      <c r="K566" s="180"/>
      <c r="L566" s="188"/>
      <c r="M566" s="188"/>
      <c r="N566" s="188"/>
      <c r="O566" s="188"/>
      <c r="P566" s="189"/>
      <c r="Q566" s="188"/>
      <c r="R566" s="188"/>
      <c r="S566" s="188"/>
      <c r="T566" s="188"/>
      <c r="U566" s="189"/>
    </row>
    <row r="567" spans="1:21">
      <c r="A567" s="154">
        <f ca="1">OFFSET('ALRC Indiv Fund Summary (Print)'!OvrCollRmBdCoPayBdHld, 4, 1, 1, 1)</f>
        <v>0</v>
      </c>
      <c r="B567">
        <f ca="1">OFFSET('ALRC Indiv Fund Summary (Print)'!OvrCollRmBdCoPayBdHld, 4, 0, 1, 1)</f>
        <v>0</v>
      </c>
      <c r="C567" s="155">
        <f ca="1">IF(OFFSET('ALRC Indiv Fund Summary (Print)'!OvrCollRmBdCoPayBdHld, 4, 3, 1, 1) = "", 0, OFFSET('ALRC Indiv Fund Summary (Print)'!OvrCollRmBdCoPayBdHld, 4, 3, 1, 1))</f>
        <v>0</v>
      </c>
      <c r="D567" s="426">
        <f ca="1">IF(OFFSET('ALRC Indiv Fund Summary (Print)'!OvrCollRmBdCoPayBdHld, 4, 2, 1, 1) =DATE(1900,1,0),DATE(1900,1,1),OFFSET('ALRC Indiv Fund Summary (Print)'!OvrCollRmBdCoPayBdHld, 4, 2, 1, 1))</f>
        <v>1</v>
      </c>
      <c r="E567" s="180"/>
      <c r="F567" s="180"/>
      <c r="G567" s="180"/>
      <c r="H567" s="180"/>
      <c r="I567" s="187"/>
      <c r="J567" s="180"/>
      <c r="K567" s="180"/>
      <c r="L567" s="188"/>
      <c r="M567" s="188"/>
      <c r="N567" s="188"/>
      <c r="O567" s="188"/>
      <c r="P567" s="189"/>
      <c r="Q567" s="188"/>
      <c r="R567" s="188"/>
      <c r="S567" s="188"/>
      <c r="T567" s="188"/>
      <c r="U567" s="189"/>
    </row>
    <row r="568" spans="1:21">
      <c r="A568" s="154">
        <f ca="1">OFFSET('ALRC Indiv Fund Summary (Print)'!OvrCollRmBdCoPayBdHld, 5, 1, 1, 1)</f>
        <v>0</v>
      </c>
      <c r="B568">
        <f ca="1">OFFSET('ALRC Indiv Fund Summary (Print)'!OvrCollRmBdCoPayBdHld, 5, 0, 1, 1)</f>
        <v>0</v>
      </c>
      <c r="C568" s="155">
        <f ca="1">IF(OFFSET('ALRC Indiv Fund Summary (Print)'!OvrCollRmBdCoPayBdHld, 5, 3, 1, 1) = "", 0, OFFSET('ALRC Indiv Fund Summary (Print)'!OvrCollRmBdCoPayBdHld, 5, 3, 1, 1))</f>
        <v>0</v>
      </c>
      <c r="D568" s="426">
        <f ca="1">IF(OFFSET('ALRC Indiv Fund Summary (Print)'!OvrCollRmBdCoPayBdHld, 5, 2, 1, 1) =DATE(1900,1,0),DATE(1900,1,1),OFFSET('ALRC Indiv Fund Summary (Print)'!OvrCollRmBdCoPayBdHld, 5, 2, 1, 1))</f>
        <v>1</v>
      </c>
      <c r="E568" s="180"/>
      <c r="F568" s="180"/>
      <c r="G568" s="180"/>
      <c r="H568" s="180"/>
      <c r="I568" s="187"/>
      <c r="J568" s="180"/>
      <c r="K568" s="180"/>
      <c r="L568" s="188"/>
      <c r="M568" s="188"/>
      <c r="N568" s="188"/>
      <c r="O568" s="188"/>
      <c r="P568" s="189"/>
      <c r="Q568" s="188"/>
      <c r="R568" s="188"/>
      <c r="S568" s="188"/>
      <c r="T568" s="188"/>
      <c r="U568" s="189"/>
    </row>
    <row r="569" spans="1:21">
      <c r="A569" s="154">
        <f ca="1">OFFSET('ALRC Indiv Fund Summary (Print)'!OvrCollRmBdCoPayBdHld, 6, 1, 1, 1)</f>
        <v>0</v>
      </c>
      <c r="B569">
        <f ca="1">OFFSET('ALRC Indiv Fund Summary (Print)'!OvrCollRmBdCoPayBdHld, 6, 0, 1, 1)</f>
        <v>0</v>
      </c>
      <c r="C569" s="155">
        <f ca="1">IF(OFFSET('ALRC Indiv Fund Summary (Print)'!OvrCollRmBdCoPayBdHld, 6, 3, 1, 1) = "", 0, OFFSET('ALRC Indiv Fund Summary (Print)'!OvrCollRmBdCoPayBdHld, 6, 3, 1, 1))</f>
        <v>0</v>
      </c>
      <c r="D569" s="426">
        <f ca="1">IF(OFFSET('ALRC Indiv Fund Summary (Print)'!OvrCollRmBdCoPayBdHld, 6, 2, 1, 1) =DATE(1900,1,0),DATE(1900,1,1),OFFSET('ALRC Indiv Fund Summary (Print)'!OvrCollRmBdCoPayBdHld, 6, 2, 1, 1))</f>
        <v>1</v>
      </c>
      <c r="E569" s="180"/>
      <c r="F569" s="180"/>
      <c r="G569" s="180"/>
      <c r="H569" s="180"/>
      <c r="I569" s="187"/>
      <c r="J569" s="180"/>
      <c r="K569" s="180"/>
      <c r="L569" s="188"/>
      <c r="M569" s="188"/>
      <c r="N569" s="188"/>
      <c r="O569" s="188"/>
      <c r="P569" s="189"/>
      <c r="Q569" s="188"/>
      <c r="R569" s="188"/>
      <c r="S569" s="188"/>
      <c r="T569" s="188"/>
      <c r="U569" s="189"/>
    </row>
    <row r="570" spans="1:21">
      <c r="A570" s="154">
        <f ca="1">OFFSET('ALRC Indiv Fund Summary (Print)'!OvrCollRmBdCoPayBdHld, 7, 1, 1, 1)</f>
        <v>0</v>
      </c>
      <c r="B570">
        <f ca="1">OFFSET('ALRC Indiv Fund Summary (Print)'!OvrCollRmBdCoPayBdHld, 7, 0, 1, 1)</f>
        <v>0</v>
      </c>
      <c r="C570" s="155">
        <f ca="1">IF(OFFSET('ALRC Indiv Fund Summary (Print)'!OvrCollRmBdCoPayBdHld, 7, 3, 1, 1) = "", 0, OFFSET('ALRC Indiv Fund Summary (Print)'!OvrCollRmBdCoPayBdHld, 7, 3, 1, 1))</f>
        <v>0</v>
      </c>
      <c r="D570" s="426">
        <f ca="1">IF(OFFSET('ALRC Indiv Fund Summary (Print)'!OvrCollRmBdCoPayBdHld, 7, 2, 1, 1) =DATE(1900,1,0),DATE(1900,1,1),OFFSET('ALRC Indiv Fund Summary (Print)'!OvrCollRmBdCoPayBdHld, 7, 2, 1, 1))</f>
        <v>1</v>
      </c>
      <c r="E570" s="180"/>
      <c r="F570" s="180"/>
      <c r="G570" s="180"/>
      <c r="H570" s="180"/>
      <c r="I570" s="187"/>
      <c r="J570" s="180"/>
      <c r="K570" s="180"/>
      <c r="L570" s="188"/>
      <c r="M570" s="188"/>
      <c r="N570" s="188"/>
      <c r="O570" s="188"/>
      <c r="P570" s="189"/>
      <c r="Q570" s="188"/>
      <c r="R570" s="188"/>
      <c r="S570" s="188"/>
      <c r="T570" s="188"/>
      <c r="U570" s="189"/>
    </row>
    <row r="571" spans="1:21">
      <c r="A571" s="154">
        <f ca="1">OFFSET('ALRC Indiv Fund Summary (Print)'!OvrCollRmBdCoPayBdHld, 8, 1, 1, 1)</f>
        <v>0</v>
      </c>
      <c r="B571">
        <f ca="1">OFFSET('ALRC Indiv Fund Summary (Print)'!OvrCollRmBdCoPayBdHld, 8, 0, 1, 1)</f>
        <v>0</v>
      </c>
      <c r="C571" s="155">
        <f ca="1">IF(OFFSET('ALRC Indiv Fund Summary (Print)'!OvrCollRmBdCoPayBdHld, 8, 3, 1, 1) = "", 0, OFFSET('ALRC Indiv Fund Summary (Print)'!OvrCollRmBdCoPayBdHld, 8, 3, 1, 1))</f>
        <v>0</v>
      </c>
      <c r="D571" s="426">
        <f ca="1">IF(OFFSET('ALRC Indiv Fund Summary (Print)'!OvrCollRmBdCoPayBdHld, 8, 2, 1, 1) =DATE(1900,1,0),DATE(1900,1,1),OFFSET('ALRC Indiv Fund Summary (Print)'!OvrCollRmBdCoPayBdHld, 8, 2, 1, 1))</f>
        <v>1</v>
      </c>
      <c r="E571" s="180"/>
      <c r="F571" s="180"/>
      <c r="G571" s="180"/>
      <c r="H571" s="180"/>
      <c r="I571" s="187"/>
      <c r="J571" s="180"/>
      <c r="K571" s="180"/>
      <c r="L571" s="188"/>
      <c r="M571" s="188"/>
      <c r="N571" s="188"/>
      <c r="O571" s="188"/>
      <c r="P571" s="189"/>
      <c r="Q571" s="188"/>
      <c r="R571" s="188"/>
      <c r="S571" s="188"/>
      <c r="T571" s="188"/>
      <c r="U571" s="189"/>
    </row>
    <row r="572" spans="1:21">
      <c r="A572" s="154">
        <f ca="1">OFFSET('ALRC Indiv Fund Summary (Print)'!OvrCollRmBdCoPayBdHld, 9, 1, 1, 1)</f>
        <v>0</v>
      </c>
      <c r="B572">
        <f ca="1">OFFSET('ALRC Indiv Fund Summary (Print)'!OvrCollRmBdCoPayBdHld, 9, 0, 1, 1)</f>
        <v>0</v>
      </c>
      <c r="C572" s="155">
        <f ca="1">IF(OFFSET('ALRC Indiv Fund Summary (Print)'!OvrCollRmBdCoPayBdHld, 9, 3, 1, 1) = "", 0, OFFSET('ALRC Indiv Fund Summary (Print)'!OvrCollRmBdCoPayBdHld, 9, 3, 1, 1))</f>
        <v>0</v>
      </c>
      <c r="D572" s="426">
        <f ca="1">IF(OFFSET('ALRC Indiv Fund Summary (Print)'!OvrCollRmBdCoPayBdHld, 9, 2, 1, 1) =DATE(1900,1,0),DATE(1900,1,1),OFFSET('ALRC Indiv Fund Summary (Print)'!OvrCollRmBdCoPayBdHld, 9, 2, 1, 1))</f>
        <v>1</v>
      </c>
      <c r="E572" s="180"/>
      <c r="F572" s="180"/>
      <c r="G572" s="180"/>
      <c r="H572" s="180"/>
      <c r="I572" s="187"/>
      <c r="J572" s="180"/>
      <c r="K572" s="180"/>
      <c r="L572" s="188"/>
      <c r="M572" s="188"/>
      <c r="N572" s="188"/>
      <c r="O572" s="188"/>
      <c r="P572" s="189"/>
      <c r="Q572" s="188"/>
      <c r="R572" s="188"/>
      <c r="S572" s="188"/>
      <c r="T572" s="188"/>
      <c r="U572" s="189"/>
    </row>
    <row r="573" spans="1:21">
      <c r="A573" s="154">
        <f ca="1">OFFSET('ALRC Indiv Fund Summary (Print)'!OvrCollRmBdCoPayBdHld, 10, 1, 1, 1)</f>
        <v>0</v>
      </c>
      <c r="B573">
        <f ca="1">OFFSET('ALRC Indiv Fund Summary (Print)'!OvrCollRmBdCoPayBdHld, 10, 0, 1, 1)</f>
        <v>0</v>
      </c>
      <c r="C573" s="155">
        <f ca="1">IF(OFFSET('ALRC Indiv Fund Summary (Print)'!OvrCollRmBdCoPayBdHld, 10, 3, 1, 1) = "", 0, OFFSET('ALRC Indiv Fund Summary (Print)'!OvrCollRmBdCoPayBdHld, 10, 3, 1, 1))</f>
        <v>0</v>
      </c>
      <c r="D573" s="426">
        <f ca="1">IF(OFFSET('ALRC Indiv Fund Summary (Print)'!OvrCollRmBdCoPayBdHld, 10, 2, 1, 1) =DATE(1900,1,0),DATE(1900,1,1),OFFSET('ALRC Indiv Fund Summary (Print)'!OvrCollRmBdCoPayBdHld, 10, 2, 1, 1))</f>
        <v>1</v>
      </c>
      <c r="E573" s="180"/>
      <c r="F573" s="180"/>
      <c r="G573" s="180"/>
      <c r="H573" s="180"/>
      <c r="I573" s="187"/>
      <c r="J573" s="180"/>
      <c r="K573" s="180"/>
      <c r="L573" s="188"/>
      <c r="M573" s="188"/>
      <c r="N573" s="188"/>
      <c r="O573" s="188"/>
      <c r="P573" s="189"/>
      <c r="Q573" s="188"/>
      <c r="R573" s="188"/>
      <c r="S573" s="188"/>
      <c r="T573" s="188"/>
      <c r="U573" s="189"/>
    </row>
    <row r="574" spans="1:21">
      <c r="A574" s="154">
        <f ca="1">OFFSET('ALRC Indiv Fund Summary (Print)'!OvrCollRmBdCoPayBdHld, 11, 1, 1, 1)</f>
        <v>0</v>
      </c>
      <c r="B574">
        <f ca="1">OFFSET('ALRC Indiv Fund Summary (Print)'!OvrCollRmBdCoPayBdHld, 11, 0, 1, 1)</f>
        <v>0</v>
      </c>
      <c r="C574" s="155">
        <f ca="1">IF(OFFSET('ALRC Indiv Fund Summary (Print)'!OvrCollRmBdCoPayBdHld, 11, 3, 1, 1) = "", 0, OFFSET('ALRC Indiv Fund Summary (Print)'!OvrCollRmBdCoPayBdHld, 11, 3, 1, 1))</f>
        <v>0</v>
      </c>
      <c r="D574" s="426">
        <f ca="1">IF(OFFSET('ALRC Indiv Fund Summary (Print)'!OvrCollRmBdCoPayBdHld, 11, 2, 1, 1) =DATE(1900,1,0),DATE(1900,1,1),OFFSET('ALRC Indiv Fund Summary (Print)'!OvrCollRmBdCoPayBdHld, 11, 2, 1, 1))</f>
        <v>1</v>
      </c>
      <c r="E574" s="180"/>
      <c r="F574" s="180"/>
      <c r="G574" s="180"/>
      <c r="H574" s="180"/>
      <c r="I574" s="187"/>
      <c r="J574" s="180"/>
      <c r="K574" s="180"/>
      <c r="L574" s="188"/>
      <c r="M574" s="188"/>
      <c r="N574" s="188"/>
      <c r="O574" s="188"/>
      <c r="P574" s="189"/>
      <c r="Q574" s="188"/>
      <c r="R574" s="188"/>
      <c r="S574" s="188"/>
      <c r="T574" s="188"/>
      <c r="U574" s="189"/>
    </row>
    <row r="575" spans="1:21">
      <c r="A575" s="154">
        <f ca="1">OFFSET('ALRC Indiv Fund Summary (Print)'!OvrCollRmBdCoPayBdHld, 12, 1, 1, 1)</f>
        <v>0</v>
      </c>
      <c r="B575">
        <f ca="1">OFFSET('ALRC Indiv Fund Summary (Print)'!OvrCollRmBdCoPayBdHld, 12, 0, 1, 1)</f>
        <v>0</v>
      </c>
      <c r="C575" s="155">
        <f ca="1">IF(OFFSET('ALRC Indiv Fund Summary (Print)'!OvrCollRmBdCoPayBdHld, 12, 3, 1, 1) = "", 0, OFFSET('ALRC Indiv Fund Summary (Print)'!OvrCollRmBdCoPayBdHld, 12, 3, 1, 1))</f>
        <v>0</v>
      </c>
      <c r="D575" s="426">
        <f ca="1">IF(OFFSET('ALRC Indiv Fund Summary (Print)'!OvrCollRmBdCoPayBdHld, 12, 2, 1, 1) =DATE(1900,1,0),DATE(1900,1,1),OFFSET('ALRC Indiv Fund Summary (Print)'!OvrCollRmBdCoPayBdHld, 12, 2, 1, 1))</f>
        <v>1</v>
      </c>
      <c r="E575" s="180"/>
      <c r="F575" s="180"/>
      <c r="G575" s="180"/>
      <c r="H575" s="180"/>
      <c r="I575" s="187"/>
      <c r="J575" s="180"/>
      <c r="K575" s="180"/>
      <c r="L575" s="188"/>
      <c r="M575" s="188"/>
      <c r="N575" s="188"/>
      <c r="O575" s="188"/>
      <c r="P575" s="189"/>
      <c r="Q575" s="188"/>
      <c r="R575" s="188"/>
      <c r="S575" s="188"/>
      <c r="T575" s="188"/>
      <c r="U575" s="189"/>
    </row>
    <row r="576" spans="1:21">
      <c r="A576" s="154">
        <f ca="1">OFFSET('ALRC Indiv Fund Summary (Print)'!OvrCollRmBdCoPayBdHld, 13, 1, 1, 1)</f>
        <v>0</v>
      </c>
      <c r="B576">
        <f ca="1">OFFSET('ALRC Indiv Fund Summary (Print)'!OvrCollRmBdCoPayBdHld, 13, 0, 1, 1)</f>
        <v>0</v>
      </c>
      <c r="C576" s="155">
        <f ca="1">IF(OFFSET('ALRC Indiv Fund Summary (Print)'!OvrCollRmBdCoPayBdHld, 13, 3, 1, 1) = "", 0, OFFSET('ALRC Indiv Fund Summary (Print)'!OvrCollRmBdCoPayBdHld, 13, 3, 1, 1))</f>
        <v>0</v>
      </c>
      <c r="D576" s="426">
        <f ca="1">IF(OFFSET('ALRC Indiv Fund Summary (Print)'!OvrCollRmBdCoPayBdHld, 13, 2, 1, 1) =DATE(1900,1,0),DATE(1900,1,1),OFFSET('ALRC Indiv Fund Summary (Print)'!OvrCollRmBdCoPayBdHld, 13, 2, 1, 1))</f>
        <v>1</v>
      </c>
      <c r="E576" s="180"/>
      <c r="F576" s="180"/>
      <c r="G576" s="180"/>
      <c r="H576" s="180"/>
      <c r="I576" s="187"/>
      <c r="J576" s="180"/>
      <c r="K576" s="180"/>
      <c r="L576" s="188"/>
      <c r="M576" s="188"/>
      <c r="N576" s="188"/>
      <c r="O576" s="188"/>
      <c r="P576" s="189"/>
      <c r="Q576" s="188"/>
      <c r="R576" s="188"/>
      <c r="S576" s="188"/>
      <c r="T576" s="188"/>
      <c r="U576" s="189"/>
    </row>
    <row r="577" spans="1:21">
      <c r="A577" s="154">
        <f ca="1">OFFSET('ALRC Indiv Fund Summary (Print)'!OvrCollRmBdCoPayBdHld, 14, 1, 1, 1)</f>
        <v>0</v>
      </c>
      <c r="B577">
        <f ca="1">OFFSET('ALRC Indiv Fund Summary (Print)'!OvrCollRmBdCoPayBdHld, 14, 0, 1, 1)</f>
        <v>0</v>
      </c>
      <c r="C577" s="155">
        <f ca="1">IF(OFFSET('ALRC Indiv Fund Summary (Print)'!OvrCollRmBdCoPayBdHld, 14, 3, 1, 1) = "", 0, OFFSET('ALRC Indiv Fund Summary (Print)'!OvrCollRmBdCoPayBdHld, 14, 3, 1, 1))</f>
        <v>0</v>
      </c>
      <c r="D577" s="426">
        <f ca="1">IF(OFFSET('ALRC Indiv Fund Summary (Print)'!OvrCollRmBdCoPayBdHld, 14, 2, 1, 1) =DATE(1900,1,0),DATE(1900,1,1),OFFSET('ALRC Indiv Fund Summary (Print)'!OvrCollRmBdCoPayBdHld, 14, 2, 1, 1))</f>
        <v>1</v>
      </c>
      <c r="E577" s="180"/>
      <c r="F577" s="180"/>
      <c r="G577" s="180"/>
      <c r="H577" s="180"/>
      <c r="I577" s="187"/>
      <c r="J577" s="180"/>
      <c r="K577" s="180"/>
      <c r="L577" s="188"/>
      <c r="M577" s="188"/>
      <c r="N577" s="188"/>
      <c r="O577" s="188"/>
      <c r="P577" s="189"/>
      <c r="Q577" s="188"/>
      <c r="R577" s="188"/>
      <c r="S577" s="188"/>
      <c r="T577" s="188"/>
      <c r="U577" s="189"/>
    </row>
    <row r="578" spans="1:21">
      <c r="A578" s="154">
        <f ca="1">OFFSET('ALRC Indiv Fund Summary (Print)'!OvrCollRmBdCoPayBdHld, 0, 6, 1, 1)</f>
        <v>0</v>
      </c>
      <c r="B578">
        <f ca="1">OFFSET('ALRC Indiv Fund Summary (Print)'!OvrCollRmBdCoPayBdHld, 0, 5, 1, 1)</f>
        <v>0</v>
      </c>
      <c r="C578" s="155">
        <f ca="1">IF(OFFSET('ALRC Indiv Fund Summary (Print)'!OvrCollRmBdCoPayBdHld, 0, 8, 1, 1) = "", 0, OFFSET('ALRC Indiv Fund Summary (Print)'!OvrCollRmBdCoPayBdHld, 0, 8, 1, 1))</f>
        <v>0</v>
      </c>
      <c r="D578" s="426">
        <f ca="1">IF(OFFSET('ALRC Indiv Fund Summary (Print)'!OvrCollRmBdCoPayBdHld, 0, 7, 1, 1) =DATE(1900,1,0),DATE(1900,1,1),OFFSET('ALRC Indiv Fund Summary (Print)'!OvrCollRmBdCoPayBdHld, 0, 7, 1, 1))</f>
        <v>1</v>
      </c>
      <c r="E578" s="180"/>
      <c r="F578" s="180"/>
      <c r="G578" s="180"/>
      <c r="H578" s="180"/>
      <c r="I578" s="187"/>
      <c r="J578" s="180"/>
      <c r="K578" s="180"/>
      <c r="L578" s="188"/>
      <c r="M578" s="188"/>
      <c r="N578" s="188"/>
      <c r="O578" s="188"/>
      <c r="P578" s="189"/>
      <c r="Q578" s="188"/>
      <c r="R578" s="188"/>
      <c r="S578" s="188"/>
      <c r="T578" s="188"/>
      <c r="U578" s="189"/>
    </row>
    <row r="579" spans="1:21">
      <c r="A579" s="154">
        <f ca="1">OFFSET('ALRC Indiv Fund Summary (Print)'!OvrCollRmBdCoPayBdHld, 1, 6, 1, 1)</f>
        <v>0</v>
      </c>
      <c r="B579">
        <f ca="1">OFFSET('ALRC Indiv Fund Summary (Print)'!OvrCollRmBdCoPayBdHld, 1, 5, 1, 1)</f>
        <v>0</v>
      </c>
      <c r="C579" s="155">
        <f ca="1">IF(OFFSET('ALRC Indiv Fund Summary (Print)'!OvrCollRmBdCoPayBdHld, 1, 8, 1, 1) = "", 0, OFFSET('ALRC Indiv Fund Summary (Print)'!OvrCollRmBdCoPayBdHld, 1, 8, 1, 1))</f>
        <v>0</v>
      </c>
      <c r="D579" s="426">
        <f ca="1">IF(OFFSET('ALRC Indiv Fund Summary (Print)'!OvrCollRmBdCoPayBdHld, 1, 7, 1, 1) =DATE(1900,1,0),DATE(1900,1,1),OFFSET('ALRC Indiv Fund Summary (Print)'!OvrCollRmBdCoPayBdHld, 1, 7, 1, 1))</f>
        <v>1</v>
      </c>
      <c r="E579" s="180"/>
      <c r="F579" s="180"/>
      <c r="G579" s="180"/>
      <c r="H579" s="180"/>
      <c r="I579" s="187"/>
      <c r="J579" s="180"/>
      <c r="K579" s="180"/>
      <c r="L579" s="188"/>
      <c r="M579" s="188"/>
      <c r="N579" s="188"/>
      <c r="O579" s="188"/>
      <c r="P579" s="189"/>
      <c r="Q579" s="188"/>
      <c r="R579" s="188"/>
      <c r="S579" s="188"/>
      <c r="T579" s="188"/>
      <c r="U579" s="189"/>
    </row>
    <row r="580" spans="1:21">
      <c r="A580" s="154">
        <f ca="1">OFFSET('ALRC Indiv Fund Summary (Print)'!OvrCollRmBdCoPayBdHld, 2, 6, 1, 1)</f>
        <v>0</v>
      </c>
      <c r="B580">
        <f ca="1">OFFSET('ALRC Indiv Fund Summary (Print)'!OvrCollRmBdCoPayBdHld, 2, 5, 1, 1)</f>
        <v>0</v>
      </c>
      <c r="C580" s="155">
        <f ca="1">IF(OFFSET('ALRC Indiv Fund Summary (Print)'!OvrCollRmBdCoPayBdHld, 2, 8, 1, 1) = "", 0, OFFSET('ALRC Indiv Fund Summary (Print)'!OvrCollRmBdCoPayBdHld, 2, 8, 1, 1))</f>
        <v>0</v>
      </c>
      <c r="D580" s="426">
        <f ca="1">IF(OFFSET('ALRC Indiv Fund Summary (Print)'!OvrCollRmBdCoPayBdHld, 2, 7, 1, 1) =DATE(1900,1,0),DATE(1900,1,1),OFFSET('ALRC Indiv Fund Summary (Print)'!OvrCollRmBdCoPayBdHld, 2, 7, 1, 1))</f>
        <v>1</v>
      </c>
      <c r="E580" s="180"/>
      <c r="F580" s="180"/>
      <c r="G580" s="180"/>
      <c r="H580" s="180"/>
      <c r="I580" s="187"/>
      <c r="J580" s="180"/>
      <c r="K580" s="180"/>
      <c r="L580" s="188"/>
      <c r="M580" s="188"/>
      <c r="N580" s="188"/>
      <c r="O580" s="188"/>
      <c r="P580" s="189"/>
      <c r="Q580" s="188"/>
      <c r="R580" s="188"/>
      <c r="S580" s="188"/>
      <c r="T580" s="188"/>
      <c r="U580" s="189"/>
    </row>
    <row r="581" spans="1:21">
      <c r="A581" s="154">
        <f ca="1">OFFSET('ALRC Indiv Fund Summary (Print)'!OvrCollRmBdCoPayBdHld, 3, 6, 1, 1)</f>
        <v>0</v>
      </c>
      <c r="B581">
        <f ca="1">OFFSET('ALRC Indiv Fund Summary (Print)'!OvrCollRmBdCoPayBdHld, 3, 5, 1, 1)</f>
        <v>0</v>
      </c>
      <c r="C581" s="155">
        <f ca="1">IF(OFFSET('ALRC Indiv Fund Summary (Print)'!OvrCollRmBdCoPayBdHld, 3, 8, 1, 1) = "", 0, OFFSET('ALRC Indiv Fund Summary (Print)'!OvrCollRmBdCoPayBdHld, 3, 8, 1, 1))</f>
        <v>0</v>
      </c>
      <c r="D581" s="426">
        <f ca="1">IF(OFFSET('ALRC Indiv Fund Summary (Print)'!OvrCollRmBdCoPayBdHld, 3, 7, 1, 1) =DATE(1900,1,0),DATE(1900,1,1),OFFSET('ALRC Indiv Fund Summary (Print)'!OvrCollRmBdCoPayBdHld, 3, 7, 1, 1))</f>
        <v>1</v>
      </c>
      <c r="E581" s="180"/>
      <c r="F581" s="180"/>
      <c r="G581" s="180"/>
      <c r="H581" s="180"/>
      <c r="I581" s="187"/>
      <c r="J581" s="180"/>
      <c r="K581" s="180"/>
      <c r="L581" s="188"/>
      <c r="M581" s="188"/>
      <c r="N581" s="188"/>
      <c r="O581" s="188"/>
      <c r="P581" s="189"/>
      <c r="Q581" s="188"/>
      <c r="R581" s="188"/>
      <c r="S581" s="188"/>
      <c r="T581" s="188"/>
      <c r="U581" s="189"/>
    </row>
    <row r="582" spans="1:21">
      <c r="A582" s="154">
        <f ca="1">OFFSET('ALRC Indiv Fund Summary (Print)'!OvrCollRmBdCoPayBdHld, 4, 6, 1, 1)</f>
        <v>0</v>
      </c>
      <c r="B582">
        <f ca="1">OFFSET('ALRC Indiv Fund Summary (Print)'!OvrCollRmBdCoPayBdHld, 4, 5, 1, 1)</f>
        <v>0</v>
      </c>
      <c r="C582" s="155">
        <f ca="1">IF(OFFSET('ALRC Indiv Fund Summary (Print)'!OvrCollRmBdCoPayBdHld, 4, 8, 1, 1) = "", 0, OFFSET('ALRC Indiv Fund Summary (Print)'!OvrCollRmBdCoPayBdHld, 4, 8, 1, 1))</f>
        <v>0</v>
      </c>
      <c r="D582" s="426">
        <f ca="1">IF(OFFSET('ALRC Indiv Fund Summary (Print)'!OvrCollRmBdCoPayBdHld, 4, 7, 1, 1) =DATE(1900,1,0),DATE(1900,1,1),OFFSET('ALRC Indiv Fund Summary (Print)'!OvrCollRmBdCoPayBdHld, 4, 7, 1, 1))</f>
        <v>1</v>
      </c>
      <c r="E582" s="180"/>
      <c r="F582" s="180"/>
      <c r="G582" s="180"/>
      <c r="H582" s="180"/>
      <c r="I582" s="187"/>
      <c r="J582" s="180"/>
      <c r="K582" s="180"/>
      <c r="L582" s="188"/>
      <c r="M582" s="188"/>
      <c r="N582" s="188"/>
      <c r="O582" s="188"/>
      <c r="P582" s="189"/>
      <c r="Q582" s="188"/>
      <c r="R582" s="188"/>
      <c r="S582" s="188"/>
      <c r="T582" s="188"/>
      <c r="U582" s="189"/>
    </row>
    <row r="583" spans="1:21">
      <c r="A583" s="154">
        <f ca="1">OFFSET('ALRC Indiv Fund Summary (Print)'!OvrCollRmBdCoPayBdHld, 5, 6, 1, 1)</f>
        <v>0</v>
      </c>
      <c r="B583">
        <f ca="1">OFFSET('ALRC Indiv Fund Summary (Print)'!OvrCollRmBdCoPayBdHld, 5, 5, 1, 1)</f>
        <v>0</v>
      </c>
      <c r="C583" s="155">
        <f ca="1">IF(OFFSET('ALRC Indiv Fund Summary (Print)'!OvrCollRmBdCoPayBdHld, 5, 8, 1, 1) = "", 0, OFFSET('ALRC Indiv Fund Summary (Print)'!OvrCollRmBdCoPayBdHld, 5, 8, 1, 1))</f>
        <v>0</v>
      </c>
      <c r="D583" s="426">
        <f ca="1">IF(OFFSET('ALRC Indiv Fund Summary (Print)'!OvrCollRmBdCoPayBdHld, 5, 7, 1, 1) =DATE(1900,1,0),DATE(1900,1,1),OFFSET('ALRC Indiv Fund Summary (Print)'!OvrCollRmBdCoPayBdHld, 5, 7, 1, 1))</f>
        <v>1</v>
      </c>
      <c r="E583" s="180"/>
      <c r="F583" s="180"/>
      <c r="G583" s="180"/>
      <c r="H583" s="180"/>
      <c r="I583" s="187"/>
      <c r="J583" s="180"/>
      <c r="K583" s="180"/>
      <c r="L583" s="188"/>
      <c r="M583" s="188"/>
      <c r="N583" s="188"/>
      <c r="O583" s="188"/>
      <c r="P583" s="189"/>
      <c r="Q583" s="188"/>
      <c r="R583" s="188"/>
      <c r="S583" s="188"/>
      <c r="T583" s="188"/>
      <c r="U583" s="189"/>
    </row>
    <row r="584" spans="1:21">
      <c r="A584" s="154">
        <f ca="1">OFFSET('ALRC Indiv Fund Summary (Print)'!OvrCollRmBdCoPayBdHld, 6, 6, 1, 1)</f>
        <v>0</v>
      </c>
      <c r="B584">
        <f ca="1">OFFSET('ALRC Indiv Fund Summary (Print)'!OvrCollRmBdCoPayBdHld, 6, 5, 1, 1)</f>
        <v>0</v>
      </c>
      <c r="C584" s="155">
        <f ca="1">IF(OFFSET('ALRC Indiv Fund Summary (Print)'!OvrCollRmBdCoPayBdHld, 6, 8, 1, 1) = "", 0, OFFSET('ALRC Indiv Fund Summary (Print)'!OvrCollRmBdCoPayBdHld, 6, 8, 1, 1))</f>
        <v>0</v>
      </c>
      <c r="D584" s="426">
        <f ca="1">IF(OFFSET('ALRC Indiv Fund Summary (Print)'!OvrCollRmBdCoPayBdHld, 6, 7, 1, 1) =DATE(1900,1,0),DATE(1900,1,1),OFFSET('ALRC Indiv Fund Summary (Print)'!OvrCollRmBdCoPayBdHld, 6, 7, 1, 1))</f>
        <v>1</v>
      </c>
      <c r="E584" s="180"/>
      <c r="F584" s="180"/>
      <c r="G584" s="180"/>
      <c r="H584" s="180"/>
      <c r="I584" s="187"/>
      <c r="J584" s="180"/>
      <c r="K584" s="180"/>
      <c r="L584" s="188"/>
      <c r="M584" s="188"/>
      <c r="N584" s="188"/>
      <c r="O584" s="188"/>
      <c r="P584" s="189"/>
      <c r="Q584" s="188"/>
      <c r="R584" s="188"/>
      <c r="S584" s="188"/>
      <c r="T584" s="188"/>
      <c r="U584" s="189"/>
    </row>
    <row r="585" spans="1:21">
      <c r="A585" s="154">
        <f ca="1">OFFSET('ALRC Indiv Fund Summary (Print)'!OvrCollRmBdCoPayBdHld, 7, 6, 1, 1)</f>
        <v>0</v>
      </c>
      <c r="B585">
        <f ca="1">OFFSET('ALRC Indiv Fund Summary (Print)'!OvrCollRmBdCoPayBdHld, 7, 5, 1, 1)</f>
        <v>0</v>
      </c>
      <c r="C585" s="155">
        <f ca="1">IF(OFFSET('ALRC Indiv Fund Summary (Print)'!OvrCollRmBdCoPayBdHld, 7, 8, 1, 1) = "", 0, OFFSET('ALRC Indiv Fund Summary (Print)'!OvrCollRmBdCoPayBdHld, 7, 8, 1, 1))</f>
        <v>0</v>
      </c>
      <c r="D585" s="426">
        <f ca="1">IF(OFFSET('ALRC Indiv Fund Summary (Print)'!OvrCollRmBdCoPayBdHld, 7, 7, 1, 1) =DATE(1900,1,0),DATE(1900,1,1),OFFSET('ALRC Indiv Fund Summary (Print)'!OvrCollRmBdCoPayBdHld, 7, 7, 1, 1))</f>
        <v>1</v>
      </c>
      <c r="E585" s="180"/>
      <c r="F585" s="180"/>
      <c r="G585" s="180"/>
      <c r="H585" s="180"/>
      <c r="I585" s="187"/>
      <c r="J585" s="180"/>
      <c r="K585" s="180"/>
      <c r="L585" s="188"/>
      <c r="M585" s="188"/>
      <c r="N585" s="188"/>
      <c r="O585" s="188"/>
      <c r="P585" s="189"/>
      <c r="Q585" s="188"/>
      <c r="R585" s="188"/>
      <c r="S585" s="188"/>
      <c r="T585" s="188"/>
      <c r="U585" s="189"/>
    </row>
    <row r="586" spans="1:21">
      <c r="A586" s="154">
        <f ca="1">OFFSET('ALRC Indiv Fund Summary (Print)'!OvrCollRmBdCoPayBdHld, 8, 6, 1, 1)</f>
        <v>0</v>
      </c>
      <c r="B586">
        <f ca="1">OFFSET('ALRC Indiv Fund Summary (Print)'!OvrCollRmBdCoPayBdHld, 8, 5, 1, 1)</f>
        <v>0</v>
      </c>
      <c r="C586" s="155">
        <f ca="1">IF(OFFSET('ALRC Indiv Fund Summary (Print)'!OvrCollRmBdCoPayBdHld, 8, 8, 1, 1) = "", 0, OFFSET('ALRC Indiv Fund Summary (Print)'!OvrCollRmBdCoPayBdHld, 8, 8, 1, 1))</f>
        <v>0</v>
      </c>
      <c r="D586" s="426">
        <f ca="1">IF(OFFSET('ALRC Indiv Fund Summary (Print)'!OvrCollRmBdCoPayBdHld, 8, 7, 1, 1) =DATE(1900,1,0),DATE(1900,1,1),OFFSET('ALRC Indiv Fund Summary (Print)'!OvrCollRmBdCoPayBdHld, 8, 7, 1, 1))</f>
        <v>1</v>
      </c>
      <c r="E586" s="180"/>
      <c r="F586" s="180"/>
      <c r="G586" s="180"/>
      <c r="H586" s="180"/>
      <c r="I586" s="187"/>
      <c r="J586" s="180"/>
      <c r="K586" s="180"/>
      <c r="L586" s="188"/>
      <c r="M586" s="188"/>
      <c r="N586" s="188"/>
      <c r="O586" s="188"/>
      <c r="P586" s="189"/>
      <c r="Q586" s="188"/>
      <c r="R586" s="188"/>
      <c r="S586" s="188"/>
      <c r="T586" s="188"/>
      <c r="U586" s="189"/>
    </row>
    <row r="587" spans="1:21">
      <c r="A587" s="154">
        <f ca="1">OFFSET('ALRC Indiv Fund Summary (Print)'!OvrCollRmBdCoPayBdHld, 9, 6, 1, 1)</f>
        <v>0</v>
      </c>
      <c r="B587">
        <f ca="1">OFFSET('ALRC Indiv Fund Summary (Print)'!OvrCollRmBdCoPayBdHld, 9, 5, 1, 1)</f>
        <v>0</v>
      </c>
      <c r="C587" s="155">
        <f ca="1">IF(OFFSET('ALRC Indiv Fund Summary (Print)'!OvrCollRmBdCoPayBdHld, 9, 8, 1, 1) = "", 0, OFFSET('ALRC Indiv Fund Summary (Print)'!OvrCollRmBdCoPayBdHld, 9, 8, 1, 1))</f>
        <v>0</v>
      </c>
      <c r="D587" s="426">
        <f ca="1">IF(OFFSET('ALRC Indiv Fund Summary (Print)'!OvrCollRmBdCoPayBdHld, 9, 7, 1, 1) =DATE(1900,1,0),DATE(1900,1,1),OFFSET('ALRC Indiv Fund Summary (Print)'!OvrCollRmBdCoPayBdHld, 9, 7, 1, 1))</f>
        <v>1</v>
      </c>
      <c r="E587" s="180"/>
      <c r="F587" s="180"/>
      <c r="G587" s="180"/>
      <c r="H587" s="180"/>
      <c r="I587" s="187"/>
      <c r="J587" s="180"/>
      <c r="K587" s="180"/>
      <c r="L587" s="188"/>
      <c r="M587" s="188"/>
      <c r="N587" s="188"/>
      <c r="O587" s="188"/>
      <c r="P587" s="189"/>
      <c r="Q587" s="188"/>
      <c r="R587" s="188"/>
      <c r="S587" s="188"/>
      <c r="T587" s="188"/>
      <c r="U587" s="189"/>
    </row>
    <row r="588" spans="1:21">
      <c r="A588" s="154">
        <f ca="1">OFFSET('ALRC Indiv Fund Summary (Print)'!OvrCollRmBdCoPayBdHld, 10, 6, 1, 1)</f>
        <v>0</v>
      </c>
      <c r="B588">
        <f ca="1">OFFSET('ALRC Indiv Fund Summary (Print)'!OvrCollRmBdCoPayBdHld, 10, 5, 1, 1)</f>
        <v>0</v>
      </c>
      <c r="C588" s="155">
        <f ca="1">IF(OFFSET('ALRC Indiv Fund Summary (Print)'!OvrCollRmBdCoPayBdHld, 10, 8, 1, 1) = "", 0, OFFSET('ALRC Indiv Fund Summary (Print)'!OvrCollRmBdCoPayBdHld, 10, 8, 1, 1))</f>
        <v>0</v>
      </c>
      <c r="D588" s="426">
        <f ca="1">IF(OFFSET('ALRC Indiv Fund Summary (Print)'!OvrCollRmBdCoPayBdHld, 10, 7, 1, 1) =DATE(1900,1,0),DATE(1900,1,1),OFFSET('ALRC Indiv Fund Summary (Print)'!OvrCollRmBdCoPayBdHld, 10, 7, 1, 1))</f>
        <v>1</v>
      </c>
      <c r="E588" s="180"/>
      <c r="F588" s="180"/>
      <c r="G588" s="180"/>
      <c r="H588" s="180"/>
      <c r="I588" s="187"/>
      <c r="J588" s="180"/>
      <c r="K588" s="180"/>
      <c r="L588" s="188"/>
      <c r="M588" s="188"/>
      <c r="N588" s="188"/>
      <c r="O588" s="188"/>
      <c r="P588" s="189"/>
      <c r="Q588" s="188"/>
      <c r="R588" s="188"/>
      <c r="S588" s="188"/>
      <c r="T588" s="188"/>
      <c r="U588" s="189"/>
    </row>
    <row r="589" spans="1:21">
      <c r="A589" s="154">
        <f ca="1">OFFSET('ALRC Indiv Fund Summary (Print)'!OvrCollRmBdCoPayBdHld, 11, 6, 1, 1)</f>
        <v>0</v>
      </c>
      <c r="B589">
        <f ca="1">OFFSET('ALRC Indiv Fund Summary (Print)'!OvrCollRmBdCoPayBdHld, 11, 5, 1, 1)</f>
        <v>0</v>
      </c>
      <c r="C589" s="155">
        <f ca="1">IF(OFFSET('ALRC Indiv Fund Summary (Print)'!OvrCollRmBdCoPayBdHld, 11, 8, 1, 1) = "", 0, OFFSET('ALRC Indiv Fund Summary (Print)'!OvrCollRmBdCoPayBdHld, 11, 8, 1, 1))</f>
        <v>0</v>
      </c>
      <c r="D589" s="426">
        <f ca="1">IF(OFFSET('ALRC Indiv Fund Summary (Print)'!OvrCollRmBdCoPayBdHld, 11, 7, 1, 1) =DATE(1900,1,0),DATE(1900,1,1),OFFSET('ALRC Indiv Fund Summary (Print)'!OvrCollRmBdCoPayBdHld, 11, 7, 1, 1))</f>
        <v>1</v>
      </c>
      <c r="E589" s="180"/>
      <c r="F589" s="180"/>
      <c r="G589" s="180"/>
      <c r="H589" s="180"/>
      <c r="I589" s="187"/>
      <c r="J589" s="180"/>
      <c r="K589" s="180"/>
      <c r="L589" s="188"/>
      <c r="M589" s="188"/>
      <c r="N589" s="188"/>
      <c r="O589" s="188"/>
      <c r="P589" s="189"/>
      <c r="Q589" s="188"/>
      <c r="R589" s="188"/>
      <c r="S589" s="188"/>
      <c r="T589" s="188"/>
      <c r="U589" s="189"/>
    </row>
    <row r="590" spans="1:21">
      <c r="A590" s="154">
        <f ca="1">OFFSET('ALRC Indiv Fund Summary (Print)'!OvrCollRmBdCoPayBdHld, 12, 6, 1, 1)</f>
        <v>0</v>
      </c>
      <c r="B590">
        <f ca="1">OFFSET('ALRC Indiv Fund Summary (Print)'!OvrCollRmBdCoPayBdHld, 12, 5, 1, 1)</f>
        <v>0</v>
      </c>
      <c r="C590" s="155">
        <f ca="1">IF(OFFSET('ALRC Indiv Fund Summary (Print)'!OvrCollRmBdCoPayBdHld, 12, 8, 1, 1) = "", 0, OFFSET('ALRC Indiv Fund Summary (Print)'!OvrCollRmBdCoPayBdHld, 12, 8, 1, 1))</f>
        <v>0</v>
      </c>
      <c r="D590" s="426">
        <f ca="1">IF(OFFSET('ALRC Indiv Fund Summary (Print)'!OvrCollRmBdCoPayBdHld, 12, 7, 1, 1) =DATE(1900,1,0),DATE(1900,1,1),OFFSET('ALRC Indiv Fund Summary (Print)'!OvrCollRmBdCoPayBdHld, 12, 7, 1, 1))</f>
        <v>1</v>
      </c>
      <c r="E590" s="180"/>
      <c r="F590" s="180"/>
      <c r="G590" s="180"/>
      <c r="H590" s="180"/>
      <c r="I590" s="187"/>
      <c r="J590" s="180"/>
      <c r="K590" s="180"/>
      <c r="L590" s="188"/>
      <c r="M590" s="188"/>
      <c r="N590" s="188"/>
      <c r="O590" s="188"/>
      <c r="P590" s="189"/>
      <c r="Q590" s="188"/>
      <c r="R590" s="188"/>
      <c r="S590" s="188"/>
      <c r="T590" s="188"/>
      <c r="U590" s="189"/>
    </row>
    <row r="591" spans="1:21">
      <c r="A591" s="154">
        <f ca="1">OFFSET('ALRC Indiv Fund Summary (Print)'!OvrCollRmBdCoPayBdHld, 13, 6, 1, 1)</f>
        <v>0</v>
      </c>
      <c r="B591">
        <f ca="1">OFFSET('ALRC Indiv Fund Summary (Print)'!OvrCollRmBdCoPayBdHld, 13, 5, 1, 1)</f>
        <v>0</v>
      </c>
      <c r="C591" s="155">
        <f ca="1">IF(OFFSET('ALRC Indiv Fund Summary (Print)'!OvrCollRmBdCoPayBdHld, 13, 8, 1, 1) = "", 0, OFFSET('ALRC Indiv Fund Summary (Print)'!OvrCollRmBdCoPayBdHld, 13, 8, 1, 1))</f>
        <v>0</v>
      </c>
      <c r="D591" s="426">
        <f ca="1">IF(OFFSET('ALRC Indiv Fund Summary (Print)'!OvrCollRmBdCoPayBdHld, 13, 7, 1, 1) =DATE(1900,1,0),DATE(1900,1,1),OFFSET('ALRC Indiv Fund Summary (Print)'!OvrCollRmBdCoPayBdHld, 13, 7, 1, 1))</f>
        <v>1</v>
      </c>
      <c r="E591" s="180"/>
      <c r="F591" s="180"/>
      <c r="G591" s="180"/>
      <c r="H591" s="180"/>
      <c r="I591" s="187"/>
      <c r="J591" s="180"/>
      <c r="K591" s="180"/>
      <c r="L591" s="188"/>
      <c r="M591" s="188"/>
      <c r="N591" s="188"/>
      <c r="O591" s="188"/>
      <c r="P591" s="189"/>
      <c r="Q591" s="188"/>
      <c r="R591" s="188"/>
      <c r="S591" s="188"/>
      <c r="T591" s="188"/>
      <c r="U591" s="189"/>
    </row>
    <row r="592" spans="1:21" ht="15" thickBot="1">
      <c r="A592" s="300">
        <f ca="1">OFFSET('ALRC Indiv Fund Summary (Print)'!OvrCollRmBdCoPayBdHld, 14, 6, 1, 1)</f>
        <v>0</v>
      </c>
      <c r="B592" s="201">
        <f ca="1">OFFSET('ALRC Indiv Fund Summary (Print)'!OvrCollRmBdCoPayBdHld, 14, 5, 1, 1)</f>
        <v>0</v>
      </c>
      <c r="C592" s="174">
        <f ca="1">IF(OFFSET('ALRC Indiv Fund Summary (Print)'!OvrCollRmBdCoPayBdHld, 14, 8, 1, 1) = "", 0, OFFSET('ALRC Indiv Fund Summary (Print)'!OvrCollRmBdCoPayBdHld, 14, 8, 1, 1))</f>
        <v>0</v>
      </c>
      <c r="D592" s="427">
        <f ca="1">IF(OFFSET('ALRC Indiv Fund Summary (Print)'!OvrCollRmBdCoPayBdHld, 14, 7, 1, 1) =DATE(1900,1,0),DATE(1900,1,1),OFFSET('ALRC Indiv Fund Summary (Print)'!OvrCollRmBdCoPayBdHld, 14, 7, 1, 1))</f>
        <v>1</v>
      </c>
      <c r="E592" s="180"/>
      <c r="F592" s="180"/>
      <c r="G592" s="180"/>
      <c r="H592" s="180"/>
      <c r="I592" s="187"/>
      <c r="J592" s="180"/>
      <c r="K592" s="180"/>
      <c r="L592" s="188"/>
      <c r="M592" s="188"/>
      <c r="N592" s="188"/>
      <c r="O592" s="188"/>
      <c r="P592" s="189"/>
      <c r="Q592" s="188"/>
      <c r="R592" s="188"/>
      <c r="S592" s="188"/>
      <c r="T592" s="188"/>
      <c r="U592" s="189"/>
    </row>
    <row r="593" spans="1:21">
      <c r="A593" s="195"/>
      <c r="B593" s="188"/>
      <c r="C593" s="157"/>
      <c r="D593" s="196"/>
      <c r="E593" s="180"/>
      <c r="F593" s="180"/>
      <c r="G593" s="180"/>
      <c r="H593" s="180"/>
      <c r="I593" s="187"/>
      <c r="J593" s="180"/>
      <c r="K593" s="180"/>
      <c r="L593" s="188"/>
      <c r="M593" s="188"/>
      <c r="N593" s="188"/>
      <c r="O593" s="188"/>
      <c r="P593" s="189"/>
      <c r="Q593" s="188"/>
      <c r="R593" s="188"/>
      <c r="S593" s="188"/>
      <c r="T593" s="188"/>
      <c r="U593" s="189"/>
    </row>
    <row r="594" spans="1:21" ht="15" thickBot="1">
      <c r="A594" s="210" t="s">
        <v>1256</v>
      </c>
      <c r="B594" s="188"/>
      <c r="C594" s="157"/>
      <c r="E594" s="180"/>
      <c r="F594" s="180"/>
      <c r="G594" s="180"/>
      <c r="H594" s="180"/>
      <c r="I594" s="187"/>
      <c r="J594" s="180"/>
      <c r="K594" s="180"/>
      <c r="L594" s="188"/>
      <c r="M594" s="188"/>
      <c r="N594" s="188"/>
      <c r="O594" s="188"/>
      <c r="P594" s="189"/>
      <c r="Q594" s="188"/>
      <c r="R594" s="188"/>
      <c r="S594" s="188"/>
      <c r="T594" s="188"/>
      <c r="U594" s="189"/>
    </row>
    <row r="595" spans="1:21">
      <c r="A595" s="181" t="s">
        <v>1003</v>
      </c>
      <c r="B595" s="182" t="s">
        <v>1005</v>
      </c>
      <c r="C595" s="182" t="s">
        <v>187</v>
      </c>
      <c r="D595" s="434" t="s">
        <v>1524</v>
      </c>
      <c r="E595" s="180"/>
      <c r="F595" s="180"/>
      <c r="G595" s="180"/>
      <c r="H595" s="180"/>
      <c r="I595" s="187"/>
      <c r="J595" s="180"/>
      <c r="K595" s="180"/>
      <c r="L595" s="188"/>
      <c r="M595" s="188"/>
      <c r="N595" s="188"/>
      <c r="O595" s="188"/>
      <c r="P595" s="189"/>
      <c r="Q595" s="188"/>
      <c r="R595" s="188"/>
      <c r="S595" s="188"/>
      <c r="T595" s="188"/>
      <c r="U595" s="189"/>
    </row>
    <row r="596" spans="1:21">
      <c r="A596" s="154">
        <f ca="1">OFFSET('ALRC Indiv Fund Summary (Print)'!CoPyRfndCrdtDueHsptlzdIndv, 0, 1, 1, 1)</f>
        <v>0</v>
      </c>
      <c r="B596">
        <v>34</v>
      </c>
      <c r="C596" s="155">
        <f ca="1">IF(OFFSET('ALRC Indiv Fund Summary (Print)'!CoPyRfndCrdtDueHsptlzdIndv, 0, 3, 1, 1) = "", 0, OFFSET('ALRC Indiv Fund Summary (Print)'!CoPyRfndCrdtDueHsptlzdIndv, 0, 3, 1, 1))</f>
        <v>0</v>
      </c>
      <c r="D596" s="426">
        <f ca="1">IF(OFFSET('ALRC Indiv Fund Summary (Print)'!CoPyRfndCrdtDueHsptlzdIndv, 0, 2, 1, 1) =DATE(1900,1,0),DATE(1900,1,1),OFFSET('ALRC Indiv Fund Summary (Print)'!CoPyRfndCrdtDueHsptlzdIndv, 0, 2, 1, 1))</f>
        <v>1</v>
      </c>
      <c r="E596" s="180"/>
      <c r="F596" s="180"/>
      <c r="G596" s="180"/>
      <c r="H596" s="180"/>
      <c r="I596" s="187"/>
      <c r="J596" s="180"/>
      <c r="K596" s="180"/>
      <c r="L596" s="188"/>
      <c r="M596" s="188"/>
      <c r="N596" s="188"/>
      <c r="O596" s="188"/>
      <c r="P596" s="189"/>
      <c r="Q596" s="188"/>
      <c r="R596" s="188"/>
      <c r="S596" s="188"/>
      <c r="T596" s="188"/>
      <c r="U596" s="189"/>
    </row>
    <row r="597" spans="1:21">
      <c r="A597" s="154">
        <f ca="1">OFFSET('ALRC Indiv Fund Summary (Print)'!CoPyRfndCrdtDueHsptlzdIndv, 1, 1, 1, 1)</f>
        <v>0</v>
      </c>
      <c r="B597">
        <v>34</v>
      </c>
      <c r="C597" s="155">
        <f ca="1">IF(OFFSET('ALRC Indiv Fund Summary (Print)'!CoPyRfndCrdtDueHsptlzdIndv, 1, 3, 1, 1) = "", 0, OFFSET('ALRC Indiv Fund Summary (Print)'!CoPyRfndCrdtDueHsptlzdIndv, 1, 3, 1, 1))</f>
        <v>0</v>
      </c>
      <c r="D597" s="426">
        <f ca="1">IF(OFFSET('ALRC Indiv Fund Summary (Print)'!CoPyRfndCrdtDueHsptlzdIndv, 1, 2, 1, 1) =DATE(1900,1,0),DATE(1900,1,1),OFFSET('ALRC Indiv Fund Summary (Print)'!CoPyRfndCrdtDueHsptlzdIndv, 1, 2, 1, 1))</f>
        <v>1</v>
      </c>
      <c r="E597" s="180"/>
      <c r="F597" s="180"/>
      <c r="G597" s="180"/>
      <c r="H597" s="180"/>
      <c r="I597" s="187"/>
      <c r="J597" s="180"/>
      <c r="K597" s="180"/>
      <c r="L597" s="188"/>
      <c r="M597" s="188"/>
      <c r="N597" s="188"/>
      <c r="O597" s="188"/>
      <c r="P597" s="189"/>
      <c r="Q597" s="188"/>
      <c r="R597" s="188"/>
      <c r="S597" s="188"/>
      <c r="T597" s="188"/>
      <c r="U597" s="189"/>
    </row>
    <row r="598" spans="1:21">
      <c r="A598" s="154">
        <f ca="1">OFFSET('ALRC Indiv Fund Summary (Print)'!CoPyRfndCrdtDueHsptlzdIndv, 2, 1, 1, 1)</f>
        <v>0</v>
      </c>
      <c r="B598">
        <v>34</v>
      </c>
      <c r="C598" s="155">
        <f ca="1">IF(OFFSET('ALRC Indiv Fund Summary (Print)'!CoPyRfndCrdtDueHsptlzdIndv, 2, 3, 1, 1) = "", 0, OFFSET('ALRC Indiv Fund Summary (Print)'!CoPyRfndCrdtDueHsptlzdIndv, 2, 3, 1, 1))</f>
        <v>0</v>
      </c>
      <c r="D598" s="426">
        <f ca="1">IF(OFFSET('ALRC Indiv Fund Summary (Print)'!CoPyRfndCrdtDueHsptlzdIndv, 2, 2, 1, 1) =DATE(1900,1,0),DATE(1900,1,1),OFFSET('ALRC Indiv Fund Summary (Print)'!CoPyRfndCrdtDueHsptlzdIndv, 2, 2, 1, 1))</f>
        <v>1</v>
      </c>
      <c r="E598" s="180"/>
      <c r="F598" s="180"/>
      <c r="G598" s="180"/>
      <c r="H598" s="180"/>
      <c r="I598" s="187"/>
      <c r="J598" s="180"/>
      <c r="K598" s="180"/>
      <c r="L598" s="188"/>
      <c r="M598" s="188"/>
      <c r="N598" s="188"/>
      <c r="O598" s="188"/>
      <c r="P598" s="189"/>
      <c r="Q598" s="188"/>
      <c r="R598" s="188"/>
      <c r="S598" s="188"/>
      <c r="T598" s="188"/>
      <c r="U598" s="189"/>
    </row>
    <row r="599" spans="1:21">
      <c r="A599" s="154">
        <f ca="1">OFFSET('ALRC Indiv Fund Summary (Print)'!CoPyRfndCrdtDueHsptlzdIndv, 3, 1, 1, 1)</f>
        <v>0</v>
      </c>
      <c r="B599">
        <v>34</v>
      </c>
      <c r="C599" s="155">
        <f ca="1">IF(OFFSET('ALRC Indiv Fund Summary (Print)'!CoPyRfndCrdtDueHsptlzdIndv, 3, 3, 1, 1) = "", 0, OFFSET('ALRC Indiv Fund Summary (Print)'!CoPyRfndCrdtDueHsptlzdIndv, 3, 3, 1, 1))</f>
        <v>0</v>
      </c>
      <c r="D599" s="426">
        <f ca="1">IF(OFFSET('ALRC Indiv Fund Summary (Print)'!CoPyRfndCrdtDueHsptlzdIndv, 3, 2, 1, 1) =DATE(1900,1,0),DATE(1900,1,1),OFFSET('ALRC Indiv Fund Summary (Print)'!CoPyRfndCrdtDueHsptlzdIndv, 3, 2, 1, 1))</f>
        <v>1</v>
      </c>
      <c r="E599" s="180"/>
      <c r="F599" s="180"/>
      <c r="G599" s="180"/>
      <c r="H599" s="180"/>
      <c r="I599" s="187"/>
      <c r="J599" s="180"/>
      <c r="K599" s="180"/>
      <c r="L599" s="188"/>
      <c r="M599" s="188"/>
      <c r="N599" s="188"/>
      <c r="O599" s="188"/>
      <c r="P599" s="189"/>
      <c r="Q599" s="188"/>
      <c r="R599" s="188"/>
      <c r="S599" s="188"/>
      <c r="T599" s="188"/>
      <c r="U599" s="189"/>
    </row>
    <row r="600" spans="1:21">
      <c r="A600" s="154">
        <f ca="1">OFFSET('ALRC Indiv Fund Summary (Print)'!CoPyRfndCrdtDueHsptlzdIndv, 4, 1, 1, 1)</f>
        <v>0</v>
      </c>
      <c r="B600">
        <v>34</v>
      </c>
      <c r="C600" s="155">
        <f ca="1">IF(OFFSET('ALRC Indiv Fund Summary (Print)'!CoPyRfndCrdtDueHsptlzdIndv, 4, 3, 1, 1) = "", 0, OFFSET('ALRC Indiv Fund Summary (Print)'!CoPyRfndCrdtDueHsptlzdIndv, 4, 3, 1, 1))</f>
        <v>0</v>
      </c>
      <c r="D600" s="426">
        <f ca="1">IF(OFFSET('ALRC Indiv Fund Summary (Print)'!CoPyRfndCrdtDueHsptlzdIndv, 4, 2, 1, 1) =DATE(1900,1,0),DATE(1900,1,1),OFFSET('ALRC Indiv Fund Summary (Print)'!CoPyRfndCrdtDueHsptlzdIndv, 4, 2, 1, 1))</f>
        <v>1</v>
      </c>
      <c r="E600" s="180"/>
      <c r="F600" s="180"/>
      <c r="G600" s="180"/>
      <c r="H600" s="180"/>
      <c r="I600" s="187"/>
      <c r="J600" s="180"/>
      <c r="K600" s="180"/>
      <c r="L600" s="188"/>
      <c r="M600" s="188"/>
      <c r="N600" s="188"/>
      <c r="O600" s="188"/>
      <c r="P600" s="189"/>
      <c r="Q600" s="188"/>
      <c r="R600" s="188"/>
      <c r="S600" s="188"/>
      <c r="T600" s="188"/>
      <c r="U600" s="189"/>
    </row>
    <row r="601" spans="1:21">
      <c r="A601" s="154">
        <f ca="1">OFFSET('ALRC Indiv Fund Summary (Print)'!CoPyRfndCrdtDueHsptlzdIndv, 5, 1, 1, 1)</f>
        <v>0</v>
      </c>
      <c r="B601">
        <v>34</v>
      </c>
      <c r="C601" s="155">
        <f ca="1">IF(OFFSET('ALRC Indiv Fund Summary (Print)'!CoPyRfndCrdtDueHsptlzdIndv, 5, 3, 1, 1) = "", 0, OFFSET('ALRC Indiv Fund Summary (Print)'!CoPyRfndCrdtDueHsptlzdIndv, 5, 3, 1, 1))</f>
        <v>0</v>
      </c>
      <c r="D601" s="426">
        <f ca="1">IF(OFFSET('ALRC Indiv Fund Summary (Print)'!CoPyRfndCrdtDueHsptlzdIndv, 5, 2, 1, 1) =DATE(1900,1,0),DATE(1900,1,1),OFFSET('ALRC Indiv Fund Summary (Print)'!CoPyRfndCrdtDueHsptlzdIndv, 5, 2, 1, 1))</f>
        <v>1</v>
      </c>
      <c r="E601" s="180"/>
      <c r="F601" s="180"/>
      <c r="G601" s="180"/>
      <c r="H601" s="180"/>
      <c r="I601" s="187"/>
      <c r="J601" s="180"/>
      <c r="K601" s="180"/>
      <c r="L601" s="188"/>
      <c r="M601" s="188"/>
      <c r="N601" s="188"/>
      <c r="O601" s="188"/>
      <c r="P601" s="189"/>
      <c r="Q601" s="188"/>
      <c r="R601" s="188"/>
      <c r="S601" s="188"/>
      <c r="T601" s="188"/>
      <c r="U601" s="189"/>
    </row>
    <row r="602" spans="1:21">
      <c r="A602" s="154">
        <f ca="1">OFFSET('ALRC Indiv Fund Summary (Print)'!CoPyRfndCrdtDueHsptlzdIndv, 6, 1, 1, 1)</f>
        <v>0</v>
      </c>
      <c r="B602">
        <v>34</v>
      </c>
      <c r="C602" s="155">
        <f ca="1">IF(OFFSET('ALRC Indiv Fund Summary (Print)'!CoPyRfndCrdtDueHsptlzdIndv, 6, 3, 1, 1) = "", 0, OFFSET('ALRC Indiv Fund Summary (Print)'!CoPyRfndCrdtDueHsptlzdIndv, 6, 3, 1, 1))</f>
        <v>0</v>
      </c>
      <c r="D602" s="426">
        <f ca="1">IF(OFFSET('ALRC Indiv Fund Summary (Print)'!CoPyRfndCrdtDueHsptlzdIndv, 6, 2, 1, 1) =DATE(1900,1,0),DATE(1900,1,1),OFFSET('ALRC Indiv Fund Summary (Print)'!CoPyRfndCrdtDueHsptlzdIndv, 6, 2, 1, 1))</f>
        <v>1</v>
      </c>
      <c r="E602" s="180"/>
      <c r="F602" s="180"/>
      <c r="G602" s="180"/>
      <c r="H602" s="180"/>
      <c r="I602" s="187"/>
      <c r="J602" s="180"/>
      <c r="K602" s="180"/>
      <c r="L602" s="188"/>
      <c r="M602" s="188"/>
      <c r="N602" s="188"/>
      <c r="O602" s="188"/>
      <c r="P602" s="189"/>
      <c r="Q602" s="188"/>
      <c r="R602" s="188"/>
      <c r="S602" s="188"/>
      <c r="T602" s="188"/>
      <c r="U602" s="189"/>
    </row>
    <row r="603" spans="1:21">
      <c r="A603" s="154">
        <f ca="1">OFFSET('ALRC Indiv Fund Summary (Print)'!CoPyRfndCrdtDueHsptlzdIndv, 7, 1, 1, 1)</f>
        <v>0</v>
      </c>
      <c r="B603">
        <v>34</v>
      </c>
      <c r="C603" s="155">
        <f ca="1">IF(OFFSET('ALRC Indiv Fund Summary (Print)'!CoPyRfndCrdtDueHsptlzdIndv, 7, 3, 1, 1) = "", 0, OFFSET('ALRC Indiv Fund Summary (Print)'!CoPyRfndCrdtDueHsptlzdIndv, 7, 3, 1, 1))</f>
        <v>0</v>
      </c>
      <c r="D603" s="426">
        <f ca="1">IF(OFFSET('ALRC Indiv Fund Summary (Print)'!CoPyRfndCrdtDueHsptlzdIndv, 7, 2, 1, 1) =DATE(1900,1,0),DATE(1900,1,1),OFFSET('ALRC Indiv Fund Summary (Print)'!CoPyRfndCrdtDueHsptlzdIndv, 7, 2, 1, 1))</f>
        <v>1</v>
      </c>
      <c r="E603" s="180"/>
      <c r="F603" s="180"/>
      <c r="G603" s="180"/>
      <c r="H603" s="180"/>
      <c r="I603" s="187"/>
      <c r="J603" s="180"/>
      <c r="K603" s="180"/>
      <c r="L603" s="188"/>
      <c r="M603" s="188"/>
      <c r="N603" s="188"/>
      <c r="O603" s="188"/>
      <c r="P603" s="189"/>
      <c r="Q603" s="188"/>
      <c r="R603" s="188"/>
      <c r="S603" s="188"/>
      <c r="T603" s="188"/>
      <c r="U603" s="189"/>
    </row>
    <row r="604" spans="1:21">
      <c r="A604" s="154">
        <f ca="1">OFFSET('ALRC Indiv Fund Summary (Print)'!CoPyRfndCrdtDueHsptlzdIndv, 8, 1, 1, 1)</f>
        <v>0</v>
      </c>
      <c r="B604">
        <v>34</v>
      </c>
      <c r="C604" s="155">
        <f ca="1">IF(OFFSET('ALRC Indiv Fund Summary (Print)'!CoPyRfndCrdtDueHsptlzdIndv, 8, 3, 1, 1) = "", 0, OFFSET('ALRC Indiv Fund Summary (Print)'!CoPyRfndCrdtDueHsptlzdIndv, 8, 3, 1, 1))</f>
        <v>0</v>
      </c>
      <c r="D604" s="426">
        <f ca="1">IF(OFFSET('ALRC Indiv Fund Summary (Print)'!CoPyRfndCrdtDueHsptlzdIndv, 8, 2, 1, 1) =DATE(1900,1,0),DATE(1900,1,1),OFFSET('ALRC Indiv Fund Summary (Print)'!CoPyRfndCrdtDueHsptlzdIndv, 8, 2, 1, 1))</f>
        <v>1</v>
      </c>
      <c r="E604" s="180"/>
      <c r="F604" s="180"/>
      <c r="G604" s="180"/>
      <c r="H604" s="180"/>
      <c r="I604" s="187"/>
      <c r="J604" s="180"/>
      <c r="K604" s="180"/>
      <c r="L604" s="188"/>
      <c r="M604" s="188"/>
      <c r="N604" s="188"/>
      <c r="O604" s="188"/>
      <c r="P604" s="189"/>
      <c r="Q604" s="188"/>
      <c r="R604" s="188"/>
      <c r="S604" s="188"/>
      <c r="T604" s="188"/>
      <c r="U604" s="189"/>
    </row>
    <row r="605" spans="1:21">
      <c r="A605" s="154">
        <f ca="1">OFFSET('ALRC Indiv Fund Summary (Print)'!CoPyRfndCrdtDueHsptlzdIndv, 9, 1, 1, 1)</f>
        <v>0</v>
      </c>
      <c r="B605">
        <v>34</v>
      </c>
      <c r="C605" s="155">
        <f ca="1">IF(OFFSET('ALRC Indiv Fund Summary (Print)'!CoPyRfndCrdtDueHsptlzdIndv, 9, 3, 1, 1) = "", 0, OFFSET('ALRC Indiv Fund Summary (Print)'!CoPyRfndCrdtDueHsptlzdIndv, 9, 3, 1, 1))</f>
        <v>0</v>
      </c>
      <c r="D605" s="426">
        <f ca="1">IF(OFFSET('ALRC Indiv Fund Summary (Print)'!CoPyRfndCrdtDueHsptlzdIndv, 9, 2, 1, 1) =DATE(1900,1,0),DATE(1900,1,1),OFFSET('ALRC Indiv Fund Summary (Print)'!CoPyRfndCrdtDueHsptlzdIndv, 9, 2, 1, 1))</f>
        <v>1</v>
      </c>
      <c r="E605" s="180"/>
      <c r="F605" s="180"/>
      <c r="G605" s="180"/>
      <c r="H605" s="180"/>
      <c r="I605" s="187"/>
      <c r="J605" s="180"/>
      <c r="K605" s="180"/>
      <c r="L605" s="188"/>
      <c r="M605" s="188"/>
      <c r="N605" s="188"/>
      <c r="O605" s="188"/>
      <c r="P605" s="189"/>
      <c r="Q605" s="188"/>
      <c r="R605" s="188"/>
      <c r="S605" s="188"/>
      <c r="T605" s="188"/>
      <c r="U605" s="189"/>
    </row>
    <row r="606" spans="1:21">
      <c r="A606" s="154">
        <f ca="1">OFFSET('ALRC Indiv Fund Summary (Print)'!CoPyRfndCrdtDueHsptlzdIndv, 10, 1, 1, 1)</f>
        <v>0</v>
      </c>
      <c r="B606">
        <v>34</v>
      </c>
      <c r="C606" s="155">
        <f ca="1">IF(OFFSET('ALRC Indiv Fund Summary (Print)'!CoPyRfndCrdtDueHsptlzdIndv, 10, 3, 1, 1) = "", 0, OFFSET('ALRC Indiv Fund Summary (Print)'!CoPyRfndCrdtDueHsptlzdIndv, 10, 3, 1, 1))</f>
        <v>0</v>
      </c>
      <c r="D606" s="426">
        <f ca="1">IF(OFFSET('ALRC Indiv Fund Summary (Print)'!CoPyRfndCrdtDueHsptlzdIndv, 10, 2, 1, 1) =DATE(1900,1,0),DATE(1900,1,1),OFFSET('ALRC Indiv Fund Summary (Print)'!CoPyRfndCrdtDueHsptlzdIndv, 10, 2, 1, 1))</f>
        <v>1</v>
      </c>
      <c r="E606" s="180"/>
      <c r="F606" s="180"/>
      <c r="G606" s="180"/>
      <c r="H606" s="180"/>
      <c r="I606" s="187"/>
      <c r="J606" s="180"/>
      <c r="K606" s="180"/>
      <c r="L606" s="188"/>
      <c r="M606" s="188"/>
      <c r="N606" s="188"/>
      <c r="O606" s="188"/>
      <c r="P606" s="189"/>
      <c r="Q606" s="188"/>
      <c r="R606" s="188"/>
      <c r="S606" s="188"/>
      <c r="T606" s="188"/>
      <c r="U606" s="189"/>
    </row>
    <row r="607" spans="1:21">
      <c r="A607" s="154">
        <f ca="1">OFFSET('ALRC Indiv Fund Summary (Print)'!CoPyRfndCrdtDueHsptlzdIndv, 11, 1, 1, 1)</f>
        <v>0</v>
      </c>
      <c r="B607">
        <v>34</v>
      </c>
      <c r="C607" s="155">
        <f ca="1">IF(OFFSET('ALRC Indiv Fund Summary (Print)'!CoPyRfndCrdtDueHsptlzdIndv, 11, 3, 1, 1) = "", 0, OFFSET('ALRC Indiv Fund Summary (Print)'!CoPyRfndCrdtDueHsptlzdIndv, 11, 3, 1, 1))</f>
        <v>0</v>
      </c>
      <c r="D607" s="426">
        <f ca="1">IF(OFFSET('ALRC Indiv Fund Summary (Print)'!CoPyRfndCrdtDueHsptlzdIndv, 11, 2, 1, 1) =DATE(1900,1,0),DATE(1900,1,1),OFFSET('ALRC Indiv Fund Summary (Print)'!CoPyRfndCrdtDueHsptlzdIndv, 11, 2, 1, 1))</f>
        <v>1</v>
      </c>
      <c r="E607" s="180"/>
      <c r="F607" s="180"/>
      <c r="G607" s="180"/>
      <c r="H607" s="180"/>
      <c r="I607" s="187"/>
      <c r="J607" s="180"/>
      <c r="K607" s="180"/>
      <c r="L607" s="188"/>
      <c r="M607" s="188"/>
      <c r="N607" s="188"/>
      <c r="O607" s="188"/>
      <c r="P607" s="189"/>
      <c r="Q607" s="188"/>
      <c r="R607" s="188"/>
      <c r="S607" s="188"/>
      <c r="T607" s="188"/>
      <c r="U607" s="189"/>
    </row>
    <row r="608" spans="1:21">
      <c r="A608" s="154">
        <f ca="1">OFFSET('ALRC Indiv Fund Summary (Print)'!CoPyRfndCrdtDueHsptlzdIndv, 12, 1, 1, 1)</f>
        <v>0</v>
      </c>
      <c r="B608">
        <v>34</v>
      </c>
      <c r="C608" s="155">
        <f ca="1">IF(OFFSET('ALRC Indiv Fund Summary (Print)'!CoPyRfndCrdtDueHsptlzdIndv, 12, 3, 1, 1) = "", 0, OFFSET('ALRC Indiv Fund Summary (Print)'!CoPyRfndCrdtDueHsptlzdIndv, 12, 3, 1, 1))</f>
        <v>0</v>
      </c>
      <c r="D608" s="426">
        <f ca="1">IF(OFFSET('ALRC Indiv Fund Summary (Print)'!CoPyRfndCrdtDueHsptlzdIndv, 12, 2, 1, 1) =DATE(1900,1,0),DATE(1900,1,1),OFFSET('ALRC Indiv Fund Summary (Print)'!CoPyRfndCrdtDueHsptlzdIndv, 12, 2, 1, 1))</f>
        <v>1</v>
      </c>
      <c r="E608" s="180"/>
      <c r="F608" s="180"/>
      <c r="G608" s="180"/>
      <c r="H608" s="180"/>
      <c r="I608" s="187"/>
      <c r="J608" s="180"/>
      <c r="K608" s="180"/>
      <c r="L608" s="188"/>
      <c r="M608" s="188"/>
      <c r="N608" s="188"/>
      <c r="O608" s="188"/>
      <c r="P608" s="189"/>
      <c r="Q608" s="188"/>
      <c r="R608" s="188"/>
      <c r="S608" s="188"/>
      <c r="T608" s="188"/>
      <c r="U608" s="189"/>
    </row>
    <row r="609" spans="1:21">
      <c r="A609" s="154">
        <f ca="1">OFFSET('ALRC Indiv Fund Summary (Print)'!CoPyRfndCrdtDueHsptlzdIndv, 13, 1, 1, 1)</f>
        <v>0</v>
      </c>
      <c r="B609">
        <v>34</v>
      </c>
      <c r="C609" s="155">
        <f ca="1">IF(OFFSET('ALRC Indiv Fund Summary (Print)'!CoPyRfndCrdtDueHsptlzdIndv, 13, 3, 1, 1) = "", 0, OFFSET('ALRC Indiv Fund Summary (Print)'!CoPyRfndCrdtDueHsptlzdIndv, 13, 3, 1, 1))</f>
        <v>0</v>
      </c>
      <c r="D609" s="426">
        <f ca="1">IF(OFFSET('ALRC Indiv Fund Summary (Print)'!CoPyRfndCrdtDueHsptlzdIndv, 13, 2, 1, 1) =DATE(1900,1,0),DATE(1900,1,1),OFFSET('ALRC Indiv Fund Summary (Print)'!CoPyRfndCrdtDueHsptlzdIndv, 13, 2, 1, 1))</f>
        <v>1</v>
      </c>
      <c r="E609" s="180"/>
      <c r="F609" s="180"/>
      <c r="G609" s="180"/>
      <c r="H609" s="180"/>
      <c r="I609" s="187"/>
      <c r="J609" s="180"/>
      <c r="K609" s="180"/>
      <c r="L609" s="188"/>
      <c r="M609" s="188"/>
      <c r="N609" s="188"/>
      <c r="O609" s="188"/>
      <c r="P609" s="189"/>
      <c r="Q609" s="188"/>
      <c r="R609" s="188"/>
      <c r="S609" s="188"/>
      <c r="T609" s="188"/>
      <c r="U609" s="189"/>
    </row>
    <row r="610" spans="1:21">
      <c r="A610" s="154">
        <f ca="1">OFFSET('ALRC Indiv Fund Summary (Print)'!CoPyRfndCrdtDueHsptlzdIndv, 14, 1, 1, 1)</f>
        <v>0</v>
      </c>
      <c r="B610">
        <v>34</v>
      </c>
      <c r="C610" s="155">
        <f ca="1">IF(OFFSET('ALRC Indiv Fund Summary (Print)'!CoPyRfndCrdtDueHsptlzdIndv, 14, 3, 1, 1) = "", 0, OFFSET('ALRC Indiv Fund Summary (Print)'!CoPyRfndCrdtDueHsptlzdIndv, 14, 3, 1, 1))</f>
        <v>0</v>
      </c>
      <c r="D610" s="426">
        <f ca="1">IF(OFFSET('ALRC Indiv Fund Summary (Print)'!CoPyRfndCrdtDueHsptlzdIndv, 14, 2, 1, 1) =DATE(1900,1,0),DATE(1900,1,1),OFFSET('ALRC Indiv Fund Summary (Print)'!CoPyRfndCrdtDueHsptlzdIndv, 14, 2, 1, 1))</f>
        <v>1</v>
      </c>
      <c r="E610" s="180"/>
      <c r="F610" s="180"/>
      <c r="G610" s="180"/>
      <c r="H610" s="180"/>
      <c r="I610" s="187"/>
      <c r="J610" s="180"/>
      <c r="K610" s="180"/>
      <c r="L610" s="188"/>
      <c r="M610" s="188"/>
      <c r="N610" s="188"/>
      <c r="O610" s="188"/>
      <c r="P610" s="189"/>
      <c r="Q610" s="188"/>
      <c r="R610" s="188"/>
      <c r="S610" s="188"/>
      <c r="T610" s="188"/>
      <c r="U610" s="189"/>
    </row>
    <row r="611" spans="1:21">
      <c r="A611" s="154">
        <f ca="1">OFFSET('ALRC Indiv Fund Summary (Print)'!CoPyRfndCrdtDueHsptlzdIndv, 0, 6, 1, 1)</f>
        <v>0</v>
      </c>
      <c r="B611">
        <v>34</v>
      </c>
      <c r="C611" s="155">
        <f ca="1">IF(OFFSET('ALRC Indiv Fund Summary (Print)'!CoPyRfndCrdtDueHsptlzdIndv, 0, 8, 1, 1) = "", 0, OFFSET('ALRC Indiv Fund Summary (Print)'!CoPyRfndCrdtDueHsptlzdIndv, 0, 8, 1, 1))</f>
        <v>0</v>
      </c>
      <c r="D611" s="426">
        <f ca="1">IF(OFFSET('ALRC Indiv Fund Summary (Print)'!CoPyRfndCrdtDueHsptlzdIndv, 0, 7, 1, 1) =DATE(1900,1,0),DATE(1900,1,1),OFFSET('ALRC Indiv Fund Summary (Print)'!CoPyRfndCrdtDueHsptlzdIndv, 0, 7, 1, 1))</f>
        <v>1</v>
      </c>
      <c r="E611" s="180"/>
      <c r="F611" s="180"/>
      <c r="G611" s="180"/>
      <c r="H611" s="180"/>
      <c r="I611" s="187"/>
      <c r="J611" s="180"/>
      <c r="K611" s="180"/>
      <c r="L611" s="188"/>
      <c r="M611" s="188"/>
      <c r="N611" s="188"/>
      <c r="O611" s="188"/>
      <c r="P611" s="189"/>
      <c r="Q611" s="188"/>
      <c r="R611" s="188"/>
      <c r="S611" s="188"/>
      <c r="T611" s="188"/>
      <c r="U611" s="189"/>
    </row>
    <row r="612" spans="1:21">
      <c r="A612" s="154">
        <f ca="1">OFFSET('ALRC Indiv Fund Summary (Print)'!CoPyRfndCrdtDueHsptlzdIndv, 1, 6, 1, 1)</f>
        <v>0</v>
      </c>
      <c r="B612">
        <v>34</v>
      </c>
      <c r="C612" s="155">
        <f ca="1">IF(OFFSET('ALRC Indiv Fund Summary (Print)'!CoPyRfndCrdtDueHsptlzdIndv, 1, 8, 1, 1) = "", 0, OFFSET('ALRC Indiv Fund Summary (Print)'!CoPyRfndCrdtDueHsptlzdIndv, 1, 8, 1, 1))</f>
        <v>0</v>
      </c>
      <c r="D612" s="426">
        <f ca="1">IF(OFFSET('ALRC Indiv Fund Summary (Print)'!CoPyRfndCrdtDueHsptlzdIndv, 1, 7, 1, 1) =DATE(1900,1,0),DATE(1900,1,1),OFFSET('ALRC Indiv Fund Summary (Print)'!CoPyRfndCrdtDueHsptlzdIndv, 1, 7, 1, 1))</f>
        <v>1</v>
      </c>
      <c r="E612" s="180"/>
      <c r="F612" s="180"/>
      <c r="G612" s="180"/>
      <c r="H612" s="180"/>
      <c r="I612" s="187"/>
      <c r="J612" s="180"/>
      <c r="K612" s="180"/>
      <c r="L612" s="188"/>
      <c r="M612" s="188"/>
      <c r="N612" s="188"/>
      <c r="O612" s="188"/>
      <c r="P612" s="189"/>
      <c r="Q612" s="188"/>
      <c r="R612" s="188"/>
      <c r="S612" s="188"/>
      <c r="T612" s="188"/>
      <c r="U612" s="189"/>
    </row>
    <row r="613" spans="1:21">
      <c r="A613" s="154">
        <f ca="1">OFFSET('ALRC Indiv Fund Summary (Print)'!CoPyRfndCrdtDueHsptlzdIndv, 2, 6, 1, 1)</f>
        <v>0</v>
      </c>
      <c r="B613">
        <v>34</v>
      </c>
      <c r="C613" s="155">
        <f ca="1">IF(OFFSET('ALRC Indiv Fund Summary (Print)'!CoPyRfndCrdtDueHsptlzdIndv, 2, 8, 1, 1) = "", 0, OFFSET('ALRC Indiv Fund Summary (Print)'!CoPyRfndCrdtDueHsptlzdIndv, 2, 8, 1, 1))</f>
        <v>0</v>
      </c>
      <c r="D613" s="426">
        <f ca="1">IF(OFFSET('ALRC Indiv Fund Summary (Print)'!CoPyRfndCrdtDueHsptlzdIndv, 2, 7, 1, 1) =DATE(1900,1,0),DATE(1900,1,1),OFFSET('ALRC Indiv Fund Summary (Print)'!CoPyRfndCrdtDueHsptlzdIndv, 2, 7, 1, 1))</f>
        <v>1</v>
      </c>
      <c r="E613" s="180"/>
      <c r="F613" s="180"/>
      <c r="G613" s="180"/>
      <c r="H613" s="180"/>
      <c r="I613" s="187"/>
      <c r="J613" s="180"/>
      <c r="K613" s="180"/>
      <c r="L613" s="188"/>
      <c r="M613" s="188"/>
      <c r="N613" s="188"/>
      <c r="O613" s="188"/>
      <c r="P613" s="189"/>
      <c r="Q613" s="188"/>
      <c r="R613" s="188"/>
      <c r="S613" s="188"/>
      <c r="T613" s="188"/>
      <c r="U613" s="189"/>
    </row>
    <row r="614" spans="1:21">
      <c r="A614" s="154">
        <f ca="1">OFFSET('ALRC Indiv Fund Summary (Print)'!CoPyRfndCrdtDueHsptlzdIndv, 3, 6, 1, 1)</f>
        <v>0</v>
      </c>
      <c r="B614">
        <v>34</v>
      </c>
      <c r="C614" s="155">
        <f ca="1">IF(OFFSET('ALRC Indiv Fund Summary (Print)'!CoPyRfndCrdtDueHsptlzdIndv, 3, 8, 1, 1) = "", 0, OFFSET('ALRC Indiv Fund Summary (Print)'!CoPyRfndCrdtDueHsptlzdIndv, 3, 8, 1, 1))</f>
        <v>0</v>
      </c>
      <c r="D614" s="426">
        <f ca="1">IF(OFFSET('ALRC Indiv Fund Summary (Print)'!CoPyRfndCrdtDueHsptlzdIndv, 3, 7, 1, 1) =DATE(1900,1,0),DATE(1900,1,1),OFFSET('ALRC Indiv Fund Summary (Print)'!CoPyRfndCrdtDueHsptlzdIndv, 3, 7, 1, 1))</f>
        <v>1</v>
      </c>
      <c r="E614" s="180"/>
      <c r="F614" s="180"/>
      <c r="G614" s="180"/>
      <c r="H614" s="180"/>
      <c r="I614" s="187"/>
      <c r="J614" s="180"/>
      <c r="K614" s="180"/>
      <c r="L614" s="188"/>
      <c r="M614" s="188"/>
      <c r="N614" s="188"/>
      <c r="O614" s="188"/>
      <c r="P614" s="189"/>
      <c r="Q614" s="188"/>
      <c r="R614" s="188"/>
      <c r="S614" s="188"/>
      <c r="T614" s="188"/>
      <c r="U614" s="189"/>
    </row>
    <row r="615" spans="1:21">
      <c r="A615" s="154">
        <f ca="1">OFFSET('ALRC Indiv Fund Summary (Print)'!CoPyRfndCrdtDueHsptlzdIndv, 4, 6, 1, 1)</f>
        <v>0</v>
      </c>
      <c r="B615">
        <v>34</v>
      </c>
      <c r="C615" s="155">
        <f ca="1">IF(OFFSET('ALRC Indiv Fund Summary (Print)'!CoPyRfndCrdtDueHsptlzdIndv, 4, 8, 1, 1) = "", 0, OFFSET('ALRC Indiv Fund Summary (Print)'!CoPyRfndCrdtDueHsptlzdIndv, 4, 8, 1, 1))</f>
        <v>0</v>
      </c>
      <c r="D615" s="426">
        <f ca="1">IF(OFFSET('ALRC Indiv Fund Summary (Print)'!CoPyRfndCrdtDueHsptlzdIndv, 4, 7, 1, 1) =DATE(1900,1,0),DATE(1900,1,1),OFFSET('ALRC Indiv Fund Summary (Print)'!CoPyRfndCrdtDueHsptlzdIndv, 4, 7, 1, 1))</f>
        <v>1</v>
      </c>
      <c r="E615" s="180"/>
      <c r="F615" s="180"/>
      <c r="G615" s="180"/>
      <c r="H615" s="180"/>
      <c r="I615" s="187"/>
      <c r="J615" s="180"/>
      <c r="K615" s="180"/>
      <c r="L615" s="188"/>
      <c r="M615" s="188"/>
      <c r="N615" s="188"/>
      <c r="O615" s="188"/>
      <c r="P615" s="189"/>
      <c r="Q615" s="188"/>
      <c r="R615" s="188"/>
      <c r="S615" s="188"/>
      <c r="T615" s="188"/>
      <c r="U615" s="189"/>
    </row>
    <row r="616" spans="1:21">
      <c r="A616" s="154">
        <f ca="1">OFFSET('ALRC Indiv Fund Summary (Print)'!CoPyRfndCrdtDueHsptlzdIndv, 5, 6, 1, 1)</f>
        <v>0</v>
      </c>
      <c r="B616">
        <v>34</v>
      </c>
      <c r="C616" s="155">
        <f ca="1">IF(OFFSET('ALRC Indiv Fund Summary (Print)'!CoPyRfndCrdtDueHsptlzdIndv, 5, 8, 1, 1) = "", 0, OFFSET('ALRC Indiv Fund Summary (Print)'!CoPyRfndCrdtDueHsptlzdIndv, 5, 8, 1, 1))</f>
        <v>0</v>
      </c>
      <c r="D616" s="426">
        <f ca="1">IF(OFFSET('ALRC Indiv Fund Summary (Print)'!CoPyRfndCrdtDueHsptlzdIndv, 5, 7, 1, 1) =DATE(1900,1,0),DATE(1900,1,1),OFFSET('ALRC Indiv Fund Summary (Print)'!CoPyRfndCrdtDueHsptlzdIndv, 5, 7, 1, 1))</f>
        <v>1</v>
      </c>
      <c r="E616" s="180"/>
      <c r="F616" s="180"/>
      <c r="G616" s="180"/>
      <c r="H616" s="180"/>
      <c r="I616" s="187"/>
      <c r="J616" s="180"/>
      <c r="K616" s="180"/>
      <c r="L616" s="188"/>
      <c r="M616" s="188"/>
      <c r="N616" s="188"/>
      <c r="O616" s="188"/>
      <c r="P616" s="189"/>
      <c r="Q616" s="188"/>
      <c r="R616" s="188"/>
      <c r="S616" s="188"/>
      <c r="T616" s="188"/>
      <c r="U616" s="189"/>
    </row>
    <row r="617" spans="1:21">
      <c r="A617" s="154">
        <f ca="1">OFFSET('ALRC Indiv Fund Summary (Print)'!CoPyRfndCrdtDueHsptlzdIndv, 6, 6, 1, 1)</f>
        <v>0</v>
      </c>
      <c r="B617">
        <v>34</v>
      </c>
      <c r="C617" s="155">
        <f ca="1">IF(OFFSET('ALRC Indiv Fund Summary (Print)'!CoPyRfndCrdtDueHsptlzdIndv, 6, 8, 1, 1) = "", 0, OFFSET('ALRC Indiv Fund Summary (Print)'!CoPyRfndCrdtDueHsptlzdIndv, 6, 8, 1, 1))</f>
        <v>0</v>
      </c>
      <c r="D617" s="426">
        <f ca="1">IF(OFFSET('ALRC Indiv Fund Summary (Print)'!CoPyRfndCrdtDueHsptlzdIndv, 6, 7, 1, 1) =DATE(1900,1,0),DATE(1900,1,1),OFFSET('ALRC Indiv Fund Summary (Print)'!CoPyRfndCrdtDueHsptlzdIndv, 6, 7, 1, 1))</f>
        <v>1</v>
      </c>
      <c r="E617" s="180"/>
      <c r="F617" s="180"/>
      <c r="G617" s="180"/>
      <c r="H617" s="180"/>
      <c r="I617" s="187"/>
      <c r="J617" s="180"/>
      <c r="K617" s="180"/>
      <c r="L617" s="188"/>
      <c r="M617" s="188"/>
      <c r="N617" s="188"/>
      <c r="O617" s="188"/>
      <c r="P617" s="189"/>
      <c r="Q617" s="188"/>
      <c r="R617" s="188"/>
      <c r="S617" s="188"/>
      <c r="T617" s="188"/>
      <c r="U617" s="189"/>
    </row>
    <row r="618" spans="1:21">
      <c r="A618" s="154">
        <f ca="1">OFFSET('ALRC Indiv Fund Summary (Print)'!CoPyRfndCrdtDueHsptlzdIndv, 7, 6, 1, 1)</f>
        <v>0</v>
      </c>
      <c r="B618">
        <v>34</v>
      </c>
      <c r="C618" s="155">
        <f ca="1">IF(OFFSET('ALRC Indiv Fund Summary (Print)'!CoPyRfndCrdtDueHsptlzdIndv, 7, 8, 1, 1) = "", 0, OFFSET('ALRC Indiv Fund Summary (Print)'!CoPyRfndCrdtDueHsptlzdIndv, 7, 8, 1, 1))</f>
        <v>0</v>
      </c>
      <c r="D618" s="426">
        <f ca="1">IF(OFFSET('ALRC Indiv Fund Summary (Print)'!CoPyRfndCrdtDueHsptlzdIndv, 7, 7, 1, 1) =DATE(1900,1,0),DATE(1900,1,1),OFFSET('ALRC Indiv Fund Summary (Print)'!CoPyRfndCrdtDueHsptlzdIndv, 7, 7, 1, 1))</f>
        <v>1</v>
      </c>
      <c r="E618" s="180"/>
      <c r="F618" s="180"/>
      <c r="G618" s="180"/>
      <c r="H618" s="180"/>
      <c r="I618" s="187"/>
      <c r="J618" s="180"/>
      <c r="K618" s="180"/>
      <c r="L618" s="188"/>
      <c r="M618" s="188"/>
      <c r="N618" s="188"/>
      <c r="O618" s="188"/>
      <c r="P618" s="189"/>
      <c r="Q618" s="188"/>
      <c r="R618" s="188"/>
      <c r="S618" s="188"/>
      <c r="T618" s="188"/>
      <c r="U618" s="189"/>
    </row>
    <row r="619" spans="1:21">
      <c r="A619" s="154">
        <f ca="1">OFFSET('ALRC Indiv Fund Summary (Print)'!CoPyRfndCrdtDueHsptlzdIndv, 8, 6, 1, 1)</f>
        <v>0</v>
      </c>
      <c r="B619">
        <v>34</v>
      </c>
      <c r="C619" s="155">
        <f ca="1">IF(OFFSET('ALRC Indiv Fund Summary (Print)'!CoPyRfndCrdtDueHsptlzdIndv, 8, 8, 1, 1) = "", 0, OFFSET('ALRC Indiv Fund Summary (Print)'!CoPyRfndCrdtDueHsptlzdIndv, 8, 8, 1, 1))</f>
        <v>0</v>
      </c>
      <c r="D619" s="426">
        <f ca="1">IF(OFFSET('ALRC Indiv Fund Summary (Print)'!CoPyRfndCrdtDueHsptlzdIndv, 8, 7, 1, 1) =DATE(1900,1,0),DATE(1900,1,1),OFFSET('ALRC Indiv Fund Summary (Print)'!CoPyRfndCrdtDueHsptlzdIndv, 8, 7, 1, 1))</f>
        <v>1</v>
      </c>
      <c r="E619" s="180"/>
      <c r="F619" s="180"/>
      <c r="G619" s="180"/>
      <c r="H619" s="180"/>
      <c r="I619" s="187"/>
      <c r="J619" s="180"/>
      <c r="K619" s="180"/>
      <c r="L619" s="188"/>
      <c r="M619" s="188"/>
      <c r="N619" s="188"/>
      <c r="O619" s="188"/>
      <c r="P619" s="189"/>
      <c r="Q619" s="188"/>
      <c r="R619" s="188"/>
      <c r="S619" s="188"/>
      <c r="T619" s="188"/>
      <c r="U619" s="189"/>
    </row>
    <row r="620" spans="1:21">
      <c r="A620" s="154">
        <f ca="1">OFFSET('ALRC Indiv Fund Summary (Print)'!CoPyRfndCrdtDueHsptlzdIndv, 9, 6, 1, 1)</f>
        <v>0</v>
      </c>
      <c r="B620">
        <v>34</v>
      </c>
      <c r="C620" s="155">
        <f ca="1">IF(OFFSET('ALRC Indiv Fund Summary (Print)'!CoPyRfndCrdtDueHsptlzdIndv, 9, 8, 1, 1) = "", 0, OFFSET('ALRC Indiv Fund Summary (Print)'!CoPyRfndCrdtDueHsptlzdIndv, 9, 8, 1, 1))</f>
        <v>0</v>
      </c>
      <c r="D620" s="426">
        <f ca="1">IF(OFFSET('ALRC Indiv Fund Summary (Print)'!CoPyRfndCrdtDueHsptlzdIndv, 9, 7, 1, 1) =DATE(1900,1,0),DATE(1900,1,1),OFFSET('ALRC Indiv Fund Summary (Print)'!CoPyRfndCrdtDueHsptlzdIndv, 9, 7, 1, 1))</f>
        <v>1</v>
      </c>
      <c r="E620" s="180"/>
      <c r="F620" s="180"/>
      <c r="G620" s="180"/>
      <c r="H620" s="180"/>
      <c r="I620" s="187"/>
      <c r="J620" s="180"/>
      <c r="K620" s="180"/>
      <c r="L620" s="188"/>
      <c r="M620" s="188"/>
      <c r="N620" s="188"/>
      <c r="O620" s="188"/>
      <c r="P620" s="189"/>
      <c r="Q620" s="188"/>
      <c r="R620" s="188"/>
      <c r="S620" s="188"/>
      <c r="T620" s="188"/>
      <c r="U620" s="189"/>
    </row>
    <row r="621" spans="1:21">
      <c r="A621" s="154">
        <f ca="1">OFFSET('ALRC Indiv Fund Summary (Print)'!CoPyRfndCrdtDueHsptlzdIndv, 10, 6, 1, 1)</f>
        <v>0</v>
      </c>
      <c r="B621">
        <v>34</v>
      </c>
      <c r="C621" s="155">
        <f ca="1">IF(OFFSET('ALRC Indiv Fund Summary (Print)'!CoPyRfndCrdtDueHsptlzdIndv, 10, 8, 1, 1) = "", 0, OFFSET('ALRC Indiv Fund Summary (Print)'!CoPyRfndCrdtDueHsptlzdIndv, 10, 8, 1, 1))</f>
        <v>0</v>
      </c>
      <c r="D621" s="426">
        <f ca="1">IF(OFFSET('ALRC Indiv Fund Summary (Print)'!CoPyRfndCrdtDueHsptlzdIndv, 10, 7, 1, 1) =DATE(1900,1,0),DATE(1900,1,1),OFFSET('ALRC Indiv Fund Summary (Print)'!CoPyRfndCrdtDueHsptlzdIndv, 10, 7, 1, 1))</f>
        <v>1</v>
      </c>
      <c r="E621" s="180"/>
      <c r="F621" s="180"/>
      <c r="G621" s="180"/>
      <c r="H621" s="180"/>
      <c r="I621" s="187"/>
      <c r="J621" s="180"/>
      <c r="K621" s="180"/>
      <c r="L621" s="188"/>
      <c r="M621" s="188"/>
      <c r="N621" s="188"/>
      <c r="O621" s="188"/>
      <c r="P621" s="189"/>
      <c r="Q621" s="188"/>
      <c r="R621" s="188"/>
      <c r="S621" s="188"/>
      <c r="T621" s="188"/>
      <c r="U621" s="189"/>
    </row>
    <row r="622" spans="1:21">
      <c r="A622" s="154">
        <f ca="1">OFFSET('ALRC Indiv Fund Summary (Print)'!CoPyRfndCrdtDueHsptlzdIndv, 11, 6, 1, 1)</f>
        <v>0</v>
      </c>
      <c r="B622">
        <v>34</v>
      </c>
      <c r="C622" s="155">
        <f ca="1">IF(OFFSET('ALRC Indiv Fund Summary (Print)'!CoPyRfndCrdtDueHsptlzdIndv, 11, 8, 1, 1) = "", 0, OFFSET('ALRC Indiv Fund Summary (Print)'!CoPyRfndCrdtDueHsptlzdIndv, 11, 8, 1, 1))</f>
        <v>0</v>
      </c>
      <c r="D622" s="426">
        <f ca="1">IF(OFFSET('ALRC Indiv Fund Summary (Print)'!CoPyRfndCrdtDueHsptlzdIndv, 11, 7, 1, 1) =DATE(1900,1,0),DATE(1900,1,1),OFFSET('ALRC Indiv Fund Summary (Print)'!CoPyRfndCrdtDueHsptlzdIndv, 11, 7, 1, 1))</f>
        <v>1</v>
      </c>
      <c r="E622" s="180"/>
      <c r="F622" s="180"/>
      <c r="G622" s="180"/>
      <c r="H622" s="180"/>
      <c r="I622" s="187"/>
      <c r="J622" s="180"/>
      <c r="K622" s="180"/>
      <c r="L622" s="188"/>
      <c r="M622" s="188"/>
      <c r="N622" s="188"/>
      <c r="O622" s="188"/>
      <c r="P622" s="189"/>
      <c r="Q622" s="188"/>
      <c r="R622" s="188"/>
      <c r="S622" s="188"/>
      <c r="T622" s="188"/>
      <c r="U622" s="189"/>
    </row>
    <row r="623" spans="1:21">
      <c r="A623" s="154">
        <f ca="1">OFFSET('ALRC Indiv Fund Summary (Print)'!CoPyRfndCrdtDueHsptlzdIndv, 12, 6, 1, 1)</f>
        <v>0</v>
      </c>
      <c r="B623">
        <v>34</v>
      </c>
      <c r="C623" s="155">
        <f ca="1">IF(OFFSET('ALRC Indiv Fund Summary (Print)'!CoPyRfndCrdtDueHsptlzdIndv, 12, 8, 1, 1) = "", 0, OFFSET('ALRC Indiv Fund Summary (Print)'!CoPyRfndCrdtDueHsptlzdIndv, 12, 8, 1, 1))</f>
        <v>0</v>
      </c>
      <c r="D623" s="426">
        <f ca="1">IF(OFFSET('ALRC Indiv Fund Summary (Print)'!CoPyRfndCrdtDueHsptlzdIndv, 12, 7, 1, 1) =DATE(1900,1,0),DATE(1900,1,1),OFFSET('ALRC Indiv Fund Summary (Print)'!CoPyRfndCrdtDueHsptlzdIndv, 12, 7, 1, 1))</f>
        <v>1</v>
      </c>
      <c r="E623" s="180"/>
      <c r="F623" s="180"/>
      <c r="G623" s="180"/>
      <c r="H623" s="180"/>
      <c r="I623" s="187"/>
      <c r="J623" s="180"/>
      <c r="K623" s="180"/>
      <c r="L623" s="188"/>
      <c r="M623" s="188"/>
      <c r="N623" s="188"/>
      <c r="O623" s="188"/>
      <c r="P623" s="189"/>
      <c r="Q623" s="188"/>
      <c r="R623" s="188"/>
      <c r="S623" s="188"/>
      <c r="T623" s="188"/>
      <c r="U623" s="189"/>
    </row>
    <row r="624" spans="1:21">
      <c r="A624" s="154">
        <f ca="1">OFFSET('ALRC Indiv Fund Summary (Print)'!CoPyRfndCrdtDueHsptlzdIndv, 13, 6, 1, 1)</f>
        <v>0</v>
      </c>
      <c r="B624">
        <v>34</v>
      </c>
      <c r="C624" s="155">
        <f ca="1">IF(OFFSET('ALRC Indiv Fund Summary (Print)'!CoPyRfndCrdtDueHsptlzdIndv, 13, 8, 1, 1) = "", 0, OFFSET('ALRC Indiv Fund Summary (Print)'!CoPyRfndCrdtDueHsptlzdIndv, 13, 8, 1, 1))</f>
        <v>0</v>
      </c>
      <c r="D624" s="426">
        <f ca="1">IF(OFFSET('ALRC Indiv Fund Summary (Print)'!CoPyRfndCrdtDueHsptlzdIndv, 13, 7, 1, 1) =DATE(1900,1,0),DATE(1900,1,1),OFFSET('ALRC Indiv Fund Summary (Print)'!CoPyRfndCrdtDueHsptlzdIndv, 13, 7, 1, 1))</f>
        <v>1</v>
      </c>
      <c r="E624" s="180"/>
      <c r="F624" s="180"/>
      <c r="G624" s="180"/>
      <c r="H624" s="180"/>
      <c r="I624" s="187"/>
      <c r="J624" s="180"/>
      <c r="K624" s="180"/>
      <c r="L624" s="188"/>
      <c r="M624" s="188"/>
      <c r="N624" s="188"/>
      <c r="O624" s="188"/>
      <c r="P624" s="189"/>
      <c r="Q624" s="188"/>
      <c r="R624" s="188"/>
      <c r="S624" s="188"/>
      <c r="T624" s="188"/>
      <c r="U624" s="189"/>
    </row>
    <row r="625" spans="1:37" ht="15" thickBot="1">
      <c r="A625" s="300">
        <f ca="1">OFFSET('ALRC Indiv Fund Summary (Print)'!CoPyRfndCrdtDueHsptlzdIndv, 14, 6, 1, 1)</f>
        <v>0</v>
      </c>
      <c r="B625" s="201">
        <v>34</v>
      </c>
      <c r="C625" s="174">
        <f ca="1">IF(OFFSET('ALRC Indiv Fund Summary (Print)'!CoPyRfndCrdtDueHsptlzdIndv, 14, 8, 1, 1) = "", 0, OFFSET('ALRC Indiv Fund Summary (Print)'!CoPyRfndCrdtDueHsptlzdIndv, 14, 8, 1, 1))</f>
        <v>0</v>
      </c>
      <c r="D625" s="427">
        <f ca="1">IF(OFFSET('ALRC Indiv Fund Summary (Print)'!CoPyRfndCrdtDueHsptlzdIndv, 14, 7, 1, 1) =DATE(1900,1,0),DATE(1900,1,1),OFFSET('ALRC Indiv Fund Summary (Print)'!CoPyRfndCrdtDueHsptlzdIndv, 14, 7, 1, 1))</f>
        <v>1</v>
      </c>
      <c r="E625" s="180"/>
      <c r="F625" s="180"/>
      <c r="G625" s="180"/>
      <c r="H625" s="180"/>
      <c r="I625" s="187"/>
      <c r="J625" s="180"/>
      <c r="K625" s="180"/>
      <c r="L625" s="188"/>
      <c r="M625" s="188"/>
      <c r="N625" s="188"/>
      <c r="O625" s="188"/>
      <c r="P625" s="189"/>
      <c r="Q625" s="188"/>
      <c r="R625" s="188"/>
      <c r="S625" s="188"/>
      <c r="T625" s="188"/>
      <c r="U625" s="189"/>
    </row>
    <row r="626" spans="1:37" ht="15" thickBot="1">
      <c r="A626" s="206"/>
      <c r="B626" s="180"/>
      <c r="C626" s="180"/>
      <c r="D626" s="180"/>
      <c r="E626" s="180"/>
      <c r="F626" s="180"/>
      <c r="G626" s="180"/>
      <c r="H626" s="180"/>
      <c r="I626" s="187"/>
      <c r="J626" s="180"/>
      <c r="K626" s="180"/>
      <c r="L626" s="188"/>
      <c r="M626" s="188"/>
      <c r="N626" s="188"/>
      <c r="O626" s="188"/>
      <c r="P626" s="189"/>
      <c r="Q626" s="188"/>
      <c r="R626" s="188"/>
      <c r="S626" s="188"/>
      <c r="T626" s="188"/>
      <c r="U626" s="189"/>
      <c r="AK626" s="156"/>
    </row>
    <row r="627" spans="1:37" ht="15" thickBot="1">
      <c r="A627" s="180" t="s">
        <v>1281</v>
      </c>
      <c r="B627" s="180"/>
      <c r="C627" s="180"/>
      <c r="D627" s="180"/>
      <c r="E627" s="180"/>
      <c r="F627" s="180"/>
      <c r="G627" s="180"/>
      <c r="H627" s="180"/>
      <c r="I627" s="187"/>
      <c r="J627" s="180"/>
      <c r="K627" s="180"/>
      <c r="L627" s="188"/>
      <c r="M627" s="188"/>
      <c r="N627" s="188"/>
      <c r="O627" s="188"/>
      <c r="P627" s="189"/>
      <c r="Q627" s="188"/>
      <c r="R627" s="188"/>
      <c r="S627" s="188"/>
      <c r="T627" s="188"/>
      <c r="U627" s="189"/>
    </row>
    <row r="628" spans="1:37">
      <c r="A628" s="181" t="s">
        <v>1003</v>
      </c>
      <c r="B628" s="182" t="s">
        <v>1005</v>
      </c>
      <c r="C628" s="182" t="s">
        <v>1017</v>
      </c>
      <c r="D628" s="183" t="s">
        <v>1019</v>
      </c>
      <c r="E628" s="180"/>
      <c r="F628" s="180"/>
      <c r="G628" s="180"/>
      <c r="H628" s="180"/>
      <c r="I628" s="187"/>
      <c r="J628" s="180"/>
      <c r="K628" s="180"/>
      <c r="L628" s="188"/>
      <c r="M628" s="188"/>
      <c r="N628" s="188"/>
      <c r="O628" s="188"/>
      <c r="P628" s="189"/>
      <c r="Q628" s="188"/>
      <c r="R628" s="188"/>
      <c r="S628" s="188"/>
      <c r="T628" s="188"/>
      <c r="U628" s="189"/>
    </row>
    <row r="629" spans="1:37">
      <c r="A629" s="154">
        <f ca="1">OFFSET('ALRC Indiv Fund Summary (Print)'!UnsdRmBdPrrtdCoPyDueDcsdDschdIndv, 0, 1, 1, 1)</f>
        <v>0</v>
      </c>
      <c r="B629">
        <f ca="1">OFFSET('ALRC Indiv Fund Summary (Print)'!UnsdRmBdPrrtdCoPyDueDcsdDschdIndv, 0, 0, 1, 1)</f>
        <v>0</v>
      </c>
      <c r="C629" s="157">
        <f ca="1">IF(OFFSET('ALRC Indiv Fund Summary (Print)'!UnsdRmBdPrrtdCoPyDueDcsdDschdIndv, 0, 2, 1, 1) =DATE(1900,1,0),DATE(1900,1,1),OFFSET('ALRC Indiv Fund Summary (Print)'!UnsdRmBdPrrtdCoPyDueDcsdDschdIndv, 0, 2, 1, 1))</f>
        <v>1</v>
      </c>
      <c r="D629" s="185">
        <f ca="1">IF(OFFSET('ALRC Indiv Fund Summary (Print)'!UnsdRmBdPrrtdCoPyDueDcsdDschdIndv, 0, 3, 1, 1) = "", 0, OFFSET('ALRC Indiv Fund Summary (Print)'!UnsdRmBdPrrtdCoPyDueDcsdDschdIndv, 0, 3, 1, 1))</f>
        <v>0</v>
      </c>
      <c r="E629" s="180"/>
      <c r="F629" s="180"/>
      <c r="G629" s="180"/>
      <c r="H629" s="180"/>
      <c r="I629" s="187"/>
      <c r="J629" s="180"/>
      <c r="K629" s="180"/>
      <c r="L629" s="188"/>
      <c r="M629" s="188"/>
      <c r="N629" s="188"/>
      <c r="O629" s="188"/>
      <c r="P629" s="189"/>
      <c r="Q629" s="188"/>
      <c r="R629" s="188"/>
      <c r="S629" s="188"/>
      <c r="T629" s="188"/>
      <c r="U629" s="189"/>
    </row>
    <row r="630" spans="1:37">
      <c r="A630" s="154">
        <f ca="1">OFFSET('ALRC Indiv Fund Summary (Print)'!UnsdRmBdPrrtdCoPyDueDcsdDschdIndv, 1, 1, 1, 1)</f>
        <v>0</v>
      </c>
      <c r="B630">
        <f ca="1">OFFSET('ALRC Indiv Fund Summary (Print)'!UnsdRmBdPrrtdCoPyDueDcsdDschdIndv, 1, 0, 1, 1)</f>
        <v>0</v>
      </c>
      <c r="C630" s="157">
        <f ca="1">IF(OFFSET('ALRC Indiv Fund Summary (Print)'!UnsdRmBdPrrtdCoPyDueDcsdDschdIndv, 1, 2, 1, 1) =DATE(1900,1,0),DATE(1900,1,1),OFFSET('ALRC Indiv Fund Summary (Print)'!UnsdRmBdPrrtdCoPyDueDcsdDschdIndv, 1, 2, 1, 1))</f>
        <v>1</v>
      </c>
      <c r="D630" s="185">
        <f ca="1">IF(OFFSET('ALRC Indiv Fund Summary (Print)'!UnsdRmBdPrrtdCoPyDueDcsdDschdIndv, 1, 3, 1, 1) = "", 0, OFFSET('ALRC Indiv Fund Summary (Print)'!UnsdRmBdPrrtdCoPyDueDcsdDschdIndv, 1, 3, 1, 1))</f>
        <v>0</v>
      </c>
      <c r="E630" s="180"/>
      <c r="F630" s="180"/>
      <c r="G630" s="180"/>
      <c r="H630" s="180"/>
      <c r="I630" s="187"/>
      <c r="J630" s="180"/>
      <c r="K630" s="180"/>
      <c r="L630" s="188"/>
      <c r="M630" s="188"/>
      <c r="N630" s="188"/>
      <c r="O630" s="188"/>
      <c r="P630" s="189"/>
      <c r="Q630" s="188"/>
      <c r="R630" s="188"/>
      <c r="S630" s="188"/>
      <c r="T630" s="188"/>
      <c r="U630" s="189"/>
    </row>
    <row r="631" spans="1:37">
      <c r="A631" s="154">
        <f ca="1">OFFSET('ALRC Indiv Fund Summary (Print)'!UnsdRmBdPrrtdCoPyDueDcsdDschdIndv, 2, 1, 1, 1)</f>
        <v>0</v>
      </c>
      <c r="B631">
        <f ca="1">OFFSET('ALRC Indiv Fund Summary (Print)'!UnsdRmBdPrrtdCoPyDueDcsdDschdIndv, 2, 0, 1, 1)</f>
        <v>0</v>
      </c>
      <c r="C631" s="157">
        <f ca="1">IF(OFFSET('ALRC Indiv Fund Summary (Print)'!UnsdRmBdPrrtdCoPyDueDcsdDschdIndv, 2, 2, 1, 1) =DATE(1900,1,0),DATE(1900,1,1),OFFSET('ALRC Indiv Fund Summary (Print)'!UnsdRmBdPrrtdCoPyDueDcsdDschdIndv, 2, 2, 1, 1))</f>
        <v>1</v>
      </c>
      <c r="D631" s="185">
        <f ca="1">IF(OFFSET('ALRC Indiv Fund Summary (Print)'!UnsdRmBdPrrtdCoPyDueDcsdDschdIndv, 2, 3, 1, 1) = "", 0, OFFSET('ALRC Indiv Fund Summary (Print)'!UnsdRmBdPrrtdCoPyDueDcsdDschdIndv, 2, 3, 1, 1))</f>
        <v>0</v>
      </c>
      <c r="E631" s="180"/>
      <c r="F631" s="180"/>
      <c r="G631" s="180"/>
      <c r="H631" s="180"/>
      <c r="I631" s="187"/>
      <c r="J631" s="180"/>
      <c r="K631" s="180"/>
      <c r="L631" s="188"/>
      <c r="M631" s="188"/>
      <c r="N631" s="188"/>
      <c r="O631" s="188"/>
      <c r="P631" s="189"/>
      <c r="Q631" s="188"/>
      <c r="R631" s="188"/>
      <c r="S631" s="188"/>
      <c r="T631" s="188"/>
      <c r="U631" s="189"/>
    </row>
    <row r="632" spans="1:37">
      <c r="A632" s="154">
        <f ca="1">OFFSET('ALRC Indiv Fund Summary (Print)'!UnsdRmBdPrrtdCoPyDueDcsdDschdIndv, 3, 1, 1, 1)</f>
        <v>0</v>
      </c>
      <c r="B632">
        <f ca="1">OFFSET('ALRC Indiv Fund Summary (Print)'!UnsdRmBdPrrtdCoPyDueDcsdDschdIndv, 3, 0, 1, 1)</f>
        <v>0</v>
      </c>
      <c r="C632" s="157">
        <f ca="1">IF(OFFSET('ALRC Indiv Fund Summary (Print)'!UnsdRmBdPrrtdCoPyDueDcsdDschdIndv, 3, 2, 1, 1) =DATE(1900,1,0),DATE(1900,1,1),OFFSET('ALRC Indiv Fund Summary (Print)'!UnsdRmBdPrrtdCoPyDueDcsdDschdIndv, 3, 2, 1, 1))</f>
        <v>1</v>
      </c>
      <c r="D632" s="185">
        <f ca="1">IF(OFFSET('ALRC Indiv Fund Summary (Print)'!UnsdRmBdPrrtdCoPyDueDcsdDschdIndv, 3, 3, 1, 1) = "", 0, OFFSET('ALRC Indiv Fund Summary (Print)'!UnsdRmBdPrrtdCoPyDueDcsdDschdIndv, 3, 3, 1, 1))</f>
        <v>0</v>
      </c>
      <c r="E632" s="180"/>
      <c r="F632" s="180"/>
      <c r="G632" s="180"/>
      <c r="H632" s="180"/>
      <c r="I632" s="187"/>
      <c r="J632" s="180"/>
      <c r="K632" s="180"/>
      <c r="L632" s="188"/>
      <c r="M632" s="188"/>
      <c r="N632" s="188"/>
      <c r="O632" s="188"/>
      <c r="P632" s="189"/>
      <c r="Q632" s="188"/>
      <c r="R632" s="188"/>
      <c r="S632" s="188"/>
      <c r="T632" s="188"/>
      <c r="U632" s="189"/>
    </row>
    <row r="633" spans="1:37">
      <c r="A633" s="154">
        <f ca="1">OFFSET('ALRC Indiv Fund Summary (Print)'!UnsdRmBdPrrtdCoPyDueDcsdDschdIndv, 4, 1, 1, 1)</f>
        <v>0</v>
      </c>
      <c r="B633">
        <f ca="1">OFFSET('ALRC Indiv Fund Summary (Print)'!UnsdRmBdPrrtdCoPyDueDcsdDschdIndv, 4, 0, 1, 1)</f>
        <v>0</v>
      </c>
      <c r="C633" s="157">
        <f ca="1">IF(OFFSET('ALRC Indiv Fund Summary (Print)'!UnsdRmBdPrrtdCoPyDueDcsdDschdIndv, 4, 2, 1, 1) =DATE(1900,1,0),DATE(1900,1,1),OFFSET('ALRC Indiv Fund Summary (Print)'!UnsdRmBdPrrtdCoPyDueDcsdDschdIndv, 4, 2, 1, 1))</f>
        <v>1</v>
      </c>
      <c r="D633" s="185">
        <f ca="1">IF(OFFSET('ALRC Indiv Fund Summary (Print)'!UnsdRmBdPrrtdCoPyDueDcsdDschdIndv, 4, 3, 1, 1) = "", 0, OFFSET('ALRC Indiv Fund Summary (Print)'!UnsdRmBdPrrtdCoPyDueDcsdDschdIndv, 4, 3, 1, 1))</f>
        <v>0</v>
      </c>
      <c r="E633" s="180"/>
      <c r="F633" s="180"/>
      <c r="G633" s="180"/>
      <c r="H633" s="180"/>
      <c r="I633" s="187"/>
      <c r="J633" s="180"/>
      <c r="K633" s="180"/>
      <c r="L633" s="188"/>
      <c r="M633" s="188"/>
      <c r="N633" s="188"/>
      <c r="O633" s="188"/>
      <c r="P633" s="189"/>
      <c r="Q633" s="188"/>
      <c r="R633" s="188"/>
      <c r="S633" s="188"/>
      <c r="T633" s="188"/>
      <c r="U633" s="189"/>
    </row>
    <row r="634" spans="1:37">
      <c r="A634" s="154">
        <f ca="1">OFFSET('ALRC Indiv Fund Summary (Print)'!UnsdRmBdPrrtdCoPyDueDcsdDschdIndv, 5, 1, 1, 1)</f>
        <v>0</v>
      </c>
      <c r="B634">
        <f ca="1">OFFSET('ALRC Indiv Fund Summary (Print)'!UnsdRmBdPrrtdCoPyDueDcsdDschdIndv, 5, 0, 1, 1)</f>
        <v>0</v>
      </c>
      <c r="C634" s="157">
        <f ca="1">IF(OFFSET('ALRC Indiv Fund Summary (Print)'!UnsdRmBdPrrtdCoPyDueDcsdDschdIndv, 5, 2, 1, 1) =DATE(1900,1,0),DATE(1900,1,1),OFFSET('ALRC Indiv Fund Summary (Print)'!UnsdRmBdPrrtdCoPyDueDcsdDschdIndv, 5, 2, 1, 1))</f>
        <v>1</v>
      </c>
      <c r="D634" s="185">
        <f ca="1">IF(OFFSET('ALRC Indiv Fund Summary (Print)'!UnsdRmBdPrrtdCoPyDueDcsdDschdIndv, 5, 3, 1, 1) = "", 0, OFFSET('ALRC Indiv Fund Summary (Print)'!UnsdRmBdPrrtdCoPyDueDcsdDschdIndv, 5, 3, 1, 1))</f>
        <v>0</v>
      </c>
      <c r="E634" s="180"/>
      <c r="F634" s="180"/>
      <c r="G634" s="180"/>
      <c r="H634" s="180"/>
      <c r="I634" s="187"/>
      <c r="J634" s="180"/>
      <c r="K634" s="180"/>
      <c r="L634" s="188"/>
      <c r="M634" s="188"/>
      <c r="N634" s="188"/>
      <c r="O634" s="188"/>
      <c r="P634" s="189"/>
      <c r="Q634" s="188"/>
      <c r="R634" s="188"/>
      <c r="S634" s="188"/>
      <c r="T634" s="188"/>
      <c r="U634" s="189"/>
    </row>
    <row r="635" spans="1:37">
      <c r="A635" s="154">
        <f ca="1">OFFSET('ALRC Indiv Fund Summary (Print)'!UnsdRmBdPrrtdCoPyDueDcsdDschdIndv, 6, 1, 1, 1)</f>
        <v>0</v>
      </c>
      <c r="B635">
        <f ca="1">OFFSET('ALRC Indiv Fund Summary (Print)'!UnsdRmBdPrrtdCoPyDueDcsdDschdIndv, 6, 0, 1, 1)</f>
        <v>0</v>
      </c>
      <c r="C635" s="157">
        <f ca="1">IF(OFFSET('ALRC Indiv Fund Summary (Print)'!UnsdRmBdPrrtdCoPyDueDcsdDschdIndv, 6, 2, 1, 1) =DATE(1900,1,0),DATE(1900,1,1),OFFSET('ALRC Indiv Fund Summary (Print)'!UnsdRmBdPrrtdCoPyDueDcsdDschdIndv, 6, 2, 1, 1))</f>
        <v>1</v>
      </c>
      <c r="D635" s="185">
        <f ca="1">IF(OFFSET('ALRC Indiv Fund Summary (Print)'!UnsdRmBdPrrtdCoPyDueDcsdDschdIndv, 6, 3, 1, 1) = "", 0, OFFSET('ALRC Indiv Fund Summary (Print)'!UnsdRmBdPrrtdCoPyDueDcsdDschdIndv, 6, 3, 1, 1))</f>
        <v>0</v>
      </c>
      <c r="E635" s="180"/>
      <c r="F635" s="180"/>
      <c r="G635" s="180"/>
      <c r="H635" s="180"/>
      <c r="I635" s="187"/>
      <c r="J635" s="180"/>
      <c r="K635" s="180"/>
      <c r="L635" s="188"/>
      <c r="M635" s="188"/>
      <c r="N635" s="188"/>
      <c r="O635" s="188"/>
      <c r="P635" s="189"/>
      <c r="Q635" s="188"/>
      <c r="R635" s="188"/>
      <c r="S635" s="188"/>
      <c r="T635" s="188"/>
      <c r="U635" s="189"/>
    </row>
    <row r="636" spans="1:37">
      <c r="A636" s="154">
        <f ca="1">OFFSET('ALRC Indiv Fund Summary (Print)'!UnsdRmBdPrrtdCoPyDueDcsdDschdIndv, 7, 1, 1, 1)</f>
        <v>0</v>
      </c>
      <c r="B636">
        <f ca="1">OFFSET('ALRC Indiv Fund Summary (Print)'!UnsdRmBdPrrtdCoPyDueDcsdDschdIndv, 7, 0, 1, 1)</f>
        <v>0</v>
      </c>
      <c r="C636" s="157">
        <f ca="1">IF(OFFSET('ALRC Indiv Fund Summary (Print)'!UnsdRmBdPrrtdCoPyDueDcsdDschdIndv, 7, 2, 1, 1) =DATE(1900,1,0),DATE(1900,1,1),OFFSET('ALRC Indiv Fund Summary (Print)'!UnsdRmBdPrrtdCoPyDueDcsdDschdIndv, 7, 2, 1, 1))</f>
        <v>1</v>
      </c>
      <c r="D636" s="185">
        <f ca="1">IF(OFFSET('ALRC Indiv Fund Summary (Print)'!UnsdRmBdPrrtdCoPyDueDcsdDschdIndv, 7, 3, 1, 1) = "", 0, OFFSET('ALRC Indiv Fund Summary (Print)'!UnsdRmBdPrrtdCoPyDueDcsdDschdIndv, 7, 3, 1, 1))</f>
        <v>0</v>
      </c>
      <c r="E636" s="180"/>
      <c r="F636" s="180"/>
      <c r="G636" s="180"/>
      <c r="H636" s="180"/>
      <c r="I636" s="187"/>
      <c r="J636" s="180"/>
      <c r="K636" s="180"/>
      <c r="L636" s="188"/>
      <c r="M636" s="188"/>
      <c r="N636" s="188"/>
      <c r="O636" s="188"/>
      <c r="P636" s="189"/>
      <c r="Q636" s="188"/>
      <c r="R636" s="188"/>
      <c r="S636" s="188"/>
      <c r="T636" s="188"/>
      <c r="U636" s="189"/>
    </row>
    <row r="637" spans="1:37">
      <c r="A637" s="154">
        <f ca="1">OFFSET('ALRC Indiv Fund Summary (Print)'!UnsdRmBdPrrtdCoPyDueDcsdDschdIndv, 8, 1, 1, 1)</f>
        <v>0</v>
      </c>
      <c r="B637">
        <f ca="1">OFFSET('ALRC Indiv Fund Summary (Print)'!UnsdRmBdPrrtdCoPyDueDcsdDschdIndv, 8, 0, 1, 1)</f>
        <v>0</v>
      </c>
      <c r="C637" s="157">
        <f ca="1">IF(OFFSET('ALRC Indiv Fund Summary (Print)'!UnsdRmBdPrrtdCoPyDueDcsdDschdIndv, 8, 2, 1, 1) =DATE(1900,1,0),DATE(1900,1,1),OFFSET('ALRC Indiv Fund Summary (Print)'!UnsdRmBdPrrtdCoPyDueDcsdDschdIndv, 8, 2, 1, 1))</f>
        <v>1</v>
      </c>
      <c r="D637" s="185">
        <f ca="1">IF(OFFSET('ALRC Indiv Fund Summary (Print)'!UnsdRmBdPrrtdCoPyDueDcsdDschdIndv, 8, 3, 1, 1) = "", 0, OFFSET('ALRC Indiv Fund Summary (Print)'!UnsdRmBdPrrtdCoPyDueDcsdDschdIndv, 8, 3, 1, 1))</f>
        <v>0</v>
      </c>
      <c r="E637" s="180"/>
      <c r="F637" s="180"/>
      <c r="G637" s="180"/>
      <c r="H637" s="180"/>
      <c r="I637" s="187"/>
      <c r="J637" s="180"/>
      <c r="K637" s="180"/>
      <c r="L637" s="188"/>
      <c r="M637" s="188"/>
      <c r="N637" s="188"/>
      <c r="O637" s="188"/>
      <c r="P637" s="189"/>
      <c r="Q637" s="188"/>
      <c r="R637" s="188"/>
      <c r="S637" s="188"/>
      <c r="T637" s="188"/>
      <c r="U637" s="189"/>
    </row>
    <row r="638" spans="1:37">
      <c r="A638" s="154">
        <f ca="1">OFFSET('ALRC Indiv Fund Summary (Print)'!UnsdRmBdPrrtdCoPyDueDcsdDschdIndv, 9, 1, 1, 1)</f>
        <v>0</v>
      </c>
      <c r="B638">
        <f ca="1">OFFSET('ALRC Indiv Fund Summary (Print)'!UnsdRmBdPrrtdCoPyDueDcsdDschdIndv, 9, 0, 1, 1)</f>
        <v>0</v>
      </c>
      <c r="C638" s="157">
        <f ca="1">IF(OFFSET('ALRC Indiv Fund Summary (Print)'!UnsdRmBdPrrtdCoPyDueDcsdDschdIndv, 9, 2, 1, 1) =DATE(1900,1,0),DATE(1900,1,1),OFFSET('ALRC Indiv Fund Summary (Print)'!UnsdRmBdPrrtdCoPyDueDcsdDschdIndv, 9, 2, 1, 1))</f>
        <v>1</v>
      </c>
      <c r="D638" s="185">
        <f ca="1">IF(OFFSET('ALRC Indiv Fund Summary (Print)'!UnsdRmBdPrrtdCoPyDueDcsdDschdIndv, 9, 3, 1, 1) = "", 0, OFFSET('ALRC Indiv Fund Summary (Print)'!UnsdRmBdPrrtdCoPyDueDcsdDschdIndv, 9, 3, 1, 1))</f>
        <v>0</v>
      </c>
      <c r="E638" s="180"/>
      <c r="F638" s="180"/>
      <c r="G638" s="180"/>
      <c r="H638" s="180"/>
      <c r="I638" s="187"/>
      <c r="J638" s="180"/>
      <c r="K638" s="180"/>
      <c r="L638" s="188"/>
      <c r="M638" s="188"/>
      <c r="N638" s="188"/>
      <c r="O638" s="188"/>
      <c r="P638" s="189"/>
      <c r="Q638" s="188"/>
      <c r="R638" s="188"/>
      <c r="S638" s="188"/>
      <c r="T638" s="188"/>
      <c r="U638" s="189"/>
    </row>
    <row r="639" spans="1:37">
      <c r="A639" s="154">
        <f ca="1">OFFSET('ALRC Indiv Fund Summary (Print)'!UnsdRmBdPrrtdCoPyDueDcsdDschdIndv, 10, 1, 1, 1)</f>
        <v>0</v>
      </c>
      <c r="B639">
        <f ca="1">OFFSET('ALRC Indiv Fund Summary (Print)'!UnsdRmBdPrrtdCoPyDueDcsdDschdIndv, 10, 0, 1, 1)</f>
        <v>0</v>
      </c>
      <c r="C639" s="157">
        <f ca="1">IF(OFFSET('ALRC Indiv Fund Summary (Print)'!UnsdRmBdPrrtdCoPyDueDcsdDschdIndv, 10, 2, 1, 1) =DATE(1900,1,0),DATE(1900,1,1),OFFSET('ALRC Indiv Fund Summary (Print)'!UnsdRmBdPrrtdCoPyDueDcsdDschdIndv, 10, 2, 1, 1))</f>
        <v>1</v>
      </c>
      <c r="D639" s="185">
        <f ca="1">IF(OFFSET('ALRC Indiv Fund Summary (Print)'!UnsdRmBdPrrtdCoPyDueDcsdDschdIndv, 10, 3, 1, 1) = "", 0, OFFSET('ALRC Indiv Fund Summary (Print)'!UnsdRmBdPrrtdCoPyDueDcsdDschdIndv, 10, 3, 1, 1))</f>
        <v>0</v>
      </c>
      <c r="E639" s="180"/>
      <c r="F639" s="180"/>
      <c r="G639" s="180"/>
      <c r="H639" s="180"/>
      <c r="I639" s="187"/>
      <c r="J639" s="180"/>
      <c r="K639" s="180"/>
      <c r="L639" s="188"/>
      <c r="M639" s="188"/>
      <c r="N639" s="188"/>
      <c r="O639" s="188"/>
      <c r="P639" s="189"/>
      <c r="Q639" s="188"/>
      <c r="R639" s="188"/>
      <c r="S639" s="188"/>
      <c r="T639" s="188"/>
      <c r="U639" s="189"/>
    </row>
    <row r="640" spans="1:37">
      <c r="A640" s="154">
        <f ca="1">OFFSET('ALRC Indiv Fund Summary (Print)'!UnsdRmBdPrrtdCoPyDueDcsdDschdIndv, 11, 1, 1, 1)</f>
        <v>0</v>
      </c>
      <c r="B640">
        <f ca="1">OFFSET('ALRC Indiv Fund Summary (Print)'!UnsdRmBdPrrtdCoPyDueDcsdDschdIndv, 11, 0, 1, 1)</f>
        <v>0</v>
      </c>
      <c r="C640" s="157">
        <f ca="1">IF(OFFSET('ALRC Indiv Fund Summary (Print)'!UnsdRmBdPrrtdCoPyDueDcsdDschdIndv, 11, 2, 1, 1) =DATE(1900,1,0),DATE(1900,1,1),OFFSET('ALRC Indiv Fund Summary (Print)'!UnsdRmBdPrrtdCoPyDueDcsdDschdIndv, 11, 2, 1, 1))</f>
        <v>1</v>
      </c>
      <c r="D640" s="185">
        <f ca="1">IF(OFFSET('ALRC Indiv Fund Summary (Print)'!UnsdRmBdPrrtdCoPyDueDcsdDschdIndv, 11, 3, 1, 1) = "", 0, OFFSET('ALRC Indiv Fund Summary (Print)'!UnsdRmBdPrrtdCoPyDueDcsdDschdIndv, 11, 3, 1, 1))</f>
        <v>0</v>
      </c>
      <c r="E640" s="180"/>
      <c r="F640" s="180"/>
      <c r="G640" s="180"/>
      <c r="H640" s="180"/>
      <c r="I640" s="187"/>
      <c r="J640" s="180"/>
      <c r="K640" s="180"/>
      <c r="L640" s="188"/>
      <c r="M640" s="188"/>
      <c r="N640" s="188"/>
      <c r="O640" s="188"/>
      <c r="P640" s="189"/>
      <c r="Q640" s="188"/>
      <c r="R640" s="188"/>
      <c r="S640" s="188"/>
      <c r="T640" s="188"/>
      <c r="U640" s="189"/>
    </row>
    <row r="641" spans="1:21">
      <c r="A641" s="154">
        <f ca="1">OFFSET('ALRC Indiv Fund Summary (Print)'!UnsdRmBdPrrtdCoPyDueDcsdDschdIndv, 12, 1, 1, 1)</f>
        <v>0</v>
      </c>
      <c r="B641">
        <f ca="1">OFFSET('ALRC Indiv Fund Summary (Print)'!UnsdRmBdPrrtdCoPyDueDcsdDschdIndv, 12, 0, 1, 1)</f>
        <v>0</v>
      </c>
      <c r="C641" s="157">
        <f ca="1">IF(OFFSET('ALRC Indiv Fund Summary (Print)'!UnsdRmBdPrrtdCoPyDueDcsdDschdIndv, 12, 2, 1, 1) =DATE(1900,1,0),DATE(1900,1,1),OFFSET('ALRC Indiv Fund Summary (Print)'!UnsdRmBdPrrtdCoPyDueDcsdDschdIndv, 12, 2, 1, 1))</f>
        <v>1</v>
      </c>
      <c r="D641" s="185">
        <f ca="1">IF(OFFSET('ALRC Indiv Fund Summary (Print)'!UnsdRmBdPrrtdCoPyDueDcsdDschdIndv, 12, 3, 1, 1) = "", 0, OFFSET('ALRC Indiv Fund Summary (Print)'!UnsdRmBdPrrtdCoPyDueDcsdDschdIndv, 12, 3, 1, 1))</f>
        <v>0</v>
      </c>
      <c r="E641" s="180"/>
      <c r="F641" s="180"/>
      <c r="G641" s="180"/>
      <c r="H641" s="180"/>
      <c r="I641" s="187"/>
      <c r="J641" s="180"/>
      <c r="K641" s="180"/>
      <c r="L641" s="188"/>
      <c r="M641" s="188"/>
      <c r="N641" s="188"/>
      <c r="O641" s="188"/>
      <c r="P641" s="189"/>
      <c r="Q641" s="188"/>
      <c r="R641" s="188"/>
      <c r="S641" s="188"/>
      <c r="T641" s="188"/>
      <c r="U641" s="189"/>
    </row>
    <row r="642" spans="1:21">
      <c r="A642" s="154">
        <f ca="1">OFFSET('ALRC Indiv Fund Summary (Print)'!UnsdRmBdPrrtdCoPyDueDcsdDschdIndv, 13, 1, 1, 1)</f>
        <v>0</v>
      </c>
      <c r="B642">
        <f ca="1">OFFSET('ALRC Indiv Fund Summary (Print)'!UnsdRmBdPrrtdCoPyDueDcsdDschdIndv, 13, 0, 1, 1)</f>
        <v>0</v>
      </c>
      <c r="C642" s="157">
        <f ca="1">IF(OFFSET('ALRC Indiv Fund Summary (Print)'!UnsdRmBdPrrtdCoPyDueDcsdDschdIndv, 13, 2, 1, 1) =DATE(1900,1,0),DATE(1900,1,1),OFFSET('ALRC Indiv Fund Summary (Print)'!UnsdRmBdPrrtdCoPyDueDcsdDschdIndv, 13, 2, 1, 1))</f>
        <v>1</v>
      </c>
      <c r="D642" s="185">
        <f ca="1">IF(OFFSET('ALRC Indiv Fund Summary (Print)'!UnsdRmBdPrrtdCoPyDueDcsdDschdIndv, 13, 3, 1, 1) = "", 0, OFFSET('ALRC Indiv Fund Summary (Print)'!UnsdRmBdPrrtdCoPyDueDcsdDschdIndv, 13, 3, 1, 1))</f>
        <v>0</v>
      </c>
      <c r="E642" s="180"/>
      <c r="F642" s="180"/>
      <c r="G642" s="180"/>
      <c r="H642" s="180"/>
      <c r="I642" s="187"/>
      <c r="J642" s="180"/>
      <c r="K642" s="180"/>
      <c r="L642" s="188"/>
      <c r="M642" s="188"/>
      <c r="N642" s="188"/>
      <c r="O642" s="188"/>
      <c r="P642" s="189"/>
      <c r="Q642" s="188"/>
      <c r="R642" s="188"/>
      <c r="S642" s="188"/>
      <c r="T642" s="188"/>
      <c r="U642" s="189"/>
    </row>
    <row r="643" spans="1:21">
      <c r="A643" s="154">
        <f ca="1">OFFSET('ALRC Indiv Fund Summary (Print)'!UnsdRmBdPrrtdCoPyDueDcsdDschdIndv, 14, 1, 1, 1)</f>
        <v>0</v>
      </c>
      <c r="B643">
        <f ca="1">OFFSET('ALRC Indiv Fund Summary (Print)'!UnsdRmBdPrrtdCoPyDueDcsdDschdIndv, 14, 0, 1, 1)</f>
        <v>0</v>
      </c>
      <c r="C643" s="157">
        <f ca="1">IF(OFFSET('ALRC Indiv Fund Summary (Print)'!UnsdRmBdPrrtdCoPyDueDcsdDschdIndv, 14, 2, 1, 1) =DATE(1900,1,0),DATE(1900,1,1),OFFSET('ALRC Indiv Fund Summary (Print)'!UnsdRmBdPrrtdCoPyDueDcsdDschdIndv, 14, 2, 1, 1))</f>
        <v>1</v>
      </c>
      <c r="D643" s="185">
        <f ca="1">IF(OFFSET('ALRC Indiv Fund Summary (Print)'!UnsdRmBdPrrtdCoPyDueDcsdDschdIndv, 14, 3, 1, 1) = "", 0, OFFSET('ALRC Indiv Fund Summary (Print)'!UnsdRmBdPrrtdCoPyDueDcsdDschdIndv, 14, 3, 1, 1))</f>
        <v>0</v>
      </c>
      <c r="E643" s="180"/>
      <c r="F643" s="180"/>
      <c r="G643" s="180"/>
      <c r="H643" s="180"/>
      <c r="I643" s="187"/>
      <c r="J643" s="180"/>
      <c r="K643" s="180"/>
      <c r="L643" s="188"/>
      <c r="M643" s="188"/>
      <c r="N643" s="188"/>
      <c r="O643" s="188"/>
      <c r="P643" s="189"/>
      <c r="Q643" s="188"/>
      <c r="R643" s="188"/>
      <c r="S643" s="188"/>
      <c r="T643" s="188"/>
      <c r="U643" s="189"/>
    </row>
    <row r="644" spans="1:21">
      <c r="A644" s="154">
        <f ca="1">OFFSET('ALRC Indiv Fund Summary (Print)'!UnsdRmBdPrrtdCoPyDueDcsdDschdIndv, 0, 6, 1, 1)</f>
        <v>0</v>
      </c>
      <c r="B644">
        <f ca="1">OFFSET('ALRC Indiv Fund Summary (Print)'!UnsdRmBdPrrtdCoPyDueDcsdDschdIndv, 0, 5, 1, 1)</f>
        <v>0</v>
      </c>
      <c r="C644" s="157">
        <f ca="1">IF(OFFSET('ALRC Indiv Fund Summary (Print)'!UnsdRmBdPrrtdCoPyDueDcsdDschdIndv, 0, 7, 1, 1) =DATE(1900,1,0),DATE(1900,1,1),OFFSET('ALRC Indiv Fund Summary (Print)'!UnsdRmBdPrrtdCoPyDueDcsdDschdIndv, 0, 7, 1, 1))</f>
        <v>1</v>
      </c>
      <c r="D644" s="185">
        <f ca="1">IF(OFFSET('ALRC Indiv Fund Summary (Print)'!UnsdRmBdPrrtdCoPyDueDcsdDschdIndv, 0, 8, 1, 1) = "", 0, OFFSET('ALRC Indiv Fund Summary (Print)'!UnsdRmBdPrrtdCoPyDueDcsdDschdIndv, 0, 8, 1, 1))</f>
        <v>0</v>
      </c>
      <c r="E644" s="180"/>
      <c r="F644" s="180"/>
      <c r="G644" s="180"/>
      <c r="H644" s="180"/>
      <c r="I644" s="187"/>
      <c r="J644" s="180"/>
      <c r="K644" s="180"/>
      <c r="L644" s="188"/>
      <c r="M644" s="188"/>
      <c r="N644" s="188"/>
      <c r="O644" s="188"/>
      <c r="P644" s="189"/>
      <c r="Q644" s="188"/>
      <c r="R644" s="188"/>
      <c r="S644" s="188"/>
      <c r="T644" s="188"/>
      <c r="U644" s="189"/>
    </row>
    <row r="645" spans="1:21">
      <c r="A645" s="154">
        <f ca="1">OFFSET('ALRC Indiv Fund Summary (Print)'!UnsdRmBdPrrtdCoPyDueDcsdDschdIndv, 1, 6, 1, 1)</f>
        <v>0</v>
      </c>
      <c r="B645">
        <f ca="1">OFFSET('ALRC Indiv Fund Summary (Print)'!UnsdRmBdPrrtdCoPyDueDcsdDschdIndv, 1, 5, 1, 1)</f>
        <v>0</v>
      </c>
      <c r="C645" s="157">
        <f ca="1">IF(OFFSET('ALRC Indiv Fund Summary (Print)'!UnsdRmBdPrrtdCoPyDueDcsdDschdIndv, 1, 7, 1, 1) =DATE(1900,1,0),DATE(1900,1,1),OFFSET('ALRC Indiv Fund Summary (Print)'!UnsdRmBdPrrtdCoPyDueDcsdDschdIndv, 1, 7, 1, 1))</f>
        <v>1</v>
      </c>
      <c r="D645" s="185">
        <f ca="1">IF(OFFSET('ALRC Indiv Fund Summary (Print)'!UnsdRmBdPrrtdCoPyDueDcsdDschdIndv, 1, 8, 1, 1) = "", 0, OFFSET('ALRC Indiv Fund Summary (Print)'!UnsdRmBdPrrtdCoPyDueDcsdDschdIndv, 1, 8, 1, 1))</f>
        <v>0</v>
      </c>
      <c r="E645" s="180"/>
      <c r="F645" s="180"/>
      <c r="G645" s="180"/>
      <c r="H645" s="180"/>
      <c r="I645" s="187"/>
      <c r="J645" s="180"/>
      <c r="K645" s="180"/>
      <c r="L645" s="188"/>
      <c r="M645" s="188"/>
      <c r="N645" s="188"/>
      <c r="O645" s="188"/>
      <c r="P645" s="189"/>
      <c r="Q645" s="188"/>
      <c r="R645" s="188"/>
      <c r="S645" s="188"/>
      <c r="T645" s="188"/>
      <c r="U645" s="189"/>
    </row>
    <row r="646" spans="1:21">
      <c r="A646" s="154">
        <f ca="1">OFFSET('ALRC Indiv Fund Summary (Print)'!UnsdRmBdPrrtdCoPyDueDcsdDschdIndv, 2, 6, 1, 1)</f>
        <v>0</v>
      </c>
      <c r="B646">
        <f ca="1">OFFSET('ALRC Indiv Fund Summary (Print)'!UnsdRmBdPrrtdCoPyDueDcsdDschdIndv, 2, 5, 1, 1)</f>
        <v>0</v>
      </c>
      <c r="C646" s="157">
        <f ca="1">IF(OFFSET('ALRC Indiv Fund Summary (Print)'!UnsdRmBdPrrtdCoPyDueDcsdDschdIndv, 2, 7, 1, 1) =DATE(1900,1,0),DATE(1900,1,1),OFFSET('ALRC Indiv Fund Summary (Print)'!UnsdRmBdPrrtdCoPyDueDcsdDschdIndv, 2, 7, 1, 1))</f>
        <v>1</v>
      </c>
      <c r="D646" s="185">
        <f ca="1">IF(OFFSET('ALRC Indiv Fund Summary (Print)'!UnsdRmBdPrrtdCoPyDueDcsdDschdIndv, 2, 8, 1, 1) = "", 0, OFFSET('ALRC Indiv Fund Summary (Print)'!UnsdRmBdPrrtdCoPyDueDcsdDschdIndv, 2, 8, 1, 1))</f>
        <v>0</v>
      </c>
      <c r="E646" s="180"/>
      <c r="F646" s="180"/>
      <c r="G646" s="180"/>
      <c r="H646" s="180"/>
      <c r="I646" s="187"/>
      <c r="J646" s="180"/>
      <c r="K646" s="180"/>
      <c r="L646" s="188"/>
      <c r="M646" s="188"/>
      <c r="N646" s="188"/>
      <c r="O646" s="188"/>
      <c r="P646" s="189"/>
      <c r="Q646" s="188"/>
      <c r="R646" s="188"/>
      <c r="S646" s="188"/>
      <c r="T646" s="188"/>
      <c r="U646" s="189"/>
    </row>
    <row r="647" spans="1:21">
      <c r="A647" s="154">
        <f ca="1">OFFSET('ALRC Indiv Fund Summary (Print)'!UnsdRmBdPrrtdCoPyDueDcsdDschdIndv, 3, 6, 1, 1)</f>
        <v>0</v>
      </c>
      <c r="B647">
        <f ca="1">OFFSET('ALRC Indiv Fund Summary (Print)'!UnsdRmBdPrrtdCoPyDueDcsdDschdIndv, 3, 5, 1, 1)</f>
        <v>0</v>
      </c>
      <c r="C647" s="157">
        <f ca="1">IF(OFFSET('ALRC Indiv Fund Summary (Print)'!UnsdRmBdPrrtdCoPyDueDcsdDschdIndv, 3, 7, 1, 1) =DATE(1900,1,0),DATE(1900,1,1),OFFSET('ALRC Indiv Fund Summary (Print)'!UnsdRmBdPrrtdCoPyDueDcsdDschdIndv, 3, 7, 1, 1))</f>
        <v>1</v>
      </c>
      <c r="D647" s="185">
        <f ca="1">IF(OFFSET('ALRC Indiv Fund Summary (Print)'!UnsdRmBdPrrtdCoPyDueDcsdDschdIndv, 3, 8, 1, 1) = "", 0, OFFSET('ALRC Indiv Fund Summary (Print)'!UnsdRmBdPrrtdCoPyDueDcsdDschdIndv, 3, 8, 1, 1))</f>
        <v>0</v>
      </c>
      <c r="E647" s="180"/>
      <c r="F647" s="180"/>
      <c r="G647" s="180"/>
      <c r="H647" s="180"/>
      <c r="I647" s="187"/>
      <c r="J647" s="180"/>
      <c r="K647" s="180"/>
      <c r="L647" s="188"/>
      <c r="M647" s="188"/>
      <c r="N647" s="188"/>
      <c r="O647" s="188"/>
      <c r="P647" s="189"/>
      <c r="Q647" s="188"/>
      <c r="R647" s="188"/>
      <c r="S647" s="188"/>
      <c r="T647" s="188"/>
      <c r="U647" s="189"/>
    </row>
    <row r="648" spans="1:21">
      <c r="A648" s="154">
        <f ca="1">OFFSET('ALRC Indiv Fund Summary (Print)'!UnsdRmBdPrrtdCoPyDueDcsdDschdIndv, 4, 6, 1, 1)</f>
        <v>0</v>
      </c>
      <c r="B648">
        <f ca="1">OFFSET('ALRC Indiv Fund Summary (Print)'!UnsdRmBdPrrtdCoPyDueDcsdDschdIndv, 4, 5, 1, 1)</f>
        <v>0</v>
      </c>
      <c r="C648" s="157">
        <f ca="1">IF(OFFSET('ALRC Indiv Fund Summary (Print)'!UnsdRmBdPrrtdCoPyDueDcsdDschdIndv, 4, 7, 1, 1) =DATE(1900,1,0),DATE(1900,1,1),OFFSET('ALRC Indiv Fund Summary (Print)'!UnsdRmBdPrrtdCoPyDueDcsdDschdIndv, 4, 7, 1, 1))</f>
        <v>1</v>
      </c>
      <c r="D648" s="185">
        <f ca="1">IF(OFFSET('ALRC Indiv Fund Summary (Print)'!UnsdRmBdPrrtdCoPyDueDcsdDschdIndv, 4, 8, 1, 1) = "", 0, OFFSET('ALRC Indiv Fund Summary (Print)'!UnsdRmBdPrrtdCoPyDueDcsdDschdIndv, 4, 8, 1, 1))</f>
        <v>0</v>
      </c>
      <c r="E648" s="180"/>
      <c r="F648" s="180"/>
      <c r="G648" s="180"/>
      <c r="H648" s="180"/>
      <c r="I648" s="187"/>
      <c r="J648" s="180"/>
      <c r="K648" s="180"/>
      <c r="L648" s="188"/>
      <c r="M648" s="188"/>
      <c r="N648" s="188"/>
      <c r="O648" s="188"/>
      <c r="P648" s="189"/>
      <c r="Q648" s="188"/>
      <c r="R648" s="188"/>
      <c r="S648" s="188"/>
      <c r="T648" s="188"/>
      <c r="U648" s="189"/>
    </row>
    <row r="649" spans="1:21">
      <c r="A649" s="154">
        <f ca="1">OFFSET('ALRC Indiv Fund Summary (Print)'!UnsdRmBdPrrtdCoPyDueDcsdDschdIndv, 5, 6, 1, 1)</f>
        <v>0</v>
      </c>
      <c r="B649">
        <f ca="1">OFFSET('ALRC Indiv Fund Summary (Print)'!UnsdRmBdPrrtdCoPyDueDcsdDschdIndv, 5, 5, 1, 1)</f>
        <v>0</v>
      </c>
      <c r="C649" s="157">
        <f ca="1">IF(OFFSET('ALRC Indiv Fund Summary (Print)'!UnsdRmBdPrrtdCoPyDueDcsdDschdIndv, 5, 7, 1, 1) =DATE(1900,1,0),DATE(1900,1,1),OFFSET('ALRC Indiv Fund Summary (Print)'!UnsdRmBdPrrtdCoPyDueDcsdDschdIndv, 5, 7, 1, 1))</f>
        <v>1</v>
      </c>
      <c r="D649" s="185">
        <f ca="1">IF(OFFSET('ALRC Indiv Fund Summary (Print)'!UnsdRmBdPrrtdCoPyDueDcsdDschdIndv, 5, 8, 1, 1) = "", 0, OFFSET('ALRC Indiv Fund Summary (Print)'!UnsdRmBdPrrtdCoPyDueDcsdDschdIndv, 5, 8, 1, 1))</f>
        <v>0</v>
      </c>
      <c r="E649" s="180"/>
      <c r="F649" s="180"/>
      <c r="G649" s="180"/>
      <c r="H649" s="180"/>
      <c r="I649" s="187"/>
      <c r="J649" s="180"/>
      <c r="K649" s="180"/>
      <c r="L649" s="188"/>
      <c r="M649" s="188"/>
      <c r="N649" s="188"/>
      <c r="O649" s="188"/>
      <c r="P649" s="189"/>
      <c r="Q649" s="188"/>
      <c r="R649" s="188"/>
      <c r="S649" s="188"/>
      <c r="T649" s="188"/>
      <c r="U649" s="189"/>
    </row>
    <row r="650" spans="1:21">
      <c r="A650" s="154">
        <f ca="1">OFFSET('ALRC Indiv Fund Summary (Print)'!UnsdRmBdPrrtdCoPyDueDcsdDschdIndv, 6, 6, 1, 1)</f>
        <v>0</v>
      </c>
      <c r="B650">
        <f ca="1">OFFSET('ALRC Indiv Fund Summary (Print)'!UnsdRmBdPrrtdCoPyDueDcsdDschdIndv, 6, 5, 1, 1)</f>
        <v>0</v>
      </c>
      <c r="C650" s="157">
        <f ca="1">IF(OFFSET('ALRC Indiv Fund Summary (Print)'!UnsdRmBdPrrtdCoPyDueDcsdDschdIndv, 6, 7, 1, 1) =DATE(1900,1,0),DATE(1900,1,1),OFFSET('ALRC Indiv Fund Summary (Print)'!UnsdRmBdPrrtdCoPyDueDcsdDschdIndv, 6, 7, 1, 1))</f>
        <v>1</v>
      </c>
      <c r="D650" s="185">
        <f ca="1">IF(OFFSET('ALRC Indiv Fund Summary (Print)'!UnsdRmBdPrrtdCoPyDueDcsdDschdIndv, 6, 8, 1, 1) = "", 0, OFFSET('ALRC Indiv Fund Summary (Print)'!UnsdRmBdPrrtdCoPyDueDcsdDschdIndv, 6, 8, 1, 1))</f>
        <v>0</v>
      </c>
      <c r="E650" s="180"/>
      <c r="F650" s="180"/>
      <c r="G650" s="180"/>
      <c r="H650" s="180"/>
      <c r="I650" s="187"/>
      <c r="J650" s="180"/>
      <c r="K650" s="180"/>
      <c r="L650" s="188"/>
      <c r="M650" s="188"/>
      <c r="N650" s="188"/>
      <c r="O650" s="188"/>
      <c r="P650" s="189"/>
      <c r="Q650" s="188"/>
      <c r="R650" s="188"/>
      <c r="S650" s="188"/>
      <c r="T650" s="188"/>
      <c r="U650" s="189"/>
    </row>
    <row r="651" spans="1:21">
      <c r="A651" s="154">
        <f ca="1">OFFSET('ALRC Indiv Fund Summary (Print)'!UnsdRmBdPrrtdCoPyDueDcsdDschdIndv, 7, 6, 1, 1)</f>
        <v>0</v>
      </c>
      <c r="B651">
        <f ca="1">OFFSET('ALRC Indiv Fund Summary (Print)'!UnsdRmBdPrrtdCoPyDueDcsdDschdIndv, 7, 5, 1, 1)</f>
        <v>0</v>
      </c>
      <c r="C651" s="157">
        <f ca="1">IF(OFFSET('ALRC Indiv Fund Summary (Print)'!UnsdRmBdPrrtdCoPyDueDcsdDschdIndv, 7, 7, 1, 1) =DATE(1900,1,0),DATE(1900,1,1),OFFSET('ALRC Indiv Fund Summary (Print)'!UnsdRmBdPrrtdCoPyDueDcsdDschdIndv, 7, 7, 1, 1))</f>
        <v>1</v>
      </c>
      <c r="D651" s="185">
        <f ca="1">IF(OFFSET('ALRC Indiv Fund Summary (Print)'!UnsdRmBdPrrtdCoPyDueDcsdDschdIndv, 7, 8, 1, 1) = "", 0, OFFSET('ALRC Indiv Fund Summary (Print)'!UnsdRmBdPrrtdCoPyDueDcsdDschdIndv, 7, 8, 1, 1))</f>
        <v>0</v>
      </c>
      <c r="E651" s="180"/>
      <c r="F651" s="180"/>
      <c r="G651" s="180"/>
      <c r="H651" s="180"/>
      <c r="I651" s="187"/>
      <c r="J651" s="180"/>
      <c r="K651" s="180"/>
      <c r="L651" s="188"/>
      <c r="M651" s="188"/>
      <c r="N651" s="188"/>
      <c r="O651" s="188"/>
      <c r="P651" s="189"/>
      <c r="Q651" s="188"/>
      <c r="R651" s="188"/>
      <c r="S651" s="188"/>
      <c r="T651" s="188"/>
      <c r="U651" s="189"/>
    </row>
    <row r="652" spans="1:21">
      <c r="A652" s="154">
        <f ca="1">OFFSET('ALRC Indiv Fund Summary (Print)'!UnsdRmBdPrrtdCoPyDueDcsdDschdIndv, 8, 6, 1, 1)</f>
        <v>0</v>
      </c>
      <c r="B652">
        <f ca="1">OFFSET('ALRC Indiv Fund Summary (Print)'!UnsdRmBdPrrtdCoPyDueDcsdDschdIndv, 8, 5, 1, 1)</f>
        <v>0</v>
      </c>
      <c r="C652" s="157">
        <f ca="1">IF(OFFSET('ALRC Indiv Fund Summary (Print)'!UnsdRmBdPrrtdCoPyDueDcsdDschdIndv, 8, 7, 1, 1) =DATE(1900,1,0),DATE(1900,1,1),OFFSET('ALRC Indiv Fund Summary (Print)'!UnsdRmBdPrrtdCoPyDueDcsdDschdIndv, 8, 7, 1, 1))</f>
        <v>1</v>
      </c>
      <c r="D652" s="185">
        <f ca="1">IF(OFFSET('ALRC Indiv Fund Summary (Print)'!UnsdRmBdPrrtdCoPyDueDcsdDschdIndv, 8, 8, 1, 1) = "", 0, OFFSET('ALRC Indiv Fund Summary (Print)'!UnsdRmBdPrrtdCoPyDueDcsdDschdIndv, 8, 8, 1, 1))</f>
        <v>0</v>
      </c>
      <c r="E652" s="180"/>
      <c r="F652" s="180"/>
      <c r="G652" s="180"/>
      <c r="H652" s="180"/>
      <c r="I652" s="187"/>
      <c r="J652" s="180"/>
      <c r="K652" s="180"/>
      <c r="L652" s="188"/>
      <c r="M652" s="188"/>
      <c r="N652" s="188"/>
      <c r="O652" s="188"/>
      <c r="P652" s="189"/>
      <c r="Q652" s="188"/>
      <c r="R652" s="188"/>
      <c r="S652" s="188"/>
      <c r="T652" s="188"/>
      <c r="U652" s="189"/>
    </row>
    <row r="653" spans="1:21">
      <c r="A653" s="154">
        <f ca="1">OFFSET('ALRC Indiv Fund Summary (Print)'!UnsdRmBdPrrtdCoPyDueDcsdDschdIndv, 9, 6, 1, 1)</f>
        <v>0</v>
      </c>
      <c r="B653">
        <f ca="1">OFFSET('ALRC Indiv Fund Summary (Print)'!UnsdRmBdPrrtdCoPyDueDcsdDschdIndv, 9, 5, 1, 1)</f>
        <v>0</v>
      </c>
      <c r="C653" s="157">
        <f ca="1">IF(OFFSET('ALRC Indiv Fund Summary (Print)'!UnsdRmBdPrrtdCoPyDueDcsdDschdIndv, 9, 7, 1, 1) =DATE(1900,1,0),DATE(1900,1,1),OFFSET('ALRC Indiv Fund Summary (Print)'!UnsdRmBdPrrtdCoPyDueDcsdDschdIndv, 9, 7, 1, 1))</f>
        <v>1</v>
      </c>
      <c r="D653" s="185">
        <f ca="1">IF(OFFSET('ALRC Indiv Fund Summary (Print)'!UnsdRmBdPrrtdCoPyDueDcsdDschdIndv, 9, 8, 1, 1) = "", 0, OFFSET('ALRC Indiv Fund Summary (Print)'!UnsdRmBdPrrtdCoPyDueDcsdDschdIndv, 9, 8, 1, 1))</f>
        <v>0</v>
      </c>
      <c r="E653" s="180"/>
      <c r="F653" s="180"/>
      <c r="G653" s="180"/>
      <c r="H653" s="180"/>
      <c r="I653" s="187"/>
      <c r="J653" s="180"/>
      <c r="K653" s="180"/>
      <c r="L653" s="188"/>
      <c r="M653" s="188"/>
      <c r="N653" s="188"/>
      <c r="O653" s="188"/>
      <c r="P653" s="189"/>
      <c r="Q653" s="188"/>
      <c r="R653" s="188"/>
      <c r="S653" s="188"/>
      <c r="T653" s="188"/>
      <c r="U653" s="189"/>
    </row>
    <row r="654" spans="1:21">
      <c r="A654" s="154">
        <f ca="1">OFFSET('ALRC Indiv Fund Summary (Print)'!UnsdRmBdPrrtdCoPyDueDcsdDschdIndv, 10, 6, 1, 1)</f>
        <v>0</v>
      </c>
      <c r="B654">
        <f ca="1">OFFSET('ALRC Indiv Fund Summary (Print)'!UnsdRmBdPrrtdCoPyDueDcsdDschdIndv, 10, 5, 1, 1)</f>
        <v>0</v>
      </c>
      <c r="C654" s="157">
        <f ca="1">IF(OFFSET('ALRC Indiv Fund Summary (Print)'!UnsdRmBdPrrtdCoPyDueDcsdDschdIndv, 10, 7, 1, 1) =DATE(1900,1,0),DATE(1900,1,1),OFFSET('ALRC Indiv Fund Summary (Print)'!UnsdRmBdPrrtdCoPyDueDcsdDschdIndv, 10, 7, 1, 1))</f>
        <v>1</v>
      </c>
      <c r="D654" s="185">
        <f ca="1">IF(OFFSET('ALRC Indiv Fund Summary (Print)'!UnsdRmBdPrrtdCoPyDueDcsdDschdIndv, 10, 8, 1, 1) = "", 0, OFFSET('ALRC Indiv Fund Summary (Print)'!UnsdRmBdPrrtdCoPyDueDcsdDschdIndv, 10, 8, 1, 1))</f>
        <v>0</v>
      </c>
      <c r="E654" s="180"/>
      <c r="F654" s="180"/>
      <c r="G654" s="180"/>
      <c r="H654" s="180"/>
      <c r="I654" s="187"/>
      <c r="J654" s="180"/>
      <c r="K654" s="180"/>
      <c r="L654" s="188"/>
      <c r="M654" s="188"/>
      <c r="N654" s="188"/>
      <c r="O654" s="188"/>
      <c r="P654" s="189"/>
      <c r="Q654" s="188"/>
      <c r="R654" s="188"/>
      <c r="S654" s="188"/>
      <c r="T654" s="188"/>
      <c r="U654" s="189"/>
    </row>
    <row r="655" spans="1:21">
      <c r="A655" s="154">
        <f ca="1">OFFSET('ALRC Indiv Fund Summary (Print)'!UnsdRmBdPrrtdCoPyDueDcsdDschdIndv, 11, 6, 1, 1)</f>
        <v>0</v>
      </c>
      <c r="B655">
        <f ca="1">OFFSET('ALRC Indiv Fund Summary (Print)'!UnsdRmBdPrrtdCoPyDueDcsdDschdIndv, 11, 5, 1, 1)</f>
        <v>0</v>
      </c>
      <c r="C655" s="157">
        <f ca="1">IF(OFFSET('ALRC Indiv Fund Summary (Print)'!UnsdRmBdPrrtdCoPyDueDcsdDschdIndv, 11, 7, 1, 1) =DATE(1900,1,0),DATE(1900,1,1),OFFSET('ALRC Indiv Fund Summary (Print)'!UnsdRmBdPrrtdCoPyDueDcsdDschdIndv, 11, 7, 1, 1))</f>
        <v>1</v>
      </c>
      <c r="D655" s="185">
        <f ca="1">IF(OFFSET('ALRC Indiv Fund Summary (Print)'!UnsdRmBdPrrtdCoPyDueDcsdDschdIndv, 11, 8, 1, 1) = "", 0, OFFSET('ALRC Indiv Fund Summary (Print)'!UnsdRmBdPrrtdCoPyDueDcsdDschdIndv, 11, 8, 1, 1))</f>
        <v>0</v>
      </c>
      <c r="E655" s="180"/>
      <c r="F655" s="180"/>
      <c r="G655" s="180"/>
      <c r="H655" s="180"/>
      <c r="I655" s="187"/>
      <c r="J655" s="180"/>
      <c r="K655" s="180"/>
      <c r="L655" s="188"/>
      <c r="M655" s="188"/>
      <c r="N655" s="188"/>
      <c r="O655" s="188"/>
      <c r="P655" s="189"/>
      <c r="Q655" s="188"/>
      <c r="R655" s="188"/>
      <c r="S655" s="188"/>
      <c r="T655" s="188"/>
      <c r="U655" s="189"/>
    </row>
    <row r="656" spans="1:21">
      <c r="A656" s="154">
        <f ca="1">OFFSET('ALRC Indiv Fund Summary (Print)'!UnsdRmBdPrrtdCoPyDueDcsdDschdIndv, 12, 6, 1, 1)</f>
        <v>0</v>
      </c>
      <c r="B656">
        <f ca="1">OFFSET('ALRC Indiv Fund Summary (Print)'!UnsdRmBdPrrtdCoPyDueDcsdDschdIndv, 12, 5, 1, 1)</f>
        <v>0</v>
      </c>
      <c r="C656" s="157">
        <f ca="1">IF(OFFSET('ALRC Indiv Fund Summary (Print)'!UnsdRmBdPrrtdCoPyDueDcsdDschdIndv, 12, 7, 1, 1) =DATE(1900,1,0),DATE(1900,1,1),OFFSET('ALRC Indiv Fund Summary (Print)'!UnsdRmBdPrrtdCoPyDueDcsdDschdIndv, 12, 7, 1, 1))</f>
        <v>1</v>
      </c>
      <c r="D656" s="185">
        <f ca="1">IF(OFFSET('ALRC Indiv Fund Summary (Print)'!UnsdRmBdPrrtdCoPyDueDcsdDschdIndv, 12, 8, 1, 1) = "", 0, OFFSET('ALRC Indiv Fund Summary (Print)'!UnsdRmBdPrrtdCoPyDueDcsdDschdIndv, 12, 8, 1, 1))</f>
        <v>0</v>
      </c>
      <c r="E656" s="180"/>
      <c r="F656" s="180"/>
      <c r="G656" s="180"/>
      <c r="H656" s="180"/>
      <c r="I656" s="187"/>
      <c r="J656" s="180"/>
      <c r="K656" s="180"/>
      <c r="L656" s="188"/>
      <c r="M656" s="188"/>
      <c r="N656" s="188"/>
      <c r="O656" s="188"/>
      <c r="P656" s="189"/>
      <c r="Q656" s="188"/>
      <c r="R656" s="188"/>
      <c r="S656" s="188"/>
      <c r="T656" s="188"/>
      <c r="U656" s="189"/>
    </row>
    <row r="657" spans="1:37">
      <c r="A657" s="154">
        <f ca="1">OFFSET('ALRC Indiv Fund Summary (Print)'!UnsdRmBdPrrtdCoPyDueDcsdDschdIndv, 13, 6, 1, 1)</f>
        <v>0</v>
      </c>
      <c r="B657">
        <f ca="1">OFFSET('ALRC Indiv Fund Summary (Print)'!UnsdRmBdPrrtdCoPyDueDcsdDschdIndv, 13, 5, 1, 1)</f>
        <v>0</v>
      </c>
      <c r="C657" s="157">
        <f ca="1">IF(OFFSET('ALRC Indiv Fund Summary (Print)'!UnsdRmBdPrrtdCoPyDueDcsdDschdIndv, 13, 7, 1, 1) =DATE(1900,1,0),DATE(1900,1,1),OFFSET('ALRC Indiv Fund Summary (Print)'!UnsdRmBdPrrtdCoPyDueDcsdDschdIndv, 13, 7, 1, 1))</f>
        <v>1</v>
      </c>
      <c r="D657" s="185">
        <f ca="1">IF(OFFSET('ALRC Indiv Fund Summary (Print)'!UnsdRmBdPrrtdCoPyDueDcsdDschdIndv, 13, 8, 1, 1) = "", 0, OFFSET('ALRC Indiv Fund Summary (Print)'!UnsdRmBdPrrtdCoPyDueDcsdDschdIndv, 13, 8, 1, 1))</f>
        <v>0</v>
      </c>
      <c r="E657" s="180"/>
      <c r="F657" s="180"/>
      <c r="G657" s="180"/>
      <c r="H657" s="180"/>
      <c r="I657" s="187"/>
      <c r="J657" s="180"/>
      <c r="K657" s="180"/>
      <c r="L657" s="188"/>
      <c r="M657" s="188"/>
      <c r="N657" s="188"/>
      <c r="O657" s="188"/>
      <c r="P657" s="189"/>
      <c r="Q657" s="188"/>
      <c r="R657" s="188"/>
      <c r="S657" s="188"/>
      <c r="T657" s="188"/>
      <c r="U657" s="189"/>
    </row>
    <row r="658" spans="1:37" ht="15" thickBot="1">
      <c r="A658" s="300">
        <f ca="1">OFFSET('ALRC Indiv Fund Summary (Print)'!UnsdRmBdPrrtdCoPyDueDcsdDschdIndv, 14, 6, 1, 1)</f>
        <v>0</v>
      </c>
      <c r="B658" s="201">
        <f ca="1">OFFSET('ALRC Indiv Fund Summary (Print)'!UnsdRmBdPrrtdCoPyDueDcsdDschdIndv, 14, 5, 1, 1)</f>
        <v>0</v>
      </c>
      <c r="C658" s="194">
        <f ca="1">IF(OFFSET('ALRC Indiv Fund Summary (Print)'!UnsdRmBdPrrtdCoPyDueDcsdDschdIndv, 14, 7, 1, 1) =DATE(1900,1,0),DATE(1900,1,1),OFFSET('ALRC Indiv Fund Summary (Print)'!UnsdRmBdPrrtdCoPyDueDcsdDschdIndv, 14, 7, 1, 1))</f>
        <v>1</v>
      </c>
      <c r="D658" s="186">
        <f ca="1">IF(OFFSET('ALRC Indiv Fund Summary (Print)'!UnsdRmBdPrrtdCoPyDueDcsdDschdIndv, 14, 8, 1, 1) = "", 0, OFFSET('ALRC Indiv Fund Summary (Print)'!UnsdRmBdPrrtdCoPyDueDcsdDschdIndv, 14, 8, 1, 1))</f>
        <v>0</v>
      </c>
      <c r="I658" s="177"/>
    </row>
    <row r="659" spans="1:37" ht="15" thickBot="1">
      <c r="A659" s="198"/>
      <c r="B659" s="199"/>
      <c r="C659" s="194"/>
      <c r="D659" s="200"/>
      <c r="E659" s="201"/>
      <c r="F659" s="201"/>
      <c r="G659" s="201"/>
      <c r="H659" s="201"/>
      <c r="I659" s="202"/>
    </row>
    <row r="660" spans="1:37">
      <c r="A660" s="188"/>
      <c r="B660" s="188"/>
      <c r="C660" s="157"/>
      <c r="D660" s="196"/>
    </row>
    <row r="661" spans="1:37" ht="15" thickBot="1">
      <c r="A661" t="s">
        <v>1280</v>
      </c>
    </row>
    <row r="662" spans="1:37" s="62" customFormat="1" ht="43.5">
      <c r="A662" s="153" t="s">
        <v>1020</v>
      </c>
      <c r="B662" s="312" t="s">
        <v>1021</v>
      </c>
      <c r="C662" s="312" t="s">
        <v>1022</v>
      </c>
      <c r="D662" s="312" t="s">
        <v>1023</v>
      </c>
      <c r="E662" s="312" t="s">
        <v>1024</v>
      </c>
      <c r="F662" s="312" t="s">
        <v>1025</v>
      </c>
      <c r="G662" s="312" t="s">
        <v>1026</v>
      </c>
      <c r="H662" s="312" t="s">
        <v>1027</v>
      </c>
      <c r="I662" s="312" t="s">
        <v>1459</v>
      </c>
      <c r="J662" s="312" t="s">
        <v>1460</v>
      </c>
      <c r="K662" s="312" t="s">
        <v>1461</v>
      </c>
      <c r="L662" s="311" t="s">
        <v>1541</v>
      </c>
    </row>
    <row r="663" spans="1:37">
      <c r="A663" s="206" t="str">
        <f>IF('Unlic. Empl. Reqs. (Print)'!B20="","",'Unlic. Empl. Reqs. (Print)'!B20)</f>
        <v/>
      </c>
      <c r="B663" s="157">
        <f>IF('Unlic. Empl. Reqs. (Print)'!E20=DATE(1900,1,0),DATE(1900,1,1),'Unlic. Empl. Reqs. (Print)'!E20)</f>
        <v>1</v>
      </c>
      <c r="H663" s="151" t="str">
        <f>IF('Unlic. Empl. Reqs. (Print)'!I20="","",'Unlic. Empl. Reqs. (Print)'!I20)</f>
        <v/>
      </c>
      <c r="I663" s="151" t="str">
        <f>IF('Unlic. Empl. Reqs. (Print)'!F20="","",'Unlic. Empl. Reqs. (Print)'!F20)</f>
        <v/>
      </c>
      <c r="J663" s="151" t="str">
        <f>IF('Unlic. Empl. Reqs. (Print)'!G20="","",'Unlic. Empl. Reqs. (Print)'!G20)</f>
        <v/>
      </c>
      <c r="K663" s="151" t="str">
        <f>IF('Unlic. Empl. Reqs. (Print)'!H20="","",'Unlic. Empl. Reqs. (Print)'!H20)</f>
        <v/>
      </c>
      <c r="L663" s="207" t="str">
        <f>IF('Unlic. Empl. Reqs. (Print)'!J20="","",'Unlic. Empl. Reqs. (Print)'!J20)</f>
        <v/>
      </c>
    </row>
    <row r="664" spans="1:37">
      <c r="A664" s="206" t="str">
        <f>IF('Unlic. Empl. Reqs. (Print)'!B21="","",'Unlic. Empl. Reqs. (Print)'!B21)</f>
        <v/>
      </c>
      <c r="B664" s="157">
        <f>IF('Unlic. Empl. Reqs. (Print)'!E21=DATE(1900,1,0),DATE(1900,1,1),'Unlic. Empl. Reqs. (Print)'!E21)</f>
        <v>1</v>
      </c>
      <c r="H664" s="151" t="str">
        <f>IF('Unlic. Empl. Reqs. (Print)'!I21="","",'Unlic. Empl. Reqs. (Print)'!I21)</f>
        <v/>
      </c>
      <c r="I664" s="151" t="str">
        <f>IF('Unlic. Empl. Reqs. (Print)'!F21="","",'Unlic. Empl. Reqs. (Print)'!F21)</f>
        <v/>
      </c>
      <c r="J664" s="151" t="str">
        <f>IF('Unlic. Empl. Reqs. (Print)'!G21="","",'Unlic. Empl. Reqs. (Print)'!G21)</f>
        <v/>
      </c>
      <c r="K664" s="151" t="str">
        <f>IF('Unlic. Empl. Reqs. (Print)'!H21="","",'Unlic. Empl. Reqs. (Print)'!H21)</f>
        <v/>
      </c>
      <c r="L664" s="207" t="str">
        <f>IF('Unlic. Empl. Reqs. (Print)'!J21="","",'Unlic. Empl. Reqs. (Print)'!J21)</f>
        <v/>
      </c>
    </row>
    <row r="665" spans="1:37">
      <c r="A665" s="206" t="str">
        <f>IF('Unlic. Empl. Reqs. (Print)'!B22="","",'Unlic. Empl. Reqs. (Print)'!B22)</f>
        <v/>
      </c>
      <c r="B665" s="157">
        <f>IF('Unlic. Empl. Reqs. (Print)'!E22=DATE(1900,1,0),DATE(1900,1,1),'Unlic. Empl. Reqs. (Print)'!E22)</f>
        <v>1</v>
      </c>
      <c r="H665" s="151" t="str">
        <f>IF('Unlic. Empl. Reqs. (Print)'!I22="","",'Unlic. Empl. Reqs. (Print)'!I22)</f>
        <v/>
      </c>
      <c r="I665" s="151" t="str">
        <f>IF('Unlic. Empl. Reqs. (Print)'!F22="","",'Unlic. Empl. Reqs. (Print)'!F22)</f>
        <v/>
      </c>
      <c r="J665" s="151" t="str">
        <f>IF('Unlic. Empl. Reqs. (Print)'!G22="","",'Unlic. Empl. Reqs. (Print)'!G22)</f>
        <v/>
      </c>
      <c r="K665" s="151" t="str">
        <f>IF('Unlic. Empl. Reqs. (Print)'!H22="","",'Unlic. Empl. Reqs. (Print)'!H22)</f>
        <v/>
      </c>
      <c r="L665" s="207" t="str">
        <f>IF('Unlic. Empl. Reqs. (Print)'!J22="","",'Unlic. Empl. Reqs. (Print)'!J22)</f>
        <v/>
      </c>
    </row>
    <row r="666" spans="1:37">
      <c r="A666" s="206" t="str">
        <f>IF('Unlic. Empl. Reqs. (Print)'!B23="","",'Unlic. Empl. Reqs. (Print)'!B23)</f>
        <v/>
      </c>
      <c r="B666" s="157">
        <f>IF('Unlic. Empl. Reqs. (Print)'!E23=DATE(1900,1,0),DATE(1900,1,1),'Unlic. Empl. Reqs. (Print)'!E23)</f>
        <v>1</v>
      </c>
      <c r="H666" s="151" t="str">
        <f>IF('Unlic. Empl. Reqs. (Print)'!I23="","",'Unlic. Empl. Reqs. (Print)'!I23)</f>
        <v/>
      </c>
      <c r="I666" s="151" t="str">
        <f>IF('Unlic. Empl. Reqs. (Print)'!F23="","",'Unlic. Empl. Reqs. (Print)'!F23)</f>
        <v/>
      </c>
      <c r="J666" s="151" t="str">
        <f>IF('Unlic. Empl. Reqs. (Print)'!G23="","",'Unlic. Empl. Reqs. (Print)'!G23)</f>
        <v/>
      </c>
      <c r="K666" s="151" t="str">
        <f>IF('Unlic. Empl. Reqs. (Print)'!H23="","",'Unlic. Empl. Reqs. (Print)'!H23)</f>
        <v/>
      </c>
      <c r="L666" s="207" t="str">
        <f>IF('Unlic. Empl. Reqs. (Print)'!J23="","",'Unlic. Empl. Reqs. (Print)'!J23)</f>
        <v/>
      </c>
    </row>
    <row r="667" spans="1:37">
      <c r="A667" s="206" t="str">
        <f>IF('Unlic. Empl. Reqs. (Print)'!B24="","",'Unlic. Empl. Reqs. (Print)'!B24)</f>
        <v/>
      </c>
      <c r="B667" s="157">
        <f>IF('Unlic. Empl. Reqs. (Print)'!E24=DATE(1900,1,0),DATE(1900,1,1),'Unlic. Empl. Reqs. (Print)'!E24)</f>
        <v>1</v>
      </c>
      <c r="H667" s="151" t="str">
        <f>IF('Unlic. Empl. Reqs. (Print)'!I24="","",'Unlic. Empl. Reqs. (Print)'!I24)</f>
        <v/>
      </c>
      <c r="I667" s="151" t="str">
        <f>IF('Unlic. Empl. Reqs. (Print)'!F24="","",'Unlic. Empl. Reqs. (Print)'!F24)</f>
        <v/>
      </c>
      <c r="J667" s="151" t="str">
        <f>IF('Unlic. Empl. Reqs. (Print)'!G24="","",'Unlic. Empl. Reqs. (Print)'!G24)</f>
        <v/>
      </c>
      <c r="K667" s="151" t="str">
        <f>IF('Unlic. Empl. Reqs. (Print)'!H24="","",'Unlic. Empl. Reqs. (Print)'!H24)</f>
        <v/>
      </c>
      <c r="L667" s="207" t="str">
        <f>IF('Unlic. Empl. Reqs. (Print)'!J24="","",'Unlic. Empl. Reqs. (Print)'!J24)</f>
        <v/>
      </c>
    </row>
    <row r="668" spans="1:37">
      <c r="A668" s="206" t="str">
        <f>IF('Unlic. Empl. Reqs. (Print)'!B25="","",'Unlic. Empl. Reqs. (Print)'!B25)</f>
        <v/>
      </c>
      <c r="B668" s="157">
        <f>IF('Unlic. Empl. Reqs. (Print)'!E25=DATE(1900,1,0),DATE(1900,1,1),'Unlic. Empl. Reqs. (Print)'!E25)</f>
        <v>1</v>
      </c>
      <c r="H668" s="151" t="str">
        <f>IF('Unlic. Empl. Reqs. (Print)'!I25="","",'Unlic. Empl. Reqs. (Print)'!I25)</f>
        <v/>
      </c>
      <c r="I668" s="151" t="str">
        <f>IF('Unlic. Empl. Reqs. (Print)'!F25="","",'Unlic. Empl. Reqs. (Print)'!F25)</f>
        <v/>
      </c>
      <c r="J668" s="151" t="str">
        <f>IF('Unlic. Empl. Reqs. (Print)'!G25="","",'Unlic. Empl. Reqs. (Print)'!G25)</f>
        <v/>
      </c>
      <c r="K668" s="151" t="str">
        <f>IF('Unlic. Empl. Reqs. (Print)'!H25="","",'Unlic. Empl. Reqs. (Print)'!H25)</f>
        <v/>
      </c>
      <c r="L668" s="207" t="str">
        <f>IF('Unlic. Empl. Reqs. (Print)'!J25="","",'Unlic. Empl. Reqs. (Print)'!J25)</f>
        <v/>
      </c>
    </row>
    <row r="669" spans="1:37">
      <c r="A669" s="206" t="str">
        <f>IF('Unlic. Empl. Reqs. (Print)'!B26="","",'Unlic. Empl. Reqs. (Print)'!B26)</f>
        <v/>
      </c>
      <c r="B669" s="157">
        <f>IF('Unlic. Empl. Reqs. (Print)'!E26=DATE(1900,1,0),DATE(1900,1,1),'Unlic. Empl. Reqs. (Print)'!E26)</f>
        <v>1</v>
      </c>
      <c r="H669" s="151" t="str">
        <f>IF('Unlic. Empl. Reqs. (Print)'!I26="","",'Unlic. Empl. Reqs. (Print)'!I26)</f>
        <v/>
      </c>
      <c r="I669" s="151" t="str">
        <f>IF('Unlic. Empl. Reqs. (Print)'!F26="","",'Unlic. Empl. Reqs. (Print)'!F26)</f>
        <v/>
      </c>
      <c r="J669" s="151" t="str">
        <f>IF('Unlic. Empl. Reqs. (Print)'!G26="","",'Unlic. Empl. Reqs. (Print)'!G26)</f>
        <v/>
      </c>
      <c r="K669" s="151" t="str">
        <f>IF('Unlic. Empl. Reqs. (Print)'!H26="","",'Unlic. Empl. Reqs. (Print)'!H26)</f>
        <v/>
      </c>
      <c r="L669" s="207" t="str">
        <f>IF('Unlic. Empl. Reqs. (Print)'!J26="","",'Unlic. Empl. Reqs. (Print)'!J26)</f>
        <v/>
      </c>
    </row>
    <row r="670" spans="1:37">
      <c r="A670" s="206" t="str">
        <f>IF('Unlic. Empl. Reqs. (Print)'!B27="","",'Unlic. Empl. Reqs. (Print)'!B27)</f>
        <v/>
      </c>
      <c r="B670" s="157">
        <f>IF('Unlic. Empl. Reqs. (Print)'!E27=DATE(1900,1,0),DATE(1900,1,1),'Unlic. Empl. Reqs. (Print)'!E27)</f>
        <v>1</v>
      </c>
      <c r="H670" s="151" t="str">
        <f>IF('Unlic. Empl. Reqs. (Print)'!I27="","",'Unlic. Empl. Reqs. (Print)'!I27)</f>
        <v/>
      </c>
      <c r="I670" s="151" t="str">
        <f>IF('Unlic. Empl. Reqs. (Print)'!F27="","",'Unlic. Empl. Reqs. (Print)'!F27)</f>
        <v/>
      </c>
      <c r="J670" s="151" t="str">
        <f>IF('Unlic. Empl. Reqs. (Print)'!G27="","",'Unlic. Empl. Reqs. (Print)'!G27)</f>
        <v/>
      </c>
      <c r="K670" s="151" t="str">
        <f>IF('Unlic. Empl. Reqs. (Print)'!H27="","",'Unlic. Empl. Reqs. (Print)'!H27)</f>
        <v/>
      </c>
      <c r="L670" s="207" t="str">
        <f>IF('Unlic. Empl. Reqs. (Print)'!J27="","",'Unlic. Empl. Reqs. (Print)'!J27)</f>
        <v/>
      </c>
    </row>
    <row r="671" spans="1:37" ht="15" thickBot="1">
      <c r="A671" s="206" t="str">
        <f>IF('Unlic. Empl. Reqs. (Print)'!B28="","",'Unlic. Empl. Reqs. (Print)'!B28)</f>
        <v/>
      </c>
      <c r="B671" s="157">
        <f>IF('Unlic. Empl. Reqs. (Print)'!E28=DATE(1900,1,0),DATE(1900,1,1),'Unlic. Empl. Reqs. (Print)'!E28)</f>
        <v>1</v>
      </c>
      <c r="H671" s="151" t="str">
        <f>IF('Unlic. Empl. Reqs. (Print)'!I28="","",'Unlic. Empl. Reqs. (Print)'!I28)</f>
        <v/>
      </c>
      <c r="I671" s="151" t="str">
        <f>IF('Unlic. Empl. Reqs. (Print)'!F28="","",'Unlic. Empl. Reqs. (Print)'!F28)</f>
        <v/>
      </c>
      <c r="J671" s="151" t="str">
        <f>IF('Unlic. Empl. Reqs. (Print)'!G28="","",'Unlic. Empl. Reqs. (Print)'!G28)</f>
        <v/>
      </c>
      <c r="K671" s="151" t="str">
        <f>IF('Unlic. Empl. Reqs. (Print)'!H28="","",'Unlic. Empl. Reqs. (Print)'!H28)</f>
        <v/>
      </c>
      <c r="L671" s="207" t="str">
        <f>IF('Unlic. Empl. Reqs. (Print)'!J28="","",'Unlic. Empl. Reqs. (Print)'!J28)</f>
        <v/>
      </c>
      <c r="AK671" s="156"/>
    </row>
    <row r="672" spans="1:37">
      <c r="A672" s="206" t="str">
        <f>IF('Unlic. Empl. Reqs. (Print)'!B29="","",'Unlic. Empl. Reqs. (Print)'!B29)</f>
        <v/>
      </c>
      <c r="B672" s="157">
        <f>IF('Unlic. Empl. Reqs. (Print)'!E29=DATE(1900,1,0),DATE(1900,1,1),'Unlic. Empl. Reqs. (Print)'!E29)</f>
        <v>1</v>
      </c>
      <c r="H672" s="151" t="str">
        <f>IF('Unlic. Empl. Reqs. (Print)'!I29="","",'Unlic. Empl. Reqs. (Print)'!I29)</f>
        <v/>
      </c>
      <c r="I672" s="151" t="str">
        <f>IF('Unlic. Empl. Reqs. (Print)'!F29="","",'Unlic. Empl. Reqs. (Print)'!F29)</f>
        <v/>
      </c>
      <c r="J672" s="151" t="str">
        <f>IF('Unlic. Empl. Reqs. (Print)'!G29="","",'Unlic. Empl. Reqs. (Print)'!G29)</f>
        <v/>
      </c>
      <c r="K672" s="151" t="str">
        <f>IF('Unlic. Empl. Reqs. (Print)'!H29="","",'Unlic. Empl. Reqs. (Print)'!H29)</f>
        <v/>
      </c>
      <c r="L672" s="207" t="str">
        <f>IF('Unlic. Empl. Reqs. (Print)'!J29="","",'Unlic. Empl. Reqs. (Print)'!J29)</f>
        <v/>
      </c>
    </row>
    <row r="673" spans="1:12">
      <c r="A673" s="206" t="str">
        <f>IF('Unlic. Empl. Reqs. (Print)'!B30="","",'Unlic. Empl. Reqs. (Print)'!B30)</f>
        <v/>
      </c>
      <c r="B673" s="157">
        <f>IF('Unlic. Empl. Reqs. (Print)'!E30=DATE(1900,1,0),DATE(1900,1,1),'Unlic. Empl. Reqs. (Print)'!E30)</f>
        <v>1</v>
      </c>
      <c r="H673" s="151" t="str">
        <f>IF('Unlic. Empl. Reqs. (Print)'!I30="","",'Unlic. Empl. Reqs. (Print)'!I30)</f>
        <v/>
      </c>
      <c r="I673" s="151" t="str">
        <f>IF('Unlic. Empl. Reqs. (Print)'!F30="","",'Unlic. Empl. Reqs. (Print)'!F30)</f>
        <v/>
      </c>
      <c r="J673" s="151" t="str">
        <f>IF('Unlic. Empl. Reqs. (Print)'!G30="","",'Unlic. Empl. Reqs. (Print)'!G30)</f>
        <v/>
      </c>
      <c r="K673" s="151" t="str">
        <f>IF('Unlic. Empl. Reqs. (Print)'!H30="","",'Unlic. Empl. Reqs. (Print)'!H30)</f>
        <v/>
      </c>
      <c r="L673" s="207" t="str">
        <f>IF('Unlic. Empl. Reqs. (Print)'!J30="","",'Unlic. Empl. Reqs. (Print)'!J30)</f>
        <v/>
      </c>
    </row>
    <row r="674" spans="1:12">
      <c r="A674" s="206" t="str">
        <f>IF('Unlic. Empl. Reqs. (Print)'!B31="","",'Unlic. Empl. Reqs. (Print)'!B31)</f>
        <v/>
      </c>
      <c r="B674" s="157">
        <f>IF('Unlic. Empl. Reqs. (Print)'!E31=DATE(1900,1,0),DATE(1900,1,1),'Unlic. Empl. Reqs. (Print)'!E31)</f>
        <v>1</v>
      </c>
      <c r="H674" s="151" t="str">
        <f>IF('Unlic. Empl. Reqs. (Print)'!I31="","",'Unlic. Empl. Reqs. (Print)'!I31)</f>
        <v/>
      </c>
      <c r="I674" s="151" t="str">
        <f>IF('Unlic. Empl. Reqs. (Print)'!F31="","",'Unlic. Empl. Reqs. (Print)'!F31)</f>
        <v/>
      </c>
      <c r="J674" s="151" t="str">
        <f>IF('Unlic. Empl. Reqs. (Print)'!G31="","",'Unlic. Empl. Reqs. (Print)'!G31)</f>
        <v/>
      </c>
      <c r="K674" s="151" t="str">
        <f>IF('Unlic. Empl. Reqs. (Print)'!H31="","",'Unlic. Empl. Reqs. (Print)'!H31)</f>
        <v/>
      </c>
      <c r="L674" s="207" t="str">
        <f>IF('Unlic. Empl. Reqs. (Print)'!J31="","",'Unlic. Empl. Reqs. (Print)'!J31)</f>
        <v/>
      </c>
    </row>
    <row r="675" spans="1:12">
      <c r="A675" s="206" t="str">
        <f>IF('Unlic. Empl. Reqs. (Print)'!B32="","",'Unlic. Empl. Reqs. (Print)'!B32)</f>
        <v/>
      </c>
      <c r="B675" s="157">
        <f>IF('Unlic. Empl. Reqs. (Print)'!E32=DATE(1900,1,0),DATE(1900,1,1),'Unlic. Empl. Reqs. (Print)'!E32)</f>
        <v>1</v>
      </c>
      <c r="H675" s="151" t="str">
        <f>IF('Unlic. Empl. Reqs. (Print)'!I32="","",'Unlic. Empl. Reqs. (Print)'!I32)</f>
        <v/>
      </c>
      <c r="I675" s="151" t="str">
        <f>IF('Unlic. Empl. Reqs. (Print)'!F32="","",'Unlic. Empl. Reqs. (Print)'!F32)</f>
        <v/>
      </c>
      <c r="J675" s="151" t="str">
        <f>IF('Unlic. Empl. Reqs. (Print)'!G32="","",'Unlic. Empl. Reqs. (Print)'!G32)</f>
        <v/>
      </c>
      <c r="K675" s="151" t="str">
        <f>IF('Unlic. Empl. Reqs. (Print)'!H32="","",'Unlic. Empl. Reqs. (Print)'!H32)</f>
        <v/>
      </c>
      <c r="L675" s="207" t="str">
        <f>IF('Unlic. Empl. Reqs. (Print)'!J32="","",'Unlic. Empl. Reqs. (Print)'!J32)</f>
        <v/>
      </c>
    </row>
    <row r="676" spans="1:12">
      <c r="A676" s="206" t="str">
        <f>IF('Unlic. Empl. Reqs. (Print)'!B33="","",'Unlic. Empl. Reqs. (Print)'!B33)</f>
        <v/>
      </c>
      <c r="B676" s="157">
        <f>IF('Unlic. Empl. Reqs. (Print)'!E33=DATE(1900,1,0),DATE(1900,1,1),'Unlic. Empl. Reqs. (Print)'!E33)</f>
        <v>1</v>
      </c>
      <c r="H676" s="151" t="str">
        <f>IF('Unlic. Empl. Reqs. (Print)'!I33="","",'Unlic. Empl. Reqs. (Print)'!I33)</f>
        <v/>
      </c>
      <c r="I676" s="151" t="str">
        <f>IF('Unlic. Empl. Reqs. (Print)'!F33="","",'Unlic. Empl. Reqs. (Print)'!F33)</f>
        <v/>
      </c>
      <c r="J676" s="151" t="str">
        <f>IF('Unlic. Empl. Reqs. (Print)'!G33="","",'Unlic. Empl. Reqs. (Print)'!G33)</f>
        <v/>
      </c>
      <c r="K676" s="151" t="str">
        <f>IF('Unlic. Empl. Reqs. (Print)'!H33="","",'Unlic. Empl. Reqs. (Print)'!H33)</f>
        <v/>
      </c>
      <c r="L676" s="207" t="str">
        <f>IF('Unlic. Empl. Reqs. (Print)'!J33="","",'Unlic. Empl. Reqs. (Print)'!J33)</f>
        <v/>
      </c>
    </row>
    <row r="677" spans="1:12">
      <c r="A677" s="206" t="str">
        <f>IF('Unlic. Empl. Reqs. (Print)'!B34="","",'Unlic. Empl. Reqs. (Print)'!B34)</f>
        <v/>
      </c>
      <c r="B677" s="157">
        <f>IF('Unlic. Empl. Reqs. (Print)'!E34=DATE(1900,1,0),DATE(1900,1,1),'Unlic. Empl. Reqs. (Print)'!E34)</f>
        <v>1</v>
      </c>
      <c r="H677" s="151" t="str">
        <f>IF('Unlic. Empl. Reqs. (Print)'!I34="","",'Unlic. Empl. Reqs. (Print)'!I34)</f>
        <v/>
      </c>
      <c r="I677" s="151" t="str">
        <f>IF('Unlic. Empl. Reqs. (Print)'!F34="","",'Unlic. Empl. Reqs. (Print)'!F34)</f>
        <v/>
      </c>
      <c r="J677" s="151" t="str">
        <f>IF('Unlic. Empl. Reqs. (Print)'!G34="","",'Unlic. Empl. Reqs. (Print)'!G34)</f>
        <v/>
      </c>
      <c r="K677" s="151" t="str">
        <f>IF('Unlic. Empl. Reqs. (Print)'!H34="","",'Unlic. Empl. Reqs. (Print)'!H34)</f>
        <v/>
      </c>
      <c r="L677" s="207" t="str">
        <f>IF('Unlic. Empl. Reqs. (Print)'!J34="","",'Unlic. Empl. Reqs. (Print)'!J34)</f>
        <v/>
      </c>
    </row>
    <row r="678" spans="1:12">
      <c r="A678" s="206" t="str">
        <f>IF('Unlic. Empl. Reqs. (Print)'!B35="","",'Unlic. Empl. Reqs. (Print)'!B35)</f>
        <v/>
      </c>
      <c r="B678" s="157">
        <f>IF('Unlic. Empl. Reqs. (Print)'!E35=DATE(1900,1,0),DATE(1900,1,1),'Unlic. Empl. Reqs. (Print)'!E35)</f>
        <v>1</v>
      </c>
      <c r="H678" s="151" t="str">
        <f>IF('Unlic. Empl. Reqs. (Print)'!I35="","",'Unlic. Empl. Reqs. (Print)'!I35)</f>
        <v/>
      </c>
      <c r="I678" s="151" t="str">
        <f>IF('Unlic. Empl. Reqs. (Print)'!F35="","",'Unlic. Empl. Reqs. (Print)'!F35)</f>
        <v/>
      </c>
      <c r="J678" s="151" t="str">
        <f>IF('Unlic. Empl. Reqs. (Print)'!G35="","",'Unlic. Empl. Reqs. (Print)'!G35)</f>
        <v/>
      </c>
      <c r="K678" s="151" t="str">
        <f>IF('Unlic. Empl. Reqs. (Print)'!H35="","",'Unlic. Empl. Reqs. (Print)'!H35)</f>
        <v/>
      </c>
      <c r="L678" s="207" t="str">
        <f>IF('Unlic. Empl. Reqs. (Print)'!J35="","",'Unlic. Empl. Reqs. (Print)'!J35)</f>
        <v/>
      </c>
    </row>
    <row r="679" spans="1:12">
      <c r="A679" s="206" t="str">
        <f>IF('Unlic. Empl. Reqs. (Print)'!B36="","",'Unlic. Empl. Reqs. (Print)'!B36)</f>
        <v/>
      </c>
      <c r="B679" s="157">
        <f>IF('Unlic. Empl. Reqs. (Print)'!E36=DATE(1900,1,0),DATE(1900,1,1),'Unlic. Empl. Reqs. (Print)'!E36)</f>
        <v>1</v>
      </c>
      <c r="H679" s="151" t="str">
        <f>IF('Unlic. Empl. Reqs. (Print)'!I36="","",'Unlic. Empl. Reqs. (Print)'!I36)</f>
        <v/>
      </c>
      <c r="I679" s="151" t="str">
        <f>IF('Unlic. Empl. Reqs. (Print)'!F36="","",'Unlic. Empl. Reqs. (Print)'!F36)</f>
        <v/>
      </c>
      <c r="J679" s="151" t="str">
        <f>IF('Unlic. Empl. Reqs. (Print)'!G36="","",'Unlic. Empl. Reqs. (Print)'!G36)</f>
        <v/>
      </c>
      <c r="K679" s="151" t="str">
        <f>IF('Unlic. Empl. Reqs. (Print)'!H36="","",'Unlic. Empl. Reqs. (Print)'!H36)</f>
        <v/>
      </c>
      <c r="L679" s="207" t="str">
        <f>IF('Unlic. Empl. Reqs. (Print)'!J36="","",'Unlic. Empl. Reqs. (Print)'!J36)</f>
        <v/>
      </c>
    </row>
    <row r="680" spans="1:12">
      <c r="A680" s="206" t="str">
        <f>IF('Unlic. Empl. Reqs. (Print)'!B37="","",'Unlic. Empl. Reqs. (Print)'!B37)</f>
        <v/>
      </c>
      <c r="B680" s="157">
        <f>IF('Unlic. Empl. Reqs. (Print)'!E37=DATE(1900,1,0),DATE(1900,1,1),'Unlic. Empl. Reqs. (Print)'!E37)</f>
        <v>1</v>
      </c>
      <c r="H680" s="151" t="str">
        <f>IF('Unlic. Empl. Reqs. (Print)'!I37="","",'Unlic. Empl. Reqs. (Print)'!I37)</f>
        <v/>
      </c>
      <c r="I680" s="151" t="str">
        <f>IF('Unlic. Empl. Reqs. (Print)'!F37="","",'Unlic. Empl. Reqs. (Print)'!F37)</f>
        <v/>
      </c>
      <c r="J680" s="151" t="str">
        <f>IF('Unlic. Empl. Reqs. (Print)'!G37="","",'Unlic. Empl. Reqs. (Print)'!G37)</f>
        <v/>
      </c>
      <c r="K680" s="151" t="str">
        <f>IF('Unlic. Empl. Reqs. (Print)'!H37="","",'Unlic. Empl. Reqs. (Print)'!H37)</f>
        <v/>
      </c>
      <c r="L680" s="207" t="str">
        <f>IF('Unlic. Empl. Reqs. (Print)'!J37="","",'Unlic. Empl. Reqs. (Print)'!J37)</f>
        <v/>
      </c>
    </row>
    <row r="681" spans="1:12">
      <c r="A681" s="206" t="str">
        <f>IF('Unlic. Empl. Reqs. (Print)'!B38="","",'Unlic. Empl. Reqs. (Print)'!B38)</f>
        <v/>
      </c>
      <c r="B681" s="157">
        <f>IF('Unlic. Empl. Reqs. (Print)'!E38=DATE(1900,1,0),DATE(1900,1,1),'Unlic. Empl. Reqs. (Print)'!E38)</f>
        <v>1</v>
      </c>
      <c r="H681" s="151" t="str">
        <f>IF('Unlic. Empl. Reqs. (Print)'!I38="","",'Unlic. Empl. Reqs. (Print)'!I38)</f>
        <v/>
      </c>
      <c r="I681" s="151" t="str">
        <f>IF('Unlic. Empl. Reqs. (Print)'!F38="","",'Unlic. Empl. Reqs. (Print)'!F38)</f>
        <v/>
      </c>
      <c r="J681" s="151" t="str">
        <f>IF('Unlic. Empl. Reqs. (Print)'!G38="","",'Unlic. Empl. Reqs. (Print)'!G38)</f>
        <v/>
      </c>
      <c r="K681" s="151" t="str">
        <f>IF('Unlic. Empl. Reqs. (Print)'!H38="","",'Unlic. Empl. Reqs. (Print)'!H38)</f>
        <v/>
      </c>
      <c r="L681" s="207" t="str">
        <f>IF('Unlic. Empl. Reqs. (Print)'!J38="","",'Unlic. Empl. Reqs. (Print)'!J38)</f>
        <v/>
      </c>
    </row>
    <row r="682" spans="1:12">
      <c r="A682" s="206" t="str">
        <f>IF('Unlic. Empl. Reqs. (Print)'!B39="","",'Unlic. Empl. Reqs. (Print)'!B39)</f>
        <v/>
      </c>
      <c r="B682" s="157">
        <f>IF('Unlic. Empl. Reqs. (Print)'!E39=DATE(1900,1,0),DATE(1900,1,1),'Unlic. Empl. Reqs. (Print)'!E39)</f>
        <v>1</v>
      </c>
      <c r="H682" s="151" t="str">
        <f>IF('Unlic. Empl. Reqs. (Print)'!I39="","",'Unlic. Empl. Reqs. (Print)'!I39)</f>
        <v/>
      </c>
      <c r="I682" s="151" t="str">
        <f>IF('Unlic. Empl. Reqs. (Print)'!F39="","",'Unlic. Empl. Reqs. (Print)'!F39)</f>
        <v/>
      </c>
      <c r="J682" s="151" t="str">
        <f>IF('Unlic. Empl. Reqs. (Print)'!G39="","",'Unlic. Empl. Reqs. (Print)'!G39)</f>
        <v/>
      </c>
      <c r="K682" s="151" t="str">
        <f>IF('Unlic. Empl. Reqs. (Print)'!H39="","",'Unlic. Empl. Reqs. (Print)'!H39)</f>
        <v/>
      </c>
      <c r="L682" s="207" t="str">
        <f>IF('Unlic. Empl. Reqs. (Print)'!J39="","",'Unlic. Empl. Reqs. (Print)'!J39)</f>
        <v/>
      </c>
    </row>
    <row r="683" spans="1:12">
      <c r="A683" s="206" t="str">
        <f>IF('Unlic. Empl. Reqs. (Print)'!B40="","",'Unlic. Empl. Reqs. (Print)'!B40)</f>
        <v/>
      </c>
      <c r="B683" s="157">
        <f>IF('Unlic. Empl. Reqs. (Print)'!E40=DATE(1900,1,0),DATE(1900,1,1),'Unlic. Empl. Reqs. (Print)'!E40)</f>
        <v>1</v>
      </c>
      <c r="H683" s="151" t="str">
        <f>IF('Unlic. Empl. Reqs. (Print)'!I40="","",'Unlic. Empl. Reqs. (Print)'!I40)</f>
        <v/>
      </c>
      <c r="I683" s="151" t="str">
        <f>IF('Unlic. Empl. Reqs. (Print)'!F40="","",'Unlic. Empl. Reqs. (Print)'!F40)</f>
        <v/>
      </c>
      <c r="J683" s="151" t="str">
        <f>IF('Unlic. Empl. Reqs. (Print)'!G40="","",'Unlic. Empl. Reqs. (Print)'!G40)</f>
        <v/>
      </c>
      <c r="K683" s="151" t="str">
        <f>IF('Unlic. Empl. Reqs. (Print)'!H40="","",'Unlic. Empl. Reqs. (Print)'!H40)</f>
        <v/>
      </c>
      <c r="L683" s="207" t="str">
        <f>IF('Unlic. Empl. Reqs. (Print)'!J40="","",'Unlic. Empl. Reqs. (Print)'!J40)</f>
        <v/>
      </c>
    </row>
    <row r="684" spans="1:12">
      <c r="A684" s="206" t="str">
        <f>IF('Unlic. Empl. Reqs. (Print)'!B41="","",'Unlic. Empl. Reqs. (Print)'!B41)</f>
        <v/>
      </c>
      <c r="B684" s="157">
        <f>IF('Unlic. Empl. Reqs. (Print)'!E41=DATE(1900,1,0),DATE(1900,1,1),'Unlic. Empl. Reqs. (Print)'!E41)</f>
        <v>1</v>
      </c>
      <c r="H684" s="151" t="str">
        <f>IF('Unlic. Empl. Reqs. (Print)'!I41="","",'Unlic. Empl. Reqs. (Print)'!I41)</f>
        <v/>
      </c>
      <c r="I684" s="151" t="str">
        <f>IF('Unlic. Empl. Reqs. (Print)'!F41="","",'Unlic. Empl. Reqs. (Print)'!F41)</f>
        <v/>
      </c>
      <c r="J684" s="151" t="str">
        <f>IF('Unlic. Empl. Reqs. (Print)'!G41="","",'Unlic. Empl. Reqs. (Print)'!G41)</f>
        <v/>
      </c>
      <c r="K684" s="151" t="str">
        <f>IF('Unlic. Empl. Reqs. (Print)'!H41="","",'Unlic. Empl. Reqs. (Print)'!H41)</f>
        <v/>
      </c>
      <c r="L684" s="207" t="str">
        <f>IF('Unlic. Empl. Reqs. (Print)'!J41="","",'Unlic. Empl. Reqs. (Print)'!J41)</f>
        <v/>
      </c>
    </row>
    <row r="685" spans="1:12">
      <c r="A685" s="206" t="str">
        <f>IF('Unlic. Empl. Reqs. (Print)'!B42="","",'Unlic. Empl. Reqs. (Print)'!B42)</f>
        <v/>
      </c>
      <c r="B685" s="157">
        <f>IF('Unlic. Empl. Reqs. (Print)'!E42=DATE(1900,1,0),DATE(1900,1,1),'Unlic. Empl. Reqs. (Print)'!E42)</f>
        <v>1</v>
      </c>
      <c r="H685" s="151" t="str">
        <f>IF('Unlic. Empl. Reqs. (Print)'!I42="","",'Unlic. Empl. Reqs. (Print)'!I42)</f>
        <v/>
      </c>
      <c r="I685" s="151" t="str">
        <f>IF('Unlic. Empl. Reqs. (Print)'!F42="","",'Unlic. Empl. Reqs. (Print)'!F42)</f>
        <v/>
      </c>
      <c r="J685" s="151" t="str">
        <f>IF('Unlic. Empl. Reqs. (Print)'!G42="","",'Unlic. Empl. Reqs. (Print)'!G42)</f>
        <v/>
      </c>
      <c r="K685" s="151" t="str">
        <f>IF('Unlic. Empl. Reqs. (Print)'!H42="","",'Unlic. Empl. Reqs. (Print)'!H42)</f>
        <v/>
      </c>
      <c r="L685" s="207" t="str">
        <f>IF('Unlic. Empl. Reqs. (Print)'!J42="","",'Unlic. Empl. Reqs. (Print)'!J42)</f>
        <v/>
      </c>
    </row>
    <row r="686" spans="1:12">
      <c r="A686" s="206" t="str">
        <f>IF('Unlic. Empl. Reqs. (Print)'!B43="","",'Unlic. Empl. Reqs. (Print)'!B43)</f>
        <v/>
      </c>
      <c r="B686" s="157">
        <f>IF('Unlic. Empl. Reqs. (Print)'!E43=DATE(1900,1,0),DATE(1900,1,1),'Unlic. Empl. Reqs. (Print)'!E43)</f>
        <v>1</v>
      </c>
      <c r="H686" s="151" t="str">
        <f>IF('Unlic. Empl. Reqs. (Print)'!I43="","",'Unlic. Empl. Reqs. (Print)'!I43)</f>
        <v/>
      </c>
      <c r="I686" s="151" t="str">
        <f>IF('Unlic. Empl. Reqs. (Print)'!F43="","",'Unlic. Empl. Reqs. (Print)'!F43)</f>
        <v/>
      </c>
      <c r="J686" s="151" t="str">
        <f>IF('Unlic. Empl. Reqs. (Print)'!G43="","",'Unlic. Empl. Reqs. (Print)'!G43)</f>
        <v/>
      </c>
      <c r="K686" s="151" t="str">
        <f>IF('Unlic. Empl. Reqs. (Print)'!H43="","",'Unlic. Empl. Reqs. (Print)'!H43)</f>
        <v/>
      </c>
      <c r="L686" s="207" t="str">
        <f>IF('Unlic. Empl. Reqs. (Print)'!J43="","",'Unlic. Empl. Reqs. (Print)'!J43)</f>
        <v/>
      </c>
    </row>
    <row r="687" spans="1:12">
      <c r="A687" s="206" t="str">
        <f>IF('Unlic. Empl. Reqs. (Print)'!B44="","",'Unlic. Empl. Reqs. (Print)'!B44)</f>
        <v/>
      </c>
      <c r="B687" s="157">
        <f>IF('Unlic. Empl. Reqs. (Print)'!E44=DATE(1900,1,0),DATE(1900,1,1),'Unlic. Empl. Reqs. (Print)'!E44)</f>
        <v>1</v>
      </c>
      <c r="H687" s="151" t="str">
        <f>IF('Unlic. Empl. Reqs. (Print)'!I44="","",'Unlic. Empl. Reqs. (Print)'!I44)</f>
        <v/>
      </c>
      <c r="I687" s="151" t="str">
        <f>IF('Unlic. Empl. Reqs. (Print)'!F44="","",'Unlic. Empl. Reqs. (Print)'!F44)</f>
        <v/>
      </c>
      <c r="J687" s="151" t="str">
        <f>IF('Unlic. Empl. Reqs. (Print)'!G44="","",'Unlic. Empl. Reqs. (Print)'!G44)</f>
        <v/>
      </c>
      <c r="K687" s="151" t="str">
        <f>IF('Unlic. Empl. Reqs. (Print)'!H44="","",'Unlic. Empl. Reqs. (Print)'!H44)</f>
        <v/>
      </c>
      <c r="L687" s="207" t="str">
        <f>IF('Unlic. Empl. Reqs. (Print)'!J44="","",'Unlic. Empl. Reqs. (Print)'!J44)</f>
        <v/>
      </c>
    </row>
    <row r="688" spans="1:12">
      <c r="A688" s="206" t="str">
        <f>IF('Unlic. Empl. Reqs. (Print)'!B45="","",'Unlic. Empl. Reqs. (Print)'!B45)</f>
        <v/>
      </c>
      <c r="B688" s="157">
        <f>IF('Unlic. Empl. Reqs. (Print)'!E45=DATE(1900,1,0),DATE(1900,1,1),'Unlic. Empl. Reqs. (Print)'!E45)</f>
        <v>1</v>
      </c>
      <c r="H688" s="151" t="str">
        <f>IF('Unlic. Empl. Reqs. (Print)'!I45="","",'Unlic. Empl. Reqs. (Print)'!I45)</f>
        <v/>
      </c>
      <c r="I688" s="151" t="str">
        <f>IF('Unlic. Empl. Reqs. (Print)'!F45="","",'Unlic. Empl. Reqs. (Print)'!F45)</f>
        <v/>
      </c>
      <c r="J688" s="151" t="str">
        <f>IF('Unlic. Empl. Reqs. (Print)'!G45="","",'Unlic. Empl. Reqs. (Print)'!G45)</f>
        <v/>
      </c>
      <c r="K688" s="151" t="str">
        <f>IF('Unlic. Empl. Reqs. (Print)'!H45="","",'Unlic. Empl. Reqs. (Print)'!H45)</f>
        <v/>
      </c>
      <c r="L688" s="207" t="str">
        <f>IF('Unlic. Empl. Reqs. (Print)'!J45="","",'Unlic. Empl. Reqs. (Print)'!J45)</f>
        <v/>
      </c>
    </row>
    <row r="689" spans="1:19">
      <c r="A689" s="206" t="str">
        <f>IF('Unlic. Empl. Reqs. (Print)'!B46="","",'Unlic. Empl. Reqs. (Print)'!B46)</f>
        <v/>
      </c>
      <c r="B689" s="157">
        <f>IF('Unlic. Empl. Reqs. (Print)'!E46=DATE(1900,1,0),DATE(1900,1,1),'Unlic. Empl. Reqs. (Print)'!E46)</f>
        <v>1</v>
      </c>
      <c r="H689" s="151" t="str">
        <f>IF('Unlic. Empl. Reqs. (Print)'!I46="","",'Unlic. Empl. Reqs. (Print)'!I46)</f>
        <v/>
      </c>
      <c r="I689" s="151" t="str">
        <f>IF('Unlic. Empl. Reqs. (Print)'!F46="","",'Unlic. Empl. Reqs. (Print)'!F46)</f>
        <v/>
      </c>
      <c r="J689" s="151" t="str">
        <f>IF('Unlic. Empl. Reqs. (Print)'!G46="","",'Unlic. Empl. Reqs. (Print)'!G46)</f>
        <v/>
      </c>
      <c r="K689" s="151" t="str">
        <f>IF('Unlic. Empl. Reqs. (Print)'!H46="","",'Unlic. Empl. Reqs. (Print)'!H46)</f>
        <v/>
      </c>
      <c r="L689" s="207" t="str">
        <f>IF('Unlic. Empl. Reqs. (Print)'!J46="","",'Unlic. Empl. Reqs. (Print)'!J46)</f>
        <v/>
      </c>
    </row>
    <row r="690" spans="1:19">
      <c r="A690" s="206" t="str">
        <f>IF('Unlic. Empl. Reqs. (Print)'!B47="","",'Unlic. Empl. Reqs. (Print)'!B47)</f>
        <v/>
      </c>
      <c r="B690" s="157">
        <f>IF('Unlic. Empl. Reqs. (Print)'!E47=DATE(1900,1,0),DATE(1900,1,1),'Unlic. Empl. Reqs. (Print)'!E47)</f>
        <v>1</v>
      </c>
      <c r="H690" s="151" t="str">
        <f>IF('Unlic. Empl. Reqs. (Print)'!I47="","",'Unlic. Empl. Reqs. (Print)'!I47)</f>
        <v/>
      </c>
      <c r="I690" s="151" t="str">
        <f>IF('Unlic. Empl. Reqs. (Print)'!F47="","",'Unlic. Empl. Reqs. (Print)'!F47)</f>
        <v/>
      </c>
      <c r="J690" s="151" t="str">
        <f>IF('Unlic. Empl. Reqs. (Print)'!G47="","",'Unlic. Empl. Reqs. (Print)'!G47)</f>
        <v/>
      </c>
      <c r="K690" s="151" t="str">
        <f>IF('Unlic. Empl. Reqs. (Print)'!H47="","",'Unlic. Empl. Reqs. (Print)'!H47)</f>
        <v/>
      </c>
      <c r="L690" s="207" t="str">
        <f>IF('Unlic. Empl. Reqs. (Print)'!J47="","",'Unlic. Empl. Reqs. (Print)'!J47)</f>
        <v/>
      </c>
    </row>
    <row r="691" spans="1:19">
      <c r="A691" s="206" t="str">
        <f>IF('Unlic. Empl. Reqs. (Print)'!B48="","",'Unlic. Empl. Reqs. (Print)'!B48)</f>
        <v/>
      </c>
      <c r="B691" s="157">
        <f>IF('Unlic. Empl. Reqs. (Print)'!E48=DATE(1900,1,0),DATE(1900,1,1),'Unlic. Empl. Reqs. (Print)'!E48)</f>
        <v>1</v>
      </c>
      <c r="H691" s="151" t="str">
        <f>IF('Unlic. Empl. Reqs. (Print)'!I48="","",'Unlic. Empl. Reqs. (Print)'!I48)</f>
        <v/>
      </c>
      <c r="I691" s="151" t="str">
        <f>IF('Unlic. Empl. Reqs. (Print)'!F48="","",'Unlic. Empl. Reqs. (Print)'!F48)</f>
        <v/>
      </c>
      <c r="J691" s="151" t="str">
        <f>IF('Unlic. Empl. Reqs. (Print)'!G48="","",'Unlic. Empl. Reqs. (Print)'!G48)</f>
        <v/>
      </c>
      <c r="K691" s="151" t="str">
        <f>IF('Unlic. Empl. Reqs. (Print)'!H48="","",'Unlic. Empl. Reqs. (Print)'!H48)</f>
        <v/>
      </c>
      <c r="L691" s="207" t="str">
        <f>IF('Unlic. Empl. Reqs. (Print)'!J48="","",'Unlic. Empl. Reqs. (Print)'!J48)</f>
        <v/>
      </c>
    </row>
    <row r="692" spans="1:19" ht="15" thickBot="1">
      <c r="A692" s="156" t="str">
        <f>IF('Unlic. Empl. Reqs. (Print)'!B49="","",'Unlic. Empl. Reqs. (Print)'!B49)</f>
        <v/>
      </c>
      <c r="B692" s="194">
        <f>IF('Unlic. Empl. Reqs. (Print)'!E49=DATE(1900,1,0),DATE(1900,1,1),'Unlic. Empl. Reqs. (Print)'!E49)</f>
        <v>1</v>
      </c>
      <c r="C692" s="201"/>
      <c r="D692" s="201"/>
      <c r="E692" s="201"/>
      <c r="F692" s="201"/>
      <c r="G692" s="201"/>
      <c r="H692" s="171" t="str">
        <f>IF('Unlic. Empl. Reqs. (Print)'!I49="","",'Unlic. Empl. Reqs. (Print)'!I49)</f>
        <v/>
      </c>
      <c r="I692" s="171" t="str">
        <f>IF('Unlic. Empl. Reqs. (Print)'!F49="","",'Unlic. Empl. Reqs. (Print)'!F49)</f>
        <v/>
      </c>
      <c r="J692" s="171" t="str">
        <f>IF('Unlic. Empl. Reqs. (Print)'!G49="","",'Unlic. Empl. Reqs. (Print)'!G49)</f>
        <v/>
      </c>
      <c r="K692" s="171" t="str">
        <f>IF('Unlic. Empl. Reqs. (Print)'!H49="","",'Unlic. Empl. Reqs. (Print)'!H49)</f>
        <v/>
      </c>
      <c r="L692" s="208" t="str">
        <f>IF('Unlic. Empl. Reqs. (Print)'!J49="","",'Unlic. Empl. Reqs. (Print)'!J49)</f>
        <v/>
      </c>
    </row>
    <row r="694" spans="1:19" ht="15" thickBot="1">
      <c r="A694" t="s">
        <v>1252</v>
      </c>
    </row>
    <row r="695" spans="1:19" s="62" customFormat="1">
      <c r="A695" s="153" t="s">
        <v>1030</v>
      </c>
      <c r="B695" s="312" t="s">
        <v>1031</v>
      </c>
      <c r="C695" s="267" t="s">
        <v>1032</v>
      </c>
      <c r="D695" s="279" t="s">
        <v>1033</v>
      </c>
    </row>
    <row r="696" spans="1:19" ht="15" thickBot="1">
      <c r="A696" s="197">
        <f>IF('Demand for Pmt Notice (Print)'!TotalDueCCADRC="",0,'Demand for Pmt Notice (Print)'!TotalDueCCADRC)</f>
        <v>0</v>
      </c>
      <c r="B696" s="174">
        <f>IF('Demand for Pmt Notice (Print)'!TotalDueCBAAL="",0,'Demand for Pmt Notice (Print)'!TotalDueCBAAL)</f>
        <v>0</v>
      </c>
      <c r="C696" s="280">
        <v>0</v>
      </c>
      <c r="D696" s="281">
        <v>0</v>
      </c>
    </row>
    <row r="698" spans="1:19" ht="15" thickBot="1">
      <c r="A698" t="s">
        <v>1270</v>
      </c>
    </row>
    <row r="699" spans="1:19" s="62" customFormat="1">
      <c r="A699" s="153" t="s">
        <v>1035</v>
      </c>
      <c r="B699" s="267" t="s">
        <v>1036</v>
      </c>
      <c r="C699" s="279" t="s">
        <v>1037</v>
      </c>
    </row>
    <row r="700" spans="1:19" ht="15" thickBot="1">
      <c r="A700" s="197">
        <f>IF('Demand for Pmt Notice (Print)'!TotalDueCBAOHR="",0,'Demand for Pmt Notice (Print)'!TotalDueCBAOHR)</f>
        <v>0</v>
      </c>
      <c r="B700" s="280">
        <v>0</v>
      </c>
      <c r="C700" s="281">
        <v>0</v>
      </c>
    </row>
    <row r="702" spans="1:19" ht="15" thickBot="1">
      <c r="A702" t="s">
        <v>1255</v>
      </c>
    </row>
    <row r="703" spans="1:19" s="62" customFormat="1" ht="29">
      <c r="A703" s="153" t="s">
        <v>1038</v>
      </c>
      <c r="B703" s="312" t="s">
        <v>1039</v>
      </c>
      <c r="C703" s="312" t="s">
        <v>1040</v>
      </c>
      <c r="D703" s="312" t="s">
        <v>1041</v>
      </c>
      <c r="E703" s="312" t="s">
        <v>1042</v>
      </c>
      <c r="F703" s="312" t="s">
        <v>1043</v>
      </c>
      <c r="G703" s="312" t="s">
        <v>1044</v>
      </c>
      <c r="H703" s="312" t="s">
        <v>1045</v>
      </c>
      <c r="I703" s="312" t="s">
        <v>1046</v>
      </c>
      <c r="J703" s="312" t="s">
        <v>1047</v>
      </c>
      <c r="K703" s="312" t="s">
        <v>1048</v>
      </c>
      <c r="L703" s="312" t="s">
        <v>1051</v>
      </c>
      <c r="M703" s="312" t="s">
        <v>1052</v>
      </c>
      <c r="N703" s="312" t="s">
        <v>1053</v>
      </c>
      <c r="O703" s="312" t="s">
        <v>1049</v>
      </c>
      <c r="P703" s="312" t="s">
        <v>1055</v>
      </c>
      <c r="Q703" s="312" t="s">
        <v>1056</v>
      </c>
      <c r="R703" s="312" t="s">
        <v>1054</v>
      </c>
      <c r="S703" s="311" t="s">
        <v>1050</v>
      </c>
    </row>
    <row r="704" spans="1:19" ht="15" thickBot="1">
      <c r="A704" s="203">
        <f>IF('ALRC Compliance Summary (Print)'!Std1Score = "", MINVALDBL, 'ALRC Compliance Summary (Print)'!Std1Score)</f>
        <v>-99999.99</v>
      </c>
      <c r="B704" s="173">
        <f>IF('ALRC Compliance Summary (Print)'!Std2Score = "", MINVALDBL, 'ALRC Compliance Summary (Print)'!Std2Score)</f>
        <v>-99999.99</v>
      </c>
      <c r="C704" s="173">
        <f>IF('ALRC Compliance Summary (Print)'!Std3Score = "", MINVALDBL, 'ALRC Compliance Summary (Print)'!Std3Score)</f>
        <v>-99999.99</v>
      </c>
      <c r="D704" s="173">
        <f>IF('ALRC Compliance Summary (Print)'!Std4Score = "", MINVALDBL, 'ALRC Compliance Summary (Print)'!Std4Score)</f>
        <v>-99999.99</v>
      </c>
      <c r="E704" s="173">
        <f>IF('ALRC Compliance Summary (Print)'!Std5Score = "", MINVALDBL, 'ALRC Compliance Summary (Print)'!Std5Score)</f>
        <v>-99999.99</v>
      </c>
      <c r="F704" s="173">
        <f>IF('ALRC Compliance Summary (Print)'!Std6Score = "", MINVALDBL, 'ALRC Compliance Summary (Print)'!Std6Score)</f>
        <v>-99999.99</v>
      </c>
      <c r="G704" s="173">
        <f>IF('ALRC Compliance Summary (Print)'!Std7Score = "", MINVALDBL, 'ALRC Compliance Summary (Print)'!Std7Score)</f>
        <v>-99999.99</v>
      </c>
      <c r="H704" s="173">
        <f>IF('ALRC Compliance Summary (Print)'!Std8Score = "", MINVALDBL, 'ALRC Compliance Summary (Print)'!Std8Score)</f>
        <v>-99999.99</v>
      </c>
      <c r="I704" s="173">
        <f>IF('ALRC Compliance Summary (Print)'!Std9Score = "", MINVALDBL, 'ALRC Compliance Summary (Print)'!Std9Score)</f>
        <v>-99999.99</v>
      </c>
      <c r="J704" s="173">
        <f>IF('ALRC Compliance Summary (Print)'!Std10Score = "", MINVALDBL, 'ALRC Compliance Summary (Print)'!Std10Score)</f>
        <v>-99999.99</v>
      </c>
      <c r="K704" s="173">
        <f>IF('ALRC Compliance Summary (Print)'!Std11Score = "", MINVALDBL, 'ALRC Compliance Summary (Print)'!Std11Score)</f>
        <v>-99999.99</v>
      </c>
      <c r="L704" s="172">
        <f>'ALRC Compliance Summary (Print)'!ALRCTotalYes</f>
        <v>0</v>
      </c>
      <c r="M704" s="172">
        <f>'ALRC Compliance Summary (Print)'!ALRCTotalNo</f>
        <v>0</v>
      </c>
      <c r="N704" s="172">
        <f>'ALRC Compliance Summary (Print)'!ALRCOverallTotal</f>
        <v>0</v>
      </c>
      <c r="O704" s="173">
        <f>IF('ALRC Compliance Summary (Print)'!OverallScore = "", MINVALDBL, 'ALRC Compliance Summary (Print)'!OverallScore)</f>
        <v>-99999.99</v>
      </c>
      <c r="P704" s="172">
        <f>'OHR Compliance Summary (Print)'!OHRTotalYes</f>
        <v>0</v>
      </c>
      <c r="Q704" s="172">
        <f>'OHR Compliance Summary (Print)'!OHRTotalNo</f>
        <v>0</v>
      </c>
      <c r="R704" s="172">
        <f>'OHR Compliance Summary (Print)'!OHROverallTotal</f>
        <v>0</v>
      </c>
      <c r="S704" s="204">
        <f>IF('OHR Compliance Summary (Print)'!OverallScore = "", MINVALDBL, 'OHR Compliance Summary (Print)'!OverallScore)</f>
        <v>-99999.99</v>
      </c>
    </row>
    <row r="705" spans="1:164" s="301" customFormat="1"/>
    <row r="706" spans="1:164" ht="15" thickBot="1">
      <c r="A706" t="s">
        <v>1261</v>
      </c>
    </row>
    <row r="707" spans="1:164" s="62" customFormat="1" ht="43.5">
      <c r="A707" s="153" t="s">
        <v>1057</v>
      </c>
      <c r="B707" s="312" t="s">
        <v>827</v>
      </c>
      <c r="C707" s="312" t="s">
        <v>828</v>
      </c>
      <c r="D707" s="312" t="s">
        <v>1462</v>
      </c>
      <c r="E707" s="312" t="s">
        <v>1463</v>
      </c>
      <c r="F707" s="205" t="s">
        <v>1058</v>
      </c>
      <c r="G707" s="205" t="s">
        <v>1034</v>
      </c>
      <c r="H707" s="282" t="s">
        <v>1028</v>
      </c>
      <c r="I707" s="282" t="s">
        <v>1029</v>
      </c>
      <c r="J707" s="205" t="s">
        <v>820</v>
      </c>
      <c r="K707" s="205" t="s">
        <v>819</v>
      </c>
      <c r="L707" s="205" t="s">
        <v>824</v>
      </c>
      <c r="M707" s="205" t="s">
        <v>825</v>
      </c>
      <c r="N707" s="205" t="s">
        <v>1059</v>
      </c>
      <c r="O707" s="312" t="s">
        <v>1061</v>
      </c>
      <c r="P707" s="312" t="s">
        <v>1062</v>
      </c>
      <c r="Q707" s="205" t="s">
        <v>1063</v>
      </c>
      <c r="R707" s="205" t="s">
        <v>1064</v>
      </c>
      <c r="S707" s="205" t="s">
        <v>1065</v>
      </c>
      <c r="T707" s="205" t="s">
        <v>1066</v>
      </c>
      <c r="U707" s="205" t="s">
        <v>1068</v>
      </c>
      <c r="V707" s="205" t="s">
        <v>1069</v>
      </c>
      <c r="W707" s="205" t="s">
        <v>1070</v>
      </c>
      <c r="X707" s="205" t="s">
        <v>1067</v>
      </c>
      <c r="Y707" s="312" t="s">
        <v>1071</v>
      </c>
      <c r="Z707" s="312" t="s">
        <v>1072</v>
      </c>
      <c r="AA707" s="312" t="s">
        <v>1073</v>
      </c>
      <c r="AB707" s="312" t="s">
        <v>1074</v>
      </c>
      <c r="AC707" s="312" t="s">
        <v>1075</v>
      </c>
      <c r="AD707" s="312" t="s">
        <v>1076</v>
      </c>
      <c r="AE707" s="312" t="s">
        <v>1077</v>
      </c>
      <c r="AF707" s="312" t="s">
        <v>1639</v>
      </c>
      <c r="AG707" s="312" t="s">
        <v>1640</v>
      </c>
      <c r="AH707" s="312" t="s">
        <v>1078</v>
      </c>
      <c r="AI707" s="312" t="s">
        <v>1079</v>
      </c>
      <c r="AJ707" s="312" t="s">
        <v>1080</v>
      </c>
      <c r="AK707" s="205" t="s">
        <v>1080</v>
      </c>
      <c r="AL707" s="205" t="s">
        <v>1081</v>
      </c>
      <c r="AM707" s="205" t="s">
        <v>1082</v>
      </c>
      <c r="AN707" s="205" t="s">
        <v>1083</v>
      </c>
      <c r="AO707" s="205" t="s">
        <v>1084</v>
      </c>
      <c r="AP707" s="205" t="s">
        <v>1085</v>
      </c>
      <c r="AQ707" s="205" t="s">
        <v>1086</v>
      </c>
      <c r="AR707" s="205" t="s">
        <v>1087</v>
      </c>
      <c r="AS707" s="205" t="s">
        <v>1088</v>
      </c>
      <c r="AT707" s="205" t="s">
        <v>1089</v>
      </c>
      <c r="AU707" s="205" t="s">
        <v>1090</v>
      </c>
      <c r="AV707" s="205" t="s">
        <v>1091</v>
      </c>
      <c r="AW707" s="205" t="s">
        <v>1092</v>
      </c>
      <c r="AX707" s="205" t="s">
        <v>1093</v>
      </c>
      <c r="AY707" s="205" t="s">
        <v>1094</v>
      </c>
      <c r="AZ707" s="205" t="s">
        <v>1095</v>
      </c>
      <c r="BA707" s="205" t="s">
        <v>1096</v>
      </c>
      <c r="BB707" s="205" t="s">
        <v>1097</v>
      </c>
      <c r="BC707" s="205" t="s">
        <v>1098</v>
      </c>
      <c r="BD707" s="205" t="s">
        <v>1099</v>
      </c>
      <c r="BE707" s="205" t="s">
        <v>1100</v>
      </c>
      <c r="BF707" s="205" t="s">
        <v>1101</v>
      </c>
      <c r="BG707" s="205" t="s">
        <v>1102</v>
      </c>
      <c r="BH707" s="205" t="s">
        <v>1103</v>
      </c>
      <c r="BI707" s="205" t="s">
        <v>1104</v>
      </c>
      <c r="BJ707" s="205" t="s">
        <v>1105</v>
      </c>
      <c r="BK707" s="205" t="s">
        <v>1106</v>
      </c>
      <c r="BL707" s="205" t="s">
        <v>1107</v>
      </c>
      <c r="BM707" s="205" t="s">
        <v>1108</v>
      </c>
      <c r="BN707" s="205" t="s">
        <v>1109</v>
      </c>
      <c r="BO707" s="205" t="s">
        <v>1110</v>
      </c>
      <c r="BP707" s="205" t="s">
        <v>1111</v>
      </c>
      <c r="BQ707" s="205" t="s">
        <v>1112</v>
      </c>
      <c r="BR707" s="205" t="s">
        <v>1113</v>
      </c>
      <c r="BS707" s="205" t="s">
        <v>1114</v>
      </c>
      <c r="BT707" s="205" t="s">
        <v>1115</v>
      </c>
      <c r="BU707" s="205" t="s">
        <v>1116</v>
      </c>
      <c r="BV707" s="205" t="s">
        <v>1117</v>
      </c>
      <c r="BW707" s="205" t="s">
        <v>1118</v>
      </c>
      <c r="BX707" s="205" t="s">
        <v>1119</v>
      </c>
      <c r="BY707" s="205" t="s">
        <v>1120</v>
      </c>
      <c r="BZ707" s="205" t="s">
        <v>1121</v>
      </c>
      <c r="CA707" s="205" t="s">
        <v>1122</v>
      </c>
      <c r="CB707" s="205" t="s">
        <v>1123</v>
      </c>
      <c r="CC707" s="205" t="s">
        <v>1124</v>
      </c>
      <c r="CD707" s="205" t="s">
        <v>1125</v>
      </c>
      <c r="CE707" s="312" t="s">
        <v>1126</v>
      </c>
      <c r="CF707" s="312" t="s">
        <v>1127</v>
      </c>
      <c r="CG707" s="312" t="s">
        <v>1128</v>
      </c>
      <c r="CH707" s="312" t="s">
        <v>1129</v>
      </c>
      <c r="CI707" s="312" t="s">
        <v>1130</v>
      </c>
      <c r="CJ707" s="312" t="s">
        <v>1131</v>
      </c>
      <c r="CK707" s="312" t="s">
        <v>1132</v>
      </c>
      <c r="CL707" s="312" t="s">
        <v>1133</v>
      </c>
      <c r="CM707" s="312" t="s">
        <v>1134</v>
      </c>
      <c r="CN707" s="312" t="s">
        <v>1135</v>
      </c>
      <c r="CO707" s="205" t="s">
        <v>1136</v>
      </c>
      <c r="CP707" s="205" t="s">
        <v>1137</v>
      </c>
      <c r="CQ707" s="205" t="s">
        <v>1138</v>
      </c>
      <c r="CR707" s="205" t="s">
        <v>1139</v>
      </c>
      <c r="CS707" s="312" t="s">
        <v>1140</v>
      </c>
      <c r="CT707" s="312" t="s">
        <v>1141</v>
      </c>
      <c r="CU707" s="312" t="s">
        <v>1142</v>
      </c>
      <c r="CV707" s="312" t="s">
        <v>1143</v>
      </c>
      <c r="CW707" s="312" t="s">
        <v>1144</v>
      </c>
      <c r="CX707" s="312" t="s">
        <v>1145</v>
      </c>
      <c r="CY707" s="312" t="s">
        <v>1146</v>
      </c>
      <c r="CZ707" s="312" t="s">
        <v>1147</v>
      </c>
      <c r="DA707" s="312" t="s">
        <v>1148</v>
      </c>
      <c r="DB707" s="312" t="s">
        <v>1149</v>
      </c>
      <c r="DC707" s="312" t="s">
        <v>1146</v>
      </c>
      <c r="DD707" s="312" t="s">
        <v>1147</v>
      </c>
      <c r="DE707" s="312" t="s">
        <v>1148</v>
      </c>
      <c r="DF707" s="312" t="s">
        <v>1149</v>
      </c>
      <c r="DG707" s="312" t="s">
        <v>1150</v>
      </c>
      <c r="DH707" s="312" t="s">
        <v>1151</v>
      </c>
      <c r="DI707" s="312" t="s">
        <v>1152</v>
      </c>
      <c r="DJ707" s="312" t="s">
        <v>1153</v>
      </c>
      <c r="DK707" s="312" t="s">
        <v>1154</v>
      </c>
      <c r="DL707" s="312" t="s">
        <v>1155</v>
      </c>
      <c r="DM707" s="312" t="s">
        <v>1156</v>
      </c>
      <c r="DN707" s="312" t="s">
        <v>1157</v>
      </c>
      <c r="DO707" s="312" t="s">
        <v>1158</v>
      </c>
      <c r="DP707" s="312" t="s">
        <v>1159</v>
      </c>
      <c r="DQ707" s="312" t="s">
        <v>1160</v>
      </c>
      <c r="DR707" s="312" t="s">
        <v>1161</v>
      </c>
      <c r="DS707" s="312" t="s">
        <v>1162</v>
      </c>
      <c r="DT707" s="312" t="s">
        <v>1163</v>
      </c>
      <c r="DU707" s="312" t="s">
        <v>1164</v>
      </c>
      <c r="DV707" s="312" t="s">
        <v>1165</v>
      </c>
      <c r="DW707" s="312" t="s">
        <v>1166</v>
      </c>
      <c r="DX707" s="312" t="s">
        <v>1167</v>
      </c>
      <c r="DY707" s="312" t="s">
        <v>1168</v>
      </c>
      <c r="DZ707" s="312" t="s">
        <v>1227</v>
      </c>
      <c r="EA707" s="312" t="s">
        <v>1169</v>
      </c>
      <c r="EB707" s="312" t="s">
        <v>1170</v>
      </c>
      <c r="EC707" s="312" t="s">
        <v>1171</v>
      </c>
      <c r="ED707" s="312" t="s">
        <v>1172</v>
      </c>
      <c r="EE707" s="312" t="s">
        <v>1173</v>
      </c>
      <c r="EF707" s="312" t="s">
        <v>1175</v>
      </c>
      <c r="EG707" s="312" t="s">
        <v>1176</v>
      </c>
      <c r="EH707" s="312" t="s">
        <v>1177</v>
      </c>
      <c r="EI707" s="312" t="s">
        <v>1178</v>
      </c>
      <c r="EJ707" s="312" t="s">
        <v>1179</v>
      </c>
      <c r="EK707" s="312" t="s">
        <v>1180</v>
      </c>
      <c r="EL707" s="312" t="s">
        <v>1181</v>
      </c>
      <c r="EM707" s="312" t="s">
        <v>1182</v>
      </c>
      <c r="EN707" s="312" t="s">
        <v>1183</v>
      </c>
      <c r="EO707" s="312" t="s">
        <v>1184</v>
      </c>
      <c r="EP707" s="312" t="s">
        <v>1174</v>
      </c>
      <c r="EQ707" s="312" t="s">
        <v>1185</v>
      </c>
      <c r="ER707" s="312" t="s">
        <v>1186</v>
      </c>
      <c r="ES707" s="312" t="s">
        <v>1187</v>
      </c>
      <c r="ET707" s="312" t="s">
        <v>1334</v>
      </c>
      <c r="EU707" s="312" t="s">
        <v>1335</v>
      </c>
      <c r="EV707" s="312" t="s">
        <v>1336</v>
      </c>
      <c r="EW707" s="312" t="s">
        <v>1337</v>
      </c>
      <c r="EX707" s="312" t="s">
        <v>1338</v>
      </c>
      <c r="EY707" s="312" t="s">
        <v>1339</v>
      </c>
      <c r="EZ707" s="312" t="s">
        <v>1340</v>
      </c>
      <c r="FA707" s="312" t="s">
        <v>1341</v>
      </c>
      <c r="FB707" s="312" t="s">
        <v>1342</v>
      </c>
      <c r="FC707" s="312" t="s">
        <v>1188</v>
      </c>
      <c r="FD707" s="312" t="s">
        <v>1192</v>
      </c>
      <c r="FE707" s="312" t="s">
        <v>1191</v>
      </c>
      <c r="FF707" s="312" t="s">
        <v>1190</v>
      </c>
      <c r="FG707" s="312" t="s">
        <v>1189</v>
      </c>
      <c r="FH707" s="311" t="s">
        <v>1431</v>
      </c>
    </row>
    <row r="708" spans="1:164">
      <c r="A708" s="206" t="s">
        <v>1060</v>
      </c>
      <c r="B708" s="157">
        <f>IF('Samples (Print)'!D5=DATE(1900,1,0),DATE(1900,1,1),'Samples (Print)'!D5)</f>
        <v>1</v>
      </c>
      <c r="C708" s="157">
        <f>IF('Samples (Print)'!E5=DATE(1900,1,0),DATE(1900,1,1),'Samples (Print)'!E5)</f>
        <v>1</v>
      </c>
      <c r="D708" s="319">
        <f>IF('IWP01'!FiscalReviewFirstMonth =DATE(1900,1,0),DATE(1900,1,1),'IWP01'!FiscalReviewFirstMonth)</f>
        <v>1</v>
      </c>
      <c r="E708" s="319">
        <f>IF('IWP01'!FiscalReviewSecondMonth =DATE(1900,1,0),DATE(1900,1,1),'IWP01'!FiscalReviewSecondMonth)</f>
        <v>1</v>
      </c>
      <c r="F708" s="13">
        <f>'IWP01'!SampleNumber</f>
        <v>1</v>
      </c>
      <c r="G708" s="13">
        <f ca="1">'IWP01'!ClientID</f>
        <v>0</v>
      </c>
      <c r="H708" s="283"/>
      <c r="I708" s="283"/>
      <c r="J708" s="151" t="str">
        <f ca="1">IF('IWP01'!ContractNumber = 0, "", 'IWP01'!ContractNumber)</f>
        <v/>
      </c>
      <c r="K708" s="151" t="str">
        <f ca="1">IF('IWP01'!ContractType = 0, "", 'IWP01'!ContractType)</f>
        <v/>
      </c>
      <c r="L708" s="151" t="str">
        <f>IF('IWP01'!CompletedByLastName = 0, "", 'IWP01'!CompletedByLastName)</f>
        <v/>
      </c>
      <c r="M708" s="151" t="str">
        <f>IF('IWP01'!CompletedByFirstName = 0, "", 'IWP01'!CompletedByFirstName)</f>
        <v/>
      </c>
      <c r="N708" s="157">
        <f>IF('IWP01'!DateCompleted =DATE(1900,1,0),DATE(1900,1,1),'IWP01'!DateCompleted)</f>
        <v>1</v>
      </c>
      <c r="O708" s="151" t="str">
        <f>IF('IWP01'!Std3NotCalc = 0, "", 'IWP01'!Std3NotCalc)</f>
        <v/>
      </c>
      <c r="P708" s="157">
        <f>IF('IWP01'!Std3dot1DateOfAdmission =DATE(1900,1,0),DATE(1900,1,1),'IWP01'!Std3dot1DateOfAdmission)</f>
        <v>1</v>
      </c>
      <c r="Q708" s="151" t="str">
        <f>IF('IWP01'!Std3dot1a = 0, "", 'IWP01'!Std3dot1a)</f>
        <v/>
      </c>
      <c r="R708" s="151" t="str">
        <f>IF('IWP01'!Std3dot1b = 0, "", 'IWP01'!Std3dot1b)</f>
        <v/>
      </c>
      <c r="S708" s="151" t="str">
        <f>IF('IWP01'!Std3dot1c = 0, "", 'IWP01'!Std3dot1c)</f>
        <v>NA</v>
      </c>
      <c r="T708" s="151" t="str">
        <f>IF('IWP01'!Std3dot1 = 0, "", 'IWP01'!Std3dot1)</f>
        <v/>
      </c>
      <c r="U708" s="151" t="str">
        <f>IF('IWP01'!Std3dot2a = 0, "", 'IWP01'!Std3dot2a)</f>
        <v/>
      </c>
      <c r="V708" s="151" t="str">
        <f>IF('IWP01'!Std3dot2b = 0, "", 'IWP01'!Std3dot2b)</f>
        <v/>
      </c>
      <c r="W708" s="151" t="str">
        <f>IF('IWP01'!Std3dot2c = 0, "", 'IWP01'!Std3dot2c)</f>
        <v/>
      </c>
      <c r="X708" s="151" t="str">
        <f>IF('IWP01'!Std3dot2 = 0, "", 'IWP01'!Std3dot2)</f>
        <v/>
      </c>
      <c r="Y708" s="151" t="str">
        <f>IF('IWP01'!Std4dot1Month1 = 0, "", 'IWP01'!Std4dot1Month1)</f>
        <v/>
      </c>
      <c r="Z708" s="157">
        <f>IF('IWP01'!Std4dot1Month1Date =DATE(1900,1,0),DATE(1900,1,1),'IWP01'!Std4dot1Month1Date)</f>
        <v>1</v>
      </c>
      <c r="AA708" s="151" t="str">
        <f>IF('IWP01'!Std4dot1Month2 = 0, "", 'IWP01'!Std4dot1Month2)</f>
        <v/>
      </c>
      <c r="AB708" s="157">
        <f>IF('IWP01'!Std4dot1Month2Date =DATE(1900,1,0),DATE(1900,1,1),'IWP01'!Std4dot1Month2Date)</f>
        <v>1</v>
      </c>
      <c r="AC708" s="151" t="str">
        <f>IF('IWP01'!Std4dot1 = 0, "", 'IWP01'!Std4dot1)</f>
        <v/>
      </c>
      <c r="AD708" s="151" t="str">
        <f>IF('IWP01'!Std4dot2NotCalc = 0, "", 'IWP01'!Std4dot2NotCalc)</f>
        <v/>
      </c>
      <c r="AE708" s="151" t="str">
        <f>IF('IWP01'!Std4dot2 = 0, "", 'IWP01'!Std4dot2)</f>
        <v/>
      </c>
      <c r="AF708" t="str">
        <f>IF('IWP01'!Std4dot3 = 0, "", 'IWP01'!Std4dot3)</f>
        <v/>
      </c>
      <c r="AG708" t="str">
        <f>IF('IWP01'!Std4dot4 = 0, "", 'IWP01'!Std4dot4)</f>
        <v/>
      </c>
      <c r="AH708" s="151" t="str">
        <f>IF('IWP01'!Std5NotCalc = 0, "", 'IWP01'!Std5NotCalc)</f>
        <v/>
      </c>
      <c r="AI708" s="151" t="str">
        <f>IF('IWP01'!Std5dot1 = 0, "", 'IWP01'!Std5dot1)</f>
        <v/>
      </c>
      <c r="AJ708" s="151" t="str">
        <f>IF('IWP01'!Std7dot1NotCalc = 0, "", 'IWP01'!Std7dot1NotCalc)</f>
        <v/>
      </c>
      <c r="AK708" s="151" t="str">
        <f>IF('IWP01'!Std7dot1NotCalc = 0, "", 'IWP01'!Std7dot1NotCalc)</f>
        <v/>
      </c>
      <c r="AL708" s="155">
        <f>'IWP01'!Std7dot1BalPerCshLog</f>
        <v>0</v>
      </c>
      <c r="AM708" s="155">
        <f>'IWP01'!Std7dot1LessAdj</f>
        <v>0</v>
      </c>
      <c r="AN708" s="155">
        <f>'IWP01'!Std7dot1AdjBal</f>
        <v>0</v>
      </c>
      <c r="AO708" s="155">
        <f>'IWP01'!Std7dot1CshOnHand</f>
        <v>0</v>
      </c>
      <c r="AP708" s="155">
        <f>'IWP01'!Std7dot1PtyCshOvrShrt</f>
        <v>0</v>
      </c>
      <c r="AQ708" s="151" t="str">
        <f>IF('IWP01'!Std7dot1OvrShrtCorr = 0, "", 'IWP01'!Std7dot1OvrShrtCorr)</f>
        <v/>
      </c>
      <c r="AR708" s="151" t="str">
        <f>IF('IWP01'!Std7dot1 = 0, "", 'IWP01'!Std7dot1)</f>
        <v/>
      </c>
      <c r="AS708" s="151" t="str">
        <f>IF('IWP01'!Std9dot1aNotCalc = 0, "", 'IWP01'!Std9dot1aNotCalc)</f>
        <v/>
      </c>
      <c r="AT708" s="151" t="str">
        <f>IF('IWP01'!Std9dot1bNotCalc = 0, "", 'IWP01'!Std9dot1bNotCalc)</f>
        <v/>
      </c>
      <c r="AU708" s="157">
        <f>IF('IWP01'!Std9BalPerBnkStmtDt =DATE(1900,1,0),DATE(1900,1,1),'IWP01'!Std9BalPerBnkStmtDt)</f>
        <v>1</v>
      </c>
      <c r="AV708" s="155">
        <f>'IWP01'!Std9BalPerBnkStmt</f>
        <v>0</v>
      </c>
      <c r="AW708" s="155">
        <f>'IWP01'!Std9TotDepsInTrans</f>
        <v>0</v>
      </c>
      <c r="AX708" s="155">
        <f>'IWP01'!Std9TotOutsChks</f>
        <v>0</v>
      </c>
      <c r="AY708" s="155">
        <f>'IWP01'!Std9AdjBalPerBank</f>
        <v>0</v>
      </c>
      <c r="AZ708" s="157">
        <f>IF('IWP01'!Std9TotPtyCshIndvDt =DATE(1900,1,0),DATE(1900,1,1),'IWP01'!Std9TotPtyCshIndvDt)</f>
        <v>1</v>
      </c>
      <c r="BA708" s="155">
        <f>'IWP01'!Std9TotPtyCshIndv</f>
        <v>0</v>
      </c>
      <c r="BB708" s="155">
        <f>'IWP01'!Std9TotCshBnkAndHnd</f>
        <v>0</v>
      </c>
      <c r="BC708" s="157">
        <f>IF('IWP01'!Std9BalPerBksDt =DATE(1900,1,0),DATE(1900,1,1),'IWP01'!Std9BalPerBksDt)</f>
        <v>1</v>
      </c>
      <c r="BD708" s="155">
        <f>'IWP01'!Std9BalPerBks</f>
        <v>0</v>
      </c>
      <c r="BE708" s="155">
        <f>'IWP01'!Std9UnapplErndInt</f>
        <v>0</v>
      </c>
      <c r="BF708" s="155">
        <f>'IWP01'!Std9UnpstdRcptDsbrsmts</f>
        <v>0</v>
      </c>
      <c r="BG708" s="155">
        <f>'IWP01'!Std9NsfChks</f>
        <v>0</v>
      </c>
      <c r="BH708" s="155">
        <f>'IWP01'!Std9AdjBalPerBks</f>
        <v>0</v>
      </c>
      <c r="BI708" s="155">
        <f>'IWP01'!Std9TrstFndAcctOvrShrt</f>
        <v>0</v>
      </c>
      <c r="BJ708" s="151" t="str">
        <f>IF('IWP01'!Std9OvrShrtCorrctd = 0, "", 'IWP01'!Std9OvrShrtCorrctd)</f>
        <v/>
      </c>
      <c r="BK708" s="151" t="str">
        <f>IF('IWP01'!Std9ShrtUnreimbSvcChg = 0, "", 'IWP01'!Std9ShrtUnreimbSvcChg)</f>
        <v/>
      </c>
      <c r="BL708" s="151" t="str">
        <f>IF('IWP01'!Std9dot1 = 0, "", 'IWP01'!Std9dot1)</f>
        <v/>
      </c>
      <c r="BM708" s="151" t="str">
        <f>IF('IWP01'!Std10dot1NotCalc = 0, "", 'IWP01'!Std10dot1NotCalc)</f>
        <v/>
      </c>
      <c r="BN708" s="319">
        <f>IF('IWP01'!FiscalReviewFirstMonth =DATE(1900,1,0),DATE(1900,1,1),'IWP01'!FiscalReviewFirstMonth)</f>
        <v>1</v>
      </c>
      <c r="BO708" s="155">
        <f>'IWP01'!Std10dot1TotalAmt1</f>
        <v>0</v>
      </c>
      <c r="BP708" s="319">
        <f>IF('IWP01'!FiscalReviewSecondMonth =DATE(1900,1,0),DATE(1900,1,1),'IWP01'!FiscalReviewSecondMonth)</f>
        <v>1</v>
      </c>
      <c r="BQ708" s="155">
        <f>'IWP01'!Std10dot1TotalAmt2</f>
        <v>0</v>
      </c>
      <c r="BR708" s="151" t="str">
        <f>IF('IWP01'!Std10dot1 = 0, "", 'IWP01'!Std10dot1)</f>
        <v/>
      </c>
      <c r="BS708" s="151" t="str">
        <f>IF('IWP01'!Std10dot2NotCalc = 0, "", 'IWP01'!Std10dot2NotCalc)</f>
        <v/>
      </c>
      <c r="BT708" s="319">
        <f>IF('IWP01'!FiscalReviewFirstMonth =DATE(1900,1,0),DATE(1900,1,1),'IWP01'!FiscalReviewFirstMonth)</f>
        <v>1</v>
      </c>
      <c r="BU708" s="155">
        <f>'IWP01'!Std10dot2BankChgs1</f>
        <v>0</v>
      </c>
      <c r="BV708" s="319">
        <f>IF('IWP01'!FiscalReviewSecondMonth =DATE(1900,1,0),DATE(1900,1,1),'IWP01'!FiscalReviewSecondMonth)</f>
        <v>1</v>
      </c>
      <c r="BW708" s="155">
        <f>'IWP01'!Std10dot2BankChgs2</f>
        <v>0</v>
      </c>
      <c r="BX708" s="151" t="str">
        <f>IF('IWP01'!Std10dot2 = 0, "", 'IWP01'!Std10dot2)</f>
        <v/>
      </c>
      <c r="BY708" s="151" t="str">
        <f>IF('IWP01'!Std10dot3NotCalc = 0, "", 'IWP01'!Std10dot3NotCalc)</f>
        <v/>
      </c>
      <c r="BZ708" s="151" t="str">
        <f>IF('IWP01'!Std10dot3 = 0, "", 'IWP01'!Std10dot3)</f>
        <v/>
      </c>
      <c r="CA708" s="151" t="str">
        <f>IF('IWP01'!Std10dot4NotCalc = 0, "", 'IWP01'!Std10dot4NotCalc)</f>
        <v/>
      </c>
      <c r="CB708" s="151" t="str">
        <f>IF('IWP01'!Std10dot4 = 0, "", 'IWP01'!Std10dot4)</f>
        <v/>
      </c>
      <c r="CC708" s="151" t="str">
        <f>IF('IWP01'!Std10dot5 = 0, "", 'IWP01'!Std10dot5)</f>
        <v/>
      </c>
      <c r="CD708" s="151" t="str">
        <f>IF('IWP01'!Std10dot6NotCalc = 0, "", 'IWP01'!Std10dot6NotCalc)</f>
        <v/>
      </c>
      <c r="CE708" s="157">
        <f>IF('IWP01'!Std10dot6DateOfDeathDischarge =DATE(1900,1,0),DATE(1900,1,1),'IWP01'!Std10dot6DateOfDeathDischarge)</f>
        <v>1</v>
      </c>
      <c r="CF708" s="151" t="str">
        <f>IF('IWP01'!Std10dot6DthDschg = 0, "", 'IWP01'!Std10dot6DthDschg)</f>
        <v/>
      </c>
      <c r="CG708" s="155">
        <f>'IWP01'!Std10dot6TrustFundAmtDue</f>
        <v>0</v>
      </c>
      <c r="CH708" s="155">
        <f>'IWP01'!Std10dot6IndvPtyCshAmtDue</f>
        <v>0</v>
      </c>
      <c r="CI708" s="155">
        <f>'IWP01'!Std10dot6TotRfndDue</f>
        <v>0</v>
      </c>
      <c r="CJ708" s="155">
        <f>'IWP01'!Std10dot6AmtRfnd</f>
        <v>0</v>
      </c>
      <c r="CK708" s="155">
        <f>'IWP01'!Std10dot6DminusE</f>
        <v>0</v>
      </c>
      <c r="CL708" s="151" t="str">
        <f>IF('IWP01'!Std10dot6LastName = 0, "", 'IWP01'!Std10dot6LastName)</f>
        <v/>
      </c>
      <c r="CM708" s="151" t="str">
        <f>IF('IWP01'!Std10dot6FirstName = 0, "", 'IWP01'!Std10dot6FirstName)</f>
        <v/>
      </c>
      <c r="CN708" s="157">
        <f>IF('IWP01'!Std10dot6DateOfRefund =DATE(1900,1,0),DATE(1900,1,1),'IWP01'!Std10dot6DateOfRefund)</f>
        <v>1</v>
      </c>
      <c r="CO708" s="151" t="str">
        <f>IF('IWP01'!Std10dot6a = 0, "", 'IWP01'!Std10dot6a)</f>
        <v/>
      </c>
      <c r="CP708" s="151" t="str">
        <f>IF('IWP01'!Std10dot6b = 0, "", 'IWP01'!Std10dot6b)</f>
        <v/>
      </c>
      <c r="CQ708" s="151" t="str">
        <f>IF('IWP01'!Std10dot6c = 0, "", 'IWP01'!Std10dot6c)</f>
        <v/>
      </c>
      <c r="CR708" s="151" t="str">
        <f>IF('IWP01'!Std10dot6 = "", "", 'IWP01'!Std10dot6)</f>
        <v/>
      </c>
      <c r="CS708" s="151" t="str">
        <f>IF('IWP01'!Std11dot1aNotCalc = 0, "", 'IWP01'!Std11dot1aNotCalc)</f>
        <v/>
      </c>
      <c r="CT708" s="151" t="str">
        <f>IF('IWP01'!Std11dot1bNotCalc = 0, "", 'IWP01'!Std11dot1bNotCalc)</f>
        <v>N</v>
      </c>
      <c r="CU708" s="151" t="str">
        <f>IF('IWP01'!Std11dot1cNotCalc = 0, "", 'IWP01'!Std11dot1cNotCalc)</f>
        <v>N</v>
      </c>
      <c r="CV708" s="151" t="str">
        <f>IF('IWP01'!Std11dot1dNotCalc = 0, "", 'IWP01'!Std11dot1dNotCalc)</f>
        <v/>
      </c>
      <c r="CW708" s="151" t="str">
        <f>IF('IWP01'!Std11dot1eNotCalc = 0, "", 'IWP01'!Std11dot1eNotCalc)</f>
        <v/>
      </c>
      <c r="CX708" s="151" t="str">
        <f>IF('IWP01'!Std11dot1fNotCalc = 0, "", 'IWP01'!Std11dot1fNotCalc)</f>
        <v/>
      </c>
      <c r="CY708" s="151" t="str">
        <f>IF('IWP01'!Std11dot1PrivateLivingSpace = 0, "", 'IWP01'!Std11dot1PrivateLivingSpace)</f>
        <v/>
      </c>
      <c r="CZ708" s="155">
        <f>'IWP01'!Std11dot1LivingWidth</f>
        <v>0</v>
      </c>
      <c r="DA708" s="155">
        <f>'IWP01'!Std11dot1LivingLength</f>
        <v>0</v>
      </c>
      <c r="DB708" s="155">
        <f>IF('IWP01'!Std11dot1LivingSqFt = "", MINVALDBL, 'IWP01'!Std11dot1LivingSqFt)</f>
        <v>-99999.99</v>
      </c>
      <c r="DC708" s="151" t="str">
        <f>IF('IWP01'!Std11dot1PrivateLivingSpace = 0, "", 'IWP01'!Std11dot1PrivateLivingSpace)</f>
        <v/>
      </c>
      <c r="DD708" s="155">
        <f>'IWP01'!Std11dot1LivingWidth</f>
        <v>0</v>
      </c>
      <c r="DE708" s="155">
        <f>'IWP01'!Std11dot1LivingLength</f>
        <v>0</v>
      </c>
      <c r="DF708" s="155">
        <f>IF('IWP01'!Std11dot1LivingSqFt = "", MINVALDBL, 'IWP01'!Std11dot1LivingSqFt)</f>
        <v>-99999.99</v>
      </c>
      <c r="DG708" s="151" t="str">
        <f>IF('IWP01'!Std11dot1PrivateBedSpace = 0, "", 'IWP01'!Std11dot1PrivateBedSpace)</f>
        <v/>
      </c>
      <c r="DH708" s="155">
        <f>'IWP01'!Std11dot1BdrmWidth</f>
        <v>0</v>
      </c>
      <c r="DI708" s="155">
        <f>'IWP01'!Std11dot1BdrmLength</f>
        <v>0</v>
      </c>
      <c r="DJ708" s="155">
        <f>IF('IWP01'!Std11dot1BdrmSqFt = "", MINVALDBL, 'IWP01'!Std11dot1BdrmSqFt)</f>
        <v>-99999.99</v>
      </c>
      <c r="DK708" s="151" t="str">
        <f>IF('IWP01'!Std11dot1PrivateStorageSpace = 0, "", 'IWP01'!Std11dot1PrivateStorageSpace)</f>
        <v/>
      </c>
      <c r="DL708" s="155">
        <f>'IWP01'!Std11dot1StorageWidth</f>
        <v>0</v>
      </c>
      <c r="DM708" s="155">
        <f>'IWP01'!Std11dot1StorageLength</f>
        <v>0</v>
      </c>
      <c r="DN708" s="155">
        <f>IF('IWP01'!Std11dot1StorageSqFt = "", 0, 'IWP01'!Std11dot1StorageSqFt)</f>
        <v>0</v>
      </c>
      <c r="DO708" s="151" t="str">
        <f>IF('IWP01'!Std11dot1PrivateKitchenSpace = 0, "", 'IWP01'!Std11dot1PrivateKitchenSpace)</f>
        <v/>
      </c>
      <c r="DP708" s="155">
        <f>'IWP01'!Std11dot1KitchenWidth</f>
        <v>0</v>
      </c>
      <c r="DQ708" s="155">
        <f>'IWP01'!Std11dot1KitchenLength</f>
        <v>0</v>
      </c>
      <c r="DR708" s="155">
        <f>IF('IWP01'!Std11dot1KitchenSqFt = "", MINVALDBL, 'IWP01'!Std11dot1KitchenSqFt)</f>
        <v>-99999.99</v>
      </c>
      <c r="DS708" s="151" t="str">
        <f>IF('IWP01'!Std11dot1KitchenSink = 0, "", 'IWP01'!Std11dot1KitchenSink)</f>
        <v/>
      </c>
      <c r="DT708" s="151" t="str">
        <f>IF('IWP01'!Std11dot1Refrigerator = 0, "", 'IWP01'!Std11dot1Refrigerator)</f>
        <v/>
      </c>
      <c r="DU708" s="151" t="str">
        <f>IF('IWP01'!Std11dot1StoveMicrowave = 0, "", 'IWP01'!Std11dot1StoveMicrowave)</f>
        <v/>
      </c>
      <c r="DV708" s="151" t="str">
        <f>IF('IWP01'!Std11dot1SeparateBath = 0, "", 'IWP01'!Std11dot1SeparateBath)</f>
        <v/>
      </c>
      <c r="DW708" s="151" t="str">
        <f>IF('IWP01'!Std11dot1BathSink = 0, "", 'IWP01'!Std11dot1BathSink)</f>
        <v/>
      </c>
      <c r="DX708" s="151" t="str">
        <f>IF('IWP01'!Std11dot1ShowerTubAccessible = 0, "", 'IWP01'!Std11dot1ShowerTubAccessible)</f>
        <v/>
      </c>
      <c r="DY708" s="155">
        <f>'IWP01'!Std11dot1TotalPrivateSpace</f>
        <v>0</v>
      </c>
      <c r="DZ708" s="155">
        <f>'IWP01'!Std11dot1PrivateSpaceSquareFootagePerResident</f>
        <v>0</v>
      </c>
      <c r="EA708" s="155">
        <f>IF('IWP01'!Std11dot1TotalSquareFootagePerResident = "", MINVALDBL, 'IWP01'!Std11dot1TotalSquareFootagePerResident)</f>
        <v>-99999.99</v>
      </c>
      <c r="EB708" s="155">
        <f>'IWP01'!Std11dot1UseableCommonAreaSquareFootage</f>
        <v>0</v>
      </c>
      <c r="EC708" s="155">
        <f>'IWP01'!Std11dot1LicensedCapacity</f>
        <v>0</v>
      </c>
      <c r="ED708" s="155">
        <f>IF('IWP01'!Std11dot1CommonAreaSquareFootagePerResident = "", MINVALDBL, 'IWP01'!Std11dot1CommonAreaSquareFootagePerResident)</f>
        <v>-99999.99</v>
      </c>
      <c r="EE708" s="151" t="str">
        <f>IF('IWP01'!Std11dot1a = 0, "", 'IWP01'!Std11dot1a)</f>
        <v/>
      </c>
      <c r="EF708" s="151" t="str">
        <f>IF('IWP01'!Std11dot1b = 0, "", 'IWP01'!Std11dot1b)</f>
        <v/>
      </c>
      <c r="EG708" s="151" t="str">
        <f>IF('IWP01'!Std11dot1c = 0, "", 'IWP01'!Std11dot1c)</f>
        <v/>
      </c>
      <c r="EH708" s="151" t="str">
        <f>IF('IWP01'!Std11dot1d = 0, "", 'IWP01'!Std11dot1d)</f>
        <v/>
      </c>
      <c r="EI708" s="151" t="str">
        <f>IF('IWP01'!Std11dot1e = 0, "", 'IWP01'!Std11dot1e)</f>
        <v/>
      </c>
      <c r="EJ708" s="151" t="str">
        <f>IF('IWP01'!Std11dot1f = 0, "", 'IWP01'!Std11dot1f)</f>
        <v/>
      </c>
      <c r="EK708" s="151" t="str">
        <f>IF('IWP01'!Std11dot1g = 0, "", 'IWP01'!Std11dot1g)</f>
        <v/>
      </c>
      <c r="EL708" s="151" t="str">
        <f>IF('IWP01'!Std11dot1h = 0, "", 'IWP01'!Std11dot1h)</f>
        <v/>
      </c>
      <c r="EM708" s="151" t="str">
        <f>IF('IWP01'!Std11dot1i = 0, "", 'IWP01'!Std11dot1i)</f>
        <v/>
      </c>
      <c r="EN708" s="151" t="str">
        <f>IF('IWP01'!Std11dot1j = 0, "", 'IWP01'!Std11dot1j)</f>
        <v/>
      </c>
      <c r="EO708" s="151" t="str">
        <f>IF('IWP01'!Std11dot1k = 0, "", 'IWP01'!Std11dot1k)</f>
        <v/>
      </c>
      <c r="EP708" s="151" t="str">
        <f>IF('IWP01'!Std11dot1 = 0, "", 'IWP01'!Std11dot1)</f>
        <v/>
      </c>
      <c r="EQ708" s="151" t="str">
        <f>IF('IWP01'!Std11dot2 = 0, "", 'IWP01'!Std11dot2)</f>
        <v/>
      </c>
      <c r="ER708" s="151" t="str">
        <f>IF('IWP01'!Std11dot3 = 0, "", 'IWP01'!Std11dot3)</f>
        <v/>
      </c>
      <c r="ES708" s="151" t="str">
        <f>IF('IWP01'!Std11dot4 = 0, "", 'IWP01'!Std11dot4)</f>
        <v>NA</v>
      </c>
      <c r="ET708" s="157">
        <f>IF('IWP01'!$A$363=DATE(1900,1,0), DATE(1900,1,1), 'IWP01'!$A$363)</f>
        <v>1</v>
      </c>
      <c r="EU708" s="155">
        <f>'IWP01'!$C$363</f>
        <v>0</v>
      </c>
      <c r="EV708" s="155">
        <f>'IWP01'!$E$363</f>
        <v>0</v>
      </c>
      <c r="EW708" s="157">
        <f>IF('IWP01'!$G$363=DATE(1900,1,0), DATE(1900,1,1), 'IWP01'!$G$363)</f>
        <v>1</v>
      </c>
      <c r="EX708" s="155">
        <f>'IWP01'!$I$363</f>
        <v>0</v>
      </c>
      <c r="EY708" s="155">
        <f>'IWP01'!$K$363</f>
        <v>0</v>
      </c>
      <c r="EZ708" s="157">
        <f>IF('IWP01'!$M$363=DATE(1900,1,0), DATE(1900,1,1), 'IWP01'!$M$363)</f>
        <v>1</v>
      </c>
      <c r="FA708" s="151" t="str">
        <f>IF('IWP01'!$O$363 = 0, "", 'IWP01'!$O$363)</f>
        <v/>
      </c>
      <c r="FB708" s="151" t="str">
        <f>IF('IWP01'!$Q$363 = 0, "", 'IWP01'!$Q$363)</f>
        <v/>
      </c>
      <c r="FC708" s="151" t="str">
        <f>IF('IWP01'!Std11dot5a = 0, "", 'IWP01'!Std11dot5a)</f>
        <v/>
      </c>
      <c r="FD708" s="151" t="str">
        <f>IF('IWP01'!Std11dot5b = 0, "", 'IWP01'!Std11dot5b)</f>
        <v/>
      </c>
      <c r="FE708" s="151" t="str">
        <f>IF('IWP01'!Std11dot5ci = 0, "", 'IWP01'!Std11dot5ci)</f>
        <v>NA</v>
      </c>
      <c r="FF708" s="151" t="str">
        <f>IF('IWP01'!Std11dot5cii = 0, "", 'IWP01'!Std11dot5cii)</f>
        <v>NA</v>
      </c>
      <c r="FG708" s="151" t="str">
        <f>IF('IWP01'!Std11dot5 = 0, "", 'IWP01'!Std11dot5)</f>
        <v/>
      </c>
      <c r="FH708" s="207" t="str">
        <f>IF('IWP01'!Std11dot1AptGrandFthr = "", "", 'IWP01'!Std11dot1AptGrandFthr)</f>
        <v/>
      </c>
    </row>
    <row r="709" spans="1:164">
      <c r="A709" s="206" t="s">
        <v>1193</v>
      </c>
      <c r="B709" s="157">
        <f>IF('Samples (Print)'!D6=DATE(1900,1,0),DATE(1900,1,1),'Samples (Print)'!D6)</f>
        <v>1</v>
      </c>
      <c r="C709" s="157">
        <f>IF('Samples (Print)'!E6=DATE(1900,1,0),DATE(1900,1,1),'Samples (Print)'!E6)</f>
        <v>1</v>
      </c>
      <c r="D709" s="319">
        <f>IF('IWP02'!FiscalReviewFirstMonth =DATE(1900,1,0),DATE(1900,1,1),'IWP02'!FiscalReviewFirstMonth)</f>
        <v>1</v>
      </c>
      <c r="E709" s="319">
        <f>IF('IWP02'!FiscalReviewSecondMonth =DATE(1900,1,0),DATE(1900,1,1),'IWP02'!FiscalReviewSecondMonth)</f>
        <v>1</v>
      </c>
      <c r="F709" s="13">
        <f>'IWP02'!SampleNumber</f>
        <v>2</v>
      </c>
      <c r="G709" s="13">
        <f ca="1">'IWP02'!ClientID</f>
        <v>0</v>
      </c>
      <c r="H709" s="283"/>
      <c r="I709" s="283"/>
      <c r="J709" s="151" t="str">
        <f ca="1">IF('IWP02'!ContractNumber = 0, "", 'IWP02'!ContractNumber)</f>
        <v/>
      </c>
      <c r="K709" s="151" t="str">
        <f ca="1">IF('IWP02'!ContractType = 0, "", 'IWP02'!ContractType)</f>
        <v/>
      </c>
      <c r="L709" s="151" t="str">
        <f>IF('IWP02'!CompletedByLastName = 0, "", 'IWP02'!CompletedByLastName)</f>
        <v/>
      </c>
      <c r="M709" s="151" t="str">
        <f>IF('IWP02'!CompletedByFirstName = 0, "", 'IWP02'!CompletedByFirstName)</f>
        <v/>
      </c>
      <c r="N709" s="157">
        <f>IF('IWP02'!DateCompleted =DATE(1900,1,0),DATE(1900,1,1),'IWP02'!DateCompleted)</f>
        <v>1</v>
      </c>
      <c r="O709" s="151" t="str">
        <f>IF('IWP02'!Std3NotCalc = 0, "", 'IWP02'!Std3NotCalc)</f>
        <v/>
      </c>
      <c r="P709" s="157">
        <f>IF('IWP02'!Std3dot1DateOfAdmission =DATE(1900,1,0),DATE(1900,1,1),'IWP02'!Std3dot1DateOfAdmission)</f>
        <v>1</v>
      </c>
      <c r="Q709" s="151" t="str">
        <f>IF('IWP02'!Std3dot1a = 0, "", 'IWP02'!Std3dot1a)</f>
        <v/>
      </c>
      <c r="R709" s="151" t="str">
        <f>IF('IWP02'!Std3dot1b = 0, "", 'IWP02'!Std3dot1b)</f>
        <v/>
      </c>
      <c r="S709" s="151" t="str">
        <f>IF('IWP02'!Std3dot1c = 0, "", 'IWP02'!Std3dot1c)</f>
        <v>NA</v>
      </c>
      <c r="T709" s="151" t="str">
        <f>IF('IWP02'!Std3dot1 = 0, "", 'IWP02'!Std3dot1)</f>
        <v/>
      </c>
      <c r="U709" s="151" t="str">
        <f>IF('IWP02'!Std3dot2a = 0, "", 'IWP02'!Std3dot2a)</f>
        <v/>
      </c>
      <c r="V709" s="151" t="str">
        <f>IF('IWP02'!Std3dot2b = 0, "", 'IWP02'!Std3dot2b)</f>
        <v/>
      </c>
      <c r="W709" s="151" t="str">
        <f>IF('IWP02'!Std3dot2c = 0, "", 'IWP02'!Std3dot2c)</f>
        <v/>
      </c>
      <c r="X709" s="151" t="str">
        <f>IF('IWP02'!Std3dot2 = 0, "", 'IWP02'!Std3dot2)</f>
        <v/>
      </c>
      <c r="Y709" s="151" t="str">
        <f>IF('IWP02'!Std4dot1Month1 = 0, "", 'IWP02'!Std4dot1Month1)</f>
        <v/>
      </c>
      <c r="Z709" s="157">
        <f>IF('IWP02'!Std4dot1Month1Date =DATE(1900,1,0),DATE(1900,1,1),'IWP02'!Std4dot1Month1Date)</f>
        <v>1</v>
      </c>
      <c r="AA709" s="151" t="str">
        <f>IF('IWP02'!Std4dot1Month2 = 0, "", 'IWP02'!Std4dot1Month2)</f>
        <v/>
      </c>
      <c r="AB709" s="157">
        <f>IF('IWP02'!Std4dot1Month2Date =DATE(1900,1,0),DATE(1900,1,1),'IWP02'!Std4dot1Month2Date)</f>
        <v>1</v>
      </c>
      <c r="AC709" s="151" t="str">
        <f>IF('IWP02'!Std4dot1 = 0, "", 'IWP02'!Std4dot1)</f>
        <v/>
      </c>
      <c r="AD709" s="151" t="str">
        <f>IF('IWP02'!Std4dot2NotCalc = 0, "", 'IWP02'!Std4dot2NotCalc)</f>
        <v/>
      </c>
      <c r="AE709" s="151" t="str">
        <f>IF('IWP02'!Std4dot2 = 0, "", 'IWP02'!Std4dot2)</f>
        <v/>
      </c>
      <c r="AF709" s="151" t="str">
        <f>IF('IWP02'!Std4dot3 = 0, "", 'IWP02'!Std4dot3)</f>
        <v/>
      </c>
      <c r="AG709" s="151" t="str">
        <f>IF('IWP02'!Std4dot4 = 0, "", 'IWP02'!Std4dot4)</f>
        <v/>
      </c>
      <c r="AH709" s="151" t="str">
        <f>IF('IWP02'!Std5NotCalc = 0, "", 'IWP02'!Std5NotCalc)</f>
        <v/>
      </c>
      <c r="AI709" s="151" t="str">
        <f>IF('IWP02'!Std5dot1 = 0, "", 'IWP02'!Std5dot1)</f>
        <v/>
      </c>
      <c r="AJ709" s="151" t="str">
        <f>IF('IWP02'!Std7dot1NotCalc = 0, "", 'IWP02'!Std7dot1NotCalc)</f>
        <v/>
      </c>
      <c r="AK709" s="151" t="str">
        <f>IF('IWP02'!Std7dot1NotCalc = 0, "", 'IWP02'!Std7dot1NotCalc)</f>
        <v/>
      </c>
      <c r="AL709" s="155">
        <f>'IWP02'!Std7dot1BalPerCshLog</f>
        <v>0</v>
      </c>
      <c r="AM709" s="155">
        <f>'IWP02'!Std7dot1LessAdj</f>
        <v>0</v>
      </c>
      <c r="AN709" s="155">
        <f>'IWP02'!Std7dot1AdjBal</f>
        <v>0</v>
      </c>
      <c r="AO709" s="155">
        <f>'IWP02'!Std7dot1CshOnHand</f>
        <v>0</v>
      </c>
      <c r="AP709" s="155">
        <f>'IWP02'!Std7dot1PtyCshOvrShrt</f>
        <v>0</v>
      </c>
      <c r="AQ709" s="151" t="str">
        <f>IF('IWP02'!Std7dot1OvrShrtCorr = 0, "", 'IWP02'!Std7dot1OvrShrtCorr)</f>
        <v/>
      </c>
      <c r="AR709" s="151" t="str">
        <f>IF('IWP02'!Std7dot1 = 0, "", 'IWP02'!Std7dot1)</f>
        <v/>
      </c>
      <c r="AS709" s="151" t="str">
        <f>IF('IWP02'!Std9dot1aNotCalc = 0, "", 'IWP02'!Std9dot1aNotCalc)</f>
        <v/>
      </c>
      <c r="AT709" s="151" t="str">
        <f>IF('IWP02'!Std9dot1bNotCalc = 0, "", 'IWP02'!Std9dot1bNotCalc)</f>
        <v/>
      </c>
      <c r="AU709" s="157">
        <f>IF('IWP02'!Std9BalPerBnkStmtDt =DATE(1900,1,0),DATE(1900,1,1),'IWP02'!Std9BalPerBnkStmtDt)</f>
        <v>1</v>
      </c>
      <c r="AV709" s="155">
        <f>'IWP02'!Std9BalPerBnkStmt</f>
        <v>0</v>
      </c>
      <c r="AW709" s="155">
        <f>'IWP02'!Std9TotDepsInTrans</f>
        <v>0</v>
      </c>
      <c r="AX709" s="155">
        <f>'IWP02'!Std9TotOutsChks</f>
        <v>0</v>
      </c>
      <c r="AY709" s="155">
        <f>'IWP02'!Std9AdjBalPerBank</f>
        <v>0</v>
      </c>
      <c r="AZ709" s="157">
        <f>IF('IWP02'!Std9TotPtyCshIndvDt =DATE(1900,1,0),DATE(1900,1,1),'IWP02'!Std9TotPtyCshIndvDt)</f>
        <v>1</v>
      </c>
      <c r="BA709" s="155">
        <f>'IWP02'!Std9TotPtyCshIndv</f>
        <v>0</v>
      </c>
      <c r="BB709" s="155">
        <f>'IWP02'!Std9TotCshBnkAndHnd</f>
        <v>0</v>
      </c>
      <c r="BC709" s="157">
        <f>IF('IWP02'!Std9BalPerBksDt =DATE(1900,1,0),DATE(1900,1,1),'IWP02'!Std9BalPerBksDt)</f>
        <v>1</v>
      </c>
      <c r="BD709" s="155">
        <f>'IWP02'!Std9BalPerBks</f>
        <v>0</v>
      </c>
      <c r="BE709" s="155">
        <f>'IWP02'!Std9UnapplErndInt</f>
        <v>0</v>
      </c>
      <c r="BF709" s="155">
        <f>'IWP02'!Std9UnpstdRcptDsbrsmts</f>
        <v>0</v>
      </c>
      <c r="BG709" s="155">
        <f>'IWP02'!Std9NsfChks</f>
        <v>0</v>
      </c>
      <c r="BH709" s="155">
        <f>'IWP02'!Std9AdjBalPerBks</f>
        <v>0</v>
      </c>
      <c r="BI709" s="155">
        <f>'IWP02'!Std9TrstFndAcctOvrShrt</f>
        <v>0</v>
      </c>
      <c r="BJ709" s="151" t="str">
        <f>IF('IWP02'!Std9OvrShrtCorrctd = 0, "", 'IWP02'!Std9OvrShrtCorrctd)</f>
        <v/>
      </c>
      <c r="BK709" s="151" t="str">
        <f>IF('IWP02'!Std9ShrtUnreimbSvcChg = 0, "", 'IWP02'!Std9ShrtUnreimbSvcChg)</f>
        <v/>
      </c>
      <c r="BL709" s="151" t="str">
        <f>IF('IWP02'!Std9dot1 = 0, "", 'IWP02'!Std9dot1)</f>
        <v/>
      </c>
      <c r="BM709" s="151" t="str">
        <f>IF('IWP02'!Std10dot1NotCalc = 0, "", 'IWP02'!Std10dot1NotCalc)</f>
        <v/>
      </c>
      <c r="BN709" s="319">
        <f>IF('IWP02'!FiscalReviewFirstMonth =DATE(1900,1,0),DATE(1900,1,1),'IWP02'!FiscalReviewFirstMonth)</f>
        <v>1</v>
      </c>
      <c r="BO709" s="155">
        <f>'IWP02'!Std10dot1TotalAmt1</f>
        <v>0</v>
      </c>
      <c r="BP709" s="319">
        <f>IF('IWP02'!FiscalReviewSecondMonth =DATE(1900,1,0),DATE(1900,1,1),'IWP02'!FiscalReviewSecondMonth)</f>
        <v>1</v>
      </c>
      <c r="BQ709" s="155">
        <f>'IWP02'!Std10dot1TotalAmt2</f>
        <v>0</v>
      </c>
      <c r="BR709" s="151" t="str">
        <f>IF('IWP02'!Std10dot1 = 0, "", 'IWP02'!Std10dot1)</f>
        <v/>
      </c>
      <c r="BS709" s="151" t="str">
        <f>IF('IWP02'!Std10dot2NotCalc = 0, "", 'IWP02'!Std10dot2NotCalc)</f>
        <v/>
      </c>
      <c r="BT709" s="319">
        <f>IF('IWP02'!FiscalReviewFirstMonth =DATE(1900,1,0),DATE(1900,1,1),'IWP02'!FiscalReviewFirstMonth)</f>
        <v>1</v>
      </c>
      <c r="BU709" s="155">
        <f>'IWP02'!Std10dot2BankChgs1</f>
        <v>0</v>
      </c>
      <c r="BV709" s="319">
        <f>IF('IWP02'!FiscalReviewSecondMonth =DATE(1900,1,0),DATE(1900,1,1),'IWP02'!FiscalReviewSecondMonth)</f>
        <v>1</v>
      </c>
      <c r="BW709" s="155">
        <f>'IWP02'!Std10dot2BankChgs2</f>
        <v>0</v>
      </c>
      <c r="BX709" s="151" t="str">
        <f>IF('IWP02'!Std10dot2 = 0, "", 'IWP02'!Std10dot2)</f>
        <v/>
      </c>
      <c r="BY709" s="151" t="str">
        <f>IF('IWP02'!Std10dot3NotCalc = 0, "", 'IWP02'!Std10dot3NotCalc)</f>
        <v/>
      </c>
      <c r="BZ709" s="151" t="str">
        <f>IF('IWP02'!Std10dot3 = 0, "", 'IWP02'!Std10dot3)</f>
        <v/>
      </c>
      <c r="CA709" s="151" t="str">
        <f>IF('IWP02'!Std10dot4NotCalc = 0, "", 'IWP02'!Std10dot4NotCalc)</f>
        <v/>
      </c>
      <c r="CB709" s="151" t="str">
        <f>IF('IWP02'!Std10dot4 = 0, "", 'IWP02'!Std10dot4)</f>
        <v/>
      </c>
      <c r="CC709" s="151" t="str">
        <f>IF('IWP02'!Std10dot5 = 0, "", 'IWP02'!Std10dot5)</f>
        <v/>
      </c>
      <c r="CD709" s="151" t="str">
        <f>IF('IWP02'!Std10dot6NotCalc = 0, "", 'IWP02'!Std10dot6NotCalc)</f>
        <v/>
      </c>
      <c r="CE709" s="157">
        <f>IF('IWP02'!Std10dot6DateOfDeathDischarge =DATE(1900,1,0),DATE(1900,1,1),'IWP02'!Std10dot6DateOfDeathDischarge)</f>
        <v>1</v>
      </c>
      <c r="CF709" s="151" t="str">
        <f>IF('IWP02'!Std10dot6DthDschg = 0, "", 'IWP02'!Std10dot6DthDschg)</f>
        <v/>
      </c>
      <c r="CG709" s="155">
        <f>'IWP02'!Std10dot6TrustFundAmtDue</f>
        <v>0</v>
      </c>
      <c r="CH709" s="155">
        <f>'IWP02'!Std10dot6IndvPtyCshAmtDue</f>
        <v>0</v>
      </c>
      <c r="CI709" s="155">
        <f>'IWP02'!Std10dot6TotRfndDue</f>
        <v>0</v>
      </c>
      <c r="CJ709" s="155">
        <f>'IWP02'!Std10dot6AmtRfnd</f>
        <v>0</v>
      </c>
      <c r="CK709" s="155">
        <f>'IWP02'!Std10dot6DminusE</f>
        <v>0</v>
      </c>
      <c r="CL709" s="151" t="str">
        <f>IF('IWP02'!Std10dot6LastName = 0, "", 'IWP02'!Std10dot6LastName)</f>
        <v/>
      </c>
      <c r="CM709" s="151" t="str">
        <f>IF('IWP02'!Std10dot6FirstName = 0, "", 'IWP02'!Std10dot6FirstName)</f>
        <v/>
      </c>
      <c r="CN709" s="157">
        <f>IF('IWP02'!Std10dot6DateOfRefund =DATE(1900,1,0),DATE(1900,1,1),'IWP02'!Std10dot6DateOfRefund)</f>
        <v>1</v>
      </c>
      <c r="CO709" s="151" t="str">
        <f>IF('IWP02'!Std10dot6a = 0, "", 'IWP02'!Std10dot6a)</f>
        <v/>
      </c>
      <c r="CP709" s="151" t="str">
        <f>IF('IWP02'!Std10dot6b = 0, "", 'IWP02'!Std10dot6b)</f>
        <v/>
      </c>
      <c r="CQ709" s="151" t="str">
        <f>IF('IWP02'!Std10dot6c = 0, "", 'IWP02'!Std10dot6c)</f>
        <v/>
      </c>
      <c r="CR709" s="151" t="str">
        <f>IF('IWP02'!Std10dot6 = "", "", 'IWP02'!Std10dot6)</f>
        <v/>
      </c>
      <c r="CS709" s="151" t="str">
        <f>IF('IWP02'!Std11dot1aNotCalc = 0, "", 'IWP02'!Std11dot1aNotCalc)</f>
        <v/>
      </c>
      <c r="CT709" s="151" t="str">
        <f>IF('IWP02'!Std11dot1bNotCalc = 0, "", 'IWP02'!Std11dot1bNotCalc)</f>
        <v>N</v>
      </c>
      <c r="CU709" s="151" t="str">
        <f>IF('IWP02'!Std11dot1cNotCalc = 0, "", 'IWP02'!Std11dot1cNotCalc)</f>
        <v>N</v>
      </c>
      <c r="CV709" s="151" t="str">
        <f>IF('IWP02'!Std11dot1dNotCalc = 0, "", 'IWP02'!Std11dot1dNotCalc)</f>
        <v/>
      </c>
      <c r="CW709" s="151" t="str">
        <f>IF('IWP02'!Std11dot1eNotCalc = 0, "", 'IWP02'!Std11dot1eNotCalc)</f>
        <v/>
      </c>
      <c r="CX709" s="151" t="str">
        <f>IF('IWP02'!Std11dot1fNotCalc = 0, "", 'IWP02'!Std11dot1fNotCalc)</f>
        <v/>
      </c>
      <c r="CY709" s="151" t="str">
        <f>IF('IWP02'!Std11dot1PrivateLivingSpace = 0, "", 'IWP02'!Std11dot1PrivateLivingSpace)</f>
        <v/>
      </c>
      <c r="CZ709" s="155">
        <f>'IWP02'!Std11dot1LivingWidth</f>
        <v>0</v>
      </c>
      <c r="DA709" s="155">
        <f>'IWP02'!Std11dot1LivingLength</f>
        <v>0</v>
      </c>
      <c r="DB709" s="155">
        <f>IF('IWP02'!Std11dot1LivingSqFt = "", MINVALDBL, 'IWP02'!Std11dot1LivingSqFt)</f>
        <v>-99999.99</v>
      </c>
      <c r="DC709" s="151" t="str">
        <f>IF('IWP02'!Std11dot1PrivateLivingSpace = 0, "", 'IWP02'!Std11dot1PrivateLivingSpace)</f>
        <v/>
      </c>
      <c r="DD709" s="155">
        <f>'IWP02'!Std11dot1LivingWidth</f>
        <v>0</v>
      </c>
      <c r="DE709" s="155">
        <f>'IWP02'!Std11dot1LivingLength</f>
        <v>0</v>
      </c>
      <c r="DF709" s="155">
        <f>IF('IWP02'!Std11dot1LivingSqFt = "", MINVALDBL, 'IWP02'!Std11dot1LivingSqFt)</f>
        <v>-99999.99</v>
      </c>
      <c r="DG709" s="151" t="str">
        <f>IF('IWP02'!Std11dot1PrivateBedSpace = 0, "", 'IWP02'!Std11dot1PrivateBedSpace)</f>
        <v/>
      </c>
      <c r="DH709" s="155">
        <f>'IWP02'!Std11dot1BdrmWidth</f>
        <v>0</v>
      </c>
      <c r="DI709" s="155">
        <f>'IWP02'!Std11dot1BdrmLength</f>
        <v>0</v>
      </c>
      <c r="DJ709" s="155">
        <f>IF('IWP02'!Std11dot1BdrmSqFt = "", MINVALDBL, 'IWP02'!Std11dot1BdrmSqFt)</f>
        <v>-99999.99</v>
      </c>
      <c r="DK709" s="151" t="str">
        <f>IF('IWP02'!Std11dot1PrivateStorageSpace = 0, "", 'IWP02'!Std11dot1PrivateStorageSpace)</f>
        <v/>
      </c>
      <c r="DL709" s="155">
        <f>'IWP02'!Std11dot1StorageWidth</f>
        <v>0</v>
      </c>
      <c r="DM709" s="155">
        <f>'IWP02'!Std11dot1StorageLength</f>
        <v>0</v>
      </c>
      <c r="DN709" s="155">
        <f>IF('IWP02'!Std11dot1StorageSqFt = "", 0, 'IWP02'!Std11dot1StorageSqFt)</f>
        <v>0</v>
      </c>
      <c r="DO709" s="151" t="str">
        <f>IF('IWP02'!Std11dot1PrivateKitchenSpace = 0, "", 'IWP02'!Std11dot1PrivateKitchenSpace)</f>
        <v/>
      </c>
      <c r="DP709" s="155">
        <f>'IWP02'!Std11dot1KitchenWidth</f>
        <v>0</v>
      </c>
      <c r="DQ709" s="155">
        <f>'IWP02'!Std11dot1KitchenLength</f>
        <v>0</v>
      </c>
      <c r="DR709" s="155">
        <f>IF('IWP02'!Std11dot1KitchenSqFt = "", MINVALDBL, 'IWP02'!Std11dot1KitchenSqFt)</f>
        <v>-99999.99</v>
      </c>
      <c r="DS709" s="151" t="str">
        <f>IF('IWP02'!Std11dot1KitchenSink = 0, "", 'IWP02'!Std11dot1KitchenSink)</f>
        <v/>
      </c>
      <c r="DT709" s="151" t="str">
        <f>IF('IWP02'!Std11dot1Refrigerator = 0, "", 'IWP02'!Std11dot1Refrigerator)</f>
        <v/>
      </c>
      <c r="DU709" s="151" t="str">
        <f>IF('IWP02'!Std11dot1StoveMicrowave = 0, "", 'IWP02'!Std11dot1StoveMicrowave)</f>
        <v/>
      </c>
      <c r="DV709" s="151" t="str">
        <f>IF('IWP02'!Std11dot1SeparateBath = 0, "", 'IWP02'!Std11dot1SeparateBath)</f>
        <v/>
      </c>
      <c r="DW709" s="151" t="str">
        <f>IF('IWP02'!Std11dot1BathSink = 0, "", 'IWP02'!Std11dot1BathSink)</f>
        <v/>
      </c>
      <c r="DX709" s="151" t="str">
        <f>IF('IWP02'!Std11dot1ShowerTubAccessible = 0, "", 'IWP02'!Std11dot1ShowerTubAccessible)</f>
        <v/>
      </c>
      <c r="DY709" s="155">
        <f>'IWP02'!Std11dot1TotalPrivateSpace</f>
        <v>0</v>
      </c>
      <c r="DZ709" s="155">
        <f>'IWP02'!Std11dot1PrivateSpaceSquareFootagePerResident</f>
        <v>0</v>
      </c>
      <c r="EA709" s="155">
        <f>IF('IWP02'!Std11dot1TotalSquareFootagePerResident = "", MINVALDBL, 'IWP02'!Std11dot1TotalSquareFootagePerResident)</f>
        <v>-99999.99</v>
      </c>
      <c r="EB709" s="155">
        <f>'IWP02'!Std11dot1UseableCommonAreaSquareFootage</f>
        <v>0</v>
      </c>
      <c r="EC709" s="155">
        <f>'IWP02'!Std11dot1LicensedCapacity</f>
        <v>0</v>
      </c>
      <c r="ED709" s="155">
        <f>IF('IWP02'!Std11dot1CommonAreaSquareFootagePerResident = "", MINVALDBL, 'IWP02'!Std11dot1CommonAreaSquareFootagePerResident)</f>
        <v>-99999.99</v>
      </c>
      <c r="EE709" s="151" t="str">
        <f>IF('IWP02'!Std11dot1a = 0, "", 'IWP02'!Std11dot1a)</f>
        <v/>
      </c>
      <c r="EF709" s="151" t="str">
        <f>IF('IWP02'!Std11dot1b = 0, "", 'IWP02'!Std11dot1b)</f>
        <v/>
      </c>
      <c r="EG709" s="151" t="str">
        <f>IF('IWP02'!Std11dot1c = 0, "", 'IWP02'!Std11dot1c)</f>
        <v/>
      </c>
      <c r="EH709" s="151" t="str">
        <f>IF('IWP02'!Std11dot1d = 0, "", 'IWP02'!Std11dot1d)</f>
        <v/>
      </c>
      <c r="EI709" s="151" t="str">
        <f>IF('IWP02'!Std11dot1e = 0, "", 'IWP02'!Std11dot1e)</f>
        <v/>
      </c>
      <c r="EJ709" s="151" t="str">
        <f>IF('IWP02'!Std11dot1f = 0, "", 'IWP02'!Std11dot1f)</f>
        <v/>
      </c>
      <c r="EK709" s="151" t="str">
        <f>IF('IWP02'!Std11dot1g = 0, "", 'IWP02'!Std11dot1g)</f>
        <v/>
      </c>
      <c r="EL709" s="151" t="str">
        <f>IF('IWP02'!Std11dot1h = 0, "", 'IWP02'!Std11dot1h)</f>
        <v/>
      </c>
      <c r="EM709" s="151" t="str">
        <f>IF('IWP02'!Std11dot1i = 0, "", 'IWP02'!Std11dot1i)</f>
        <v/>
      </c>
      <c r="EN709" s="151" t="str">
        <f>IF('IWP02'!Std11dot1j = 0, "", 'IWP02'!Std11dot1j)</f>
        <v/>
      </c>
      <c r="EO709" s="151" t="str">
        <f>IF('IWP02'!Std11dot1k = 0, "", 'IWP02'!Std11dot1k)</f>
        <v/>
      </c>
      <c r="EP709" s="151" t="str">
        <f>IF('IWP02'!Std11dot1 = 0, "", 'IWP02'!Std11dot1)</f>
        <v/>
      </c>
      <c r="EQ709" s="151" t="str">
        <f>IF('IWP02'!Std11dot2 = 0, "", 'IWP02'!Std11dot2)</f>
        <v/>
      </c>
      <c r="ER709" s="151" t="str">
        <f>IF('IWP02'!Std11dot3 = 0, "", 'IWP02'!Std11dot3)</f>
        <v/>
      </c>
      <c r="ES709" s="151" t="str">
        <f>IF('IWP02'!Std11dot4 = 0, "", 'IWP02'!Std11dot4)</f>
        <v>NA</v>
      </c>
      <c r="ET709" s="157">
        <f>IF('IWP02'!$A$363=DATE(1900,1,0), DATE(1900,1,1), 'IWP02'!$A$363)</f>
        <v>1</v>
      </c>
      <c r="EU709" s="155">
        <f>'IWP02'!$C$363</f>
        <v>0</v>
      </c>
      <c r="EV709" s="155">
        <f>'IWP02'!$E$363</f>
        <v>0</v>
      </c>
      <c r="EW709" s="157">
        <f>IF('IWP02'!$G$363=DATE(1900,1,0), DATE(1900,1,1), 'IWP02'!$G$363)</f>
        <v>1</v>
      </c>
      <c r="EX709" s="155">
        <f>'IWP02'!$I$363</f>
        <v>0</v>
      </c>
      <c r="EY709" s="155">
        <f>'IWP02'!$K$363</f>
        <v>0</v>
      </c>
      <c r="EZ709" s="157">
        <f>IF('IWP02'!$M$363=DATE(1900,1,0), DATE(1900,1,1), 'IWP02'!$M$363)</f>
        <v>1</v>
      </c>
      <c r="FA709" s="151" t="str">
        <f>IF('IWP02'!$O$363 = 0, "", 'IWP02'!$O$363)</f>
        <v/>
      </c>
      <c r="FB709" s="151" t="str">
        <f>IF('IWP02'!$Q$363 = 0, "", 'IWP02'!$Q$363)</f>
        <v/>
      </c>
      <c r="FC709" s="151" t="str">
        <f>IF('IWP02'!Std11dot5a = 0, "", 'IWP02'!Std11dot5a)</f>
        <v/>
      </c>
      <c r="FD709" s="151" t="str">
        <f>IF('IWP02'!Std11dot5b = 0, "", 'IWP02'!Std11dot5b)</f>
        <v/>
      </c>
      <c r="FE709" s="151" t="str">
        <f>IF('IWP02'!Std11dot5ci = 0, "", 'IWP02'!Std11dot5ci)</f>
        <v>NA</v>
      </c>
      <c r="FF709" s="151" t="str">
        <f>IF('IWP02'!Std11dot5cii = 0, "", 'IWP02'!Std11dot5cii)</f>
        <v>NA</v>
      </c>
      <c r="FG709" s="151" t="str">
        <f>IF('IWP02'!Std11dot5 = 0, "", 'IWP02'!Std11dot5)</f>
        <v/>
      </c>
      <c r="FH709" s="207" t="str">
        <f>IF('IWP02'!Std11dot1AptGrandFthr = "", "", 'IWP02'!Std11dot1AptGrandFthr)</f>
        <v/>
      </c>
    </row>
    <row r="710" spans="1:164">
      <c r="A710" s="206" t="s">
        <v>1194</v>
      </c>
      <c r="B710" s="157">
        <f>IF('Samples (Print)'!D7=DATE(1900,1,0),DATE(1900,1,1),'Samples (Print)'!D7)</f>
        <v>1</v>
      </c>
      <c r="C710" s="157">
        <f>IF('Samples (Print)'!E7=DATE(1900,1,0),DATE(1900,1,1),'Samples (Print)'!E7)</f>
        <v>1</v>
      </c>
      <c r="D710" s="319">
        <f>IF('IWP03'!FiscalReviewFirstMonth =DATE(1900,1,0),DATE(1900,1,1),'IWP03'!FiscalReviewFirstMonth)</f>
        <v>1</v>
      </c>
      <c r="E710" s="319">
        <f>IF('IWP03'!FiscalReviewSecondMonth =DATE(1900,1,0),DATE(1900,1,1),'IWP03'!FiscalReviewSecondMonth)</f>
        <v>1</v>
      </c>
      <c r="F710" s="13">
        <f>'IWP03'!SampleNumber</f>
        <v>3</v>
      </c>
      <c r="G710" s="13">
        <f ca="1">'IWP03'!ClientID</f>
        <v>0</v>
      </c>
      <c r="H710" s="283"/>
      <c r="I710" s="283"/>
      <c r="J710" s="151" t="str">
        <f ca="1">IF('IWP03'!ContractNumber = 0, "", 'IWP03'!ContractNumber)</f>
        <v/>
      </c>
      <c r="K710" s="151" t="str">
        <f ca="1">IF('IWP03'!ContractType = 0, "", 'IWP03'!ContractType)</f>
        <v/>
      </c>
      <c r="L710" s="151" t="str">
        <f>IF('IWP03'!CompletedByLastName = 0, "", 'IWP03'!CompletedByLastName)</f>
        <v/>
      </c>
      <c r="M710" s="151" t="str">
        <f>IF('IWP03'!CompletedByFirstName = 0, "", 'IWP03'!CompletedByFirstName)</f>
        <v/>
      </c>
      <c r="N710" s="157">
        <f>IF('IWP03'!DateCompleted =DATE(1900,1,0),DATE(1900,1,1),'IWP03'!DateCompleted)</f>
        <v>1</v>
      </c>
      <c r="O710" s="151" t="str">
        <f>IF('IWP03'!Std3NotCalc = 0, "", 'IWP03'!Std3NotCalc)</f>
        <v/>
      </c>
      <c r="P710" s="157">
        <f>IF('IWP03'!Std3dot1DateOfAdmission =DATE(1900,1,0),DATE(1900,1,1),'IWP03'!Std3dot1DateOfAdmission)</f>
        <v>1</v>
      </c>
      <c r="Q710" s="151" t="str">
        <f>IF('IWP03'!Std3dot1a = 0, "", 'IWP03'!Std3dot1a)</f>
        <v/>
      </c>
      <c r="R710" s="151" t="str">
        <f>IF('IWP03'!Std3dot1b = 0, "", 'IWP03'!Std3dot1b)</f>
        <v/>
      </c>
      <c r="S710" s="151" t="str">
        <f>IF('IWP03'!Std3dot1c = 0, "", 'IWP03'!Std3dot1c)</f>
        <v>NA</v>
      </c>
      <c r="T710" s="151" t="str">
        <f>IF('IWP03'!Std3dot1 = 0, "", 'IWP03'!Std3dot1)</f>
        <v/>
      </c>
      <c r="U710" s="151" t="str">
        <f>IF('IWP03'!Std3dot2a = 0, "", 'IWP03'!Std3dot2a)</f>
        <v/>
      </c>
      <c r="V710" s="151" t="str">
        <f>IF('IWP03'!Std3dot2b = 0, "", 'IWP03'!Std3dot2b)</f>
        <v/>
      </c>
      <c r="W710" s="151" t="str">
        <f>IF('IWP03'!Std3dot2c = 0, "", 'IWP03'!Std3dot2c)</f>
        <v/>
      </c>
      <c r="X710" s="151" t="str">
        <f>IF('IWP03'!Std3dot2 = 0, "", 'IWP03'!Std3dot2)</f>
        <v/>
      </c>
      <c r="Y710" s="151" t="str">
        <f>IF('IWP03'!Std4dot1Month1 = 0, "", 'IWP03'!Std4dot1Month1)</f>
        <v/>
      </c>
      <c r="Z710" s="157">
        <f>IF('IWP03'!Std4dot1Month1Date =DATE(1900,1,0),DATE(1900,1,1),'IWP03'!Std4dot1Month1Date)</f>
        <v>1</v>
      </c>
      <c r="AA710" s="151" t="str">
        <f>IF('IWP03'!Std4dot1Month2 = 0, "", 'IWP03'!Std4dot1Month2)</f>
        <v/>
      </c>
      <c r="AB710" s="157">
        <f>IF('IWP03'!Std4dot1Month2Date =DATE(1900,1,0),DATE(1900,1,1),'IWP03'!Std4dot1Month2Date)</f>
        <v>1</v>
      </c>
      <c r="AC710" s="151" t="str">
        <f>IF('IWP03'!Std4dot1 = 0, "", 'IWP03'!Std4dot1)</f>
        <v/>
      </c>
      <c r="AD710" s="151" t="str">
        <f>IF('IWP03'!Std4dot2NotCalc = 0, "", 'IWP03'!Std4dot2NotCalc)</f>
        <v/>
      </c>
      <c r="AE710" s="151" t="str">
        <f>IF('IWP03'!Std4dot2 = 0, "", 'IWP03'!Std4dot2)</f>
        <v/>
      </c>
      <c r="AF710" s="151" t="str">
        <f>IF('IWP03'!Std4dot3 = 0, "", 'IWP03'!Std4dot3)</f>
        <v/>
      </c>
      <c r="AG710" s="151" t="str">
        <f>IF('IWP03'!Std4dot4 = 0, "", 'IWP03'!Std4dot4)</f>
        <v/>
      </c>
      <c r="AH710" s="151" t="str">
        <f>IF('IWP03'!Std5NotCalc = 0, "", 'IWP03'!Std5NotCalc)</f>
        <v/>
      </c>
      <c r="AI710" s="151" t="str">
        <f>IF('IWP03'!Std5dot1 = 0, "", 'IWP03'!Std5dot1)</f>
        <v/>
      </c>
      <c r="AJ710" s="151" t="str">
        <f>IF('IWP03'!Std7dot1NotCalc = 0, "", 'IWP03'!Std7dot1NotCalc)</f>
        <v/>
      </c>
      <c r="AK710" s="151" t="str">
        <f>IF('IWP03'!Std7dot1NotCalc = 0, "", 'IWP03'!Std7dot1NotCalc)</f>
        <v/>
      </c>
      <c r="AL710" s="155">
        <f>'IWP03'!Std7dot1BalPerCshLog</f>
        <v>0</v>
      </c>
      <c r="AM710" s="155">
        <f>'IWP03'!Std7dot1LessAdj</f>
        <v>0</v>
      </c>
      <c r="AN710" s="155">
        <f>'IWP03'!Std7dot1AdjBal</f>
        <v>0</v>
      </c>
      <c r="AO710" s="155">
        <f>'IWP03'!Std7dot1CshOnHand</f>
        <v>0</v>
      </c>
      <c r="AP710" s="155">
        <f>'IWP03'!Std7dot1PtyCshOvrShrt</f>
        <v>0</v>
      </c>
      <c r="AQ710" s="151" t="str">
        <f>IF('IWP03'!Std7dot1OvrShrtCorr = 0, "", 'IWP03'!Std7dot1OvrShrtCorr)</f>
        <v/>
      </c>
      <c r="AR710" s="151" t="str">
        <f>IF('IWP03'!Std7dot1 = 0, "", 'IWP03'!Std7dot1)</f>
        <v/>
      </c>
      <c r="AS710" s="151" t="str">
        <f>IF('IWP03'!Std9dot1aNotCalc = 0, "", 'IWP03'!Std9dot1aNotCalc)</f>
        <v/>
      </c>
      <c r="AT710" s="151" t="str">
        <f>IF('IWP03'!Std9dot1bNotCalc = 0, "", 'IWP03'!Std9dot1bNotCalc)</f>
        <v/>
      </c>
      <c r="AU710" s="157">
        <f>IF('IWP03'!Std9BalPerBnkStmtDt =DATE(1900,1,0),DATE(1900,1,1),'IWP03'!Std9BalPerBnkStmtDt)</f>
        <v>1</v>
      </c>
      <c r="AV710" s="155">
        <f>'IWP03'!Std9BalPerBnkStmt</f>
        <v>0</v>
      </c>
      <c r="AW710" s="155">
        <f>'IWP03'!Std9TotDepsInTrans</f>
        <v>0</v>
      </c>
      <c r="AX710" s="155">
        <f>'IWP03'!Std9TotOutsChks</f>
        <v>0</v>
      </c>
      <c r="AY710" s="155">
        <f>'IWP03'!Std9AdjBalPerBank</f>
        <v>0</v>
      </c>
      <c r="AZ710" s="157">
        <f>IF('IWP03'!Std9TotPtyCshIndvDt =DATE(1900,1,0),DATE(1900,1,1),'IWP03'!Std9TotPtyCshIndvDt)</f>
        <v>1</v>
      </c>
      <c r="BA710" s="155">
        <f>'IWP03'!Std9TotPtyCshIndv</f>
        <v>0</v>
      </c>
      <c r="BB710" s="155">
        <f>'IWP03'!Std9TotCshBnkAndHnd</f>
        <v>0</v>
      </c>
      <c r="BC710" s="157">
        <f>IF('IWP03'!Std9BalPerBksDt =DATE(1900,1,0),DATE(1900,1,1),'IWP03'!Std9BalPerBksDt)</f>
        <v>1</v>
      </c>
      <c r="BD710" s="155">
        <f>'IWP03'!Std9BalPerBks</f>
        <v>0</v>
      </c>
      <c r="BE710" s="155">
        <f>'IWP03'!Std9UnapplErndInt</f>
        <v>0</v>
      </c>
      <c r="BF710" s="155">
        <f>'IWP03'!Std9UnpstdRcptDsbrsmts</f>
        <v>0</v>
      </c>
      <c r="BG710" s="155">
        <f>'IWP03'!Std9NsfChks</f>
        <v>0</v>
      </c>
      <c r="BH710" s="155">
        <f>'IWP03'!Std9AdjBalPerBks</f>
        <v>0</v>
      </c>
      <c r="BI710" s="155">
        <f>'IWP03'!Std9TrstFndAcctOvrShrt</f>
        <v>0</v>
      </c>
      <c r="BJ710" s="151" t="str">
        <f>IF('IWP03'!Std9OvrShrtCorrctd = 0, "", 'IWP03'!Std9OvrShrtCorrctd)</f>
        <v/>
      </c>
      <c r="BK710" s="151" t="str">
        <f>IF('IWP03'!Std9ShrtUnreimbSvcChg = 0, "", 'IWP03'!Std9ShrtUnreimbSvcChg)</f>
        <v/>
      </c>
      <c r="BL710" s="151" t="str">
        <f>IF('IWP03'!Std9dot1 = 0, "", 'IWP03'!Std9dot1)</f>
        <v/>
      </c>
      <c r="BM710" s="151" t="str">
        <f>IF('IWP03'!Std10dot1NotCalc = 0, "", 'IWP03'!Std10dot1NotCalc)</f>
        <v/>
      </c>
      <c r="BN710" s="319">
        <f>IF('IWP03'!FiscalReviewFirstMonth =DATE(1900,1,0),DATE(1900,1,1),'IWP03'!FiscalReviewFirstMonth)</f>
        <v>1</v>
      </c>
      <c r="BO710" s="155">
        <f>'IWP03'!Std10dot1TotalAmt1</f>
        <v>0</v>
      </c>
      <c r="BP710" s="319">
        <f>IF('IWP03'!FiscalReviewSecondMonth =DATE(1900,1,0),DATE(1900,1,1),'IWP03'!FiscalReviewSecondMonth)</f>
        <v>1</v>
      </c>
      <c r="BQ710" s="155">
        <f>'IWP03'!Std10dot1TotalAmt2</f>
        <v>0</v>
      </c>
      <c r="BR710" s="151" t="str">
        <f>IF('IWP03'!Std10dot1 = 0, "", 'IWP03'!Std10dot1)</f>
        <v/>
      </c>
      <c r="BS710" s="151" t="str">
        <f>IF('IWP03'!Std10dot2NotCalc = 0, "", 'IWP03'!Std10dot2NotCalc)</f>
        <v/>
      </c>
      <c r="BT710" s="319">
        <f>IF('IWP03'!FiscalReviewFirstMonth =DATE(1900,1,0),DATE(1900,1,1),'IWP03'!FiscalReviewFirstMonth)</f>
        <v>1</v>
      </c>
      <c r="BU710" s="155">
        <f>'IWP03'!Std10dot2BankChgs1</f>
        <v>0</v>
      </c>
      <c r="BV710" s="319">
        <f>IF('IWP03'!FiscalReviewSecondMonth =DATE(1900,1,0),DATE(1900,1,1),'IWP03'!FiscalReviewSecondMonth)</f>
        <v>1</v>
      </c>
      <c r="BW710" s="155">
        <f>'IWP03'!Std10dot2BankChgs2</f>
        <v>0</v>
      </c>
      <c r="BX710" s="151" t="str">
        <f>IF('IWP03'!Std10dot2 = 0, "", 'IWP03'!Std10dot2)</f>
        <v/>
      </c>
      <c r="BY710" s="151" t="str">
        <f>IF('IWP03'!Std10dot3NotCalc = 0, "", 'IWP03'!Std10dot3NotCalc)</f>
        <v/>
      </c>
      <c r="BZ710" s="151" t="str">
        <f>IF('IWP03'!Std10dot3 = 0, "", 'IWP03'!Std10dot3)</f>
        <v/>
      </c>
      <c r="CA710" s="151" t="str">
        <f>IF('IWP03'!Std10dot4NotCalc = 0, "", 'IWP03'!Std10dot4NotCalc)</f>
        <v/>
      </c>
      <c r="CB710" s="151" t="str">
        <f>IF('IWP03'!Std10dot4 = 0, "", 'IWP03'!Std10dot4)</f>
        <v/>
      </c>
      <c r="CC710" s="151" t="str">
        <f>IF('IWP03'!Std10dot5 = 0, "", 'IWP03'!Std10dot5)</f>
        <v/>
      </c>
      <c r="CD710" s="151" t="str">
        <f>IF('IWP03'!Std10dot6NotCalc = 0, "", 'IWP03'!Std10dot6NotCalc)</f>
        <v/>
      </c>
      <c r="CE710" s="157">
        <f>IF('IWP03'!Std10dot6DateOfDeathDischarge =DATE(1900,1,0),DATE(1900,1,1),'IWP03'!Std10dot6DateOfDeathDischarge)</f>
        <v>1</v>
      </c>
      <c r="CF710" s="151" t="str">
        <f>IF('IWP03'!Std10dot6DthDschg = 0, "", 'IWP03'!Std10dot6DthDschg)</f>
        <v/>
      </c>
      <c r="CG710" s="155">
        <f>'IWP03'!Std10dot6TrustFundAmtDue</f>
        <v>0</v>
      </c>
      <c r="CH710" s="155">
        <f>'IWP03'!Std10dot6IndvPtyCshAmtDue</f>
        <v>0</v>
      </c>
      <c r="CI710" s="155">
        <f>'IWP03'!Std10dot6TotRfndDue</f>
        <v>0</v>
      </c>
      <c r="CJ710" s="155">
        <f>'IWP03'!Std10dot6AmtRfnd</f>
        <v>0</v>
      </c>
      <c r="CK710" s="155">
        <f>'IWP03'!Std10dot6DminusE</f>
        <v>0</v>
      </c>
      <c r="CL710" s="151" t="str">
        <f>IF('IWP03'!Std10dot6LastName = 0, "", 'IWP03'!Std10dot6LastName)</f>
        <v/>
      </c>
      <c r="CM710" s="151" t="str">
        <f>IF('IWP03'!Std10dot6FirstName = 0, "", 'IWP03'!Std10dot6FirstName)</f>
        <v/>
      </c>
      <c r="CN710" s="157">
        <f>IF('IWP03'!Std10dot6DateOfRefund =DATE(1900,1,0),DATE(1900,1,1),'IWP03'!Std10dot6DateOfRefund)</f>
        <v>1</v>
      </c>
      <c r="CO710" s="151" t="str">
        <f>IF('IWP03'!Std10dot6a = 0, "", 'IWP03'!Std10dot6a)</f>
        <v/>
      </c>
      <c r="CP710" s="151" t="str">
        <f>IF('IWP03'!Std10dot6b = 0, "", 'IWP03'!Std10dot6b)</f>
        <v/>
      </c>
      <c r="CQ710" s="151" t="str">
        <f>IF('IWP03'!Std10dot6c = 0, "", 'IWP03'!Std10dot6c)</f>
        <v/>
      </c>
      <c r="CR710" s="151" t="str">
        <f>IF('IWP03'!Std10dot6 = "", "", 'IWP03'!Std10dot6)</f>
        <v/>
      </c>
      <c r="CS710" s="151" t="str">
        <f>IF('IWP03'!Std11dot1aNotCalc = 0, "", 'IWP03'!Std11dot1aNotCalc)</f>
        <v/>
      </c>
      <c r="CT710" s="151" t="str">
        <f>IF('IWP03'!Std11dot1bNotCalc = 0, "", 'IWP03'!Std11dot1bNotCalc)</f>
        <v>N</v>
      </c>
      <c r="CU710" s="151" t="str">
        <f>IF('IWP03'!Std11dot1cNotCalc = 0, "", 'IWP03'!Std11dot1cNotCalc)</f>
        <v>N</v>
      </c>
      <c r="CV710" s="151" t="str">
        <f>IF('IWP03'!Std11dot1dNotCalc = 0, "", 'IWP03'!Std11dot1dNotCalc)</f>
        <v/>
      </c>
      <c r="CW710" s="151" t="str">
        <f>IF('IWP03'!Std11dot1eNotCalc = 0, "", 'IWP03'!Std11dot1eNotCalc)</f>
        <v/>
      </c>
      <c r="CX710" s="151" t="str">
        <f>IF('IWP03'!Std11dot1fNotCalc = 0, "", 'IWP03'!Std11dot1fNotCalc)</f>
        <v/>
      </c>
      <c r="CY710" s="151" t="str">
        <f>IF('IWP03'!Std11dot1PrivateLivingSpace = 0, "", 'IWP03'!Std11dot1PrivateLivingSpace)</f>
        <v/>
      </c>
      <c r="CZ710" s="155">
        <f>'IWP03'!Std11dot1LivingWidth</f>
        <v>0</v>
      </c>
      <c r="DA710" s="155">
        <f>'IWP03'!Std11dot1LivingLength</f>
        <v>0</v>
      </c>
      <c r="DB710" s="155">
        <f>IF('IWP03'!Std11dot1LivingSqFt = "", MINVALDBL, 'IWP03'!Std11dot1LivingSqFt)</f>
        <v>-99999.99</v>
      </c>
      <c r="DC710" s="151" t="str">
        <f>IF('IWP03'!Std11dot1PrivateLivingSpace = 0, "", 'IWP03'!Std11dot1PrivateLivingSpace)</f>
        <v/>
      </c>
      <c r="DD710" s="155">
        <f>'IWP03'!Std11dot1LivingWidth</f>
        <v>0</v>
      </c>
      <c r="DE710" s="155">
        <f>'IWP03'!Std11dot1LivingLength</f>
        <v>0</v>
      </c>
      <c r="DF710" s="155">
        <f>IF('IWP03'!Std11dot1LivingSqFt = "", MINVALDBL, 'IWP03'!Std11dot1LivingSqFt)</f>
        <v>-99999.99</v>
      </c>
      <c r="DG710" s="151" t="str">
        <f>IF('IWP03'!Std11dot1PrivateBedSpace = 0, "", 'IWP03'!Std11dot1PrivateBedSpace)</f>
        <v/>
      </c>
      <c r="DH710" s="155">
        <f>'IWP03'!Std11dot1BdrmWidth</f>
        <v>0</v>
      </c>
      <c r="DI710" s="155">
        <f>'IWP03'!Std11dot1BdrmLength</f>
        <v>0</v>
      </c>
      <c r="DJ710" s="155">
        <f>IF('IWP03'!Std11dot1BdrmSqFt = "", MINVALDBL, 'IWP03'!Std11dot1BdrmSqFt)</f>
        <v>-99999.99</v>
      </c>
      <c r="DK710" s="151" t="str">
        <f>IF('IWP03'!Std11dot1PrivateStorageSpace = 0, "", 'IWP03'!Std11dot1PrivateStorageSpace)</f>
        <v/>
      </c>
      <c r="DL710" s="155">
        <f>'IWP03'!Std11dot1StorageWidth</f>
        <v>0</v>
      </c>
      <c r="DM710" s="155">
        <f>'IWP03'!Std11dot1StorageLength</f>
        <v>0</v>
      </c>
      <c r="DN710" s="155">
        <f>IF('IWP03'!Std11dot1StorageSqFt = "", 0, 'IWP03'!Std11dot1StorageSqFt)</f>
        <v>0</v>
      </c>
      <c r="DO710" s="151" t="str">
        <f>IF('IWP03'!Std11dot1PrivateKitchenSpace = 0, "", 'IWP03'!Std11dot1PrivateKitchenSpace)</f>
        <v/>
      </c>
      <c r="DP710" s="155">
        <f>'IWP03'!Std11dot1KitchenWidth</f>
        <v>0</v>
      </c>
      <c r="DQ710" s="155">
        <f>'IWP03'!Std11dot1KitchenLength</f>
        <v>0</v>
      </c>
      <c r="DR710" s="155">
        <f>IF('IWP03'!Std11dot1KitchenSqFt = "", MINVALDBL, 'IWP03'!Std11dot1KitchenSqFt)</f>
        <v>-99999.99</v>
      </c>
      <c r="DS710" s="151" t="str">
        <f>IF('IWP03'!Std11dot1KitchenSink = 0, "", 'IWP03'!Std11dot1KitchenSink)</f>
        <v/>
      </c>
      <c r="DT710" s="151" t="str">
        <f>IF('IWP03'!Std11dot1Refrigerator = 0, "", 'IWP03'!Std11dot1Refrigerator)</f>
        <v/>
      </c>
      <c r="DU710" s="151" t="str">
        <f>IF('IWP03'!Std11dot1StoveMicrowave = 0, "", 'IWP03'!Std11dot1StoveMicrowave)</f>
        <v/>
      </c>
      <c r="DV710" s="151" t="str">
        <f>IF('IWP03'!Std11dot1SeparateBath = 0, "", 'IWP03'!Std11dot1SeparateBath)</f>
        <v/>
      </c>
      <c r="DW710" s="151" t="str">
        <f>IF('IWP03'!Std11dot1BathSink = 0, "", 'IWP03'!Std11dot1BathSink)</f>
        <v/>
      </c>
      <c r="DX710" s="151" t="str">
        <f>IF('IWP03'!Std11dot1ShowerTubAccessible = 0, "", 'IWP03'!Std11dot1ShowerTubAccessible)</f>
        <v/>
      </c>
      <c r="DY710" s="155">
        <f>'IWP03'!Std11dot1TotalPrivateSpace</f>
        <v>0</v>
      </c>
      <c r="DZ710" s="155">
        <f>'IWP03'!Std11dot1PrivateSpaceSquareFootagePerResident</f>
        <v>0</v>
      </c>
      <c r="EA710" s="155">
        <f>IF('IWP03'!Std11dot1TotalSquareFootagePerResident = "", MINVALDBL, 'IWP03'!Std11dot1TotalSquareFootagePerResident)</f>
        <v>-99999.99</v>
      </c>
      <c r="EB710" s="155">
        <f>'IWP03'!Std11dot1UseableCommonAreaSquareFootage</f>
        <v>0</v>
      </c>
      <c r="EC710" s="155">
        <f>'IWP03'!Std11dot1LicensedCapacity</f>
        <v>0</v>
      </c>
      <c r="ED710" s="155">
        <f>IF('IWP03'!Std11dot1CommonAreaSquareFootagePerResident = "", MINVALDBL, 'IWP03'!Std11dot1CommonAreaSquareFootagePerResident)</f>
        <v>-99999.99</v>
      </c>
      <c r="EE710" s="151" t="str">
        <f>IF('IWP03'!Std11dot1a = 0, "", 'IWP03'!Std11dot1a)</f>
        <v/>
      </c>
      <c r="EF710" s="151" t="str">
        <f>IF('IWP03'!Std11dot1b = 0, "", 'IWP03'!Std11dot1b)</f>
        <v/>
      </c>
      <c r="EG710" s="151" t="str">
        <f>IF('IWP03'!Std11dot1c = 0, "", 'IWP03'!Std11dot1c)</f>
        <v/>
      </c>
      <c r="EH710" s="151" t="str">
        <f>IF('IWP03'!Std11dot1d = 0, "", 'IWP03'!Std11dot1d)</f>
        <v/>
      </c>
      <c r="EI710" s="151" t="str">
        <f>IF('IWP03'!Std11dot1e = 0, "", 'IWP03'!Std11dot1e)</f>
        <v/>
      </c>
      <c r="EJ710" s="151" t="str">
        <f>IF('IWP03'!Std11dot1f = 0, "", 'IWP03'!Std11dot1f)</f>
        <v/>
      </c>
      <c r="EK710" s="151" t="str">
        <f>IF('IWP03'!Std11dot1g = 0, "", 'IWP03'!Std11dot1g)</f>
        <v/>
      </c>
      <c r="EL710" s="151" t="str">
        <f>IF('IWP03'!Std11dot1h = 0, "", 'IWP03'!Std11dot1h)</f>
        <v/>
      </c>
      <c r="EM710" s="151" t="str">
        <f>IF('IWP03'!Std11dot1i = 0, "", 'IWP03'!Std11dot1i)</f>
        <v/>
      </c>
      <c r="EN710" s="151" t="str">
        <f>IF('IWP03'!Std11dot1j = 0, "", 'IWP03'!Std11dot1j)</f>
        <v/>
      </c>
      <c r="EO710" s="151" t="str">
        <f>IF('IWP03'!Std11dot1k = 0, "", 'IWP03'!Std11dot1k)</f>
        <v/>
      </c>
      <c r="EP710" s="151" t="str">
        <f>IF('IWP03'!Std11dot1 = 0, "", 'IWP03'!Std11dot1)</f>
        <v/>
      </c>
      <c r="EQ710" s="151" t="str">
        <f>IF('IWP03'!Std11dot2 = 0, "", 'IWP03'!Std11dot2)</f>
        <v/>
      </c>
      <c r="ER710" s="151" t="str">
        <f>IF('IWP03'!Std11dot3 = 0, "", 'IWP03'!Std11dot3)</f>
        <v/>
      </c>
      <c r="ES710" s="151" t="str">
        <f>IF('IWP03'!Std11dot4 = 0, "", 'IWP03'!Std11dot4)</f>
        <v>NA</v>
      </c>
      <c r="ET710" s="157">
        <f>IF('IWP03'!$A$363=DATE(1900,1,0), DATE(1900,1,1), 'IWP03'!$A$363)</f>
        <v>1</v>
      </c>
      <c r="EU710" s="155">
        <f>'IWP03'!$C$363</f>
        <v>0</v>
      </c>
      <c r="EV710" s="155">
        <f>'IWP03'!$E$363</f>
        <v>0</v>
      </c>
      <c r="EW710" s="157">
        <f>IF('IWP03'!$G$363=DATE(1900,1,0), DATE(1900,1,1), 'IWP03'!$G$363)</f>
        <v>1</v>
      </c>
      <c r="EX710" s="155">
        <f>'IWP03'!$I$363</f>
        <v>0</v>
      </c>
      <c r="EY710" s="155">
        <f>'IWP03'!$K$363</f>
        <v>0</v>
      </c>
      <c r="EZ710" s="157">
        <f>IF('IWP03'!$M$363=DATE(1900,1,0), DATE(1900,1,1), 'IWP03'!$M$363)</f>
        <v>1</v>
      </c>
      <c r="FA710" s="151" t="str">
        <f>IF('IWP03'!$O$363 = 0, "", 'IWP03'!$O$363)</f>
        <v/>
      </c>
      <c r="FB710" s="151" t="str">
        <f>IF('IWP03'!$Q$363 = 0, "", 'IWP03'!$Q$363)</f>
        <v/>
      </c>
      <c r="FC710" s="151" t="str">
        <f>IF('IWP03'!Std11dot5a = 0, "", 'IWP03'!Std11dot5a)</f>
        <v/>
      </c>
      <c r="FD710" s="151" t="str">
        <f>IF('IWP03'!Std11dot5b = 0, "", 'IWP03'!Std11dot5b)</f>
        <v/>
      </c>
      <c r="FE710" s="151" t="str">
        <f>IF('IWP03'!Std11dot5ci = 0, "", 'IWP03'!Std11dot5ci)</f>
        <v>NA</v>
      </c>
      <c r="FF710" s="151" t="str">
        <f>IF('IWP03'!Std11dot5cii = 0, "", 'IWP03'!Std11dot5cii)</f>
        <v>NA</v>
      </c>
      <c r="FG710" s="151" t="str">
        <f>IF('IWP03'!Std11dot5 = 0, "", 'IWP03'!Std11dot5)</f>
        <v/>
      </c>
      <c r="FH710" s="207" t="str">
        <f>IF('IWP03'!Std11dot1AptGrandFthr = "", "", 'IWP03'!Std11dot1AptGrandFthr)</f>
        <v/>
      </c>
    </row>
    <row r="711" spans="1:164">
      <c r="A711" s="206" t="s">
        <v>1307</v>
      </c>
      <c r="B711" s="157">
        <f>IF('Samples (Print)'!D8=DATE(1900,1,0),DATE(1900,1,1),'Samples (Print)'!D8)</f>
        <v>1</v>
      </c>
      <c r="C711" s="157">
        <f>IF('Samples (Print)'!E8=DATE(1900,1,0),DATE(1900,1,1),'Samples (Print)'!E8)</f>
        <v>1</v>
      </c>
      <c r="D711" s="319">
        <f>IF('IWP04'!FiscalReviewFirstMonth =DATE(1900,1,0),DATE(1900,1,1),'IWP04'!FiscalReviewFirstMonth)</f>
        <v>1</v>
      </c>
      <c r="E711" s="319">
        <f>IF('IWP04'!FiscalReviewSecondMonth =DATE(1900,1,0),DATE(1900,1,1),'IWP04'!FiscalReviewSecondMonth)</f>
        <v>1</v>
      </c>
      <c r="F711" s="13">
        <f>'IWP04'!SampleNumber</f>
        <v>4</v>
      </c>
      <c r="G711" s="13">
        <f ca="1">'IWP04'!ClientID</f>
        <v>0</v>
      </c>
      <c r="H711" s="283"/>
      <c r="I711" s="283"/>
      <c r="J711" s="151" t="str">
        <f ca="1">IF('IWP04'!ContractNumber = 0, "", 'IWP04'!ContractNumber)</f>
        <v/>
      </c>
      <c r="K711" s="151" t="str">
        <f ca="1">IF('IWP04'!ContractType = 0, "", 'IWP04'!ContractType)</f>
        <v/>
      </c>
      <c r="L711" s="151" t="str">
        <f>IF('IWP04'!CompletedByLastName = 0, "", 'IWP04'!CompletedByLastName)</f>
        <v/>
      </c>
      <c r="M711" s="151" t="str">
        <f>IF('IWP04'!CompletedByFirstName = 0, "", 'IWP04'!CompletedByFirstName)</f>
        <v/>
      </c>
      <c r="N711" s="157">
        <f>IF('IWP04'!DateCompleted =DATE(1900,1,0),DATE(1900,1,1),'IWP04'!DateCompleted)</f>
        <v>1</v>
      </c>
      <c r="O711" s="151" t="str">
        <f>IF('IWP04'!Std3NotCalc = 0, "", 'IWP04'!Std3NotCalc)</f>
        <v/>
      </c>
      <c r="P711" s="157">
        <f>IF('IWP04'!Std3dot1DateOfAdmission =DATE(1900,1,0),DATE(1900,1,1),'IWP04'!Std3dot1DateOfAdmission)</f>
        <v>1</v>
      </c>
      <c r="Q711" s="151" t="str">
        <f>IF('IWP04'!Std3dot1a = 0, "", 'IWP04'!Std3dot1a)</f>
        <v/>
      </c>
      <c r="R711" s="151" t="str">
        <f>IF('IWP04'!Std3dot1b = 0, "", 'IWP04'!Std3dot1b)</f>
        <v/>
      </c>
      <c r="S711" s="151" t="str">
        <f>IF('IWP04'!Std3dot1c = 0, "", 'IWP04'!Std3dot1c)</f>
        <v>NA</v>
      </c>
      <c r="T711" s="151" t="str">
        <f>IF('IWP04'!Std3dot1 = 0, "", 'IWP04'!Std3dot1)</f>
        <v/>
      </c>
      <c r="U711" s="151" t="str">
        <f>IF('IWP04'!Std3dot2a = 0, "", 'IWP04'!Std3dot2a)</f>
        <v/>
      </c>
      <c r="V711" s="151" t="str">
        <f>IF('IWP04'!Std3dot2b = 0, "", 'IWP04'!Std3dot2b)</f>
        <v/>
      </c>
      <c r="W711" s="151" t="str">
        <f>IF('IWP04'!Std3dot2c = 0, "", 'IWP04'!Std3dot2c)</f>
        <v/>
      </c>
      <c r="X711" s="151" t="str">
        <f>IF('IWP04'!Std3dot2 = 0, "", 'IWP04'!Std3dot2)</f>
        <v/>
      </c>
      <c r="Y711" s="151" t="str">
        <f>IF('IWP04'!Std4dot1Month1 = 0, "", 'IWP04'!Std4dot1Month1)</f>
        <v/>
      </c>
      <c r="Z711" s="157">
        <f>IF('IWP04'!Std4dot1Month1Date =DATE(1900,1,0),DATE(1900,1,1),'IWP04'!Std4dot1Month1Date)</f>
        <v>1</v>
      </c>
      <c r="AA711" s="151" t="str">
        <f>IF('IWP04'!Std4dot1Month2 = 0, "", 'IWP04'!Std4dot1Month2)</f>
        <v/>
      </c>
      <c r="AB711" s="157">
        <f>IF('IWP04'!Std4dot1Month2Date =DATE(1900,1,0),DATE(1900,1,1),'IWP04'!Std4dot1Month2Date)</f>
        <v>1</v>
      </c>
      <c r="AC711" s="151" t="str">
        <f>IF('IWP04'!Std4dot1 = 0, "", 'IWP04'!Std4dot1)</f>
        <v/>
      </c>
      <c r="AD711" s="151" t="str">
        <f>IF('IWP04'!Std4dot2NotCalc = 0, "", 'IWP04'!Std4dot2NotCalc)</f>
        <v/>
      </c>
      <c r="AE711" s="151" t="str">
        <f>IF('IWP04'!Std4dot2 = 0, "", 'IWP04'!Std4dot2)</f>
        <v/>
      </c>
      <c r="AF711" s="151" t="str">
        <f>IF('IWP04'!Std4dot3 = 0, "", 'IWP04'!Std4dot3)</f>
        <v/>
      </c>
      <c r="AG711" s="151" t="str">
        <f>IF('IWP04'!Std4dot4 = 0, "", 'IWP04'!Std4dot4)</f>
        <v/>
      </c>
      <c r="AH711" s="151" t="str">
        <f>IF('IWP04'!Std5NotCalc = 0, "", 'IWP04'!Std5NotCalc)</f>
        <v/>
      </c>
      <c r="AI711" s="151" t="str">
        <f>IF('IWP04'!Std5dot1 = 0, "", 'IWP04'!Std5dot1)</f>
        <v/>
      </c>
      <c r="AJ711" s="151" t="str">
        <f>IF('IWP04'!Std7dot1NotCalc = 0, "", 'IWP04'!Std7dot1NotCalc)</f>
        <v/>
      </c>
      <c r="AK711" s="151" t="str">
        <f>IF('IWP04'!Std7dot1NotCalc = 0, "", 'IWP04'!Std7dot1NotCalc)</f>
        <v/>
      </c>
      <c r="AL711" s="155">
        <f>'IWP04'!Std7dot1BalPerCshLog</f>
        <v>0</v>
      </c>
      <c r="AM711" s="155">
        <f>'IWP04'!Std7dot1LessAdj</f>
        <v>0</v>
      </c>
      <c r="AN711" s="155">
        <f>'IWP04'!Std7dot1AdjBal</f>
        <v>0</v>
      </c>
      <c r="AO711" s="155">
        <f>'IWP04'!Std7dot1CshOnHand</f>
        <v>0</v>
      </c>
      <c r="AP711" s="155">
        <f>'IWP04'!Std7dot1PtyCshOvrShrt</f>
        <v>0</v>
      </c>
      <c r="AQ711" s="151" t="str">
        <f>IF('IWP04'!Std7dot1OvrShrtCorr = 0, "", 'IWP04'!Std7dot1OvrShrtCorr)</f>
        <v/>
      </c>
      <c r="AR711" s="151" t="str">
        <f>IF('IWP04'!Std7dot1 = 0, "", 'IWP04'!Std7dot1)</f>
        <v/>
      </c>
      <c r="AS711" s="151" t="str">
        <f>IF('IWP04'!Std9dot1aNotCalc = 0, "", 'IWP04'!Std9dot1aNotCalc)</f>
        <v/>
      </c>
      <c r="AT711" s="151" t="str">
        <f>IF('IWP04'!Std9dot1bNotCalc = 0, "", 'IWP04'!Std9dot1bNotCalc)</f>
        <v/>
      </c>
      <c r="AU711" s="157">
        <f>IF('IWP04'!Std9BalPerBnkStmtDt =DATE(1900,1,0),DATE(1900,1,1),'IWP04'!Std9BalPerBnkStmtDt)</f>
        <v>1</v>
      </c>
      <c r="AV711" s="155">
        <f>'IWP04'!Std9BalPerBnkStmt</f>
        <v>0</v>
      </c>
      <c r="AW711" s="155">
        <f>'IWP04'!Std9TotDepsInTrans</f>
        <v>0</v>
      </c>
      <c r="AX711" s="155">
        <f>'IWP04'!Std9TotOutsChks</f>
        <v>0</v>
      </c>
      <c r="AY711" s="155">
        <f>'IWP04'!Std9AdjBalPerBank</f>
        <v>0</v>
      </c>
      <c r="AZ711" s="157">
        <f>IF('IWP04'!Std9TotPtyCshIndvDt =DATE(1900,1,0),DATE(1900,1,1),'IWP04'!Std9TotPtyCshIndvDt)</f>
        <v>1</v>
      </c>
      <c r="BA711" s="155">
        <f>'IWP04'!Std9TotPtyCshIndv</f>
        <v>0</v>
      </c>
      <c r="BB711" s="155">
        <f>'IWP04'!Std9TotCshBnkAndHnd</f>
        <v>0</v>
      </c>
      <c r="BC711" s="157">
        <f>IF('IWP04'!Std9BalPerBksDt =DATE(1900,1,0),DATE(1900,1,1),'IWP04'!Std9BalPerBksDt)</f>
        <v>1</v>
      </c>
      <c r="BD711" s="155">
        <f>'IWP04'!Std9BalPerBks</f>
        <v>0</v>
      </c>
      <c r="BE711" s="155">
        <f>'IWP04'!Std9UnapplErndInt</f>
        <v>0</v>
      </c>
      <c r="BF711" s="155">
        <f>'IWP04'!Std9UnpstdRcptDsbrsmts</f>
        <v>0</v>
      </c>
      <c r="BG711" s="155">
        <f>'IWP04'!Std9NsfChks</f>
        <v>0</v>
      </c>
      <c r="BH711" s="155">
        <f>'IWP04'!Std9AdjBalPerBks</f>
        <v>0</v>
      </c>
      <c r="BI711" s="155">
        <f>'IWP04'!Std9TrstFndAcctOvrShrt</f>
        <v>0</v>
      </c>
      <c r="BJ711" s="151" t="str">
        <f>IF('IWP04'!Std9OvrShrtCorrctd = 0, "", 'IWP04'!Std9OvrShrtCorrctd)</f>
        <v/>
      </c>
      <c r="BK711" s="151" t="str">
        <f>IF('IWP04'!Std9ShrtUnreimbSvcChg = 0, "", 'IWP04'!Std9ShrtUnreimbSvcChg)</f>
        <v/>
      </c>
      <c r="BL711" s="151" t="str">
        <f>IF('IWP04'!Std9dot1 = 0, "", 'IWP04'!Std9dot1)</f>
        <v/>
      </c>
      <c r="BM711" s="151" t="str">
        <f>IF('IWP04'!Std10dot1NotCalc = 0, "", 'IWP04'!Std10dot1NotCalc)</f>
        <v/>
      </c>
      <c r="BN711" s="319">
        <f>IF('IWP04'!FiscalReviewFirstMonth =DATE(1900,1,0),DATE(1900,1,1),'IWP04'!FiscalReviewFirstMonth)</f>
        <v>1</v>
      </c>
      <c r="BO711" s="155">
        <f>'IWP04'!Std10dot1TotalAmt1</f>
        <v>0</v>
      </c>
      <c r="BP711" s="319">
        <f>IF('IWP04'!FiscalReviewSecondMonth =DATE(1900,1,0),DATE(1900,1,1),'IWP04'!FiscalReviewSecondMonth)</f>
        <v>1</v>
      </c>
      <c r="BQ711" s="155">
        <f>'IWP04'!Std10dot1TotalAmt2</f>
        <v>0</v>
      </c>
      <c r="BR711" s="151" t="str">
        <f>IF('IWP04'!Std10dot1 = 0, "", 'IWP04'!Std10dot1)</f>
        <v/>
      </c>
      <c r="BS711" s="151" t="str">
        <f>IF('IWP04'!Std10dot2NotCalc = 0, "", 'IWP04'!Std10dot2NotCalc)</f>
        <v/>
      </c>
      <c r="BT711" s="319">
        <f>IF('IWP04'!FiscalReviewFirstMonth =DATE(1900,1,0),DATE(1900,1,1),'IWP04'!FiscalReviewFirstMonth)</f>
        <v>1</v>
      </c>
      <c r="BU711" s="155">
        <f>'IWP04'!Std10dot2BankChgs1</f>
        <v>0</v>
      </c>
      <c r="BV711" s="319">
        <f>IF('IWP04'!FiscalReviewSecondMonth =DATE(1900,1,0),DATE(1900,1,1),'IWP04'!FiscalReviewSecondMonth)</f>
        <v>1</v>
      </c>
      <c r="BW711" s="155">
        <f>'IWP04'!Std10dot2BankChgs2</f>
        <v>0</v>
      </c>
      <c r="BX711" s="151" t="str">
        <f>IF('IWP04'!Std10dot2 = 0, "", 'IWP04'!Std10dot2)</f>
        <v/>
      </c>
      <c r="BY711" s="151" t="str">
        <f>IF('IWP04'!Std10dot3NotCalc = 0, "", 'IWP04'!Std10dot3NotCalc)</f>
        <v/>
      </c>
      <c r="BZ711" s="151" t="str">
        <f>IF('IWP04'!Std10dot3 = 0, "", 'IWP04'!Std10dot3)</f>
        <v/>
      </c>
      <c r="CA711" s="151" t="str">
        <f>IF('IWP04'!Std10dot4NotCalc = 0, "", 'IWP04'!Std10dot4NotCalc)</f>
        <v/>
      </c>
      <c r="CB711" s="151" t="str">
        <f>IF('IWP04'!Std10dot4 = 0, "", 'IWP04'!Std10dot4)</f>
        <v/>
      </c>
      <c r="CC711" s="151" t="str">
        <f>IF('IWP04'!Std10dot5 = 0, "", 'IWP04'!Std10dot5)</f>
        <v/>
      </c>
      <c r="CD711" s="151" t="str">
        <f>IF('IWP04'!Std10dot6NotCalc = 0, "", 'IWP04'!Std10dot6NotCalc)</f>
        <v/>
      </c>
      <c r="CE711" s="157">
        <f>IF('IWP04'!Std10dot6DateOfDeathDischarge =DATE(1900,1,0),DATE(1900,1,1),'IWP04'!Std10dot6DateOfDeathDischarge)</f>
        <v>1</v>
      </c>
      <c r="CF711" s="151" t="str">
        <f>IF('IWP04'!Std10dot6DthDschg = 0, "", 'IWP04'!Std10dot6DthDschg)</f>
        <v/>
      </c>
      <c r="CG711" s="155">
        <f>'IWP04'!Std10dot6TrustFundAmtDue</f>
        <v>0</v>
      </c>
      <c r="CH711" s="155">
        <f>'IWP04'!Std10dot6IndvPtyCshAmtDue</f>
        <v>0</v>
      </c>
      <c r="CI711" s="155">
        <f>'IWP04'!Std10dot6TotRfndDue</f>
        <v>0</v>
      </c>
      <c r="CJ711" s="155">
        <f>'IWP04'!Std10dot6AmtRfnd</f>
        <v>0</v>
      </c>
      <c r="CK711" s="155">
        <f>'IWP04'!Std10dot6DminusE</f>
        <v>0</v>
      </c>
      <c r="CL711" s="151" t="str">
        <f>IF('IWP04'!Std10dot6LastName = 0, "", 'IWP04'!Std10dot6LastName)</f>
        <v/>
      </c>
      <c r="CM711" s="151" t="str">
        <f>IF('IWP04'!Std10dot6FirstName = 0, "", 'IWP04'!Std10dot6FirstName)</f>
        <v/>
      </c>
      <c r="CN711" s="157">
        <f>IF('IWP04'!Std10dot6DateOfRefund =DATE(1900,1,0),DATE(1900,1,1),'IWP04'!Std10dot6DateOfRefund)</f>
        <v>1</v>
      </c>
      <c r="CO711" s="151" t="str">
        <f>IF('IWP04'!Std10dot6a = 0, "", 'IWP04'!Std10dot6a)</f>
        <v/>
      </c>
      <c r="CP711" s="151" t="str">
        <f>IF('IWP04'!Std10dot6b = 0, "", 'IWP04'!Std10dot6b)</f>
        <v/>
      </c>
      <c r="CQ711" s="151" t="str">
        <f>IF('IWP04'!Std10dot6c = 0, "", 'IWP04'!Std10dot6c)</f>
        <v/>
      </c>
      <c r="CR711" s="151" t="str">
        <f>IF('IWP04'!Std10dot6 = "", "", 'IWP04'!Std10dot6)</f>
        <v/>
      </c>
      <c r="CS711" s="151" t="str">
        <f>IF('IWP04'!Std11dot1aNotCalc = 0, "", 'IWP04'!Std11dot1aNotCalc)</f>
        <v/>
      </c>
      <c r="CT711" s="151" t="str">
        <f>IF('IWP04'!Std11dot1bNotCalc = 0, "", 'IWP04'!Std11dot1bNotCalc)</f>
        <v>N</v>
      </c>
      <c r="CU711" s="151" t="str">
        <f>IF('IWP04'!Std11dot1cNotCalc = 0, "", 'IWP04'!Std11dot1cNotCalc)</f>
        <v>N</v>
      </c>
      <c r="CV711" s="151" t="str">
        <f>IF('IWP04'!Std11dot1dNotCalc = 0, "", 'IWP04'!Std11dot1dNotCalc)</f>
        <v/>
      </c>
      <c r="CW711" s="151" t="str">
        <f>IF('IWP04'!Std11dot1eNotCalc = 0, "", 'IWP04'!Std11dot1eNotCalc)</f>
        <v/>
      </c>
      <c r="CX711" s="151" t="str">
        <f>IF('IWP04'!Std11dot1fNotCalc = 0, "", 'IWP04'!Std11dot1fNotCalc)</f>
        <v/>
      </c>
      <c r="CY711" s="151" t="str">
        <f>IF('IWP04'!Std11dot1PrivateLivingSpace = 0, "", 'IWP04'!Std11dot1PrivateLivingSpace)</f>
        <v/>
      </c>
      <c r="CZ711" s="155">
        <f>'IWP04'!Std11dot1LivingWidth</f>
        <v>0</v>
      </c>
      <c r="DA711" s="155">
        <f>'IWP04'!Std11dot1LivingLength</f>
        <v>0</v>
      </c>
      <c r="DB711" s="155">
        <f>IF('IWP04'!Std11dot1LivingSqFt = "", MINVALDBL, 'IWP04'!Std11dot1LivingSqFt)</f>
        <v>-99999.99</v>
      </c>
      <c r="DC711" s="151" t="str">
        <f>IF('IWP04'!Std11dot1PrivateLivingSpace = 0, "", 'IWP04'!Std11dot1PrivateLivingSpace)</f>
        <v/>
      </c>
      <c r="DD711" s="155">
        <f>'IWP04'!Std11dot1LivingWidth</f>
        <v>0</v>
      </c>
      <c r="DE711" s="155">
        <f>'IWP04'!Std11dot1LivingLength</f>
        <v>0</v>
      </c>
      <c r="DF711" s="155">
        <f>IF('IWP04'!Std11dot1LivingSqFt = "", MINVALDBL, 'IWP04'!Std11dot1LivingSqFt)</f>
        <v>-99999.99</v>
      </c>
      <c r="DG711" s="151" t="str">
        <f>IF('IWP04'!Std11dot1PrivateBedSpace = 0, "", 'IWP04'!Std11dot1PrivateBedSpace)</f>
        <v/>
      </c>
      <c r="DH711" s="155">
        <f>'IWP04'!Std11dot1BdrmWidth</f>
        <v>0</v>
      </c>
      <c r="DI711" s="155">
        <f>'IWP04'!Std11dot1BdrmLength</f>
        <v>0</v>
      </c>
      <c r="DJ711" s="155">
        <f>IF('IWP04'!Std11dot1BdrmSqFt = "", MINVALDBL, 'IWP04'!Std11dot1BdrmSqFt)</f>
        <v>-99999.99</v>
      </c>
      <c r="DK711" s="151" t="str">
        <f>IF('IWP04'!Std11dot1PrivateStorageSpace = 0, "", 'IWP04'!Std11dot1PrivateStorageSpace)</f>
        <v/>
      </c>
      <c r="DL711" s="155">
        <f>'IWP04'!Std11dot1StorageWidth</f>
        <v>0</v>
      </c>
      <c r="DM711" s="155">
        <f>'IWP04'!Std11dot1StorageLength</f>
        <v>0</v>
      </c>
      <c r="DN711" s="155">
        <f>IF('IWP04'!Std11dot1StorageSqFt = "", 0, 'IWP04'!Std11dot1StorageSqFt)</f>
        <v>0</v>
      </c>
      <c r="DO711" s="151" t="str">
        <f>IF('IWP04'!Std11dot1PrivateKitchenSpace = 0, "", 'IWP04'!Std11dot1PrivateKitchenSpace)</f>
        <v/>
      </c>
      <c r="DP711" s="155">
        <f>'IWP04'!Std11dot1KitchenWidth</f>
        <v>0</v>
      </c>
      <c r="DQ711" s="155">
        <f>'IWP04'!Std11dot1KitchenLength</f>
        <v>0</v>
      </c>
      <c r="DR711" s="155">
        <f>IF('IWP04'!Std11dot1KitchenSqFt = "", MINVALDBL, 'IWP04'!Std11dot1KitchenSqFt)</f>
        <v>-99999.99</v>
      </c>
      <c r="DS711" s="151" t="str">
        <f>IF('IWP04'!Std11dot1KitchenSink = 0, "", 'IWP04'!Std11dot1KitchenSink)</f>
        <v/>
      </c>
      <c r="DT711" s="151" t="str">
        <f>IF('IWP04'!Std11dot1Refrigerator = 0, "", 'IWP04'!Std11dot1Refrigerator)</f>
        <v/>
      </c>
      <c r="DU711" s="151" t="str">
        <f>IF('IWP04'!Std11dot1StoveMicrowave = 0, "", 'IWP04'!Std11dot1StoveMicrowave)</f>
        <v/>
      </c>
      <c r="DV711" s="151" t="str">
        <f>IF('IWP04'!Std11dot1SeparateBath = 0, "", 'IWP04'!Std11dot1SeparateBath)</f>
        <v/>
      </c>
      <c r="DW711" s="151" t="str">
        <f>IF('IWP04'!Std11dot1BathSink = 0, "", 'IWP04'!Std11dot1BathSink)</f>
        <v/>
      </c>
      <c r="DX711" s="151" t="str">
        <f>IF('IWP04'!Std11dot1ShowerTubAccessible = 0, "", 'IWP04'!Std11dot1ShowerTubAccessible)</f>
        <v/>
      </c>
      <c r="DY711" s="155">
        <f>'IWP04'!Std11dot1TotalPrivateSpace</f>
        <v>0</v>
      </c>
      <c r="DZ711" s="155">
        <f>'IWP04'!Std11dot1PrivateSpaceSquareFootagePerResident</f>
        <v>0</v>
      </c>
      <c r="EA711" s="155">
        <f>IF('IWP04'!Std11dot1TotalSquareFootagePerResident = "", MINVALDBL, 'IWP04'!Std11dot1TotalSquareFootagePerResident)</f>
        <v>-99999.99</v>
      </c>
      <c r="EB711" s="155">
        <f>'IWP04'!Std11dot1UseableCommonAreaSquareFootage</f>
        <v>0</v>
      </c>
      <c r="EC711" s="155">
        <f>'IWP04'!Std11dot1LicensedCapacity</f>
        <v>0</v>
      </c>
      <c r="ED711" s="155">
        <f>IF('IWP04'!Std11dot1CommonAreaSquareFootagePerResident = "", MINVALDBL, 'IWP04'!Std11dot1CommonAreaSquareFootagePerResident)</f>
        <v>-99999.99</v>
      </c>
      <c r="EE711" s="151" t="str">
        <f>IF('IWP04'!Std11dot1a = 0, "", 'IWP04'!Std11dot1a)</f>
        <v/>
      </c>
      <c r="EF711" s="151" t="str">
        <f>IF('IWP04'!Std11dot1b = 0, "", 'IWP04'!Std11dot1b)</f>
        <v/>
      </c>
      <c r="EG711" s="151" t="str">
        <f>IF('IWP04'!Std11dot1c = 0, "", 'IWP04'!Std11dot1c)</f>
        <v/>
      </c>
      <c r="EH711" s="151" t="str">
        <f>IF('IWP04'!Std11dot1d = 0, "", 'IWP04'!Std11dot1d)</f>
        <v/>
      </c>
      <c r="EI711" s="151" t="str">
        <f>IF('IWP04'!Std11dot1e = 0, "", 'IWP04'!Std11dot1e)</f>
        <v/>
      </c>
      <c r="EJ711" s="151" t="str">
        <f>IF('IWP04'!Std11dot1f = 0, "", 'IWP04'!Std11dot1f)</f>
        <v/>
      </c>
      <c r="EK711" s="151" t="str">
        <f>IF('IWP04'!Std11dot1g = 0, "", 'IWP04'!Std11dot1g)</f>
        <v/>
      </c>
      <c r="EL711" s="151" t="str">
        <f>IF('IWP04'!Std11dot1h = 0, "", 'IWP04'!Std11dot1h)</f>
        <v/>
      </c>
      <c r="EM711" s="151" t="str">
        <f>IF('IWP04'!Std11dot1i = 0, "", 'IWP04'!Std11dot1i)</f>
        <v/>
      </c>
      <c r="EN711" s="151" t="str">
        <f>IF('IWP04'!Std11dot1j = 0, "", 'IWP04'!Std11dot1j)</f>
        <v/>
      </c>
      <c r="EO711" s="151" t="str">
        <f>IF('IWP04'!Std11dot1k = 0, "", 'IWP04'!Std11dot1k)</f>
        <v/>
      </c>
      <c r="EP711" s="151" t="str">
        <f>IF('IWP04'!Std11dot1 = 0, "", 'IWP04'!Std11dot1)</f>
        <v/>
      </c>
      <c r="EQ711" s="151" t="str">
        <f>IF('IWP04'!Std11dot2 = 0, "", 'IWP04'!Std11dot2)</f>
        <v/>
      </c>
      <c r="ER711" s="151" t="str">
        <f>IF('IWP04'!Std11dot3 = 0, "", 'IWP04'!Std11dot3)</f>
        <v/>
      </c>
      <c r="ES711" s="151" t="str">
        <f>IF('IWP04'!Std11dot4 = 0, "", 'IWP04'!Std11dot4)</f>
        <v>NA</v>
      </c>
      <c r="ET711" s="157">
        <f>IF('IWP04'!$A$363=DATE(1900,1,0), DATE(1900,1,1), 'IWP04'!$A$363)</f>
        <v>1</v>
      </c>
      <c r="EU711" s="155">
        <f>'IWP04'!$C$363</f>
        <v>0</v>
      </c>
      <c r="EV711" s="155">
        <f>'IWP04'!$E$363</f>
        <v>0</v>
      </c>
      <c r="EW711" s="157">
        <f>IF('IWP04'!$G$363=DATE(1900,1,0), DATE(1900,1,1), 'IWP04'!$G$363)</f>
        <v>1</v>
      </c>
      <c r="EX711" s="155">
        <f>'IWP04'!$I$363</f>
        <v>0</v>
      </c>
      <c r="EY711" s="155">
        <f>'IWP04'!$K$363</f>
        <v>0</v>
      </c>
      <c r="EZ711" s="157">
        <f>IF('IWP04'!$M$363=DATE(1900,1,0), DATE(1900,1,1), 'IWP04'!$M$363)</f>
        <v>1</v>
      </c>
      <c r="FA711" s="151" t="str">
        <f>IF('IWP04'!$O$363 = 0, "", 'IWP04'!$O$363)</f>
        <v/>
      </c>
      <c r="FB711" s="151" t="str">
        <f>IF('IWP04'!$Q$363 = 0, "", 'IWP04'!$Q$363)</f>
        <v/>
      </c>
      <c r="FC711" s="151" t="str">
        <f>IF('IWP04'!Std11dot5a = 0, "", 'IWP04'!Std11dot5a)</f>
        <v/>
      </c>
      <c r="FD711" s="151" t="str">
        <f>IF('IWP04'!Std11dot5b = 0, "", 'IWP04'!Std11dot5b)</f>
        <v/>
      </c>
      <c r="FE711" s="151" t="str">
        <f>IF('IWP04'!Std11dot5ci = 0, "", 'IWP04'!Std11dot5ci)</f>
        <v>NA</v>
      </c>
      <c r="FF711" s="151" t="str">
        <f>IF('IWP04'!Std11dot5cii = 0, "", 'IWP04'!Std11dot5cii)</f>
        <v>NA</v>
      </c>
      <c r="FG711" s="151" t="str">
        <f>IF('IWP04'!Std11dot5 = 0, "", 'IWP04'!Std11dot5)</f>
        <v/>
      </c>
      <c r="FH711" s="207" t="str">
        <f>IF('IWP04'!Std11dot1AptGrandFthr = "", "", 'IWP04'!Std11dot1AptGrandFthr)</f>
        <v/>
      </c>
    </row>
    <row r="712" spans="1:164">
      <c r="A712" s="206" t="s">
        <v>1308</v>
      </c>
      <c r="B712" s="157">
        <f>IF('Samples (Print)'!D9=DATE(1900,1,0),DATE(1900,1,1),'Samples (Print)'!D9)</f>
        <v>1</v>
      </c>
      <c r="C712" s="157">
        <f>IF('Samples (Print)'!E9=DATE(1900,1,0),DATE(1900,1,1),'Samples (Print)'!E9)</f>
        <v>1</v>
      </c>
      <c r="D712" s="319">
        <f>IF('IWP05'!FiscalReviewFirstMonth =DATE(1900,1,0),DATE(1900,1,1),'IWP05'!FiscalReviewFirstMonth)</f>
        <v>1</v>
      </c>
      <c r="E712" s="319">
        <f>IF('IWP05'!FiscalReviewSecondMonth =DATE(1900,1,0),DATE(1900,1,1),'IWP05'!FiscalReviewSecondMonth)</f>
        <v>1</v>
      </c>
      <c r="F712" s="13">
        <f>'IWP05'!SampleNumber</f>
        <v>5</v>
      </c>
      <c r="G712" s="13">
        <f ca="1">'IWP05'!ClientID</f>
        <v>0</v>
      </c>
      <c r="H712" s="283"/>
      <c r="I712" s="283"/>
      <c r="J712" s="151" t="str">
        <f ca="1">IF('IWP05'!ContractNumber = 0, "", 'IWP05'!ContractNumber)</f>
        <v/>
      </c>
      <c r="K712" s="151" t="str">
        <f ca="1">IF('IWP05'!ContractType = 0, "", 'IWP05'!ContractType)</f>
        <v/>
      </c>
      <c r="L712" s="151" t="str">
        <f>IF('IWP05'!CompletedByLastName = 0, "", 'IWP05'!CompletedByLastName)</f>
        <v/>
      </c>
      <c r="M712" s="151" t="str">
        <f>IF('IWP05'!CompletedByFirstName = 0, "", 'IWP05'!CompletedByFirstName)</f>
        <v/>
      </c>
      <c r="N712" s="157">
        <f>IF('IWP05'!DateCompleted =DATE(1900,1,0),DATE(1900,1,1),'IWP05'!DateCompleted)</f>
        <v>1</v>
      </c>
      <c r="O712" s="151" t="str">
        <f>IF('IWP05'!Std3NotCalc = 0, "", 'IWP05'!Std3NotCalc)</f>
        <v/>
      </c>
      <c r="P712" s="157">
        <f>IF('IWP05'!Std3dot1DateOfAdmission =DATE(1900,1,0),DATE(1900,1,1),'IWP05'!Std3dot1DateOfAdmission)</f>
        <v>1</v>
      </c>
      <c r="Q712" s="151" t="str">
        <f>IF('IWP05'!Std3dot1a = 0, "", 'IWP05'!Std3dot1a)</f>
        <v/>
      </c>
      <c r="R712" s="151" t="str">
        <f>IF('IWP05'!Std3dot1b = 0, "", 'IWP05'!Std3dot1b)</f>
        <v/>
      </c>
      <c r="S712" s="151" t="str">
        <f>IF('IWP05'!Std3dot1c = 0, "", 'IWP05'!Std3dot1c)</f>
        <v>NA</v>
      </c>
      <c r="T712" s="151" t="str">
        <f>IF('IWP05'!Std3dot1 = 0, "", 'IWP05'!Std3dot1)</f>
        <v/>
      </c>
      <c r="U712" s="151" t="str">
        <f>IF('IWP05'!Std3dot2a = 0, "", 'IWP05'!Std3dot2a)</f>
        <v/>
      </c>
      <c r="V712" s="151" t="str">
        <f>IF('IWP05'!Std3dot2b = 0, "", 'IWP05'!Std3dot2b)</f>
        <v/>
      </c>
      <c r="W712" s="151" t="str">
        <f>IF('IWP05'!Std3dot2c = 0, "", 'IWP05'!Std3dot2c)</f>
        <v/>
      </c>
      <c r="X712" s="151" t="str">
        <f>IF('IWP05'!Std3dot2 = 0, "", 'IWP05'!Std3dot2)</f>
        <v/>
      </c>
      <c r="Y712" s="151" t="str">
        <f>IF('IWP05'!Std4dot1Month1 = 0, "", 'IWP05'!Std4dot1Month1)</f>
        <v/>
      </c>
      <c r="Z712" s="157">
        <f>IF('IWP05'!Std4dot1Month1Date =DATE(1900,1,0),DATE(1900,1,1),'IWP05'!Std4dot1Month1Date)</f>
        <v>1</v>
      </c>
      <c r="AA712" s="151" t="str">
        <f>IF('IWP05'!Std4dot1Month2 = 0, "", 'IWP05'!Std4dot1Month2)</f>
        <v/>
      </c>
      <c r="AB712" s="157">
        <f>IF('IWP05'!Std4dot1Month2Date =DATE(1900,1,0),DATE(1900,1,1),'IWP05'!Std4dot1Month2Date)</f>
        <v>1</v>
      </c>
      <c r="AC712" s="151" t="str">
        <f>IF('IWP05'!Std4dot1 = 0, "", 'IWP05'!Std4dot1)</f>
        <v/>
      </c>
      <c r="AD712" s="151" t="str">
        <f>IF('IWP05'!Std4dot2NotCalc = 0, "", 'IWP05'!Std4dot2NotCalc)</f>
        <v/>
      </c>
      <c r="AE712" s="151" t="str">
        <f>IF('IWP05'!Std4dot2 = 0, "", 'IWP05'!Std4dot2)</f>
        <v/>
      </c>
      <c r="AF712" s="151" t="str">
        <f>IF('IWP05'!Std4dot3 = 0, "", 'IWP05'!Std4dot3)</f>
        <v/>
      </c>
      <c r="AG712" s="151" t="str">
        <f>IF('IWP05'!Std4dot4 = 0, "", 'IWP05'!Std4dot4)</f>
        <v/>
      </c>
      <c r="AH712" s="151" t="str">
        <f>IF('IWP05'!Std5NotCalc = 0, "", 'IWP05'!Std5NotCalc)</f>
        <v/>
      </c>
      <c r="AI712" s="151" t="str">
        <f>IF('IWP05'!Std5dot1 = 0, "", 'IWP05'!Std5dot1)</f>
        <v/>
      </c>
      <c r="AJ712" s="151" t="str">
        <f>IF('IWP05'!Std7dot1NotCalc = 0, "", 'IWP05'!Std7dot1NotCalc)</f>
        <v/>
      </c>
      <c r="AK712" s="151" t="str">
        <f>IF('IWP05'!Std7dot1NotCalc = 0, "", 'IWP05'!Std7dot1NotCalc)</f>
        <v/>
      </c>
      <c r="AL712" s="155">
        <f>'IWP05'!Std7dot1BalPerCshLog</f>
        <v>0</v>
      </c>
      <c r="AM712" s="155">
        <f>'IWP05'!Std7dot1LessAdj</f>
        <v>0</v>
      </c>
      <c r="AN712" s="155">
        <f>'IWP05'!Std7dot1AdjBal</f>
        <v>0</v>
      </c>
      <c r="AO712" s="155">
        <f>'IWP05'!Std7dot1CshOnHand</f>
        <v>0</v>
      </c>
      <c r="AP712" s="155">
        <f>'IWP05'!Std7dot1PtyCshOvrShrt</f>
        <v>0</v>
      </c>
      <c r="AQ712" s="151" t="str">
        <f>IF('IWP05'!Std7dot1OvrShrtCorr = 0, "", 'IWP05'!Std7dot1OvrShrtCorr)</f>
        <v/>
      </c>
      <c r="AR712" s="151" t="str">
        <f>IF('IWP05'!Std7dot1 = 0, "", 'IWP05'!Std7dot1)</f>
        <v/>
      </c>
      <c r="AS712" s="151" t="str">
        <f>IF('IWP05'!Std9dot1aNotCalc = 0, "", 'IWP05'!Std9dot1aNotCalc)</f>
        <v/>
      </c>
      <c r="AT712" s="151" t="str">
        <f>IF('IWP05'!Std9dot1bNotCalc = 0, "", 'IWP05'!Std9dot1bNotCalc)</f>
        <v/>
      </c>
      <c r="AU712" s="157">
        <f>IF('IWP05'!Std9BalPerBnkStmtDt =DATE(1900,1,0),DATE(1900,1,1),'IWP05'!Std9BalPerBnkStmtDt)</f>
        <v>1</v>
      </c>
      <c r="AV712" s="155">
        <f>'IWP05'!Std9BalPerBnkStmt</f>
        <v>0</v>
      </c>
      <c r="AW712" s="155">
        <f>'IWP05'!Std9TotDepsInTrans</f>
        <v>0</v>
      </c>
      <c r="AX712" s="155">
        <f>'IWP05'!Std9TotOutsChks</f>
        <v>0</v>
      </c>
      <c r="AY712" s="155">
        <f>'IWP05'!Std9AdjBalPerBank</f>
        <v>0</v>
      </c>
      <c r="AZ712" s="157">
        <f>IF('IWP05'!Std9TotPtyCshIndvDt =DATE(1900,1,0),DATE(1900,1,1),'IWP05'!Std9TotPtyCshIndvDt)</f>
        <v>1</v>
      </c>
      <c r="BA712" s="155">
        <f>'IWP05'!Std9TotPtyCshIndv</f>
        <v>0</v>
      </c>
      <c r="BB712" s="155">
        <f>'IWP05'!Std9TotCshBnkAndHnd</f>
        <v>0</v>
      </c>
      <c r="BC712" s="157">
        <f>IF('IWP05'!Std9BalPerBksDt =DATE(1900,1,0),DATE(1900,1,1),'IWP05'!Std9BalPerBksDt)</f>
        <v>1</v>
      </c>
      <c r="BD712" s="155">
        <f>'IWP05'!Std9BalPerBks</f>
        <v>0</v>
      </c>
      <c r="BE712" s="155">
        <f>'IWP05'!Std9UnapplErndInt</f>
        <v>0</v>
      </c>
      <c r="BF712" s="155">
        <f>'IWP05'!Std9UnpstdRcptDsbrsmts</f>
        <v>0</v>
      </c>
      <c r="BG712" s="155">
        <f>'IWP05'!Std9NsfChks</f>
        <v>0</v>
      </c>
      <c r="BH712" s="155">
        <f>'IWP05'!Std9AdjBalPerBks</f>
        <v>0</v>
      </c>
      <c r="BI712" s="155">
        <f>'IWP05'!Std9TrstFndAcctOvrShrt</f>
        <v>0</v>
      </c>
      <c r="BJ712" s="151" t="str">
        <f>IF('IWP05'!Std9OvrShrtCorrctd = 0, "", 'IWP05'!Std9OvrShrtCorrctd)</f>
        <v/>
      </c>
      <c r="BK712" s="151" t="str">
        <f>IF('IWP05'!Std9ShrtUnreimbSvcChg = 0, "", 'IWP05'!Std9ShrtUnreimbSvcChg)</f>
        <v/>
      </c>
      <c r="BL712" s="151" t="str">
        <f>IF('IWP05'!Std9dot1 = 0, "", 'IWP05'!Std9dot1)</f>
        <v/>
      </c>
      <c r="BM712" s="151" t="str">
        <f>IF('IWP05'!Std10dot1NotCalc = 0, "", 'IWP05'!Std10dot1NotCalc)</f>
        <v/>
      </c>
      <c r="BN712" s="319">
        <f>IF('IWP05'!FiscalReviewFirstMonth =DATE(1900,1,0),DATE(1900,1,1),'IWP05'!FiscalReviewFirstMonth)</f>
        <v>1</v>
      </c>
      <c r="BO712" s="155">
        <f>'IWP05'!Std10dot1TotalAmt1</f>
        <v>0</v>
      </c>
      <c r="BP712" s="319">
        <f>IF('IWP05'!FiscalReviewSecondMonth =DATE(1900,1,0),DATE(1900,1,1),'IWP05'!FiscalReviewSecondMonth)</f>
        <v>1</v>
      </c>
      <c r="BQ712" s="155">
        <f>'IWP05'!Std10dot1TotalAmt2</f>
        <v>0</v>
      </c>
      <c r="BR712" s="151" t="str">
        <f>IF('IWP05'!Std10dot1 = 0, "", 'IWP05'!Std10dot1)</f>
        <v/>
      </c>
      <c r="BS712" s="151" t="str">
        <f>IF('IWP05'!Std10dot2NotCalc = 0, "", 'IWP05'!Std10dot2NotCalc)</f>
        <v/>
      </c>
      <c r="BT712" s="319">
        <f>IF('IWP05'!FiscalReviewFirstMonth =DATE(1900,1,0),DATE(1900,1,1),'IWP05'!FiscalReviewFirstMonth)</f>
        <v>1</v>
      </c>
      <c r="BU712" s="155">
        <f>'IWP05'!Std10dot2BankChgs1</f>
        <v>0</v>
      </c>
      <c r="BV712" s="319">
        <f>IF('IWP05'!FiscalReviewSecondMonth =DATE(1900,1,0),DATE(1900,1,1),'IWP05'!FiscalReviewSecondMonth)</f>
        <v>1</v>
      </c>
      <c r="BW712" s="155">
        <f>'IWP05'!Std10dot2BankChgs2</f>
        <v>0</v>
      </c>
      <c r="BX712" s="151" t="str">
        <f>IF('IWP05'!Std10dot2 = 0, "", 'IWP05'!Std10dot2)</f>
        <v/>
      </c>
      <c r="BY712" s="151" t="str">
        <f>IF('IWP05'!Std10dot3NotCalc = 0, "", 'IWP05'!Std10dot3NotCalc)</f>
        <v/>
      </c>
      <c r="BZ712" s="151" t="str">
        <f>IF('IWP05'!Std10dot3 = 0, "", 'IWP05'!Std10dot3)</f>
        <v/>
      </c>
      <c r="CA712" s="151" t="str">
        <f>IF('IWP05'!Std10dot4NotCalc = 0, "", 'IWP05'!Std10dot4NotCalc)</f>
        <v/>
      </c>
      <c r="CB712" s="151" t="str">
        <f>IF('IWP05'!Std10dot4 = 0, "", 'IWP05'!Std10dot4)</f>
        <v/>
      </c>
      <c r="CC712" s="151" t="str">
        <f>IF('IWP05'!Std10dot5 = 0, "", 'IWP05'!Std10dot5)</f>
        <v/>
      </c>
      <c r="CD712" s="151" t="str">
        <f>IF('IWP05'!Std10dot6NotCalc = 0, "", 'IWP05'!Std10dot6NotCalc)</f>
        <v/>
      </c>
      <c r="CE712" s="157">
        <f>IF('IWP05'!Std10dot6DateOfDeathDischarge =DATE(1900,1,0),DATE(1900,1,1),'IWP05'!Std10dot6DateOfDeathDischarge)</f>
        <v>1</v>
      </c>
      <c r="CF712" s="151" t="str">
        <f>IF('IWP05'!Std10dot6DthDschg = 0, "", 'IWP05'!Std10dot6DthDschg)</f>
        <v/>
      </c>
      <c r="CG712" s="155">
        <f>'IWP05'!Std10dot6TrustFundAmtDue</f>
        <v>0</v>
      </c>
      <c r="CH712" s="155">
        <f>'IWP05'!Std10dot6IndvPtyCshAmtDue</f>
        <v>0</v>
      </c>
      <c r="CI712" s="155">
        <f>'IWP05'!Std10dot6TotRfndDue</f>
        <v>0</v>
      </c>
      <c r="CJ712" s="155">
        <f>'IWP05'!Std10dot6AmtRfnd</f>
        <v>0</v>
      </c>
      <c r="CK712" s="155">
        <f>'IWP05'!Std10dot6DminusE</f>
        <v>0</v>
      </c>
      <c r="CL712" s="151" t="str">
        <f>IF('IWP05'!Std10dot6LastName = 0, "", 'IWP05'!Std10dot6LastName)</f>
        <v/>
      </c>
      <c r="CM712" s="151" t="str">
        <f>IF('IWP05'!Std10dot6FirstName = 0, "", 'IWP05'!Std10dot6FirstName)</f>
        <v/>
      </c>
      <c r="CN712" s="157">
        <f>IF('IWP05'!Std10dot6DateOfRefund =DATE(1900,1,0),DATE(1900,1,1),'IWP05'!Std10dot6DateOfRefund)</f>
        <v>1</v>
      </c>
      <c r="CO712" s="151" t="str">
        <f>IF('IWP05'!Std10dot6a = 0, "", 'IWP05'!Std10dot6a)</f>
        <v/>
      </c>
      <c r="CP712" s="151" t="str">
        <f>IF('IWP05'!Std10dot6b = 0, "", 'IWP05'!Std10dot6b)</f>
        <v/>
      </c>
      <c r="CQ712" s="151" t="str">
        <f>IF('IWP05'!Std10dot6c = 0, "", 'IWP05'!Std10dot6c)</f>
        <v/>
      </c>
      <c r="CR712" s="151" t="str">
        <f>IF('IWP05'!Std10dot6 = "", "", 'IWP05'!Std10dot6)</f>
        <v/>
      </c>
      <c r="CS712" s="151" t="str">
        <f>IF('IWP05'!Std11dot1aNotCalc = 0, "", 'IWP05'!Std11dot1aNotCalc)</f>
        <v/>
      </c>
      <c r="CT712" s="151" t="str">
        <f>IF('IWP05'!Std11dot1bNotCalc = 0, "", 'IWP05'!Std11dot1bNotCalc)</f>
        <v>N</v>
      </c>
      <c r="CU712" s="151" t="str">
        <f>IF('IWP05'!Std11dot1cNotCalc = 0, "", 'IWP05'!Std11dot1cNotCalc)</f>
        <v>N</v>
      </c>
      <c r="CV712" s="151" t="str">
        <f>IF('IWP05'!Std11dot1dNotCalc = 0, "", 'IWP05'!Std11dot1dNotCalc)</f>
        <v/>
      </c>
      <c r="CW712" s="151" t="str">
        <f>IF('IWP05'!Std11dot1eNotCalc = 0, "", 'IWP05'!Std11dot1eNotCalc)</f>
        <v/>
      </c>
      <c r="CX712" s="151" t="str">
        <f>IF('IWP05'!Std11dot1fNotCalc = 0, "", 'IWP05'!Std11dot1fNotCalc)</f>
        <v/>
      </c>
      <c r="CY712" s="151" t="str">
        <f>IF('IWP05'!Std11dot1PrivateLivingSpace = 0, "", 'IWP05'!Std11dot1PrivateLivingSpace)</f>
        <v/>
      </c>
      <c r="CZ712" s="155">
        <f>'IWP05'!Std11dot1LivingWidth</f>
        <v>0</v>
      </c>
      <c r="DA712" s="155">
        <f>'IWP05'!Std11dot1LivingLength</f>
        <v>0</v>
      </c>
      <c r="DB712" s="155">
        <f>IF('IWP05'!Std11dot1LivingSqFt = "", MINVALDBL, 'IWP05'!Std11dot1LivingSqFt)</f>
        <v>-99999.99</v>
      </c>
      <c r="DC712" s="151" t="str">
        <f>IF('IWP05'!Std11dot1PrivateLivingSpace = 0, "", 'IWP05'!Std11dot1PrivateLivingSpace)</f>
        <v/>
      </c>
      <c r="DD712" s="155">
        <f>'IWP05'!Std11dot1LivingWidth</f>
        <v>0</v>
      </c>
      <c r="DE712" s="155">
        <f>'IWP05'!Std11dot1LivingLength</f>
        <v>0</v>
      </c>
      <c r="DF712" s="155">
        <f>IF('IWP05'!Std11dot1LivingSqFt = "", MINVALDBL, 'IWP05'!Std11dot1LivingSqFt)</f>
        <v>-99999.99</v>
      </c>
      <c r="DG712" s="151" t="str">
        <f>IF('IWP05'!Std11dot1PrivateBedSpace = 0, "", 'IWP05'!Std11dot1PrivateBedSpace)</f>
        <v/>
      </c>
      <c r="DH712" s="155">
        <f>'IWP05'!Std11dot1BdrmWidth</f>
        <v>0</v>
      </c>
      <c r="DI712" s="155">
        <f>'IWP05'!Std11dot1BdrmLength</f>
        <v>0</v>
      </c>
      <c r="DJ712" s="155">
        <f>IF('IWP05'!Std11dot1BdrmSqFt = "", MINVALDBL, 'IWP05'!Std11dot1BdrmSqFt)</f>
        <v>-99999.99</v>
      </c>
      <c r="DK712" s="151" t="str">
        <f>IF('IWP05'!Std11dot1PrivateStorageSpace = 0, "", 'IWP05'!Std11dot1PrivateStorageSpace)</f>
        <v/>
      </c>
      <c r="DL712" s="155">
        <f>'IWP05'!Std11dot1StorageWidth</f>
        <v>0</v>
      </c>
      <c r="DM712" s="155">
        <f>'IWP05'!Std11dot1StorageLength</f>
        <v>0</v>
      </c>
      <c r="DN712" s="155">
        <f>IF('IWP05'!Std11dot1StorageSqFt = "", 0, 'IWP05'!Std11dot1StorageSqFt)</f>
        <v>0</v>
      </c>
      <c r="DO712" s="151" t="str">
        <f>IF('IWP05'!Std11dot1PrivateKitchenSpace = 0, "", 'IWP05'!Std11dot1PrivateKitchenSpace)</f>
        <v/>
      </c>
      <c r="DP712" s="155">
        <f>'IWP05'!Std11dot1KitchenWidth</f>
        <v>0</v>
      </c>
      <c r="DQ712" s="155">
        <f>'IWP05'!Std11dot1KitchenLength</f>
        <v>0</v>
      </c>
      <c r="DR712" s="155">
        <f>IF('IWP05'!Std11dot1KitchenSqFt = "", MINVALDBL, 'IWP05'!Std11dot1KitchenSqFt)</f>
        <v>-99999.99</v>
      </c>
      <c r="DS712" s="151" t="str">
        <f>IF('IWP05'!Std11dot1KitchenSink = 0, "", 'IWP05'!Std11dot1KitchenSink)</f>
        <v/>
      </c>
      <c r="DT712" s="151" t="str">
        <f>IF('IWP05'!Std11dot1Refrigerator = 0, "", 'IWP05'!Std11dot1Refrigerator)</f>
        <v/>
      </c>
      <c r="DU712" s="151" t="str">
        <f>IF('IWP05'!Std11dot1StoveMicrowave = 0, "", 'IWP05'!Std11dot1StoveMicrowave)</f>
        <v/>
      </c>
      <c r="DV712" s="151" t="str">
        <f>IF('IWP05'!Std11dot1SeparateBath = 0, "", 'IWP05'!Std11dot1SeparateBath)</f>
        <v/>
      </c>
      <c r="DW712" s="151" t="str">
        <f>IF('IWP05'!Std11dot1BathSink = 0, "", 'IWP05'!Std11dot1BathSink)</f>
        <v/>
      </c>
      <c r="DX712" s="151" t="str">
        <f>IF('IWP05'!Std11dot1ShowerTubAccessible = 0, "", 'IWP05'!Std11dot1ShowerTubAccessible)</f>
        <v/>
      </c>
      <c r="DY712" s="155">
        <f>'IWP05'!Std11dot1TotalPrivateSpace</f>
        <v>0</v>
      </c>
      <c r="DZ712" s="155">
        <f>'IWP05'!Std11dot1PrivateSpaceSquareFootagePerResident</f>
        <v>0</v>
      </c>
      <c r="EA712" s="155">
        <f>IF('IWP05'!Std11dot1TotalSquareFootagePerResident = "", MINVALDBL, 'IWP05'!Std11dot1TotalSquareFootagePerResident)</f>
        <v>-99999.99</v>
      </c>
      <c r="EB712" s="155">
        <f>'IWP05'!Std11dot1UseableCommonAreaSquareFootage</f>
        <v>0</v>
      </c>
      <c r="EC712" s="155">
        <f>'IWP05'!Std11dot1LicensedCapacity</f>
        <v>0</v>
      </c>
      <c r="ED712" s="155">
        <f>IF('IWP05'!Std11dot1CommonAreaSquareFootagePerResident = "", MINVALDBL, 'IWP05'!Std11dot1CommonAreaSquareFootagePerResident)</f>
        <v>-99999.99</v>
      </c>
      <c r="EE712" s="151" t="str">
        <f>IF('IWP05'!Std11dot1a = 0, "", 'IWP05'!Std11dot1a)</f>
        <v/>
      </c>
      <c r="EF712" s="151" t="str">
        <f>IF('IWP05'!Std11dot1b = 0, "", 'IWP05'!Std11dot1b)</f>
        <v/>
      </c>
      <c r="EG712" s="151" t="str">
        <f>IF('IWP05'!Std11dot1c = 0, "", 'IWP05'!Std11dot1c)</f>
        <v/>
      </c>
      <c r="EH712" s="151" t="str">
        <f>IF('IWP05'!Std11dot1d = 0, "", 'IWP05'!Std11dot1d)</f>
        <v/>
      </c>
      <c r="EI712" s="151" t="str">
        <f>IF('IWP05'!Std11dot1e = 0, "", 'IWP05'!Std11dot1e)</f>
        <v/>
      </c>
      <c r="EJ712" s="151" t="str">
        <f>IF('IWP05'!Std11dot1f = 0, "", 'IWP05'!Std11dot1f)</f>
        <v/>
      </c>
      <c r="EK712" s="151" t="str">
        <f>IF('IWP05'!Std11dot1g = 0, "", 'IWP05'!Std11dot1g)</f>
        <v/>
      </c>
      <c r="EL712" s="151" t="str">
        <f>IF('IWP05'!Std11dot1h = 0, "", 'IWP05'!Std11dot1h)</f>
        <v/>
      </c>
      <c r="EM712" s="151" t="str">
        <f>IF('IWP05'!Std11dot1i = 0, "", 'IWP05'!Std11dot1i)</f>
        <v/>
      </c>
      <c r="EN712" s="151" t="str">
        <f>IF('IWP05'!Std11dot1j = 0, "", 'IWP05'!Std11dot1j)</f>
        <v/>
      </c>
      <c r="EO712" s="151" t="str">
        <f>IF('IWP05'!Std11dot1k = 0, "", 'IWP05'!Std11dot1k)</f>
        <v/>
      </c>
      <c r="EP712" s="151" t="str">
        <f>IF('IWP05'!Std11dot1 = 0, "", 'IWP05'!Std11dot1)</f>
        <v/>
      </c>
      <c r="EQ712" s="151" t="str">
        <f>IF('IWP05'!Std11dot2 = 0, "", 'IWP05'!Std11dot2)</f>
        <v/>
      </c>
      <c r="ER712" s="151" t="str">
        <f>IF('IWP05'!Std11dot3 = 0, "", 'IWP05'!Std11dot3)</f>
        <v/>
      </c>
      <c r="ES712" s="151" t="str">
        <f>IF('IWP05'!Std11dot4 = 0, "", 'IWP05'!Std11dot4)</f>
        <v>NA</v>
      </c>
      <c r="ET712" s="157">
        <f>IF('IWP05'!$A$363=DATE(1900,1,0), DATE(1900,1,1), 'IWP05'!$A$363)</f>
        <v>1</v>
      </c>
      <c r="EU712" s="155">
        <f>'IWP05'!$C$363</f>
        <v>0</v>
      </c>
      <c r="EV712" s="155">
        <f>'IWP05'!$E$363</f>
        <v>0</v>
      </c>
      <c r="EW712" s="157">
        <f>IF('IWP05'!$G$363=DATE(1900,1,0), DATE(1900,1,1), 'IWP05'!$G$363)</f>
        <v>1</v>
      </c>
      <c r="EX712" s="155">
        <f>'IWP05'!$I$363</f>
        <v>0</v>
      </c>
      <c r="EY712" s="155">
        <f>'IWP05'!$K$363</f>
        <v>0</v>
      </c>
      <c r="EZ712" s="157">
        <f>IF('IWP05'!$M$363=DATE(1900,1,0), DATE(1900,1,1), 'IWP05'!$M$363)</f>
        <v>1</v>
      </c>
      <c r="FA712" s="151" t="str">
        <f>IF('IWP05'!$O$363 = 0, "", 'IWP05'!$O$363)</f>
        <v/>
      </c>
      <c r="FB712" s="151" t="str">
        <f>IF('IWP05'!$Q$363 = 0, "", 'IWP05'!$Q$363)</f>
        <v/>
      </c>
      <c r="FC712" s="151" t="str">
        <f>IF('IWP05'!Std11dot5a = 0, "", 'IWP05'!Std11dot5a)</f>
        <v/>
      </c>
      <c r="FD712" s="151" t="str">
        <f>IF('IWP05'!Std11dot5b = 0, "", 'IWP05'!Std11dot5b)</f>
        <v/>
      </c>
      <c r="FE712" s="151" t="str">
        <f>IF('IWP05'!Std11dot5ci = 0, "", 'IWP05'!Std11dot5ci)</f>
        <v>NA</v>
      </c>
      <c r="FF712" s="151" t="str">
        <f>IF('IWP05'!Std11dot5cii = 0, "", 'IWP05'!Std11dot5cii)</f>
        <v>NA</v>
      </c>
      <c r="FG712" s="151" t="str">
        <f>IF('IWP05'!Std11dot5 = 0, "", 'IWP05'!Std11dot5)</f>
        <v/>
      </c>
      <c r="FH712" s="207" t="str">
        <f>IF('IWP05'!Std11dot1AptGrandFthr = "", "", 'IWP05'!Std11dot1AptGrandFthr)</f>
        <v/>
      </c>
    </row>
    <row r="713" spans="1:164">
      <c r="A713" s="206" t="s">
        <v>1309</v>
      </c>
      <c r="B713" s="157">
        <f>IF('Samples (Print)'!D10=DATE(1900,1,0),DATE(1900,1,1),'Samples (Print)'!D10)</f>
        <v>1</v>
      </c>
      <c r="C713" s="157">
        <f>IF('Samples (Print)'!E10=DATE(1900,1,0),DATE(1900,1,1),'Samples (Print)'!E10)</f>
        <v>1</v>
      </c>
      <c r="D713" s="319">
        <f>IF('IWP06'!FiscalReviewFirstMonth =DATE(1900,1,0),DATE(1900,1,1),'IWP06'!FiscalReviewFirstMonth)</f>
        <v>1</v>
      </c>
      <c r="E713" s="319">
        <f>IF('IWP06'!FiscalReviewSecondMonth =DATE(1900,1,0),DATE(1900,1,1),'IWP06'!FiscalReviewSecondMonth)</f>
        <v>1</v>
      </c>
      <c r="F713" s="13">
        <f>'IWP06'!SampleNumber</f>
        <v>6</v>
      </c>
      <c r="G713" s="13">
        <f ca="1">'IWP06'!ClientID</f>
        <v>0</v>
      </c>
      <c r="H713" s="283"/>
      <c r="I713" s="283"/>
      <c r="J713" s="151" t="str">
        <f ca="1">IF('IWP06'!ContractNumber = 0, "", 'IWP06'!ContractNumber)</f>
        <v/>
      </c>
      <c r="K713" s="151" t="str">
        <f ca="1">IF('IWP06'!ContractType = 0, "", 'IWP06'!ContractType)</f>
        <v/>
      </c>
      <c r="L713" s="151" t="str">
        <f>IF('IWP06'!CompletedByLastName = 0, "", 'IWP06'!CompletedByLastName)</f>
        <v/>
      </c>
      <c r="M713" s="151" t="str">
        <f>IF('IWP06'!CompletedByFirstName = 0, "", 'IWP06'!CompletedByFirstName)</f>
        <v/>
      </c>
      <c r="N713" s="157">
        <f>IF('IWP06'!DateCompleted =DATE(1900,1,0),DATE(1900,1,1),'IWP06'!DateCompleted)</f>
        <v>1</v>
      </c>
      <c r="O713" s="151" t="str">
        <f>IF('IWP06'!Std3NotCalc = 0, "", 'IWP06'!Std3NotCalc)</f>
        <v/>
      </c>
      <c r="P713" s="157">
        <f>IF('IWP06'!Std3dot1DateOfAdmission =DATE(1900,1,0),DATE(1900,1,1),'IWP06'!Std3dot1DateOfAdmission)</f>
        <v>1</v>
      </c>
      <c r="Q713" s="151" t="str">
        <f>IF('IWP06'!Std3dot1a = 0, "", 'IWP06'!Std3dot1a)</f>
        <v/>
      </c>
      <c r="R713" s="151" t="str">
        <f>IF('IWP06'!Std3dot1b = 0, "", 'IWP06'!Std3dot1b)</f>
        <v/>
      </c>
      <c r="S713" s="151" t="str">
        <f>IF('IWP06'!Std3dot1c = 0, "", 'IWP06'!Std3dot1c)</f>
        <v>NA</v>
      </c>
      <c r="T713" s="151" t="str">
        <f>IF('IWP06'!Std3dot1 = 0, "", 'IWP06'!Std3dot1)</f>
        <v/>
      </c>
      <c r="U713" s="151" t="str">
        <f>IF('IWP06'!Std3dot2a = 0, "", 'IWP06'!Std3dot2a)</f>
        <v/>
      </c>
      <c r="V713" s="151" t="str">
        <f>IF('IWP06'!Std3dot2b = 0, "", 'IWP06'!Std3dot2b)</f>
        <v/>
      </c>
      <c r="W713" s="151" t="str">
        <f>IF('IWP06'!Std3dot2c = 0, "", 'IWP06'!Std3dot2c)</f>
        <v/>
      </c>
      <c r="X713" s="151" t="str">
        <f>IF('IWP06'!Std3dot2 = 0, "", 'IWP06'!Std3dot2)</f>
        <v/>
      </c>
      <c r="Y713" s="151" t="str">
        <f>IF('IWP06'!Std4dot1Month1 = 0, "", 'IWP06'!Std4dot1Month1)</f>
        <v/>
      </c>
      <c r="Z713" s="157">
        <f>IF('IWP06'!Std4dot1Month1Date =DATE(1900,1,0),DATE(1900,1,1),'IWP06'!Std4dot1Month1Date)</f>
        <v>1</v>
      </c>
      <c r="AA713" s="151" t="str">
        <f>IF('IWP06'!Std4dot1Month2 = 0, "", 'IWP06'!Std4dot1Month2)</f>
        <v/>
      </c>
      <c r="AB713" s="157">
        <f>IF('IWP06'!Std4dot1Month2Date =DATE(1900,1,0),DATE(1900,1,1),'IWP06'!Std4dot1Month2Date)</f>
        <v>1</v>
      </c>
      <c r="AC713" s="151" t="str">
        <f>IF('IWP06'!Std4dot1 = 0, "", 'IWP06'!Std4dot1)</f>
        <v/>
      </c>
      <c r="AD713" s="151" t="str">
        <f>IF('IWP06'!Std4dot2NotCalc = 0, "", 'IWP06'!Std4dot2NotCalc)</f>
        <v/>
      </c>
      <c r="AE713" s="151" t="str">
        <f>IF('IWP06'!Std4dot2 = 0, "", 'IWP06'!Std4dot2)</f>
        <v/>
      </c>
      <c r="AF713" s="151" t="str">
        <f>IF('IWP06'!Std4dot3 = 0, "", 'IWP06'!Std4dot3)</f>
        <v/>
      </c>
      <c r="AG713" s="151" t="str">
        <f>IF('IWP06'!Std4dot4 = 0, "", 'IWP06'!Std4dot4)</f>
        <v/>
      </c>
      <c r="AH713" s="151" t="str">
        <f>IF('IWP06'!Std5NotCalc = 0, "", 'IWP06'!Std5NotCalc)</f>
        <v/>
      </c>
      <c r="AI713" s="151" t="str">
        <f>IF('IWP06'!Std5dot1 = 0, "", 'IWP06'!Std5dot1)</f>
        <v/>
      </c>
      <c r="AJ713" s="151" t="str">
        <f>IF('IWP06'!Std7dot1NotCalc = 0, "", 'IWP06'!Std7dot1NotCalc)</f>
        <v/>
      </c>
      <c r="AK713" s="151" t="str">
        <f>IF('IWP06'!Std7dot1NotCalc = 0, "", 'IWP06'!Std7dot1NotCalc)</f>
        <v/>
      </c>
      <c r="AL713" s="155">
        <f>'IWP06'!Std7dot1BalPerCshLog</f>
        <v>0</v>
      </c>
      <c r="AM713" s="155">
        <f>'IWP06'!Std7dot1LessAdj</f>
        <v>0</v>
      </c>
      <c r="AN713" s="155">
        <f>'IWP06'!Std7dot1AdjBal</f>
        <v>0</v>
      </c>
      <c r="AO713" s="155">
        <f>'IWP06'!Std7dot1CshOnHand</f>
        <v>0</v>
      </c>
      <c r="AP713" s="155">
        <f>'IWP06'!Std7dot1PtyCshOvrShrt</f>
        <v>0</v>
      </c>
      <c r="AQ713" s="151" t="str">
        <f>IF('IWP06'!Std7dot1OvrShrtCorr = 0, "", 'IWP06'!Std7dot1OvrShrtCorr)</f>
        <v/>
      </c>
      <c r="AR713" s="151" t="str">
        <f>IF('IWP06'!Std7dot1 = 0, "", 'IWP06'!Std7dot1)</f>
        <v/>
      </c>
      <c r="AS713" s="151" t="str">
        <f>IF('IWP06'!Std9dot1aNotCalc = 0, "", 'IWP06'!Std9dot1aNotCalc)</f>
        <v/>
      </c>
      <c r="AT713" s="151" t="str">
        <f>IF('IWP06'!Std9dot1bNotCalc = 0, "", 'IWP06'!Std9dot1bNotCalc)</f>
        <v/>
      </c>
      <c r="AU713" s="157">
        <f>IF('IWP06'!Std9BalPerBnkStmtDt =DATE(1900,1,0),DATE(1900,1,1),'IWP06'!Std9BalPerBnkStmtDt)</f>
        <v>1</v>
      </c>
      <c r="AV713" s="155">
        <f>'IWP06'!Std9BalPerBnkStmt</f>
        <v>0</v>
      </c>
      <c r="AW713" s="155">
        <f>'IWP06'!Std9TotDepsInTrans</f>
        <v>0</v>
      </c>
      <c r="AX713" s="155">
        <f>'IWP06'!Std9TotOutsChks</f>
        <v>0</v>
      </c>
      <c r="AY713" s="155">
        <f>'IWP06'!Std9AdjBalPerBank</f>
        <v>0</v>
      </c>
      <c r="AZ713" s="157">
        <f>IF('IWP06'!Std9TotPtyCshIndvDt =DATE(1900,1,0),DATE(1900,1,1),'IWP06'!Std9TotPtyCshIndvDt)</f>
        <v>1</v>
      </c>
      <c r="BA713" s="155">
        <f>'IWP06'!Std9TotPtyCshIndv</f>
        <v>0</v>
      </c>
      <c r="BB713" s="155">
        <f>'IWP06'!Std9TotCshBnkAndHnd</f>
        <v>0</v>
      </c>
      <c r="BC713" s="157">
        <f>IF('IWP06'!Std9BalPerBksDt =DATE(1900,1,0),DATE(1900,1,1),'IWP06'!Std9BalPerBksDt)</f>
        <v>1</v>
      </c>
      <c r="BD713" s="155">
        <f>'IWP06'!Std9BalPerBks</f>
        <v>0</v>
      </c>
      <c r="BE713" s="155">
        <f>'IWP06'!Std9UnapplErndInt</f>
        <v>0</v>
      </c>
      <c r="BF713" s="155">
        <f>'IWP06'!Std9UnpstdRcptDsbrsmts</f>
        <v>0</v>
      </c>
      <c r="BG713" s="155">
        <f>'IWP06'!Std9NsfChks</f>
        <v>0</v>
      </c>
      <c r="BH713" s="155">
        <f>'IWP06'!Std9AdjBalPerBks</f>
        <v>0</v>
      </c>
      <c r="BI713" s="155">
        <f>'IWP06'!Std9TrstFndAcctOvrShrt</f>
        <v>0</v>
      </c>
      <c r="BJ713" s="151" t="str">
        <f>IF('IWP06'!Std9OvrShrtCorrctd = 0, "", 'IWP06'!Std9OvrShrtCorrctd)</f>
        <v/>
      </c>
      <c r="BK713" s="151" t="str">
        <f>IF('IWP06'!Std9ShrtUnreimbSvcChg = 0, "", 'IWP06'!Std9ShrtUnreimbSvcChg)</f>
        <v/>
      </c>
      <c r="BL713" s="151" t="str">
        <f>IF('IWP06'!Std9dot1 = 0, "", 'IWP06'!Std9dot1)</f>
        <v/>
      </c>
      <c r="BM713" s="151" t="str">
        <f>IF('IWP06'!Std10dot1NotCalc = 0, "", 'IWP06'!Std10dot1NotCalc)</f>
        <v/>
      </c>
      <c r="BN713" s="319">
        <f>IF('IWP06'!FiscalReviewFirstMonth =DATE(1900,1,0),DATE(1900,1,1),'IWP06'!FiscalReviewFirstMonth)</f>
        <v>1</v>
      </c>
      <c r="BO713" s="155">
        <f>'IWP06'!Std10dot1TotalAmt1</f>
        <v>0</v>
      </c>
      <c r="BP713" s="319">
        <f>IF('IWP06'!FiscalReviewSecondMonth =DATE(1900,1,0),DATE(1900,1,1),'IWP06'!FiscalReviewSecondMonth)</f>
        <v>1</v>
      </c>
      <c r="BQ713" s="155">
        <f>'IWP06'!Std10dot1TotalAmt2</f>
        <v>0</v>
      </c>
      <c r="BR713" s="151" t="str">
        <f>IF('IWP06'!Std10dot1 = 0, "", 'IWP06'!Std10dot1)</f>
        <v/>
      </c>
      <c r="BS713" s="151" t="str">
        <f>IF('IWP06'!Std10dot2NotCalc = 0, "", 'IWP06'!Std10dot2NotCalc)</f>
        <v/>
      </c>
      <c r="BT713" s="319">
        <f>IF('IWP06'!FiscalReviewFirstMonth =DATE(1900,1,0),DATE(1900,1,1),'IWP06'!FiscalReviewFirstMonth)</f>
        <v>1</v>
      </c>
      <c r="BU713" s="155">
        <f>'IWP06'!Std10dot2BankChgs1</f>
        <v>0</v>
      </c>
      <c r="BV713" s="319">
        <f>IF('IWP06'!FiscalReviewSecondMonth =DATE(1900,1,0),DATE(1900,1,1),'IWP06'!FiscalReviewSecondMonth)</f>
        <v>1</v>
      </c>
      <c r="BW713" s="155">
        <f>'IWP06'!Std10dot2BankChgs2</f>
        <v>0</v>
      </c>
      <c r="BX713" s="151" t="str">
        <f>IF('IWP06'!Std10dot2 = 0, "", 'IWP06'!Std10dot2)</f>
        <v/>
      </c>
      <c r="BY713" s="151" t="str">
        <f>IF('IWP06'!Std10dot3NotCalc = 0, "", 'IWP06'!Std10dot3NotCalc)</f>
        <v/>
      </c>
      <c r="BZ713" s="151" t="str">
        <f>IF('IWP06'!Std10dot3 = 0, "", 'IWP06'!Std10dot3)</f>
        <v/>
      </c>
      <c r="CA713" s="151" t="str">
        <f>IF('IWP06'!Std10dot4NotCalc = 0, "", 'IWP06'!Std10dot4NotCalc)</f>
        <v/>
      </c>
      <c r="CB713" s="151" t="str">
        <f>IF('IWP06'!Std10dot4 = 0, "", 'IWP06'!Std10dot4)</f>
        <v/>
      </c>
      <c r="CC713" s="151" t="str">
        <f>IF('IWP06'!Std10dot5 = 0, "", 'IWP06'!Std10dot5)</f>
        <v/>
      </c>
      <c r="CD713" s="151" t="str">
        <f>IF('IWP06'!Std10dot6NotCalc = 0, "", 'IWP06'!Std10dot6NotCalc)</f>
        <v/>
      </c>
      <c r="CE713" s="157">
        <f>IF('IWP06'!Std10dot6DateOfDeathDischarge =DATE(1900,1,0),DATE(1900,1,1),'IWP06'!Std10dot6DateOfDeathDischarge)</f>
        <v>1</v>
      </c>
      <c r="CF713" s="151" t="str">
        <f>IF('IWP06'!Std10dot6DthDschg = 0, "", 'IWP06'!Std10dot6DthDschg)</f>
        <v/>
      </c>
      <c r="CG713" s="155">
        <f>'IWP06'!Std10dot6TrustFundAmtDue</f>
        <v>0</v>
      </c>
      <c r="CH713" s="155">
        <f>'IWP06'!Std10dot6IndvPtyCshAmtDue</f>
        <v>0</v>
      </c>
      <c r="CI713" s="155">
        <f>'IWP06'!Std10dot6TotRfndDue</f>
        <v>0</v>
      </c>
      <c r="CJ713" s="155">
        <f>'IWP06'!Std10dot6AmtRfnd</f>
        <v>0</v>
      </c>
      <c r="CK713" s="155">
        <f>'IWP06'!Std10dot6DminusE</f>
        <v>0</v>
      </c>
      <c r="CL713" s="151" t="str">
        <f>IF('IWP06'!Std10dot6LastName = 0, "", 'IWP06'!Std10dot6LastName)</f>
        <v/>
      </c>
      <c r="CM713" s="151" t="str">
        <f>IF('IWP06'!Std10dot6FirstName = 0, "", 'IWP06'!Std10dot6FirstName)</f>
        <v/>
      </c>
      <c r="CN713" s="157">
        <f>IF('IWP06'!Std10dot6DateOfRefund =DATE(1900,1,0),DATE(1900,1,1),'IWP06'!Std10dot6DateOfRefund)</f>
        <v>1</v>
      </c>
      <c r="CO713" s="151" t="str">
        <f>IF('IWP06'!Std10dot6a = 0, "", 'IWP06'!Std10dot6a)</f>
        <v/>
      </c>
      <c r="CP713" s="151" t="str">
        <f>IF('IWP06'!Std10dot6b = 0, "", 'IWP06'!Std10dot6b)</f>
        <v/>
      </c>
      <c r="CQ713" s="151" t="str">
        <f>IF('IWP06'!Std10dot6c = 0, "", 'IWP06'!Std10dot6c)</f>
        <v/>
      </c>
      <c r="CR713" s="151" t="str">
        <f>IF('IWP06'!Std10dot6 = "", "", 'IWP06'!Std10dot6)</f>
        <v/>
      </c>
      <c r="CS713" s="151" t="str">
        <f>IF('IWP06'!Std11dot1aNotCalc = 0, "", 'IWP06'!Std11dot1aNotCalc)</f>
        <v/>
      </c>
      <c r="CT713" s="151" t="str">
        <f>IF('IWP06'!Std11dot1bNotCalc = 0, "", 'IWP06'!Std11dot1bNotCalc)</f>
        <v>N</v>
      </c>
      <c r="CU713" s="151" t="str">
        <f>IF('IWP06'!Std11dot1cNotCalc = 0, "", 'IWP06'!Std11dot1cNotCalc)</f>
        <v>N</v>
      </c>
      <c r="CV713" s="151" t="str">
        <f>IF('IWP06'!Std11dot1dNotCalc = 0, "", 'IWP06'!Std11dot1dNotCalc)</f>
        <v/>
      </c>
      <c r="CW713" s="151" t="str">
        <f>IF('IWP06'!Std11dot1eNotCalc = 0, "", 'IWP06'!Std11dot1eNotCalc)</f>
        <v/>
      </c>
      <c r="CX713" s="151" t="str">
        <f>IF('IWP06'!Std11dot1fNotCalc = 0, "", 'IWP06'!Std11dot1fNotCalc)</f>
        <v/>
      </c>
      <c r="CY713" s="151" t="str">
        <f>IF('IWP06'!Std11dot1PrivateLivingSpace = 0, "", 'IWP06'!Std11dot1PrivateLivingSpace)</f>
        <v/>
      </c>
      <c r="CZ713" s="155">
        <f>'IWP06'!Std11dot1LivingWidth</f>
        <v>0</v>
      </c>
      <c r="DA713" s="155">
        <f>'IWP06'!Std11dot1LivingLength</f>
        <v>0</v>
      </c>
      <c r="DB713" s="155">
        <f>IF('IWP06'!Std11dot1LivingSqFt = "", MINVALDBL, 'IWP06'!Std11dot1LivingSqFt)</f>
        <v>-99999.99</v>
      </c>
      <c r="DC713" s="151" t="str">
        <f>IF('IWP06'!Std11dot1PrivateLivingSpace = 0, "", 'IWP06'!Std11dot1PrivateLivingSpace)</f>
        <v/>
      </c>
      <c r="DD713" s="155">
        <f>'IWP06'!Std11dot1LivingWidth</f>
        <v>0</v>
      </c>
      <c r="DE713" s="155">
        <f>'IWP06'!Std11dot1LivingLength</f>
        <v>0</v>
      </c>
      <c r="DF713" s="155">
        <f>IF('IWP06'!Std11dot1LivingSqFt = "", MINVALDBL, 'IWP06'!Std11dot1LivingSqFt)</f>
        <v>-99999.99</v>
      </c>
      <c r="DG713" s="151" t="str">
        <f>IF('IWP06'!Std11dot1PrivateBedSpace = 0, "", 'IWP06'!Std11dot1PrivateBedSpace)</f>
        <v/>
      </c>
      <c r="DH713" s="155">
        <f>'IWP06'!Std11dot1BdrmWidth</f>
        <v>0</v>
      </c>
      <c r="DI713" s="155">
        <f>'IWP06'!Std11dot1BdrmLength</f>
        <v>0</v>
      </c>
      <c r="DJ713" s="155">
        <f>IF('IWP06'!Std11dot1BdrmSqFt = "", MINVALDBL, 'IWP06'!Std11dot1BdrmSqFt)</f>
        <v>-99999.99</v>
      </c>
      <c r="DK713" s="151" t="str">
        <f>IF('IWP06'!Std11dot1PrivateStorageSpace = 0, "", 'IWP06'!Std11dot1PrivateStorageSpace)</f>
        <v/>
      </c>
      <c r="DL713" s="155">
        <f>'IWP06'!Std11dot1StorageWidth</f>
        <v>0</v>
      </c>
      <c r="DM713" s="155">
        <f>'IWP06'!Std11dot1StorageLength</f>
        <v>0</v>
      </c>
      <c r="DN713" s="155">
        <f>IF('IWP06'!Std11dot1StorageSqFt = "", 0, 'IWP06'!Std11dot1StorageSqFt)</f>
        <v>0</v>
      </c>
      <c r="DO713" s="151" t="str">
        <f>IF('IWP06'!Std11dot1PrivateKitchenSpace = 0, "", 'IWP06'!Std11dot1PrivateKitchenSpace)</f>
        <v/>
      </c>
      <c r="DP713" s="155">
        <f>'IWP06'!Std11dot1KitchenWidth</f>
        <v>0</v>
      </c>
      <c r="DQ713" s="155">
        <f>'IWP06'!Std11dot1KitchenLength</f>
        <v>0</v>
      </c>
      <c r="DR713" s="155">
        <f>IF('IWP06'!Std11dot1KitchenSqFt = "", MINVALDBL, 'IWP06'!Std11dot1KitchenSqFt)</f>
        <v>-99999.99</v>
      </c>
      <c r="DS713" s="151" t="str">
        <f>IF('IWP06'!Std11dot1KitchenSink = 0, "", 'IWP06'!Std11dot1KitchenSink)</f>
        <v/>
      </c>
      <c r="DT713" s="151" t="str">
        <f>IF('IWP06'!Std11dot1Refrigerator = 0, "", 'IWP06'!Std11dot1Refrigerator)</f>
        <v/>
      </c>
      <c r="DU713" s="151" t="str">
        <f>IF('IWP06'!Std11dot1StoveMicrowave = 0, "", 'IWP06'!Std11dot1StoveMicrowave)</f>
        <v/>
      </c>
      <c r="DV713" s="151" t="str">
        <f>IF('IWP06'!Std11dot1SeparateBath = 0, "", 'IWP06'!Std11dot1SeparateBath)</f>
        <v/>
      </c>
      <c r="DW713" s="151" t="str">
        <f>IF('IWP06'!Std11dot1BathSink = 0, "", 'IWP06'!Std11dot1BathSink)</f>
        <v/>
      </c>
      <c r="DX713" s="151" t="str">
        <f>IF('IWP06'!Std11dot1ShowerTubAccessible = 0, "", 'IWP06'!Std11dot1ShowerTubAccessible)</f>
        <v/>
      </c>
      <c r="DY713" s="155">
        <f>'IWP06'!Std11dot1TotalPrivateSpace</f>
        <v>0</v>
      </c>
      <c r="DZ713" s="155">
        <f>'IWP06'!Std11dot1PrivateSpaceSquareFootagePerResident</f>
        <v>0</v>
      </c>
      <c r="EA713" s="155">
        <f>IF('IWP06'!Std11dot1TotalSquareFootagePerResident = "", MINVALDBL, 'IWP06'!Std11dot1TotalSquareFootagePerResident)</f>
        <v>-99999.99</v>
      </c>
      <c r="EB713" s="155">
        <f>'IWP06'!Std11dot1UseableCommonAreaSquareFootage</f>
        <v>0</v>
      </c>
      <c r="EC713" s="155">
        <f>'IWP06'!Std11dot1LicensedCapacity</f>
        <v>0</v>
      </c>
      <c r="ED713" s="155">
        <f>IF('IWP06'!Std11dot1CommonAreaSquareFootagePerResident = "", MINVALDBL, 'IWP06'!Std11dot1CommonAreaSquareFootagePerResident)</f>
        <v>-99999.99</v>
      </c>
      <c r="EE713" s="151" t="str">
        <f>IF('IWP06'!Std11dot1a = 0, "", 'IWP06'!Std11dot1a)</f>
        <v/>
      </c>
      <c r="EF713" s="151" t="str">
        <f>IF('IWP06'!Std11dot1b = 0, "", 'IWP06'!Std11dot1b)</f>
        <v/>
      </c>
      <c r="EG713" s="151" t="str">
        <f>IF('IWP06'!Std11dot1c = 0, "", 'IWP06'!Std11dot1c)</f>
        <v/>
      </c>
      <c r="EH713" s="151" t="str">
        <f>IF('IWP06'!Std11dot1d = 0, "", 'IWP06'!Std11dot1d)</f>
        <v/>
      </c>
      <c r="EI713" s="151" t="str">
        <f>IF('IWP06'!Std11dot1e = 0, "", 'IWP06'!Std11dot1e)</f>
        <v/>
      </c>
      <c r="EJ713" s="151" t="str">
        <f>IF('IWP06'!Std11dot1f = 0, "", 'IWP06'!Std11dot1f)</f>
        <v/>
      </c>
      <c r="EK713" s="151" t="str">
        <f>IF('IWP06'!Std11dot1g = 0, "", 'IWP06'!Std11dot1g)</f>
        <v/>
      </c>
      <c r="EL713" s="151" t="str">
        <f>IF('IWP06'!Std11dot1h = 0, "", 'IWP06'!Std11dot1h)</f>
        <v/>
      </c>
      <c r="EM713" s="151" t="str">
        <f>IF('IWP06'!Std11dot1i = 0, "", 'IWP06'!Std11dot1i)</f>
        <v/>
      </c>
      <c r="EN713" s="151" t="str">
        <f>IF('IWP06'!Std11dot1j = 0, "", 'IWP06'!Std11dot1j)</f>
        <v/>
      </c>
      <c r="EO713" s="151" t="str">
        <f>IF('IWP06'!Std11dot1k = 0, "", 'IWP06'!Std11dot1k)</f>
        <v/>
      </c>
      <c r="EP713" s="151" t="str">
        <f>IF('IWP06'!Std11dot1 = 0, "", 'IWP06'!Std11dot1)</f>
        <v/>
      </c>
      <c r="EQ713" s="151" t="str">
        <f>IF('IWP06'!Std11dot2 = 0, "", 'IWP06'!Std11dot2)</f>
        <v/>
      </c>
      <c r="ER713" s="151" t="str">
        <f>IF('IWP06'!Std11dot3 = 0, "", 'IWP06'!Std11dot3)</f>
        <v/>
      </c>
      <c r="ES713" s="151" t="str">
        <f>IF('IWP06'!Std11dot4 = 0, "", 'IWP06'!Std11dot4)</f>
        <v>NA</v>
      </c>
      <c r="ET713" s="157">
        <f>IF('IWP06'!$A$363=DATE(1900,1,0), DATE(1900,1,1), 'IWP06'!$A$363)</f>
        <v>1</v>
      </c>
      <c r="EU713" s="155">
        <f>'IWP06'!$C$363</f>
        <v>0</v>
      </c>
      <c r="EV713" s="155">
        <f>'IWP06'!$E$363</f>
        <v>0</v>
      </c>
      <c r="EW713" s="157">
        <f>IF('IWP06'!$G$363=DATE(1900,1,0), DATE(1900,1,1), 'IWP06'!$G$363)</f>
        <v>1</v>
      </c>
      <c r="EX713" s="155">
        <f>'IWP06'!$I$363</f>
        <v>0</v>
      </c>
      <c r="EY713" s="155">
        <f>'IWP06'!$K$363</f>
        <v>0</v>
      </c>
      <c r="EZ713" s="157">
        <f>IF('IWP06'!$M$363=DATE(1900,1,0), DATE(1900,1,1), 'IWP06'!$M$363)</f>
        <v>1</v>
      </c>
      <c r="FA713" s="151" t="str">
        <f>IF('IWP06'!$O$363 = 0, "", 'IWP06'!$O$363)</f>
        <v/>
      </c>
      <c r="FB713" s="151" t="str">
        <f>IF('IWP06'!$Q$363 = 0, "", 'IWP06'!$Q$363)</f>
        <v/>
      </c>
      <c r="FC713" s="151" t="str">
        <f>IF('IWP06'!Std11dot5a = 0, "", 'IWP06'!Std11dot5a)</f>
        <v/>
      </c>
      <c r="FD713" s="151" t="str">
        <f>IF('IWP06'!Std11dot5b = 0, "", 'IWP06'!Std11dot5b)</f>
        <v/>
      </c>
      <c r="FE713" s="151" t="str">
        <f>IF('IWP06'!Std11dot5ci = 0, "", 'IWP06'!Std11dot5ci)</f>
        <v>NA</v>
      </c>
      <c r="FF713" s="151" t="str">
        <f>IF('IWP06'!Std11dot5cii = 0, "", 'IWP06'!Std11dot5cii)</f>
        <v>NA</v>
      </c>
      <c r="FG713" s="151" t="str">
        <f>IF('IWP06'!Std11dot5 = 0, "", 'IWP06'!Std11dot5)</f>
        <v/>
      </c>
      <c r="FH713" s="207" t="str">
        <f>IF('IWP06'!Std11dot1AptGrandFthr = "", "", 'IWP06'!Std11dot1AptGrandFthr)</f>
        <v/>
      </c>
    </row>
    <row r="714" spans="1:164">
      <c r="A714" s="206" t="s">
        <v>1310</v>
      </c>
      <c r="B714" s="157">
        <f>IF('Samples (Print)'!D11=DATE(1900,1,0),DATE(1900,1,1),'Samples (Print)'!D11)</f>
        <v>1</v>
      </c>
      <c r="C714" s="157">
        <f>IF('Samples (Print)'!E11=DATE(1900,1,0),DATE(1900,1,1),'Samples (Print)'!E11)</f>
        <v>1</v>
      </c>
      <c r="D714" s="319">
        <f>IF('IWP07'!FiscalReviewFirstMonth =DATE(1900,1,0),DATE(1900,1,1),'IWP07'!FiscalReviewFirstMonth)</f>
        <v>1</v>
      </c>
      <c r="E714" s="319">
        <f>IF('IWP07'!FiscalReviewSecondMonth =DATE(1900,1,0),DATE(1900,1,1),'IWP07'!FiscalReviewSecondMonth)</f>
        <v>1</v>
      </c>
      <c r="F714" s="13">
        <f>'IWP07'!SampleNumber</f>
        <v>7</v>
      </c>
      <c r="G714" s="13">
        <f ca="1">'IWP07'!ClientID</f>
        <v>0</v>
      </c>
      <c r="H714" s="283"/>
      <c r="I714" s="283"/>
      <c r="J714" s="151" t="str">
        <f ca="1">IF('IWP07'!ContractNumber = 0, "", 'IWP07'!ContractNumber)</f>
        <v/>
      </c>
      <c r="K714" s="151" t="str">
        <f ca="1">IF('IWP07'!ContractType = 0, "", 'IWP07'!ContractType)</f>
        <v/>
      </c>
      <c r="L714" s="151" t="str">
        <f>IF('IWP07'!CompletedByLastName = 0, "", 'IWP07'!CompletedByLastName)</f>
        <v/>
      </c>
      <c r="M714" s="151" t="str">
        <f>IF('IWP07'!CompletedByFirstName = 0, "", 'IWP07'!CompletedByFirstName)</f>
        <v/>
      </c>
      <c r="N714" s="157">
        <f>IF('IWP07'!DateCompleted =DATE(1900,1,0),DATE(1900,1,1),'IWP07'!DateCompleted)</f>
        <v>1</v>
      </c>
      <c r="O714" s="151" t="str">
        <f>IF('IWP07'!Std3NotCalc = 0, "", 'IWP07'!Std3NotCalc)</f>
        <v/>
      </c>
      <c r="P714" s="157">
        <f>IF('IWP07'!Std3dot1DateOfAdmission =DATE(1900,1,0),DATE(1900,1,1),'IWP07'!Std3dot1DateOfAdmission)</f>
        <v>1</v>
      </c>
      <c r="Q714" s="151" t="str">
        <f>IF('IWP07'!Std3dot1a = 0, "", 'IWP07'!Std3dot1a)</f>
        <v/>
      </c>
      <c r="R714" s="151" t="str">
        <f>IF('IWP07'!Std3dot1b = 0, "", 'IWP07'!Std3dot1b)</f>
        <v/>
      </c>
      <c r="S714" s="151" t="str">
        <f>IF('IWP07'!Std3dot1c = 0, "", 'IWP07'!Std3dot1c)</f>
        <v>NA</v>
      </c>
      <c r="T714" s="151" t="str">
        <f>IF('IWP07'!Std3dot1 = 0, "", 'IWP07'!Std3dot1)</f>
        <v/>
      </c>
      <c r="U714" s="151" t="str">
        <f>IF('IWP07'!Std3dot2a = 0, "", 'IWP07'!Std3dot2a)</f>
        <v/>
      </c>
      <c r="V714" s="151" t="str">
        <f>IF('IWP07'!Std3dot2b = 0, "", 'IWP07'!Std3dot2b)</f>
        <v/>
      </c>
      <c r="W714" s="151" t="str">
        <f>IF('IWP07'!Std3dot2c = 0, "", 'IWP07'!Std3dot2c)</f>
        <v/>
      </c>
      <c r="X714" s="151" t="str">
        <f>IF('IWP07'!Std3dot2 = 0, "", 'IWP07'!Std3dot2)</f>
        <v/>
      </c>
      <c r="Y714" s="151" t="str">
        <f>IF('IWP07'!Std4dot1Month1 = 0, "", 'IWP07'!Std4dot1Month1)</f>
        <v/>
      </c>
      <c r="Z714" s="157">
        <f>IF('IWP07'!Std4dot1Month1Date =DATE(1900,1,0),DATE(1900,1,1),'IWP07'!Std4dot1Month1Date)</f>
        <v>1</v>
      </c>
      <c r="AA714" s="151" t="str">
        <f>IF('IWP07'!Std4dot1Month2 = 0, "", 'IWP07'!Std4dot1Month2)</f>
        <v/>
      </c>
      <c r="AB714" s="157">
        <f>IF('IWP07'!Std4dot1Month2Date =DATE(1900,1,0),DATE(1900,1,1),'IWP07'!Std4dot1Month2Date)</f>
        <v>1</v>
      </c>
      <c r="AC714" s="151" t="str">
        <f>IF('IWP07'!Std4dot1 = 0, "", 'IWP07'!Std4dot1)</f>
        <v/>
      </c>
      <c r="AD714" s="151" t="str">
        <f>IF('IWP07'!Std4dot2NotCalc = 0, "", 'IWP07'!Std4dot2NotCalc)</f>
        <v/>
      </c>
      <c r="AE714" s="151" t="str">
        <f>IF('IWP07'!Std4dot2 = 0, "", 'IWP07'!Std4dot2)</f>
        <v/>
      </c>
      <c r="AF714" s="151" t="str">
        <f>IF('IWP07'!Std4dot3 = 0, "", 'IWP07'!Std4dot3)</f>
        <v/>
      </c>
      <c r="AG714" s="151" t="str">
        <f>IF('IWP07'!Std4dot4 = 0, "", 'IWP07'!Std4dot4)</f>
        <v/>
      </c>
      <c r="AH714" s="151" t="str">
        <f>IF('IWP07'!Std5NotCalc = 0, "", 'IWP07'!Std5NotCalc)</f>
        <v/>
      </c>
      <c r="AI714" s="151" t="str">
        <f>IF('IWP07'!Std5dot1 = 0, "", 'IWP07'!Std5dot1)</f>
        <v/>
      </c>
      <c r="AJ714" s="151" t="str">
        <f>IF('IWP07'!Std7dot1NotCalc = 0, "", 'IWP07'!Std7dot1NotCalc)</f>
        <v/>
      </c>
      <c r="AK714" s="151" t="str">
        <f>IF('IWP07'!Std7dot1NotCalc = 0, "", 'IWP07'!Std7dot1NotCalc)</f>
        <v/>
      </c>
      <c r="AL714" s="155">
        <f>'IWP07'!Std7dot1BalPerCshLog</f>
        <v>0</v>
      </c>
      <c r="AM714" s="155">
        <f>'IWP07'!Std7dot1LessAdj</f>
        <v>0</v>
      </c>
      <c r="AN714" s="155">
        <f>'IWP07'!Std7dot1AdjBal</f>
        <v>0</v>
      </c>
      <c r="AO714" s="155">
        <f>'IWP07'!Std7dot1CshOnHand</f>
        <v>0</v>
      </c>
      <c r="AP714" s="155">
        <f>'IWP07'!Std7dot1PtyCshOvrShrt</f>
        <v>0</v>
      </c>
      <c r="AQ714" s="151" t="str">
        <f>IF('IWP07'!Std7dot1OvrShrtCorr = 0, "", 'IWP07'!Std7dot1OvrShrtCorr)</f>
        <v/>
      </c>
      <c r="AR714" s="151" t="str">
        <f>IF('IWP07'!Std7dot1 = 0, "", 'IWP07'!Std7dot1)</f>
        <v/>
      </c>
      <c r="AS714" s="151" t="str">
        <f>IF('IWP07'!Std9dot1aNotCalc = 0, "", 'IWP07'!Std9dot1aNotCalc)</f>
        <v/>
      </c>
      <c r="AT714" s="151" t="str">
        <f>IF('IWP07'!Std9dot1bNotCalc = 0, "", 'IWP07'!Std9dot1bNotCalc)</f>
        <v/>
      </c>
      <c r="AU714" s="157">
        <f>IF('IWP07'!Std9BalPerBnkStmtDt =DATE(1900,1,0),DATE(1900,1,1),'IWP07'!Std9BalPerBnkStmtDt)</f>
        <v>1</v>
      </c>
      <c r="AV714" s="155">
        <f>'IWP07'!Std9BalPerBnkStmt</f>
        <v>0</v>
      </c>
      <c r="AW714" s="155">
        <f>'IWP07'!Std9TotDepsInTrans</f>
        <v>0</v>
      </c>
      <c r="AX714" s="155">
        <f>'IWP07'!Std9TotOutsChks</f>
        <v>0</v>
      </c>
      <c r="AY714" s="155">
        <f>'IWP07'!Std9AdjBalPerBank</f>
        <v>0</v>
      </c>
      <c r="AZ714" s="157">
        <f>IF('IWP07'!Std9TotPtyCshIndvDt =DATE(1900,1,0),DATE(1900,1,1),'IWP07'!Std9TotPtyCshIndvDt)</f>
        <v>1</v>
      </c>
      <c r="BA714" s="155">
        <f>'IWP07'!Std9TotPtyCshIndv</f>
        <v>0</v>
      </c>
      <c r="BB714" s="155">
        <f>'IWP07'!Std9TotCshBnkAndHnd</f>
        <v>0</v>
      </c>
      <c r="BC714" s="157">
        <f>IF('IWP07'!Std9BalPerBksDt =DATE(1900,1,0),DATE(1900,1,1),'IWP07'!Std9BalPerBksDt)</f>
        <v>1</v>
      </c>
      <c r="BD714" s="155">
        <f>'IWP07'!Std9BalPerBks</f>
        <v>0</v>
      </c>
      <c r="BE714" s="155">
        <f>'IWP07'!Std9UnapplErndInt</f>
        <v>0</v>
      </c>
      <c r="BF714" s="155">
        <f>'IWP07'!Std9UnpstdRcptDsbrsmts</f>
        <v>0</v>
      </c>
      <c r="BG714" s="155">
        <f>'IWP07'!Std9NsfChks</f>
        <v>0</v>
      </c>
      <c r="BH714" s="155">
        <f>'IWP07'!Std9AdjBalPerBks</f>
        <v>0</v>
      </c>
      <c r="BI714" s="155">
        <f>'IWP07'!Std9TrstFndAcctOvrShrt</f>
        <v>0</v>
      </c>
      <c r="BJ714" s="151" t="str">
        <f>IF('IWP07'!Std9OvrShrtCorrctd = 0, "", 'IWP07'!Std9OvrShrtCorrctd)</f>
        <v/>
      </c>
      <c r="BK714" s="151" t="str">
        <f>IF('IWP07'!Std9ShrtUnreimbSvcChg = 0, "", 'IWP07'!Std9ShrtUnreimbSvcChg)</f>
        <v/>
      </c>
      <c r="BL714" s="151" t="str">
        <f>IF('IWP07'!Std9dot1 = 0, "", 'IWP07'!Std9dot1)</f>
        <v/>
      </c>
      <c r="BM714" s="151" t="str">
        <f>IF('IWP07'!Std10dot1NotCalc = 0, "", 'IWP07'!Std10dot1NotCalc)</f>
        <v/>
      </c>
      <c r="BN714" s="319">
        <f>IF('IWP07'!FiscalReviewFirstMonth =DATE(1900,1,0),DATE(1900,1,1),'IWP07'!FiscalReviewFirstMonth)</f>
        <v>1</v>
      </c>
      <c r="BO714" s="155">
        <f>'IWP07'!Std10dot1TotalAmt1</f>
        <v>0</v>
      </c>
      <c r="BP714" s="319">
        <f>IF('IWP07'!FiscalReviewSecondMonth =DATE(1900,1,0),DATE(1900,1,1),'IWP07'!FiscalReviewSecondMonth)</f>
        <v>1</v>
      </c>
      <c r="BQ714" s="155">
        <f>'IWP07'!Std10dot1TotalAmt2</f>
        <v>0</v>
      </c>
      <c r="BR714" s="151" t="str">
        <f>IF('IWP07'!Std10dot1 = 0, "", 'IWP07'!Std10dot1)</f>
        <v/>
      </c>
      <c r="BS714" s="151" t="str">
        <f>IF('IWP07'!Std10dot2NotCalc = 0, "", 'IWP07'!Std10dot2NotCalc)</f>
        <v/>
      </c>
      <c r="BT714" s="319">
        <f>IF('IWP07'!FiscalReviewFirstMonth =DATE(1900,1,0),DATE(1900,1,1),'IWP07'!FiscalReviewFirstMonth)</f>
        <v>1</v>
      </c>
      <c r="BU714" s="155">
        <f>'IWP07'!Std10dot2BankChgs1</f>
        <v>0</v>
      </c>
      <c r="BV714" s="319">
        <f>IF('IWP07'!FiscalReviewSecondMonth =DATE(1900,1,0),DATE(1900,1,1),'IWP07'!FiscalReviewSecondMonth)</f>
        <v>1</v>
      </c>
      <c r="BW714" s="155">
        <f>'IWP07'!Std10dot2BankChgs2</f>
        <v>0</v>
      </c>
      <c r="BX714" s="151" t="str">
        <f>IF('IWP07'!Std10dot2 = 0, "", 'IWP07'!Std10dot2)</f>
        <v/>
      </c>
      <c r="BY714" s="151" t="str">
        <f>IF('IWP07'!Std10dot3NotCalc = 0, "", 'IWP07'!Std10dot3NotCalc)</f>
        <v/>
      </c>
      <c r="BZ714" s="151" t="str">
        <f>IF('IWP07'!Std10dot3 = 0, "", 'IWP07'!Std10dot3)</f>
        <v/>
      </c>
      <c r="CA714" s="151" t="str">
        <f>IF('IWP07'!Std10dot4NotCalc = 0, "", 'IWP07'!Std10dot4NotCalc)</f>
        <v/>
      </c>
      <c r="CB714" s="151" t="str">
        <f>IF('IWP07'!Std10dot4 = 0, "", 'IWP07'!Std10dot4)</f>
        <v/>
      </c>
      <c r="CC714" s="151" t="str">
        <f>IF('IWP07'!Std10dot5 = 0, "", 'IWP07'!Std10dot5)</f>
        <v/>
      </c>
      <c r="CD714" s="151" t="str">
        <f>IF('IWP07'!Std10dot6NotCalc = 0, "", 'IWP07'!Std10dot6NotCalc)</f>
        <v/>
      </c>
      <c r="CE714" s="157">
        <f>IF('IWP07'!Std10dot6DateOfDeathDischarge =DATE(1900,1,0),DATE(1900,1,1),'IWP07'!Std10dot6DateOfDeathDischarge)</f>
        <v>1</v>
      </c>
      <c r="CF714" s="151" t="str">
        <f>IF('IWP07'!Std10dot6DthDschg = 0, "", 'IWP07'!Std10dot6DthDschg)</f>
        <v/>
      </c>
      <c r="CG714" s="155">
        <f>'IWP07'!Std10dot6TrustFundAmtDue</f>
        <v>0</v>
      </c>
      <c r="CH714" s="155">
        <f>'IWP07'!Std10dot6IndvPtyCshAmtDue</f>
        <v>0</v>
      </c>
      <c r="CI714" s="155">
        <f>'IWP07'!Std10dot6TotRfndDue</f>
        <v>0</v>
      </c>
      <c r="CJ714" s="155">
        <f>'IWP07'!Std10dot6AmtRfnd</f>
        <v>0</v>
      </c>
      <c r="CK714" s="155">
        <f>'IWP07'!Std10dot6DminusE</f>
        <v>0</v>
      </c>
      <c r="CL714" s="151" t="str">
        <f>IF('IWP07'!Std10dot6LastName = 0, "", 'IWP07'!Std10dot6LastName)</f>
        <v/>
      </c>
      <c r="CM714" s="151" t="str">
        <f>IF('IWP07'!Std10dot6FirstName = 0, "", 'IWP07'!Std10dot6FirstName)</f>
        <v/>
      </c>
      <c r="CN714" s="157">
        <f>IF('IWP07'!Std10dot6DateOfRefund =DATE(1900,1,0),DATE(1900,1,1),'IWP07'!Std10dot6DateOfRefund)</f>
        <v>1</v>
      </c>
      <c r="CO714" s="151" t="str">
        <f>IF('IWP07'!Std10dot6a = 0, "", 'IWP07'!Std10dot6a)</f>
        <v/>
      </c>
      <c r="CP714" s="151" t="str">
        <f>IF('IWP07'!Std10dot6b = 0, "", 'IWP07'!Std10dot6b)</f>
        <v/>
      </c>
      <c r="CQ714" s="151" t="str">
        <f>IF('IWP07'!Std10dot6c = 0, "", 'IWP07'!Std10dot6c)</f>
        <v/>
      </c>
      <c r="CR714" s="151" t="str">
        <f>IF('IWP07'!Std10dot6 = "", "", 'IWP07'!Std10dot6)</f>
        <v/>
      </c>
      <c r="CS714" s="151" t="str">
        <f>IF('IWP07'!Std11dot1aNotCalc = 0, "", 'IWP07'!Std11dot1aNotCalc)</f>
        <v/>
      </c>
      <c r="CT714" s="151" t="str">
        <f>IF('IWP07'!Std11dot1bNotCalc = 0, "", 'IWP07'!Std11dot1bNotCalc)</f>
        <v>N</v>
      </c>
      <c r="CU714" s="151" t="str">
        <f>IF('IWP07'!Std11dot1cNotCalc = 0, "", 'IWP07'!Std11dot1cNotCalc)</f>
        <v>N</v>
      </c>
      <c r="CV714" s="151" t="str">
        <f>IF('IWP07'!Std11dot1dNotCalc = 0, "", 'IWP07'!Std11dot1dNotCalc)</f>
        <v/>
      </c>
      <c r="CW714" s="151" t="str">
        <f>IF('IWP07'!Std11dot1eNotCalc = 0, "", 'IWP07'!Std11dot1eNotCalc)</f>
        <v/>
      </c>
      <c r="CX714" s="151" t="str">
        <f>IF('IWP07'!Std11dot1fNotCalc = 0, "", 'IWP07'!Std11dot1fNotCalc)</f>
        <v/>
      </c>
      <c r="CY714" s="151" t="str">
        <f>IF('IWP07'!Std11dot1PrivateLivingSpace = 0, "", 'IWP07'!Std11dot1PrivateLivingSpace)</f>
        <v/>
      </c>
      <c r="CZ714" s="155">
        <f>'IWP07'!Std11dot1LivingWidth</f>
        <v>0</v>
      </c>
      <c r="DA714" s="155">
        <f>'IWP07'!Std11dot1LivingLength</f>
        <v>0</v>
      </c>
      <c r="DB714" s="155">
        <f>IF('IWP07'!Std11dot1LivingSqFt = "", MINVALDBL, 'IWP07'!Std11dot1LivingSqFt)</f>
        <v>-99999.99</v>
      </c>
      <c r="DC714" s="151" t="str">
        <f>IF('IWP07'!Std11dot1PrivateLivingSpace = 0, "", 'IWP07'!Std11dot1PrivateLivingSpace)</f>
        <v/>
      </c>
      <c r="DD714" s="155">
        <f>'IWP07'!Std11dot1LivingWidth</f>
        <v>0</v>
      </c>
      <c r="DE714" s="155">
        <f>'IWP07'!Std11dot1LivingLength</f>
        <v>0</v>
      </c>
      <c r="DF714" s="155">
        <f>IF('IWP07'!Std11dot1LivingSqFt = "", MINVALDBL, 'IWP07'!Std11dot1LivingSqFt)</f>
        <v>-99999.99</v>
      </c>
      <c r="DG714" s="151" t="str">
        <f>IF('IWP07'!Std11dot1PrivateBedSpace = 0, "", 'IWP07'!Std11dot1PrivateBedSpace)</f>
        <v/>
      </c>
      <c r="DH714" s="155">
        <f>'IWP07'!Std11dot1BdrmWidth</f>
        <v>0</v>
      </c>
      <c r="DI714" s="155">
        <f>'IWP07'!Std11dot1BdrmLength</f>
        <v>0</v>
      </c>
      <c r="DJ714" s="155">
        <f>IF('IWP07'!Std11dot1BdrmSqFt = "", MINVALDBL, 'IWP07'!Std11dot1BdrmSqFt)</f>
        <v>-99999.99</v>
      </c>
      <c r="DK714" s="151" t="str">
        <f>IF('IWP07'!Std11dot1PrivateStorageSpace = 0, "", 'IWP07'!Std11dot1PrivateStorageSpace)</f>
        <v/>
      </c>
      <c r="DL714" s="155">
        <f>'IWP07'!Std11dot1StorageWidth</f>
        <v>0</v>
      </c>
      <c r="DM714" s="155">
        <f>'IWP07'!Std11dot1StorageLength</f>
        <v>0</v>
      </c>
      <c r="DN714" s="155">
        <f>IF('IWP07'!Std11dot1StorageSqFt = "", 0, 'IWP07'!Std11dot1StorageSqFt)</f>
        <v>0</v>
      </c>
      <c r="DO714" s="151" t="str">
        <f>IF('IWP07'!Std11dot1PrivateKitchenSpace = 0, "", 'IWP07'!Std11dot1PrivateKitchenSpace)</f>
        <v/>
      </c>
      <c r="DP714" s="155">
        <f>'IWP07'!Std11dot1KitchenWidth</f>
        <v>0</v>
      </c>
      <c r="DQ714" s="155">
        <f>'IWP07'!Std11dot1KitchenLength</f>
        <v>0</v>
      </c>
      <c r="DR714" s="155">
        <f>IF('IWP07'!Std11dot1KitchenSqFt = "", MINVALDBL, 'IWP07'!Std11dot1KitchenSqFt)</f>
        <v>-99999.99</v>
      </c>
      <c r="DS714" s="151" t="str">
        <f>IF('IWP07'!Std11dot1KitchenSink = 0, "", 'IWP07'!Std11dot1KitchenSink)</f>
        <v/>
      </c>
      <c r="DT714" s="151" t="str">
        <f>IF('IWP07'!Std11dot1Refrigerator = 0, "", 'IWP07'!Std11dot1Refrigerator)</f>
        <v/>
      </c>
      <c r="DU714" s="151" t="str">
        <f>IF('IWP07'!Std11dot1StoveMicrowave = 0, "", 'IWP07'!Std11dot1StoveMicrowave)</f>
        <v/>
      </c>
      <c r="DV714" s="151" t="str">
        <f>IF('IWP07'!Std11dot1SeparateBath = 0, "", 'IWP07'!Std11dot1SeparateBath)</f>
        <v/>
      </c>
      <c r="DW714" s="151" t="str">
        <f>IF('IWP07'!Std11dot1BathSink = 0, "", 'IWP07'!Std11dot1BathSink)</f>
        <v/>
      </c>
      <c r="DX714" s="151" t="str">
        <f>IF('IWP07'!Std11dot1ShowerTubAccessible = 0, "", 'IWP07'!Std11dot1ShowerTubAccessible)</f>
        <v/>
      </c>
      <c r="DY714" s="155">
        <f>'IWP07'!Std11dot1TotalPrivateSpace</f>
        <v>0</v>
      </c>
      <c r="DZ714" s="155">
        <f>'IWP07'!Std11dot1PrivateSpaceSquareFootagePerResident</f>
        <v>0</v>
      </c>
      <c r="EA714" s="155">
        <f>IF('IWP07'!Std11dot1TotalSquareFootagePerResident = "", MINVALDBL, 'IWP07'!Std11dot1TotalSquareFootagePerResident)</f>
        <v>-99999.99</v>
      </c>
      <c r="EB714" s="155">
        <f>'IWP07'!Std11dot1UseableCommonAreaSquareFootage</f>
        <v>0</v>
      </c>
      <c r="EC714" s="155">
        <f>'IWP07'!Std11dot1LicensedCapacity</f>
        <v>0</v>
      </c>
      <c r="ED714" s="155">
        <f>IF('IWP07'!Std11dot1CommonAreaSquareFootagePerResident = "", MINVALDBL, 'IWP07'!Std11dot1CommonAreaSquareFootagePerResident)</f>
        <v>-99999.99</v>
      </c>
      <c r="EE714" s="151" t="str">
        <f>IF('IWP07'!Std11dot1a = 0, "", 'IWP07'!Std11dot1a)</f>
        <v/>
      </c>
      <c r="EF714" s="151" t="str">
        <f>IF('IWP07'!Std11dot1b = 0, "", 'IWP07'!Std11dot1b)</f>
        <v/>
      </c>
      <c r="EG714" s="151" t="str">
        <f>IF('IWP07'!Std11dot1c = 0, "", 'IWP07'!Std11dot1c)</f>
        <v/>
      </c>
      <c r="EH714" s="151" t="str">
        <f>IF('IWP07'!Std11dot1d = 0, "", 'IWP07'!Std11dot1d)</f>
        <v/>
      </c>
      <c r="EI714" s="151" t="str">
        <f>IF('IWP07'!Std11dot1e = 0, "", 'IWP07'!Std11dot1e)</f>
        <v/>
      </c>
      <c r="EJ714" s="151" t="str">
        <f>IF('IWP07'!Std11dot1f = 0, "", 'IWP07'!Std11dot1f)</f>
        <v/>
      </c>
      <c r="EK714" s="151" t="str">
        <f>IF('IWP07'!Std11dot1g = 0, "", 'IWP07'!Std11dot1g)</f>
        <v/>
      </c>
      <c r="EL714" s="151" t="str">
        <f>IF('IWP07'!Std11dot1h = 0, "", 'IWP07'!Std11dot1h)</f>
        <v/>
      </c>
      <c r="EM714" s="151" t="str">
        <f>IF('IWP07'!Std11dot1i = 0, "", 'IWP07'!Std11dot1i)</f>
        <v/>
      </c>
      <c r="EN714" s="151" t="str">
        <f>IF('IWP07'!Std11dot1j = 0, "", 'IWP07'!Std11dot1j)</f>
        <v/>
      </c>
      <c r="EO714" s="151" t="str">
        <f>IF('IWP07'!Std11dot1k = 0, "", 'IWP07'!Std11dot1k)</f>
        <v/>
      </c>
      <c r="EP714" s="151" t="str">
        <f>IF('IWP07'!Std11dot1 = 0, "", 'IWP07'!Std11dot1)</f>
        <v/>
      </c>
      <c r="EQ714" s="151" t="str">
        <f>IF('IWP07'!Std11dot2 = 0, "", 'IWP07'!Std11dot2)</f>
        <v/>
      </c>
      <c r="ER714" s="151" t="str">
        <f>IF('IWP07'!Std11dot3 = 0, "", 'IWP07'!Std11dot3)</f>
        <v/>
      </c>
      <c r="ES714" s="151" t="str">
        <f>IF('IWP07'!Std11dot4 = 0, "", 'IWP07'!Std11dot4)</f>
        <v>NA</v>
      </c>
      <c r="ET714" s="157">
        <f>IF('IWP07'!$A$363=DATE(1900,1,0), DATE(1900,1,1), 'IWP07'!$A$363)</f>
        <v>1</v>
      </c>
      <c r="EU714" s="155">
        <f>'IWP07'!$C$363</f>
        <v>0</v>
      </c>
      <c r="EV714" s="155">
        <f>'IWP07'!$E$363</f>
        <v>0</v>
      </c>
      <c r="EW714" s="157">
        <f>IF('IWP07'!$G$363=DATE(1900,1,0), DATE(1900,1,1), 'IWP07'!$G$363)</f>
        <v>1</v>
      </c>
      <c r="EX714" s="155">
        <f>'IWP07'!$I$363</f>
        <v>0</v>
      </c>
      <c r="EY714" s="155">
        <f>'IWP07'!$K$363</f>
        <v>0</v>
      </c>
      <c r="EZ714" s="157">
        <f>IF('IWP07'!$M$363=DATE(1900,1,0), DATE(1900,1,1), 'IWP07'!$M$363)</f>
        <v>1</v>
      </c>
      <c r="FA714" s="151" t="str">
        <f>IF('IWP07'!$O$363 = 0, "", 'IWP07'!$O$363)</f>
        <v/>
      </c>
      <c r="FB714" s="151" t="str">
        <f>IF('IWP07'!$Q$363 = 0, "", 'IWP07'!$Q$363)</f>
        <v/>
      </c>
      <c r="FC714" s="151" t="str">
        <f>IF('IWP07'!Std11dot5a = 0, "", 'IWP07'!Std11dot5a)</f>
        <v/>
      </c>
      <c r="FD714" s="151" t="str">
        <f>IF('IWP07'!Std11dot5b = 0, "", 'IWP07'!Std11dot5b)</f>
        <v/>
      </c>
      <c r="FE714" s="151" t="str">
        <f>IF('IWP07'!Std11dot5ci = 0, "", 'IWP07'!Std11dot5ci)</f>
        <v>NA</v>
      </c>
      <c r="FF714" s="151" t="str">
        <f>IF('IWP07'!Std11dot5cii = 0, "", 'IWP07'!Std11dot5cii)</f>
        <v>NA</v>
      </c>
      <c r="FG714" s="151" t="str">
        <f>IF('IWP07'!Std11dot5 = 0, "", 'IWP07'!Std11dot5)</f>
        <v/>
      </c>
      <c r="FH714" s="207" t="str">
        <f>IF('IWP07'!Std11dot1AptGrandFthr = "", "", 'IWP07'!Std11dot1AptGrandFthr)</f>
        <v/>
      </c>
    </row>
    <row r="715" spans="1:164">
      <c r="A715" s="206" t="s">
        <v>1311</v>
      </c>
      <c r="B715" s="157">
        <f>IF('Samples (Print)'!D12=DATE(1900,1,0),DATE(1900,1,1),'Samples (Print)'!D12)</f>
        <v>1</v>
      </c>
      <c r="C715" s="157">
        <f>IF('Samples (Print)'!E12=DATE(1900,1,0),DATE(1900,1,1),'Samples (Print)'!E12)</f>
        <v>1</v>
      </c>
      <c r="D715" s="319">
        <f>IF('IWP08'!FiscalReviewFirstMonth =DATE(1900,1,0),DATE(1900,1,1),'IWP08'!FiscalReviewFirstMonth)</f>
        <v>1</v>
      </c>
      <c r="E715" s="319">
        <f>IF('IWP08'!FiscalReviewSecondMonth =DATE(1900,1,0),DATE(1900,1,1),'IWP08'!FiscalReviewSecondMonth)</f>
        <v>1</v>
      </c>
      <c r="F715" s="13">
        <f>'IWP08'!SampleNumber</f>
        <v>8</v>
      </c>
      <c r="G715" s="13">
        <f ca="1">'IWP08'!ClientID</f>
        <v>0</v>
      </c>
      <c r="H715" s="283"/>
      <c r="I715" s="283"/>
      <c r="J715" s="151" t="str">
        <f ca="1">IF('IWP08'!ContractNumber = 0, "", 'IWP08'!ContractNumber)</f>
        <v/>
      </c>
      <c r="K715" s="151" t="str">
        <f ca="1">IF('IWP08'!ContractType = 0, "", 'IWP08'!ContractType)</f>
        <v/>
      </c>
      <c r="L715" s="151" t="str">
        <f>IF('IWP08'!CompletedByLastName = 0, "", 'IWP08'!CompletedByLastName)</f>
        <v/>
      </c>
      <c r="M715" s="151" t="str">
        <f>IF('IWP08'!CompletedByFirstName = 0, "", 'IWP08'!CompletedByFirstName)</f>
        <v/>
      </c>
      <c r="N715" s="157">
        <f>IF('IWP08'!DateCompleted =DATE(1900,1,0),DATE(1900,1,1),'IWP08'!DateCompleted)</f>
        <v>1</v>
      </c>
      <c r="O715" s="151" t="str">
        <f>IF('IWP08'!Std3NotCalc = 0, "", 'IWP08'!Std3NotCalc)</f>
        <v/>
      </c>
      <c r="P715" s="157">
        <f>IF('IWP08'!Std3dot1DateOfAdmission =DATE(1900,1,0),DATE(1900,1,1),'IWP08'!Std3dot1DateOfAdmission)</f>
        <v>1</v>
      </c>
      <c r="Q715" s="151" t="str">
        <f>IF('IWP08'!Std3dot1a = 0, "", 'IWP08'!Std3dot1a)</f>
        <v/>
      </c>
      <c r="R715" s="151" t="str">
        <f>IF('IWP08'!Std3dot1b = 0, "", 'IWP08'!Std3dot1b)</f>
        <v/>
      </c>
      <c r="S715" s="151" t="str">
        <f>IF('IWP08'!Std3dot1c = 0, "", 'IWP08'!Std3dot1c)</f>
        <v>NA</v>
      </c>
      <c r="T715" s="151" t="str">
        <f>IF('IWP08'!Std3dot1 = 0, "", 'IWP08'!Std3dot1)</f>
        <v/>
      </c>
      <c r="U715" s="151" t="str">
        <f>IF('IWP08'!Std3dot2a = 0, "", 'IWP08'!Std3dot2a)</f>
        <v/>
      </c>
      <c r="V715" s="151" t="str">
        <f>IF('IWP08'!Std3dot2b = 0, "", 'IWP08'!Std3dot2b)</f>
        <v/>
      </c>
      <c r="W715" s="151" t="str">
        <f>IF('IWP08'!Std3dot2c = 0, "", 'IWP08'!Std3dot2c)</f>
        <v/>
      </c>
      <c r="X715" s="151" t="str">
        <f>IF('IWP08'!Std3dot2 = 0, "", 'IWP08'!Std3dot2)</f>
        <v/>
      </c>
      <c r="Y715" s="151" t="str">
        <f>IF('IWP08'!Std4dot1Month1 = 0, "", 'IWP08'!Std4dot1Month1)</f>
        <v/>
      </c>
      <c r="Z715" s="157">
        <f>IF('IWP08'!Std4dot1Month1Date =DATE(1900,1,0),DATE(1900,1,1),'IWP08'!Std4dot1Month1Date)</f>
        <v>1</v>
      </c>
      <c r="AA715" s="151" t="str">
        <f>IF('IWP08'!Std4dot1Month2 = 0, "", 'IWP08'!Std4dot1Month2)</f>
        <v/>
      </c>
      <c r="AB715" s="157">
        <f>IF('IWP08'!Std4dot1Month2Date =DATE(1900,1,0),DATE(1900,1,1),'IWP08'!Std4dot1Month2Date)</f>
        <v>1</v>
      </c>
      <c r="AC715" s="151" t="str">
        <f>IF('IWP08'!Std4dot1 = 0, "", 'IWP08'!Std4dot1)</f>
        <v/>
      </c>
      <c r="AD715" s="151" t="str">
        <f>IF('IWP08'!Std4dot2NotCalc = 0, "", 'IWP08'!Std4dot2NotCalc)</f>
        <v/>
      </c>
      <c r="AE715" s="151" t="str">
        <f>IF('IWP08'!Std4dot2 = 0, "", 'IWP08'!Std4dot2)</f>
        <v/>
      </c>
      <c r="AF715" s="151" t="str">
        <f>IF('IWP08'!Std4dot3 = 0, "", 'IWP08'!Std4dot3)</f>
        <v/>
      </c>
      <c r="AG715" s="151" t="str">
        <f>IF('IWP08'!Std4dot4 = 0, "", 'IWP08'!Std4dot4)</f>
        <v/>
      </c>
      <c r="AH715" s="151" t="str">
        <f>IF('IWP08'!Std5NotCalc = 0, "", 'IWP08'!Std5NotCalc)</f>
        <v/>
      </c>
      <c r="AI715" s="151" t="str">
        <f>IF('IWP08'!Std5dot1 = 0, "", 'IWP08'!Std5dot1)</f>
        <v/>
      </c>
      <c r="AJ715" s="151" t="str">
        <f>IF('IWP08'!Std7dot1NotCalc = 0, "", 'IWP08'!Std7dot1NotCalc)</f>
        <v/>
      </c>
      <c r="AK715" s="151" t="str">
        <f>IF('IWP08'!Std7dot1NotCalc = 0, "", 'IWP08'!Std7dot1NotCalc)</f>
        <v/>
      </c>
      <c r="AL715" s="155">
        <f>'IWP08'!Std7dot1BalPerCshLog</f>
        <v>0</v>
      </c>
      <c r="AM715" s="155">
        <f>'IWP08'!Std7dot1LessAdj</f>
        <v>0</v>
      </c>
      <c r="AN715" s="155">
        <f>'IWP08'!Std7dot1AdjBal</f>
        <v>0</v>
      </c>
      <c r="AO715" s="155">
        <f>'IWP08'!Std7dot1CshOnHand</f>
        <v>0</v>
      </c>
      <c r="AP715" s="155">
        <f>'IWP08'!Std7dot1PtyCshOvrShrt</f>
        <v>0</v>
      </c>
      <c r="AQ715" s="151" t="str">
        <f>IF('IWP08'!Std7dot1OvrShrtCorr = 0, "", 'IWP08'!Std7dot1OvrShrtCorr)</f>
        <v/>
      </c>
      <c r="AR715" s="151" t="str">
        <f>IF('IWP08'!Std7dot1 = 0, "", 'IWP08'!Std7dot1)</f>
        <v/>
      </c>
      <c r="AS715" s="151" t="str">
        <f>IF('IWP08'!Std9dot1aNotCalc = 0, "", 'IWP08'!Std9dot1aNotCalc)</f>
        <v/>
      </c>
      <c r="AT715" s="151" t="str">
        <f>IF('IWP08'!Std9dot1bNotCalc = 0, "", 'IWP08'!Std9dot1bNotCalc)</f>
        <v/>
      </c>
      <c r="AU715" s="157">
        <f>IF('IWP08'!Std9BalPerBnkStmtDt =DATE(1900,1,0),DATE(1900,1,1),'IWP08'!Std9BalPerBnkStmtDt)</f>
        <v>1</v>
      </c>
      <c r="AV715" s="155">
        <f>'IWP08'!Std9BalPerBnkStmt</f>
        <v>0</v>
      </c>
      <c r="AW715" s="155">
        <f>'IWP08'!Std9TotDepsInTrans</f>
        <v>0</v>
      </c>
      <c r="AX715" s="155">
        <f>'IWP08'!Std9TotOutsChks</f>
        <v>0</v>
      </c>
      <c r="AY715" s="155">
        <f>'IWP08'!Std9AdjBalPerBank</f>
        <v>0</v>
      </c>
      <c r="AZ715" s="157">
        <f>IF('IWP08'!Std9TotPtyCshIndvDt =DATE(1900,1,0),DATE(1900,1,1),'IWP08'!Std9TotPtyCshIndvDt)</f>
        <v>1</v>
      </c>
      <c r="BA715" s="155">
        <f>'IWP08'!Std9TotPtyCshIndv</f>
        <v>0</v>
      </c>
      <c r="BB715" s="155">
        <f>'IWP08'!Std9TotCshBnkAndHnd</f>
        <v>0</v>
      </c>
      <c r="BC715" s="157">
        <f>IF('IWP08'!Std9BalPerBksDt =DATE(1900,1,0),DATE(1900,1,1),'IWP08'!Std9BalPerBksDt)</f>
        <v>1</v>
      </c>
      <c r="BD715" s="155">
        <f>'IWP08'!Std9BalPerBks</f>
        <v>0</v>
      </c>
      <c r="BE715" s="155">
        <f>'IWP08'!Std9UnapplErndInt</f>
        <v>0</v>
      </c>
      <c r="BF715" s="155">
        <f>'IWP08'!Std9UnpstdRcptDsbrsmts</f>
        <v>0</v>
      </c>
      <c r="BG715" s="155">
        <f>'IWP08'!Std9NsfChks</f>
        <v>0</v>
      </c>
      <c r="BH715" s="155">
        <f>'IWP08'!Std9AdjBalPerBks</f>
        <v>0</v>
      </c>
      <c r="BI715" s="155">
        <f>'IWP08'!Std9TrstFndAcctOvrShrt</f>
        <v>0</v>
      </c>
      <c r="BJ715" s="151" t="str">
        <f>IF('IWP08'!Std9OvrShrtCorrctd = 0, "", 'IWP08'!Std9OvrShrtCorrctd)</f>
        <v/>
      </c>
      <c r="BK715" s="151" t="str">
        <f>IF('IWP08'!Std9ShrtUnreimbSvcChg = 0, "", 'IWP08'!Std9ShrtUnreimbSvcChg)</f>
        <v/>
      </c>
      <c r="BL715" s="151" t="str">
        <f>IF('IWP08'!Std9dot1 = 0, "", 'IWP08'!Std9dot1)</f>
        <v/>
      </c>
      <c r="BM715" s="151" t="str">
        <f>IF('IWP08'!Std10dot1NotCalc = 0, "", 'IWP08'!Std10dot1NotCalc)</f>
        <v/>
      </c>
      <c r="BN715" s="319">
        <f>IF('IWP08'!FiscalReviewFirstMonth =DATE(1900,1,0),DATE(1900,1,1),'IWP08'!FiscalReviewFirstMonth)</f>
        <v>1</v>
      </c>
      <c r="BO715" s="155">
        <f>'IWP08'!Std10dot1TotalAmt1</f>
        <v>0</v>
      </c>
      <c r="BP715" s="319">
        <f>IF('IWP08'!FiscalReviewSecondMonth =DATE(1900,1,0),DATE(1900,1,1),'IWP08'!FiscalReviewSecondMonth)</f>
        <v>1</v>
      </c>
      <c r="BQ715" s="155">
        <f>'IWP08'!Std10dot1TotalAmt2</f>
        <v>0</v>
      </c>
      <c r="BR715" s="151" t="str">
        <f>IF('IWP08'!Std10dot1 = 0, "", 'IWP08'!Std10dot1)</f>
        <v/>
      </c>
      <c r="BS715" s="151" t="str">
        <f>IF('IWP08'!Std10dot2NotCalc = 0, "", 'IWP08'!Std10dot2NotCalc)</f>
        <v/>
      </c>
      <c r="BT715" s="319">
        <f>IF('IWP08'!FiscalReviewFirstMonth =DATE(1900,1,0),DATE(1900,1,1),'IWP08'!FiscalReviewFirstMonth)</f>
        <v>1</v>
      </c>
      <c r="BU715" s="155">
        <f>'IWP08'!Std10dot2BankChgs1</f>
        <v>0</v>
      </c>
      <c r="BV715" s="319">
        <f>IF('IWP08'!FiscalReviewSecondMonth =DATE(1900,1,0),DATE(1900,1,1),'IWP08'!FiscalReviewSecondMonth)</f>
        <v>1</v>
      </c>
      <c r="BW715" s="155">
        <f>'IWP08'!Std10dot2BankChgs2</f>
        <v>0</v>
      </c>
      <c r="BX715" s="151" t="str">
        <f>IF('IWP08'!Std10dot2 = 0, "", 'IWP08'!Std10dot2)</f>
        <v/>
      </c>
      <c r="BY715" s="151" t="str">
        <f>IF('IWP08'!Std10dot3NotCalc = 0, "", 'IWP08'!Std10dot3NotCalc)</f>
        <v/>
      </c>
      <c r="BZ715" s="151" t="str">
        <f>IF('IWP08'!Std10dot3 = 0, "", 'IWP08'!Std10dot3)</f>
        <v/>
      </c>
      <c r="CA715" s="151" t="str">
        <f>IF('IWP08'!Std10dot4NotCalc = 0, "", 'IWP08'!Std10dot4NotCalc)</f>
        <v/>
      </c>
      <c r="CB715" s="151" t="str">
        <f>IF('IWP08'!Std10dot4 = 0, "", 'IWP08'!Std10dot4)</f>
        <v/>
      </c>
      <c r="CC715" s="151" t="str">
        <f>IF('IWP08'!Std10dot5 = 0, "", 'IWP08'!Std10dot5)</f>
        <v/>
      </c>
      <c r="CD715" s="151" t="str">
        <f>IF('IWP08'!Std10dot6NotCalc = 0, "", 'IWP08'!Std10dot6NotCalc)</f>
        <v/>
      </c>
      <c r="CE715" s="157">
        <f>IF('IWP08'!Std10dot6DateOfDeathDischarge =DATE(1900,1,0),DATE(1900,1,1),'IWP08'!Std10dot6DateOfDeathDischarge)</f>
        <v>1</v>
      </c>
      <c r="CF715" s="151" t="str">
        <f>IF('IWP08'!Std10dot6DthDschg = 0, "", 'IWP08'!Std10dot6DthDschg)</f>
        <v/>
      </c>
      <c r="CG715" s="155">
        <f>'IWP08'!Std10dot6TrustFundAmtDue</f>
        <v>0</v>
      </c>
      <c r="CH715" s="155">
        <f>'IWP08'!Std10dot6IndvPtyCshAmtDue</f>
        <v>0</v>
      </c>
      <c r="CI715" s="155">
        <f>'IWP08'!Std10dot6TotRfndDue</f>
        <v>0</v>
      </c>
      <c r="CJ715" s="155">
        <f>'IWP08'!Std10dot6AmtRfnd</f>
        <v>0</v>
      </c>
      <c r="CK715" s="155">
        <f>'IWP08'!Std10dot6DminusE</f>
        <v>0</v>
      </c>
      <c r="CL715" s="151" t="str">
        <f>IF('IWP08'!Std10dot6LastName = 0, "", 'IWP08'!Std10dot6LastName)</f>
        <v/>
      </c>
      <c r="CM715" s="151" t="str">
        <f>IF('IWP08'!Std10dot6FirstName = 0, "", 'IWP08'!Std10dot6FirstName)</f>
        <v/>
      </c>
      <c r="CN715" s="157">
        <f>IF('IWP08'!Std10dot6DateOfRefund =DATE(1900,1,0),DATE(1900,1,1),'IWP08'!Std10dot6DateOfRefund)</f>
        <v>1</v>
      </c>
      <c r="CO715" s="151" t="str">
        <f>IF('IWP08'!Std10dot6a = 0, "", 'IWP08'!Std10dot6a)</f>
        <v/>
      </c>
      <c r="CP715" s="151" t="str">
        <f>IF('IWP08'!Std10dot6b = 0, "", 'IWP08'!Std10dot6b)</f>
        <v/>
      </c>
      <c r="CQ715" s="151" t="str">
        <f>IF('IWP08'!Std10dot6c = 0, "", 'IWP08'!Std10dot6c)</f>
        <v/>
      </c>
      <c r="CR715" s="151" t="str">
        <f>IF('IWP08'!Std10dot6 = "", "", 'IWP08'!Std10dot6)</f>
        <v/>
      </c>
      <c r="CS715" s="151" t="str">
        <f>IF('IWP08'!Std11dot1aNotCalc = 0, "", 'IWP08'!Std11dot1aNotCalc)</f>
        <v/>
      </c>
      <c r="CT715" s="151" t="str">
        <f>IF('IWP08'!Std11dot1bNotCalc = 0, "", 'IWP08'!Std11dot1bNotCalc)</f>
        <v>N</v>
      </c>
      <c r="CU715" s="151" t="str">
        <f>IF('IWP08'!Std11dot1cNotCalc = 0, "", 'IWP08'!Std11dot1cNotCalc)</f>
        <v>N</v>
      </c>
      <c r="CV715" s="151" t="str">
        <f>IF('IWP08'!Std11dot1dNotCalc = 0, "", 'IWP08'!Std11dot1dNotCalc)</f>
        <v/>
      </c>
      <c r="CW715" s="151" t="str">
        <f>IF('IWP08'!Std11dot1eNotCalc = 0, "", 'IWP08'!Std11dot1eNotCalc)</f>
        <v/>
      </c>
      <c r="CX715" s="151" t="str">
        <f>IF('IWP08'!Std11dot1fNotCalc = 0, "", 'IWP08'!Std11dot1fNotCalc)</f>
        <v/>
      </c>
      <c r="CY715" s="151" t="str">
        <f>IF('IWP08'!Std11dot1PrivateLivingSpace = 0, "", 'IWP08'!Std11dot1PrivateLivingSpace)</f>
        <v/>
      </c>
      <c r="CZ715" s="155">
        <f>'IWP08'!Std11dot1LivingWidth</f>
        <v>0</v>
      </c>
      <c r="DA715" s="155">
        <f>'IWP08'!Std11dot1LivingLength</f>
        <v>0</v>
      </c>
      <c r="DB715" s="155">
        <f>IF('IWP08'!Std11dot1LivingSqFt = "", MINVALDBL, 'IWP08'!Std11dot1LivingSqFt)</f>
        <v>-99999.99</v>
      </c>
      <c r="DC715" s="151" t="str">
        <f>IF('IWP08'!Std11dot1PrivateLivingSpace = 0, "", 'IWP08'!Std11dot1PrivateLivingSpace)</f>
        <v/>
      </c>
      <c r="DD715" s="155">
        <f>'IWP08'!Std11dot1LivingWidth</f>
        <v>0</v>
      </c>
      <c r="DE715" s="155">
        <f>'IWP08'!Std11dot1LivingLength</f>
        <v>0</v>
      </c>
      <c r="DF715" s="155">
        <f>IF('IWP08'!Std11dot1LivingSqFt = "", MINVALDBL, 'IWP08'!Std11dot1LivingSqFt)</f>
        <v>-99999.99</v>
      </c>
      <c r="DG715" s="151" t="str">
        <f>IF('IWP08'!Std11dot1PrivateBedSpace = 0, "", 'IWP08'!Std11dot1PrivateBedSpace)</f>
        <v/>
      </c>
      <c r="DH715" s="155">
        <f>'IWP08'!Std11dot1BdrmWidth</f>
        <v>0</v>
      </c>
      <c r="DI715" s="155">
        <f>'IWP08'!Std11dot1BdrmLength</f>
        <v>0</v>
      </c>
      <c r="DJ715" s="155">
        <f>IF('IWP08'!Std11dot1BdrmSqFt = "", MINVALDBL, 'IWP08'!Std11dot1BdrmSqFt)</f>
        <v>-99999.99</v>
      </c>
      <c r="DK715" s="151" t="str">
        <f>IF('IWP08'!Std11dot1PrivateStorageSpace = 0, "", 'IWP08'!Std11dot1PrivateStorageSpace)</f>
        <v/>
      </c>
      <c r="DL715" s="155">
        <f>'IWP08'!Std11dot1StorageWidth</f>
        <v>0</v>
      </c>
      <c r="DM715" s="155">
        <f>'IWP08'!Std11dot1StorageLength</f>
        <v>0</v>
      </c>
      <c r="DN715" s="155">
        <f>IF('IWP08'!Std11dot1StorageSqFt = "", 0, 'IWP08'!Std11dot1StorageSqFt)</f>
        <v>0</v>
      </c>
      <c r="DO715" s="151" t="str">
        <f>IF('IWP08'!Std11dot1PrivateKitchenSpace = 0, "", 'IWP08'!Std11dot1PrivateKitchenSpace)</f>
        <v/>
      </c>
      <c r="DP715" s="155">
        <f>'IWP08'!Std11dot1KitchenWidth</f>
        <v>0</v>
      </c>
      <c r="DQ715" s="155">
        <f>'IWP08'!Std11dot1KitchenLength</f>
        <v>0</v>
      </c>
      <c r="DR715" s="155">
        <f>IF('IWP08'!Std11dot1KitchenSqFt = "", MINVALDBL, 'IWP08'!Std11dot1KitchenSqFt)</f>
        <v>-99999.99</v>
      </c>
      <c r="DS715" s="151" t="str">
        <f>IF('IWP08'!Std11dot1KitchenSink = 0, "", 'IWP08'!Std11dot1KitchenSink)</f>
        <v/>
      </c>
      <c r="DT715" s="151" t="str">
        <f>IF('IWP08'!Std11dot1Refrigerator = 0, "", 'IWP08'!Std11dot1Refrigerator)</f>
        <v/>
      </c>
      <c r="DU715" s="151" t="str">
        <f>IF('IWP08'!Std11dot1StoveMicrowave = 0, "", 'IWP08'!Std11dot1StoveMicrowave)</f>
        <v/>
      </c>
      <c r="DV715" s="151" t="str">
        <f>IF('IWP08'!Std11dot1SeparateBath = 0, "", 'IWP08'!Std11dot1SeparateBath)</f>
        <v/>
      </c>
      <c r="DW715" s="151" t="str">
        <f>IF('IWP08'!Std11dot1BathSink = 0, "", 'IWP08'!Std11dot1BathSink)</f>
        <v/>
      </c>
      <c r="DX715" s="151" t="str">
        <f>IF('IWP08'!Std11dot1ShowerTubAccessible = 0, "", 'IWP08'!Std11dot1ShowerTubAccessible)</f>
        <v/>
      </c>
      <c r="DY715" s="155">
        <f>'IWP08'!Std11dot1TotalPrivateSpace</f>
        <v>0</v>
      </c>
      <c r="DZ715" s="155">
        <f>'IWP08'!Std11dot1PrivateSpaceSquareFootagePerResident</f>
        <v>0</v>
      </c>
      <c r="EA715" s="155">
        <f>IF('IWP08'!Std11dot1TotalSquareFootagePerResident = "", MINVALDBL, 'IWP08'!Std11dot1TotalSquareFootagePerResident)</f>
        <v>-99999.99</v>
      </c>
      <c r="EB715" s="155">
        <f>'IWP08'!Std11dot1UseableCommonAreaSquareFootage</f>
        <v>0</v>
      </c>
      <c r="EC715" s="155">
        <f>'IWP08'!Std11dot1LicensedCapacity</f>
        <v>0</v>
      </c>
      <c r="ED715" s="155">
        <f>IF('IWP08'!Std11dot1CommonAreaSquareFootagePerResident = "", MINVALDBL, 'IWP08'!Std11dot1CommonAreaSquareFootagePerResident)</f>
        <v>-99999.99</v>
      </c>
      <c r="EE715" s="151" t="str">
        <f>IF('IWP08'!Std11dot1a = 0, "", 'IWP08'!Std11dot1a)</f>
        <v/>
      </c>
      <c r="EF715" s="151" t="str">
        <f>IF('IWP08'!Std11dot1b = 0, "", 'IWP08'!Std11dot1b)</f>
        <v/>
      </c>
      <c r="EG715" s="151" t="str">
        <f>IF('IWP08'!Std11dot1c = 0, "", 'IWP08'!Std11dot1c)</f>
        <v/>
      </c>
      <c r="EH715" s="151" t="str">
        <f>IF('IWP08'!Std11dot1d = 0, "", 'IWP08'!Std11dot1d)</f>
        <v/>
      </c>
      <c r="EI715" s="151" t="str">
        <f>IF('IWP08'!Std11dot1e = 0, "", 'IWP08'!Std11dot1e)</f>
        <v/>
      </c>
      <c r="EJ715" s="151" t="str">
        <f>IF('IWP08'!Std11dot1f = 0, "", 'IWP08'!Std11dot1f)</f>
        <v/>
      </c>
      <c r="EK715" s="151" t="str">
        <f>IF('IWP08'!Std11dot1g = 0, "", 'IWP08'!Std11dot1g)</f>
        <v/>
      </c>
      <c r="EL715" s="151" t="str">
        <f>IF('IWP08'!Std11dot1h = 0, "", 'IWP08'!Std11dot1h)</f>
        <v/>
      </c>
      <c r="EM715" s="151" t="str">
        <f>IF('IWP08'!Std11dot1i = 0, "", 'IWP08'!Std11dot1i)</f>
        <v/>
      </c>
      <c r="EN715" s="151" t="str">
        <f>IF('IWP08'!Std11dot1j = 0, "", 'IWP08'!Std11dot1j)</f>
        <v/>
      </c>
      <c r="EO715" s="151" t="str">
        <f>IF('IWP08'!Std11dot1k = 0, "", 'IWP08'!Std11dot1k)</f>
        <v/>
      </c>
      <c r="EP715" s="151" t="str">
        <f>IF('IWP08'!Std11dot1 = 0, "", 'IWP08'!Std11dot1)</f>
        <v/>
      </c>
      <c r="EQ715" s="151" t="str">
        <f>IF('IWP08'!Std11dot2 = 0, "", 'IWP08'!Std11dot2)</f>
        <v/>
      </c>
      <c r="ER715" s="151" t="str">
        <f>IF('IWP08'!Std11dot3 = 0, "", 'IWP08'!Std11dot3)</f>
        <v/>
      </c>
      <c r="ES715" s="151" t="str">
        <f>IF('IWP08'!Std11dot4 = 0, "", 'IWP08'!Std11dot4)</f>
        <v>NA</v>
      </c>
      <c r="ET715" s="157">
        <f>IF('IWP08'!$A$363=DATE(1900,1,0), DATE(1900,1,1), 'IWP08'!$A$363)</f>
        <v>1</v>
      </c>
      <c r="EU715" s="155">
        <f>'IWP08'!$C$363</f>
        <v>0</v>
      </c>
      <c r="EV715" s="155">
        <f>'IWP08'!$E$363</f>
        <v>0</v>
      </c>
      <c r="EW715" s="157">
        <f>IF('IWP08'!$G$363=DATE(1900,1,0), DATE(1900,1,1), 'IWP08'!$G$363)</f>
        <v>1</v>
      </c>
      <c r="EX715" s="155">
        <f>'IWP08'!$I$363</f>
        <v>0</v>
      </c>
      <c r="EY715" s="155">
        <f>'IWP08'!$K$363</f>
        <v>0</v>
      </c>
      <c r="EZ715" s="157">
        <f>IF('IWP08'!$M$363=DATE(1900,1,0), DATE(1900,1,1), 'IWP08'!$M$363)</f>
        <v>1</v>
      </c>
      <c r="FA715" s="151" t="str">
        <f>IF('IWP08'!$O$363 = 0, "", 'IWP08'!$O$363)</f>
        <v/>
      </c>
      <c r="FB715" s="151" t="str">
        <f>IF('IWP08'!$Q$363 = 0, "", 'IWP08'!$Q$363)</f>
        <v/>
      </c>
      <c r="FC715" s="151" t="str">
        <f>IF('IWP08'!Std11dot5a = 0, "", 'IWP08'!Std11dot5a)</f>
        <v/>
      </c>
      <c r="FD715" s="151" t="str">
        <f>IF('IWP08'!Std11dot5b = 0, "", 'IWP08'!Std11dot5b)</f>
        <v/>
      </c>
      <c r="FE715" s="151" t="str">
        <f>IF('IWP08'!Std11dot5ci = 0, "", 'IWP08'!Std11dot5ci)</f>
        <v>NA</v>
      </c>
      <c r="FF715" s="151" t="str">
        <f>IF('IWP08'!Std11dot5cii = 0, "", 'IWP08'!Std11dot5cii)</f>
        <v>NA</v>
      </c>
      <c r="FG715" s="151" t="str">
        <f>IF('IWP08'!Std11dot5 = 0, "", 'IWP08'!Std11dot5)</f>
        <v/>
      </c>
      <c r="FH715" s="207" t="str">
        <f>IF('IWP08'!Std11dot1AptGrandFthr = "", "", 'IWP08'!Std11dot1AptGrandFthr)</f>
        <v/>
      </c>
    </row>
    <row r="716" spans="1:164">
      <c r="A716" s="206" t="s">
        <v>1312</v>
      </c>
      <c r="B716" s="157">
        <f>IF('Samples (Print)'!D13=DATE(1900,1,0),DATE(1900,1,1),'Samples (Print)'!D13)</f>
        <v>1</v>
      </c>
      <c r="C716" s="157">
        <f>IF('Samples (Print)'!E13=DATE(1900,1,0),DATE(1900,1,1),'Samples (Print)'!E13)</f>
        <v>1</v>
      </c>
      <c r="D716" s="319">
        <f>IF('IWP09'!FiscalReviewFirstMonth =DATE(1900,1,0),DATE(1900,1,1),'IWP09'!FiscalReviewFirstMonth)</f>
        <v>1</v>
      </c>
      <c r="E716" s="319">
        <f>IF('IWP09'!FiscalReviewSecondMonth =DATE(1900,1,0),DATE(1900,1,1),'IWP09'!FiscalReviewSecondMonth)</f>
        <v>1</v>
      </c>
      <c r="F716" s="13">
        <f>'IWP09'!SampleNumber</f>
        <v>9</v>
      </c>
      <c r="G716" s="13">
        <f ca="1">'IWP09'!ClientID</f>
        <v>0</v>
      </c>
      <c r="H716" s="283"/>
      <c r="I716" s="283"/>
      <c r="J716" s="151" t="str">
        <f ca="1">IF('IWP09'!ContractNumber = 0, "", 'IWP09'!ContractNumber)</f>
        <v/>
      </c>
      <c r="K716" s="151" t="str">
        <f ca="1">IF('IWP09'!ContractType = 0, "", 'IWP09'!ContractType)</f>
        <v/>
      </c>
      <c r="L716" s="151" t="str">
        <f>IF('IWP09'!CompletedByLastName = 0, "", 'IWP09'!CompletedByLastName)</f>
        <v/>
      </c>
      <c r="M716" s="151" t="str">
        <f>IF('IWP09'!CompletedByFirstName = 0, "", 'IWP09'!CompletedByFirstName)</f>
        <v/>
      </c>
      <c r="N716" s="157">
        <f>IF('IWP09'!DateCompleted =DATE(1900,1,0),DATE(1900,1,1),'IWP09'!DateCompleted)</f>
        <v>1</v>
      </c>
      <c r="O716" s="151" t="str">
        <f>IF('IWP09'!Std3NotCalc = 0, "", 'IWP09'!Std3NotCalc)</f>
        <v/>
      </c>
      <c r="P716" s="157">
        <f>IF('IWP09'!Std3dot1DateOfAdmission =DATE(1900,1,0),DATE(1900,1,1),'IWP09'!Std3dot1DateOfAdmission)</f>
        <v>1</v>
      </c>
      <c r="Q716" s="151" t="str">
        <f>IF('IWP09'!Std3dot1a = 0, "", 'IWP09'!Std3dot1a)</f>
        <v/>
      </c>
      <c r="R716" s="151" t="str">
        <f>IF('IWP09'!Std3dot1b = 0, "", 'IWP09'!Std3dot1b)</f>
        <v/>
      </c>
      <c r="S716" s="151" t="str">
        <f>IF('IWP09'!Std3dot1c = 0, "", 'IWP09'!Std3dot1c)</f>
        <v>NA</v>
      </c>
      <c r="T716" s="151" t="str">
        <f>IF('IWP09'!Std3dot1 = 0, "", 'IWP09'!Std3dot1)</f>
        <v/>
      </c>
      <c r="U716" s="151" t="str">
        <f>IF('IWP09'!Std3dot2a = 0, "", 'IWP09'!Std3dot2a)</f>
        <v/>
      </c>
      <c r="V716" s="151" t="str">
        <f>IF('IWP09'!Std3dot2b = 0, "", 'IWP09'!Std3dot2b)</f>
        <v/>
      </c>
      <c r="W716" s="151" t="str">
        <f>IF('IWP09'!Std3dot2c = 0, "", 'IWP09'!Std3dot2c)</f>
        <v/>
      </c>
      <c r="X716" s="151" t="str">
        <f>IF('IWP09'!Std3dot2 = 0, "", 'IWP09'!Std3dot2)</f>
        <v/>
      </c>
      <c r="Y716" s="151" t="str">
        <f>IF('IWP09'!Std4dot1Month1 = 0, "", 'IWP09'!Std4dot1Month1)</f>
        <v/>
      </c>
      <c r="Z716" s="157">
        <f>IF('IWP09'!Std4dot1Month1Date =DATE(1900,1,0),DATE(1900,1,1),'IWP09'!Std4dot1Month1Date)</f>
        <v>1</v>
      </c>
      <c r="AA716" s="151" t="str">
        <f>IF('IWP09'!Std4dot1Month2 = 0, "", 'IWP09'!Std4dot1Month2)</f>
        <v/>
      </c>
      <c r="AB716" s="157">
        <f>IF('IWP09'!Std4dot1Month2Date =DATE(1900,1,0),DATE(1900,1,1),'IWP09'!Std4dot1Month2Date)</f>
        <v>1</v>
      </c>
      <c r="AC716" s="151" t="str">
        <f>IF('IWP09'!Std4dot1 = 0, "", 'IWP09'!Std4dot1)</f>
        <v/>
      </c>
      <c r="AD716" s="151" t="str">
        <f>IF('IWP09'!Std4dot2NotCalc = 0, "", 'IWP09'!Std4dot2NotCalc)</f>
        <v/>
      </c>
      <c r="AE716" s="151" t="str">
        <f>IF('IWP09'!Std4dot2 = 0, "", 'IWP09'!Std4dot2)</f>
        <v/>
      </c>
      <c r="AF716" s="151" t="str">
        <f>IF('IWP09'!Std4dot3 = 0, "", 'IWP09'!Std4dot3)</f>
        <v/>
      </c>
      <c r="AG716" s="151" t="str">
        <f>IF('IWP09'!Std4dot4 = 0, "", 'IWP09'!Std4dot4)</f>
        <v/>
      </c>
      <c r="AH716" s="151" t="str">
        <f>IF('IWP09'!Std5NotCalc = 0, "", 'IWP09'!Std5NotCalc)</f>
        <v/>
      </c>
      <c r="AI716" s="151" t="str">
        <f>IF('IWP09'!Std5dot1 = 0, "", 'IWP09'!Std5dot1)</f>
        <v/>
      </c>
      <c r="AJ716" s="151" t="str">
        <f>IF('IWP09'!Std7dot1NotCalc = 0, "", 'IWP09'!Std7dot1NotCalc)</f>
        <v/>
      </c>
      <c r="AK716" s="151" t="str">
        <f>IF('IWP09'!Std7dot1NotCalc = 0, "", 'IWP09'!Std7dot1NotCalc)</f>
        <v/>
      </c>
      <c r="AL716" s="155">
        <f>'IWP09'!Std7dot1BalPerCshLog</f>
        <v>0</v>
      </c>
      <c r="AM716" s="155">
        <f>'IWP09'!Std7dot1LessAdj</f>
        <v>0</v>
      </c>
      <c r="AN716" s="155">
        <f>'IWP09'!Std7dot1AdjBal</f>
        <v>0</v>
      </c>
      <c r="AO716" s="155">
        <f>'IWP09'!Std7dot1CshOnHand</f>
        <v>0</v>
      </c>
      <c r="AP716" s="155">
        <f>'IWP09'!Std7dot1PtyCshOvrShrt</f>
        <v>0</v>
      </c>
      <c r="AQ716" s="151" t="str">
        <f>IF('IWP09'!Std7dot1OvrShrtCorr = 0, "", 'IWP09'!Std7dot1OvrShrtCorr)</f>
        <v/>
      </c>
      <c r="AR716" s="151" t="str">
        <f>IF('IWP09'!Std7dot1 = 0, "", 'IWP09'!Std7dot1)</f>
        <v/>
      </c>
      <c r="AS716" s="151" t="str">
        <f>IF('IWP09'!Std9dot1aNotCalc = 0, "", 'IWP09'!Std9dot1aNotCalc)</f>
        <v/>
      </c>
      <c r="AT716" s="151" t="str">
        <f>IF('IWP09'!Std9dot1bNotCalc = 0, "", 'IWP09'!Std9dot1bNotCalc)</f>
        <v/>
      </c>
      <c r="AU716" s="157">
        <f>IF('IWP09'!Std9BalPerBnkStmtDt =DATE(1900,1,0),DATE(1900,1,1),'IWP09'!Std9BalPerBnkStmtDt)</f>
        <v>1</v>
      </c>
      <c r="AV716" s="155">
        <f>'IWP09'!Std9BalPerBnkStmt</f>
        <v>0</v>
      </c>
      <c r="AW716" s="155">
        <f>'IWP09'!Std9TotDepsInTrans</f>
        <v>0</v>
      </c>
      <c r="AX716" s="155">
        <f>'IWP09'!Std9TotOutsChks</f>
        <v>0</v>
      </c>
      <c r="AY716" s="155">
        <f>'IWP09'!Std9AdjBalPerBank</f>
        <v>0</v>
      </c>
      <c r="AZ716" s="157">
        <f>IF('IWP09'!Std9TotPtyCshIndvDt =DATE(1900,1,0),DATE(1900,1,1),'IWP09'!Std9TotPtyCshIndvDt)</f>
        <v>1</v>
      </c>
      <c r="BA716" s="155">
        <f>'IWP09'!Std9TotPtyCshIndv</f>
        <v>0</v>
      </c>
      <c r="BB716" s="155">
        <f>'IWP09'!Std9TotCshBnkAndHnd</f>
        <v>0</v>
      </c>
      <c r="BC716" s="157">
        <f>IF('IWP09'!Std9BalPerBksDt =DATE(1900,1,0),DATE(1900,1,1),'IWP09'!Std9BalPerBksDt)</f>
        <v>1</v>
      </c>
      <c r="BD716" s="155">
        <f>'IWP09'!Std9BalPerBks</f>
        <v>0</v>
      </c>
      <c r="BE716" s="155">
        <f>'IWP09'!Std9UnapplErndInt</f>
        <v>0</v>
      </c>
      <c r="BF716" s="155">
        <f>'IWP09'!Std9UnpstdRcptDsbrsmts</f>
        <v>0</v>
      </c>
      <c r="BG716" s="155">
        <f>'IWP09'!Std9NsfChks</f>
        <v>0</v>
      </c>
      <c r="BH716" s="155">
        <f>'IWP09'!Std9AdjBalPerBks</f>
        <v>0</v>
      </c>
      <c r="BI716" s="155">
        <f>'IWP09'!Std9TrstFndAcctOvrShrt</f>
        <v>0</v>
      </c>
      <c r="BJ716" s="151" t="str">
        <f>IF('IWP09'!Std9OvrShrtCorrctd = 0, "", 'IWP09'!Std9OvrShrtCorrctd)</f>
        <v/>
      </c>
      <c r="BK716" s="151" t="str">
        <f>IF('IWP09'!Std9ShrtUnreimbSvcChg = 0, "", 'IWP09'!Std9ShrtUnreimbSvcChg)</f>
        <v/>
      </c>
      <c r="BL716" s="151" t="str">
        <f>IF('IWP09'!Std9dot1 = 0, "", 'IWP09'!Std9dot1)</f>
        <v/>
      </c>
      <c r="BM716" s="151" t="str">
        <f>IF('IWP09'!Std10dot1NotCalc = 0, "", 'IWP09'!Std10dot1NotCalc)</f>
        <v/>
      </c>
      <c r="BN716" s="319">
        <f>IF('IWP09'!FiscalReviewFirstMonth =DATE(1900,1,0),DATE(1900,1,1),'IWP09'!FiscalReviewFirstMonth)</f>
        <v>1</v>
      </c>
      <c r="BO716" s="155">
        <f>'IWP09'!Std10dot1TotalAmt1</f>
        <v>0</v>
      </c>
      <c r="BP716" s="319">
        <f>IF('IWP09'!FiscalReviewSecondMonth =DATE(1900,1,0),DATE(1900,1,1),'IWP09'!FiscalReviewSecondMonth)</f>
        <v>1</v>
      </c>
      <c r="BQ716" s="155">
        <f>'IWP09'!Std10dot1TotalAmt2</f>
        <v>0</v>
      </c>
      <c r="BR716" s="151" t="str">
        <f>IF('IWP09'!Std10dot1 = 0, "", 'IWP09'!Std10dot1)</f>
        <v/>
      </c>
      <c r="BS716" s="151" t="str">
        <f>IF('IWP09'!Std10dot2NotCalc = 0, "", 'IWP09'!Std10dot2NotCalc)</f>
        <v/>
      </c>
      <c r="BT716" s="319">
        <f>IF('IWP09'!FiscalReviewFirstMonth =DATE(1900,1,0),DATE(1900,1,1),'IWP09'!FiscalReviewFirstMonth)</f>
        <v>1</v>
      </c>
      <c r="BU716" s="155">
        <f>'IWP09'!Std10dot2BankChgs1</f>
        <v>0</v>
      </c>
      <c r="BV716" s="319">
        <f>IF('IWP09'!FiscalReviewSecondMonth =DATE(1900,1,0),DATE(1900,1,1),'IWP09'!FiscalReviewSecondMonth)</f>
        <v>1</v>
      </c>
      <c r="BW716" s="155">
        <f>'IWP09'!Std10dot2BankChgs2</f>
        <v>0</v>
      </c>
      <c r="BX716" s="151" t="str">
        <f>IF('IWP09'!Std10dot2 = 0, "", 'IWP09'!Std10dot2)</f>
        <v/>
      </c>
      <c r="BY716" s="151" t="str">
        <f>IF('IWP09'!Std10dot3NotCalc = 0, "", 'IWP09'!Std10dot3NotCalc)</f>
        <v/>
      </c>
      <c r="BZ716" s="151" t="str">
        <f>IF('IWP09'!Std10dot3 = 0, "", 'IWP09'!Std10dot3)</f>
        <v/>
      </c>
      <c r="CA716" s="151" t="str">
        <f>IF('IWP09'!Std10dot4NotCalc = 0, "", 'IWP09'!Std10dot4NotCalc)</f>
        <v/>
      </c>
      <c r="CB716" s="151" t="str">
        <f>IF('IWP09'!Std10dot4 = 0, "", 'IWP09'!Std10dot4)</f>
        <v/>
      </c>
      <c r="CC716" s="151" t="str">
        <f>IF('IWP09'!Std10dot5 = 0, "", 'IWP09'!Std10dot5)</f>
        <v/>
      </c>
      <c r="CD716" s="151" t="str">
        <f>IF('IWP09'!Std10dot6NotCalc = 0, "", 'IWP09'!Std10dot6NotCalc)</f>
        <v/>
      </c>
      <c r="CE716" s="157">
        <f>IF('IWP09'!Std10dot6DateOfDeathDischarge =DATE(1900,1,0),DATE(1900,1,1),'IWP09'!Std10dot6DateOfDeathDischarge)</f>
        <v>1</v>
      </c>
      <c r="CF716" s="151" t="str">
        <f>IF('IWP09'!Std10dot6DthDschg = 0, "", 'IWP09'!Std10dot6DthDschg)</f>
        <v/>
      </c>
      <c r="CG716" s="155">
        <f>'IWP09'!Std10dot6TrustFundAmtDue</f>
        <v>0</v>
      </c>
      <c r="CH716" s="155">
        <f>'IWP09'!Std10dot6IndvPtyCshAmtDue</f>
        <v>0</v>
      </c>
      <c r="CI716" s="155">
        <f>'IWP09'!Std10dot6TotRfndDue</f>
        <v>0</v>
      </c>
      <c r="CJ716" s="155">
        <f>'IWP09'!Std10dot6AmtRfnd</f>
        <v>0</v>
      </c>
      <c r="CK716" s="155">
        <f>'IWP09'!Std10dot6DminusE</f>
        <v>0</v>
      </c>
      <c r="CL716" s="151" t="str">
        <f>IF('IWP09'!Std10dot6LastName = 0, "", 'IWP09'!Std10dot6LastName)</f>
        <v/>
      </c>
      <c r="CM716" s="151" t="str">
        <f>IF('IWP09'!Std10dot6FirstName = 0, "", 'IWP09'!Std10dot6FirstName)</f>
        <v/>
      </c>
      <c r="CN716" s="157">
        <f>IF('IWP09'!Std10dot6DateOfRefund =DATE(1900,1,0),DATE(1900,1,1),'IWP09'!Std10dot6DateOfRefund)</f>
        <v>1</v>
      </c>
      <c r="CO716" s="151" t="str">
        <f>IF('IWP09'!Std10dot6a = 0, "", 'IWP09'!Std10dot6a)</f>
        <v/>
      </c>
      <c r="CP716" s="151" t="str">
        <f>IF('IWP09'!Std10dot6b = 0, "", 'IWP09'!Std10dot6b)</f>
        <v/>
      </c>
      <c r="CQ716" s="151" t="str">
        <f>IF('IWP09'!Std10dot6c = 0, "", 'IWP09'!Std10dot6c)</f>
        <v/>
      </c>
      <c r="CR716" s="151" t="str">
        <f>IF('IWP09'!Std10dot6 = "", "", 'IWP09'!Std10dot6)</f>
        <v/>
      </c>
      <c r="CS716" s="151" t="str">
        <f>IF('IWP09'!Std11dot1aNotCalc = 0, "", 'IWP09'!Std11dot1aNotCalc)</f>
        <v/>
      </c>
      <c r="CT716" s="151" t="str">
        <f>IF('IWP09'!Std11dot1bNotCalc = 0, "", 'IWP09'!Std11dot1bNotCalc)</f>
        <v>N</v>
      </c>
      <c r="CU716" s="151" t="str">
        <f>IF('IWP09'!Std11dot1cNotCalc = 0, "", 'IWP09'!Std11dot1cNotCalc)</f>
        <v>N</v>
      </c>
      <c r="CV716" s="151" t="str">
        <f>IF('IWP09'!Std11dot1dNotCalc = 0, "", 'IWP09'!Std11dot1dNotCalc)</f>
        <v/>
      </c>
      <c r="CW716" s="151" t="str">
        <f>IF('IWP09'!Std11dot1eNotCalc = 0, "", 'IWP09'!Std11dot1eNotCalc)</f>
        <v/>
      </c>
      <c r="CX716" s="151" t="str">
        <f>IF('IWP09'!Std11dot1fNotCalc = 0, "", 'IWP09'!Std11dot1fNotCalc)</f>
        <v/>
      </c>
      <c r="CY716" s="151" t="str">
        <f>IF('IWP09'!Std11dot1PrivateLivingSpace = 0, "", 'IWP09'!Std11dot1PrivateLivingSpace)</f>
        <v/>
      </c>
      <c r="CZ716" s="155">
        <f>'IWP09'!Std11dot1LivingWidth</f>
        <v>0</v>
      </c>
      <c r="DA716" s="155">
        <f>'IWP09'!Std11dot1LivingLength</f>
        <v>0</v>
      </c>
      <c r="DB716" s="155">
        <f>IF('IWP09'!Std11dot1LivingSqFt = "", MINVALDBL, 'IWP09'!Std11dot1LivingSqFt)</f>
        <v>-99999.99</v>
      </c>
      <c r="DC716" s="151" t="str">
        <f>IF('IWP09'!Std11dot1PrivateLivingSpace = 0, "", 'IWP09'!Std11dot1PrivateLivingSpace)</f>
        <v/>
      </c>
      <c r="DD716" s="155">
        <f>'IWP09'!Std11dot1LivingWidth</f>
        <v>0</v>
      </c>
      <c r="DE716" s="155">
        <f>'IWP09'!Std11dot1LivingLength</f>
        <v>0</v>
      </c>
      <c r="DF716" s="155">
        <f>IF('IWP09'!Std11dot1LivingSqFt = "", MINVALDBL, 'IWP09'!Std11dot1LivingSqFt)</f>
        <v>-99999.99</v>
      </c>
      <c r="DG716" s="151" t="str">
        <f>IF('IWP09'!Std11dot1PrivateBedSpace = 0, "", 'IWP09'!Std11dot1PrivateBedSpace)</f>
        <v/>
      </c>
      <c r="DH716" s="155">
        <f>'IWP09'!Std11dot1BdrmWidth</f>
        <v>0</v>
      </c>
      <c r="DI716" s="155">
        <f>'IWP09'!Std11dot1BdrmLength</f>
        <v>0</v>
      </c>
      <c r="DJ716" s="155">
        <f>IF('IWP09'!Std11dot1BdrmSqFt = "", MINVALDBL, 'IWP09'!Std11dot1BdrmSqFt)</f>
        <v>-99999.99</v>
      </c>
      <c r="DK716" s="151" t="str">
        <f>IF('IWP09'!Std11dot1PrivateStorageSpace = 0, "", 'IWP09'!Std11dot1PrivateStorageSpace)</f>
        <v/>
      </c>
      <c r="DL716" s="155">
        <f>'IWP09'!Std11dot1StorageWidth</f>
        <v>0</v>
      </c>
      <c r="DM716" s="155">
        <f>'IWP09'!Std11dot1StorageLength</f>
        <v>0</v>
      </c>
      <c r="DN716" s="155">
        <f>IF('IWP09'!Std11dot1StorageSqFt = "", 0, 'IWP09'!Std11dot1StorageSqFt)</f>
        <v>0</v>
      </c>
      <c r="DO716" s="151" t="str">
        <f>IF('IWP09'!Std11dot1PrivateKitchenSpace = 0, "", 'IWP09'!Std11dot1PrivateKitchenSpace)</f>
        <v/>
      </c>
      <c r="DP716" s="155">
        <f>'IWP09'!Std11dot1KitchenWidth</f>
        <v>0</v>
      </c>
      <c r="DQ716" s="155">
        <f>'IWP09'!Std11dot1KitchenLength</f>
        <v>0</v>
      </c>
      <c r="DR716" s="155">
        <f>IF('IWP09'!Std11dot1KitchenSqFt = "", MINVALDBL, 'IWP09'!Std11dot1KitchenSqFt)</f>
        <v>-99999.99</v>
      </c>
      <c r="DS716" s="151" t="str">
        <f>IF('IWP09'!Std11dot1KitchenSink = 0, "", 'IWP09'!Std11dot1KitchenSink)</f>
        <v/>
      </c>
      <c r="DT716" s="151" t="str">
        <f>IF('IWP09'!Std11dot1Refrigerator = 0, "", 'IWP09'!Std11dot1Refrigerator)</f>
        <v/>
      </c>
      <c r="DU716" s="151" t="str">
        <f>IF('IWP09'!Std11dot1StoveMicrowave = 0, "", 'IWP09'!Std11dot1StoveMicrowave)</f>
        <v/>
      </c>
      <c r="DV716" s="151" t="str">
        <f>IF('IWP09'!Std11dot1SeparateBath = 0, "", 'IWP09'!Std11dot1SeparateBath)</f>
        <v/>
      </c>
      <c r="DW716" s="151" t="str">
        <f>IF('IWP09'!Std11dot1BathSink = 0, "", 'IWP09'!Std11dot1BathSink)</f>
        <v/>
      </c>
      <c r="DX716" s="151" t="str">
        <f>IF('IWP09'!Std11dot1ShowerTubAccessible = 0, "", 'IWP09'!Std11dot1ShowerTubAccessible)</f>
        <v/>
      </c>
      <c r="DY716" s="155">
        <f>'IWP09'!Std11dot1TotalPrivateSpace</f>
        <v>0</v>
      </c>
      <c r="DZ716" s="155">
        <f>'IWP09'!Std11dot1PrivateSpaceSquareFootagePerResident</f>
        <v>0</v>
      </c>
      <c r="EA716" s="155">
        <f>IF('IWP09'!Std11dot1TotalSquareFootagePerResident = "", MINVALDBL, 'IWP09'!Std11dot1TotalSquareFootagePerResident)</f>
        <v>-99999.99</v>
      </c>
      <c r="EB716" s="155">
        <f>'IWP09'!Std11dot1UseableCommonAreaSquareFootage</f>
        <v>0</v>
      </c>
      <c r="EC716" s="155">
        <f>'IWP09'!Std11dot1LicensedCapacity</f>
        <v>0</v>
      </c>
      <c r="ED716" s="155">
        <f>IF('IWP09'!Std11dot1CommonAreaSquareFootagePerResident = "", MINVALDBL, 'IWP09'!Std11dot1CommonAreaSquareFootagePerResident)</f>
        <v>-99999.99</v>
      </c>
      <c r="EE716" s="151" t="str">
        <f>IF('IWP09'!Std11dot1a = 0, "", 'IWP09'!Std11dot1a)</f>
        <v/>
      </c>
      <c r="EF716" s="151" t="str">
        <f>IF('IWP09'!Std11dot1b = 0, "", 'IWP09'!Std11dot1b)</f>
        <v/>
      </c>
      <c r="EG716" s="151" t="str">
        <f>IF('IWP09'!Std11dot1c = 0, "", 'IWP09'!Std11dot1c)</f>
        <v/>
      </c>
      <c r="EH716" s="151" t="str">
        <f>IF('IWP09'!Std11dot1d = 0, "", 'IWP09'!Std11dot1d)</f>
        <v/>
      </c>
      <c r="EI716" s="151" t="str">
        <f>IF('IWP09'!Std11dot1e = 0, "", 'IWP09'!Std11dot1e)</f>
        <v/>
      </c>
      <c r="EJ716" s="151" t="str">
        <f>IF('IWP09'!Std11dot1f = 0, "", 'IWP09'!Std11dot1f)</f>
        <v/>
      </c>
      <c r="EK716" s="151" t="str">
        <f>IF('IWP09'!Std11dot1g = 0, "", 'IWP09'!Std11dot1g)</f>
        <v/>
      </c>
      <c r="EL716" s="151" t="str">
        <f>IF('IWP09'!Std11dot1h = 0, "", 'IWP09'!Std11dot1h)</f>
        <v/>
      </c>
      <c r="EM716" s="151" t="str">
        <f>IF('IWP09'!Std11dot1i = 0, "", 'IWP09'!Std11dot1i)</f>
        <v/>
      </c>
      <c r="EN716" s="151" t="str">
        <f>IF('IWP09'!Std11dot1j = 0, "", 'IWP09'!Std11dot1j)</f>
        <v/>
      </c>
      <c r="EO716" s="151" t="str">
        <f>IF('IWP09'!Std11dot1k = 0, "", 'IWP09'!Std11dot1k)</f>
        <v/>
      </c>
      <c r="EP716" s="151" t="str">
        <f>IF('IWP09'!Std11dot1 = 0, "", 'IWP09'!Std11dot1)</f>
        <v/>
      </c>
      <c r="EQ716" s="151" t="str">
        <f>IF('IWP09'!Std11dot2 = 0, "", 'IWP09'!Std11dot2)</f>
        <v/>
      </c>
      <c r="ER716" s="151" t="str">
        <f>IF('IWP09'!Std11dot3 = 0, "", 'IWP09'!Std11dot3)</f>
        <v/>
      </c>
      <c r="ES716" s="151" t="str">
        <f>IF('IWP09'!Std11dot4 = 0, "", 'IWP09'!Std11dot4)</f>
        <v>NA</v>
      </c>
      <c r="ET716" s="157">
        <f>IF('IWP09'!$A$363=DATE(1900,1,0), DATE(1900,1,1), 'IWP09'!$A$363)</f>
        <v>1</v>
      </c>
      <c r="EU716" s="155">
        <f>'IWP09'!$C$363</f>
        <v>0</v>
      </c>
      <c r="EV716" s="155">
        <f>'IWP09'!$E$363</f>
        <v>0</v>
      </c>
      <c r="EW716" s="157">
        <f>IF('IWP09'!$G$363=DATE(1900,1,0), DATE(1900,1,1), 'IWP09'!$G$363)</f>
        <v>1</v>
      </c>
      <c r="EX716" s="155">
        <f>'IWP09'!$I$363</f>
        <v>0</v>
      </c>
      <c r="EY716" s="155">
        <f>'IWP09'!$K$363</f>
        <v>0</v>
      </c>
      <c r="EZ716" s="157">
        <f>IF('IWP09'!$M$363=DATE(1900,1,0), DATE(1900,1,1), 'IWP09'!$M$363)</f>
        <v>1</v>
      </c>
      <c r="FA716" s="151" t="str">
        <f>IF('IWP09'!$O$363 = 0, "", 'IWP09'!$O$363)</f>
        <v/>
      </c>
      <c r="FB716" s="151" t="str">
        <f>IF('IWP09'!$Q$363 = 0, "", 'IWP09'!$Q$363)</f>
        <v/>
      </c>
      <c r="FC716" s="151" t="str">
        <f>IF('IWP09'!Std11dot5a = 0, "", 'IWP09'!Std11dot5a)</f>
        <v/>
      </c>
      <c r="FD716" s="151" t="str">
        <f>IF('IWP09'!Std11dot5b = 0, "", 'IWP09'!Std11dot5b)</f>
        <v/>
      </c>
      <c r="FE716" s="151" t="str">
        <f>IF('IWP09'!Std11dot5ci = 0, "", 'IWP09'!Std11dot5ci)</f>
        <v>NA</v>
      </c>
      <c r="FF716" s="151" t="str">
        <f>IF('IWP09'!Std11dot5cii = 0, "", 'IWP09'!Std11dot5cii)</f>
        <v>NA</v>
      </c>
      <c r="FG716" s="151" t="str">
        <f>IF('IWP09'!Std11dot5 = 0, "", 'IWP09'!Std11dot5)</f>
        <v/>
      </c>
      <c r="FH716" s="207" t="str">
        <f>IF('IWP09'!Std11dot1AptGrandFthr = "", "", 'IWP09'!Std11dot1AptGrandFthr)</f>
        <v/>
      </c>
    </row>
    <row r="717" spans="1:164">
      <c r="A717" s="206" t="s">
        <v>1313</v>
      </c>
      <c r="B717" s="157">
        <f>IF('Samples (Print)'!D14=DATE(1900,1,0),DATE(1900,1,1),'Samples (Print)'!D14)</f>
        <v>1</v>
      </c>
      <c r="C717" s="157">
        <f>IF('Samples (Print)'!E14=DATE(1900,1,0),DATE(1900,1,1),'Samples (Print)'!E14)</f>
        <v>1</v>
      </c>
      <c r="D717" s="319">
        <f>IF('IWP10'!FiscalReviewFirstMonth =DATE(1900,1,0),DATE(1900,1,1),'IWP10'!FiscalReviewFirstMonth)</f>
        <v>1</v>
      </c>
      <c r="E717" s="319">
        <f>IF('IWP10'!FiscalReviewSecondMonth =DATE(1900,1,0),DATE(1900,1,1),'IWP10'!FiscalReviewSecondMonth)</f>
        <v>1</v>
      </c>
      <c r="F717" s="13">
        <f>'IWP10'!SampleNumber</f>
        <v>10</v>
      </c>
      <c r="G717" s="13">
        <f ca="1">'IWP10'!ClientID</f>
        <v>0</v>
      </c>
      <c r="H717" s="283"/>
      <c r="I717" s="283"/>
      <c r="J717" s="151" t="str">
        <f ca="1">IF('IWP10'!ContractNumber = 0, "", 'IWP10'!ContractNumber)</f>
        <v/>
      </c>
      <c r="K717" s="151" t="str">
        <f ca="1">IF('IWP10'!ContractType = 0, "", 'IWP10'!ContractType)</f>
        <v/>
      </c>
      <c r="L717" s="151" t="str">
        <f>IF('IWP10'!CompletedByLastName = 0, "", 'IWP10'!CompletedByLastName)</f>
        <v/>
      </c>
      <c r="M717" s="151" t="str">
        <f>IF('IWP10'!CompletedByFirstName = 0, "", 'IWP10'!CompletedByFirstName)</f>
        <v/>
      </c>
      <c r="N717" s="157">
        <f>IF('IWP10'!DateCompleted =DATE(1900,1,0),DATE(1900,1,1),'IWP10'!DateCompleted)</f>
        <v>1</v>
      </c>
      <c r="O717" s="151" t="str">
        <f>IF('IWP10'!Std3NotCalc = 0, "", 'IWP10'!Std3NotCalc)</f>
        <v/>
      </c>
      <c r="P717" s="157">
        <f>IF('IWP10'!Std3dot1DateOfAdmission =DATE(1900,1,0),DATE(1900,1,1),'IWP10'!Std3dot1DateOfAdmission)</f>
        <v>1</v>
      </c>
      <c r="Q717" s="151" t="str">
        <f>IF('IWP10'!Std3dot1a = 0, "", 'IWP10'!Std3dot1a)</f>
        <v/>
      </c>
      <c r="R717" s="151" t="str">
        <f>IF('IWP10'!Std3dot1b = 0, "", 'IWP10'!Std3dot1b)</f>
        <v/>
      </c>
      <c r="S717" s="151" t="str">
        <f>IF('IWP10'!Std3dot1c = 0, "", 'IWP10'!Std3dot1c)</f>
        <v>NA</v>
      </c>
      <c r="T717" s="151" t="str">
        <f>IF('IWP10'!Std3dot1 = 0, "", 'IWP10'!Std3dot1)</f>
        <v/>
      </c>
      <c r="U717" s="151" t="str">
        <f>IF('IWP10'!Std3dot2a = 0, "", 'IWP10'!Std3dot2a)</f>
        <v/>
      </c>
      <c r="V717" s="151" t="str">
        <f>IF('IWP10'!Std3dot2b = 0, "", 'IWP10'!Std3dot2b)</f>
        <v/>
      </c>
      <c r="W717" s="151" t="str">
        <f>IF('IWP10'!Std3dot2c = 0, "", 'IWP10'!Std3dot2c)</f>
        <v/>
      </c>
      <c r="X717" s="151" t="str">
        <f>IF('IWP10'!Std3dot2 = 0, "", 'IWP10'!Std3dot2)</f>
        <v/>
      </c>
      <c r="Y717" s="151" t="str">
        <f>IF('IWP10'!Std4dot1Month1 = 0, "", 'IWP10'!Std4dot1Month1)</f>
        <v/>
      </c>
      <c r="Z717" s="157">
        <f>IF('IWP10'!Std4dot1Month1Date =DATE(1900,1,0),DATE(1900,1,1),'IWP10'!Std4dot1Month1Date)</f>
        <v>1</v>
      </c>
      <c r="AA717" s="151" t="str">
        <f>IF('IWP10'!Std4dot1Month2 = 0, "", 'IWP10'!Std4dot1Month2)</f>
        <v/>
      </c>
      <c r="AB717" s="157">
        <f>IF('IWP10'!Std4dot1Month2Date =DATE(1900,1,0),DATE(1900,1,1),'IWP10'!Std4dot1Month2Date)</f>
        <v>1</v>
      </c>
      <c r="AC717" s="151" t="str">
        <f>IF('IWP10'!Std4dot1 = 0, "", 'IWP10'!Std4dot1)</f>
        <v/>
      </c>
      <c r="AD717" s="151" t="str">
        <f>IF('IWP10'!Std4dot2NotCalc = 0, "", 'IWP10'!Std4dot2NotCalc)</f>
        <v/>
      </c>
      <c r="AE717" s="151" t="str">
        <f>IF('IWP10'!Std4dot2 = 0, "", 'IWP10'!Std4dot2)</f>
        <v/>
      </c>
      <c r="AF717" s="151" t="str">
        <f>IF('IWP10'!Std4dot3 = 0, "", 'IWP10'!Std4dot3)</f>
        <v/>
      </c>
      <c r="AG717" s="151" t="str">
        <f>IF('IWP10'!Std4dot4 = 0, "", 'IWP10'!Std4dot4)</f>
        <v/>
      </c>
      <c r="AH717" s="151" t="str">
        <f>IF('IWP10'!Std5NotCalc = 0, "", 'IWP10'!Std5NotCalc)</f>
        <v/>
      </c>
      <c r="AI717" s="151" t="str">
        <f>IF('IWP10'!Std5dot1 = 0, "", 'IWP10'!Std5dot1)</f>
        <v/>
      </c>
      <c r="AJ717" s="151" t="str">
        <f>IF('IWP10'!Std7dot1NotCalc = 0, "", 'IWP10'!Std7dot1NotCalc)</f>
        <v/>
      </c>
      <c r="AK717" s="151" t="str">
        <f>IF('IWP10'!Std7dot1NotCalc = 0, "", 'IWP10'!Std7dot1NotCalc)</f>
        <v/>
      </c>
      <c r="AL717" s="155">
        <f>'IWP10'!Std7dot1BalPerCshLog</f>
        <v>0</v>
      </c>
      <c r="AM717" s="155">
        <f>'IWP10'!Std7dot1LessAdj</f>
        <v>0</v>
      </c>
      <c r="AN717" s="155">
        <f>'IWP10'!Std7dot1AdjBal</f>
        <v>0</v>
      </c>
      <c r="AO717" s="155">
        <f>'IWP10'!Std7dot1CshOnHand</f>
        <v>0</v>
      </c>
      <c r="AP717" s="155">
        <f>'IWP10'!Std7dot1PtyCshOvrShrt</f>
        <v>0</v>
      </c>
      <c r="AQ717" s="151" t="str">
        <f>IF('IWP10'!Std7dot1OvrShrtCorr = 0, "", 'IWP10'!Std7dot1OvrShrtCorr)</f>
        <v/>
      </c>
      <c r="AR717" s="151" t="str">
        <f>IF('IWP10'!Std7dot1 = 0, "", 'IWP10'!Std7dot1)</f>
        <v/>
      </c>
      <c r="AS717" s="151" t="str">
        <f>IF('IWP10'!Std9dot1aNotCalc = 0, "", 'IWP10'!Std9dot1aNotCalc)</f>
        <v/>
      </c>
      <c r="AT717" s="151" t="str">
        <f>IF('IWP10'!Std9dot1bNotCalc = 0, "", 'IWP10'!Std9dot1bNotCalc)</f>
        <v/>
      </c>
      <c r="AU717" s="157">
        <f>IF('IWP10'!Std9BalPerBnkStmtDt =DATE(1900,1,0),DATE(1900,1,1),'IWP10'!Std9BalPerBnkStmtDt)</f>
        <v>1</v>
      </c>
      <c r="AV717" s="155">
        <f>'IWP10'!Std9BalPerBnkStmt</f>
        <v>0</v>
      </c>
      <c r="AW717" s="155">
        <f>'IWP10'!Std9TotDepsInTrans</f>
        <v>0</v>
      </c>
      <c r="AX717" s="155">
        <f>'IWP10'!Std9TotOutsChks</f>
        <v>0</v>
      </c>
      <c r="AY717" s="155">
        <f>'IWP10'!Std9AdjBalPerBank</f>
        <v>0</v>
      </c>
      <c r="AZ717" s="157">
        <f>IF('IWP10'!Std9TotPtyCshIndvDt =DATE(1900,1,0),DATE(1900,1,1),'IWP10'!Std9TotPtyCshIndvDt)</f>
        <v>1</v>
      </c>
      <c r="BA717" s="155">
        <f>'IWP10'!Std9TotPtyCshIndv</f>
        <v>0</v>
      </c>
      <c r="BB717" s="155">
        <f>'IWP10'!Std9TotCshBnkAndHnd</f>
        <v>0</v>
      </c>
      <c r="BC717" s="157">
        <f>IF('IWP10'!Std9BalPerBksDt =DATE(1900,1,0),DATE(1900,1,1),'IWP10'!Std9BalPerBksDt)</f>
        <v>1</v>
      </c>
      <c r="BD717" s="155">
        <f>'IWP10'!Std9BalPerBks</f>
        <v>0</v>
      </c>
      <c r="BE717" s="155">
        <f>'IWP10'!Std9UnapplErndInt</f>
        <v>0</v>
      </c>
      <c r="BF717" s="155">
        <f>'IWP10'!Std9UnpstdRcptDsbrsmts</f>
        <v>0</v>
      </c>
      <c r="BG717" s="155">
        <f>'IWP10'!Std9NsfChks</f>
        <v>0</v>
      </c>
      <c r="BH717" s="155">
        <f>'IWP10'!Std9AdjBalPerBks</f>
        <v>0</v>
      </c>
      <c r="BI717" s="155">
        <f>'IWP10'!Std9TrstFndAcctOvrShrt</f>
        <v>0</v>
      </c>
      <c r="BJ717" s="151" t="str">
        <f>IF('IWP10'!Std9OvrShrtCorrctd = 0, "", 'IWP10'!Std9OvrShrtCorrctd)</f>
        <v/>
      </c>
      <c r="BK717" s="151" t="str">
        <f>IF('IWP10'!Std9ShrtUnreimbSvcChg = 0, "", 'IWP10'!Std9ShrtUnreimbSvcChg)</f>
        <v/>
      </c>
      <c r="BL717" s="151" t="str">
        <f>IF('IWP10'!Std9dot1 = 0, "", 'IWP10'!Std9dot1)</f>
        <v/>
      </c>
      <c r="BM717" s="151" t="str">
        <f>IF('IWP10'!Std10dot1NotCalc = 0, "", 'IWP10'!Std10dot1NotCalc)</f>
        <v/>
      </c>
      <c r="BN717" s="319">
        <f>IF('IWP10'!FiscalReviewFirstMonth =DATE(1900,1,0),DATE(1900,1,1),'IWP10'!FiscalReviewFirstMonth)</f>
        <v>1</v>
      </c>
      <c r="BO717" s="155">
        <f>'IWP10'!Std10dot1TotalAmt1</f>
        <v>0</v>
      </c>
      <c r="BP717" s="319">
        <f>IF('IWP10'!FiscalReviewSecondMonth =DATE(1900,1,0),DATE(1900,1,1),'IWP10'!FiscalReviewSecondMonth)</f>
        <v>1</v>
      </c>
      <c r="BQ717" s="155">
        <f>'IWP10'!Std10dot1TotalAmt2</f>
        <v>0</v>
      </c>
      <c r="BR717" s="151" t="str">
        <f>IF('IWP10'!Std10dot1 = 0, "", 'IWP10'!Std10dot1)</f>
        <v/>
      </c>
      <c r="BS717" s="151" t="str">
        <f>IF('IWP10'!Std10dot2NotCalc = 0, "", 'IWP10'!Std10dot2NotCalc)</f>
        <v/>
      </c>
      <c r="BT717" s="319">
        <f>IF('IWP10'!FiscalReviewFirstMonth =DATE(1900,1,0),DATE(1900,1,1),'IWP10'!FiscalReviewFirstMonth)</f>
        <v>1</v>
      </c>
      <c r="BU717" s="155">
        <f>'IWP10'!Std10dot2BankChgs1</f>
        <v>0</v>
      </c>
      <c r="BV717" s="319">
        <f>IF('IWP10'!FiscalReviewSecondMonth =DATE(1900,1,0),DATE(1900,1,1),'IWP10'!FiscalReviewSecondMonth)</f>
        <v>1</v>
      </c>
      <c r="BW717" s="155">
        <f>'IWP10'!Std10dot2BankChgs2</f>
        <v>0</v>
      </c>
      <c r="BX717" s="151" t="str">
        <f>IF('IWP10'!Std10dot2 = 0, "", 'IWP10'!Std10dot2)</f>
        <v/>
      </c>
      <c r="BY717" s="151" t="str">
        <f>IF('IWP10'!Std10dot3NotCalc = 0, "", 'IWP10'!Std10dot3NotCalc)</f>
        <v/>
      </c>
      <c r="BZ717" s="151" t="str">
        <f>IF('IWP10'!Std10dot3 = 0, "", 'IWP10'!Std10dot3)</f>
        <v/>
      </c>
      <c r="CA717" s="151" t="str">
        <f>IF('IWP10'!Std10dot4NotCalc = 0, "", 'IWP10'!Std10dot4NotCalc)</f>
        <v/>
      </c>
      <c r="CB717" s="151" t="str">
        <f>IF('IWP10'!Std10dot4 = 0, "", 'IWP10'!Std10dot4)</f>
        <v/>
      </c>
      <c r="CC717" s="151" t="str">
        <f>IF('IWP10'!Std10dot5 = 0, "", 'IWP10'!Std10dot5)</f>
        <v/>
      </c>
      <c r="CD717" s="151" t="str">
        <f>IF('IWP10'!Std10dot6NotCalc = 0, "", 'IWP10'!Std10dot6NotCalc)</f>
        <v/>
      </c>
      <c r="CE717" s="157">
        <f>IF('IWP10'!Std10dot6DateOfDeathDischarge =DATE(1900,1,0),DATE(1900,1,1),'IWP10'!Std10dot6DateOfDeathDischarge)</f>
        <v>1</v>
      </c>
      <c r="CF717" s="151" t="str">
        <f>IF('IWP10'!Std10dot6DthDschg = 0, "", 'IWP10'!Std10dot6DthDschg)</f>
        <v/>
      </c>
      <c r="CG717" s="155">
        <f>'IWP10'!Std10dot6TrustFundAmtDue</f>
        <v>0</v>
      </c>
      <c r="CH717" s="155">
        <f>'IWP10'!Std10dot6IndvPtyCshAmtDue</f>
        <v>0</v>
      </c>
      <c r="CI717" s="155">
        <f>'IWP10'!Std10dot6TotRfndDue</f>
        <v>0</v>
      </c>
      <c r="CJ717" s="155">
        <f>'IWP10'!Std10dot6AmtRfnd</f>
        <v>0</v>
      </c>
      <c r="CK717" s="155">
        <f>'IWP10'!Std10dot6DminusE</f>
        <v>0</v>
      </c>
      <c r="CL717" s="151" t="str">
        <f>IF('IWP10'!Std10dot6LastName = 0, "", 'IWP10'!Std10dot6LastName)</f>
        <v/>
      </c>
      <c r="CM717" s="151" t="str">
        <f>IF('IWP10'!Std10dot6FirstName = 0, "", 'IWP10'!Std10dot6FirstName)</f>
        <v/>
      </c>
      <c r="CN717" s="157">
        <f>IF('IWP10'!Std10dot6DateOfRefund =DATE(1900,1,0),DATE(1900,1,1),'IWP10'!Std10dot6DateOfRefund)</f>
        <v>1</v>
      </c>
      <c r="CO717" s="151" t="str">
        <f>IF('IWP10'!Std10dot6a = 0, "", 'IWP10'!Std10dot6a)</f>
        <v/>
      </c>
      <c r="CP717" s="151" t="str">
        <f>IF('IWP10'!Std10dot6b = 0, "", 'IWP10'!Std10dot6b)</f>
        <v/>
      </c>
      <c r="CQ717" s="151" t="str">
        <f>IF('IWP10'!Std10dot6c = 0, "", 'IWP10'!Std10dot6c)</f>
        <v/>
      </c>
      <c r="CR717" s="151" t="str">
        <f>IF('IWP10'!Std10dot6 = "", "", 'IWP10'!Std10dot6)</f>
        <v/>
      </c>
      <c r="CS717" s="151" t="str">
        <f>IF('IWP10'!Std11dot1aNotCalc = 0, "", 'IWP10'!Std11dot1aNotCalc)</f>
        <v/>
      </c>
      <c r="CT717" s="151" t="str">
        <f>IF('IWP10'!Std11dot1bNotCalc = 0, "", 'IWP10'!Std11dot1bNotCalc)</f>
        <v>N</v>
      </c>
      <c r="CU717" s="151" t="str">
        <f>IF('IWP10'!Std11dot1cNotCalc = 0, "", 'IWP10'!Std11dot1cNotCalc)</f>
        <v>N</v>
      </c>
      <c r="CV717" s="151" t="str">
        <f>IF('IWP10'!Std11dot1dNotCalc = 0, "", 'IWP10'!Std11dot1dNotCalc)</f>
        <v/>
      </c>
      <c r="CW717" s="151" t="str">
        <f>IF('IWP10'!Std11dot1eNotCalc = 0, "", 'IWP10'!Std11dot1eNotCalc)</f>
        <v/>
      </c>
      <c r="CX717" s="151" t="str">
        <f>IF('IWP10'!Std11dot1fNotCalc = 0, "", 'IWP10'!Std11dot1fNotCalc)</f>
        <v/>
      </c>
      <c r="CY717" s="151" t="str">
        <f>IF('IWP10'!Std11dot1PrivateLivingSpace = 0, "", 'IWP10'!Std11dot1PrivateLivingSpace)</f>
        <v/>
      </c>
      <c r="CZ717" s="155">
        <f>'IWP10'!Std11dot1LivingWidth</f>
        <v>0</v>
      </c>
      <c r="DA717" s="155">
        <f>'IWP10'!Std11dot1LivingLength</f>
        <v>0</v>
      </c>
      <c r="DB717" s="155">
        <f>IF('IWP10'!Std11dot1LivingSqFt = "", MINVALDBL, 'IWP10'!Std11dot1LivingSqFt)</f>
        <v>-99999.99</v>
      </c>
      <c r="DC717" s="151" t="str">
        <f>IF('IWP10'!Std11dot1PrivateLivingSpace = 0, "", 'IWP10'!Std11dot1PrivateLivingSpace)</f>
        <v/>
      </c>
      <c r="DD717" s="155">
        <f>'IWP10'!Std11dot1LivingWidth</f>
        <v>0</v>
      </c>
      <c r="DE717" s="155">
        <f>'IWP10'!Std11dot1LivingLength</f>
        <v>0</v>
      </c>
      <c r="DF717" s="155">
        <f>IF('IWP10'!Std11dot1LivingSqFt = "", MINVALDBL, 'IWP10'!Std11dot1LivingSqFt)</f>
        <v>-99999.99</v>
      </c>
      <c r="DG717" s="151" t="str">
        <f>IF('IWP10'!Std11dot1PrivateBedSpace = 0, "", 'IWP10'!Std11dot1PrivateBedSpace)</f>
        <v/>
      </c>
      <c r="DH717" s="155">
        <f>'IWP10'!Std11dot1BdrmWidth</f>
        <v>0</v>
      </c>
      <c r="DI717" s="155">
        <f>'IWP10'!Std11dot1BdrmLength</f>
        <v>0</v>
      </c>
      <c r="DJ717" s="155">
        <f>IF('IWP10'!Std11dot1BdrmSqFt = "", MINVALDBL, 'IWP10'!Std11dot1BdrmSqFt)</f>
        <v>-99999.99</v>
      </c>
      <c r="DK717" s="151" t="str">
        <f>IF('IWP10'!Std11dot1PrivateStorageSpace = 0, "", 'IWP10'!Std11dot1PrivateStorageSpace)</f>
        <v/>
      </c>
      <c r="DL717" s="155">
        <f>'IWP10'!Std11dot1StorageWidth</f>
        <v>0</v>
      </c>
      <c r="DM717" s="155">
        <f>'IWP10'!Std11dot1StorageLength</f>
        <v>0</v>
      </c>
      <c r="DN717" s="155">
        <f>IF('IWP10'!Std11dot1StorageSqFt = "", 0, 'IWP10'!Std11dot1StorageSqFt)</f>
        <v>0</v>
      </c>
      <c r="DO717" s="151" t="str">
        <f>IF('IWP10'!Std11dot1PrivateKitchenSpace = 0, "", 'IWP10'!Std11dot1PrivateKitchenSpace)</f>
        <v/>
      </c>
      <c r="DP717" s="155">
        <f>'IWP10'!Std11dot1KitchenWidth</f>
        <v>0</v>
      </c>
      <c r="DQ717" s="155">
        <f>'IWP10'!Std11dot1KitchenLength</f>
        <v>0</v>
      </c>
      <c r="DR717" s="155">
        <f>IF('IWP10'!Std11dot1KitchenSqFt = "", MINVALDBL, 'IWP10'!Std11dot1KitchenSqFt)</f>
        <v>-99999.99</v>
      </c>
      <c r="DS717" s="151" t="str">
        <f>IF('IWP10'!Std11dot1KitchenSink = 0, "", 'IWP10'!Std11dot1KitchenSink)</f>
        <v/>
      </c>
      <c r="DT717" s="151" t="str">
        <f>IF('IWP10'!Std11dot1Refrigerator = 0, "", 'IWP10'!Std11dot1Refrigerator)</f>
        <v/>
      </c>
      <c r="DU717" s="151" t="str">
        <f>IF('IWP10'!Std11dot1StoveMicrowave = 0, "", 'IWP10'!Std11dot1StoveMicrowave)</f>
        <v/>
      </c>
      <c r="DV717" s="151" t="str">
        <f>IF('IWP10'!Std11dot1SeparateBath = 0, "", 'IWP10'!Std11dot1SeparateBath)</f>
        <v/>
      </c>
      <c r="DW717" s="151" t="str">
        <f>IF('IWP10'!Std11dot1BathSink = 0, "", 'IWP10'!Std11dot1BathSink)</f>
        <v/>
      </c>
      <c r="DX717" s="151" t="str">
        <f>IF('IWP10'!Std11dot1ShowerTubAccessible = 0, "", 'IWP10'!Std11dot1ShowerTubAccessible)</f>
        <v/>
      </c>
      <c r="DY717" s="155">
        <f>'IWP10'!Std11dot1TotalPrivateSpace</f>
        <v>0</v>
      </c>
      <c r="DZ717" s="155">
        <f>'IWP10'!Std11dot1PrivateSpaceSquareFootagePerResident</f>
        <v>0</v>
      </c>
      <c r="EA717" s="155">
        <f>IF('IWP10'!Std11dot1TotalSquareFootagePerResident = "", MINVALDBL, 'IWP10'!Std11dot1TotalSquareFootagePerResident)</f>
        <v>-99999.99</v>
      </c>
      <c r="EB717" s="155">
        <f>'IWP10'!Std11dot1UseableCommonAreaSquareFootage</f>
        <v>0</v>
      </c>
      <c r="EC717" s="155">
        <f>'IWP10'!Std11dot1LicensedCapacity</f>
        <v>0</v>
      </c>
      <c r="ED717" s="155">
        <f>IF('IWP10'!Std11dot1CommonAreaSquareFootagePerResident = "", MINVALDBL, 'IWP10'!Std11dot1CommonAreaSquareFootagePerResident)</f>
        <v>-99999.99</v>
      </c>
      <c r="EE717" s="151" t="str">
        <f>IF('IWP10'!Std11dot1a = 0, "", 'IWP10'!Std11dot1a)</f>
        <v/>
      </c>
      <c r="EF717" s="151" t="str">
        <f>IF('IWP10'!Std11dot1b = 0, "", 'IWP10'!Std11dot1b)</f>
        <v/>
      </c>
      <c r="EG717" s="151" t="str">
        <f>IF('IWP10'!Std11dot1c = 0, "", 'IWP10'!Std11dot1c)</f>
        <v/>
      </c>
      <c r="EH717" s="151" t="str">
        <f>IF('IWP10'!Std11dot1d = 0, "", 'IWP10'!Std11dot1d)</f>
        <v/>
      </c>
      <c r="EI717" s="151" t="str">
        <f>IF('IWP10'!Std11dot1e = 0, "", 'IWP10'!Std11dot1e)</f>
        <v/>
      </c>
      <c r="EJ717" s="151" t="str">
        <f>IF('IWP10'!Std11dot1f = 0, "", 'IWP10'!Std11dot1f)</f>
        <v/>
      </c>
      <c r="EK717" s="151" t="str">
        <f>IF('IWP10'!Std11dot1g = 0, "", 'IWP10'!Std11dot1g)</f>
        <v/>
      </c>
      <c r="EL717" s="151" t="str">
        <f>IF('IWP10'!Std11dot1h = 0, "", 'IWP10'!Std11dot1h)</f>
        <v/>
      </c>
      <c r="EM717" s="151" t="str">
        <f>IF('IWP10'!Std11dot1i = 0, "", 'IWP10'!Std11dot1i)</f>
        <v/>
      </c>
      <c r="EN717" s="151" t="str">
        <f>IF('IWP10'!Std11dot1j = 0, "", 'IWP10'!Std11dot1j)</f>
        <v/>
      </c>
      <c r="EO717" s="151" t="str">
        <f>IF('IWP10'!Std11dot1k = 0, "", 'IWP10'!Std11dot1k)</f>
        <v/>
      </c>
      <c r="EP717" s="151" t="str">
        <f>IF('IWP10'!Std11dot1 = 0, "", 'IWP10'!Std11dot1)</f>
        <v/>
      </c>
      <c r="EQ717" s="151" t="str">
        <f>IF('IWP10'!Std11dot2 = 0, "", 'IWP10'!Std11dot2)</f>
        <v/>
      </c>
      <c r="ER717" s="151" t="str">
        <f>IF('IWP10'!Std11dot3 = 0, "", 'IWP10'!Std11dot3)</f>
        <v/>
      </c>
      <c r="ES717" s="151" t="str">
        <f>IF('IWP10'!Std11dot4 = 0, "", 'IWP10'!Std11dot4)</f>
        <v>NA</v>
      </c>
      <c r="ET717" s="157">
        <f>IF('IWP10'!$A$363=DATE(1900,1,0), DATE(1900,1,1), 'IWP10'!$A$363)</f>
        <v>1</v>
      </c>
      <c r="EU717" s="155">
        <f>'IWP10'!$C$363</f>
        <v>0</v>
      </c>
      <c r="EV717" s="155">
        <f>'IWP10'!$E$363</f>
        <v>0</v>
      </c>
      <c r="EW717" s="157">
        <f>IF('IWP10'!$G$363=DATE(1900,1,0), DATE(1900,1,1), 'IWP10'!$G$363)</f>
        <v>1</v>
      </c>
      <c r="EX717" s="155">
        <f>'IWP10'!$I$363</f>
        <v>0</v>
      </c>
      <c r="EY717" s="155">
        <f>'IWP10'!$K$363</f>
        <v>0</v>
      </c>
      <c r="EZ717" s="157">
        <f>IF('IWP10'!$M$363=DATE(1900,1,0), DATE(1900,1,1), 'IWP10'!$M$363)</f>
        <v>1</v>
      </c>
      <c r="FA717" s="151" t="str">
        <f>IF('IWP10'!$O$363 = 0, "", 'IWP10'!$O$363)</f>
        <v/>
      </c>
      <c r="FB717" s="151" t="str">
        <f>IF('IWP10'!$Q$363 = 0, "", 'IWP10'!$Q$363)</f>
        <v/>
      </c>
      <c r="FC717" s="151" t="str">
        <f>IF('IWP10'!Std11dot5a = 0, "", 'IWP10'!Std11dot5a)</f>
        <v/>
      </c>
      <c r="FD717" s="151" t="str">
        <f>IF('IWP10'!Std11dot5b = 0, "", 'IWP10'!Std11dot5b)</f>
        <v/>
      </c>
      <c r="FE717" s="151" t="str">
        <f>IF('IWP10'!Std11dot5ci = 0, "", 'IWP10'!Std11dot5ci)</f>
        <v>NA</v>
      </c>
      <c r="FF717" s="151" t="str">
        <f>IF('IWP10'!Std11dot5cii = 0, "", 'IWP10'!Std11dot5cii)</f>
        <v>NA</v>
      </c>
      <c r="FG717" s="151" t="str">
        <f>IF('IWP10'!Std11dot5 = 0, "", 'IWP10'!Std11dot5)</f>
        <v/>
      </c>
      <c r="FH717" s="207" t="str">
        <f>IF('IWP10'!Std11dot1AptGrandFthr = "", "", 'IWP10'!Std11dot1AptGrandFthr)</f>
        <v/>
      </c>
    </row>
    <row r="718" spans="1:164">
      <c r="A718" s="206" t="s">
        <v>1314</v>
      </c>
      <c r="B718" s="157">
        <f>IF('Samples (Print)'!D15=DATE(1900,1,0),DATE(1900,1,1),'Samples (Print)'!D15)</f>
        <v>1</v>
      </c>
      <c r="C718" s="157">
        <f>IF('Samples (Print)'!E15=DATE(1900,1,0),DATE(1900,1,1),'Samples (Print)'!E15)</f>
        <v>1</v>
      </c>
      <c r="D718" s="319">
        <f>IF('IWP11'!FiscalReviewFirstMonth =DATE(1900,1,0),DATE(1900,1,1),'IWP11'!FiscalReviewFirstMonth)</f>
        <v>1</v>
      </c>
      <c r="E718" s="319">
        <f>IF('IWP11'!FiscalReviewSecondMonth =DATE(1900,1,0),DATE(1900,1,1),'IWP11'!FiscalReviewSecondMonth)</f>
        <v>1</v>
      </c>
      <c r="F718" s="13">
        <f>'IWP11'!SampleNumber</f>
        <v>11</v>
      </c>
      <c r="G718" s="13">
        <f ca="1">'IWP11'!ClientID</f>
        <v>0</v>
      </c>
      <c r="H718" s="283"/>
      <c r="I718" s="283"/>
      <c r="J718" s="151" t="str">
        <f ca="1">IF('IWP11'!ContractNumber = 0, "", 'IWP11'!ContractNumber)</f>
        <v/>
      </c>
      <c r="K718" s="151" t="str">
        <f ca="1">IF('IWP11'!ContractType = 0, "", 'IWP11'!ContractType)</f>
        <v/>
      </c>
      <c r="L718" s="151" t="str">
        <f>IF('IWP11'!CompletedByLastName = 0, "", 'IWP11'!CompletedByLastName)</f>
        <v/>
      </c>
      <c r="M718" s="151" t="str">
        <f>IF('IWP11'!CompletedByFirstName = 0, "", 'IWP11'!CompletedByFirstName)</f>
        <v/>
      </c>
      <c r="N718" s="157">
        <f>IF('IWP11'!DateCompleted =DATE(1900,1,0),DATE(1900,1,1),'IWP11'!DateCompleted)</f>
        <v>1</v>
      </c>
      <c r="O718" s="151" t="str">
        <f>IF('IWP11'!Std3NotCalc = 0, "", 'IWP11'!Std3NotCalc)</f>
        <v/>
      </c>
      <c r="P718" s="157">
        <f>IF('IWP11'!Std3dot1DateOfAdmission =DATE(1900,1,0),DATE(1900,1,1),'IWP11'!Std3dot1DateOfAdmission)</f>
        <v>1</v>
      </c>
      <c r="Q718" s="151" t="str">
        <f>IF('IWP11'!Std3dot1a = 0, "", 'IWP11'!Std3dot1a)</f>
        <v/>
      </c>
      <c r="R718" s="151" t="str">
        <f>IF('IWP11'!Std3dot1b = 0, "", 'IWP11'!Std3dot1b)</f>
        <v/>
      </c>
      <c r="S718" s="151" t="str">
        <f>IF('IWP11'!Std3dot1c = 0, "", 'IWP11'!Std3dot1c)</f>
        <v>NA</v>
      </c>
      <c r="T718" s="151" t="str">
        <f>IF('IWP11'!Std3dot1 = 0, "", 'IWP11'!Std3dot1)</f>
        <v/>
      </c>
      <c r="U718" s="151" t="str">
        <f>IF('IWP11'!Std3dot2a = 0, "", 'IWP11'!Std3dot2a)</f>
        <v/>
      </c>
      <c r="V718" s="151" t="str">
        <f>IF('IWP11'!Std3dot2b = 0, "", 'IWP11'!Std3dot2b)</f>
        <v/>
      </c>
      <c r="W718" s="151" t="str">
        <f>IF('IWP11'!Std3dot2c = 0, "", 'IWP11'!Std3dot2c)</f>
        <v/>
      </c>
      <c r="X718" s="151" t="str">
        <f>IF('IWP11'!Std3dot2 = 0, "", 'IWP11'!Std3dot2)</f>
        <v/>
      </c>
      <c r="Y718" s="151" t="str">
        <f>IF('IWP11'!Std4dot1Month1 = 0, "", 'IWP11'!Std4dot1Month1)</f>
        <v/>
      </c>
      <c r="Z718" s="157">
        <f>IF('IWP11'!Std4dot1Month1Date =DATE(1900,1,0),DATE(1900,1,1),'IWP11'!Std4dot1Month1Date)</f>
        <v>1</v>
      </c>
      <c r="AA718" s="151" t="str">
        <f>IF('IWP11'!Std4dot1Month2 = 0, "", 'IWP11'!Std4dot1Month2)</f>
        <v/>
      </c>
      <c r="AB718" s="157">
        <f>IF('IWP11'!Std4dot1Month2Date =DATE(1900,1,0),DATE(1900,1,1),'IWP11'!Std4dot1Month2Date)</f>
        <v>1</v>
      </c>
      <c r="AC718" s="151" t="str">
        <f>IF('IWP11'!Std4dot1 = 0, "", 'IWP11'!Std4dot1)</f>
        <v/>
      </c>
      <c r="AD718" s="151" t="str">
        <f>IF('IWP11'!Std4dot2NotCalc = 0, "", 'IWP11'!Std4dot2NotCalc)</f>
        <v/>
      </c>
      <c r="AE718" s="151" t="str">
        <f>IF('IWP11'!Std4dot2 = 0, "", 'IWP11'!Std4dot2)</f>
        <v/>
      </c>
      <c r="AF718" s="151" t="str">
        <f>IF('IWP11'!Std4dot3 = 0, "", 'IWP11'!Std4dot3)</f>
        <v/>
      </c>
      <c r="AG718" s="151" t="str">
        <f>IF('IWP11'!Std4dot4 = 0, "", 'IWP11'!Std4dot4)</f>
        <v/>
      </c>
      <c r="AH718" s="151" t="str">
        <f>IF('IWP11'!Std5NotCalc = 0, "", 'IWP11'!Std5NotCalc)</f>
        <v/>
      </c>
      <c r="AI718" s="151" t="str">
        <f>IF('IWP11'!Std5dot1 = 0, "", 'IWP11'!Std5dot1)</f>
        <v/>
      </c>
      <c r="AJ718" s="151" t="str">
        <f>IF('IWP11'!Std7dot1NotCalc = 0, "", 'IWP11'!Std7dot1NotCalc)</f>
        <v/>
      </c>
      <c r="AK718" s="151" t="str">
        <f>IF('IWP11'!Std7dot1NotCalc = 0, "", 'IWP11'!Std7dot1NotCalc)</f>
        <v/>
      </c>
      <c r="AL718" s="155">
        <f>'IWP11'!Std7dot1BalPerCshLog</f>
        <v>0</v>
      </c>
      <c r="AM718" s="155">
        <f>'IWP11'!Std7dot1LessAdj</f>
        <v>0</v>
      </c>
      <c r="AN718" s="155">
        <f>'IWP11'!Std7dot1AdjBal</f>
        <v>0</v>
      </c>
      <c r="AO718" s="155">
        <f>'IWP11'!Std7dot1CshOnHand</f>
        <v>0</v>
      </c>
      <c r="AP718" s="155">
        <f>'IWP11'!Std7dot1PtyCshOvrShrt</f>
        <v>0</v>
      </c>
      <c r="AQ718" s="151" t="str">
        <f>IF('IWP11'!Std7dot1OvrShrtCorr = 0, "", 'IWP11'!Std7dot1OvrShrtCorr)</f>
        <v/>
      </c>
      <c r="AR718" s="151" t="str">
        <f>IF('IWP11'!Std7dot1 = 0, "", 'IWP11'!Std7dot1)</f>
        <v/>
      </c>
      <c r="AS718" s="151" t="str">
        <f>IF('IWP11'!Std9dot1aNotCalc = 0, "", 'IWP11'!Std9dot1aNotCalc)</f>
        <v/>
      </c>
      <c r="AT718" s="151" t="str">
        <f>IF('IWP11'!Std9dot1bNotCalc = 0, "", 'IWP11'!Std9dot1bNotCalc)</f>
        <v/>
      </c>
      <c r="AU718" s="157">
        <f>IF('IWP11'!Std9BalPerBnkStmtDt =DATE(1900,1,0),DATE(1900,1,1),'IWP11'!Std9BalPerBnkStmtDt)</f>
        <v>1</v>
      </c>
      <c r="AV718" s="155">
        <f>'IWP11'!Std9BalPerBnkStmt</f>
        <v>0</v>
      </c>
      <c r="AW718" s="155">
        <f>'IWP11'!Std9TotDepsInTrans</f>
        <v>0</v>
      </c>
      <c r="AX718" s="155">
        <f>'IWP11'!Std9TotOutsChks</f>
        <v>0</v>
      </c>
      <c r="AY718" s="155">
        <f>'IWP11'!Std9AdjBalPerBank</f>
        <v>0</v>
      </c>
      <c r="AZ718" s="157">
        <f>IF('IWP11'!Std9TotPtyCshIndvDt =DATE(1900,1,0),DATE(1900,1,1),'IWP11'!Std9TotPtyCshIndvDt)</f>
        <v>1</v>
      </c>
      <c r="BA718" s="155">
        <f>'IWP11'!Std9TotPtyCshIndv</f>
        <v>0</v>
      </c>
      <c r="BB718" s="155">
        <f>'IWP11'!Std9TotCshBnkAndHnd</f>
        <v>0</v>
      </c>
      <c r="BC718" s="157">
        <f>IF('IWP11'!Std9BalPerBksDt =DATE(1900,1,0),DATE(1900,1,1),'IWP11'!Std9BalPerBksDt)</f>
        <v>1</v>
      </c>
      <c r="BD718" s="155">
        <f>'IWP11'!Std9BalPerBks</f>
        <v>0</v>
      </c>
      <c r="BE718" s="155">
        <f>'IWP11'!Std9UnapplErndInt</f>
        <v>0</v>
      </c>
      <c r="BF718" s="155">
        <f>'IWP11'!Std9UnpstdRcptDsbrsmts</f>
        <v>0</v>
      </c>
      <c r="BG718" s="155">
        <f>'IWP11'!Std9NsfChks</f>
        <v>0</v>
      </c>
      <c r="BH718" s="155">
        <f>'IWP11'!Std9AdjBalPerBks</f>
        <v>0</v>
      </c>
      <c r="BI718" s="155">
        <f>'IWP11'!Std9TrstFndAcctOvrShrt</f>
        <v>0</v>
      </c>
      <c r="BJ718" s="151" t="str">
        <f>IF('IWP11'!Std9OvrShrtCorrctd = 0, "", 'IWP11'!Std9OvrShrtCorrctd)</f>
        <v/>
      </c>
      <c r="BK718" s="151" t="str">
        <f>IF('IWP11'!Std9ShrtUnreimbSvcChg = 0, "", 'IWP11'!Std9ShrtUnreimbSvcChg)</f>
        <v/>
      </c>
      <c r="BL718" s="151" t="str">
        <f>IF('IWP11'!Std9dot1 = 0, "", 'IWP11'!Std9dot1)</f>
        <v/>
      </c>
      <c r="BM718" s="151" t="str">
        <f>IF('IWP11'!Std10dot1NotCalc = 0, "", 'IWP11'!Std10dot1NotCalc)</f>
        <v/>
      </c>
      <c r="BN718" s="319">
        <f>IF('IWP11'!FiscalReviewFirstMonth =DATE(1900,1,0),DATE(1900,1,1),'IWP11'!FiscalReviewFirstMonth)</f>
        <v>1</v>
      </c>
      <c r="BO718" s="155">
        <f>'IWP11'!Std10dot1TotalAmt1</f>
        <v>0</v>
      </c>
      <c r="BP718" s="319">
        <f>IF('IWP11'!FiscalReviewSecondMonth =DATE(1900,1,0),DATE(1900,1,1),'IWP11'!FiscalReviewSecondMonth)</f>
        <v>1</v>
      </c>
      <c r="BQ718" s="155">
        <f>'IWP11'!Std10dot1TotalAmt2</f>
        <v>0</v>
      </c>
      <c r="BR718" s="151" t="str">
        <f>IF('IWP11'!Std10dot1 = 0, "", 'IWP11'!Std10dot1)</f>
        <v/>
      </c>
      <c r="BS718" s="151" t="str">
        <f>IF('IWP11'!Std10dot2NotCalc = 0, "", 'IWP11'!Std10dot2NotCalc)</f>
        <v/>
      </c>
      <c r="BT718" s="319">
        <f>IF('IWP11'!FiscalReviewFirstMonth =DATE(1900,1,0),DATE(1900,1,1),'IWP11'!FiscalReviewFirstMonth)</f>
        <v>1</v>
      </c>
      <c r="BU718" s="155">
        <f>'IWP11'!Std10dot2BankChgs1</f>
        <v>0</v>
      </c>
      <c r="BV718" s="319">
        <f>IF('IWP11'!FiscalReviewSecondMonth =DATE(1900,1,0),DATE(1900,1,1),'IWP11'!FiscalReviewSecondMonth)</f>
        <v>1</v>
      </c>
      <c r="BW718" s="155">
        <f>'IWP11'!Std10dot2BankChgs2</f>
        <v>0</v>
      </c>
      <c r="BX718" s="151" t="str">
        <f>IF('IWP11'!Std10dot2 = 0, "", 'IWP11'!Std10dot2)</f>
        <v/>
      </c>
      <c r="BY718" s="151" t="str">
        <f>IF('IWP11'!Std10dot3NotCalc = 0, "", 'IWP11'!Std10dot3NotCalc)</f>
        <v/>
      </c>
      <c r="BZ718" s="151" t="str">
        <f>IF('IWP11'!Std10dot3 = 0, "", 'IWP11'!Std10dot3)</f>
        <v/>
      </c>
      <c r="CA718" s="151" t="str">
        <f>IF('IWP11'!Std10dot4NotCalc = 0, "", 'IWP11'!Std10dot4NotCalc)</f>
        <v/>
      </c>
      <c r="CB718" s="151" t="str">
        <f>IF('IWP11'!Std10dot4 = 0, "", 'IWP11'!Std10dot4)</f>
        <v/>
      </c>
      <c r="CC718" s="151" t="str">
        <f>IF('IWP11'!Std10dot5 = 0, "", 'IWP11'!Std10dot5)</f>
        <v/>
      </c>
      <c r="CD718" s="151" t="str">
        <f>IF('IWP11'!Std10dot6NotCalc = 0, "", 'IWP11'!Std10dot6NotCalc)</f>
        <v/>
      </c>
      <c r="CE718" s="157">
        <f>IF('IWP11'!Std10dot6DateOfDeathDischarge =DATE(1900,1,0),DATE(1900,1,1),'IWP11'!Std10dot6DateOfDeathDischarge)</f>
        <v>1</v>
      </c>
      <c r="CF718" s="151" t="str">
        <f>IF('IWP11'!Std10dot6DthDschg = 0, "", 'IWP11'!Std10dot6DthDschg)</f>
        <v/>
      </c>
      <c r="CG718" s="155">
        <f>'IWP11'!Std10dot6TrustFundAmtDue</f>
        <v>0</v>
      </c>
      <c r="CH718" s="155">
        <f>'IWP11'!Std10dot6IndvPtyCshAmtDue</f>
        <v>0</v>
      </c>
      <c r="CI718" s="155">
        <f>'IWP11'!Std10dot6TotRfndDue</f>
        <v>0</v>
      </c>
      <c r="CJ718" s="155">
        <f>'IWP11'!Std10dot6AmtRfnd</f>
        <v>0</v>
      </c>
      <c r="CK718" s="155">
        <f>'IWP11'!Std10dot6DminusE</f>
        <v>0</v>
      </c>
      <c r="CL718" s="151" t="str">
        <f>IF('IWP11'!Std10dot6LastName = 0, "", 'IWP11'!Std10dot6LastName)</f>
        <v/>
      </c>
      <c r="CM718" s="151" t="str">
        <f>IF('IWP11'!Std10dot6FirstName = 0, "", 'IWP11'!Std10dot6FirstName)</f>
        <v/>
      </c>
      <c r="CN718" s="157">
        <f>IF('IWP11'!Std10dot6DateOfRefund =DATE(1900,1,0),DATE(1900,1,1),'IWP11'!Std10dot6DateOfRefund)</f>
        <v>1</v>
      </c>
      <c r="CO718" s="151" t="str">
        <f>IF('IWP11'!Std10dot6a = 0, "", 'IWP11'!Std10dot6a)</f>
        <v/>
      </c>
      <c r="CP718" s="151" t="str">
        <f>IF('IWP11'!Std10dot6b = 0, "", 'IWP11'!Std10dot6b)</f>
        <v/>
      </c>
      <c r="CQ718" s="151" t="str">
        <f>IF('IWP11'!Std10dot6c = 0, "", 'IWP11'!Std10dot6c)</f>
        <v/>
      </c>
      <c r="CR718" s="151" t="str">
        <f>IF('IWP11'!Std10dot6 = "", "", 'IWP11'!Std10dot6)</f>
        <v/>
      </c>
      <c r="CS718" s="151" t="str">
        <f>IF('IWP11'!Std11dot1aNotCalc = 0, "", 'IWP11'!Std11dot1aNotCalc)</f>
        <v/>
      </c>
      <c r="CT718" s="151" t="str">
        <f>IF('IWP11'!Std11dot1bNotCalc = 0, "", 'IWP11'!Std11dot1bNotCalc)</f>
        <v>N</v>
      </c>
      <c r="CU718" s="151" t="str">
        <f>IF('IWP11'!Std11dot1cNotCalc = 0, "", 'IWP11'!Std11dot1cNotCalc)</f>
        <v>N</v>
      </c>
      <c r="CV718" s="151" t="str">
        <f>IF('IWP11'!Std11dot1dNotCalc = 0, "", 'IWP11'!Std11dot1dNotCalc)</f>
        <v/>
      </c>
      <c r="CW718" s="151" t="str">
        <f>IF('IWP11'!Std11dot1eNotCalc = 0, "", 'IWP11'!Std11dot1eNotCalc)</f>
        <v/>
      </c>
      <c r="CX718" s="151" t="str">
        <f>IF('IWP11'!Std11dot1fNotCalc = 0, "", 'IWP11'!Std11dot1fNotCalc)</f>
        <v/>
      </c>
      <c r="CY718" s="151" t="str">
        <f>IF('IWP11'!Std11dot1PrivateLivingSpace = 0, "", 'IWP11'!Std11dot1PrivateLivingSpace)</f>
        <v/>
      </c>
      <c r="CZ718" s="155">
        <f>'IWP11'!Std11dot1LivingWidth</f>
        <v>0</v>
      </c>
      <c r="DA718" s="155">
        <f>'IWP11'!Std11dot1LivingLength</f>
        <v>0</v>
      </c>
      <c r="DB718" s="155">
        <f>IF('IWP11'!Std11dot1LivingSqFt = "", MINVALDBL, 'IWP11'!Std11dot1LivingSqFt)</f>
        <v>-99999.99</v>
      </c>
      <c r="DC718" s="151" t="str">
        <f>IF('IWP11'!Std11dot1PrivateLivingSpace = 0, "", 'IWP11'!Std11dot1PrivateLivingSpace)</f>
        <v/>
      </c>
      <c r="DD718" s="155">
        <f>'IWP11'!Std11dot1LivingWidth</f>
        <v>0</v>
      </c>
      <c r="DE718" s="155">
        <f>'IWP11'!Std11dot1LivingLength</f>
        <v>0</v>
      </c>
      <c r="DF718" s="155">
        <f>IF('IWP11'!Std11dot1LivingSqFt = "", MINVALDBL, 'IWP11'!Std11dot1LivingSqFt)</f>
        <v>-99999.99</v>
      </c>
      <c r="DG718" s="151" t="str">
        <f>IF('IWP11'!Std11dot1PrivateBedSpace = 0, "", 'IWP11'!Std11dot1PrivateBedSpace)</f>
        <v/>
      </c>
      <c r="DH718" s="155">
        <f>'IWP11'!Std11dot1BdrmWidth</f>
        <v>0</v>
      </c>
      <c r="DI718" s="155">
        <f>'IWP11'!Std11dot1BdrmLength</f>
        <v>0</v>
      </c>
      <c r="DJ718" s="155">
        <f>IF('IWP11'!Std11dot1BdrmSqFt = "", MINVALDBL, 'IWP11'!Std11dot1BdrmSqFt)</f>
        <v>-99999.99</v>
      </c>
      <c r="DK718" s="151" t="str">
        <f>IF('IWP11'!Std11dot1PrivateStorageSpace = 0, "", 'IWP11'!Std11dot1PrivateStorageSpace)</f>
        <v/>
      </c>
      <c r="DL718" s="155">
        <f>'IWP11'!Std11dot1StorageWidth</f>
        <v>0</v>
      </c>
      <c r="DM718" s="155">
        <f>'IWP11'!Std11dot1StorageLength</f>
        <v>0</v>
      </c>
      <c r="DN718" s="155">
        <f>IF('IWP11'!Std11dot1StorageSqFt = "", 0, 'IWP11'!Std11dot1StorageSqFt)</f>
        <v>0</v>
      </c>
      <c r="DO718" s="151" t="str">
        <f>IF('IWP11'!Std11dot1PrivateKitchenSpace = 0, "", 'IWP11'!Std11dot1PrivateKitchenSpace)</f>
        <v/>
      </c>
      <c r="DP718" s="155">
        <f>'IWP11'!Std11dot1KitchenWidth</f>
        <v>0</v>
      </c>
      <c r="DQ718" s="155">
        <f>'IWP11'!Std11dot1KitchenLength</f>
        <v>0</v>
      </c>
      <c r="DR718" s="155">
        <f>IF('IWP11'!Std11dot1KitchenSqFt = "", MINVALDBL, 'IWP11'!Std11dot1KitchenSqFt)</f>
        <v>-99999.99</v>
      </c>
      <c r="DS718" s="151" t="str">
        <f>IF('IWP11'!Std11dot1KitchenSink = 0, "", 'IWP11'!Std11dot1KitchenSink)</f>
        <v/>
      </c>
      <c r="DT718" s="151" t="str">
        <f>IF('IWP11'!Std11dot1Refrigerator = 0, "", 'IWP11'!Std11dot1Refrigerator)</f>
        <v/>
      </c>
      <c r="DU718" s="151" t="str">
        <f>IF('IWP11'!Std11dot1StoveMicrowave = 0, "", 'IWP11'!Std11dot1StoveMicrowave)</f>
        <v/>
      </c>
      <c r="DV718" s="151" t="str">
        <f>IF('IWP11'!Std11dot1SeparateBath = 0, "", 'IWP11'!Std11dot1SeparateBath)</f>
        <v/>
      </c>
      <c r="DW718" s="151" t="str">
        <f>IF('IWP11'!Std11dot1BathSink = 0, "", 'IWP11'!Std11dot1BathSink)</f>
        <v/>
      </c>
      <c r="DX718" s="151" t="str">
        <f>IF('IWP11'!Std11dot1ShowerTubAccessible = 0, "", 'IWP11'!Std11dot1ShowerTubAccessible)</f>
        <v/>
      </c>
      <c r="DY718" s="155">
        <f>'IWP11'!Std11dot1TotalPrivateSpace</f>
        <v>0</v>
      </c>
      <c r="DZ718" s="155">
        <f>'IWP11'!Std11dot1PrivateSpaceSquareFootagePerResident</f>
        <v>0</v>
      </c>
      <c r="EA718" s="155">
        <f>IF('IWP11'!Std11dot1TotalSquareFootagePerResident = "", MINVALDBL, 'IWP11'!Std11dot1TotalSquareFootagePerResident)</f>
        <v>-99999.99</v>
      </c>
      <c r="EB718" s="155">
        <f>'IWP11'!Std11dot1UseableCommonAreaSquareFootage</f>
        <v>0</v>
      </c>
      <c r="EC718" s="155">
        <f>'IWP11'!Std11dot1LicensedCapacity</f>
        <v>0</v>
      </c>
      <c r="ED718" s="155">
        <f>IF('IWP11'!Std11dot1CommonAreaSquareFootagePerResident = "", MINVALDBL, 'IWP11'!Std11dot1CommonAreaSquareFootagePerResident)</f>
        <v>-99999.99</v>
      </c>
      <c r="EE718" s="151" t="str">
        <f>IF('IWP11'!Std11dot1a = 0, "", 'IWP11'!Std11dot1a)</f>
        <v/>
      </c>
      <c r="EF718" s="151" t="str">
        <f>IF('IWP11'!Std11dot1b = 0, "", 'IWP11'!Std11dot1b)</f>
        <v/>
      </c>
      <c r="EG718" s="151" t="str">
        <f>IF('IWP11'!Std11dot1c = 0, "", 'IWP11'!Std11dot1c)</f>
        <v/>
      </c>
      <c r="EH718" s="151" t="str">
        <f>IF('IWP11'!Std11dot1d = 0, "", 'IWP11'!Std11dot1d)</f>
        <v/>
      </c>
      <c r="EI718" s="151" t="str">
        <f>IF('IWP11'!Std11dot1e = 0, "", 'IWP11'!Std11dot1e)</f>
        <v/>
      </c>
      <c r="EJ718" s="151" t="str">
        <f>IF('IWP11'!Std11dot1f = 0, "", 'IWP11'!Std11dot1f)</f>
        <v/>
      </c>
      <c r="EK718" s="151" t="str">
        <f>IF('IWP11'!Std11dot1g = 0, "", 'IWP11'!Std11dot1g)</f>
        <v/>
      </c>
      <c r="EL718" s="151" t="str">
        <f>IF('IWP11'!Std11dot1h = 0, "", 'IWP11'!Std11dot1h)</f>
        <v/>
      </c>
      <c r="EM718" s="151" t="str">
        <f>IF('IWP11'!Std11dot1i = 0, "", 'IWP11'!Std11dot1i)</f>
        <v/>
      </c>
      <c r="EN718" s="151" t="str">
        <f>IF('IWP11'!Std11dot1j = 0, "", 'IWP11'!Std11dot1j)</f>
        <v/>
      </c>
      <c r="EO718" s="151" t="str">
        <f>IF('IWP11'!Std11dot1k = 0, "", 'IWP11'!Std11dot1k)</f>
        <v/>
      </c>
      <c r="EP718" s="151" t="str">
        <f>IF('IWP11'!Std11dot1 = 0, "", 'IWP11'!Std11dot1)</f>
        <v/>
      </c>
      <c r="EQ718" s="151" t="str">
        <f>IF('IWP11'!Std11dot2 = 0, "", 'IWP11'!Std11dot2)</f>
        <v/>
      </c>
      <c r="ER718" s="151" t="str">
        <f>IF('IWP11'!Std11dot3 = 0, "", 'IWP11'!Std11dot3)</f>
        <v/>
      </c>
      <c r="ES718" s="151" t="str">
        <f>IF('IWP11'!Std11dot4 = 0, "", 'IWP11'!Std11dot4)</f>
        <v>NA</v>
      </c>
      <c r="ET718" s="157">
        <f>IF('IWP11'!$A$363=DATE(1900,1,0), DATE(1900,1,1), 'IWP11'!$A$363)</f>
        <v>1</v>
      </c>
      <c r="EU718" s="155">
        <f>'IWP11'!$C$363</f>
        <v>0</v>
      </c>
      <c r="EV718" s="155">
        <f>'IWP11'!$E$363</f>
        <v>0</v>
      </c>
      <c r="EW718" s="157">
        <f>IF('IWP11'!$G$363=DATE(1900,1,0), DATE(1900,1,1), 'IWP11'!$G$363)</f>
        <v>1</v>
      </c>
      <c r="EX718" s="155">
        <f>'IWP11'!$I$363</f>
        <v>0</v>
      </c>
      <c r="EY718" s="155">
        <f>'IWP11'!$K$363</f>
        <v>0</v>
      </c>
      <c r="EZ718" s="157">
        <f>IF('IWP11'!$M$363=DATE(1900,1,0), DATE(1900,1,1), 'IWP11'!$M$363)</f>
        <v>1</v>
      </c>
      <c r="FA718" s="151" t="str">
        <f>IF('IWP11'!$O$363 = 0, "", 'IWP11'!$O$363)</f>
        <v/>
      </c>
      <c r="FB718" s="151" t="str">
        <f>IF('IWP11'!$Q$363 = 0, "", 'IWP11'!$Q$363)</f>
        <v/>
      </c>
      <c r="FC718" s="151" t="str">
        <f>IF('IWP11'!Std11dot5a = 0, "", 'IWP11'!Std11dot5a)</f>
        <v/>
      </c>
      <c r="FD718" s="151" t="str">
        <f>IF('IWP11'!Std11dot5b = 0, "", 'IWP11'!Std11dot5b)</f>
        <v/>
      </c>
      <c r="FE718" s="151" t="str">
        <f>IF('IWP11'!Std11dot5ci = 0, "", 'IWP11'!Std11dot5ci)</f>
        <v>NA</v>
      </c>
      <c r="FF718" s="151" t="str">
        <f>IF('IWP11'!Std11dot5cii = 0, "", 'IWP11'!Std11dot5cii)</f>
        <v>NA</v>
      </c>
      <c r="FG718" s="151" t="str">
        <f>IF('IWP11'!Std11dot5 = 0, "", 'IWP11'!Std11dot5)</f>
        <v/>
      </c>
      <c r="FH718" s="207" t="str">
        <f>IF('IWP11'!Std11dot1AptGrandFthr="","",'IWP11'!Std11dot1AptGrandFthr)</f>
        <v/>
      </c>
    </row>
    <row r="719" spans="1:164">
      <c r="A719" s="206" t="s">
        <v>1315</v>
      </c>
      <c r="B719" s="157">
        <f>IF('Samples (Print)'!D16=DATE(1900,1,0),DATE(1900,1,1),'Samples (Print)'!D16)</f>
        <v>1</v>
      </c>
      <c r="C719" s="157">
        <f>IF('Samples (Print)'!E16=DATE(1900,1,0),DATE(1900,1,1),'Samples (Print)'!E16)</f>
        <v>1</v>
      </c>
      <c r="D719" s="319">
        <f>IF('IWP12'!FiscalReviewFirstMonth =DATE(1900,1,0),DATE(1900,1,1),'IWP12'!FiscalReviewFirstMonth)</f>
        <v>1</v>
      </c>
      <c r="E719" s="319">
        <f>IF('IWP12'!FiscalReviewSecondMonth =DATE(1900,1,0),DATE(1900,1,1),'IWP12'!FiscalReviewSecondMonth)</f>
        <v>1</v>
      </c>
      <c r="F719" s="13">
        <f>'IWP12'!SampleNumber</f>
        <v>12</v>
      </c>
      <c r="G719" s="13">
        <f ca="1">'IWP12'!ClientID</f>
        <v>0</v>
      </c>
      <c r="H719" s="283"/>
      <c r="I719" s="283"/>
      <c r="J719" s="151" t="str">
        <f ca="1">IF('IWP12'!ContractNumber = 0, "", 'IWP12'!ContractNumber)</f>
        <v/>
      </c>
      <c r="K719" s="151" t="str">
        <f ca="1">IF('IWP12'!ContractType = 0, "", 'IWP12'!ContractType)</f>
        <v/>
      </c>
      <c r="L719" s="151" t="str">
        <f>IF('IWP12'!CompletedByLastName = 0, "", 'IWP12'!CompletedByLastName)</f>
        <v/>
      </c>
      <c r="M719" s="151" t="str">
        <f>IF('IWP12'!CompletedByFirstName = 0, "", 'IWP12'!CompletedByFirstName)</f>
        <v/>
      </c>
      <c r="N719" s="157">
        <f>IF('IWP12'!DateCompleted =DATE(1900,1,0),DATE(1900,1,1),'IWP12'!DateCompleted)</f>
        <v>1</v>
      </c>
      <c r="O719" s="151" t="str">
        <f>IF('IWP12'!Std3NotCalc = 0, "", 'IWP12'!Std3NotCalc)</f>
        <v/>
      </c>
      <c r="P719" s="157">
        <f>IF('IWP12'!Std3dot1DateOfAdmission =DATE(1900,1,0),DATE(1900,1,1),'IWP12'!Std3dot1DateOfAdmission)</f>
        <v>1</v>
      </c>
      <c r="Q719" s="151" t="str">
        <f>IF('IWP12'!Std3dot1a = 0, "", 'IWP12'!Std3dot1a)</f>
        <v/>
      </c>
      <c r="R719" s="151" t="str">
        <f>IF('IWP12'!Std3dot1b = 0, "", 'IWP12'!Std3dot1b)</f>
        <v/>
      </c>
      <c r="S719" s="151" t="str">
        <f>IF('IWP12'!Std3dot1c = 0, "", 'IWP12'!Std3dot1c)</f>
        <v>NA</v>
      </c>
      <c r="T719" s="151" t="str">
        <f>IF('IWP12'!Std3dot1 = 0, "", 'IWP12'!Std3dot1)</f>
        <v/>
      </c>
      <c r="U719" s="151" t="str">
        <f>IF('IWP12'!Std3dot2a = 0, "", 'IWP12'!Std3dot2a)</f>
        <v/>
      </c>
      <c r="V719" s="151" t="str">
        <f>IF('IWP12'!Std3dot2b = 0, "", 'IWP12'!Std3dot2b)</f>
        <v/>
      </c>
      <c r="W719" s="151" t="str">
        <f>IF('IWP12'!Std3dot2c = 0, "", 'IWP12'!Std3dot2c)</f>
        <v/>
      </c>
      <c r="X719" s="151" t="str">
        <f>IF('IWP12'!Std3dot2 = 0, "", 'IWP12'!Std3dot2)</f>
        <v/>
      </c>
      <c r="Y719" s="151" t="str">
        <f>IF('IWP12'!Std4dot1Month1 = 0, "", 'IWP12'!Std4dot1Month1)</f>
        <v/>
      </c>
      <c r="Z719" s="157">
        <f>IF('IWP12'!Std4dot1Month1Date =DATE(1900,1,0),DATE(1900,1,1),'IWP12'!Std4dot1Month1Date)</f>
        <v>1</v>
      </c>
      <c r="AA719" s="151" t="str">
        <f>IF('IWP12'!Std4dot1Month2 = 0, "", 'IWP12'!Std4dot1Month2)</f>
        <v/>
      </c>
      <c r="AB719" s="157">
        <f>IF('IWP12'!Std4dot1Month2Date =DATE(1900,1,0),DATE(1900,1,1),'IWP12'!Std4dot1Month2Date)</f>
        <v>1</v>
      </c>
      <c r="AC719" s="151" t="str">
        <f>IF('IWP12'!Std4dot1 = 0, "", 'IWP12'!Std4dot1)</f>
        <v/>
      </c>
      <c r="AD719" s="151" t="str">
        <f>IF('IWP12'!Std4dot2NotCalc = 0, "", 'IWP12'!Std4dot2NotCalc)</f>
        <v/>
      </c>
      <c r="AE719" s="151" t="str">
        <f>IF('IWP12'!Std4dot2 = 0, "", 'IWP12'!Std4dot2)</f>
        <v/>
      </c>
      <c r="AF719" s="151" t="str">
        <f>IF('IWP12'!Std4dot3 = 0, "", 'IWP12'!Std4dot3)</f>
        <v/>
      </c>
      <c r="AG719" s="151" t="str">
        <f>IF('IWP12'!Std4dot4 = 0, "", 'IWP12'!Std4dot4)</f>
        <v/>
      </c>
      <c r="AH719" s="151" t="str">
        <f>IF('IWP12'!Std5NotCalc = 0, "", 'IWP12'!Std5NotCalc)</f>
        <v/>
      </c>
      <c r="AI719" s="151" t="str">
        <f>IF('IWP12'!Std5dot1 = 0, "", 'IWP12'!Std5dot1)</f>
        <v/>
      </c>
      <c r="AJ719" s="151" t="str">
        <f>IF('IWP12'!Std7dot1NotCalc = 0, "", 'IWP12'!Std7dot1NotCalc)</f>
        <v/>
      </c>
      <c r="AK719" s="151" t="str">
        <f>IF('IWP12'!Std7dot1NotCalc = 0, "", 'IWP12'!Std7dot1NotCalc)</f>
        <v/>
      </c>
      <c r="AL719" s="155">
        <f>'IWP12'!Std7dot1BalPerCshLog</f>
        <v>0</v>
      </c>
      <c r="AM719" s="155">
        <f>'IWP12'!Std7dot1LessAdj</f>
        <v>0</v>
      </c>
      <c r="AN719" s="155">
        <f>'IWP12'!Std7dot1AdjBal</f>
        <v>0</v>
      </c>
      <c r="AO719" s="155">
        <f>'IWP12'!Std7dot1CshOnHand</f>
        <v>0</v>
      </c>
      <c r="AP719" s="155">
        <f>'IWP12'!Std7dot1PtyCshOvrShrt</f>
        <v>0</v>
      </c>
      <c r="AQ719" s="151" t="str">
        <f>IF('IWP12'!Std7dot1OvrShrtCorr = 0, "", 'IWP12'!Std7dot1OvrShrtCorr)</f>
        <v/>
      </c>
      <c r="AR719" s="151" t="str">
        <f>IF('IWP12'!Std7dot1 = 0, "", 'IWP12'!Std7dot1)</f>
        <v/>
      </c>
      <c r="AS719" s="151" t="str">
        <f>IF('IWP12'!Std9dot1aNotCalc = 0, "", 'IWP12'!Std9dot1aNotCalc)</f>
        <v/>
      </c>
      <c r="AT719" s="151" t="str">
        <f>IF('IWP12'!Std9dot1bNotCalc = 0, "", 'IWP12'!Std9dot1bNotCalc)</f>
        <v/>
      </c>
      <c r="AU719" s="157">
        <f>IF('IWP12'!Std9BalPerBnkStmtDt =DATE(1900,1,0),DATE(1900,1,1),'IWP12'!Std9BalPerBnkStmtDt)</f>
        <v>1</v>
      </c>
      <c r="AV719" s="155">
        <f>'IWP12'!Std9BalPerBnkStmt</f>
        <v>0</v>
      </c>
      <c r="AW719" s="155">
        <f>'IWP12'!Std9TotDepsInTrans</f>
        <v>0</v>
      </c>
      <c r="AX719" s="155">
        <f>'IWP12'!Std9TotOutsChks</f>
        <v>0</v>
      </c>
      <c r="AY719" s="155">
        <f>'IWP12'!Std9AdjBalPerBank</f>
        <v>0</v>
      </c>
      <c r="AZ719" s="157">
        <f>IF('IWP12'!Std9TotPtyCshIndvDt =DATE(1900,1,0),DATE(1900,1,1),'IWP12'!Std9TotPtyCshIndvDt)</f>
        <v>1</v>
      </c>
      <c r="BA719" s="155">
        <f>'IWP12'!Std9TotPtyCshIndv</f>
        <v>0</v>
      </c>
      <c r="BB719" s="155">
        <f>'IWP12'!Std9TotCshBnkAndHnd</f>
        <v>0</v>
      </c>
      <c r="BC719" s="157">
        <f>IF('IWP12'!Std9BalPerBksDt =DATE(1900,1,0),DATE(1900,1,1),'IWP12'!Std9BalPerBksDt)</f>
        <v>1</v>
      </c>
      <c r="BD719" s="155">
        <f>'IWP12'!Std9BalPerBks</f>
        <v>0</v>
      </c>
      <c r="BE719" s="155">
        <f>'IWP12'!Std9UnapplErndInt</f>
        <v>0</v>
      </c>
      <c r="BF719" s="155">
        <f>'IWP12'!Std9UnpstdRcptDsbrsmts</f>
        <v>0</v>
      </c>
      <c r="BG719" s="155">
        <f>'IWP12'!Std9NsfChks</f>
        <v>0</v>
      </c>
      <c r="BH719" s="155">
        <f>'IWP12'!Std9AdjBalPerBks</f>
        <v>0</v>
      </c>
      <c r="BI719" s="155">
        <f>'IWP12'!Std9TrstFndAcctOvrShrt</f>
        <v>0</v>
      </c>
      <c r="BJ719" s="151" t="str">
        <f>IF('IWP12'!Std9OvrShrtCorrctd = 0, "", 'IWP12'!Std9OvrShrtCorrctd)</f>
        <v/>
      </c>
      <c r="BK719" s="151" t="str">
        <f>IF('IWP12'!Std9ShrtUnreimbSvcChg = 0, "", 'IWP12'!Std9ShrtUnreimbSvcChg)</f>
        <v/>
      </c>
      <c r="BL719" s="151" t="str">
        <f>IF('IWP12'!Std9dot1 = 0, "", 'IWP12'!Std9dot1)</f>
        <v/>
      </c>
      <c r="BM719" s="151" t="str">
        <f>IF('IWP12'!Std10dot1NotCalc = 0, "", 'IWP12'!Std10dot1NotCalc)</f>
        <v/>
      </c>
      <c r="BN719" s="319">
        <f>IF('IWP12'!FiscalReviewFirstMonth =DATE(1900,1,0),DATE(1900,1,1),'IWP12'!FiscalReviewFirstMonth)</f>
        <v>1</v>
      </c>
      <c r="BO719" s="155">
        <f>'IWP12'!Std10dot1TotalAmt1</f>
        <v>0</v>
      </c>
      <c r="BP719" s="319">
        <f>IF('IWP12'!FiscalReviewSecondMonth =DATE(1900,1,0),DATE(1900,1,1),'IWP12'!FiscalReviewSecondMonth)</f>
        <v>1</v>
      </c>
      <c r="BQ719" s="155">
        <f>'IWP12'!Std10dot1TotalAmt2</f>
        <v>0</v>
      </c>
      <c r="BR719" s="151" t="str">
        <f>IF('IWP12'!Std10dot1 = 0, "", 'IWP12'!Std10dot1)</f>
        <v/>
      </c>
      <c r="BS719" s="151" t="str">
        <f>IF('IWP12'!Std10dot2NotCalc = 0, "", 'IWP12'!Std10dot2NotCalc)</f>
        <v/>
      </c>
      <c r="BT719" s="319">
        <f>IF('IWP12'!FiscalReviewFirstMonth =DATE(1900,1,0),DATE(1900,1,1),'IWP12'!FiscalReviewFirstMonth)</f>
        <v>1</v>
      </c>
      <c r="BU719" s="155">
        <f>'IWP12'!Std10dot2BankChgs1</f>
        <v>0</v>
      </c>
      <c r="BV719" s="319">
        <f>IF('IWP12'!FiscalReviewSecondMonth =DATE(1900,1,0),DATE(1900,1,1),'IWP12'!FiscalReviewSecondMonth)</f>
        <v>1</v>
      </c>
      <c r="BW719" s="155">
        <f>'IWP12'!Std10dot2BankChgs2</f>
        <v>0</v>
      </c>
      <c r="BX719" s="151" t="str">
        <f>IF('IWP12'!Std10dot2 = 0, "", 'IWP12'!Std10dot2)</f>
        <v/>
      </c>
      <c r="BY719" s="151" t="str">
        <f>IF('IWP12'!Std10dot3NotCalc = 0, "", 'IWP12'!Std10dot3NotCalc)</f>
        <v/>
      </c>
      <c r="BZ719" s="151" t="str">
        <f>IF('IWP12'!Std10dot3 = 0, "", 'IWP12'!Std10dot3)</f>
        <v/>
      </c>
      <c r="CA719" s="151" t="str">
        <f>IF('IWP12'!Std10dot4NotCalc = 0, "", 'IWP12'!Std10dot4NotCalc)</f>
        <v/>
      </c>
      <c r="CB719" s="151" t="str">
        <f>IF('IWP12'!Std10dot4 = 0, "", 'IWP12'!Std10dot4)</f>
        <v/>
      </c>
      <c r="CC719" s="151" t="str">
        <f>IF('IWP12'!Std10dot5 = 0, "", 'IWP12'!Std10dot5)</f>
        <v/>
      </c>
      <c r="CD719" s="151" t="str">
        <f>IF('IWP12'!Std10dot6NotCalc = 0, "", 'IWP12'!Std10dot6NotCalc)</f>
        <v/>
      </c>
      <c r="CE719" s="157">
        <f>IF('IWP12'!Std10dot6DateOfDeathDischarge =DATE(1900,1,0),DATE(1900,1,1),'IWP12'!Std10dot6DateOfDeathDischarge)</f>
        <v>1</v>
      </c>
      <c r="CF719" s="151" t="str">
        <f>IF('IWP12'!Std10dot6DthDschg = 0, "", 'IWP12'!Std10dot6DthDschg)</f>
        <v/>
      </c>
      <c r="CG719" s="155">
        <f>'IWP12'!Std10dot6TrustFundAmtDue</f>
        <v>0</v>
      </c>
      <c r="CH719" s="155">
        <f>'IWP12'!Std10dot6IndvPtyCshAmtDue</f>
        <v>0</v>
      </c>
      <c r="CI719" s="155">
        <f>'IWP12'!Std10dot6TotRfndDue</f>
        <v>0</v>
      </c>
      <c r="CJ719" s="155">
        <f>'IWP12'!Std10dot6AmtRfnd</f>
        <v>0</v>
      </c>
      <c r="CK719" s="155">
        <f>'IWP12'!Std10dot6DminusE</f>
        <v>0</v>
      </c>
      <c r="CL719" s="151" t="str">
        <f>IF('IWP12'!Std10dot6LastName = 0, "", 'IWP12'!Std10dot6LastName)</f>
        <v/>
      </c>
      <c r="CM719" s="151" t="str">
        <f>IF('IWP12'!Std10dot6FirstName = 0, "", 'IWP12'!Std10dot6FirstName)</f>
        <v/>
      </c>
      <c r="CN719" s="157">
        <f>IF('IWP12'!Std10dot6DateOfRefund =DATE(1900,1,0),DATE(1900,1,1),'IWP12'!Std10dot6DateOfRefund)</f>
        <v>1</v>
      </c>
      <c r="CO719" s="151" t="str">
        <f>IF('IWP12'!Std10dot6a = 0, "", 'IWP12'!Std10dot6a)</f>
        <v/>
      </c>
      <c r="CP719" s="151" t="str">
        <f>IF('IWP12'!Std10dot6b = 0, "", 'IWP12'!Std10dot6b)</f>
        <v/>
      </c>
      <c r="CQ719" s="151" t="str">
        <f>IF('IWP12'!Std10dot6c = 0, "", 'IWP12'!Std10dot6c)</f>
        <v/>
      </c>
      <c r="CR719" s="151" t="str">
        <f>IF('IWP12'!Std10dot6 = "", "", 'IWP12'!Std10dot6)</f>
        <v/>
      </c>
      <c r="CS719" s="151" t="str">
        <f>IF('IWP12'!Std11dot1aNotCalc = 0, "", 'IWP12'!Std11dot1aNotCalc)</f>
        <v/>
      </c>
      <c r="CT719" s="151" t="str">
        <f>IF('IWP12'!Std11dot1bNotCalc = 0, "", 'IWP12'!Std11dot1bNotCalc)</f>
        <v>N</v>
      </c>
      <c r="CU719" s="151" t="str">
        <f>IF('IWP12'!Std11dot1cNotCalc = 0, "", 'IWP12'!Std11dot1cNotCalc)</f>
        <v>N</v>
      </c>
      <c r="CV719" s="151" t="str">
        <f>IF('IWP12'!Std11dot1dNotCalc = 0, "", 'IWP12'!Std11dot1dNotCalc)</f>
        <v/>
      </c>
      <c r="CW719" s="151" t="str">
        <f>IF('IWP12'!Std11dot1eNotCalc = 0, "", 'IWP12'!Std11dot1eNotCalc)</f>
        <v/>
      </c>
      <c r="CX719" s="151" t="str">
        <f>IF('IWP12'!Std11dot1fNotCalc = 0, "", 'IWP12'!Std11dot1fNotCalc)</f>
        <v/>
      </c>
      <c r="CY719" s="151" t="str">
        <f>IF('IWP12'!Std11dot1PrivateLivingSpace = 0, "", 'IWP12'!Std11dot1PrivateLivingSpace)</f>
        <v/>
      </c>
      <c r="CZ719" s="155">
        <f>'IWP12'!Std11dot1LivingWidth</f>
        <v>0</v>
      </c>
      <c r="DA719" s="155">
        <f>'IWP12'!Std11dot1LivingLength</f>
        <v>0</v>
      </c>
      <c r="DB719" s="155">
        <f>IF('IWP12'!Std11dot1LivingSqFt = "", MINVALDBL, 'IWP12'!Std11dot1LivingSqFt)</f>
        <v>-99999.99</v>
      </c>
      <c r="DC719" s="151" t="str">
        <f>IF('IWP12'!Std11dot1PrivateLivingSpace = 0, "", 'IWP12'!Std11dot1PrivateLivingSpace)</f>
        <v/>
      </c>
      <c r="DD719" s="155">
        <f>'IWP12'!Std11dot1LivingWidth</f>
        <v>0</v>
      </c>
      <c r="DE719" s="155">
        <f>'IWP12'!Std11dot1LivingLength</f>
        <v>0</v>
      </c>
      <c r="DF719" s="155">
        <f>IF('IWP12'!Std11dot1LivingSqFt = "", MINVALDBL, 'IWP12'!Std11dot1LivingSqFt)</f>
        <v>-99999.99</v>
      </c>
      <c r="DG719" s="151" t="str">
        <f>IF('IWP12'!Std11dot1PrivateBedSpace = 0, "", 'IWP12'!Std11dot1PrivateBedSpace)</f>
        <v/>
      </c>
      <c r="DH719" s="155">
        <f>'IWP12'!Std11dot1BdrmWidth</f>
        <v>0</v>
      </c>
      <c r="DI719" s="155">
        <f>'IWP12'!Std11dot1BdrmLength</f>
        <v>0</v>
      </c>
      <c r="DJ719" s="155">
        <f>IF('IWP12'!Std11dot1BdrmSqFt = "", MINVALDBL, 'IWP12'!Std11dot1BdrmSqFt)</f>
        <v>-99999.99</v>
      </c>
      <c r="DK719" s="151" t="str">
        <f>IF('IWP12'!Std11dot1PrivateStorageSpace = 0, "", 'IWP12'!Std11dot1PrivateStorageSpace)</f>
        <v/>
      </c>
      <c r="DL719" s="155">
        <f>'IWP12'!Std11dot1StorageWidth</f>
        <v>0</v>
      </c>
      <c r="DM719" s="155">
        <f>'IWP12'!Std11dot1StorageLength</f>
        <v>0</v>
      </c>
      <c r="DN719" s="155">
        <f>IF('IWP12'!Std11dot1StorageSqFt = "", 0, 'IWP12'!Std11dot1StorageSqFt)</f>
        <v>0</v>
      </c>
      <c r="DO719" s="151" t="str">
        <f>IF('IWP12'!Std11dot1PrivateKitchenSpace = 0, "", 'IWP12'!Std11dot1PrivateKitchenSpace)</f>
        <v/>
      </c>
      <c r="DP719" s="155">
        <f>'IWP12'!Std11dot1KitchenWidth</f>
        <v>0</v>
      </c>
      <c r="DQ719" s="155">
        <f>'IWP12'!Std11dot1KitchenLength</f>
        <v>0</v>
      </c>
      <c r="DR719" s="155">
        <f>IF('IWP12'!Std11dot1KitchenSqFt = "", MINVALDBL, 'IWP12'!Std11dot1KitchenSqFt)</f>
        <v>-99999.99</v>
      </c>
      <c r="DS719" s="151" t="str">
        <f>IF('IWP12'!Std11dot1KitchenSink = 0, "", 'IWP12'!Std11dot1KitchenSink)</f>
        <v/>
      </c>
      <c r="DT719" s="151" t="str">
        <f>IF('IWP12'!Std11dot1Refrigerator = 0, "", 'IWP12'!Std11dot1Refrigerator)</f>
        <v/>
      </c>
      <c r="DU719" s="151" t="str">
        <f>IF('IWP12'!Std11dot1StoveMicrowave = 0, "", 'IWP12'!Std11dot1StoveMicrowave)</f>
        <v/>
      </c>
      <c r="DV719" s="151" t="str">
        <f>IF('IWP12'!Std11dot1SeparateBath = 0, "", 'IWP12'!Std11dot1SeparateBath)</f>
        <v/>
      </c>
      <c r="DW719" s="151" t="str">
        <f>IF('IWP12'!Std11dot1BathSink = 0, "", 'IWP12'!Std11dot1BathSink)</f>
        <v/>
      </c>
      <c r="DX719" s="151" t="str">
        <f>IF('IWP12'!Std11dot1ShowerTubAccessible = 0, "", 'IWP12'!Std11dot1ShowerTubAccessible)</f>
        <v/>
      </c>
      <c r="DY719" s="155">
        <f>'IWP12'!Std11dot1TotalPrivateSpace</f>
        <v>0</v>
      </c>
      <c r="DZ719" s="155">
        <f>'IWP12'!Std11dot1PrivateSpaceSquareFootagePerResident</f>
        <v>0</v>
      </c>
      <c r="EA719" s="155">
        <f>IF('IWP12'!Std11dot1TotalSquareFootagePerResident = "", MINVALDBL, 'IWP12'!Std11dot1TotalSquareFootagePerResident)</f>
        <v>-99999.99</v>
      </c>
      <c r="EB719" s="155">
        <f>'IWP12'!Std11dot1UseableCommonAreaSquareFootage</f>
        <v>0</v>
      </c>
      <c r="EC719" s="155">
        <f>'IWP12'!Std11dot1LicensedCapacity</f>
        <v>0</v>
      </c>
      <c r="ED719" s="155">
        <f>IF('IWP12'!Std11dot1CommonAreaSquareFootagePerResident = "", MINVALDBL, 'IWP12'!Std11dot1CommonAreaSquareFootagePerResident)</f>
        <v>-99999.99</v>
      </c>
      <c r="EE719" s="151" t="str">
        <f>IF('IWP12'!Std11dot1a = 0, "", 'IWP12'!Std11dot1a)</f>
        <v/>
      </c>
      <c r="EF719" s="151" t="str">
        <f>IF('IWP12'!Std11dot1b = 0, "", 'IWP12'!Std11dot1b)</f>
        <v/>
      </c>
      <c r="EG719" s="151" t="str">
        <f>IF('IWP12'!Std11dot1c = 0, "", 'IWP12'!Std11dot1c)</f>
        <v/>
      </c>
      <c r="EH719" s="151" t="str">
        <f>IF('IWP12'!Std11dot1d = 0, "", 'IWP12'!Std11dot1d)</f>
        <v/>
      </c>
      <c r="EI719" s="151" t="str">
        <f>IF('IWP12'!Std11dot1e = 0, "", 'IWP12'!Std11dot1e)</f>
        <v/>
      </c>
      <c r="EJ719" s="151" t="str">
        <f>IF('IWP12'!Std11dot1f = 0, "", 'IWP12'!Std11dot1f)</f>
        <v/>
      </c>
      <c r="EK719" s="151" t="str">
        <f>IF('IWP12'!Std11dot1g = 0, "", 'IWP12'!Std11dot1g)</f>
        <v/>
      </c>
      <c r="EL719" s="151" t="str">
        <f>IF('IWP12'!Std11dot1h = 0, "", 'IWP12'!Std11dot1h)</f>
        <v/>
      </c>
      <c r="EM719" s="151" t="str">
        <f>IF('IWP12'!Std11dot1i = 0, "", 'IWP12'!Std11dot1i)</f>
        <v/>
      </c>
      <c r="EN719" s="151" t="str">
        <f>IF('IWP12'!Std11dot1j = 0, "", 'IWP12'!Std11dot1j)</f>
        <v/>
      </c>
      <c r="EO719" s="151" t="str">
        <f>IF('IWP12'!Std11dot1k = 0, "", 'IWP12'!Std11dot1k)</f>
        <v/>
      </c>
      <c r="EP719" s="151" t="str">
        <f>IF('IWP12'!Std11dot1 = 0, "", 'IWP12'!Std11dot1)</f>
        <v/>
      </c>
      <c r="EQ719" s="151" t="str">
        <f>IF('IWP12'!Std11dot2 = 0, "", 'IWP12'!Std11dot2)</f>
        <v/>
      </c>
      <c r="ER719" s="151" t="str">
        <f>IF('IWP12'!Std11dot3 = 0, "", 'IWP12'!Std11dot3)</f>
        <v/>
      </c>
      <c r="ES719" s="151" t="str">
        <f>IF('IWP12'!Std11dot4 = 0, "", 'IWP12'!Std11dot4)</f>
        <v>NA</v>
      </c>
      <c r="ET719" s="157">
        <f>IF('IWP12'!$A$363=DATE(1900,1,0), DATE(1900,1,1), 'IWP12'!$A$363)</f>
        <v>1</v>
      </c>
      <c r="EU719" s="155">
        <f>'IWP12'!$C$363</f>
        <v>0</v>
      </c>
      <c r="EV719" s="155">
        <f>'IWP12'!$E$363</f>
        <v>0</v>
      </c>
      <c r="EW719" s="157">
        <f>IF('IWP12'!$G$363=DATE(1900,1,0), DATE(1900,1,1), 'IWP12'!$G$363)</f>
        <v>1</v>
      </c>
      <c r="EX719" s="155">
        <f>'IWP12'!$I$363</f>
        <v>0</v>
      </c>
      <c r="EY719" s="155">
        <f>'IWP12'!$K$363</f>
        <v>0</v>
      </c>
      <c r="EZ719" s="157">
        <f>IF('IWP12'!$M$363=DATE(1900,1,0), DATE(1900,1,1), 'IWP12'!$M$363)</f>
        <v>1</v>
      </c>
      <c r="FA719" s="151" t="str">
        <f>IF('IWP12'!$O$363 = 0, "", 'IWP12'!$O$363)</f>
        <v/>
      </c>
      <c r="FB719" s="151" t="str">
        <f>IF('IWP12'!$Q$363 = 0, "", 'IWP12'!$Q$363)</f>
        <v/>
      </c>
      <c r="FC719" s="151" t="str">
        <f>IF('IWP12'!Std11dot5a = 0, "", 'IWP12'!Std11dot5a)</f>
        <v/>
      </c>
      <c r="FD719" s="151" t="str">
        <f>IF('IWP12'!Std11dot5b = 0, "", 'IWP12'!Std11dot5b)</f>
        <v/>
      </c>
      <c r="FE719" s="151" t="str">
        <f>IF('IWP12'!Std11dot5ci = 0, "", 'IWP12'!Std11dot5ci)</f>
        <v>NA</v>
      </c>
      <c r="FF719" s="151" t="str">
        <f>IF('IWP12'!Std11dot5cii = 0, "", 'IWP12'!Std11dot5cii)</f>
        <v>NA</v>
      </c>
      <c r="FG719" s="151" t="str">
        <f>IF('IWP12'!Std11dot5 = 0, "", 'IWP12'!Std11dot5)</f>
        <v/>
      </c>
      <c r="FH719" s="207" t="str">
        <f>IF('IWP12'!Std11dot1AptGrandFthr = "", "", 'IWP12'!Std11dot1AptGrandFthr)</f>
        <v/>
      </c>
    </row>
    <row r="720" spans="1:164">
      <c r="A720" s="206" t="s">
        <v>1316</v>
      </c>
      <c r="B720" s="157">
        <f>IF('Samples (Print)'!D17=DATE(1900,1,0),DATE(1900,1,1),'Samples (Print)'!D17)</f>
        <v>1</v>
      </c>
      <c r="C720" s="157">
        <f>IF('Samples (Print)'!E17=DATE(1900,1,0),DATE(1900,1,1),'Samples (Print)'!E17)</f>
        <v>1</v>
      </c>
      <c r="D720" s="319">
        <f>IF('IWP13'!FiscalReviewFirstMonth =DATE(1900,1,0),DATE(1900,1,1),'IWP13'!FiscalReviewFirstMonth)</f>
        <v>1</v>
      </c>
      <c r="E720" s="319">
        <f>IF('IWP13'!FiscalReviewSecondMonth =DATE(1900,1,0),DATE(1900,1,1),'IWP13'!FiscalReviewSecondMonth)</f>
        <v>1</v>
      </c>
      <c r="F720" s="13">
        <f>'IWP13'!SampleNumber</f>
        <v>13</v>
      </c>
      <c r="G720" s="13">
        <f ca="1">'IWP13'!ClientID</f>
        <v>0</v>
      </c>
      <c r="H720" s="283"/>
      <c r="I720" s="283"/>
      <c r="J720" s="151" t="str">
        <f ca="1">IF('IWP13'!ContractNumber = 0, "", 'IWP13'!ContractNumber)</f>
        <v/>
      </c>
      <c r="K720" s="151" t="str">
        <f ca="1">IF('IWP13'!ContractType = 0, "", 'IWP13'!ContractType)</f>
        <v/>
      </c>
      <c r="L720" s="151" t="str">
        <f>IF('IWP13'!CompletedByLastName = 0, "", 'IWP13'!CompletedByLastName)</f>
        <v/>
      </c>
      <c r="M720" s="151" t="str">
        <f>IF('IWP13'!CompletedByFirstName = 0, "", 'IWP13'!CompletedByFirstName)</f>
        <v/>
      </c>
      <c r="N720" s="157">
        <f>IF('IWP13'!DateCompleted =DATE(1900,1,0),DATE(1900,1,1),'IWP13'!DateCompleted)</f>
        <v>1</v>
      </c>
      <c r="O720" s="151" t="str">
        <f>IF('IWP13'!Std3NotCalc = 0, "", 'IWP13'!Std3NotCalc)</f>
        <v/>
      </c>
      <c r="P720" s="157">
        <f>IF('IWP13'!Std3dot1DateOfAdmission =DATE(1900,1,0),DATE(1900,1,1),'IWP13'!Std3dot1DateOfAdmission)</f>
        <v>1</v>
      </c>
      <c r="Q720" s="151" t="str">
        <f>IF('IWP13'!Std3dot1a = 0, "", 'IWP13'!Std3dot1a)</f>
        <v/>
      </c>
      <c r="R720" s="151" t="str">
        <f>IF('IWP13'!Std3dot1b = 0, "", 'IWP13'!Std3dot1b)</f>
        <v/>
      </c>
      <c r="S720" s="151" t="str">
        <f>IF('IWP13'!Std3dot1c = 0, "", 'IWP13'!Std3dot1c)</f>
        <v>NA</v>
      </c>
      <c r="T720" s="151" t="str">
        <f>IF('IWP13'!Std3dot1 = 0, "", 'IWP13'!Std3dot1)</f>
        <v/>
      </c>
      <c r="U720" s="151" t="str">
        <f>IF('IWP13'!Std3dot2a = 0, "", 'IWP13'!Std3dot2a)</f>
        <v/>
      </c>
      <c r="V720" s="151" t="str">
        <f>IF('IWP13'!Std3dot2b = 0, "", 'IWP13'!Std3dot2b)</f>
        <v/>
      </c>
      <c r="W720" s="151" t="str">
        <f>IF('IWP13'!Std3dot2c = 0, "", 'IWP13'!Std3dot2c)</f>
        <v/>
      </c>
      <c r="X720" s="151" t="str">
        <f>IF('IWP13'!Std3dot2 = 0, "", 'IWP13'!Std3dot2)</f>
        <v/>
      </c>
      <c r="Y720" s="151" t="str">
        <f>IF('IWP13'!Std4dot1Month1 = 0, "", 'IWP13'!Std4dot1Month1)</f>
        <v/>
      </c>
      <c r="Z720" s="157">
        <f>IF('IWP13'!Std4dot1Month1Date =DATE(1900,1,0),DATE(1900,1,1),'IWP13'!Std4dot1Month1Date)</f>
        <v>1</v>
      </c>
      <c r="AA720" s="151" t="str">
        <f>IF('IWP13'!Std4dot1Month2 = 0, "", 'IWP13'!Std4dot1Month2)</f>
        <v/>
      </c>
      <c r="AB720" s="157">
        <f>IF('IWP13'!Std4dot1Month2Date =DATE(1900,1,0),DATE(1900,1,1),'IWP13'!Std4dot1Month2Date)</f>
        <v>1</v>
      </c>
      <c r="AC720" s="151" t="str">
        <f>IF('IWP13'!Std4dot1 = 0, "", 'IWP13'!Std4dot1)</f>
        <v/>
      </c>
      <c r="AD720" s="151" t="str">
        <f>IF('IWP13'!Std4dot2NotCalc = 0, "", 'IWP13'!Std4dot2NotCalc)</f>
        <v/>
      </c>
      <c r="AE720" s="151" t="str">
        <f>IF('IWP13'!Std4dot2 = 0, "", 'IWP13'!Std4dot2)</f>
        <v/>
      </c>
      <c r="AF720" s="151" t="str">
        <f>IF('IWP13'!Std4dot3 = 0, "", 'IWP13'!Std4dot3)</f>
        <v/>
      </c>
      <c r="AG720" s="151" t="str">
        <f>IF('IWP13'!Std4dot4 = 0, "", 'IWP13'!Std4dot4)</f>
        <v/>
      </c>
      <c r="AH720" s="151" t="str">
        <f>IF('IWP13'!Std5NotCalc = 0, "", 'IWP13'!Std5NotCalc)</f>
        <v/>
      </c>
      <c r="AI720" s="151" t="str">
        <f>IF('IWP13'!Std5dot1 = 0, "", 'IWP13'!Std5dot1)</f>
        <v/>
      </c>
      <c r="AJ720" s="151" t="str">
        <f>IF('IWP13'!Std7dot1NotCalc = 0, "", 'IWP13'!Std7dot1NotCalc)</f>
        <v/>
      </c>
      <c r="AK720" s="151" t="str">
        <f>IF('IWP13'!Std7dot1NotCalc = 0, "", 'IWP13'!Std7dot1NotCalc)</f>
        <v/>
      </c>
      <c r="AL720" s="155">
        <f>'IWP13'!Std7dot1BalPerCshLog</f>
        <v>0</v>
      </c>
      <c r="AM720" s="155">
        <f>'IWP13'!Std7dot1LessAdj</f>
        <v>0</v>
      </c>
      <c r="AN720" s="155">
        <f>'IWP13'!Std7dot1AdjBal</f>
        <v>0</v>
      </c>
      <c r="AO720" s="155">
        <f>'IWP13'!Std7dot1CshOnHand</f>
        <v>0</v>
      </c>
      <c r="AP720" s="155">
        <f>'IWP13'!Std7dot1PtyCshOvrShrt</f>
        <v>0</v>
      </c>
      <c r="AQ720" s="151" t="str">
        <f>IF('IWP13'!Std7dot1OvrShrtCorr = 0, "", 'IWP13'!Std7dot1OvrShrtCorr)</f>
        <v/>
      </c>
      <c r="AR720" s="151" t="str">
        <f>IF('IWP13'!Std7dot1 = 0, "", 'IWP13'!Std7dot1)</f>
        <v/>
      </c>
      <c r="AS720" s="151" t="str">
        <f>IF('IWP13'!Std9dot1aNotCalc = 0, "", 'IWP13'!Std9dot1aNotCalc)</f>
        <v/>
      </c>
      <c r="AT720" s="151" t="str">
        <f>IF('IWP13'!Std9dot1bNotCalc = 0, "", 'IWP13'!Std9dot1bNotCalc)</f>
        <v/>
      </c>
      <c r="AU720" s="157">
        <f>IF('IWP13'!Std9BalPerBnkStmtDt =DATE(1900,1,0),DATE(1900,1,1),'IWP13'!Std9BalPerBnkStmtDt)</f>
        <v>1</v>
      </c>
      <c r="AV720" s="155">
        <f>'IWP13'!Std9BalPerBnkStmt</f>
        <v>0</v>
      </c>
      <c r="AW720" s="155">
        <f>'IWP13'!Std9TotDepsInTrans</f>
        <v>0</v>
      </c>
      <c r="AX720" s="155">
        <f>'IWP13'!Std9TotOutsChks</f>
        <v>0</v>
      </c>
      <c r="AY720" s="155">
        <f>'IWP13'!Std9AdjBalPerBank</f>
        <v>0</v>
      </c>
      <c r="AZ720" s="157">
        <f>IF('IWP13'!Std9TotPtyCshIndvDt =DATE(1900,1,0),DATE(1900,1,1),'IWP13'!Std9TotPtyCshIndvDt)</f>
        <v>1</v>
      </c>
      <c r="BA720" s="155">
        <f>'IWP13'!Std9TotPtyCshIndv</f>
        <v>0</v>
      </c>
      <c r="BB720" s="155">
        <f>'IWP13'!Std9TotCshBnkAndHnd</f>
        <v>0</v>
      </c>
      <c r="BC720" s="157">
        <f>IF('IWP13'!Std9BalPerBksDt =DATE(1900,1,0),DATE(1900,1,1),'IWP13'!Std9BalPerBksDt)</f>
        <v>1</v>
      </c>
      <c r="BD720" s="155">
        <f>'IWP13'!Std9BalPerBks</f>
        <v>0</v>
      </c>
      <c r="BE720" s="155">
        <f>'IWP13'!Std9UnapplErndInt</f>
        <v>0</v>
      </c>
      <c r="BF720" s="155">
        <f>'IWP13'!Std9UnpstdRcptDsbrsmts</f>
        <v>0</v>
      </c>
      <c r="BG720" s="155">
        <f>'IWP13'!Std9NsfChks</f>
        <v>0</v>
      </c>
      <c r="BH720" s="155">
        <f>'IWP13'!Std9AdjBalPerBks</f>
        <v>0</v>
      </c>
      <c r="BI720" s="155">
        <f>'IWP13'!Std9TrstFndAcctOvrShrt</f>
        <v>0</v>
      </c>
      <c r="BJ720" s="151" t="str">
        <f>IF('IWP13'!Std9OvrShrtCorrctd = 0, "", 'IWP13'!Std9OvrShrtCorrctd)</f>
        <v/>
      </c>
      <c r="BK720" s="151" t="str">
        <f>IF('IWP13'!Std9ShrtUnreimbSvcChg = 0, "", 'IWP13'!Std9ShrtUnreimbSvcChg)</f>
        <v/>
      </c>
      <c r="BL720" s="151" t="str">
        <f>IF('IWP13'!Std9dot1 = 0, "", 'IWP13'!Std9dot1)</f>
        <v/>
      </c>
      <c r="BM720" s="151" t="str">
        <f>IF('IWP13'!Std10dot1NotCalc = 0, "", 'IWP13'!Std10dot1NotCalc)</f>
        <v/>
      </c>
      <c r="BN720" s="319">
        <f>IF('IWP13'!FiscalReviewFirstMonth =DATE(1900,1,0),DATE(1900,1,1),'IWP13'!FiscalReviewFirstMonth)</f>
        <v>1</v>
      </c>
      <c r="BO720" s="155">
        <f>'IWP13'!Std10dot1TotalAmt1</f>
        <v>0</v>
      </c>
      <c r="BP720" s="319">
        <f>IF('IWP13'!FiscalReviewSecondMonth =DATE(1900,1,0),DATE(1900,1,1),'IWP13'!FiscalReviewSecondMonth)</f>
        <v>1</v>
      </c>
      <c r="BQ720" s="155">
        <f>'IWP13'!Std10dot1TotalAmt2</f>
        <v>0</v>
      </c>
      <c r="BR720" s="151" t="str">
        <f>IF('IWP13'!Std10dot1 = 0, "", 'IWP13'!Std10dot1)</f>
        <v/>
      </c>
      <c r="BS720" s="151" t="str">
        <f>IF('IWP13'!Std10dot2NotCalc = 0, "", 'IWP13'!Std10dot2NotCalc)</f>
        <v/>
      </c>
      <c r="BT720" s="319">
        <f>IF('IWP13'!FiscalReviewFirstMonth =DATE(1900,1,0),DATE(1900,1,1),'IWP13'!FiscalReviewFirstMonth)</f>
        <v>1</v>
      </c>
      <c r="BU720" s="155">
        <f>'IWP13'!Std10dot2BankChgs1</f>
        <v>0</v>
      </c>
      <c r="BV720" s="319">
        <f>IF('IWP13'!FiscalReviewSecondMonth =DATE(1900,1,0),DATE(1900,1,1),'IWP13'!FiscalReviewSecondMonth)</f>
        <v>1</v>
      </c>
      <c r="BW720" s="155">
        <f>'IWP13'!Std10dot2BankChgs2</f>
        <v>0</v>
      </c>
      <c r="BX720" s="151" t="str">
        <f>IF('IWP13'!Std10dot2 = 0, "", 'IWP13'!Std10dot2)</f>
        <v/>
      </c>
      <c r="BY720" s="151" t="str">
        <f>IF('IWP13'!Std10dot3NotCalc = 0, "", 'IWP13'!Std10dot3NotCalc)</f>
        <v/>
      </c>
      <c r="BZ720" s="151" t="str">
        <f>IF('IWP13'!Std10dot3 = 0, "", 'IWP13'!Std10dot3)</f>
        <v/>
      </c>
      <c r="CA720" s="151" t="str">
        <f>IF('IWP13'!Std10dot4NotCalc = 0, "", 'IWP13'!Std10dot4NotCalc)</f>
        <v/>
      </c>
      <c r="CB720" s="151" t="str">
        <f>IF('IWP13'!Std10dot4 = 0, "", 'IWP13'!Std10dot4)</f>
        <v/>
      </c>
      <c r="CC720" s="151" t="str">
        <f>IF('IWP13'!Std10dot5 = 0, "", 'IWP13'!Std10dot5)</f>
        <v/>
      </c>
      <c r="CD720" s="151" t="str">
        <f>IF('IWP13'!Std10dot6NotCalc = 0, "", 'IWP13'!Std10dot6NotCalc)</f>
        <v/>
      </c>
      <c r="CE720" s="157">
        <f>IF('IWP13'!Std10dot6DateOfDeathDischarge =DATE(1900,1,0),DATE(1900,1,1),'IWP13'!Std10dot6DateOfDeathDischarge)</f>
        <v>1</v>
      </c>
      <c r="CF720" s="151" t="str">
        <f>IF('IWP13'!Std10dot6DthDschg = 0, "", 'IWP13'!Std10dot6DthDschg)</f>
        <v/>
      </c>
      <c r="CG720" s="155">
        <f>'IWP13'!Std10dot6TrustFundAmtDue</f>
        <v>0</v>
      </c>
      <c r="CH720" s="155">
        <f>'IWP13'!Std10dot6IndvPtyCshAmtDue</f>
        <v>0</v>
      </c>
      <c r="CI720" s="155">
        <f>'IWP13'!Std10dot6TotRfndDue</f>
        <v>0</v>
      </c>
      <c r="CJ720" s="155">
        <f>'IWP13'!Std10dot6AmtRfnd</f>
        <v>0</v>
      </c>
      <c r="CK720" s="155">
        <f>'IWP13'!Std10dot6DminusE</f>
        <v>0</v>
      </c>
      <c r="CL720" s="151" t="str">
        <f>IF('IWP13'!Std10dot6LastName = 0, "", 'IWP13'!Std10dot6LastName)</f>
        <v/>
      </c>
      <c r="CM720" s="151" t="str">
        <f>IF('IWP13'!Std10dot6FirstName = 0, "", 'IWP13'!Std10dot6FirstName)</f>
        <v/>
      </c>
      <c r="CN720" s="157">
        <f>IF('IWP13'!Std10dot6DateOfRefund =DATE(1900,1,0),DATE(1900,1,1),'IWP13'!Std10dot6DateOfRefund)</f>
        <v>1</v>
      </c>
      <c r="CO720" s="151" t="str">
        <f>IF('IWP13'!Std10dot6a = 0, "", 'IWP13'!Std10dot6a)</f>
        <v/>
      </c>
      <c r="CP720" s="151" t="str">
        <f>IF('IWP13'!Std10dot6b = 0, "", 'IWP13'!Std10dot6b)</f>
        <v/>
      </c>
      <c r="CQ720" s="151" t="str">
        <f>IF('IWP13'!Std10dot6c = 0, "", 'IWP13'!Std10dot6c)</f>
        <v/>
      </c>
      <c r="CR720" s="151" t="str">
        <f>IF('IWP13'!Std10dot6 = "", "", 'IWP13'!Std10dot6)</f>
        <v/>
      </c>
      <c r="CS720" s="151" t="str">
        <f>IF('IWP13'!Std11dot1aNotCalc = 0, "", 'IWP13'!Std11dot1aNotCalc)</f>
        <v/>
      </c>
      <c r="CT720" s="151" t="str">
        <f>IF('IWP13'!Std11dot1bNotCalc = 0, "", 'IWP13'!Std11dot1bNotCalc)</f>
        <v>N</v>
      </c>
      <c r="CU720" s="151" t="str">
        <f>IF('IWP13'!Std11dot1cNotCalc = 0, "", 'IWP13'!Std11dot1cNotCalc)</f>
        <v>N</v>
      </c>
      <c r="CV720" s="151" t="str">
        <f>IF('IWP13'!Std11dot1dNotCalc = 0, "", 'IWP13'!Std11dot1dNotCalc)</f>
        <v/>
      </c>
      <c r="CW720" s="151" t="str">
        <f>IF('IWP13'!Std11dot1eNotCalc = 0, "", 'IWP13'!Std11dot1eNotCalc)</f>
        <v/>
      </c>
      <c r="CX720" s="151" t="str">
        <f>IF('IWP13'!Std11dot1fNotCalc = 0, "", 'IWP13'!Std11dot1fNotCalc)</f>
        <v/>
      </c>
      <c r="CY720" s="151" t="str">
        <f>IF('IWP13'!Std11dot1PrivateLivingSpace = 0, "", 'IWP13'!Std11dot1PrivateLivingSpace)</f>
        <v/>
      </c>
      <c r="CZ720" s="155">
        <f>'IWP13'!Std11dot1LivingWidth</f>
        <v>0</v>
      </c>
      <c r="DA720" s="155">
        <f>'IWP13'!Std11dot1LivingLength</f>
        <v>0</v>
      </c>
      <c r="DB720" s="155">
        <f>IF('IWP13'!Std11dot1LivingSqFt = "", MINVALDBL, 'IWP13'!Std11dot1LivingSqFt)</f>
        <v>-99999.99</v>
      </c>
      <c r="DC720" s="151" t="str">
        <f>IF('IWP13'!Std11dot1PrivateLivingSpace = 0, "", 'IWP13'!Std11dot1PrivateLivingSpace)</f>
        <v/>
      </c>
      <c r="DD720" s="155">
        <f>'IWP13'!Std11dot1LivingWidth</f>
        <v>0</v>
      </c>
      <c r="DE720" s="155">
        <f>'IWP13'!Std11dot1LivingLength</f>
        <v>0</v>
      </c>
      <c r="DF720" s="155">
        <f>IF('IWP13'!Std11dot1LivingSqFt = "", MINVALDBL, 'IWP13'!Std11dot1LivingSqFt)</f>
        <v>-99999.99</v>
      </c>
      <c r="DG720" s="151" t="str">
        <f>IF('IWP13'!Std11dot1PrivateBedSpace = 0, "", 'IWP13'!Std11dot1PrivateBedSpace)</f>
        <v/>
      </c>
      <c r="DH720" s="155">
        <f>'IWP13'!Std11dot1BdrmWidth</f>
        <v>0</v>
      </c>
      <c r="DI720" s="155">
        <f>'IWP13'!Std11dot1BdrmLength</f>
        <v>0</v>
      </c>
      <c r="DJ720" s="155">
        <f>IF('IWP13'!Std11dot1BdrmSqFt = "", MINVALDBL, 'IWP13'!Std11dot1BdrmSqFt)</f>
        <v>-99999.99</v>
      </c>
      <c r="DK720" s="151" t="str">
        <f>IF('IWP13'!Std11dot1PrivateStorageSpace = 0, "", 'IWP13'!Std11dot1PrivateStorageSpace)</f>
        <v/>
      </c>
      <c r="DL720" s="155">
        <f>'IWP13'!Std11dot1StorageWidth</f>
        <v>0</v>
      </c>
      <c r="DM720" s="155">
        <f>'IWP13'!Std11dot1StorageLength</f>
        <v>0</v>
      </c>
      <c r="DN720" s="155">
        <f>IF('IWP13'!Std11dot1StorageSqFt = "", 0, 'IWP13'!Std11dot1StorageSqFt)</f>
        <v>0</v>
      </c>
      <c r="DO720" s="151" t="str">
        <f>IF('IWP13'!Std11dot1PrivateKitchenSpace = 0, "", 'IWP13'!Std11dot1PrivateKitchenSpace)</f>
        <v/>
      </c>
      <c r="DP720" s="155">
        <f>'IWP13'!Std11dot1KitchenWidth</f>
        <v>0</v>
      </c>
      <c r="DQ720" s="155">
        <f>'IWP13'!Std11dot1KitchenLength</f>
        <v>0</v>
      </c>
      <c r="DR720" s="155">
        <f>IF('IWP13'!Std11dot1KitchenSqFt = "", MINVALDBL, 'IWP13'!Std11dot1KitchenSqFt)</f>
        <v>-99999.99</v>
      </c>
      <c r="DS720" s="151" t="str">
        <f>IF('IWP13'!Std11dot1KitchenSink = 0, "", 'IWP13'!Std11dot1KitchenSink)</f>
        <v/>
      </c>
      <c r="DT720" s="151" t="str">
        <f>IF('IWP13'!Std11dot1Refrigerator = 0, "", 'IWP13'!Std11dot1Refrigerator)</f>
        <v/>
      </c>
      <c r="DU720" s="151" t="str">
        <f>IF('IWP13'!Std11dot1StoveMicrowave = 0, "", 'IWP13'!Std11dot1StoveMicrowave)</f>
        <v/>
      </c>
      <c r="DV720" s="151" t="str">
        <f>IF('IWP13'!Std11dot1SeparateBath = 0, "", 'IWP13'!Std11dot1SeparateBath)</f>
        <v/>
      </c>
      <c r="DW720" s="151" t="str">
        <f>IF('IWP13'!Std11dot1BathSink = 0, "", 'IWP13'!Std11dot1BathSink)</f>
        <v/>
      </c>
      <c r="DX720" s="151" t="str">
        <f>IF('IWP13'!Std11dot1ShowerTubAccessible = 0, "", 'IWP13'!Std11dot1ShowerTubAccessible)</f>
        <v/>
      </c>
      <c r="DY720" s="155">
        <f>'IWP13'!Std11dot1TotalPrivateSpace</f>
        <v>0</v>
      </c>
      <c r="DZ720" s="155">
        <f>'IWP13'!Std11dot1PrivateSpaceSquareFootagePerResident</f>
        <v>0</v>
      </c>
      <c r="EA720" s="155">
        <f>IF('IWP13'!Std11dot1TotalSquareFootagePerResident = "", MINVALDBL, 'IWP13'!Std11dot1TotalSquareFootagePerResident)</f>
        <v>-99999.99</v>
      </c>
      <c r="EB720" s="155">
        <f>'IWP13'!Std11dot1UseableCommonAreaSquareFootage</f>
        <v>0</v>
      </c>
      <c r="EC720" s="155">
        <f>'IWP13'!Std11dot1LicensedCapacity</f>
        <v>0</v>
      </c>
      <c r="ED720" s="155">
        <f>IF('IWP13'!Std11dot1CommonAreaSquareFootagePerResident = "", MINVALDBL, 'IWP13'!Std11dot1CommonAreaSquareFootagePerResident)</f>
        <v>-99999.99</v>
      </c>
      <c r="EE720" s="151" t="str">
        <f>IF('IWP13'!Std11dot1a = 0, "", 'IWP13'!Std11dot1a)</f>
        <v/>
      </c>
      <c r="EF720" s="151" t="str">
        <f>IF('IWP13'!Std11dot1b = 0, "", 'IWP13'!Std11dot1b)</f>
        <v/>
      </c>
      <c r="EG720" s="151" t="str">
        <f>IF('IWP13'!Std11dot1c = 0, "", 'IWP13'!Std11dot1c)</f>
        <v/>
      </c>
      <c r="EH720" s="151" t="str">
        <f>IF('IWP13'!Std11dot1d = 0, "", 'IWP13'!Std11dot1d)</f>
        <v/>
      </c>
      <c r="EI720" s="151" t="str">
        <f>IF('IWP13'!Std11dot1e = 0, "", 'IWP13'!Std11dot1e)</f>
        <v/>
      </c>
      <c r="EJ720" s="151" t="str">
        <f>IF('IWP13'!Std11dot1f = 0, "", 'IWP13'!Std11dot1f)</f>
        <v/>
      </c>
      <c r="EK720" s="151" t="str">
        <f>IF('IWP13'!Std11dot1g = 0, "", 'IWP13'!Std11dot1g)</f>
        <v/>
      </c>
      <c r="EL720" s="151" t="str">
        <f>IF('IWP13'!Std11dot1h = 0, "", 'IWP13'!Std11dot1h)</f>
        <v/>
      </c>
      <c r="EM720" s="151" t="str">
        <f>IF('IWP13'!Std11dot1i = 0, "", 'IWP13'!Std11dot1i)</f>
        <v/>
      </c>
      <c r="EN720" s="151" t="str">
        <f>IF('IWP13'!Std11dot1j = 0, "", 'IWP13'!Std11dot1j)</f>
        <v/>
      </c>
      <c r="EO720" s="151" t="str">
        <f>IF('IWP13'!Std11dot1k = 0, "", 'IWP13'!Std11dot1k)</f>
        <v/>
      </c>
      <c r="EP720" s="151" t="str">
        <f>IF('IWP13'!Std11dot1 = 0, "", 'IWP13'!Std11dot1)</f>
        <v/>
      </c>
      <c r="EQ720" s="151" t="str">
        <f>IF('IWP13'!Std11dot2 = 0, "", 'IWP13'!Std11dot2)</f>
        <v/>
      </c>
      <c r="ER720" s="151" t="str">
        <f>IF('IWP13'!Std11dot3 = 0, "", 'IWP13'!Std11dot3)</f>
        <v/>
      </c>
      <c r="ES720" s="151" t="str">
        <f>IF('IWP13'!Std11dot4 = 0, "", 'IWP13'!Std11dot4)</f>
        <v>NA</v>
      </c>
      <c r="ET720" s="157">
        <f>IF('IWP13'!$A$363=DATE(1900,1,0), DATE(1900,1,1), 'IWP13'!$A$363)</f>
        <v>1</v>
      </c>
      <c r="EU720" s="155">
        <f>'IWP13'!$C$363</f>
        <v>0</v>
      </c>
      <c r="EV720" s="155">
        <f>'IWP13'!$E$363</f>
        <v>0</v>
      </c>
      <c r="EW720" s="157">
        <f>IF('IWP13'!$G$363=DATE(1900,1,0), DATE(1900,1,1), 'IWP13'!$G$363)</f>
        <v>1</v>
      </c>
      <c r="EX720" s="155">
        <f>'IWP13'!$I$363</f>
        <v>0</v>
      </c>
      <c r="EY720" s="155">
        <f>'IWP13'!$K$363</f>
        <v>0</v>
      </c>
      <c r="EZ720" s="157">
        <f>IF('IWP13'!$M$363=DATE(1900,1,0), DATE(1900,1,1), 'IWP13'!$M$363)</f>
        <v>1</v>
      </c>
      <c r="FA720" s="151" t="str">
        <f>IF('IWP13'!$O$363 = 0, "", 'IWP13'!$O$363)</f>
        <v/>
      </c>
      <c r="FB720" s="151" t="str">
        <f>IF('IWP13'!$Q$363 = 0, "", 'IWP13'!$Q$363)</f>
        <v/>
      </c>
      <c r="FC720" s="151" t="str">
        <f>IF('IWP13'!Std11dot5a = 0, "", 'IWP13'!Std11dot5a)</f>
        <v/>
      </c>
      <c r="FD720" s="151" t="str">
        <f>IF('IWP13'!Std11dot5b = 0, "", 'IWP13'!Std11dot5b)</f>
        <v/>
      </c>
      <c r="FE720" s="151" t="str">
        <f>IF('IWP13'!Std11dot5ci = 0, "", 'IWP13'!Std11dot5ci)</f>
        <v>NA</v>
      </c>
      <c r="FF720" s="151" t="str">
        <f>IF('IWP13'!Std11dot5cii = 0, "", 'IWP13'!Std11dot5cii)</f>
        <v>NA</v>
      </c>
      <c r="FG720" s="151" t="str">
        <f>IF('IWP13'!Std11dot5 = 0, "", 'IWP13'!Std11dot5)</f>
        <v/>
      </c>
      <c r="FH720" s="207" t="str">
        <f>IF('IWP13'!Std11dot1AptGrandFthr = "", "", 'IWP13'!Std11dot1AptGrandFthr)</f>
        <v/>
      </c>
    </row>
    <row r="721" spans="1:164">
      <c r="A721" s="206" t="s">
        <v>1317</v>
      </c>
      <c r="B721" s="157">
        <f>IF('Samples (Print)'!D18=DATE(1900,1,0),DATE(1900,1,1),'Samples (Print)'!D18)</f>
        <v>1</v>
      </c>
      <c r="C721" s="157">
        <f>IF('Samples (Print)'!E18=DATE(1900,1,0),DATE(1900,1,1),'Samples (Print)'!E18)</f>
        <v>1</v>
      </c>
      <c r="D721" s="319">
        <f>IF('IWP14'!FiscalReviewFirstMonth =DATE(1900,1,0),DATE(1900,1,1),'IWP14'!FiscalReviewFirstMonth)</f>
        <v>1</v>
      </c>
      <c r="E721" s="319">
        <f>IF('IWP14'!FiscalReviewSecondMonth =DATE(1900,1,0),DATE(1900,1,1),'IWP14'!FiscalReviewSecondMonth)</f>
        <v>1</v>
      </c>
      <c r="F721" s="13">
        <f>'IWP14'!SampleNumber</f>
        <v>14</v>
      </c>
      <c r="G721" s="13">
        <f ca="1">'IWP14'!ClientID</f>
        <v>0</v>
      </c>
      <c r="H721" s="283"/>
      <c r="I721" s="283"/>
      <c r="J721" s="151" t="str">
        <f ca="1">IF('IWP14'!ContractNumber = 0, "", 'IWP14'!ContractNumber)</f>
        <v/>
      </c>
      <c r="K721" s="151" t="str">
        <f ca="1">IF('IWP14'!ContractType = 0, "", 'IWP14'!ContractType)</f>
        <v/>
      </c>
      <c r="L721" s="151" t="str">
        <f>IF('IWP14'!CompletedByLastName = 0, "", 'IWP14'!CompletedByLastName)</f>
        <v/>
      </c>
      <c r="M721" s="151" t="str">
        <f>IF('IWP14'!CompletedByFirstName = 0, "", 'IWP14'!CompletedByFirstName)</f>
        <v/>
      </c>
      <c r="N721" s="157">
        <f>IF('IWP14'!DateCompleted =DATE(1900,1,0),DATE(1900,1,1),'IWP14'!DateCompleted)</f>
        <v>1</v>
      </c>
      <c r="O721" s="151" t="str">
        <f>IF('IWP14'!Std3NotCalc = 0, "", 'IWP14'!Std3NotCalc)</f>
        <v/>
      </c>
      <c r="P721" s="157">
        <f>IF('IWP14'!Std3dot1DateOfAdmission =DATE(1900,1,0),DATE(1900,1,1),'IWP14'!Std3dot1DateOfAdmission)</f>
        <v>1</v>
      </c>
      <c r="Q721" s="151" t="str">
        <f>IF('IWP14'!Std3dot1a = 0, "", 'IWP14'!Std3dot1a)</f>
        <v/>
      </c>
      <c r="R721" s="151" t="str">
        <f>IF('IWP14'!Std3dot1b = 0, "", 'IWP14'!Std3dot1b)</f>
        <v/>
      </c>
      <c r="S721" s="151" t="str">
        <f>IF('IWP14'!Std3dot1c = 0, "", 'IWP14'!Std3dot1c)</f>
        <v>NA</v>
      </c>
      <c r="T721" s="151" t="str">
        <f>IF('IWP14'!Std3dot1 = 0, "", 'IWP14'!Std3dot1)</f>
        <v/>
      </c>
      <c r="U721" s="151" t="str">
        <f>IF('IWP14'!Std3dot2a = 0, "", 'IWP14'!Std3dot2a)</f>
        <v/>
      </c>
      <c r="V721" s="151" t="str">
        <f>IF('IWP14'!Std3dot2b = 0, "", 'IWP14'!Std3dot2b)</f>
        <v/>
      </c>
      <c r="W721" s="151" t="str">
        <f>IF('IWP14'!Std3dot2c = 0, "", 'IWP14'!Std3dot2c)</f>
        <v/>
      </c>
      <c r="X721" s="151" t="str">
        <f>IF('IWP14'!Std3dot2 = 0, "", 'IWP14'!Std3dot2)</f>
        <v/>
      </c>
      <c r="Y721" s="151" t="str">
        <f>IF('IWP14'!Std4dot1Month1 = 0, "", 'IWP14'!Std4dot1Month1)</f>
        <v/>
      </c>
      <c r="Z721" s="157">
        <f>IF('IWP14'!Std4dot1Month1Date =DATE(1900,1,0),DATE(1900,1,1),'IWP14'!Std4dot1Month1Date)</f>
        <v>1</v>
      </c>
      <c r="AA721" s="151" t="str">
        <f>IF('IWP14'!Std4dot1Month2 = 0, "", 'IWP14'!Std4dot1Month2)</f>
        <v/>
      </c>
      <c r="AB721" s="157">
        <f>IF('IWP14'!Std4dot1Month2Date =DATE(1900,1,0),DATE(1900,1,1),'IWP14'!Std4dot1Month2Date)</f>
        <v>1</v>
      </c>
      <c r="AC721" s="151" t="str">
        <f>IF('IWP14'!Std4dot1 = 0, "", 'IWP14'!Std4dot1)</f>
        <v/>
      </c>
      <c r="AD721" s="151" t="str">
        <f>IF('IWP14'!Std4dot2NotCalc = 0, "", 'IWP14'!Std4dot2NotCalc)</f>
        <v/>
      </c>
      <c r="AE721" s="151" t="str">
        <f>IF('IWP14'!Std4dot2 = 0, "", 'IWP14'!Std4dot2)</f>
        <v/>
      </c>
      <c r="AF721" s="151" t="str">
        <f>IF('IWP14'!Std4dot3 = 0, "", 'IWP14'!Std4dot3)</f>
        <v/>
      </c>
      <c r="AG721" s="151" t="str">
        <f>IF('IWP14'!Std4dot4 = 0, "", 'IWP14'!Std4dot4)</f>
        <v/>
      </c>
      <c r="AH721" s="151" t="str">
        <f>IF('IWP14'!Std5NotCalc = 0, "", 'IWP14'!Std5NotCalc)</f>
        <v/>
      </c>
      <c r="AI721" s="151" t="str">
        <f>IF('IWP14'!Std5dot1 = 0, "", 'IWP14'!Std5dot1)</f>
        <v/>
      </c>
      <c r="AJ721" s="151" t="str">
        <f>IF('IWP14'!Std7dot1NotCalc = 0, "", 'IWP14'!Std7dot1NotCalc)</f>
        <v/>
      </c>
      <c r="AK721" s="151" t="str">
        <f>IF('IWP14'!Std7dot1NotCalc = 0, "", 'IWP14'!Std7dot1NotCalc)</f>
        <v/>
      </c>
      <c r="AL721" s="155">
        <f>'IWP14'!Std7dot1BalPerCshLog</f>
        <v>0</v>
      </c>
      <c r="AM721" s="155">
        <f>'IWP14'!Std7dot1LessAdj</f>
        <v>0</v>
      </c>
      <c r="AN721" s="155">
        <f>'IWP14'!Std7dot1AdjBal</f>
        <v>0</v>
      </c>
      <c r="AO721" s="155">
        <f>'IWP14'!Std7dot1CshOnHand</f>
        <v>0</v>
      </c>
      <c r="AP721" s="155">
        <f>'IWP14'!Std7dot1PtyCshOvrShrt</f>
        <v>0</v>
      </c>
      <c r="AQ721" s="151" t="str">
        <f>IF('IWP14'!Std7dot1OvrShrtCorr = 0, "", 'IWP14'!Std7dot1OvrShrtCorr)</f>
        <v/>
      </c>
      <c r="AR721" s="151" t="str">
        <f>IF('IWP14'!Std7dot1 = 0, "", 'IWP14'!Std7dot1)</f>
        <v/>
      </c>
      <c r="AS721" s="151" t="str">
        <f>IF('IWP14'!Std9dot1aNotCalc = 0, "", 'IWP14'!Std9dot1aNotCalc)</f>
        <v/>
      </c>
      <c r="AT721" s="151" t="str">
        <f>IF('IWP14'!Std9dot1bNotCalc = 0, "", 'IWP14'!Std9dot1bNotCalc)</f>
        <v/>
      </c>
      <c r="AU721" s="157">
        <f>IF('IWP14'!Std9BalPerBnkStmtDt =DATE(1900,1,0),DATE(1900,1,1),'IWP14'!Std9BalPerBnkStmtDt)</f>
        <v>1</v>
      </c>
      <c r="AV721" s="155">
        <f>'IWP14'!Std9BalPerBnkStmt</f>
        <v>0</v>
      </c>
      <c r="AW721" s="155">
        <f>'IWP14'!Std9TotDepsInTrans</f>
        <v>0</v>
      </c>
      <c r="AX721" s="155">
        <f>'IWP14'!Std9TotOutsChks</f>
        <v>0</v>
      </c>
      <c r="AY721" s="155">
        <f>'IWP14'!Std9AdjBalPerBank</f>
        <v>0</v>
      </c>
      <c r="AZ721" s="157">
        <f>IF('IWP14'!Std9TotPtyCshIndvDt =DATE(1900,1,0),DATE(1900,1,1),'IWP14'!Std9TotPtyCshIndvDt)</f>
        <v>1</v>
      </c>
      <c r="BA721" s="155">
        <f>'IWP14'!Std9TotPtyCshIndv</f>
        <v>0</v>
      </c>
      <c r="BB721" s="155">
        <f>'IWP14'!Std9TotCshBnkAndHnd</f>
        <v>0</v>
      </c>
      <c r="BC721" s="157">
        <f>IF('IWP14'!Std9BalPerBksDt =DATE(1900,1,0),DATE(1900,1,1),'IWP14'!Std9BalPerBksDt)</f>
        <v>1</v>
      </c>
      <c r="BD721" s="155">
        <f>'IWP14'!Std9BalPerBks</f>
        <v>0</v>
      </c>
      <c r="BE721" s="155">
        <f>'IWP14'!Std9UnapplErndInt</f>
        <v>0</v>
      </c>
      <c r="BF721" s="155">
        <f>'IWP14'!Std9UnpstdRcptDsbrsmts</f>
        <v>0</v>
      </c>
      <c r="BG721" s="155">
        <f>'IWP14'!Std9NsfChks</f>
        <v>0</v>
      </c>
      <c r="BH721" s="155">
        <f>'IWP14'!Std9AdjBalPerBks</f>
        <v>0</v>
      </c>
      <c r="BI721" s="155">
        <f>'IWP14'!Std9TrstFndAcctOvrShrt</f>
        <v>0</v>
      </c>
      <c r="BJ721" s="151" t="str">
        <f>IF('IWP14'!Std9OvrShrtCorrctd = 0, "", 'IWP14'!Std9OvrShrtCorrctd)</f>
        <v/>
      </c>
      <c r="BK721" s="151" t="str">
        <f>IF('IWP14'!Std9ShrtUnreimbSvcChg = 0, "", 'IWP14'!Std9ShrtUnreimbSvcChg)</f>
        <v/>
      </c>
      <c r="BL721" s="151" t="str">
        <f>IF('IWP14'!Std9dot1 = 0, "", 'IWP14'!Std9dot1)</f>
        <v/>
      </c>
      <c r="BM721" s="151" t="str">
        <f>IF('IWP14'!Std10dot1NotCalc = 0, "", 'IWP14'!Std10dot1NotCalc)</f>
        <v/>
      </c>
      <c r="BN721" s="319">
        <f>IF('IWP14'!FiscalReviewFirstMonth =DATE(1900,1,0),DATE(1900,1,1),'IWP14'!FiscalReviewFirstMonth)</f>
        <v>1</v>
      </c>
      <c r="BO721" s="155">
        <f>'IWP14'!Std10dot1TotalAmt1</f>
        <v>0</v>
      </c>
      <c r="BP721" s="319">
        <f>IF('IWP14'!FiscalReviewSecondMonth =DATE(1900,1,0),DATE(1900,1,1),'IWP14'!FiscalReviewSecondMonth)</f>
        <v>1</v>
      </c>
      <c r="BQ721" s="155">
        <f>'IWP14'!Std10dot1TotalAmt2</f>
        <v>0</v>
      </c>
      <c r="BR721" s="151" t="str">
        <f>IF('IWP14'!Std10dot1 = 0, "", 'IWP14'!Std10dot1)</f>
        <v/>
      </c>
      <c r="BS721" s="151" t="str">
        <f>IF('IWP14'!Std10dot2NotCalc = 0, "", 'IWP14'!Std10dot2NotCalc)</f>
        <v/>
      </c>
      <c r="BT721" s="319">
        <f>IF('IWP14'!FiscalReviewFirstMonth =DATE(1900,1,0),DATE(1900,1,1),'IWP14'!FiscalReviewFirstMonth)</f>
        <v>1</v>
      </c>
      <c r="BU721" s="155">
        <f>'IWP14'!Std10dot2BankChgs1</f>
        <v>0</v>
      </c>
      <c r="BV721" s="319">
        <f>IF('IWP14'!FiscalReviewSecondMonth =DATE(1900,1,0),DATE(1900,1,1),'IWP14'!FiscalReviewSecondMonth)</f>
        <v>1</v>
      </c>
      <c r="BW721" s="155">
        <f>'IWP14'!Std10dot2BankChgs2</f>
        <v>0</v>
      </c>
      <c r="BX721" s="151" t="str">
        <f>IF('IWP14'!Std10dot2 = 0, "", 'IWP14'!Std10dot2)</f>
        <v/>
      </c>
      <c r="BY721" s="151" t="str">
        <f>IF('IWP14'!Std10dot3NotCalc = 0, "", 'IWP14'!Std10dot3NotCalc)</f>
        <v/>
      </c>
      <c r="BZ721" s="151" t="str">
        <f>IF('IWP14'!Std10dot3 = 0, "", 'IWP14'!Std10dot3)</f>
        <v/>
      </c>
      <c r="CA721" s="151" t="str">
        <f>IF('IWP14'!Std10dot4NotCalc = 0, "", 'IWP14'!Std10dot4NotCalc)</f>
        <v/>
      </c>
      <c r="CB721" s="151" t="str">
        <f>IF('IWP14'!Std10dot4 = 0, "", 'IWP14'!Std10dot4)</f>
        <v/>
      </c>
      <c r="CC721" s="151" t="str">
        <f>IF('IWP14'!Std10dot5 = 0, "", 'IWP14'!Std10dot5)</f>
        <v/>
      </c>
      <c r="CD721" s="151" t="str">
        <f>IF('IWP14'!Std10dot6NotCalc = 0, "", 'IWP14'!Std10dot6NotCalc)</f>
        <v/>
      </c>
      <c r="CE721" s="157">
        <f>IF('IWP14'!Std10dot6DateOfDeathDischarge =DATE(1900,1,0),DATE(1900,1,1),'IWP14'!Std10dot6DateOfDeathDischarge)</f>
        <v>1</v>
      </c>
      <c r="CF721" s="151" t="str">
        <f>IF('IWP14'!Std10dot6DthDschg = 0, "", 'IWP14'!Std10dot6DthDschg)</f>
        <v/>
      </c>
      <c r="CG721" s="155">
        <f>'IWP14'!Std10dot6TrustFundAmtDue</f>
        <v>0</v>
      </c>
      <c r="CH721" s="155">
        <f>'IWP14'!Std10dot6IndvPtyCshAmtDue</f>
        <v>0</v>
      </c>
      <c r="CI721" s="155">
        <f>'IWP14'!Std10dot6TotRfndDue</f>
        <v>0</v>
      </c>
      <c r="CJ721" s="155">
        <f>'IWP14'!Std10dot6AmtRfnd</f>
        <v>0</v>
      </c>
      <c r="CK721" s="155">
        <f>'IWP14'!Std10dot6DminusE</f>
        <v>0</v>
      </c>
      <c r="CL721" s="151" t="str">
        <f>IF('IWP14'!Std10dot6LastName = 0, "", 'IWP14'!Std10dot6LastName)</f>
        <v/>
      </c>
      <c r="CM721" s="151" t="str">
        <f>IF('IWP14'!Std10dot6FirstName = 0, "", 'IWP14'!Std10dot6FirstName)</f>
        <v/>
      </c>
      <c r="CN721" s="157">
        <f>IF('IWP14'!Std10dot6DateOfRefund =DATE(1900,1,0),DATE(1900,1,1),'IWP14'!Std10dot6DateOfRefund)</f>
        <v>1</v>
      </c>
      <c r="CO721" s="151" t="str">
        <f>IF('IWP14'!Std10dot6a = 0, "", 'IWP14'!Std10dot6a)</f>
        <v/>
      </c>
      <c r="CP721" s="151" t="str">
        <f>IF('IWP14'!Std10dot6b = 0, "", 'IWP14'!Std10dot6b)</f>
        <v/>
      </c>
      <c r="CQ721" s="151" t="str">
        <f>IF('IWP14'!Std10dot6c = 0, "", 'IWP14'!Std10dot6c)</f>
        <v/>
      </c>
      <c r="CR721" s="151" t="str">
        <f>IF('IWP14'!Std10dot6 = "", "", 'IWP14'!Std10dot6)</f>
        <v/>
      </c>
      <c r="CS721" s="151" t="str">
        <f>IF('IWP14'!Std11dot1aNotCalc = 0, "", 'IWP14'!Std11dot1aNotCalc)</f>
        <v/>
      </c>
      <c r="CT721" s="151" t="str">
        <f>IF('IWP14'!Std11dot1bNotCalc = 0, "", 'IWP14'!Std11dot1bNotCalc)</f>
        <v>N</v>
      </c>
      <c r="CU721" s="151" t="str">
        <f>IF('IWP14'!Std11dot1cNotCalc = 0, "", 'IWP14'!Std11dot1cNotCalc)</f>
        <v>N</v>
      </c>
      <c r="CV721" s="151" t="str">
        <f>IF('IWP14'!Std11dot1dNotCalc = 0, "", 'IWP14'!Std11dot1dNotCalc)</f>
        <v/>
      </c>
      <c r="CW721" s="151" t="str">
        <f>IF('IWP14'!Std11dot1eNotCalc = 0, "", 'IWP14'!Std11dot1eNotCalc)</f>
        <v/>
      </c>
      <c r="CX721" s="151" t="str">
        <f>IF('IWP14'!Std11dot1fNotCalc = 0, "", 'IWP14'!Std11dot1fNotCalc)</f>
        <v/>
      </c>
      <c r="CY721" s="151" t="str">
        <f>IF('IWP14'!Std11dot1PrivateLivingSpace = 0, "", 'IWP14'!Std11dot1PrivateLivingSpace)</f>
        <v/>
      </c>
      <c r="CZ721" s="155">
        <f>'IWP14'!Std11dot1LivingWidth</f>
        <v>0</v>
      </c>
      <c r="DA721" s="155">
        <f>'IWP14'!Std11dot1LivingLength</f>
        <v>0</v>
      </c>
      <c r="DB721" s="155">
        <f>IF('IWP14'!Std11dot1LivingSqFt = "", MINVALDBL, 'IWP14'!Std11dot1LivingSqFt)</f>
        <v>-99999.99</v>
      </c>
      <c r="DC721" s="151" t="str">
        <f>IF('IWP14'!Std11dot1PrivateLivingSpace = 0, "", 'IWP14'!Std11dot1PrivateLivingSpace)</f>
        <v/>
      </c>
      <c r="DD721" s="155">
        <f>'IWP14'!Std11dot1LivingWidth</f>
        <v>0</v>
      </c>
      <c r="DE721" s="155">
        <f>'IWP14'!Std11dot1LivingLength</f>
        <v>0</v>
      </c>
      <c r="DF721" s="155">
        <f>IF('IWP14'!Std11dot1LivingSqFt = "", MINVALDBL, 'IWP14'!Std11dot1LivingSqFt)</f>
        <v>-99999.99</v>
      </c>
      <c r="DG721" s="151" t="str">
        <f>IF('IWP14'!Std11dot1PrivateBedSpace = 0, "", 'IWP14'!Std11dot1PrivateBedSpace)</f>
        <v/>
      </c>
      <c r="DH721" s="155">
        <f>'IWP14'!Std11dot1BdrmWidth</f>
        <v>0</v>
      </c>
      <c r="DI721" s="155">
        <f>'IWP14'!Std11dot1BdrmLength</f>
        <v>0</v>
      </c>
      <c r="DJ721" s="155">
        <f>IF('IWP14'!Std11dot1BdrmSqFt = "", MINVALDBL, 'IWP14'!Std11dot1BdrmSqFt)</f>
        <v>-99999.99</v>
      </c>
      <c r="DK721" s="151" t="str">
        <f>IF('IWP14'!Std11dot1PrivateStorageSpace = 0, "", 'IWP14'!Std11dot1PrivateStorageSpace)</f>
        <v/>
      </c>
      <c r="DL721" s="155">
        <f>'IWP14'!Std11dot1StorageWidth</f>
        <v>0</v>
      </c>
      <c r="DM721" s="155">
        <f>'IWP14'!Std11dot1StorageLength</f>
        <v>0</v>
      </c>
      <c r="DN721" s="155">
        <f>IF('IWP14'!Std11dot1StorageSqFt = "", 0, 'IWP14'!Std11dot1StorageSqFt)</f>
        <v>0</v>
      </c>
      <c r="DO721" s="151" t="str">
        <f>IF('IWP14'!Std11dot1PrivateKitchenSpace = 0, "", 'IWP14'!Std11dot1PrivateKitchenSpace)</f>
        <v/>
      </c>
      <c r="DP721" s="155">
        <f>'IWP14'!Std11dot1KitchenWidth</f>
        <v>0</v>
      </c>
      <c r="DQ721" s="155">
        <f>'IWP14'!Std11dot1KitchenLength</f>
        <v>0</v>
      </c>
      <c r="DR721" s="155">
        <f>IF('IWP14'!Std11dot1KitchenSqFt = "", MINVALDBL, 'IWP14'!Std11dot1KitchenSqFt)</f>
        <v>-99999.99</v>
      </c>
      <c r="DS721" s="151" t="str">
        <f>IF('IWP14'!Std11dot1KitchenSink = 0, "", 'IWP14'!Std11dot1KitchenSink)</f>
        <v/>
      </c>
      <c r="DT721" s="151" t="str">
        <f>IF('IWP14'!Std11dot1Refrigerator = 0, "", 'IWP14'!Std11dot1Refrigerator)</f>
        <v/>
      </c>
      <c r="DU721" s="151" t="str">
        <f>IF('IWP14'!Std11dot1StoveMicrowave = 0, "", 'IWP14'!Std11dot1StoveMicrowave)</f>
        <v/>
      </c>
      <c r="DV721" s="151" t="str">
        <f>IF('IWP14'!Std11dot1SeparateBath = 0, "", 'IWP14'!Std11dot1SeparateBath)</f>
        <v/>
      </c>
      <c r="DW721" s="151" t="str">
        <f>IF('IWP14'!Std11dot1BathSink = 0, "", 'IWP14'!Std11dot1BathSink)</f>
        <v/>
      </c>
      <c r="DX721" s="151" t="str">
        <f>IF('IWP14'!Std11dot1ShowerTubAccessible = 0, "", 'IWP14'!Std11dot1ShowerTubAccessible)</f>
        <v/>
      </c>
      <c r="DY721" s="155">
        <f>'IWP14'!Std11dot1TotalPrivateSpace</f>
        <v>0</v>
      </c>
      <c r="DZ721" s="155">
        <f>'IWP14'!Std11dot1PrivateSpaceSquareFootagePerResident</f>
        <v>0</v>
      </c>
      <c r="EA721" s="155">
        <f>IF('IWP14'!Std11dot1TotalSquareFootagePerResident = "", MINVALDBL, 'IWP14'!Std11dot1TotalSquareFootagePerResident)</f>
        <v>-99999.99</v>
      </c>
      <c r="EB721" s="155">
        <f>'IWP14'!Std11dot1UseableCommonAreaSquareFootage</f>
        <v>0</v>
      </c>
      <c r="EC721" s="155">
        <f>'IWP14'!Std11dot1LicensedCapacity</f>
        <v>0</v>
      </c>
      <c r="ED721" s="155">
        <f>IF('IWP14'!Std11dot1CommonAreaSquareFootagePerResident = "", MINVALDBL, 'IWP14'!Std11dot1CommonAreaSquareFootagePerResident)</f>
        <v>-99999.99</v>
      </c>
      <c r="EE721" s="151" t="str">
        <f>IF('IWP14'!Std11dot1a = 0, "", 'IWP14'!Std11dot1a)</f>
        <v/>
      </c>
      <c r="EF721" s="151" t="str">
        <f>IF('IWP14'!Std11dot1b = 0, "", 'IWP14'!Std11dot1b)</f>
        <v/>
      </c>
      <c r="EG721" s="151" t="str">
        <f>IF('IWP14'!Std11dot1c = 0, "", 'IWP14'!Std11dot1c)</f>
        <v/>
      </c>
      <c r="EH721" s="151" t="str">
        <f>IF('IWP14'!Std11dot1d = 0, "", 'IWP14'!Std11dot1d)</f>
        <v/>
      </c>
      <c r="EI721" s="151" t="str">
        <f>IF('IWP14'!Std11dot1e = 0, "", 'IWP14'!Std11dot1e)</f>
        <v/>
      </c>
      <c r="EJ721" s="151" t="str">
        <f>IF('IWP14'!Std11dot1f = 0, "", 'IWP14'!Std11dot1f)</f>
        <v/>
      </c>
      <c r="EK721" s="151" t="str">
        <f>IF('IWP14'!Std11dot1g = 0, "", 'IWP14'!Std11dot1g)</f>
        <v/>
      </c>
      <c r="EL721" s="151" t="str">
        <f>IF('IWP14'!Std11dot1h = 0, "", 'IWP14'!Std11dot1h)</f>
        <v/>
      </c>
      <c r="EM721" s="151" t="str">
        <f>IF('IWP14'!Std11dot1i = 0, "", 'IWP14'!Std11dot1i)</f>
        <v/>
      </c>
      <c r="EN721" s="151" t="str">
        <f>IF('IWP14'!Std11dot1j = 0, "", 'IWP14'!Std11dot1j)</f>
        <v/>
      </c>
      <c r="EO721" s="151" t="str">
        <f>IF('IWP14'!Std11dot1k = 0, "", 'IWP14'!Std11dot1k)</f>
        <v/>
      </c>
      <c r="EP721" s="151" t="str">
        <f>IF('IWP14'!Std11dot1 = 0, "", 'IWP14'!Std11dot1)</f>
        <v/>
      </c>
      <c r="EQ721" s="151" t="str">
        <f>IF('IWP14'!Std11dot2 = 0, "", 'IWP14'!Std11dot2)</f>
        <v/>
      </c>
      <c r="ER721" s="151" t="str">
        <f>IF('IWP14'!Std11dot3 = 0, "", 'IWP14'!Std11dot3)</f>
        <v/>
      </c>
      <c r="ES721" s="151" t="str">
        <f>IF('IWP14'!Std11dot4 = 0, "", 'IWP14'!Std11dot4)</f>
        <v>NA</v>
      </c>
      <c r="ET721" s="157">
        <f>IF('IWP14'!$A$363=DATE(1900,1,0), DATE(1900,1,1), 'IWP14'!$A$363)</f>
        <v>1</v>
      </c>
      <c r="EU721" s="155">
        <f>'IWP14'!$C$363</f>
        <v>0</v>
      </c>
      <c r="EV721" s="155">
        <f>'IWP14'!$E$363</f>
        <v>0</v>
      </c>
      <c r="EW721" s="157">
        <f>IF('IWP14'!$G$363=DATE(1900,1,0), DATE(1900,1,1), 'IWP14'!$G$363)</f>
        <v>1</v>
      </c>
      <c r="EX721" s="155">
        <f>'IWP14'!$I$363</f>
        <v>0</v>
      </c>
      <c r="EY721" s="155">
        <f>'IWP14'!$K$363</f>
        <v>0</v>
      </c>
      <c r="EZ721" s="157">
        <f>IF('IWP14'!$M$363=DATE(1900,1,0), DATE(1900,1,1), 'IWP14'!$M$363)</f>
        <v>1</v>
      </c>
      <c r="FA721" s="151" t="str">
        <f>IF('IWP14'!$O$363 = 0, "", 'IWP14'!$O$363)</f>
        <v/>
      </c>
      <c r="FB721" s="151" t="str">
        <f>IF('IWP14'!$Q$363 = 0, "", 'IWP14'!$Q$363)</f>
        <v/>
      </c>
      <c r="FC721" s="151" t="str">
        <f>IF('IWP14'!Std11dot5a = 0, "", 'IWP14'!Std11dot5a)</f>
        <v/>
      </c>
      <c r="FD721" s="151" t="str">
        <f>IF('IWP14'!Std11dot5b = 0, "", 'IWP14'!Std11dot5b)</f>
        <v/>
      </c>
      <c r="FE721" s="151" t="str">
        <f>IF('IWP14'!Std11dot5ci = 0, "", 'IWP14'!Std11dot5ci)</f>
        <v>NA</v>
      </c>
      <c r="FF721" s="151" t="str">
        <f>IF('IWP14'!Std11dot5cii = 0, "", 'IWP14'!Std11dot5cii)</f>
        <v>NA</v>
      </c>
      <c r="FG721" s="151" t="str">
        <f>IF('IWP14'!Std11dot5 = 0, "", 'IWP14'!Std11dot5)</f>
        <v/>
      </c>
      <c r="FH721" s="207" t="str">
        <f>IF('IWP14'!Std11dot1AptGrandFthr = "", "", 'IWP14'!Std11dot1AptGrandFthr)</f>
        <v/>
      </c>
    </row>
    <row r="722" spans="1:164">
      <c r="A722" s="206" t="s">
        <v>1318</v>
      </c>
      <c r="B722" s="157">
        <f>IF('Samples (Print)'!D19=DATE(1900,1,0),DATE(1900,1,1),'Samples (Print)'!D19)</f>
        <v>1</v>
      </c>
      <c r="C722" s="157">
        <f>IF('Samples (Print)'!E19=DATE(1900,1,0),DATE(1900,1,1),'Samples (Print)'!E19)</f>
        <v>1</v>
      </c>
      <c r="D722" s="319">
        <f>IF('IWP15'!FiscalReviewFirstMonth =DATE(1900,1,0),DATE(1900,1,1),'IWP15'!FiscalReviewFirstMonth)</f>
        <v>1</v>
      </c>
      <c r="E722" s="319">
        <f>IF('IWP15'!FiscalReviewSecondMonth =DATE(1900,1,0),DATE(1900,1,1),'IWP15'!FiscalReviewSecondMonth)</f>
        <v>1</v>
      </c>
      <c r="F722" s="13">
        <f>'IWP15'!SampleNumber</f>
        <v>15</v>
      </c>
      <c r="G722" s="13">
        <f ca="1">'IWP15'!ClientID</f>
        <v>0</v>
      </c>
      <c r="H722" s="283"/>
      <c r="I722" s="283"/>
      <c r="J722" s="151" t="str">
        <f ca="1">IF('IWP15'!ContractNumber = 0, "", 'IWP15'!ContractNumber)</f>
        <v/>
      </c>
      <c r="K722" s="151" t="str">
        <f ca="1">IF('IWP15'!ContractType = 0, "", 'IWP15'!ContractType)</f>
        <v/>
      </c>
      <c r="L722" s="151" t="str">
        <f>IF('IWP15'!CompletedByLastName = 0, "", 'IWP15'!CompletedByLastName)</f>
        <v/>
      </c>
      <c r="M722" s="151" t="str">
        <f>IF('IWP15'!CompletedByFirstName = 0, "", 'IWP15'!CompletedByFirstName)</f>
        <v/>
      </c>
      <c r="N722" s="157">
        <f>IF('IWP15'!DateCompleted =DATE(1900,1,0),DATE(1900,1,1),'IWP15'!DateCompleted)</f>
        <v>1</v>
      </c>
      <c r="O722" s="151" t="str">
        <f>IF('IWP15'!Std3NotCalc = 0, "", 'IWP15'!Std3NotCalc)</f>
        <v/>
      </c>
      <c r="P722" s="157">
        <f>IF('IWP15'!Std3dot1DateOfAdmission =DATE(1900,1,0),DATE(1900,1,1),'IWP15'!Std3dot1DateOfAdmission)</f>
        <v>1</v>
      </c>
      <c r="Q722" s="151" t="str">
        <f>IF('IWP15'!Std3dot1a = 0, "", 'IWP15'!Std3dot1a)</f>
        <v/>
      </c>
      <c r="R722" s="151" t="str">
        <f>IF('IWP15'!Std3dot1b = 0, "", 'IWP15'!Std3dot1b)</f>
        <v/>
      </c>
      <c r="S722" s="151" t="str">
        <f>IF('IWP15'!Std3dot1c = 0, "", 'IWP15'!Std3dot1c)</f>
        <v>NA</v>
      </c>
      <c r="T722" s="151" t="str">
        <f>IF('IWP15'!Std3dot1 = 0, "", 'IWP15'!Std3dot1)</f>
        <v/>
      </c>
      <c r="U722" s="151" t="str">
        <f>IF('IWP15'!Std3dot2a = 0, "", 'IWP15'!Std3dot2a)</f>
        <v/>
      </c>
      <c r="V722" s="151" t="str">
        <f>IF('IWP15'!Std3dot2b = 0, "", 'IWP15'!Std3dot2b)</f>
        <v/>
      </c>
      <c r="W722" s="151" t="str">
        <f>IF('IWP15'!Std3dot2c = 0, "", 'IWP15'!Std3dot2c)</f>
        <v/>
      </c>
      <c r="X722" s="151" t="str">
        <f>IF('IWP15'!Std3dot2 = 0, "", 'IWP15'!Std3dot2)</f>
        <v/>
      </c>
      <c r="Y722" s="151" t="str">
        <f>IF('IWP15'!Std4dot1Month1 = 0, "", 'IWP15'!Std4dot1Month1)</f>
        <v/>
      </c>
      <c r="Z722" s="157">
        <f>IF('IWP15'!Std4dot1Month1Date =DATE(1900,1,0),DATE(1900,1,1),'IWP15'!Std4dot1Month1Date)</f>
        <v>1</v>
      </c>
      <c r="AA722" s="151" t="str">
        <f>IF('IWP15'!Std4dot1Month2 = 0, "", 'IWP15'!Std4dot1Month2)</f>
        <v/>
      </c>
      <c r="AB722" s="157">
        <f>IF('IWP15'!Std4dot1Month2Date =DATE(1900,1,0),DATE(1900,1,1),'IWP15'!Std4dot1Month2Date)</f>
        <v>1</v>
      </c>
      <c r="AC722" s="151" t="str">
        <f>IF('IWP15'!Std4dot1 = 0, "", 'IWP15'!Std4dot1)</f>
        <v/>
      </c>
      <c r="AD722" s="151" t="str">
        <f>IF('IWP15'!Std4dot2NotCalc = 0, "", 'IWP15'!Std4dot2NotCalc)</f>
        <v/>
      </c>
      <c r="AE722" s="151" t="str">
        <f>IF('IWP15'!Std4dot2 = 0, "", 'IWP15'!Std4dot2)</f>
        <v/>
      </c>
      <c r="AF722" s="151" t="str">
        <f>IF('IWP15'!Std4dot3 = 0, "", 'IWP15'!Std4dot3)</f>
        <v/>
      </c>
      <c r="AG722" s="151" t="str">
        <f>IF('IWP15'!Std4dot4 = 0, "", 'IWP15'!Std4dot4)</f>
        <v/>
      </c>
      <c r="AH722" s="151" t="str">
        <f>IF('IWP15'!Std5NotCalc = 0, "", 'IWP15'!Std5NotCalc)</f>
        <v/>
      </c>
      <c r="AI722" s="151" t="str">
        <f>IF('IWP15'!Std5dot1 = 0, "", 'IWP15'!Std5dot1)</f>
        <v/>
      </c>
      <c r="AJ722" s="151" t="str">
        <f>IF('IWP15'!Std7dot1NotCalc = 0, "", 'IWP15'!Std7dot1NotCalc)</f>
        <v/>
      </c>
      <c r="AK722" s="151" t="str">
        <f>IF('IWP15'!Std7dot1NotCalc = 0, "", 'IWP15'!Std7dot1NotCalc)</f>
        <v/>
      </c>
      <c r="AL722" s="155">
        <f>'IWP15'!Std7dot1BalPerCshLog</f>
        <v>0</v>
      </c>
      <c r="AM722" s="155">
        <f>'IWP15'!Std7dot1LessAdj</f>
        <v>0</v>
      </c>
      <c r="AN722" s="155">
        <f>'IWP15'!Std7dot1AdjBal</f>
        <v>0</v>
      </c>
      <c r="AO722" s="155">
        <f>'IWP15'!Std7dot1CshOnHand</f>
        <v>0</v>
      </c>
      <c r="AP722" s="155">
        <f>'IWP15'!Std7dot1PtyCshOvrShrt</f>
        <v>0</v>
      </c>
      <c r="AQ722" s="151" t="str">
        <f>IF('IWP15'!Std7dot1OvrShrtCorr = 0, "", 'IWP15'!Std7dot1OvrShrtCorr)</f>
        <v/>
      </c>
      <c r="AR722" s="151" t="str">
        <f>IF('IWP15'!Std7dot1 = 0, "", 'IWP15'!Std7dot1)</f>
        <v/>
      </c>
      <c r="AS722" s="151" t="str">
        <f>IF('IWP15'!Std9dot1aNotCalc = 0, "", 'IWP15'!Std9dot1aNotCalc)</f>
        <v/>
      </c>
      <c r="AT722" s="151" t="str">
        <f>IF('IWP15'!Std9dot1bNotCalc = 0, "", 'IWP15'!Std9dot1bNotCalc)</f>
        <v/>
      </c>
      <c r="AU722" s="157">
        <f>IF('IWP15'!Std9BalPerBnkStmtDt =DATE(1900,1,0),DATE(1900,1,1),'IWP15'!Std9BalPerBnkStmtDt)</f>
        <v>1</v>
      </c>
      <c r="AV722" s="155">
        <f>'IWP15'!Std9BalPerBnkStmt</f>
        <v>0</v>
      </c>
      <c r="AW722" s="155">
        <f>'IWP15'!Std9TotDepsInTrans</f>
        <v>0</v>
      </c>
      <c r="AX722" s="155">
        <f>'IWP15'!Std9TotOutsChks</f>
        <v>0</v>
      </c>
      <c r="AY722" s="155">
        <f>'IWP15'!Std9AdjBalPerBank</f>
        <v>0</v>
      </c>
      <c r="AZ722" s="157">
        <f>IF('IWP15'!Std9TotPtyCshIndvDt =DATE(1900,1,0),DATE(1900,1,1),'IWP15'!Std9TotPtyCshIndvDt)</f>
        <v>1</v>
      </c>
      <c r="BA722" s="155">
        <f>'IWP15'!Std9TotPtyCshIndv</f>
        <v>0</v>
      </c>
      <c r="BB722" s="155">
        <f>'IWP15'!Std9TotCshBnkAndHnd</f>
        <v>0</v>
      </c>
      <c r="BC722" s="157">
        <f>IF('IWP15'!Std9BalPerBksDt =DATE(1900,1,0),DATE(1900,1,1),'IWP15'!Std9BalPerBksDt)</f>
        <v>1</v>
      </c>
      <c r="BD722" s="155">
        <f>'IWP15'!Std9BalPerBks</f>
        <v>0</v>
      </c>
      <c r="BE722" s="155">
        <f>'IWP15'!Std9UnapplErndInt</f>
        <v>0</v>
      </c>
      <c r="BF722" s="155">
        <f>'IWP15'!Std9UnpstdRcptDsbrsmts</f>
        <v>0</v>
      </c>
      <c r="BG722" s="155">
        <f>'IWP15'!Std9NsfChks</f>
        <v>0</v>
      </c>
      <c r="BH722" s="155">
        <f>'IWP15'!Std9AdjBalPerBks</f>
        <v>0</v>
      </c>
      <c r="BI722" s="155">
        <f>'IWP15'!Std9TrstFndAcctOvrShrt</f>
        <v>0</v>
      </c>
      <c r="BJ722" s="151" t="str">
        <f>IF('IWP15'!Std9OvrShrtCorrctd = 0, "", 'IWP15'!Std9OvrShrtCorrctd)</f>
        <v/>
      </c>
      <c r="BK722" s="151" t="str">
        <f>IF('IWP15'!Std9ShrtUnreimbSvcChg = 0, "", 'IWP15'!Std9ShrtUnreimbSvcChg)</f>
        <v/>
      </c>
      <c r="BL722" s="151" t="str">
        <f>IF('IWP15'!Std9dot1 = 0, "", 'IWP15'!Std9dot1)</f>
        <v/>
      </c>
      <c r="BM722" s="151" t="str">
        <f>IF('IWP15'!Std10dot1NotCalc = 0, "", 'IWP15'!Std10dot1NotCalc)</f>
        <v/>
      </c>
      <c r="BN722" s="319">
        <f>IF('IWP15'!FiscalReviewFirstMonth =DATE(1900,1,0),DATE(1900,1,1),'IWP15'!FiscalReviewFirstMonth)</f>
        <v>1</v>
      </c>
      <c r="BO722" s="155">
        <f>'IWP15'!Std10dot1TotalAmt1</f>
        <v>0</v>
      </c>
      <c r="BP722" s="319">
        <f>IF('IWP15'!FiscalReviewSecondMonth =DATE(1900,1,0),DATE(1900,1,1),'IWP15'!FiscalReviewSecondMonth)</f>
        <v>1</v>
      </c>
      <c r="BQ722" s="155">
        <f>'IWP15'!Std10dot1TotalAmt2</f>
        <v>0</v>
      </c>
      <c r="BR722" s="151" t="str">
        <f>IF('IWP15'!Std10dot1 = 0, "", 'IWP15'!Std10dot1)</f>
        <v/>
      </c>
      <c r="BS722" s="151" t="str">
        <f>IF('IWP15'!Std10dot2NotCalc = 0, "", 'IWP15'!Std10dot2NotCalc)</f>
        <v/>
      </c>
      <c r="BT722" s="319">
        <f>IF('IWP15'!FiscalReviewFirstMonth =DATE(1900,1,0),DATE(1900,1,1),'IWP15'!FiscalReviewFirstMonth)</f>
        <v>1</v>
      </c>
      <c r="BU722" s="155">
        <f>'IWP15'!Std10dot2BankChgs1</f>
        <v>0</v>
      </c>
      <c r="BV722" s="319">
        <f>IF('IWP15'!FiscalReviewSecondMonth =DATE(1900,1,0),DATE(1900,1,1),'IWP15'!FiscalReviewSecondMonth)</f>
        <v>1</v>
      </c>
      <c r="BW722" s="155">
        <f>'IWP15'!Std10dot2BankChgs2</f>
        <v>0</v>
      </c>
      <c r="BX722" s="151" t="str">
        <f>IF('IWP15'!Std10dot2 = 0, "", 'IWP15'!Std10dot2)</f>
        <v/>
      </c>
      <c r="BY722" s="151" t="str">
        <f>IF('IWP15'!Std10dot3NotCalc = 0, "", 'IWP15'!Std10dot3NotCalc)</f>
        <v/>
      </c>
      <c r="BZ722" s="151" t="str">
        <f>IF('IWP15'!Std10dot3 = 0, "", 'IWP15'!Std10dot3)</f>
        <v/>
      </c>
      <c r="CA722" s="151" t="str">
        <f>IF('IWP15'!Std10dot4NotCalc = 0, "", 'IWP15'!Std10dot4NotCalc)</f>
        <v/>
      </c>
      <c r="CB722" s="151" t="str">
        <f>IF('IWP15'!Std10dot4 = 0, "", 'IWP15'!Std10dot4)</f>
        <v/>
      </c>
      <c r="CC722" s="151" t="str">
        <f>IF('IWP15'!Std10dot5 = 0, "", 'IWP15'!Std10dot5)</f>
        <v/>
      </c>
      <c r="CD722" s="151" t="str">
        <f>IF('IWP15'!Std10dot6NotCalc = 0, "", 'IWP15'!Std10dot6NotCalc)</f>
        <v/>
      </c>
      <c r="CE722" s="157">
        <f>IF('IWP15'!Std10dot6DateOfDeathDischarge =DATE(1900,1,0),DATE(1900,1,1),'IWP15'!Std10dot6DateOfDeathDischarge)</f>
        <v>1</v>
      </c>
      <c r="CF722" s="151" t="str">
        <f>IF('IWP15'!Std10dot6DthDschg = 0, "", 'IWP15'!Std10dot6DthDschg)</f>
        <v/>
      </c>
      <c r="CG722" s="155">
        <f>'IWP15'!Std10dot6TrustFundAmtDue</f>
        <v>0</v>
      </c>
      <c r="CH722" s="155">
        <f>'IWP15'!Std10dot6IndvPtyCshAmtDue</f>
        <v>0</v>
      </c>
      <c r="CI722" s="155">
        <f>'IWP15'!Std10dot6TotRfndDue</f>
        <v>0</v>
      </c>
      <c r="CJ722" s="155">
        <f>'IWP15'!Std10dot6AmtRfnd</f>
        <v>0</v>
      </c>
      <c r="CK722" s="155">
        <f>'IWP15'!Std10dot6DminusE</f>
        <v>0</v>
      </c>
      <c r="CL722" s="151" t="str">
        <f>IF('IWP15'!Std10dot6LastName = 0, "", 'IWP15'!Std10dot6LastName)</f>
        <v/>
      </c>
      <c r="CM722" s="151" t="str">
        <f>IF('IWP15'!Std10dot6FirstName = 0, "", 'IWP15'!Std10dot6FirstName)</f>
        <v/>
      </c>
      <c r="CN722" s="157">
        <f>IF('IWP15'!Std10dot6DateOfRefund =DATE(1900,1,0),DATE(1900,1,1),'IWP15'!Std10dot6DateOfRefund)</f>
        <v>1</v>
      </c>
      <c r="CO722" s="151" t="str">
        <f>IF('IWP15'!Std10dot6a = 0, "", 'IWP15'!Std10dot6a)</f>
        <v/>
      </c>
      <c r="CP722" s="151" t="str">
        <f>IF('IWP15'!Std10dot6b = 0, "", 'IWP15'!Std10dot6b)</f>
        <v/>
      </c>
      <c r="CQ722" s="151" t="str">
        <f>IF('IWP15'!Std10dot6c = 0, "", 'IWP15'!Std10dot6c)</f>
        <v/>
      </c>
      <c r="CR722" s="151" t="str">
        <f>IF('IWP15'!Std10dot6 = "", "", 'IWP15'!Std10dot6)</f>
        <v/>
      </c>
      <c r="CS722" s="151" t="str">
        <f>IF('IWP15'!Std11dot1aNotCalc = 0, "", 'IWP15'!Std11dot1aNotCalc)</f>
        <v/>
      </c>
      <c r="CT722" s="151" t="str">
        <f>IF('IWP15'!Std11dot1bNotCalc = 0, "", 'IWP15'!Std11dot1bNotCalc)</f>
        <v>N</v>
      </c>
      <c r="CU722" s="151" t="str">
        <f>IF('IWP15'!Std11dot1cNotCalc = 0, "", 'IWP15'!Std11dot1cNotCalc)</f>
        <v>N</v>
      </c>
      <c r="CV722" s="151" t="str">
        <f>IF('IWP15'!Std11dot1dNotCalc = 0, "", 'IWP15'!Std11dot1dNotCalc)</f>
        <v/>
      </c>
      <c r="CW722" s="151" t="str">
        <f>IF('IWP15'!Std11dot1eNotCalc = 0, "", 'IWP15'!Std11dot1eNotCalc)</f>
        <v/>
      </c>
      <c r="CX722" s="151" t="str">
        <f>IF('IWP15'!Std11dot1fNotCalc = 0, "", 'IWP15'!Std11dot1fNotCalc)</f>
        <v/>
      </c>
      <c r="CY722" s="151" t="str">
        <f>IF('IWP15'!Std11dot1PrivateLivingSpace = 0, "", 'IWP15'!Std11dot1PrivateLivingSpace)</f>
        <v/>
      </c>
      <c r="CZ722" s="155">
        <f>'IWP15'!Std11dot1LivingWidth</f>
        <v>0</v>
      </c>
      <c r="DA722" s="155">
        <f>'IWP15'!Std11dot1LivingLength</f>
        <v>0</v>
      </c>
      <c r="DB722" s="155">
        <f>IF('IWP15'!Std11dot1LivingSqFt = "", MINVALDBL, 'IWP15'!Std11dot1LivingSqFt)</f>
        <v>-99999.99</v>
      </c>
      <c r="DC722" s="151" t="str">
        <f>IF('IWP15'!Std11dot1PrivateLivingSpace = 0, "", 'IWP15'!Std11dot1PrivateLivingSpace)</f>
        <v/>
      </c>
      <c r="DD722" s="155">
        <f>'IWP15'!Std11dot1LivingWidth</f>
        <v>0</v>
      </c>
      <c r="DE722" s="155">
        <f>'IWP15'!Std11dot1LivingLength</f>
        <v>0</v>
      </c>
      <c r="DF722" s="155">
        <f>IF('IWP15'!Std11dot1LivingSqFt = "", MINVALDBL, 'IWP15'!Std11dot1LivingSqFt)</f>
        <v>-99999.99</v>
      </c>
      <c r="DG722" s="151" t="str">
        <f>IF('IWP15'!Std11dot1PrivateBedSpace = 0, "", 'IWP15'!Std11dot1PrivateBedSpace)</f>
        <v/>
      </c>
      <c r="DH722" s="155">
        <f>'IWP15'!Std11dot1BdrmWidth</f>
        <v>0</v>
      </c>
      <c r="DI722" s="155">
        <f>'IWP15'!Std11dot1BdrmLength</f>
        <v>0</v>
      </c>
      <c r="DJ722" s="155">
        <f>IF('IWP15'!Std11dot1BdrmSqFt = "", MINVALDBL, 'IWP15'!Std11dot1BdrmSqFt)</f>
        <v>-99999.99</v>
      </c>
      <c r="DK722" s="151" t="str">
        <f>IF('IWP15'!Std11dot1PrivateStorageSpace = 0, "", 'IWP15'!Std11dot1PrivateStorageSpace)</f>
        <v/>
      </c>
      <c r="DL722" s="155">
        <f>'IWP15'!Std11dot1StorageWidth</f>
        <v>0</v>
      </c>
      <c r="DM722" s="155">
        <f>'IWP15'!Std11dot1StorageLength</f>
        <v>0</v>
      </c>
      <c r="DN722" s="155">
        <f>IF('IWP15'!Std11dot1StorageSqFt = "", 0, 'IWP15'!Std11dot1StorageSqFt)</f>
        <v>0</v>
      </c>
      <c r="DO722" s="151" t="str">
        <f>IF('IWP15'!Std11dot1PrivateKitchenSpace = 0, "", 'IWP15'!Std11dot1PrivateKitchenSpace)</f>
        <v/>
      </c>
      <c r="DP722" s="155">
        <f>'IWP15'!Std11dot1KitchenWidth</f>
        <v>0</v>
      </c>
      <c r="DQ722" s="155">
        <f>'IWP15'!Std11dot1KitchenLength</f>
        <v>0</v>
      </c>
      <c r="DR722" s="155">
        <f>IF('IWP15'!Std11dot1KitchenSqFt = "", MINVALDBL, 'IWP15'!Std11dot1KitchenSqFt)</f>
        <v>-99999.99</v>
      </c>
      <c r="DS722" s="151" t="str">
        <f>IF('IWP15'!Std11dot1KitchenSink = 0, "", 'IWP15'!Std11dot1KitchenSink)</f>
        <v/>
      </c>
      <c r="DT722" s="151" t="str">
        <f>IF('IWP15'!Std11dot1Refrigerator = 0, "", 'IWP15'!Std11dot1Refrigerator)</f>
        <v/>
      </c>
      <c r="DU722" s="151" t="str">
        <f>IF('IWP15'!Std11dot1StoveMicrowave = 0, "", 'IWP15'!Std11dot1StoveMicrowave)</f>
        <v/>
      </c>
      <c r="DV722" s="151" t="str">
        <f>IF('IWP15'!Std11dot1SeparateBath = 0, "", 'IWP15'!Std11dot1SeparateBath)</f>
        <v/>
      </c>
      <c r="DW722" s="151" t="str">
        <f>IF('IWP15'!Std11dot1BathSink = 0, "", 'IWP15'!Std11dot1BathSink)</f>
        <v/>
      </c>
      <c r="DX722" s="151" t="str">
        <f>IF('IWP15'!Std11dot1ShowerTubAccessible = 0, "", 'IWP15'!Std11dot1ShowerTubAccessible)</f>
        <v/>
      </c>
      <c r="DY722" s="155">
        <f>'IWP15'!Std11dot1TotalPrivateSpace</f>
        <v>0</v>
      </c>
      <c r="DZ722" s="155">
        <f>'IWP15'!Std11dot1PrivateSpaceSquareFootagePerResident</f>
        <v>0</v>
      </c>
      <c r="EA722" s="155">
        <f>IF('IWP15'!Std11dot1TotalSquareFootagePerResident = "", MINVALDBL, 'IWP15'!Std11dot1TotalSquareFootagePerResident)</f>
        <v>-99999.99</v>
      </c>
      <c r="EB722" s="155">
        <f>'IWP15'!Std11dot1UseableCommonAreaSquareFootage</f>
        <v>0</v>
      </c>
      <c r="EC722" s="155">
        <f>'IWP15'!Std11dot1LicensedCapacity</f>
        <v>0</v>
      </c>
      <c r="ED722" s="155">
        <f>IF('IWP15'!Std11dot1CommonAreaSquareFootagePerResident = "", MINVALDBL, 'IWP15'!Std11dot1CommonAreaSquareFootagePerResident)</f>
        <v>-99999.99</v>
      </c>
      <c r="EE722" s="151" t="str">
        <f>IF('IWP15'!Std11dot1a = 0, "", 'IWP15'!Std11dot1a)</f>
        <v/>
      </c>
      <c r="EF722" s="151" t="str">
        <f>IF('IWP15'!Std11dot1b = 0, "", 'IWP15'!Std11dot1b)</f>
        <v/>
      </c>
      <c r="EG722" s="151" t="str">
        <f>IF('IWP15'!Std11dot1c = 0, "", 'IWP15'!Std11dot1c)</f>
        <v/>
      </c>
      <c r="EH722" s="151" t="str">
        <f>IF('IWP15'!Std11dot1d = 0, "", 'IWP15'!Std11dot1d)</f>
        <v/>
      </c>
      <c r="EI722" s="151" t="str">
        <f>IF('IWP15'!Std11dot1e = 0, "", 'IWP15'!Std11dot1e)</f>
        <v/>
      </c>
      <c r="EJ722" s="151" t="str">
        <f>IF('IWP15'!Std11dot1f = 0, "", 'IWP15'!Std11dot1f)</f>
        <v/>
      </c>
      <c r="EK722" s="151" t="str">
        <f>IF('IWP15'!Std11dot1g = 0, "", 'IWP15'!Std11dot1g)</f>
        <v/>
      </c>
      <c r="EL722" s="151" t="str">
        <f>IF('IWP15'!Std11dot1h = 0, "", 'IWP15'!Std11dot1h)</f>
        <v/>
      </c>
      <c r="EM722" s="151" t="str">
        <f>IF('IWP15'!Std11dot1i = 0, "", 'IWP15'!Std11dot1i)</f>
        <v/>
      </c>
      <c r="EN722" s="151" t="str">
        <f>IF('IWP15'!Std11dot1j = 0, "", 'IWP15'!Std11dot1j)</f>
        <v/>
      </c>
      <c r="EO722" s="151" t="str">
        <f>IF('IWP15'!Std11dot1k = 0, "", 'IWP15'!Std11dot1k)</f>
        <v/>
      </c>
      <c r="EP722" s="151" t="str">
        <f>IF('IWP15'!Std11dot1 = 0, "", 'IWP15'!Std11dot1)</f>
        <v/>
      </c>
      <c r="EQ722" s="151" t="str">
        <f>IF('IWP15'!Std11dot2 = 0, "", 'IWP15'!Std11dot2)</f>
        <v/>
      </c>
      <c r="ER722" s="151" t="str">
        <f>IF('IWP15'!Std11dot3 = 0, "", 'IWP15'!Std11dot3)</f>
        <v/>
      </c>
      <c r="ES722" s="151" t="str">
        <f>IF('IWP15'!Std11dot4 = 0, "", 'IWP15'!Std11dot4)</f>
        <v>NA</v>
      </c>
      <c r="ET722" s="157">
        <f>IF('IWP15'!$A$363=DATE(1900,1,0), DATE(1900,1,1), 'IWP15'!$A$363)</f>
        <v>1</v>
      </c>
      <c r="EU722" s="155">
        <f>'IWP15'!$C$363</f>
        <v>0</v>
      </c>
      <c r="EV722" s="155">
        <f>'IWP15'!$E$363</f>
        <v>0</v>
      </c>
      <c r="EW722" s="157">
        <f>IF('IWP15'!$G$363=DATE(1900,1,0), DATE(1900,1,1), 'IWP15'!$G$363)</f>
        <v>1</v>
      </c>
      <c r="EX722" s="155">
        <f>'IWP15'!$I$363</f>
        <v>0</v>
      </c>
      <c r="EY722" s="155">
        <f>'IWP15'!$K$363</f>
        <v>0</v>
      </c>
      <c r="EZ722" s="157">
        <f>IF('IWP15'!$M$363=DATE(1900,1,0), DATE(1900,1,1), 'IWP15'!$M$363)</f>
        <v>1</v>
      </c>
      <c r="FA722" s="151" t="str">
        <f>IF('IWP15'!$O$363 = 0, "", 'IWP15'!$O$363)</f>
        <v/>
      </c>
      <c r="FB722" s="151" t="str">
        <f>IF('IWP15'!$Q$363 = 0, "", 'IWP15'!$Q$363)</f>
        <v/>
      </c>
      <c r="FC722" s="151" t="str">
        <f>IF('IWP15'!Std11dot5a = 0, "", 'IWP15'!Std11dot5a)</f>
        <v/>
      </c>
      <c r="FD722" s="151" t="str">
        <f>IF('IWP15'!Std11dot5b = 0, "", 'IWP15'!Std11dot5b)</f>
        <v/>
      </c>
      <c r="FE722" s="151" t="str">
        <f>IF('IWP15'!Std11dot5ci = 0, "", 'IWP15'!Std11dot5ci)</f>
        <v>NA</v>
      </c>
      <c r="FF722" s="151" t="str">
        <f>IF('IWP15'!Std11dot5cii = 0, "", 'IWP15'!Std11dot5cii)</f>
        <v>NA</v>
      </c>
      <c r="FG722" s="151" t="str">
        <f>IF('IWP15'!Std11dot5 = 0, "", 'IWP15'!Std11dot5)</f>
        <v/>
      </c>
      <c r="FH722" s="207" t="str">
        <f>IF('IWP15'!Std11dot1AptGrandFthr = "", "", 'IWP15'!Std11dot1AptGrandFthr)</f>
        <v/>
      </c>
    </row>
    <row r="723" spans="1:164">
      <c r="A723" s="206" t="s">
        <v>1319</v>
      </c>
      <c r="B723" s="157">
        <f>IF('Samples (Print)'!D20=DATE(1900,1,0),DATE(1900,1,1),'Samples (Print)'!D20)</f>
        <v>1</v>
      </c>
      <c r="C723" s="157">
        <f>IF('Samples (Print)'!E20=DATE(1900,1,0),DATE(1900,1,1),'Samples (Print)'!E20)</f>
        <v>1</v>
      </c>
      <c r="D723" s="319">
        <f>IF('IWP16'!FiscalReviewFirstMonth =DATE(1900,1,0),DATE(1900,1,1),'IWP16'!FiscalReviewFirstMonth)</f>
        <v>1</v>
      </c>
      <c r="E723" s="319">
        <f>IF('IWP16'!FiscalReviewSecondMonth =DATE(1900,1,0),DATE(1900,1,1),'IWP16'!FiscalReviewSecondMonth)</f>
        <v>1</v>
      </c>
      <c r="F723" s="13">
        <f>'IWP16'!SampleNumber</f>
        <v>16</v>
      </c>
      <c r="G723" s="13">
        <f ca="1">'IWP16'!ClientID</f>
        <v>0</v>
      </c>
      <c r="H723" s="283"/>
      <c r="I723" s="283"/>
      <c r="J723" s="151" t="str">
        <f ca="1">IF('IWP16'!ContractNumber = 0, "", 'IWP16'!ContractNumber)</f>
        <v/>
      </c>
      <c r="K723" s="151" t="str">
        <f ca="1">IF('IWP16'!ContractType = 0, "", 'IWP16'!ContractType)</f>
        <v/>
      </c>
      <c r="L723" s="151" t="str">
        <f>IF('IWP16'!CompletedByLastName = 0, "", 'IWP16'!CompletedByLastName)</f>
        <v/>
      </c>
      <c r="M723" s="151" t="str">
        <f>IF('IWP16'!CompletedByFirstName = 0, "", 'IWP16'!CompletedByFirstName)</f>
        <v/>
      </c>
      <c r="N723" s="157">
        <f>IF('IWP16'!DateCompleted =DATE(1900,1,0),DATE(1900,1,1),'IWP16'!DateCompleted)</f>
        <v>1</v>
      </c>
      <c r="O723" s="151" t="str">
        <f>IF('IWP16'!Std3NotCalc = 0, "", 'IWP16'!Std3NotCalc)</f>
        <v/>
      </c>
      <c r="P723" s="157">
        <f>IF('IWP16'!Std3dot1DateOfAdmission =DATE(1900,1,0),DATE(1900,1,1),'IWP16'!Std3dot1DateOfAdmission)</f>
        <v>1</v>
      </c>
      <c r="Q723" s="151" t="str">
        <f>IF('IWP16'!Std3dot1a = 0, "", 'IWP16'!Std3dot1a)</f>
        <v/>
      </c>
      <c r="R723" s="151" t="str">
        <f>IF('IWP16'!Std3dot1b = 0, "", 'IWP16'!Std3dot1b)</f>
        <v/>
      </c>
      <c r="S723" s="151" t="str">
        <f>IF('IWP16'!Std3dot1c = 0, "", 'IWP16'!Std3dot1c)</f>
        <v>NA</v>
      </c>
      <c r="T723" s="151" t="str">
        <f>IF('IWP16'!Std3dot1 = 0, "", 'IWP16'!Std3dot1)</f>
        <v/>
      </c>
      <c r="U723" s="151" t="str">
        <f>IF('IWP16'!Std3dot2a = 0, "", 'IWP16'!Std3dot2a)</f>
        <v/>
      </c>
      <c r="V723" s="151" t="str">
        <f>IF('IWP16'!Std3dot2b = 0, "", 'IWP16'!Std3dot2b)</f>
        <v/>
      </c>
      <c r="W723" s="151" t="str">
        <f>IF('IWP16'!Std3dot2c = 0, "", 'IWP16'!Std3dot2c)</f>
        <v/>
      </c>
      <c r="X723" s="151" t="str">
        <f>IF('IWP16'!Std3dot2 = 0, "", 'IWP16'!Std3dot2)</f>
        <v/>
      </c>
      <c r="Y723" s="151" t="str">
        <f>IF('IWP16'!Std4dot1Month1 = 0, "", 'IWP16'!Std4dot1Month1)</f>
        <v/>
      </c>
      <c r="Z723" s="157">
        <f>IF('IWP16'!Std4dot1Month1Date =DATE(1900,1,0),DATE(1900,1,1),'IWP16'!Std4dot1Month1Date)</f>
        <v>1</v>
      </c>
      <c r="AA723" s="151" t="str">
        <f>IF('IWP16'!Std4dot1Month2 = 0, "", 'IWP16'!Std4dot1Month2)</f>
        <v/>
      </c>
      <c r="AB723" s="157">
        <f>IF('IWP16'!Std4dot1Month2Date =DATE(1900,1,0),DATE(1900,1,1),'IWP16'!Std4dot1Month2Date)</f>
        <v>1</v>
      </c>
      <c r="AC723" s="151" t="str">
        <f>IF('IWP16'!Std4dot1 = 0, "", 'IWP16'!Std4dot1)</f>
        <v/>
      </c>
      <c r="AD723" s="151" t="str">
        <f>IF('IWP16'!Std4dot2NotCalc = 0, "", 'IWP16'!Std4dot2NotCalc)</f>
        <v/>
      </c>
      <c r="AE723" s="151" t="str">
        <f>IF('IWP16'!Std4dot2 = 0, "", 'IWP16'!Std4dot2)</f>
        <v/>
      </c>
      <c r="AF723" s="151" t="str">
        <f>IF('IWP16'!Std4dot3 = 0, "", 'IWP16'!Std4dot3)</f>
        <v/>
      </c>
      <c r="AG723" s="151" t="str">
        <f>IF('IWP16'!Std4dot4 = 0, "", 'IWP16'!Std4dot4)</f>
        <v/>
      </c>
      <c r="AH723" s="151" t="str">
        <f>IF('IWP16'!Std5NotCalc = 0, "", 'IWP16'!Std5NotCalc)</f>
        <v/>
      </c>
      <c r="AI723" s="151" t="str">
        <f>IF('IWP16'!Std5dot1 = 0, "", 'IWP16'!Std5dot1)</f>
        <v/>
      </c>
      <c r="AJ723" s="151" t="str">
        <f>IF('IWP16'!Std7dot1NotCalc = 0, "", 'IWP16'!Std7dot1NotCalc)</f>
        <v/>
      </c>
      <c r="AK723" s="151" t="str">
        <f>IF('IWP16'!Std7dot1NotCalc = 0, "", 'IWP16'!Std7dot1NotCalc)</f>
        <v/>
      </c>
      <c r="AL723" s="155">
        <f>'IWP16'!Std7dot1BalPerCshLog</f>
        <v>0</v>
      </c>
      <c r="AM723" s="155">
        <f>'IWP16'!Std7dot1LessAdj</f>
        <v>0</v>
      </c>
      <c r="AN723" s="155">
        <f>'IWP16'!Std7dot1AdjBal</f>
        <v>0</v>
      </c>
      <c r="AO723" s="155">
        <f>'IWP16'!Std7dot1CshOnHand</f>
        <v>0</v>
      </c>
      <c r="AP723" s="155">
        <f>'IWP16'!Std7dot1PtyCshOvrShrt</f>
        <v>0</v>
      </c>
      <c r="AQ723" s="151" t="str">
        <f>IF('IWP16'!Std7dot1OvrShrtCorr = 0, "", 'IWP16'!Std7dot1OvrShrtCorr)</f>
        <v/>
      </c>
      <c r="AR723" s="151" t="str">
        <f>IF('IWP16'!Std7dot1 = 0, "", 'IWP16'!Std7dot1)</f>
        <v/>
      </c>
      <c r="AS723" s="151" t="str">
        <f>IF('IWP16'!Std9dot1aNotCalc = 0, "", 'IWP16'!Std9dot1aNotCalc)</f>
        <v/>
      </c>
      <c r="AT723" s="151" t="str">
        <f>IF('IWP16'!Std9dot1bNotCalc = 0, "", 'IWP16'!Std9dot1bNotCalc)</f>
        <v/>
      </c>
      <c r="AU723" s="157">
        <f>IF('IWP16'!Std9BalPerBnkStmtDt =DATE(1900,1,0),DATE(1900,1,1),'IWP16'!Std9BalPerBnkStmtDt)</f>
        <v>1</v>
      </c>
      <c r="AV723" s="155">
        <f>'IWP16'!Std9BalPerBnkStmt</f>
        <v>0</v>
      </c>
      <c r="AW723" s="155">
        <f>'IWP16'!Std9TotDepsInTrans</f>
        <v>0</v>
      </c>
      <c r="AX723" s="155">
        <f>'IWP16'!Std9TotOutsChks</f>
        <v>0</v>
      </c>
      <c r="AY723" s="155">
        <f>'IWP16'!Std9AdjBalPerBank</f>
        <v>0</v>
      </c>
      <c r="AZ723" s="157">
        <f>IF('IWP16'!Std9TotPtyCshIndvDt =DATE(1900,1,0),DATE(1900,1,1),'IWP16'!Std9TotPtyCshIndvDt)</f>
        <v>1</v>
      </c>
      <c r="BA723" s="155">
        <f>'IWP16'!Std9TotPtyCshIndv</f>
        <v>0</v>
      </c>
      <c r="BB723" s="155">
        <f>'IWP16'!Std9TotCshBnkAndHnd</f>
        <v>0</v>
      </c>
      <c r="BC723" s="157">
        <f>IF('IWP16'!Std9BalPerBksDt =DATE(1900,1,0),DATE(1900,1,1),'IWP16'!Std9BalPerBksDt)</f>
        <v>1</v>
      </c>
      <c r="BD723" s="155">
        <f>'IWP16'!Std9BalPerBks</f>
        <v>0</v>
      </c>
      <c r="BE723" s="155">
        <f>'IWP16'!Std9UnapplErndInt</f>
        <v>0</v>
      </c>
      <c r="BF723" s="155">
        <f>'IWP16'!Std9UnpstdRcptDsbrsmts</f>
        <v>0</v>
      </c>
      <c r="BG723" s="155">
        <f>'IWP16'!Std9NsfChks</f>
        <v>0</v>
      </c>
      <c r="BH723" s="155">
        <f>'IWP16'!Std9AdjBalPerBks</f>
        <v>0</v>
      </c>
      <c r="BI723" s="155">
        <f>'IWP16'!Std9TrstFndAcctOvrShrt</f>
        <v>0</v>
      </c>
      <c r="BJ723" s="151" t="str">
        <f>IF('IWP16'!Std9OvrShrtCorrctd = 0, "", 'IWP16'!Std9OvrShrtCorrctd)</f>
        <v/>
      </c>
      <c r="BK723" s="151" t="str">
        <f>IF('IWP16'!Std9ShrtUnreimbSvcChg = 0, "", 'IWP16'!Std9ShrtUnreimbSvcChg)</f>
        <v/>
      </c>
      <c r="BL723" s="151" t="str">
        <f>IF('IWP16'!Std9dot1 = 0, "", 'IWP16'!Std9dot1)</f>
        <v/>
      </c>
      <c r="BM723" s="151" t="str">
        <f>IF('IWP16'!Std10dot1NotCalc = 0, "", 'IWP16'!Std10dot1NotCalc)</f>
        <v/>
      </c>
      <c r="BN723" s="319">
        <f>IF('IWP16'!FiscalReviewFirstMonth =DATE(1900,1,0),DATE(1900,1,1),'IWP16'!FiscalReviewFirstMonth)</f>
        <v>1</v>
      </c>
      <c r="BO723" s="155">
        <f>'IWP16'!Std10dot1TotalAmt1</f>
        <v>0</v>
      </c>
      <c r="BP723" s="319">
        <f>IF('IWP16'!FiscalReviewSecondMonth =DATE(1900,1,0),DATE(1900,1,1),'IWP16'!FiscalReviewSecondMonth)</f>
        <v>1</v>
      </c>
      <c r="BQ723" s="155">
        <f>'IWP16'!Std10dot1TotalAmt2</f>
        <v>0</v>
      </c>
      <c r="BR723" s="151" t="str">
        <f>IF('IWP16'!Std10dot1 = 0, "", 'IWP16'!Std10dot1)</f>
        <v/>
      </c>
      <c r="BS723" s="151" t="str">
        <f>IF('IWP16'!Std10dot2NotCalc = 0, "", 'IWP16'!Std10dot2NotCalc)</f>
        <v/>
      </c>
      <c r="BT723" s="319">
        <f>IF('IWP16'!FiscalReviewFirstMonth =DATE(1900,1,0),DATE(1900,1,1),'IWP16'!FiscalReviewFirstMonth)</f>
        <v>1</v>
      </c>
      <c r="BU723" s="155">
        <f>'IWP16'!Std10dot2BankChgs1</f>
        <v>0</v>
      </c>
      <c r="BV723" s="319">
        <f>IF('IWP16'!FiscalReviewSecondMonth =DATE(1900,1,0),DATE(1900,1,1),'IWP16'!FiscalReviewSecondMonth)</f>
        <v>1</v>
      </c>
      <c r="BW723" s="155">
        <f>'IWP16'!Std10dot2BankChgs2</f>
        <v>0</v>
      </c>
      <c r="BX723" s="151" t="str">
        <f>IF('IWP16'!Std10dot2 = 0, "", 'IWP16'!Std10dot2)</f>
        <v/>
      </c>
      <c r="BY723" s="151" t="str">
        <f>IF('IWP16'!Std10dot3NotCalc = 0, "", 'IWP16'!Std10dot3NotCalc)</f>
        <v/>
      </c>
      <c r="BZ723" s="151" t="str">
        <f>IF('IWP16'!Std10dot3 = 0, "", 'IWP16'!Std10dot3)</f>
        <v/>
      </c>
      <c r="CA723" s="151" t="str">
        <f>IF('IWP16'!Std10dot4NotCalc = 0, "", 'IWP16'!Std10dot4NotCalc)</f>
        <v/>
      </c>
      <c r="CB723" s="151" t="str">
        <f>IF('IWP16'!Std10dot4 = 0, "", 'IWP16'!Std10dot4)</f>
        <v/>
      </c>
      <c r="CC723" s="151" t="str">
        <f>IF('IWP16'!Std10dot5 = 0, "", 'IWP16'!Std10dot5)</f>
        <v/>
      </c>
      <c r="CD723" s="151" t="str">
        <f>IF('IWP16'!Std10dot6NotCalc = 0, "", 'IWP16'!Std10dot6NotCalc)</f>
        <v/>
      </c>
      <c r="CE723" s="157">
        <f>IF('IWP16'!Std10dot6DateOfDeathDischarge =DATE(1900,1,0),DATE(1900,1,1),'IWP16'!Std10dot6DateOfDeathDischarge)</f>
        <v>1</v>
      </c>
      <c r="CF723" s="151" t="str">
        <f>IF('IWP16'!Std10dot6DthDschg = 0, "", 'IWP16'!Std10dot6DthDschg)</f>
        <v/>
      </c>
      <c r="CG723" s="155">
        <f>'IWP16'!Std10dot6TrustFundAmtDue</f>
        <v>0</v>
      </c>
      <c r="CH723" s="155">
        <f>'IWP16'!Std10dot6IndvPtyCshAmtDue</f>
        <v>0</v>
      </c>
      <c r="CI723" s="155">
        <f>'IWP16'!Std10dot6TotRfndDue</f>
        <v>0</v>
      </c>
      <c r="CJ723" s="155">
        <f>'IWP16'!Std10dot6AmtRfnd</f>
        <v>0</v>
      </c>
      <c r="CK723" s="155">
        <f>'IWP16'!Std10dot6DminusE</f>
        <v>0</v>
      </c>
      <c r="CL723" s="151" t="str">
        <f>IF('IWP16'!Std10dot6LastName = 0, "", 'IWP16'!Std10dot6LastName)</f>
        <v/>
      </c>
      <c r="CM723" s="151" t="str">
        <f>IF('IWP16'!Std10dot6FirstName = 0, "", 'IWP16'!Std10dot6FirstName)</f>
        <v/>
      </c>
      <c r="CN723" s="157">
        <f>IF('IWP16'!Std10dot6DateOfRefund =DATE(1900,1,0),DATE(1900,1,1),'IWP16'!Std10dot6DateOfRefund)</f>
        <v>1</v>
      </c>
      <c r="CO723" s="151" t="str">
        <f>IF('IWP16'!Std10dot6a = 0, "", 'IWP16'!Std10dot6a)</f>
        <v/>
      </c>
      <c r="CP723" s="151" t="str">
        <f>IF('IWP16'!Std10dot6b = 0, "", 'IWP16'!Std10dot6b)</f>
        <v/>
      </c>
      <c r="CQ723" s="151" t="str">
        <f>IF('IWP16'!Std10dot6c = 0, "", 'IWP16'!Std10dot6c)</f>
        <v/>
      </c>
      <c r="CR723" s="151" t="str">
        <f>IF('IWP16'!Std10dot6 = "", "", 'IWP16'!Std10dot6)</f>
        <v/>
      </c>
      <c r="CS723" s="151" t="str">
        <f>IF('IWP16'!Std11dot1aNotCalc = 0, "", 'IWP16'!Std11dot1aNotCalc)</f>
        <v/>
      </c>
      <c r="CT723" s="151" t="str">
        <f>IF('IWP16'!Std11dot1bNotCalc = 0, "", 'IWP16'!Std11dot1bNotCalc)</f>
        <v>N</v>
      </c>
      <c r="CU723" s="151" t="str">
        <f>IF('IWP16'!Std11dot1cNotCalc = 0, "", 'IWP16'!Std11dot1cNotCalc)</f>
        <v>N</v>
      </c>
      <c r="CV723" s="151" t="str">
        <f>IF('IWP16'!Std11dot1dNotCalc = 0, "", 'IWP16'!Std11dot1dNotCalc)</f>
        <v/>
      </c>
      <c r="CW723" s="151" t="str">
        <f>IF('IWP16'!Std11dot1eNotCalc = 0, "", 'IWP16'!Std11dot1eNotCalc)</f>
        <v/>
      </c>
      <c r="CX723" s="151" t="str">
        <f>IF('IWP16'!Std11dot1fNotCalc = 0, "", 'IWP16'!Std11dot1fNotCalc)</f>
        <v/>
      </c>
      <c r="CY723" s="151" t="str">
        <f>IF('IWP16'!Std11dot1PrivateLivingSpace = 0, "", 'IWP16'!Std11dot1PrivateLivingSpace)</f>
        <v/>
      </c>
      <c r="CZ723" s="155">
        <f>'IWP16'!Std11dot1LivingWidth</f>
        <v>0</v>
      </c>
      <c r="DA723" s="155">
        <f>'IWP16'!Std11dot1LivingLength</f>
        <v>0</v>
      </c>
      <c r="DB723" s="155">
        <f>IF('IWP16'!Std11dot1LivingSqFt = "", MINVALDBL, 'IWP16'!Std11dot1LivingSqFt)</f>
        <v>-99999.99</v>
      </c>
      <c r="DC723" s="151" t="str">
        <f>IF('IWP16'!Std11dot1PrivateLivingSpace = 0, "", 'IWP16'!Std11dot1PrivateLivingSpace)</f>
        <v/>
      </c>
      <c r="DD723" s="155">
        <f>'IWP16'!Std11dot1LivingWidth</f>
        <v>0</v>
      </c>
      <c r="DE723" s="155">
        <f>'IWP16'!Std11dot1LivingLength</f>
        <v>0</v>
      </c>
      <c r="DF723" s="155">
        <f>IF('IWP16'!Std11dot1LivingSqFt = "", MINVALDBL, 'IWP16'!Std11dot1LivingSqFt)</f>
        <v>-99999.99</v>
      </c>
      <c r="DG723" s="151" t="str">
        <f>IF('IWP16'!Std11dot1PrivateBedSpace = 0, "", 'IWP16'!Std11dot1PrivateBedSpace)</f>
        <v/>
      </c>
      <c r="DH723" s="155">
        <f>'IWP16'!Std11dot1BdrmWidth</f>
        <v>0</v>
      </c>
      <c r="DI723" s="155">
        <f>'IWP16'!Std11dot1BdrmLength</f>
        <v>0</v>
      </c>
      <c r="DJ723" s="155">
        <f>IF('IWP16'!Std11dot1BdrmSqFt = "", MINVALDBL, 'IWP16'!Std11dot1BdrmSqFt)</f>
        <v>-99999.99</v>
      </c>
      <c r="DK723" s="151" t="str">
        <f>IF('IWP16'!Std11dot1PrivateStorageSpace = 0, "", 'IWP16'!Std11dot1PrivateStorageSpace)</f>
        <v/>
      </c>
      <c r="DL723" s="155">
        <f>'IWP16'!Std11dot1StorageWidth</f>
        <v>0</v>
      </c>
      <c r="DM723" s="155">
        <f>'IWP16'!Std11dot1StorageLength</f>
        <v>0</v>
      </c>
      <c r="DN723" s="155">
        <f>IF('IWP16'!Std11dot1StorageSqFt = "", 0, 'IWP16'!Std11dot1StorageSqFt)</f>
        <v>0</v>
      </c>
      <c r="DO723" s="151" t="str">
        <f>IF('IWP16'!Std11dot1PrivateKitchenSpace = 0, "", 'IWP16'!Std11dot1PrivateKitchenSpace)</f>
        <v/>
      </c>
      <c r="DP723" s="155">
        <f>'IWP16'!Std11dot1KitchenWidth</f>
        <v>0</v>
      </c>
      <c r="DQ723" s="155">
        <f>'IWP16'!Std11dot1KitchenLength</f>
        <v>0</v>
      </c>
      <c r="DR723" s="155">
        <f>IF('IWP16'!Std11dot1KitchenSqFt = "", MINVALDBL, 'IWP16'!Std11dot1KitchenSqFt)</f>
        <v>-99999.99</v>
      </c>
      <c r="DS723" s="151" t="str">
        <f>IF('IWP16'!Std11dot1KitchenSink = 0, "", 'IWP16'!Std11dot1KitchenSink)</f>
        <v/>
      </c>
      <c r="DT723" s="151" t="str">
        <f>IF('IWP16'!Std11dot1Refrigerator = 0, "", 'IWP16'!Std11dot1Refrigerator)</f>
        <v/>
      </c>
      <c r="DU723" s="151" t="str">
        <f>IF('IWP16'!Std11dot1StoveMicrowave = 0, "", 'IWP16'!Std11dot1StoveMicrowave)</f>
        <v/>
      </c>
      <c r="DV723" s="151" t="str">
        <f>IF('IWP16'!Std11dot1SeparateBath = 0, "", 'IWP16'!Std11dot1SeparateBath)</f>
        <v/>
      </c>
      <c r="DW723" s="151" t="str">
        <f>IF('IWP16'!Std11dot1BathSink = 0, "", 'IWP16'!Std11dot1BathSink)</f>
        <v/>
      </c>
      <c r="DX723" s="151" t="str">
        <f>IF('IWP16'!Std11dot1ShowerTubAccessible = 0, "", 'IWP16'!Std11dot1ShowerTubAccessible)</f>
        <v/>
      </c>
      <c r="DY723" s="155">
        <f>'IWP16'!Std11dot1TotalPrivateSpace</f>
        <v>0</v>
      </c>
      <c r="DZ723" s="155">
        <f>'IWP16'!Std11dot1PrivateSpaceSquareFootagePerResident</f>
        <v>0</v>
      </c>
      <c r="EA723" s="155">
        <f>IF('IWP16'!Std11dot1TotalSquareFootagePerResident = "", MINVALDBL, 'IWP16'!Std11dot1TotalSquareFootagePerResident)</f>
        <v>-99999.99</v>
      </c>
      <c r="EB723" s="155">
        <f>'IWP16'!Std11dot1UseableCommonAreaSquareFootage</f>
        <v>0</v>
      </c>
      <c r="EC723" s="155">
        <f>'IWP16'!Std11dot1LicensedCapacity</f>
        <v>0</v>
      </c>
      <c r="ED723" s="155">
        <f>IF('IWP16'!Std11dot1CommonAreaSquareFootagePerResident = "", MINVALDBL, 'IWP16'!Std11dot1CommonAreaSquareFootagePerResident)</f>
        <v>-99999.99</v>
      </c>
      <c r="EE723" s="151" t="str">
        <f>IF('IWP16'!Std11dot1a = 0, "", 'IWP16'!Std11dot1a)</f>
        <v/>
      </c>
      <c r="EF723" s="151" t="str">
        <f>IF('IWP16'!Std11dot1b = 0, "", 'IWP16'!Std11dot1b)</f>
        <v/>
      </c>
      <c r="EG723" s="151" t="str">
        <f>IF('IWP16'!Std11dot1c = 0, "", 'IWP16'!Std11dot1c)</f>
        <v/>
      </c>
      <c r="EH723" s="151" t="str">
        <f>IF('IWP16'!Std11dot1d = 0, "", 'IWP16'!Std11dot1d)</f>
        <v/>
      </c>
      <c r="EI723" s="151" t="str">
        <f>IF('IWP16'!Std11dot1e = 0, "", 'IWP16'!Std11dot1e)</f>
        <v/>
      </c>
      <c r="EJ723" s="151" t="str">
        <f>IF('IWP16'!Std11dot1f = 0, "", 'IWP16'!Std11dot1f)</f>
        <v/>
      </c>
      <c r="EK723" s="151" t="str">
        <f>IF('IWP16'!Std11dot1g = 0, "", 'IWP16'!Std11dot1g)</f>
        <v/>
      </c>
      <c r="EL723" s="151" t="str">
        <f>IF('IWP16'!Std11dot1h = 0, "", 'IWP16'!Std11dot1h)</f>
        <v/>
      </c>
      <c r="EM723" s="151" t="str">
        <f>IF('IWP16'!Std11dot1i = 0, "", 'IWP16'!Std11dot1i)</f>
        <v/>
      </c>
      <c r="EN723" s="151" t="str">
        <f>IF('IWP16'!Std11dot1j = 0, "", 'IWP16'!Std11dot1j)</f>
        <v/>
      </c>
      <c r="EO723" s="151" t="str">
        <f>IF('IWP16'!Std11dot1k = 0, "", 'IWP16'!Std11dot1k)</f>
        <v/>
      </c>
      <c r="EP723" s="151" t="str">
        <f>IF('IWP16'!Std11dot1 = 0, "", 'IWP16'!Std11dot1)</f>
        <v/>
      </c>
      <c r="EQ723" s="151" t="str">
        <f>IF('IWP16'!Std11dot2 = 0, "", 'IWP16'!Std11dot2)</f>
        <v/>
      </c>
      <c r="ER723" s="151" t="str">
        <f>IF('IWP16'!Std11dot3 = 0, "", 'IWP16'!Std11dot3)</f>
        <v/>
      </c>
      <c r="ES723" s="151" t="str">
        <f>IF('IWP16'!Std11dot4 = 0, "", 'IWP16'!Std11dot4)</f>
        <v>NA</v>
      </c>
      <c r="ET723" s="157">
        <f>IF('IWP16'!$A$363=DATE(1900,1,0), DATE(1900,1,1), 'IWP16'!$A$363)</f>
        <v>1</v>
      </c>
      <c r="EU723" s="155">
        <f>'IWP16'!$C$363</f>
        <v>0</v>
      </c>
      <c r="EV723" s="155">
        <f>'IWP16'!$E$363</f>
        <v>0</v>
      </c>
      <c r="EW723" s="157">
        <f>IF('IWP16'!$G$363=DATE(1900,1,0), DATE(1900,1,1), 'IWP16'!$G$363)</f>
        <v>1</v>
      </c>
      <c r="EX723" s="155">
        <f>'IWP16'!$I$363</f>
        <v>0</v>
      </c>
      <c r="EY723" s="155">
        <f>'IWP16'!$K$363</f>
        <v>0</v>
      </c>
      <c r="EZ723" s="157">
        <f>IF('IWP16'!$M$363=DATE(1900,1,0), DATE(1900,1,1), 'IWP16'!$M$363)</f>
        <v>1</v>
      </c>
      <c r="FA723" s="151" t="str">
        <f>IF('IWP16'!$O$363 = 0, "", 'IWP16'!$O$363)</f>
        <v/>
      </c>
      <c r="FB723" s="151" t="str">
        <f>IF('IWP16'!$Q$363 = 0, "", 'IWP16'!$Q$363)</f>
        <v/>
      </c>
      <c r="FC723" s="151" t="str">
        <f>IF('IWP16'!Std11dot5a = 0, "", 'IWP16'!Std11dot5a)</f>
        <v/>
      </c>
      <c r="FD723" s="151" t="str">
        <f>IF('IWP16'!Std11dot5b = 0, "", 'IWP16'!Std11dot5b)</f>
        <v/>
      </c>
      <c r="FE723" s="151" t="str">
        <f>IF('IWP16'!Std11dot5ci = 0, "", 'IWP16'!Std11dot5ci)</f>
        <v>NA</v>
      </c>
      <c r="FF723" s="151" t="str">
        <f>IF('IWP16'!Std11dot5cii = 0, "", 'IWP16'!Std11dot5cii)</f>
        <v>NA</v>
      </c>
      <c r="FG723" s="151" t="str">
        <f>IF('IWP16'!Std11dot5 = 0, "", 'IWP16'!Std11dot5)</f>
        <v/>
      </c>
      <c r="FH723" s="207" t="str">
        <f>IF('IWP16'!Std11dot1AptGrandFthr = "", "", 'IWP16'!Std11dot1AptGrandFthr)</f>
        <v/>
      </c>
    </row>
    <row r="724" spans="1:164">
      <c r="A724" s="206" t="s">
        <v>1320</v>
      </c>
      <c r="B724" s="157">
        <f>IF('Samples (Print)'!D21=DATE(1900,1,0),DATE(1900,1,1),'Samples (Print)'!D21)</f>
        <v>1</v>
      </c>
      <c r="C724" s="157">
        <f>IF('Samples (Print)'!E21=DATE(1900,1,0),DATE(1900,1,1),'Samples (Print)'!E21)</f>
        <v>1</v>
      </c>
      <c r="D724" s="319">
        <f>IF('IWP17'!FiscalReviewFirstMonth =DATE(1900,1,0),DATE(1900,1,1),'IWP17'!FiscalReviewFirstMonth)</f>
        <v>1</v>
      </c>
      <c r="E724" s="319">
        <f>IF('IWP17'!FiscalReviewSecondMonth =DATE(1900,1,0),DATE(1900,1,1),'IWP17'!FiscalReviewSecondMonth)</f>
        <v>1</v>
      </c>
      <c r="F724" s="13">
        <f>'IWP17'!SampleNumber</f>
        <v>17</v>
      </c>
      <c r="G724" s="13">
        <f ca="1">'IWP17'!ClientID</f>
        <v>0</v>
      </c>
      <c r="H724" s="283"/>
      <c r="I724" s="283"/>
      <c r="J724" s="151" t="str">
        <f ca="1">IF('IWP17'!ContractNumber = 0, "", 'IWP17'!ContractNumber)</f>
        <v/>
      </c>
      <c r="K724" s="151" t="str">
        <f ca="1">IF('IWP17'!ContractType = 0, "", 'IWP17'!ContractType)</f>
        <v/>
      </c>
      <c r="L724" s="151" t="str">
        <f>IF('IWP17'!CompletedByLastName = 0, "", 'IWP17'!CompletedByLastName)</f>
        <v/>
      </c>
      <c r="M724" s="151" t="str">
        <f>IF('IWP17'!CompletedByFirstName = 0, "", 'IWP17'!CompletedByFirstName)</f>
        <v/>
      </c>
      <c r="N724" s="157">
        <f>IF('IWP17'!DateCompleted =DATE(1900,1,0),DATE(1900,1,1),'IWP17'!DateCompleted)</f>
        <v>1</v>
      </c>
      <c r="O724" s="151" t="str">
        <f>IF('IWP17'!Std3NotCalc = 0, "", 'IWP17'!Std3NotCalc)</f>
        <v/>
      </c>
      <c r="P724" s="157">
        <f>IF('IWP17'!Std3dot1DateOfAdmission =DATE(1900,1,0),DATE(1900,1,1),'IWP17'!Std3dot1DateOfAdmission)</f>
        <v>1</v>
      </c>
      <c r="Q724" s="151" t="str">
        <f>IF('IWP17'!Std3dot1a = 0, "", 'IWP17'!Std3dot1a)</f>
        <v/>
      </c>
      <c r="R724" s="151" t="str">
        <f>IF('IWP17'!Std3dot1b = 0, "", 'IWP17'!Std3dot1b)</f>
        <v/>
      </c>
      <c r="S724" s="151" t="str">
        <f>IF('IWP17'!Std3dot1c = 0, "", 'IWP17'!Std3dot1c)</f>
        <v>NA</v>
      </c>
      <c r="T724" s="151" t="str">
        <f>IF('IWP17'!Std3dot1 = 0, "", 'IWP17'!Std3dot1)</f>
        <v/>
      </c>
      <c r="U724" s="151" t="str">
        <f>IF('IWP17'!Std3dot2a = 0, "", 'IWP17'!Std3dot2a)</f>
        <v/>
      </c>
      <c r="V724" s="151" t="str">
        <f>IF('IWP17'!Std3dot2b = 0, "", 'IWP17'!Std3dot2b)</f>
        <v/>
      </c>
      <c r="W724" s="151" t="str">
        <f>IF('IWP17'!Std3dot2c = 0, "", 'IWP17'!Std3dot2c)</f>
        <v/>
      </c>
      <c r="X724" s="151" t="str">
        <f>IF('IWP17'!Std3dot2 = 0, "", 'IWP17'!Std3dot2)</f>
        <v/>
      </c>
      <c r="Y724" s="151" t="str">
        <f>IF('IWP17'!Std4dot1Month1 = 0, "", 'IWP17'!Std4dot1Month1)</f>
        <v/>
      </c>
      <c r="Z724" s="157">
        <f>IF('IWP17'!Std4dot1Month1Date =DATE(1900,1,0),DATE(1900,1,1),'IWP17'!Std4dot1Month1Date)</f>
        <v>1</v>
      </c>
      <c r="AA724" s="151" t="str">
        <f>IF('IWP17'!Std4dot1Month2 = 0, "", 'IWP17'!Std4dot1Month2)</f>
        <v/>
      </c>
      <c r="AB724" s="157">
        <f>IF('IWP17'!Std4dot1Month2Date =DATE(1900,1,0),DATE(1900,1,1),'IWP17'!Std4dot1Month2Date)</f>
        <v>1</v>
      </c>
      <c r="AC724" s="151" t="str">
        <f>IF('IWP17'!Std4dot1 = 0, "", 'IWP17'!Std4dot1)</f>
        <v/>
      </c>
      <c r="AD724" s="151" t="str">
        <f>IF('IWP17'!Std4dot2NotCalc = 0, "", 'IWP17'!Std4dot2NotCalc)</f>
        <v/>
      </c>
      <c r="AE724" s="151" t="str">
        <f>IF('IWP17'!Std4dot2 = 0, "", 'IWP17'!Std4dot2)</f>
        <v/>
      </c>
      <c r="AF724" s="151" t="str">
        <f>IF('IWP17'!Std4dot3 = 0, "", 'IWP17'!Std4dot3)</f>
        <v/>
      </c>
      <c r="AG724" s="151" t="str">
        <f>IF('IWP17'!Std4dot4 = 0, "", 'IWP17'!Std4dot4)</f>
        <v/>
      </c>
      <c r="AH724" s="151" t="str">
        <f>IF('IWP17'!Std5NotCalc = 0, "", 'IWP17'!Std5NotCalc)</f>
        <v/>
      </c>
      <c r="AI724" s="151" t="str">
        <f>IF('IWP17'!Std5dot1 = 0, "", 'IWP17'!Std5dot1)</f>
        <v/>
      </c>
      <c r="AJ724" s="151" t="str">
        <f>IF('IWP17'!Std7dot1NotCalc = 0, "", 'IWP17'!Std7dot1NotCalc)</f>
        <v/>
      </c>
      <c r="AK724" s="151" t="str">
        <f>IF('IWP17'!Std7dot1NotCalc = 0, "", 'IWP17'!Std7dot1NotCalc)</f>
        <v/>
      </c>
      <c r="AL724" s="155">
        <f>'IWP17'!Std7dot1BalPerCshLog</f>
        <v>0</v>
      </c>
      <c r="AM724" s="155">
        <f>'IWP17'!Std7dot1LessAdj</f>
        <v>0</v>
      </c>
      <c r="AN724" s="155">
        <f>'IWP17'!Std7dot1AdjBal</f>
        <v>0</v>
      </c>
      <c r="AO724" s="155">
        <f>'IWP17'!Std7dot1CshOnHand</f>
        <v>0</v>
      </c>
      <c r="AP724" s="155">
        <f>'IWP17'!Std7dot1PtyCshOvrShrt</f>
        <v>0</v>
      </c>
      <c r="AQ724" s="151" t="str">
        <f>IF('IWP17'!Std7dot1OvrShrtCorr = 0, "", 'IWP17'!Std7dot1OvrShrtCorr)</f>
        <v/>
      </c>
      <c r="AR724" s="151" t="str">
        <f>IF('IWP17'!Std7dot1 = 0, "", 'IWP17'!Std7dot1)</f>
        <v/>
      </c>
      <c r="AS724" s="151" t="str">
        <f>IF('IWP17'!Std9dot1aNotCalc = 0, "", 'IWP17'!Std9dot1aNotCalc)</f>
        <v/>
      </c>
      <c r="AT724" s="151" t="str">
        <f>IF('IWP17'!Std9dot1bNotCalc = 0, "", 'IWP17'!Std9dot1bNotCalc)</f>
        <v/>
      </c>
      <c r="AU724" s="157">
        <f>IF('IWP17'!Std9BalPerBnkStmtDt =DATE(1900,1,0),DATE(1900,1,1),'IWP17'!Std9BalPerBnkStmtDt)</f>
        <v>1</v>
      </c>
      <c r="AV724" s="155">
        <f>'IWP17'!Std9BalPerBnkStmt</f>
        <v>0</v>
      </c>
      <c r="AW724" s="155">
        <f>'IWP17'!Std9TotDepsInTrans</f>
        <v>0</v>
      </c>
      <c r="AX724" s="155">
        <f>'IWP17'!Std9TotOutsChks</f>
        <v>0</v>
      </c>
      <c r="AY724" s="155">
        <f>'IWP17'!Std9AdjBalPerBank</f>
        <v>0</v>
      </c>
      <c r="AZ724" s="157">
        <f>IF('IWP17'!Std9TotPtyCshIndvDt =DATE(1900,1,0),DATE(1900,1,1),'IWP17'!Std9TotPtyCshIndvDt)</f>
        <v>1</v>
      </c>
      <c r="BA724" s="155">
        <f>'IWP17'!Std9TotPtyCshIndv</f>
        <v>0</v>
      </c>
      <c r="BB724" s="155">
        <f>'IWP17'!Std9TotCshBnkAndHnd</f>
        <v>0</v>
      </c>
      <c r="BC724" s="157">
        <f>IF('IWP17'!Std9BalPerBksDt =DATE(1900,1,0),DATE(1900,1,1),'IWP17'!Std9BalPerBksDt)</f>
        <v>1</v>
      </c>
      <c r="BD724" s="155">
        <f>'IWP17'!Std9BalPerBks</f>
        <v>0</v>
      </c>
      <c r="BE724" s="155">
        <f>'IWP17'!Std9UnapplErndInt</f>
        <v>0</v>
      </c>
      <c r="BF724" s="155">
        <f>'IWP17'!Std9UnpstdRcptDsbrsmts</f>
        <v>0</v>
      </c>
      <c r="BG724" s="155">
        <f>'IWP17'!Std9NsfChks</f>
        <v>0</v>
      </c>
      <c r="BH724" s="155">
        <f>'IWP17'!Std9AdjBalPerBks</f>
        <v>0</v>
      </c>
      <c r="BI724" s="155">
        <f>'IWP17'!Std9TrstFndAcctOvrShrt</f>
        <v>0</v>
      </c>
      <c r="BJ724" s="151" t="str">
        <f>IF('IWP17'!Std9OvrShrtCorrctd = 0, "", 'IWP17'!Std9OvrShrtCorrctd)</f>
        <v/>
      </c>
      <c r="BK724" s="151" t="str">
        <f>IF('IWP17'!Std9ShrtUnreimbSvcChg = 0, "", 'IWP17'!Std9ShrtUnreimbSvcChg)</f>
        <v/>
      </c>
      <c r="BL724" s="151" t="str">
        <f>IF('IWP17'!Std9dot1 = 0, "", 'IWP17'!Std9dot1)</f>
        <v/>
      </c>
      <c r="BM724" s="151" t="str">
        <f>IF('IWP17'!Std10dot1NotCalc = 0, "", 'IWP17'!Std10dot1NotCalc)</f>
        <v/>
      </c>
      <c r="BN724" s="319">
        <f>IF('IWP17'!FiscalReviewFirstMonth =DATE(1900,1,0),DATE(1900,1,1),'IWP17'!FiscalReviewFirstMonth)</f>
        <v>1</v>
      </c>
      <c r="BO724" s="155">
        <f>'IWP17'!Std10dot1TotalAmt1</f>
        <v>0</v>
      </c>
      <c r="BP724" s="319">
        <f>IF('IWP17'!FiscalReviewSecondMonth =DATE(1900,1,0),DATE(1900,1,1),'IWP17'!FiscalReviewSecondMonth)</f>
        <v>1</v>
      </c>
      <c r="BQ724" s="155">
        <f>'IWP17'!Std10dot1TotalAmt2</f>
        <v>0</v>
      </c>
      <c r="BR724" s="151" t="str">
        <f>IF('IWP17'!Std10dot1 = 0, "", 'IWP17'!Std10dot1)</f>
        <v/>
      </c>
      <c r="BS724" s="151" t="str">
        <f>IF('IWP17'!Std10dot2NotCalc = 0, "", 'IWP17'!Std10dot2NotCalc)</f>
        <v/>
      </c>
      <c r="BT724" s="319">
        <f>IF('IWP17'!FiscalReviewFirstMonth =DATE(1900,1,0),DATE(1900,1,1),'IWP17'!FiscalReviewFirstMonth)</f>
        <v>1</v>
      </c>
      <c r="BU724" s="155">
        <f>'IWP17'!Std10dot2BankChgs1</f>
        <v>0</v>
      </c>
      <c r="BV724" s="319">
        <f>IF('IWP17'!FiscalReviewSecondMonth =DATE(1900,1,0),DATE(1900,1,1),'IWP17'!FiscalReviewSecondMonth)</f>
        <v>1</v>
      </c>
      <c r="BW724" s="155">
        <f>'IWP17'!Std10dot2BankChgs2</f>
        <v>0</v>
      </c>
      <c r="BX724" s="151" t="str">
        <f>IF('IWP17'!Std10dot2 = 0, "", 'IWP17'!Std10dot2)</f>
        <v/>
      </c>
      <c r="BY724" s="151" t="str">
        <f>IF('IWP17'!Std10dot3NotCalc = 0, "", 'IWP17'!Std10dot3NotCalc)</f>
        <v/>
      </c>
      <c r="BZ724" s="151" t="str">
        <f>IF('IWP17'!Std10dot3 = 0, "", 'IWP17'!Std10dot3)</f>
        <v/>
      </c>
      <c r="CA724" s="151" t="str">
        <f>IF('IWP17'!Std10dot4NotCalc = 0, "", 'IWP17'!Std10dot4NotCalc)</f>
        <v/>
      </c>
      <c r="CB724" s="151" t="str">
        <f>IF('IWP17'!Std10dot4 = 0, "", 'IWP17'!Std10dot4)</f>
        <v/>
      </c>
      <c r="CC724" s="151" t="str">
        <f>IF('IWP17'!Std10dot5 = 0, "", 'IWP17'!Std10dot5)</f>
        <v/>
      </c>
      <c r="CD724" s="151" t="str">
        <f>IF('IWP17'!Std10dot6NotCalc = 0, "", 'IWP17'!Std10dot6NotCalc)</f>
        <v/>
      </c>
      <c r="CE724" s="157">
        <f>IF('IWP17'!Std10dot6DateOfDeathDischarge =DATE(1900,1,0),DATE(1900,1,1),'IWP17'!Std10dot6DateOfDeathDischarge)</f>
        <v>1</v>
      </c>
      <c r="CF724" s="151" t="str">
        <f>IF('IWP17'!Std10dot6DthDschg = 0, "", 'IWP17'!Std10dot6DthDschg)</f>
        <v/>
      </c>
      <c r="CG724" s="155">
        <f>'IWP17'!Std10dot6TrustFundAmtDue</f>
        <v>0</v>
      </c>
      <c r="CH724" s="155">
        <f>'IWP17'!Std10dot6IndvPtyCshAmtDue</f>
        <v>0</v>
      </c>
      <c r="CI724" s="155">
        <f>'IWP17'!Std10dot6TotRfndDue</f>
        <v>0</v>
      </c>
      <c r="CJ724" s="155">
        <f>'IWP17'!Std10dot6AmtRfnd</f>
        <v>0</v>
      </c>
      <c r="CK724" s="155">
        <f>'IWP17'!Std10dot6DminusE</f>
        <v>0</v>
      </c>
      <c r="CL724" s="151" t="str">
        <f>IF('IWP17'!Std10dot6LastName = 0, "", 'IWP17'!Std10dot6LastName)</f>
        <v/>
      </c>
      <c r="CM724" s="151" t="str">
        <f>IF('IWP17'!Std10dot6FirstName = 0, "", 'IWP17'!Std10dot6FirstName)</f>
        <v/>
      </c>
      <c r="CN724" s="157">
        <f>IF('IWP17'!Std10dot6DateOfRefund =DATE(1900,1,0),DATE(1900,1,1),'IWP17'!Std10dot6DateOfRefund)</f>
        <v>1</v>
      </c>
      <c r="CO724" s="151" t="str">
        <f>IF('IWP17'!Std10dot6a = 0, "", 'IWP17'!Std10dot6a)</f>
        <v/>
      </c>
      <c r="CP724" s="151" t="str">
        <f>IF('IWP17'!Std10dot6b = 0, "", 'IWP17'!Std10dot6b)</f>
        <v/>
      </c>
      <c r="CQ724" s="151" t="str">
        <f>IF('IWP17'!Std10dot6c = 0, "", 'IWP17'!Std10dot6c)</f>
        <v/>
      </c>
      <c r="CR724" s="151" t="str">
        <f>IF('IWP17'!Std10dot6 = "", "", 'IWP17'!Std10dot6)</f>
        <v/>
      </c>
      <c r="CS724" s="151" t="str">
        <f>IF('IWP17'!Std11dot1aNotCalc = 0, "", 'IWP17'!Std11dot1aNotCalc)</f>
        <v/>
      </c>
      <c r="CT724" s="151" t="str">
        <f>IF('IWP17'!Std11dot1bNotCalc = 0, "", 'IWP17'!Std11dot1bNotCalc)</f>
        <v>N</v>
      </c>
      <c r="CU724" s="151" t="str">
        <f>IF('IWP17'!Std11dot1cNotCalc = 0, "", 'IWP17'!Std11dot1cNotCalc)</f>
        <v>N</v>
      </c>
      <c r="CV724" s="151" t="str">
        <f>IF('IWP17'!Std11dot1dNotCalc = 0, "", 'IWP17'!Std11dot1dNotCalc)</f>
        <v/>
      </c>
      <c r="CW724" s="151" t="str">
        <f>IF('IWP17'!Std11dot1eNotCalc = 0, "", 'IWP17'!Std11dot1eNotCalc)</f>
        <v/>
      </c>
      <c r="CX724" s="151" t="str">
        <f>IF('IWP17'!Std11dot1fNotCalc = 0, "", 'IWP17'!Std11dot1fNotCalc)</f>
        <v/>
      </c>
      <c r="CY724" s="151" t="str">
        <f>IF('IWP17'!Std11dot1PrivateLivingSpace = 0, "", 'IWP17'!Std11dot1PrivateLivingSpace)</f>
        <v/>
      </c>
      <c r="CZ724" s="155">
        <f>'IWP17'!Std11dot1LivingWidth</f>
        <v>0</v>
      </c>
      <c r="DA724" s="155">
        <f>'IWP17'!Std11dot1LivingLength</f>
        <v>0</v>
      </c>
      <c r="DB724" s="155">
        <f>IF('IWP17'!Std11dot1LivingSqFt = "", MINVALDBL, 'IWP17'!Std11dot1LivingSqFt)</f>
        <v>-99999.99</v>
      </c>
      <c r="DC724" s="151" t="str">
        <f>IF('IWP17'!Std11dot1PrivateLivingSpace = 0, "", 'IWP17'!Std11dot1PrivateLivingSpace)</f>
        <v/>
      </c>
      <c r="DD724" s="155">
        <f>'IWP17'!Std11dot1LivingWidth</f>
        <v>0</v>
      </c>
      <c r="DE724" s="155">
        <f>'IWP17'!Std11dot1LivingLength</f>
        <v>0</v>
      </c>
      <c r="DF724" s="155">
        <f>IF('IWP17'!Std11dot1LivingSqFt = "", MINVALDBL, 'IWP17'!Std11dot1LivingSqFt)</f>
        <v>-99999.99</v>
      </c>
      <c r="DG724" s="151" t="str">
        <f>IF('IWP17'!Std11dot1PrivateBedSpace = 0, "", 'IWP17'!Std11dot1PrivateBedSpace)</f>
        <v/>
      </c>
      <c r="DH724" s="155">
        <f>'IWP17'!Std11dot1BdrmWidth</f>
        <v>0</v>
      </c>
      <c r="DI724" s="155">
        <f>'IWP17'!Std11dot1BdrmLength</f>
        <v>0</v>
      </c>
      <c r="DJ724" s="155">
        <f>IF('IWP17'!Std11dot1BdrmSqFt = "", MINVALDBL, 'IWP17'!Std11dot1BdrmSqFt)</f>
        <v>-99999.99</v>
      </c>
      <c r="DK724" s="151" t="str">
        <f>IF('IWP17'!Std11dot1PrivateStorageSpace = 0, "", 'IWP17'!Std11dot1PrivateStorageSpace)</f>
        <v/>
      </c>
      <c r="DL724" s="155">
        <f>'IWP17'!Std11dot1StorageWidth</f>
        <v>0</v>
      </c>
      <c r="DM724" s="155">
        <f>'IWP17'!Std11dot1StorageLength</f>
        <v>0</v>
      </c>
      <c r="DN724" s="155">
        <f>IF('IWP17'!Std11dot1StorageSqFt = "", 0, 'IWP17'!Std11dot1StorageSqFt)</f>
        <v>0</v>
      </c>
      <c r="DO724" s="151" t="str">
        <f>IF('IWP17'!Std11dot1PrivateKitchenSpace = 0, "", 'IWP17'!Std11dot1PrivateKitchenSpace)</f>
        <v/>
      </c>
      <c r="DP724" s="155">
        <f>'IWP17'!Std11dot1KitchenWidth</f>
        <v>0</v>
      </c>
      <c r="DQ724" s="155">
        <f>'IWP17'!Std11dot1KitchenLength</f>
        <v>0</v>
      </c>
      <c r="DR724" s="155">
        <f>IF('IWP17'!Std11dot1KitchenSqFt = "", MINVALDBL, 'IWP17'!Std11dot1KitchenSqFt)</f>
        <v>-99999.99</v>
      </c>
      <c r="DS724" s="151" t="str">
        <f>IF('IWP17'!Std11dot1KitchenSink = 0, "", 'IWP17'!Std11dot1KitchenSink)</f>
        <v/>
      </c>
      <c r="DT724" s="151" t="str">
        <f>IF('IWP17'!Std11dot1Refrigerator = 0, "", 'IWP17'!Std11dot1Refrigerator)</f>
        <v/>
      </c>
      <c r="DU724" s="151" t="str">
        <f>IF('IWP17'!Std11dot1StoveMicrowave = 0, "", 'IWP17'!Std11dot1StoveMicrowave)</f>
        <v/>
      </c>
      <c r="DV724" s="151" t="str">
        <f>IF('IWP17'!Std11dot1SeparateBath = 0, "", 'IWP17'!Std11dot1SeparateBath)</f>
        <v/>
      </c>
      <c r="DW724" s="151" t="str">
        <f>IF('IWP17'!Std11dot1BathSink = 0, "", 'IWP17'!Std11dot1BathSink)</f>
        <v/>
      </c>
      <c r="DX724" s="151" t="str">
        <f>IF('IWP17'!Std11dot1ShowerTubAccessible = 0, "", 'IWP17'!Std11dot1ShowerTubAccessible)</f>
        <v/>
      </c>
      <c r="DY724" s="155">
        <f>'IWP17'!Std11dot1TotalPrivateSpace</f>
        <v>0</v>
      </c>
      <c r="DZ724" s="155">
        <f>'IWP17'!Std11dot1PrivateSpaceSquareFootagePerResident</f>
        <v>0</v>
      </c>
      <c r="EA724" s="155">
        <f>IF('IWP17'!Std11dot1TotalSquareFootagePerResident = "", MINVALDBL, 'IWP17'!Std11dot1TotalSquareFootagePerResident)</f>
        <v>-99999.99</v>
      </c>
      <c r="EB724" s="155">
        <f>'IWP17'!Std11dot1UseableCommonAreaSquareFootage</f>
        <v>0</v>
      </c>
      <c r="EC724" s="155">
        <f>'IWP17'!Std11dot1LicensedCapacity</f>
        <v>0</v>
      </c>
      <c r="ED724" s="155">
        <f>IF('IWP17'!Std11dot1CommonAreaSquareFootagePerResident = "", MINVALDBL, 'IWP17'!Std11dot1CommonAreaSquareFootagePerResident)</f>
        <v>-99999.99</v>
      </c>
      <c r="EE724" s="151" t="str">
        <f>IF('IWP17'!Std11dot1a = 0, "", 'IWP17'!Std11dot1a)</f>
        <v/>
      </c>
      <c r="EF724" s="151" t="str">
        <f>IF('IWP17'!Std11dot1b = 0, "", 'IWP17'!Std11dot1b)</f>
        <v/>
      </c>
      <c r="EG724" s="151" t="str">
        <f>IF('IWP17'!Std11dot1c = 0, "", 'IWP17'!Std11dot1c)</f>
        <v/>
      </c>
      <c r="EH724" s="151" t="str">
        <f>IF('IWP17'!Std11dot1d = 0, "", 'IWP17'!Std11dot1d)</f>
        <v/>
      </c>
      <c r="EI724" s="151" t="str">
        <f>IF('IWP17'!Std11dot1e = 0, "", 'IWP17'!Std11dot1e)</f>
        <v/>
      </c>
      <c r="EJ724" s="151" t="str">
        <f>IF('IWP17'!Std11dot1f = 0, "", 'IWP17'!Std11dot1f)</f>
        <v/>
      </c>
      <c r="EK724" s="151" t="str">
        <f>IF('IWP17'!Std11dot1g = 0, "", 'IWP17'!Std11dot1g)</f>
        <v/>
      </c>
      <c r="EL724" s="151" t="str">
        <f>IF('IWP17'!Std11dot1h = 0, "", 'IWP17'!Std11dot1h)</f>
        <v/>
      </c>
      <c r="EM724" s="151" t="str">
        <f>IF('IWP17'!Std11dot1i = 0, "", 'IWP17'!Std11dot1i)</f>
        <v/>
      </c>
      <c r="EN724" s="151" t="str">
        <f>IF('IWP17'!Std11dot1j = 0, "", 'IWP17'!Std11dot1j)</f>
        <v/>
      </c>
      <c r="EO724" s="151" t="str">
        <f>IF('IWP17'!Std11dot1k = 0, "", 'IWP17'!Std11dot1k)</f>
        <v/>
      </c>
      <c r="EP724" s="151" t="str">
        <f>IF('IWP17'!Std11dot1 = 0, "", 'IWP17'!Std11dot1)</f>
        <v/>
      </c>
      <c r="EQ724" s="151" t="str">
        <f>IF('IWP17'!Std11dot2 = 0, "", 'IWP17'!Std11dot2)</f>
        <v/>
      </c>
      <c r="ER724" s="151" t="str">
        <f>IF('IWP17'!Std11dot3 = 0, "", 'IWP17'!Std11dot3)</f>
        <v/>
      </c>
      <c r="ES724" s="151" t="str">
        <f>IF('IWP17'!Std11dot4 = 0, "", 'IWP17'!Std11dot4)</f>
        <v>NA</v>
      </c>
      <c r="ET724" s="157">
        <f>IF('IWP17'!$A$363=DATE(1900,1,0), DATE(1900,1,1), 'IWP17'!$A$363)</f>
        <v>1</v>
      </c>
      <c r="EU724" s="155">
        <f>'IWP17'!$C$363</f>
        <v>0</v>
      </c>
      <c r="EV724" s="155">
        <f>'IWP17'!$E$363</f>
        <v>0</v>
      </c>
      <c r="EW724" s="157">
        <f>IF('IWP17'!$G$363=DATE(1900,1,0), DATE(1900,1,1), 'IWP17'!$G$363)</f>
        <v>1</v>
      </c>
      <c r="EX724" s="155">
        <f>'IWP17'!$I$363</f>
        <v>0</v>
      </c>
      <c r="EY724" s="155">
        <f>'IWP17'!$K$363</f>
        <v>0</v>
      </c>
      <c r="EZ724" s="157">
        <f>IF('IWP17'!$M$363=DATE(1900,1,0), DATE(1900,1,1), 'IWP17'!$M$363)</f>
        <v>1</v>
      </c>
      <c r="FA724" s="151" t="str">
        <f>IF('IWP17'!$O$363 = 0, "", 'IWP17'!$O$363)</f>
        <v/>
      </c>
      <c r="FB724" s="151" t="str">
        <f>IF('IWP17'!$Q$363 = 0, "", 'IWP17'!$Q$363)</f>
        <v/>
      </c>
      <c r="FC724" s="151" t="str">
        <f>IF('IWP17'!Std11dot5a = 0, "", 'IWP17'!Std11dot5a)</f>
        <v/>
      </c>
      <c r="FD724" s="151" t="str">
        <f>IF('IWP17'!Std11dot5b = 0, "", 'IWP17'!Std11dot5b)</f>
        <v/>
      </c>
      <c r="FE724" s="151" t="str">
        <f>IF('IWP17'!Std11dot5ci = 0, "", 'IWP17'!Std11dot5ci)</f>
        <v>NA</v>
      </c>
      <c r="FF724" s="151" t="str">
        <f>IF('IWP17'!Std11dot5cii = 0, "", 'IWP17'!Std11dot5cii)</f>
        <v>NA</v>
      </c>
      <c r="FG724" s="151" t="str">
        <f>IF('IWP17'!Std11dot5 = 0, "", 'IWP17'!Std11dot5)</f>
        <v/>
      </c>
      <c r="FH724" s="207" t="str">
        <f>IF('IWP17'!Std11dot1AptGrandFthr = "", "", 'IWP17'!Std11dot1AptGrandFthr)</f>
        <v/>
      </c>
    </row>
    <row r="725" spans="1:164">
      <c r="A725" s="206" t="s">
        <v>1321</v>
      </c>
      <c r="B725" s="157">
        <f>IF('Samples (Print)'!D22=DATE(1900,1,0),DATE(1900,1,1),'Samples (Print)'!D22)</f>
        <v>1</v>
      </c>
      <c r="C725" s="157">
        <f>IF('Samples (Print)'!E22=DATE(1900,1,0),DATE(1900,1,1),'Samples (Print)'!E22)</f>
        <v>1</v>
      </c>
      <c r="D725" s="319">
        <f>IF('IWP18'!FiscalReviewFirstMonth =DATE(1900,1,0),DATE(1900,1,1),'IWP18'!FiscalReviewFirstMonth)</f>
        <v>1</v>
      </c>
      <c r="E725" s="319">
        <f>IF('IWP18'!FiscalReviewSecondMonth =DATE(1900,1,0),DATE(1900,1,1),'IWP18'!FiscalReviewSecondMonth)</f>
        <v>1</v>
      </c>
      <c r="F725" s="13">
        <f>'IWP18'!SampleNumber</f>
        <v>18</v>
      </c>
      <c r="G725" s="13">
        <f ca="1">'IWP18'!ClientID</f>
        <v>0</v>
      </c>
      <c r="H725" s="283"/>
      <c r="I725" s="283"/>
      <c r="J725" s="151" t="str">
        <f ca="1">IF('IWP18'!ContractNumber = 0, "", 'IWP18'!ContractNumber)</f>
        <v/>
      </c>
      <c r="K725" s="151" t="str">
        <f ca="1">IF('IWP18'!ContractType = 0, "", 'IWP18'!ContractType)</f>
        <v/>
      </c>
      <c r="L725" s="151" t="str">
        <f>IF('IWP18'!CompletedByLastName = 0, "", 'IWP18'!CompletedByLastName)</f>
        <v/>
      </c>
      <c r="M725" s="151" t="str">
        <f>IF('IWP18'!CompletedByFirstName = 0, "", 'IWP18'!CompletedByFirstName)</f>
        <v/>
      </c>
      <c r="N725" s="157">
        <f>IF('IWP18'!DateCompleted =DATE(1900,1,0),DATE(1900,1,1),'IWP18'!DateCompleted)</f>
        <v>1</v>
      </c>
      <c r="O725" s="151" t="str">
        <f>IF('IWP18'!Std3NotCalc = 0, "", 'IWP18'!Std3NotCalc)</f>
        <v/>
      </c>
      <c r="P725" s="157">
        <f>IF('IWP18'!Std3dot1DateOfAdmission =DATE(1900,1,0),DATE(1900,1,1),'IWP18'!Std3dot1DateOfAdmission)</f>
        <v>1</v>
      </c>
      <c r="Q725" s="151" t="str">
        <f>IF('IWP18'!Std3dot1a = 0, "", 'IWP18'!Std3dot1a)</f>
        <v/>
      </c>
      <c r="R725" s="151" t="str">
        <f>IF('IWP18'!Std3dot1b = 0, "", 'IWP18'!Std3dot1b)</f>
        <v/>
      </c>
      <c r="S725" s="151" t="str">
        <f>IF('IWP18'!Std3dot1c = 0, "", 'IWP18'!Std3dot1c)</f>
        <v>NA</v>
      </c>
      <c r="T725" s="151" t="str">
        <f>IF('IWP18'!Std3dot1 = 0, "", 'IWP18'!Std3dot1)</f>
        <v/>
      </c>
      <c r="U725" s="151" t="str">
        <f>IF('IWP18'!Std3dot2a = 0, "", 'IWP18'!Std3dot2a)</f>
        <v/>
      </c>
      <c r="V725" s="151" t="str">
        <f>IF('IWP18'!Std3dot2b = 0, "", 'IWP18'!Std3dot2b)</f>
        <v/>
      </c>
      <c r="W725" s="151" t="str">
        <f>IF('IWP18'!Std3dot2c = 0, "", 'IWP18'!Std3dot2c)</f>
        <v/>
      </c>
      <c r="X725" s="151" t="str">
        <f>IF('IWP18'!Std3dot2 = 0, "", 'IWP18'!Std3dot2)</f>
        <v/>
      </c>
      <c r="Y725" s="151" t="str">
        <f>IF('IWP18'!Std4dot1Month1 = 0, "", 'IWP18'!Std4dot1Month1)</f>
        <v/>
      </c>
      <c r="Z725" s="157">
        <f>IF('IWP18'!Std4dot1Month1Date =DATE(1900,1,0),DATE(1900,1,1),'IWP18'!Std4dot1Month1Date)</f>
        <v>1</v>
      </c>
      <c r="AA725" s="151" t="str">
        <f>IF('IWP18'!Std4dot1Month2 = 0, "", 'IWP18'!Std4dot1Month2)</f>
        <v/>
      </c>
      <c r="AB725" s="157">
        <f>IF('IWP18'!Std4dot1Month2Date =DATE(1900,1,0),DATE(1900,1,1),'IWP18'!Std4dot1Month2Date)</f>
        <v>1</v>
      </c>
      <c r="AC725" s="151" t="str">
        <f>IF('IWP18'!Std4dot1 = 0, "", 'IWP18'!Std4dot1)</f>
        <v/>
      </c>
      <c r="AD725" s="151" t="str">
        <f>IF('IWP18'!Std4dot2NotCalc = 0, "", 'IWP18'!Std4dot2NotCalc)</f>
        <v/>
      </c>
      <c r="AE725" s="151" t="str">
        <f>IF('IWP18'!Std4dot2 = 0, "", 'IWP18'!Std4dot2)</f>
        <v/>
      </c>
      <c r="AF725" s="151" t="str">
        <f>IF('IWP18'!Std4dot3 = 0, "", 'IWP18'!Std4dot3)</f>
        <v/>
      </c>
      <c r="AG725" s="151" t="str">
        <f>IF('IWP18'!Std4dot4 = 0, "", 'IWP18'!Std4dot4)</f>
        <v/>
      </c>
      <c r="AH725" s="151" t="str">
        <f>IF('IWP18'!Std5NotCalc = 0, "", 'IWP18'!Std5NotCalc)</f>
        <v/>
      </c>
      <c r="AI725" s="151" t="str">
        <f>IF('IWP18'!Std5dot1 = 0, "", 'IWP18'!Std5dot1)</f>
        <v/>
      </c>
      <c r="AJ725" s="151" t="str">
        <f>IF('IWP18'!Std7dot1NotCalc = 0, "", 'IWP18'!Std7dot1NotCalc)</f>
        <v/>
      </c>
      <c r="AK725" s="151" t="str">
        <f>IF('IWP18'!Std7dot1NotCalc = 0, "", 'IWP18'!Std7dot1NotCalc)</f>
        <v/>
      </c>
      <c r="AL725" s="155">
        <f>'IWP18'!Std7dot1BalPerCshLog</f>
        <v>0</v>
      </c>
      <c r="AM725" s="155">
        <f>'IWP18'!Std7dot1LessAdj</f>
        <v>0</v>
      </c>
      <c r="AN725" s="155">
        <f>'IWP18'!Std7dot1AdjBal</f>
        <v>0</v>
      </c>
      <c r="AO725" s="155">
        <f>'IWP18'!Std7dot1CshOnHand</f>
        <v>0</v>
      </c>
      <c r="AP725" s="155">
        <f>'IWP18'!Std7dot1PtyCshOvrShrt</f>
        <v>0</v>
      </c>
      <c r="AQ725" s="151" t="str">
        <f>IF('IWP18'!Std7dot1OvrShrtCorr = 0, "", 'IWP18'!Std7dot1OvrShrtCorr)</f>
        <v/>
      </c>
      <c r="AR725" s="151" t="str">
        <f>IF('IWP18'!Std7dot1 = 0, "", 'IWP18'!Std7dot1)</f>
        <v/>
      </c>
      <c r="AS725" s="151" t="str">
        <f>IF('IWP18'!Std9dot1aNotCalc = 0, "", 'IWP18'!Std9dot1aNotCalc)</f>
        <v/>
      </c>
      <c r="AT725" s="151" t="str">
        <f>IF('IWP18'!Std9dot1bNotCalc = 0, "", 'IWP18'!Std9dot1bNotCalc)</f>
        <v/>
      </c>
      <c r="AU725" s="157">
        <f>IF('IWP18'!Std9BalPerBnkStmtDt =DATE(1900,1,0),DATE(1900,1,1),'IWP18'!Std9BalPerBnkStmtDt)</f>
        <v>1</v>
      </c>
      <c r="AV725" s="155">
        <f>'IWP18'!Std9BalPerBnkStmt</f>
        <v>0</v>
      </c>
      <c r="AW725" s="155">
        <f>'IWP18'!Std9TotDepsInTrans</f>
        <v>0</v>
      </c>
      <c r="AX725" s="155">
        <f>'IWP18'!Std9TotOutsChks</f>
        <v>0</v>
      </c>
      <c r="AY725" s="155">
        <f>'IWP18'!Std9AdjBalPerBank</f>
        <v>0</v>
      </c>
      <c r="AZ725" s="157">
        <f>IF('IWP18'!Std9TotPtyCshIndvDt =DATE(1900,1,0),DATE(1900,1,1),'IWP18'!Std9TotPtyCshIndvDt)</f>
        <v>1</v>
      </c>
      <c r="BA725" s="155">
        <f>'IWP18'!Std9TotPtyCshIndv</f>
        <v>0</v>
      </c>
      <c r="BB725" s="155">
        <f>'IWP18'!Std9TotCshBnkAndHnd</f>
        <v>0</v>
      </c>
      <c r="BC725" s="157">
        <f>IF('IWP18'!Std9BalPerBksDt =DATE(1900,1,0),DATE(1900,1,1),'IWP18'!Std9BalPerBksDt)</f>
        <v>1</v>
      </c>
      <c r="BD725" s="155">
        <f>'IWP18'!Std9BalPerBks</f>
        <v>0</v>
      </c>
      <c r="BE725" s="155">
        <f>'IWP18'!Std9UnapplErndInt</f>
        <v>0</v>
      </c>
      <c r="BF725" s="155">
        <f>'IWP18'!Std9UnpstdRcptDsbrsmts</f>
        <v>0</v>
      </c>
      <c r="BG725" s="155">
        <f>'IWP18'!Std9NsfChks</f>
        <v>0</v>
      </c>
      <c r="BH725" s="155">
        <f>'IWP18'!Std9AdjBalPerBks</f>
        <v>0</v>
      </c>
      <c r="BI725" s="155">
        <f>'IWP18'!Std9TrstFndAcctOvrShrt</f>
        <v>0</v>
      </c>
      <c r="BJ725" s="151" t="str">
        <f>IF('IWP18'!Std9OvrShrtCorrctd = 0, "", 'IWP18'!Std9OvrShrtCorrctd)</f>
        <v/>
      </c>
      <c r="BK725" s="151" t="str">
        <f>IF('IWP18'!Std9ShrtUnreimbSvcChg = 0, "", 'IWP18'!Std9ShrtUnreimbSvcChg)</f>
        <v/>
      </c>
      <c r="BL725" s="151" t="str">
        <f>IF('IWP18'!Std9dot1 = 0, "", 'IWP18'!Std9dot1)</f>
        <v/>
      </c>
      <c r="BM725" s="151" t="str">
        <f>IF('IWP18'!Std10dot1NotCalc = 0, "", 'IWP18'!Std10dot1NotCalc)</f>
        <v/>
      </c>
      <c r="BN725" s="319">
        <f>IF('IWP18'!FiscalReviewFirstMonth =DATE(1900,1,0),DATE(1900,1,1),'IWP18'!FiscalReviewFirstMonth)</f>
        <v>1</v>
      </c>
      <c r="BO725" s="155">
        <f>'IWP18'!Std10dot1TotalAmt1</f>
        <v>0</v>
      </c>
      <c r="BP725" s="319">
        <f>IF('IWP18'!FiscalReviewSecondMonth =DATE(1900,1,0),DATE(1900,1,1),'IWP18'!FiscalReviewSecondMonth)</f>
        <v>1</v>
      </c>
      <c r="BQ725" s="155">
        <f>'IWP18'!Std10dot1TotalAmt2</f>
        <v>0</v>
      </c>
      <c r="BR725" s="151" t="str">
        <f>IF('IWP18'!Std10dot1 = 0, "", 'IWP18'!Std10dot1)</f>
        <v/>
      </c>
      <c r="BS725" s="151" t="str">
        <f>IF('IWP18'!Std10dot2NotCalc = 0, "", 'IWP18'!Std10dot2NotCalc)</f>
        <v/>
      </c>
      <c r="BT725" s="319">
        <f>IF('IWP18'!FiscalReviewFirstMonth =DATE(1900,1,0),DATE(1900,1,1),'IWP18'!FiscalReviewFirstMonth)</f>
        <v>1</v>
      </c>
      <c r="BU725" s="155">
        <f>'IWP18'!Std10dot2BankChgs1</f>
        <v>0</v>
      </c>
      <c r="BV725" s="319">
        <f>IF('IWP18'!FiscalReviewSecondMonth =DATE(1900,1,0),DATE(1900,1,1),'IWP18'!FiscalReviewSecondMonth)</f>
        <v>1</v>
      </c>
      <c r="BW725" s="155">
        <f>'IWP18'!Std10dot2BankChgs2</f>
        <v>0</v>
      </c>
      <c r="BX725" s="151" t="str">
        <f>IF('IWP18'!Std10dot2 = 0, "", 'IWP18'!Std10dot2)</f>
        <v/>
      </c>
      <c r="BY725" s="151" t="str">
        <f>IF('IWP18'!Std10dot3NotCalc = 0, "", 'IWP18'!Std10dot3NotCalc)</f>
        <v/>
      </c>
      <c r="BZ725" s="151" t="str">
        <f>IF('IWP18'!Std10dot3 = 0, "", 'IWP18'!Std10dot3)</f>
        <v/>
      </c>
      <c r="CA725" s="151" t="str">
        <f>IF('IWP18'!Std10dot4NotCalc = 0, "", 'IWP18'!Std10dot4NotCalc)</f>
        <v/>
      </c>
      <c r="CB725" s="151" t="str">
        <f>IF('IWP18'!Std10dot4 = 0, "", 'IWP18'!Std10dot4)</f>
        <v/>
      </c>
      <c r="CC725" s="151" t="str">
        <f>IF('IWP18'!Std10dot5 = 0, "", 'IWP18'!Std10dot5)</f>
        <v/>
      </c>
      <c r="CD725" s="151" t="str">
        <f>IF('IWP18'!Std10dot6NotCalc = 0, "", 'IWP18'!Std10dot6NotCalc)</f>
        <v/>
      </c>
      <c r="CE725" s="157">
        <f>IF('IWP18'!Std10dot6DateOfDeathDischarge =DATE(1900,1,0),DATE(1900,1,1),'IWP18'!Std10dot6DateOfDeathDischarge)</f>
        <v>1</v>
      </c>
      <c r="CF725" s="151" t="str">
        <f>IF('IWP18'!Std10dot6DthDschg = 0, "", 'IWP18'!Std10dot6DthDschg)</f>
        <v/>
      </c>
      <c r="CG725" s="155">
        <f>'IWP18'!Std10dot6TrustFundAmtDue</f>
        <v>0</v>
      </c>
      <c r="CH725" s="155">
        <f>'IWP18'!Std10dot6IndvPtyCshAmtDue</f>
        <v>0</v>
      </c>
      <c r="CI725" s="155">
        <f>'IWP18'!Std10dot6TotRfndDue</f>
        <v>0</v>
      </c>
      <c r="CJ725" s="155">
        <f>'IWP18'!Std10dot6AmtRfnd</f>
        <v>0</v>
      </c>
      <c r="CK725" s="155">
        <f>'IWP18'!Std10dot6DminusE</f>
        <v>0</v>
      </c>
      <c r="CL725" s="151" t="str">
        <f>IF('IWP18'!Std10dot6LastName = 0, "", 'IWP18'!Std10dot6LastName)</f>
        <v/>
      </c>
      <c r="CM725" s="151" t="str">
        <f>IF('IWP18'!Std10dot6FirstName = 0, "", 'IWP18'!Std10dot6FirstName)</f>
        <v/>
      </c>
      <c r="CN725" s="157">
        <f>IF('IWP18'!Std10dot6DateOfRefund =DATE(1900,1,0),DATE(1900,1,1),'IWP18'!Std10dot6DateOfRefund)</f>
        <v>1</v>
      </c>
      <c r="CO725" s="151" t="str">
        <f>IF('IWP18'!Std10dot6a = 0, "", 'IWP18'!Std10dot6a)</f>
        <v/>
      </c>
      <c r="CP725" s="151" t="str">
        <f>IF('IWP18'!Std10dot6b = 0, "", 'IWP18'!Std10dot6b)</f>
        <v/>
      </c>
      <c r="CQ725" s="151" t="str">
        <f>IF('IWP18'!Std10dot6c = 0, "", 'IWP18'!Std10dot6c)</f>
        <v/>
      </c>
      <c r="CR725" s="151" t="str">
        <f>IF('IWP18'!Std10dot6 = "", "", 'IWP18'!Std10dot6)</f>
        <v/>
      </c>
      <c r="CS725" s="151" t="str">
        <f>IF('IWP18'!Std11dot1aNotCalc = 0, "", 'IWP18'!Std11dot1aNotCalc)</f>
        <v/>
      </c>
      <c r="CT725" s="151" t="str">
        <f>IF('IWP18'!Std11dot1bNotCalc = 0, "", 'IWP18'!Std11dot1bNotCalc)</f>
        <v>N</v>
      </c>
      <c r="CU725" s="151" t="str">
        <f>IF('IWP18'!Std11dot1cNotCalc = 0, "", 'IWP18'!Std11dot1cNotCalc)</f>
        <v>N</v>
      </c>
      <c r="CV725" s="151" t="str">
        <f>IF('IWP18'!Std11dot1dNotCalc = 0, "", 'IWP18'!Std11dot1dNotCalc)</f>
        <v/>
      </c>
      <c r="CW725" s="151" t="str">
        <f>IF('IWP18'!Std11dot1eNotCalc = 0, "", 'IWP18'!Std11dot1eNotCalc)</f>
        <v/>
      </c>
      <c r="CX725" s="151" t="str">
        <f>IF('IWP18'!Std11dot1fNotCalc = 0, "", 'IWP18'!Std11dot1fNotCalc)</f>
        <v/>
      </c>
      <c r="CY725" s="151" t="str">
        <f>IF('IWP18'!Std11dot1PrivateLivingSpace = 0, "", 'IWP18'!Std11dot1PrivateLivingSpace)</f>
        <v/>
      </c>
      <c r="CZ725" s="155">
        <f>'IWP18'!Std11dot1LivingWidth</f>
        <v>0</v>
      </c>
      <c r="DA725" s="155">
        <f>'IWP18'!Std11dot1LivingLength</f>
        <v>0</v>
      </c>
      <c r="DB725" s="155">
        <f>IF('IWP18'!Std11dot1LivingSqFt = "", MINVALDBL, 'IWP18'!Std11dot1LivingSqFt)</f>
        <v>-99999.99</v>
      </c>
      <c r="DC725" s="151" t="str">
        <f>IF('IWP18'!Std11dot1PrivateLivingSpace = 0, "", 'IWP18'!Std11dot1PrivateLivingSpace)</f>
        <v/>
      </c>
      <c r="DD725" s="155">
        <f>'IWP18'!Std11dot1LivingWidth</f>
        <v>0</v>
      </c>
      <c r="DE725" s="155">
        <f>'IWP18'!Std11dot1LivingLength</f>
        <v>0</v>
      </c>
      <c r="DF725" s="155">
        <f>IF('IWP18'!Std11dot1LivingSqFt = "", MINVALDBL, 'IWP18'!Std11dot1LivingSqFt)</f>
        <v>-99999.99</v>
      </c>
      <c r="DG725" s="151" t="str">
        <f>IF('IWP18'!Std11dot1PrivateBedSpace = 0, "", 'IWP18'!Std11dot1PrivateBedSpace)</f>
        <v/>
      </c>
      <c r="DH725" s="155">
        <f>'IWP18'!Std11dot1BdrmWidth</f>
        <v>0</v>
      </c>
      <c r="DI725" s="155">
        <f>'IWP18'!Std11dot1BdrmLength</f>
        <v>0</v>
      </c>
      <c r="DJ725" s="155">
        <f>IF('IWP18'!Std11dot1BdrmSqFt = "", MINVALDBL, 'IWP18'!Std11dot1BdrmSqFt)</f>
        <v>-99999.99</v>
      </c>
      <c r="DK725" s="151" t="str">
        <f>IF('IWP18'!Std11dot1PrivateStorageSpace = 0, "", 'IWP18'!Std11dot1PrivateStorageSpace)</f>
        <v/>
      </c>
      <c r="DL725" s="155">
        <f>'IWP18'!Std11dot1StorageWidth</f>
        <v>0</v>
      </c>
      <c r="DM725" s="155">
        <f>'IWP18'!Std11dot1StorageLength</f>
        <v>0</v>
      </c>
      <c r="DN725" s="155">
        <f>IF('IWP18'!Std11dot1StorageSqFt = "", 0, 'IWP18'!Std11dot1StorageSqFt)</f>
        <v>0</v>
      </c>
      <c r="DO725" s="151" t="str">
        <f>IF('IWP18'!Std11dot1PrivateKitchenSpace = 0, "", 'IWP18'!Std11dot1PrivateKitchenSpace)</f>
        <v/>
      </c>
      <c r="DP725" s="155">
        <f>'IWP18'!Std11dot1KitchenWidth</f>
        <v>0</v>
      </c>
      <c r="DQ725" s="155">
        <f>'IWP18'!Std11dot1KitchenLength</f>
        <v>0</v>
      </c>
      <c r="DR725" s="155">
        <f>IF('IWP18'!Std11dot1KitchenSqFt = "", MINVALDBL, 'IWP18'!Std11dot1KitchenSqFt)</f>
        <v>-99999.99</v>
      </c>
      <c r="DS725" s="151" t="str">
        <f>IF('IWP18'!Std11dot1KitchenSink = 0, "", 'IWP18'!Std11dot1KitchenSink)</f>
        <v/>
      </c>
      <c r="DT725" s="151" t="str">
        <f>IF('IWP18'!Std11dot1Refrigerator = 0, "", 'IWP18'!Std11dot1Refrigerator)</f>
        <v/>
      </c>
      <c r="DU725" s="151" t="str">
        <f>IF('IWP18'!Std11dot1StoveMicrowave = 0, "", 'IWP18'!Std11dot1StoveMicrowave)</f>
        <v/>
      </c>
      <c r="DV725" s="151" t="str">
        <f>IF('IWP18'!Std11dot1SeparateBath = 0, "", 'IWP18'!Std11dot1SeparateBath)</f>
        <v/>
      </c>
      <c r="DW725" s="151" t="str">
        <f>IF('IWP18'!Std11dot1BathSink = 0, "", 'IWP18'!Std11dot1BathSink)</f>
        <v/>
      </c>
      <c r="DX725" s="151" t="str">
        <f>IF('IWP18'!Std11dot1ShowerTubAccessible = 0, "", 'IWP18'!Std11dot1ShowerTubAccessible)</f>
        <v/>
      </c>
      <c r="DY725" s="155">
        <f>'IWP18'!Std11dot1TotalPrivateSpace</f>
        <v>0</v>
      </c>
      <c r="DZ725" s="155">
        <f>'IWP18'!Std11dot1PrivateSpaceSquareFootagePerResident</f>
        <v>0</v>
      </c>
      <c r="EA725" s="155">
        <f>IF('IWP18'!Std11dot1TotalSquareFootagePerResident = "", MINVALDBL, 'IWP18'!Std11dot1TotalSquareFootagePerResident)</f>
        <v>-99999.99</v>
      </c>
      <c r="EB725" s="155">
        <f>'IWP18'!Std11dot1UseableCommonAreaSquareFootage</f>
        <v>0</v>
      </c>
      <c r="EC725" s="155">
        <f>'IWP18'!Std11dot1LicensedCapacity</f>
        <v>0</v>
      </c>
      <c r="ED725" s="155">
        <f>IF('IWP18'!Std11dot1CommonAreaSquareFootagePerResident = "", MINVALDBL, 'IWP18'!Std11dot1CommonAreaSquareFootagePerResident)</f>
        <v>-99999.99</v>
      </c>
      <c r="EE725" s="151" t="str">
        <f>IF('IWP18'!Std11dot1a = 0, "", 'IWP18'!Std11dot1a)</f>
        <v/>
      </c>
      <c r="EF725" s="151" t="str">
        <f>IF('IWP18'!Std11dot1b = 0, "", 'IWP18'!Std11dot1b)</f>
        <v/>
      </c>
      <c r="EG725" s="151" t="str">
        <f>IF('IWP18'!Std11dot1c = 0, "", 'IWP18'!Std11dot1c)</f>
        <v/>
      </c>
      <c r="EH725" s="151" t="str">
        <f>IF('IWP18'!Std11dot1d = 0, "", 'IWP18'!Std11dot1d)</f>
        <v/>
      </c>
      <c r="EI725" s="151" t="str">
        <f>IF('IWP18'!Std11dot1e = 0, "", 'IWP18'!Std11dot1e)</f>
        <v/>
      </c>
      <c r="EJ725" s="151" t="str">
        <f>IF('IWP18'!Std11dot1f = 0, "", 'IWP18'!Std11dot1f)</f>
        <v/>
      </c>
      <c r="EK725" s="151" t="str">
        <f>IF('IWP18'!Std11dot1g = 0, "", 'IWP18'!Std11dot1g)</f>
        <v/>
      </c>
      <c r="EL725" s="151" t="str">
        <f>IF('IWP18'!Std11dot1h = 0, "", 'IWP18'!Std11dot1h)</f>
        <v/>
      </c>
      <c r="EM725" s="151" t="str">
        <f>IF('IWP18'!Std11dot1i = 0, "", 'IWP18'!Std11dot1i)</f>
        <v/>
      </c>
      <c r="EN725" s="151" t="str">
        <f>IF('IWP18'!Std11dot1j = 0, "", 'IWP18'!Std11dot1j)</f>
        <v/>
      </c>
      <c r="EO725" s="151" t="str">
        <f>IF('IWP18'!Std11dot1k = 0, "", 'IWP18'!Std11dot1k)</f>
        <v/>
      </c>
      <c r="EP725" s="151" t="str">
        <f>IF('IWP18'!Std11dot1 = 0, "", 'IWP18'!Std11dot1)</f>
        <v/>
      </c>
      <c r="EQ725" s="151" t="str">
        <f>IF('IWP18'!Std11dot2 = 0, "", 'IWP18'!Std11dot2)</f>
        <v/>
      </c>
      <c r="ER725" s="151" t="str">
        <f>IF('IWP18'!Std11dot3 = 0, "", 'IWP18'!Std11dot3)</f>
        <v/>
      </c>
      <c r="ES725" s="151" t="str">
        <f>IF('IWP18'!Std11dot4 = 0, "", 'IWP18'!Std11dot4)</f>
        <v>NA</v>
      </c>
      <c r="ET725" s="157">
        <f>IF('IWP18'!$A$363=DATE(1900,1,0), DATE(1900,1,1), 'IWP18'!$A$363)</f>
        <v>1</v>
      </c>
      <c r="EU725" s="155">
        <f>'IWP18'!$C$363</f>
        <v>0</v>
      </c>
      <c r="EV725" s="155">
        <f>'IWP18'!$E$363</f>
        <v>0</v>
      </c>
      <c r="EW725" s="157">
        <f>IF('IWP18'!$G$363=DATE(1900,1,0), DATE(1900,1,1), 'IWP18'!$G$363)</f>
        <v>1</v>
      </c>
      <c r="EX725" s="155">
        <f>'IWP18'!$I$363</f>
        <v>0</v>
      </c>
      <c r="EY725" s="155">
        <f>'IWP18'!$K$363</f>
        <v>0</v>
      </c>
      <c r="EZ725" s="157">
        <f>IF('IWP18'!$M$363=DATE(1900,1,0), DATE(1900,1,1), 'IWP18'!$M$363)</f>
        <v>1</v>
      </c>
      <c r="FA725" s="151" t="str">
        <f>IF('IWP18'!$O$363 = 0, "", 'IWP18'!$O$363)</f>
        <v/>
      </c>
      <c r="FB725" s="151" t="str">
        <f>IF('IWP18'!$Q$363 = 0, "", 'IWP18'!$Q$363)</f>
        <v/>
      </c>
      <c r="FC725" s="151" t="str">
        <f>IF('IWP18'!Std11dot5a = 0, "", 'IWP18'!Std11dot5a)</f>
        <v/>
      </c>
      <c r="FD725" s="151" t="str">
        <f>IF('IWP18'!Std11dot5b = 0, "", 'IWP18'!Std11dot5b)</f>
        <v/>
      </c>
      <c r="FE725" s="151" t="str">
        <f>IF('IWP18'!Std11dot5ci = 0, "", 'IWP18'!Std11dot5ci)</f>
        <v>NA</v>
      </c>
      <c r="FF725" s="151" t="str">
        <f>IF('IWP18'!Std11dot5cii = 0, "", 'IWP18'!Std11dot5cii)</f>
        <v>NA</v>
      </c>
      <c r="FG725" s="151" t="str">
        <f>IF('IWP18'!Std11dot5 = 0, "", 'IWP18'!Std11dot5)</f>
        <v/>
      </c>
      <c r="FH725" s="207" t="str">
        <f>IF('IWP18'!Std11dot1AptGrandFthr = "", "", 'IWP18'!Std11dot1AptGrandFthr)</f>
        <v/>
      </c>
    </row>
    <row r="726" spans="1:164">
      <c r="A726" s="206" t="s">
        <v>1322</v>
      </c>
      <c r="B726" s="157">
        <f>IF('Samples (Print)'!D23=DATE(1900,1,0),DATE(1900,1,1),'Samples (Print)'!D23)</f>
        <v>1</v>
      </c>
      <c r="C726" s="157">
        <f>IF('Samples (Print)'!E23=DATE(1900,1,0),DATE(1900,1,1),'Samples (Print)'!E23)</f>
        <v>1</v>
      </c>
      <c r="D726" s="319">
        <f>IF('IWP19'!FiscalReviewFirstMonth =DATE(1900,1,0),DATE(1900,1,1),'IWP19'!FiscalReviewFirstMonth)</f>
        <v>1</v>
      </c>
      <c r="E726" s="319">
        <f>IF('IWP19'!FiscalReviewSecondMonth =DATE(1900,1,0),DATE(1900,1,1),'IWP19'!FiscalReviewSecondMonth)</f>
        <v>1</v>
      </c>
      <c r="F726" s="13">
        <f>'IWP19'!SampleNumber</f>
        <v>19</v>
      </c>
      <c r="G726" s="13">
        <f ca="1">'IWP19'!ClientID</f>
        <v>0</v>
      </c>
      <c r="H726" s="283"/>
      <c r="I726" s="283"/>
      <c r="J726" s="151" t="str">
        <f ca="1">IF('IWP19'!ContractNumber = 0, "", 'IWP19'!ContractNumber)</f>
        <v/>
      </c>
      <c r="K726" s="151" t="str">
        <f ca="1">IF('IWP19'!ContractType = 0, "", 'IWP19'!ContractType)</f>
        <v/>
      </c>
      <c r="L726" s="151" t="str">
        <f>IF('IWP19'!CompletedByLastName = 0, "", 'IWP19'!CompletedByLastName)</f>
        <v/>
      </c>
      <c r="M726" s="151" t="str">
        <f>IF('IWP19'!CompletedByFirstName = 0, "", 'IWP19'!CompletedByFirstName)</f>
        <v/>
      </c>
      <c r="N726" s="157">
        <f>IF('IWP19'!DateCompleted =DATE(1900,1,0),DATE(1900,1,1),'IWP19'!DateCompleted)</f>
        <v>1</v>
      </c>
      <c r="O726" s="151" t="str">
        <f>IF('IWP19'!Std3NotCalc = 0, "", 'IWP19'!Std3NotCalc)</f>
        <v/>
      </c>
      <c r="P726" s="157">
        <f>IF('IWP19'!Std3dot1DateOfAdmission =DATE(1900,1,0),DATE(1900,1,1),'IWP19'!Std3dot1DateOfAdmission)</f>
        <v>1</v>
      </c>
      <c r="Q726" s="151" t="str">
        <f>IF('IWP19'!Std3dot1a = 0, "", 'IWP19'!Std3dot1a)</f>
        <v/>
      </c>
      <c r="R726" s="151" t="str">
        <f>IF('IWP19'!Std3dot1b = 0, "", 'IWP19'!Std3dot1b)</f>
        <v/>
      </c>
      <c r="S726" s="151" t="str">
        <f>IF('IWP19'!Std3dot1c = 0, "", 'IWP19'!Std3dot1c)</f>
        <v>NA</v>
      </c>
      <c r="T726" s="151" t="str">
        <f>IF('IWP19'!Std3dot1 = 0, "", 'IWP19'!Std3dot1)</f>
        <v/>
      </c>
      <c r="U726" s="151" t="str">
        <f>IF('IWP19'!Std3dot2a = 0, "", 'IWP19'!Std3dot2a)</f>
        <v/>
      </c>
      <c r="V726" s="151" t="str">
        <f>IF('IWP19'!Std3dot2b = 0, "", 'IWP19'!Std3dot2b)</f>
        <v/>
      </c>
      <c r="W726" s="151" t="str">
        <f>IF('IWP19'!Std3dot2c = 0, "", 'IWP19'!Std3dot2c)</f>
        <v/>
      </c>
      <c r="X726" s="151" t="str">
        <f>IF('IWP19'!Std3dot2 = 0, "", 'IWP19'!Std3dot2)</f>
        <v/>
      </c>
      <c r="Y726" s="151" t="str">
        <f>IF('IWP19'!Std4dot1Month1 = 0, "", 'IWP19'!Std4dot1Month1)</f>
        <v/>
      </c>
      <c r="Z726" s="157">
        <f>IF('IWP19'!Std4dot1Month1Date =DATE(1900,1,0),DATE(1900,1,1),'IWP19'!Std4dot1Month1Date)</f>
        <v>1</v>
      </c>
      <c r="AA726" s="151" t="str">
        <f>IF('IWP19'!Std4dot1Month2 = 0, "", 'IWP19'!Std4dot1Month2)</f>
        <v/>
      </c>
      <c r="AB726" s="157">
        <f>IF('IWP19'!Std4dot1Month2Date =DATE(1900,1,0),DATE(1900,1,1),'IWP19'!Std4dot1Month2Date)</f>
        <v>1</v>
      </c>
      <c r="AC726" s="151" t="str">
        <f>IF('IWP19'!Std4dot1 = 0, "", 'IWP19'!Std4dot1)</f>
        <v/>
      </c>
      <c r="AD726" s="151" t="str">
        <f>IF('IWP19'!Std4dot2NotCalc = 0, "", 'IWP19'!Std4dot2NotCalc)</f>
        <v/>
      </c>
      <c r="AE726" s="151" t="str">
        <f>IF('IWP19'!Std4dot2 = 0, "", 'IWP19'!Std4dot2)</f>
        <v/>
      </c>
      <c r="AF726" s="151" t="str">
        <f>IF('IWP19'!Std4dot3 = 0, "", 'IWP19'!Std4dot3)</f>
        <v/>
      </c>
      <c r="AG726" s="151" t="str">
        <f>IF('IWP19'!Std4dot4 = 0, "", 'IWP19'!Std4dot4)</f>
        <v/>
      </c>
      <c r="AH726" s="151" t="str">
        <f>IF('IWP19'!Std5NotCalc = 0, "", 'IWP19'!Std5NotCalc)</f>
        <v/>
      </c>
      <c r="AI726" s="151" t="str">
        <f>IF('IWP19'!Std5dot1 = 0, "", 'IWP19'!Std5dot1)</f>
        <v/>
      </c>
      <c r="AJ726" s="151" t="str">
        <f>IF('IWP19'!Std7dot1NotCalc = 0, "", 'IWP19'!Std7dot1NotCalc)</f>
        <v/>
      </c>
      <c r="AK726" s="151" t="str">
        <f>IF('IWP19'!Std7dot1NotCalc = 0, "", 'IWP19'!Std7dot1NotCalc)</f>
        <v/>
      </c>
      <c r="AL726" s="155">
        <f>'IWP19'!Std7dot1BalPerCshLog</f>
        <v>0</v>
      </c>
      <c r="AM726" s="155">
        <f>'IWP19'!Std7dot1LessAdj</f>
        <v>0</v>
      </c>
      <c r="AN726" s="155">
        <f>'IWP19'!Std7dot1AdjBal</f>
        <v>0</v>
      </c>
      <c r="AO726" s="155">
        <f>'IWP19'!Std7dot1CshOnHand</f>
        <v>0</v>
      </c>
      <c r="AP726" s="155">
        <f>'IWP19'!Std7dot1PtyCshOvrShrt</f>
        <v>0</v>
      </c>
      <c r="AQ726" s="151" t="str">
        <f>IF('IWP19'!Std7dot1OvrShrtCorr = 0, "", 'IWP19'!Std7dot1OvrShrtCorr)</f>
        <v/>
      </c>
      <c r="AR726" s="151" t="str">
        <f>IF('IWP19'!Std7dot1 = 0, "", 'IWP19'!Std7dot1)</f>
        <v/>
      </c>
      <c r="AS726" s="151" t="str">
        <f>IF('IWP19'!Std9dot1aNotCalc = 0, "", 'IWP19'!Std9dot1aNotCalc)</f>
        <v/>
      </c>
      <c r="AT726" s="151" t="str">
        <f>IF('IWP19'!Std9dot1bNotCalc = 0, "", 'IWP19'!Std9dot1bNotCalc)</f>
        <v/>
      </c>
      <c r="AU726" s="157">
        <f>IF('IWP19'!Std9BalPerBnkStmtDt =DATE(1900,1,0),DATE(1900,1,1),'IWP19'!Std9BalPerBnkStmtDt)</f>
        <v>1</v>
      </c>
      <c r="AV726" s="155">
        <f>'IWP19'!Std9BalPerBnkStmt</f>
        <v>0</v>
      </c>
      <c r="AW726" s="155">
        <f>'IWP19'!Std9TotDepsInTrans</f>
        <v>0</v>
      </c>
      <c r="AX726" s="155">
        <f>'IWP19'!Std9TotOutsChks</f>
        <v>0</v>
      </c>
      <c r="AY726" s="155">
        <f>'IWP19'!Std9AdjBalPerBank</f>
        <v>0</v>
      </c>
      <c r="AZ726" s="157">
        <f>IF('IWP19'!Std9TotPtyCshIndvDt =DATE(1900,1,0),DATE(1900,1,1),'IWP19'!Std9TotPtyCshIndvDt)</f>
        <v>1</v>
      </c>
      <c r="BA726" s="155">
        <f>'IWP19'!Std9TotPtyCshIndv</f>
        <v>0</v>
      </c>
      <c r="BB726" s="155">
        <f>'IWP19'!Std9TotCshBnkAndHnd</f>
        <v>0</v>
      </c>
      <c r="BC726" s="157">
        <f>IF('IWP19'!Std9BalPerBksDt =DATE(1900,1,0),DATE(1900,1,1),'IWP19'!Std9BalPerBksDt)</f>
        <v>1</v>
      </c>
      <c r="BD726" s="155">
        <f>'IWP19'!Std9BalPerBks</f>
        <v>0</v>
      </c>
      <c r="BE726" s="155">
        <f>'IWP19'!Std9UnapplErndInt</f>
        <v>0</v>
      </c>
      <c r="BF726" s="155">
        <f>'IWP19'!Std9UnpstdRcptDsbrsmts</f>
        <v>0</v>
      </c>
      <c r="BG726" s="155">
        <f>'IWP19'!Std9NsfChks</f>
        <v>0</v>
      </c>
      <c r="BH726" s="155">
        <f>'IWP19'!Std9AdjBalPerBks</f>
        <v>0</v>
      </c>
      <c r="BI726" s="155">
        <f>'IWP19'!Std9TrstFndAcctOvrShrt</f>
        <v>0</v>
      </c>
      <c r="BJ726" s="151" t="str">
        <f>IF('IWP19'!Std9OvrShrtCorrctd = 0, "", 'IWP19'!Std9OvrShrtCorrctd)</f>
        <v/>
      </c>
      <c r="BK726" s="151" t="str">
        <f>IF('IWP19'!Std9ShrtUnreimbSvcChg = 0, "", 'IWP19'!Std9ShrtUnreimbSvcChg)</f>
        <v/>
      </c>
      <c r="BL726" s="151" t="str">
        <f>IF('IWP19'!Std9dot1 = 0, "", 'IWP19'!Std9dot1)</f>
        <v/>
      </c>
      <c r="BM726" s="151" t="str">
        <f>IF('IWP19'!Std10dot1NotCalc = 0, "", 'IWP19'!Std10dot1NotCalc)</f>
        <v/>
      </c>
      <c r="BN726" s="319">
        <f>IF('IWP19'!FiscalReviewFirstMonth =DATE(1900,1,0),DATE(1900,1,1),'IWP19'!FiscalReviewFirstMonth)</f>
        <v>1</v>
      </c>
      <c r="BO726" s="155">
        <f>'IWP19'!Std10dot1TotalAmt1</f>
        <v>0</v>
      </c>
      <c r="BP726" s="319">
        <f>IF('IWP19'!FiscalReviewSecondMonth =DATE(1900,1,0),DATE(1900,1,1),'IWP19'!FiscalReviewSecondMonth)</f>
        <v>1</v>
      </c>
      <c r="BQ726" s="155">
        <f>'IWP19'!Std10dot1TotalAmt2</f>
        <v>0</v>
      </c>
      <c r="BR726" s="151" t="str">
        <f>IF('IWP19'!Std10dot1 = 0, "", 'IWP19'!Std10dot1)</f>
        <v/>
      </c>
      <c r="BS726" s="151" t="str">
        <f>IF('IWP19'!Std10dot2NotCalc = 0, "", 'IWP19'!Std10dot2NotCalc)</f>
        <v/>
      </c>
      <c r="BT726" s="319">
        <f>IF('IWP19'!FiscalReviewFirstMonth =DATE(1900,1,0),DATE(1900,1,1),'IWP19'!FiscalReviewFirstMonth)</f>
        <v>1</v>
      </c>
      <c r="BU726" s="155">
        <f>'IWP19'!Std10dot2BankChgs1</f>
        <v>0</v>
      </c>
      <c r="BV726" s="319">
        <f>IF('IWP19'!FiscalReviewSecondMonth =DATE(1900,1,0),DATE(1900,1,1),'IWP19'!FiscalReviewSecondMonth)</f>
        <v>1</v>
      </c>
      <c r="BW726" s="155">
        <f>'IWP19'!Std10dot2BankChgs2</f>
        <v>0</v>
      </c>
      <c r="BX726" s="151" t="str">
        <f>IF('IWP19'!Std10dot2 = 0, "", 'IWP19'!Std10dot2)</f>
        <v/>
      </c>
      <c r="BY726" s="151" t="str">
        <f>IF('IWP19'!Std10dot3NotCalc = 0, "", 'IWP19'!Std10dot3NotCalc)</f>
        <v/>
      </c>
      <c r="BZ726" s="151" t="str">
        <f>IF('IWP19'!Std10dot3 = 0, "", 'IWP19'!Std10dot3)</f>
        <v/>
      </c>
      <c r="CA726" s="151" t="str">
        <f>IF('IWP19'!Std10dot4NotCalc = 0, "", 'IWP19'!Std10dot4NotCalc)</f>
        <v/>
      </c>
      <c r="CB726" s="151" t="str">
        <f>IF('IWP19'!Std10dot4 = 0, "", 'IWP19'!Std10dot4)</f>
        <v/>
      </c>
      <c r="CC726" s="151" t="str">
        <f>IF('IWP19'!Std10dot5 = 0, "", 'IWP19'!Std10dot5)</f>
        <v/>
      </c>
      <c r="CD726" s="151" t="str">
        <f>IF('IWP19'!Std10dot6NotCalc = 0, "", 'IWP19'!Std10dot6NotCalc)</f>
        <v/>
      </c>
      <c r="CE726" s="157">
        <f>IF('IWP19'!Std10dot6DateOfDeathDischarge =DATE(1900,1,0),DATE(1900,1,1),'IWP19'!Std10dot6DateOfDeathDischarge)</f>
        <v>1</v>
      </c>
      <c r="CF726" s="151" t="str">
        <f>IF('IWP19'!Std10dot6DthDschg = 0, "", 'IWP19'!Std10dot6DthDschg)</f>
        <v/>
      </c>
      <c r="CG726" s="155">
        <f>'IWP19'!Std10dot6TrustFundAmtDue</f>
        <v>0</v>
      </c>
      <c r="CH726" s="155">
        <f>'IWP19'!Std10dot6IndvPtyCshAmtDue</f>
        <v>0</v>
      </c>
      <c r="CI726" s="155">
        <f>'IWP19'!Std10dot6TotRfndDue</f>
        <v>0</v>
      </c>
      <c r="CJ726" s="155">
        <f>'IWP19'!Std10dot6AmtRfnd</f>
        <v>0</v>
      </c>
      <c r="CK726" s="155">
        <f>'IWP19'!Std10dot6DminusE</f>
        <v>0</v>
      </c>
      <c r="CL726" s="151" t="str">
        <f>IF('IWP19'!Std10dot6LastName = 0, "", 'IWP19'!Std10dot6LastName)</f>
        <v/>
      </c>
      <c r="CM726" s="151" t="str">
        <f>IF('IWP19'!Std10dot6FirstName = 0, "", 'IWP19'!Std10dot6FirstName)</f>
        <v/>
      </c>
      <c r="CN726" s="157">
        <f>IF('IWP19'!Std10dot6DateOfRefund =DATE(1900,1,0),DATE(1900,1,1),'IWP19'!Std10dot6DateOfRefund)</f>
        <v>1</v>
      </c>
      <c r="CO726" s="151" t="str">
        <f>IF('IWP19'!Std10dot6a = 0, "", 'IWP19'!Std10dot6a)</f>
        <v/>
      </c>
      <c r="CP726" s="151" t="str">
        <f>IF('IWP19'!Std10dot6b = 0, "", 'IWP19'!Std10dot6b)</f>
        <v/>
      </c>
      <c r="CQ726" s="151" t="str">
        <f>IF('IWP19'!Std10dot6c = 0, "", 'IWP19'!Std10dot6c)</f>
        <v/>
      </c>
      <c r="CR726" s="151" t="str">
        <f>IF('IWP19'!Std10dot6 = "", "", 'IWP19'!Std10dot6)</f>
        <v/>
      </c>
      <c r="CS726" s="151" t="str">
        <f>IF('IWP19'!Std11dot1aNotCalc = 0, "", 'IWP19'!Std11dot1aNotCalc)</f>
        <v/>
      </c>
      <c r="CT726" s="151" t="str">
        <f>IF('IWP19'!Std11dot1bNotCalc = 0, "", 'IWP19'!Std11dot1bNotCalc)</f>
        <v>N</v>
      </c>
      <c r="CU726" s="151" t="str">
        <f>IF('IWP19'!Std11dot1cNotCalc = 0, "", 'IWP19'!Std11dot1cNotCalc)</f>
        <v>N</v>
      </c>
      <c r="CV726" s="151" t="str">
        <f>IF('IWP19'!Std11dot1dNotCalc = 0, "", 'IWP19'!Std11dot1dNotCalc)</f>
        <v/>
      </c>
      <c r="CW726" s="151" t="str">
        <f>IF('IWP19'!Std11dot1eNotCalc = 0, "", 'IWP19'!Std11dot1eNotCalc)</f>
        <v/>
      </c>
      <c r="CX726" s="151" t="str">
        <f>IF('IWP19'!Std11dot1fNotCalc = 0, "", 'IWP19'!Std11dot1fNotCalc)</f>
        <v/>
      </c>
      <c r="CY726" s="151" t="str">
        <f>IF('IWP19'!Std11dot1PrivateLivingSpace = 0, "", 'IWP19'!Std11dot1PrivateLivingSpace)</f>
        <v/>
      </c>
      <c r="CZ726" s="155">
        <f>'IWP19'!Std11dot1LivingWidth</f>
        <v>0</v>
      </c>
      <c r="DA726" s="155">
        <f>'IWP19'!Std11dot1LivingLength</f>
        <v>0</v>
      </c>
      <c r="DB726" s="155">
        <f>IF('IWP19'!Std11dot1LivingSqFt = "", MINVALDBL, 'IWP19'!Std11dot1LivingSqFt)</f>
        <v>-99999.99</v>
      </c>
      <c r="DC726" s="151" t="str">
        <f>IF('IWP19'!Std11dot1PrivateLivingSpace = 0, "", 'IWP19'!Std11dot1PrivateLivingSpace)</f>
        <v/>
      </c>
      <c r="DD726" s="155">
        <f>'IWP19'!Std11dot1LivingWidth</f>
        <v>0</v>
      </c>
      <c r="DE726" s="155">
        <f>'IWP19'!Std11dot1LivingLength</f>
        <v>0</v>
      </c>
      <c r="DF726" s="155">
        <f>IF('IWP19'!Std11dot1LivingSqFt = "", MINVALDBL, 'IWP19'!Std11dot1LivingSqFt)</f>
        <v>-99999.99</v>
      </c>
      <c r="DG726" s="151" t="str">
        <f>IF('IWP19'!Std11dot1PrivateBedSpace = 0, "", 'IWP19'!Std11dot1PrivateBedSpace)</f>
        <v/>
      </c>
      <c r="DH726" s="155">
        <f>'IWP19'!Std11dot1BdrmWidth</f>
        <v>0</v>
      </c>
      <c r="DI726" s="155">
        <f>'IWP19'!Std11dot1BdrmLength</f>
        <v>0</v>
      </c>
      <c r="DJ726" s="155">
        <f>IF('IWP19'!Std11dot1BdrmSqFt = "", MINVALDBL, 'IWP19'!Std11dot1BdrmSqFt)</f>
        <v>-99999.99</v>
      </c>
      <c r="DK726" s="151" t="str">
        <f>IF('IWP19'!Std11dot1PrivateStorageSpace = 0, "", 'IWP19'!Std11dot1PrivateStorageSpace)</f>
        <v/>
      </c>
      <c r="DL726" s="155">
        <f>'IWP19'!Std11dot1StorageWidth</f>
        <v>0</v>
      </c>
      <c r="DM726" s="155">
        <f>'IWP19'!Std11dot1StorageLength</f>
        <v>0</v>
      </c>
      <c r="DN726" s="155">
        <f>IF('IWP19'!Std11dot1StorageSqFt = "", 0, 'IWP19'!Std11dot1StorageSqFt)</f>
        <v>0</v>
      </c>
      <c r="DO726" s="151" t="str">
        <f>IF('IWP19'!Std11dot1PrivateKitchenSpace = 0, "", 'IWP19'!Std11dot1PrivateKitchenSpace)</f>
        <v/>
      </c>
      <c r="DP726" s="155">
        <f>'IWP19'!Std11dot1KitchenWidth</f>
        <v>0</v>
      </c>
      <c r="DQ726" s="155">
        <f>'IWP19'!Std11dot1KitchenLength</f>
        <v>0</v>
      </c>
      <c r="DR726" s="155">
        <f>IF('IWP19'!Std11dot1KitchenSqFt = "", MINVALDBL, 'IWP19'!Std11dot1KitchenSqFt)</f>
        <v>-99999.99</v>
      </c>
      <c r="DS726" s="151" t="str">
        <f>IF('IWP19'!Std11dot1KitchenSink = 0, "", 'IWP19'!Std11dot1KitchenSink)</f>
        <v/>
      </c>
      <c r="DT726" s="151" t="str">
        <f>IF('IWP19'!Std11dot1Refrigerator = 0, "", 'IWP19'!Std11dot1Refrigerator)</f>
        <v/>
      </c>
      <c r="DU726" s="151" t="str">
        <f>IF('IWP19'!Std11dot1StoveMicrowave = 0, "", 'IWP19'!Std11dot1StoveMicrowave)</f>
        <v/>
      </c>
      <c r="DV726" s="151" t="str">
        <f>IF('IWP19'!Std11dot1SeparateBath = 0, "", 'IWP19'!Std11dot1SeparateBath)</f>
        <v/>
      </c>
      <c r="DW726" s="151" t="str">
        <f>IF('IWP19'!Std11dot1BathSink = 0, "", 'IWP19'!Std11dot1BathSink)</f>
        <v/>
      </c>
      <c r="DX726" s="151" t="str">
        <f>IF('IWP19'!Std11dot1ShowerTubAccessible = 0, "", 'IWP19'!Std11dot1ShowerTubAccessible)</f>
        <v/>
      </c>
      <c r="DY726" s="155">
        <f>'IWP19'!Std11dot1TotalPrivateSpace</f>
        <v>0</v>
      </c>
      <c r="DZ726" s="155">
        <f>'IWP19'!Std11dot1PrivateSpaceSquareFootagePerResident</f>
        <v>0</v>
      </c>
      <c r="EA726" s="155">
        <f>IF('IWP19'!Std11dot1TotalSquareFootagePerResident = "", MINVALDBL, 'IWP19'!Std11dot1TotalSquareFootagePerResident)</f>
        <v>-99999.99</v>
      </c>
      <c r="EB726" s="155">
        <f>'IWP19'!Std11dot1UseableCommonAreaSquareFootage</f>
        <v>0</v>
      </c>
      <c r="EC726" s="155">
        <f>'IWP19'!Std11dot1LicensedCapacity</f>
        <v>0</v>
      </c>
      <c r="ED726" s="155">
        <f>IF('IWP19'!Std11dot1CommonAreaSquareFootagePerResident = "", MINVALDBL, 'IWP19'!Std11dot1CommonAreaSquareFootagePerResident)</f>
        <v>-99999.99</v>
      </c>
      <c r="EE726" s="151" t="str">
        <f>IF('IWP19'!Std11dot1a = 0, "", 'IWP19'!Std11dot1a)</f>
        <v/>
      </c>
      <c r="EF726" s="151" t="str">
        <f>IF('IWP19'!Std11dot1b = 0, "", 'IWP19'!Std11dot1b)</f>
        <v/>
      </c>
      <c r="EG726" s="151" t="str">
        <f>IF('IWP19'!Std11dot1c = 0, "", 'IWP19'!Std11dot1c)</f>
        <v/>
      </c>
      <c r="EH726" s="151" t="str">
        <f>IF('IWP19'!Std11dot1d = 0, "", 'IWP19'!Std11dot1d)</f>
        <v/>
      </c>
      <c r="EI726" s="151" t="str">
        <f>IF('IWP19'!Std11dot1e = 0, "", 'IWP19'!Std11dot1e)</f>
        <v/>
      </c>
      <c r="EJ726" s="151" t="str">
        <f>IF('IWP19'!Std11dot1f = 0, "", 'IWP19'!Std11dot1f)</f>
        <v/>
      </c>
      <c r="EK726" s="151" t="str">
        <f>IF('IWP19'!Std11dot1g = 0, "", 'IWP19'!Std11dot1g)</f>
        <v/>
      </c>
      <c r="EL726" s="151" t="str">
        <f>IF('IWP19'!Std11dot1h = 0, "", 'IWP19'!Std11dot1h)</f>
        <v/>
      </c>
      <c r="EM726" s="151" t="str">
        <f>IF('IWP19'!Std11dot1i = 0, "", 'IWP19'!Std11dot1i)</f>
        <v/>
      </c>
      <c r="EN726" s="151" t="str">
        <f>IF('IWP19'!Std11dot1j = 0, "", 'IWP19'!Std11dot1j)</f>
        <v/>
      </c>
      <c r="EO726" s="151" t="str">
        <f>IF('IWP19'!Std11dot1k = 0, "", 'IWP19'!Std11dot1k)</f>
        <v/>
      </c>
      <c r="EP726" s="151" t="str">
        <f>IF('IWP19'!Std11dot1 = 0, "", 'IWP19'!Std11dot1)</f>
        <v/>
      </c>
      <c r="EQ726" s="151" t="str">
        <f>IF('IWP19'!Std11dot2 = 0, "", 'IWP19'!Std11dot2)</f>
        <v/>
      </c>
      <c r="ER726" s="151" t="str">
        <f>IF('IWP19'!Std11dot3 = 0, "", 'IWP19'!Std11dot3)</f>
        <v/>
      </c>
      <c r="ES726" s="151" t="str">
        <f>IF('IWP19'!Std11dot4 = 0, "", 'IWP19'!Std11dot4)</f>
        <v>NA</v>
      </c>
      <c r="ET726" s="157">
        <f>IF('IWP19'!$A$363=DATE(1900,1,0), DATE(1900,1,1), 'IWP19'!$A$363)</f>
        <v>1</v>
      </c>
      <c r="EU726" s="155">
        <f>'IWP19'!$C$363</f>
        <v>0</v>
      </c>
      <c r="EV726" s="155">
        <f>'IWP19'!$E$363</f>
        <v>0</v>
      </c>
      <c r="EW726" s="157">
        <f>IF('IWP19'!$G$363=DATE(1900,1,0), DATE(1900,1,1), 'IWP19'!$G$363)</f>
        <v>1</v>
      </c>
      <c r="EX726" s="155">
        <f>'IWP19'!$I$363</f>
        <v>0</v>
      </c>
      <c r="EY726" s="155">
        <f>'IWP19'!$K$363</f>
        <v>0</v>
      </c>
      <c r="EZ726" s="157">
        <f>IF('IWP19'!$M$363=DATE(1900,1,0), DATE(1900,1,1), 'IWP19'!$M$363)</f>
        <v>1</v>
      </c>
      <c r="FA726" s="151" t="str">
        <f>IF('IWP19'!$O$363 = 0, "", 'IWP19'!$O$363)</f>
        <v/>
      </c>
      <c r="FB726" s="151" t="str">
        <f>IF('IWP19'!$Q$363 = 0, "", 'IWP19'!$Q$363)</f>
        <v/>
      </c>
      <c r="FC726" s="151" t="str">
        <f>IF('IWP19'!Std11dot5a = 0, "", 'IWP19'!Std11dot5a)</f>
        <v/>
      </c>
      <c r="FD726" s="151" t="str">
        <f>IF('IWP19'!Std11dot5b = 0, "", 'IWP19'!Std11dot5b)</f>
        <v/>
      </c>
      <c r="FE726" s="151" t="str">
        <f>IF('IWP19'!Std11dot5ci = 0, "", 'IWP19'!Std11dot5ci)</f>
        <v>NA</v>
      </c>
      <c r="FF726" s="151" t="str">
        <f>IF('IWP19'!Std11dot5cii = 0, "", 'IWP19'!Std11dot5cii)</f>
        <v>NA</v>
      </c>
      <c r="FG726" s="151" t="str">
        <f>IF('IWP19'!Std11dot5 = 0, "", 'IWP19'!Std11dot5)</f>
        <v/>
      </c>
      <c r="FH726" s="207" t="str">
        <f>IF('IWP19'!Std11dot1AptGrandFthr = "", "", 'IWP19'!Std11dot1AptGrandFthr)</f>
        <v/>
      </c>
    </row>
    <row r="727" spans="1:164">
      <c r="A727" s="206" t="s">
        <v>1323</v>
      </c>
      <c r="B727" s="157">
        <f>IF('Samples (Print)'!D24=DATE(1900,1,0),DATE(1900,1,1),'Samples (Print)'!D24)</f>
        <v>1</v>
      </c>
      <c r="C727" s="157">
        <f>IF('Samples (Print)'!E24=DATE(1900,1,0),DATE(1900,1,1),'Samples (Print)'!E24)</f>
        <v>1</v>
      </c>
      <c r="D727" s="319">
        <f>IF('IWP20'!FiscalReviewFirstMonth =DATE(1900,1,0),DATE(1900,1,1),'IWP04'!FiscalReviewFirstMonth)</f>
        <v>1</v>
      </c>
      <c r="E727" s="319">
        <f>IF('IWP20'!FiscalReviewSecondMonth =DATE(1900,1,0),DATE(1900,1,1),'IWP20'!FiscalReviewSecondMonth)</f>
        <v>1</v>
      </c>
      <c r="F727" s="13">
        <f>'IWP20'!SampleNumber</f>
        <v>20</v>
      </c>
      <c r="G727" s="13">
        <f ca="1">'IWP20'!ClientID</f>
        <v>0</v>
      </c>
      <c r="H727" s="283"/>
      <c r="I727" s="283"/>
      <c r="J727" s="151" t="str">
        <f ca="1">IF('IWP20'!ContractNumber = 0, "", 'IWP20'!ContractNumber)</f>
        <v/>
      </c>
      <c r="K727" s="151" t="str">
        <f ca="1">IF('IWP20'!ContractType = 0, "", 'IWP20'!ContractType)</f>
        <v/>
      </c>
      <c r="L727" s="151" t="str">
        <f>IF('IWP20'!CompletedByLastName = 0, "", 'IWP20'!CompletedByLastName)</f>
        <v/>
      </c>
      <c r="M727" s="151" t="str">
        <f>IF('IWP20'!CompletedByFirstName = 0, "", 'IWP20'!CompletedByFirstName)</f>
        <v/>
      </c>
      <c r="N727" s="157">
        <f>IF('IWP20'!DateCompleted =DATE(1900,1,0),DATE(1900,1,1),'IWP20'!DateCompleted)</f>
        <v>1</v>
      </c>
      <c r="O727" s="151" t="str">
        <f>IF('IWP20'!Std3NotCalc = 0, "", 'IWP20'!Std3NotCalc)</f>
        <v/>
      </c>
      <c r="P727" s="157">
        <f>IF('IWP20'!Std3dot1DateOfAdmission =DATE(1900,1,0),DATE(1900,1,1),'IWP20'!Std3dot1DateOfAdmission)</f>
        <v>1</v>
      </c>
      <c r="Q727" s="151" t="str">
        <f>IF('IWP20'!Std3dot1a = 0, "", 'IWP20'!Std3dot1a)</f>
        <v/>
      </c>
      <c r="R727" s="151" t="str">
        <f>IF('IWP20'!Std3dot1b = 0, "", 'IWP20'!Std3dot1b)</f>
        <v/>
      </c>
      <c r="S727" s="151" t="str">
        <f>IF('IWP20'!Std3dot1c = 0, "", 'IWP20'!Std3dot1c)</f>
        <v>NA</v>
      </c>
      <c r="T727" s="151" t="str">
        <f>IF('IWP20'!Std3dot1 = 0, "", 'IWP20'!Std3dot1)</f>
        <v/>
      </c>
      <c r="U727" s="151" t="str">
        <f>IF('IWP20'!Std3dot2a = 0, "", 'IWP20'!Std3dot2a)</f>
        <v/>
      </c>
      <c r="V727" s="151" t="str">
        <f>IF('IWP20'!Std3dot2b = 0, "", 'IWP20'!Std3dot2b)</f>
        <v/>
      </c>
      <c r="W727" s="151" t="str">
        <f>IF('IWP20'!Std3dot2c = 0, "", 'IWP20'!Std3dot2c)</f>
        <v/>
      </c>
      <c r="X727" s="151" t="str">
        <f>IF('IWP20'!Std3dot2 = 0, "", 'IWP20'!Std3dot2)</f>
        <v/>
      </c>
      <c r="Y727" s="151" t="str">
        <f>IF('IWP20'!Std4dot1Month1 = 0, "", 'IWP20'!Std4dot1Month1)</f>
        <v/>
      </c>
      <c r="Z727" s="157">
        <f>IF('IWP20'!Std4dot1Month1Date =DATE(1900,1,0),DATE(1900,1,1),'IWP20'!Std4dot1Month1Date)</f>
        <v>1</v>
      </c>
      <c r="AA727" s="151" t="str">
        <f>IF('IWP20'!Std4dot1Month2 = 0, "", 'IWP20'!Std4dot1Month2)</f>
        <v/>
      </c>
      <c r="AB727" s="157">
        <f>IF('IWP20'!Std4dot1Month2Date =DATE(1900,1,0),DATE(1900,1,1),'IWP20'!Std4dot1Month2Date)</f>
        <v>1</v>
      </c>
      <c r="AC727" s="151" t="str">
        <f>IF('IWP20'!Std4dot1 = 0, "", 'IWP20'!Std4dot1)</f>
        <v/>
      </c>
      <c r="AD727" s="151" t="str">
        <f>IF('IWP20'!Std4dot2NotCalc = 0, "", 'IWP20'!Std4dot2NotCalc)</f>
        <v/>
      </c>
      <c r="AE727" s="151" t="str">
        <f>IF('IWP20'!Std4dot2 = 0, "", 'IWP20'!Std4dot2)</f>
        <v/>
      </c>
      <c r="AF727" s="151" t="str">
        <f>IF('IWP20'!Std4dot3 = 0, "", 'IWP20'!Std4dot3)</f>
        <v/>
      </c>
      <c r="AG727" s="151" t="str">
        <f>IF('IWP20'!Std4dot4 = 0, "", 'IWP20'!Std4dot4)</f>
        <v/>
      </c>
      <c r="AH727" s="151" t="str">
        <f>IF('IWP20'!Std5NotCalc = 0, "", 'IWP20'!Std5NotCalc)</f>
        <v/>
      </c>
      <c r="AI727" s="151" t="str">
        <f>IF('IWP20'!Std5dot1 = 0, "", 'IWP20'!Std5dot1)</f>
        <v/>
      </c>
      <c r="AJ727" s="151" t="str">
        <f>IF('IWP20'!Std7dot1NotCalc = 0, "", 'IWP20'!Std7dot1NotCalc)</f>
        <v/>
      </c>
      <c r="AK727" s="151" t="str">
        <f>IF('IWP20'!Std7dot1NotCalc = 0, "", 'IWP20'!Std7dot1NotCalc)</f>
        <v/>
      </c>
      <c r="AL727" s="155">
        <f>'IWP20'!Std7dot1BalPerCshLog</f>
        <v>0</v>
      </c>
      <c r="AM727" s="155">
        <f>'IWP20'!Std7dot1LessAdj</f>
        <v>0</v>
      </c>
      <c r="AN727" s="155">
        <f>'IWP20'!Std7dot1AdjBal</f>
        <v>0</v>
      </c>
      <c r="AO727" s="155">
        <f>'IWP20'!Std7dot1CshOnHand</f>
        <v>0</v>
      </c>
      <c r="AP727" s="155">
        <f>'IWP20'!Std7dot1PtyCshOvrShrt</f>
        <v>0</v>
      </c>
      <c r="AQ727" s="151" t="str">
        <f>IF('IWP20'!Std7dot1OvrShrtCorr = 0, "", 'IWP20'!Std7dot1OvrShrtCorr)</f>
        <v/>
      </c>
      <c r="AR727" s="151" t="str">
        <f>IF('IWP20'!Std7dot1 = 0, "", 'IWP20'!Std7dot1)</f>
        <v/>
      </c>
      <c r="AS727" s="151" t="str">
        <f>IF('IWP20'!Std9dot1aNotCalc = 0, "", 'IWP20'!Std9dot1aNotCalc)</f>
        <v/>
      </c>
      <c r="AT727" s="151" t="str">
        <f>IF('IWP20'!Std9dot1bNotCalc = 0, "", 'IWP20'!Std9dot1bNotCalc)</f>
        <v/>
      </c>
      <c r="AU727" s="157">
        <f>IF('IWP20'!Std9BalPerBnkStmtDt =DATE(1900,1,0),DATE(1900,1,1),'IWP20'!Std9BalPerBnkStmtDt)</f>
        <v>1</v>
      </c>
      <c r="AV727" s="155">
        <f>'IWP20'!Std9BalPerBnkStmt</f>
        <v>0</v>
      </c>
      <c r="AW727" s="155">
        <f>'IWP20'!Std9TotDepsInTrans</f>
        <v>0</v>
      </c>
      <c r="AX727" s="155">
        <f>'IWP20'!Std9TotOutsChks</f>
        <v>0</v>
      </c>
      <c r="AY727" s="155">
        <f>'IWP20'!Std9AdjBalPerBank</f>
        <v>0</v>
      </c>
      <c r="AZ727" s="157">
        <f>IF('IWP20'!Std9TotPtyCshIndvDt =DATE(1900,1,0),DATE(1900,1,1),'IWP20'!Std9TotPtyCshIndvDt)</f>
        <v>1</v>
      </c>
      <c r="BA727" s="155">
        <f>'IWP20'!Std9TotPtyCshIndv</f>
        <v>0</v>
      </c>
      <c r="BB727" s="155">
        <f>'IWP20'!Std9TotCshBnkAndHnd</f>
        <v>0</v>
      </c>
      <c r="BC727" s="157">
        <f>IF('IWP20'!Std9BalPerBksDt =DATE(1900,1,0),DATE(1900,1,1),'IWP20'!Std9BalPerBksDt)</f>
        <v>1</v>
      </c>
      <c r="BD727" s="155">
        <f>'IWP20'!Std9BalPerBks</f>
        <v>0</v>
      </c>
      <c r="BE727" s="155">
        <f>'IWP20'!Std9UnapplErndInt</f>
        <v>0</v>
      </c>
      <c r="BF727" s="155">
        <f>'IWP20'!Std9UnpstdRcptDsbrsmts</f>
        <v>0</v>
      </c>
      <c r="BG727" s="155">
        <f>'IWP20'!Std9NsfChks</f>
        <v>0</v>
      </c>
      <c r="BH727" s="155">
        <f>'IWP20'!Std9AdjBalPerBks</f>
        <v>0</v>
      </c>
      <c r="BI727" s="155">
        <f>'IWP20'!Std9TrstFndAcctOvrShrt</f>
        <v>0</v>
      </c>
      <c r="BJ727" s="151" t="str">
        <f>IF('IWP20'!Std9OvrShrtCorrctd = 0, "", 'IWP20'!Std9OvrShrtCorrctd)</f>
        <v/>
      </c>
      <c r="BK727" s="151" t="str">
        <f>IF('IWP20'!Std9ShrtUnreimbSvcChg = 0, "", 'IWP20'!Std9ShrtUnreimbSvcChg)</f>
        <v/>
      </c>
      <c r="BL727" s="151" t="str">
        <f>IF('IWP20'!Std9dot1 = 0, "", 'IWP20'!Std9dot1)</f>
        <v/>
      </c>
      <c r="BM727" s="151" t="str">
        <f>IF('IWP20'!Std10dot1NotCalc = 0, "", 'IWP20'!Std10dot1NotCalc)</f>
        <v/>
      </c>
      <c r="BN727" s="319">
        <f>IF('IWP20'!FiscalReviewFirstMonth =DATE(1900,1,0),DATE(1900,1,1),'IWP20'!FiscalReviewFirstMonth)</f>
        <v>1</v>
      </c>
      <c r="BO727" s="155">
        <f>'IWP20'!Std10dot1TotalAmt1</f>
        <v>0</v>
      </c>
      <c r="BP727" s="319">
        <f>IF('IWP20'!FiscalReviewSecondMonth =DATE(1900,1,0),DATE(1900,1,1),'IWP20'!FiscalReviewSecondMonth)</f>
        <v>1</v>
      </c>
      <c r="BQ727" s="155">
        <f>'IWP20'!Std10dot1TotalAmt2</f>
        <v>0</v>
      </c>
      <c r="BR727" s="151" t="str">
        <f>IF('IWP20'!Std10dot1 = 0, "", 'IWP20'!Std10dot1)</f>
        <v/>
      </c>
      <c r="BS727" s="151" t="str">
        <f>IF('IWP20'!Std10dot2NotCalc = 0, "", 'IWP20'!Std10dot2NotCalc)</f>
        <v/>
      </c>
      <c r="BT727" s="319">
        <f>IF('IWP20'!FiscalReviewFirstMonth =DATE(1900,1,0),DATE(1900,1,1),'IWP20'!FiscalReviewFirstMonth)</f>
        <v>1</v>
      </c>
      <c r="BU727" s="155">
        <f>'IWP20'!Std10dot2BankChgs1</f>
        <v>0</v>
      </c>
      <c r="BV727" s="319">
        <f>IF('IWP20'!FiscalReviewSecondMonth =DATE(1900,1,0),DATE(1900,1,1),'IWP20'!FiscalReviewSecondMonth)</f>
        <v>1</v>
      </c>
      <c r="BW727" s="155">
        <f>'IWP20'!Std10dot2BankChgs2</f>
        <v>0</v>
      </c>
      <c r="BX727" s="151" t="str">
        <f>IF('IWP20'!Std10dot2 = 0, "", 'IWP20'!Std10dot2)</f>
        <v/>
      </c>
      <c r="BY727" s="151" t="str">
        <f>IF('IWP20'!Std10dot3NotCalc = 0, "", 'IWP20'!Std10dot3NotCalc)</f>
        <v/>
      </c>
      <c r="BZ727" s="151" t="str">
        <f>IF('IWP20'!Std10dot3 = 0, "", 'IWP20'!Std10dot3)</f>
        <v/>
      </c>
      <c r="CA727" s="151" t="str">
        <f>IF('IWP20'!Std10dot4NotCalc = 0, "", 'IWP20'!Std10dot4NotCalc)</f>
        <v/>
      </c>
      <c r="CB727" s="151" t="str">
        <f>IF('IWP20'!Std10dot4 = 0, "", 'IWP20'!Std10dot4)</f>
        <v/>
      </c>
      <c r="CC727" s="151" t="str">
        <f>IF('IWP20'!Std10dot5 = 0, "", 'IWP20'!Std10dot5)</f>
        <v/>
      </c>
      <c r="CD727" s="151" t="str">
        <f>IF('IWP20'!Std10dot6NotCalc = 0, "", 'IWP20'!Std10dot6NotCalc)</f>
        <v/>
      </c>
      <c r="CE727" s="157">
        <f>IF('IWP20'!Std10dot6DateOfDeathDischarge =DATE(1900,1,0),DATE(1900,1,1),'IWP20'!Std10dot6DateOfDeathDischarge)</f>
        <v>1</v>
      </c>
      <c r="CF727" s="151" t="str">
        <f>IF('IWP20'!Std10dot6DthDschg = 0, "", 'IWP20'!Std10dot6DthDschg)</f>
        <v/>
      </c>
      <c r="CG727" s="155">
        <f>'IWP20'!Std10dot6TrustFundAmtDue</f>
        <v>0</v>
      </c>
      <c r="CH727" s="155">
        <f>'IWP20'!Std10dot6IndvPtyCshAmtDue</f>
        <v>0</v>
      </c>
      <c r="CI727" s="155">
        <f>'IWP20'!Std10dot6TotRfndDue</f>
        <v>0</v>
      </c>
      <c r="CJ727" s="155">
        <f>'IWP20'!Std10dot6AmtRfnd</f>
        <v>0</v>
      </c>
      <c r="CK727" s="155">
        <f>'IWP20'!Std10dot6DminusE</f>
        <v>0</v>
      </c>
      <c r="CL727" s="151" t="str">
        <f>IF('IWP20'!Std10dot6LastName = 0, "", 'IWP20'!Std10dot6LastName)</f>
        <v/>
      </c>
      <c r="CM727" s="151" t="str">
        <f>IF('IWP20'!Std10dot6FirstName = 0, "", 'IWP20'!Std10dot6FirstName)</f>
        <v/>
      </c>
      <c r="CN727" s="157">
        <f>IF('IWP20'!Std10dot6DateOfRefund =DATE(1900,1,0),DATE(1900,1,1),'IWP20'!Std10dot6DateOfRefund)</f>
        <v>1</v>
      </c>
      <c r="CO727" s="151" t="str">
        <f>IF('IWP20'!Std10dot6a = 0, "", 'IWP20'!Std10dot6a)</f>
        <v/>
      </c>
      <c r="CP727" s="151" t="str">
        <f>IF('IWP20'!Std10dot6b = 0, "", 'IWP20'!Std10dot6b)</f>
        <v/>
      </c>
      <c r="CQ727" s="151" t="str">
        <f>IF('IWP20'!Std10dot6c = 0, "", 'IWP20'!Std10dot6c)</f>
        <v/>
      </c>
      <c r="CR727" s="151" t="str">
        <f>IF('IWP20'!Std10dot6 = "", "", 'IWP20'!Std10dot6)</f>
        <v/>
      </c>
      <c r="CS727" s="151" t="str">
        <f>IF('IWP20'!Std11dot1aNotCalc = 0, "", 'IWP20'!Std11dot1aNotCalc)</f>
        <v/>
      </c>
      <c r="CT727" s="151" t="str">
        <f>IF('IWP20'!Std11dot1bNotCalc = 0, "", 'IWP20'!Std11dot1bNotCalc)</f>
        <v>N</v>
      </c>
      <c r="CU727" s="151" t="str">
        <f>IF('IWP20'!Std11dot1cNotCalc = 0, "", 'IWP20'!Std11dot1cNotCalc)</f>
        <v>N</v>
      </c>
      <c r="CV727" s="151" t="str">
        <f>IF('IWP20'!Std11dot1dNotCalc = 0, "", 'IWP20'!Std11dot1dNotCalc)</f>
        <v/>
      </c>
      <c r="CW727" s="151" t="str">
        <f>IF('IWP20'!Std11dot1eNotCalc = 0, "", 'IWP20'!Std11dot1eNotCalc)</f>
        <v/>
      </c>
      <c r="CX727" s="151" t="str">
        <f>IF('IWP20'!Std11dot1fNotCalc = 0, "", 'IWP20'!Std11dot1fNotCalc)</f>
        <v/>
      </c>
      <c r="CY727" s="151" t="str">
        <f>IF('IWP20'!Std11dot1PrivateLivingSpace = 0, "", 'IWP20'!Std11dot1PrivateLivingSpace)</f>
        <v/>
      </c>
      <c r="CZ727" s="155">
        <f>'IWP20'!Std11dot1LivingWidth</f>
        <v>0</v>
      </c>
      <c r="DA727" s="155">
        <f>'IWP20'!Std11dot1LivingLength</f>
        <v>0</v>
      </c>
      <c r="DB727" s="155">
        <f>IF('IWP20'!Std11dot1LivingSqFt = "", MINVALDBL, 'IWP20'!Std11dot1LivingSqFt)</f>
        <v>-99999.99</v>
      </c>
      <c r="DC727" s="151" t="str">
        <f>IF('IWP20'!Std11dot1PrivateLivingSpace = 0, "", 'IWP20'!Std11dot1PrivateLivingSpace)</f>
        <v/>
      </c>
      <c r="DD727" s="155">
        <f>'IWP20'!Std11dot1LivingWidth</f>
        <v>0</v>
      </c>
      <c r="DE727" s="155">
        <f>'IWP20'!Std11dot1LivingLength</f>
        <v>0</v>
      </c>
      <c r="DF727" s="155">
        <f>IF('IWP20'!Std11dot1LivingSqFt = "", MINVALDBL, 'IWP20'!Std11dot1LivingSqFt)</f>
        <v>-99999.99</v>
      </c>
      <c r="DG727" s="151" t="str">
        <f>IF('IWP20'!Std11dot1PrivateBedSpace = 0, "", 'IWP20'!Std11dot1PrivateBedSpace)</f>
        <v/>
      </c>
      <c r="DH727" s="155">
        <f>'IWP20'!Std11dot1BdrmWidth</f>
        <v>0</v>
      </c>
      <c r="DI727" s="155">
        <f>'IWP20'!Std11dot1BdrmLength</f>
        <v>0</v>
      </c>
      <c r="DJ727" s="155">
        <f>IF('IWP20'!Std11dot1BdrmSqFt = "", MINVALDBL, 'IWP20'!Std11dot1BdrmSqFt)</f>
        <v>-99999.99</v>
      </c>
      <c r="DK727" s="151" t="str">
        <f>IF('IWP20'!Std11dot1PrivateStorageSpace = 0, "", 'IWP20'!Std11dot1PrivateStorageSpace)</f>
        <v/>
      </c>
      <c r="DL727" s="155">
        <f>'IWP20'!Std11dot1StorageWidth</f>
        <v>0</v>
      </c>
      <c r="DM727" s="155">
        <f>'IWP20'!Std11dot1StorageLength</f>
        <v>0</v>
      </c>
      <c r="DN727" s="155">
        <f>IF('IWP20'!Std11dot1StorageSqFt = "", 0, 'IWP20'!Std11dot1StorageSqFt)</f>
        <v>0</v>
      </c>
      <c r="DO727" s="151" t="str">
        <f>IF('IWP20'!Std11dot1PrivateKitchenSpace = 0, "", 'IWP20'!Std11dot1PrivateKitchenSpace)</f>
        <v/>
      </c>
      <c r="DP727" s="155">
        <f>'IWP20'!Std11dot1KitchenWidth</f>
        <v>0</v>
      </c>
      <c r="DQ727" s="155">
        <f>'IWP20'!Std11dot1KitchenLength</f>
        <v>0</v>
      </c>
      <c r="DR727" s="155">
        <f>IF('IWP20'!Std11dot1KitchenSqFt = "", MINVALDBL, 'IWP20'!Std11dot1KitchenSqFt)</f>
        <v>-99999.99</v>
      </c>
      <c r="DS727" s="151" t="str">
        <f>IF('IWP20'!Std11dot1KitchenSink = 0, "", 'IWP20'!Std11dot1KitchenSink)</f>
        <v/>
      </c>
      <c r="DT727" s="151" t="str">
        <f>IF('IWP20'!Std11dot1Refrigerator = 0, "", 'IWP20'!Std11dot1Refrigerator)</f>
        <v/>
      </c>
      <c r="DU727" s="151" t="str">
        <f>IF('IWP20'!Std11dot1StoveMicrowave = 0, "", 'IWP20'!Std11dot1StoveMicrowave)</f>
        <v/>
      </c>
      <c r="DV727" s="151" t="str">
        <f>IF('IWP20'!Std11dot1SeparateBath = 0, "", 'IWP20'!Std11dot1SeparateBath)</f>
        <v/>
      </c>
      <c r="DW727" s="151" t="str">
        <f>IF('IWP20'!Std11dot1BathSink = 0, "", 'IWP20'!Std11dot1BathSink)</f>
        <v/>
      </c>
      <c r="DX727" s="151" t="str">
        <f>IF('IWP20'!Std11dot1ShowerTubAccessible = 0, "", 'IWP20'!Std11dot1ShowerTubAccessible)</f>
        <v/>
      </c>
      <c r="DY727" s="155">
        <f>'IWP20'!Std11dot1TotalPrivateSpace</f>
        <v>0</v>
      </c>
      <c r="DZ727" s="155">
        <f>'IWP20'!Std11dot1PrivateSpaceSquareFootagePerResident</f>
        <v>0</v>
      </c>
      <c r="EA727" s="155">
        <f>IF('IWP20'!Std11dot1TotalSquareFootagePerResident = "", MINVALDBL, 'IWP20'!Std11dot1TotalSquareFootagePerResident)</f>
        <v>-99999.99</v>
      </c>
      <c r="EB727" s="155">
        <f>'IWP20'!Std11dot1UseableCommonAreaSquareFootage</f>
        <v>0</v>
      </c>
      <c r="EC727" s="155">
        <f>'IWP20'!Std11dot1LicensedCapacity</f>
        <v>0</v>
      </c>
      <c r="ED727" s="155">
        <f>IF('IWP20'!Std11dot1CommonAreaSquareFootagePerResident = "", MINVALDBL, 'IWP20'!Std11dot1CommonAreaSquareFootagePerResident)</f>
        <v>-99999.99</v>
      </c>
      <c r="EE727" s="151" t="str">
        <f>IF('IWP20'!Std11dot1a = 0, "", 'IWP20'!Std11dot1a)</f>
        <v/>
      </c>
      <c r="EF727" s="151" t="str">
        <f>IF('IWP20'!Std11dot1b = 0, "", 'IWP20'!Std11dot1b)</f>
        <v/>
      </c>
      <c r="EG727" s="151" t="str">
        <f>IF('IWP20'!Std11dot1c = 0, "", 'IWP20'!Std11dot1c)</f>
        <v/>
      </c>
      <c r="EH727" s="151" t="str">
        <f>IF('IWP20'!Std11dot1d = 0, "", 'IWP20'!Std11dot1d)</f>
        <v/>
      </c>
      <c r="EI727" s="151" t="str">
        <f>IF('IWP20'!Std11dot1e = 0, "", 'IWP20'!Std11dot1e)</f>
        <v/>
      </c>
      <c r="EJ727" s="151" t="str">
        <f>IF('IWP20'!Std11dot1f = 0, "", 'IWP20'!Std11dot1f)</f>
        <v/>
      </c>
      <c r="EK727" s="151" t="str">
        <f>IF('IWP20'!Std11dot1g = 0, "", 'IWP20'!Std11dot1g)</f>
        <v/>
      </c>
      <c r="EL727" s="151" t="str">
        <f>IF('IWP20'!Std11dot1h = 0, "", 'IWP20'!Std11dot1h)</f>
        <v/>
      </c>
      <c r="EM727" s="151" t="str">
        <f>IF('IWP20'!Std11dot1i = 0, "", 'IWP20'!Std11dot1i)</f>
        <v/>
      </c>
      <c r="EN727" s="151" t="str">
        <f>IF('IWP20'!Std11dot1j = 0, "", 'IWP20'!Std11dot1j)</f>
        <v/>
      </c>
      <c r="EO727" s="151" t="str">
        <f>IF('IWP20'!Std11dot1k = 0, "", 'IWP20'!Std11dot1k)</f>
        <v/>
      </c>
      <c r="EP727" s="151" t="str">
        <f>IF('IWP20'!Std11dot1 = 0, "", 'IWP20'!Std11dot1)</f>
        <v/>
      </c>
      <c r="EQ727" s="151" t="str">
        <f>IF('IWP20'!Std11dot2 = 0, "", 'IWP20'!Std11dot2)</f>
        <v/>
      </c>
      <c r="ER727" s="151" t="str">
        <f>IF('IWP20'!Std11dot3 = 0, "", 'IWP20'!Std11dot3)</f>
        <v/>
      </c>
      <c r="ES727" s="151" t="str">
        <f>IF('IWP20'!Std11dot4 = 0, "", 'IWP20'!Std11dot4)</f>
        <v>NA</v>
      </c>
      <c r="ET727" s="157">
        <f>IF('IWP20'!$A$363=DATE(1900,1,0), DATE(1900,1,1), 'IWP20'!$A$363)</f>
        <v>1</v>
      </c>
      <c r="EU727" s="155">
        <f>'IWP20'!$C$363</f>
        <v>0</v>
      </c>
      <c r="EV727" s="155">
        <f>'IWP20'!$E$363</f>
        <v>0</v>
      </c>
      <c r="EW727" s="157">
        <f>IF('IWP20'!$G$363=DATE(1900,1,0), DATE(1900,1,1), 'IWP20'!$G$363)</f>
        <v>1</v>
      </c>
      <c r="EX727" s="155">
        <f>'IWP20'!$I$363</f>
        <v>0</v>
      </c>
      <c r="EY727" s="155">
        <f>'IWP20'!$K$363</f>
        <v>0</v>
      </c>
      <c r="EZ727" s="157">
        <f>IF('IWP20'!$M$363=DATE(1900,1,0), DATE(1900,1,1), 'IWP20'!$M$363)</f>
        <v>1</v>
      </c>
      <c r="FA727" s="151" t="str">
        <f>IF('IWP20'!$O$363 = 0, "", 'IWP20'!$O$363)</f>
        <v/>
      </c>
      <c r="FB727" s="151" t="str">
        <f>IF('IWP20'!$Q$363 = 0, "", 'IWP20'!$Q$363)</f>
        <v/>
      </c>
      <c r="FC727" s="151" t="str">
        <f>IF('IWP20'!Std11dot5a = 0, "", 'IWP20'!Std11dot5a)</f>
        <v/>
      </c>
      <c r="FD727" s="151" t="str">
        <f>IF('IWP20'!Std11dot5b = 0, "", 'IWP20'!Std11dot5b)</f>
        <v/>
      </c>
      <c r="FE727" s="151" t="str">
        <f>IF('IWP20'!Std11dot5ci = 0, "", 'IWP20'!Std11dot5ci)</f>
        <v>NA</v>
      </c>
      <c r="FF727" s="151" t="str">
        <f>IF('IWP20'!Std11dot5cii = 0, "", 'IWP20'!Std11dot5cii)</f>
        <v>NA</v>
      </c>
      <c r="FG727" s="151" t="str">
        <f>IF('IWP20'!Std11dot5 = 0, "", 'IWP20'!Std11dot5)</f>
        <v/>
      </c>
      <c r="FH727" s="207" t="str">
        <f>IF('IWP20'!Std11dot1AptGrandFthr = "", "", 'IWP20'!Std11dot1AptGrandFthr)</f>
        <v/>
      </c>
    </row>
    <row r="728" spans="1:164">
      <c r="A728" s="206" t="s">
        <v>1324</v>
      </c>
      <c r="B728" s="157">
        <f>IF('Samples (Print)'!D25=DATE(1900,1,0),DATE(1900,1,1),'Samples (Print)'!D25)</f>
        <v>1</v>
      </c>
      <c r="C728" s="157">
        <f>IF('Samples (Print)'!E25=DATE(1900,1,0),DATE(1900,1,1),'Samples (Print)'!E25)</f>
        <v>1</v>
      </c>
      <c r="D728" s="319">
        <f>IF('IWP21'!FiscalReviewFirstMonth =DATE(1900,1,0),DATE(1900,1,1),'IWP21'!FiscalReviewFirstMonth)</f>
        <v>1</v>
      </c>
      <c r="E728" s="319">
        <f>IF('IWP22'!FiscalReviewSecondMonth =DATE(1900,1,0),DATE(1900,1,1),'IWP22'!FiscalReviewSecondMonth)</f>
        <v>1</v>
      </c>
      <c r="F728" s="13">
        <f>'IWP21'!SampleNumber</f>
        <v>21</v>
      </c>
      <c r="G728" s="13">
        <f ca="1">'IWP21'!ClientID</f>
        <v>0</v>
      </c>
      <c r="H728" s="283"/>
      <c r="I728" s="283"/>
      <c r="J728" s="151" t="str">
        <f ca="1">IF('IWP21'!ContractNumber = 0, "", 'IWP21'!ContractNumber)</f>
        <v/>
      </c>
      <c r="K728" s="151" t="str">
        <f ca="1">IF('IWP21'!ContractType = 0, "", 'IWP21'!ContractType)</f>
        <v/>
      </c>
      <c r="L728" s="151" t="str">
        <f>IF('IWP21'!CompletedByLastName = 0, "", 'IWP21'!CompletedByLastName)</f>
        <v/>
      </c>
      <c r="M728" s="151" t="str">
        <f>IF('IWP21'!CompletedByFirstName = 0, "", 'IWP21'!CompletedByFirstName)</f>
        <v/>
      </c>
      <c r="N728" s="157">
        <f>IF('IWP21'!DateCompleted =DATE(1900,1,0),DATE(1900,1,1),'IWP21'!DateCompleted)</f>
        <v>1</v>
      </c>
      <c r="O728" s="151" t="str">
        <f>IF('IWP21'!Std3NotCalc = 0, "", 'IWP21'!Std3NotCalc)</f>
        <v/>
      </c>
      <c r="P728" s="157">
        <f>IF('IWP21'!Std3dot1DateOfAdmission =DATE(1900,1,0),DATE(1900,1,1),'IWP21'!Std3dot1DateOfAdmission)</f>
        <v>1</v>
      </c>
      <c r="Q728" s="151" t="str">
        <f>IF('IWP21'!Std3dot1a = 0, "", 'IWP21'!Std3dot1a)</f>
        <v/>
      </c>
      <c r="R728" s="151" t="str">
        <f>IF('IWP21'!Std3dot1b = 0, "", 'IWP21'!Std3dot1b)</f>
        <v/>
      </c>
      <c r="S728" s="151" t="str">
        <f>IF('IWP21'!Std3dot1c = 0, "", 'IWP21'!Std3dot1c)</f>
        <v>NA</v>
      </c>
      <c r="T728" s="151" t="str">
        <f>IF('IWP21'!Std3dot1 = 0, "", 'IWP21'!Std3dot1)</f>
        <v/>
      </c>
      <c r="U728" s="151" t="str">
        <f>IF('IWP21'!Std3dot2a = 0, "", 'IWP21'!Std3dot2a)</f>
        <v/>
      </c>
      <c r="V728" s="151" t="str">
        <f>IF('IWP21'!Std3dot2b = 0, "", 'IWP21'!Std3dot2b)</f>
        <v/>
      </c>
      <c r="W728" s="151" t="str">
        <f>IF('IWP21'!Std3dot2c = 0, "", 'IWP21'!Std3dot2c)</f>
        <v/>
      </c>
      <c r="X728" s="151" t="str">
        <f>IF('IWP21'!Std3dot2 = 0, "", 'IWP21'!Std3dot2)</f>
        <v/>
      </c>
      <c r="Y728" s="151" t="str">
        <f>IF('IWP21'!Std4dot1Month1 = 0, "", 'IWP21'!Std4dot1Month1)</f>
        <v/>
      </c>
      <c r="Z728" s="157">
        <f>IF('IWP21'!Std4dot1Month1Date =DATE(1900,1,0),DATE(1900,1,1),'IWP21'!Std4dot1Month1Date)</f>
        <v>1</v>
      </c>
      <c r="AA728" s="151" t="str">
        <f>IF('IWP21'!Std4dot1Month2 = 0, "", 'IWP21'!Std4dot1Month2)</f>
        <v/>
      </c>
      <c r="AB728" s="157">
        <f>IF('IWP21'!Std4dot1Month2Date =DATE(1900,1,0),DATE(1900,1,1),'IWP21'!Std4dot1Month2Date)</f>
        <v>1</v>
      </c>
      <c r="AC728" s="151" t="str">
        <f>IF('IWP21'!Std4dot1 = 0, "", 'IWP21'!Std4dot1)</f>
        <v/>
      </c>
      <c r="AD728" s="151" t="str">
        <f>IF('IWP21'!Std4dot2NotCalc = 0, "", 'IWP21'!Std4dot2NotCalc)</f>
        <v/>
      </c>
      <c r="AE728" s="151" t="str">
        <f>IF('IWP21'!Std4dot2 = 0, "", 'IWP21'!Std4dot2)</f>
        <v/>
      </c>
      <c r="AF728" s="151" t="str">
        <f>IF('IWP21'!Std4dot3 = 0, "", 'IWP21'!Std4dot3)</f>
        <v/>
      </c>
      <c r="AG728" s="151" t="str">
        <f>IF('IWP21'!Std4dot4 = 0, "", 'IWP21'!Std4dot4)</f>
        <v/>
      </c>
      <c r="AH728" s="151" t="str">
        <f>IF('IWP21'!Std5NotCalc = 0, "", 'IWP21'!Std5NotCalc)</f>
        <v/>
      </c>
      <c r="AI728" s="151" t="str">
        <f>IF('IWP21'!Std5dot1 = 0, "", 'IWP21'!Std5dot1)</f>
        <v/>
      </c>
      <c r="AJ728" s="151" t="str">
        <f>IF('IWP21'!Std7dot1NotCalc = 0, "", 'IWP21'!Std7dot1NotCalc)</f>
        <v/>
      </c>
      <c r="AK728" s="151" t="str">
        <f>IF('IWP21'!Std7dot1NotCalc = 0, "", 'IWP21'!Std7dot1NotCalc)</f>
        <v/>
      </c>
      <c r="AL728" s="155">
        <f>'IWP21'!Std7dot1BalPerCshLog</f>
        <v>0</v>
      </c>
      <c r="AM728" s="155">
        <f>'IWP21'!Std7dot1LessAdj</f>
        <v>0</v>
      </c>
      <c r="AN728" s="155">
        <f>'IWP21'!Std7dot1AdjBal</f>
        <v>0</v>
      </c>
      <c r="AO728" s="155">
        <f>'IWP21'!Std7dot1CshOnHand</f>
        <v>0</v>
      </c>
      <c r="AP728" s="155">
        <f>'IWP21'!Std7dot1PtyCshOvrShrt</f>
        <v>0</v>
      </c>
      <c r="AQ728" s="151" t="str">
        <f>IF('IWP21'!Std7dot1OvrShrtCorr = 0, "", 'IWP21'!Std7dot1OvrShrtCorr)</f>
        <v/>
      </c>
      <c r="AR728" s="151" t="str">
        <f>IF('IWP21'!Std7dot1 = 0, "", 'IWP21'!Std7dot1)</f>
        <v/>
      </c>
      <c r="AS728" s="151" t="str">
        <f>IF('IWP21'!Std9dot1aNotCalc = 0, "", 'IWP21'!Std9dot1aNotCalc)</f>
        <v/>
      </c>
      <c r="AT728" s="151" t="str">
        <f>IF('IWP21'!Std9dot1bNotCalc = 0, "", 'IWP21'!Std9dot1bNotCalc)</f>
        <v/>
      </c>
      <c r="AU728" s="157">
        <f>IF('IWP21'!Std9BalPerBnkStmtDt =DATE(1900,1,0),DATE(1900,1,1),'IWP21'!Std9BalPerBnkStmtDt)</f>
        <v>1</v>
      </c>
      <c r="AV728" s="155">
        <f>'IWP21'!Std9BalPerBnkStmt</f>
        <v>0</v>
      </c>
      <c r="AW728" s="155">
        <f>'IWP21'!Std9TotDepsInTrans</f>
        <v>0</v>
      </c>
      <c r="AX728" s="155">
        <f>'IWP21'!Std9TotOutsChks</f>
        <v>0</v>
      </c>
      <c r="AY728" s="155">
        <f>'IWP21'!Std9AdjBalPerBank</f>
        <v>0</v>
      </c>
      <c r="AZ728" s="157">
        <f>IF('IWP21'!Std9TotPtyCshIndvDt =DATE(1900,1,0),DATE(1900,1,1),'IWP21'!Std9TotPtyCshIndvDt)</f>
        <v>1</v>
      </c>
      <c r="BA728" s="155">
        <f>'IWP21'!Std9TotPtyCshIndv</f>
        <v>0</v>
      </c>
      <c r="BB728" s="155">
        <f>'IWP21'!Std9TotCshBnkAndHnd</f>
        <v>0</v>
      </c>
      <c r="BC728" s="157">
        <f>IF('IWP21'!Std9BalPerBksDt =DATE(1900,1,0),DATE(1900,1,1),'IWP21'!Std9BalPerBksDt)</f>
        <v>1</v>
      </c>
      <c r="BD728" s="155">
        <f>'IWP21'!Std9BalPerBks</f>
        <v>0</v>
      </c>
      <c r="BE728" s="155">
        <f>'IWP21'!Std9UnapplErndInt</f>
        <v>0</v>
      </c>
      <c r="BF728" s="155">
        <f>'IWP21'!Std9UnpstdRcptDsbrsmts</f>
        <v>0</v>
      </c>
      <c r="BG728" s="155">
        <f>'IWP21'!Std9NsfChks</f>
        <v>0</v>
      </c>
      <c r="BH728" s="155">
        <f>'IWP21'!Std9AdjBalPerBks</f>
        <v>0</v>
      </c>
      <c r="BI728" s="155">
        <f>'IWP21'!Std9TrstFndAcctOvrShrt</f>
        <v>0</v>
      </c>
      <c r="BJ728" s="151" t="str">
        <f>IF('IWP21'!Std9OvrShrtCorrctd = 0, "", 'IWP21'!Std9OvrShrtCorrctd)</f>
        <v/>
      </c>
      <c r="BK728" s="151" t="str">
        <f>IF('IWP21'!Std9ShrtUnreimbSvcChg = 0, "", 'IWP21'!Std9ShrtUnreimbSvcChg)</f>
        <v/>
      </c>
      <c r="BL728" s="151" t="str">
        <f>IF('IWP21'!Std9dot1 = 0, "", 'IWP21'!Std9dot1)</f>
        <v/>
      </c>
      <c r="BM728" s="151" t="str">
        <f>IF('IWP21'!Std10dot1NotCalc = 0, "", 'IWP21'!Std10dot1NotCalc)</f>
        <v/>
      </c>
      <c r="BN728" s="319">
        <f>IF('IWP21'!FiscalReviewFirstMonth =DATE(1900,1,0),DATE(1900,1,1),'IWP21'!FiscalReviewFirstMonth)</f>
        <v>1</v>
      </c>
      <c r="BO728" s="155">
        <f>'IWP21'!Std10dot1TotalAmt1</f>
        <v>0</v>
      </c>
      <c r="BP728" s="319">
        <f>IF('IWP21'!FiscalReviewSecondMonth =DATE(1900,1,0),DATE(1900,1,1),'IWP21'!FiscalReviewSecondMonth)</f>
        <v>1</v>
      </c>
      <c r="BQ728" s="155">
        <f>'IWP21'!Std10dot1TotalAmt2</f>
        <v>0</v>
      </c>
      <c r="BR728" s="151" t="str">
        <f>IF('IWP21'!Std10dot1 = 0, "", 'IWP21'!Std10dot1)</f>
        <v/>
      </c>
      <c r="BS728" s="151" t="str">
        <f>IF('IWP21'!Std10dot2NotCalc = 0, "", 'IWP21'!Std10dot2NotCalc)</f>
        <v/>
      </c>
      <c r="BT728" s="319">
        <f>IF('IWP21'!FiscalReviewFirstMonth =DATE(1900,1,0),DATE(1900,1,1),'IWP21'!FiscalReviewFirstMonth)</f>
        <v>1</v>
      </c>
      <c r="BU728" s="155">
        <f>'IWP21'!Std10dot2BankChgs1</f>
        <v>0</v>
      </c>
      <c r="BV728" s="319">
        <f>IF('IWP21'!FiscalReviewSecondMonth =DATE(1900,1,0),DATE(1900,1,1),'IWP21'!FiscalReviewSecondMonth)</f>
        <v>1</v>
      </c>
      <c r="BW728" s="155">
        <f>'IWP21'!Std10dot2BankChgs2</f>
        <v>0</v>
      </c>
      <c r="BX728" s="151" t="str">
        <f>IF('IWP21'!Std10dot2 = 0, "", 'IWP21'!Std10dot2)</f>
        <v/>
      </c>
      <c r="BY728" s="151" t="str">
        <f>IF('IWP21'!Std10dot3NotCalc = 0, "", 'IWP21'!Std10dot3NotCalc)</f>
        <v/>
      </c>
      <c r="BZ728" s="151" t="str">
        <f>IF('IWP21'!Std10dot3 = 0, "", 'IWP21'!Std10dot3)</f>
        <v/>
      </c>
      <c r="CA728" s="151" t="str">
        <f>IF('IWP21'!Std10dot4NotCalc = 0, "", 'IWP21'!Std10dot4NotCalc)</f>
        <v/>
      </c>
      <c r="CB728" s="151" t="str">
        <f>IF('IWP21'!Std10dot4 = 0, "", 'IWP21'!Std10dot4)</f>
        <v/>
      </c>
      <c r="CC728" s="151" t="str">
        <f>IF('IWP21'!Std10dot5 = 0, "", 'IWP21'!Std10dot5)</f>
        <v/>
      </c>
      <c r="CD728" s="151" t="str">
        <f>IF('IWP21'!Std10dot6NotCalc = 0, "", 'IWP21'!Std10dot6NotCalc)</f>
        <v/>
      </c>
      <c r="CE728" s="157">
        <f>IF('IWP21'!Std10dot6DateOfDeathDischarge =DATE(1900,1,0),DATE(1900,1,1),'IWP21'!Std10dot6DateOfDeathDischarge)</f>
        <v>1</v>
      </c>
      <c r="CF728" s="151" t="str">
        <f>IF('IWP21'!Std10dot6DthDschg = 0, "", 'IWP21'!Std10dot6DthDschg)</f>
        <v/>
      </c>
      <c r="CG728" s="155">
        <f>'IWP21'!Std10dot6TrustFundAmtDue</f>
        <v>0</v>
      </c>
      <c r="CH728" s="155">
        <f>'IWP21'!Std10dot6IndvPtyCshAmtDue</f>
        <v>0</v>
      </c>
      <c r="CI728" s="155">
        <f>'IWP21'!Std10dot6TotRfndDue</f>
        <v>0</v>
      </c>
      <c r="CJ728" s="155">
        <f>'IWP21'!Std10dot6AmtRfnd</f>
        <v>0</v>
      </c>
      <c r="CK728" s="155">
        <f>'IWP21'!Std10dot6DminusE</f>
        <v>0</v>
      </c>
      <c r="CL728" s="151" t="str">
        <f>IF('IWP21'!Std10dot6LastName = 0, "", 'IWP21'!Std10dot6LastName)</f>
        <v/>
      </c>
      <c r="CM728" s="151" t="str">
        <f>IF('IWP21'!Std10dot6FirstName = 0, "", 'IWP21'!Std10dot6FirstName)</f>
        <v/>
      </c>
      <c r="CN728" s="157">
        <f>IF('IWP21'!Std10dot6DateOfRefund =DATE(1900,1,0),DATE(1900,1,1),'IWP21'!Std10dot6DateOfRefund)</f>
        <v>1</v>
      </c>
      <c r="CO728" s="151" t="str">
        <f>IF('IWP21'!Std10dot6a = 0, "", 'IWP21'!Std10dot6a)</f>
        <v/>
      </c>
      <c r="CP728" s="151" t="str">
        <f>IF('IWP21'!Std10dot6b = 0, "", 'IWP21'!Std10dot6b)</f>
        <v/>
      </c>
      <c r="CQ728" s="151" t="str">
        <f>IF('IWP21'!Std10dot6c = 0, "", 'IWP21'!Std10dot6c)</f>
        <v/>
      </c>
      <c r="CR728" s="151" t="str">
        <f>IF('IWP21'!Std10dot6 = "", "", 'IWP21'!Std10dot6)</f>
        <v/>
      </c>
      <c r="CS728" s="151" t="str">
        <f>IF('IWP21'!Std11dot1aNotCalc = 0, "", 'IWP21'!Std11dot1aNotCalc)</f>
        <v/>
      </c>
      <c r="CT728" s="151" t="str">
        <f>IF('IWP21'!Std11dot1bNotCalc = 0, "", 'IWP21'!Std11dot1bNotCalc)</f>
        <v>N</v>
      </c>
      <c r="CU728" s="151" t="str">
        <f>IF('IWP21'!Std11dot1cNotCalc = 0, "", 'IWP21'!Std11dot1cNotCalc)</f>
        <v>N</v>
      </c>
      <c r="CV728" s="151" t="str">
        <f>IF('IWP21'!Std11dot1dNotCalc = 0, "", 'IWP21'!Std11dot1dNotCalc)</f>
        <v/>
      </c>
      <c r="CW728" s="151" t="str">
        <f>IF('IWP21'!Std11dot1eNotCalc = 0, "", 'IWP21'!Std11dot1eNotCalc)</f>
        <v/>
      </c>
      <c r="CX728" s="151" t="str">
        <f>IF('IWP21'!Std11dot1fNotCalc = 0, "", 'IWP21'!Std11dot1fNotCalc)</f>
        <v/>
      </c>
      <c r="CY728" s="151" t="str">
        <f>IF('IWP21'!Std11dot1PrivateLivingSpace = 0, "", 'IWP21'!Std11dot1PrivateLivingSpace)</f>
        <v/>
      </c>
      <c r="CZ728" s="155">
        <f>'IWP21'!Std11dot1LivingWidth</f>
        <v>0</v>
      </c>
      <c r="DA728" s="155">
        <f>'IWP21'!Std11dot1LivingLength</f>
        <v>0</v>
      </c>
      <c r="DB728" s="155">
        <f>IF('IWP21'!Std11dot1LivingSqFt = "", MINVALDBL, 'IWP21'!Std11dot1LivingSqFt)</f>
        <v>-99999.99</v>
      </c>
      <c r="DC728" s="151" t="str">
        <f>IF('IWP21'!Std11dot1PrivateLivingSpace = 0, "", 'IWP21'!Std11dot1PrivateLivingSpace)</f>
        <v/>
      </c>
      <c r="DD728" s="155">
        <f>'IWP21'!Std11dot1LivingWidth</f>
        <v>0</v>
      </c>
      <c r="DE728" s="155">
        <f>'IWP21'!Std11dot1LivingLength</f>
        <v>0</v>
      </c>
      <c r="DF728" s="155">
        <f>IF('IWP21'!Std11dot1LivingSqFt = "", MINVALDBL, 'IWP21'!Std11dot1LivingSqFt)</f>
        <v>-99999.99</v>
      </c>
      <c r="DG728" s="151" t="str">
        <f>IF('IWP21'!Std11dot1PrivateBedSpace = 0, "", 'IWP21'!Std11dot1PrivateBedSpace)</f>
        <v/>
      </c>
      <c r="DH728" s="155">
        <f>'IWP21'!Std11dot1BdrmWidth</f>
        <v>0</v>
      </c>
      <c r="DI728" s="155">
        <f>'IWP21'!Std11dot1BdrmLength</f>
        <v>0</v>
      </c>
      <c r="DJ728" s="155">
        <f>IF('IWP21'!Std11dot1BdrmSqFt = "", MINVALDBL, 'IWP21'!Std11dot1BdrmSqFt)</f>
        <v>-99999.99</v>
      </c>
      <c r="DK728" s="151" t="str">
        <f>IF('IWP21'!Std11dot1PrivateStorageSpace = 0, "", 'IWP21'!Std11dot1PrivateStorageSpace)</f>
        <v/>
      </c>
      <c r="DL728" s="155">
        <f>'IWP21'!Std11dot1StorageWidth</f>
        <v>0</v>
      </c>
      <c r="DM728" s="155">
        <f>'IWP21'!Std11dot1StorageLength</f>
        <v>0</v>
      </c>
      <c r="DN728" s="155">
        <f>IF('IWP21'!Std11dot1StorageSqFt = "", 0, 'IWP21'!Std11dot1StorageSqFt)</f>
        <v>0</v>
      </c>
      <c r="DO728" s="151" t="str">
        <f>IF('IWP21'!Std11dot1PrivateKitchenSpace = 0, "", 'IWP21'!Std11dot1PrivateKitchenSpace)</f>
        <v/>
      </c>
      <c r="DP728" s="155">
        <f>'IWP21'!Std11dot1KitchenWidth</f>
        <v>0</v>
      </c>
      <c r="DQ728" s="155">
        <f>'IWP21'!Std11dot1KitchenLength</f>
        <v>0</v>
      </c>
      <c r="DR728" s="155">
        <f>IF('IWP21'!Std11dot1KitchenSqFt = "", MINVALDBL, 'IWP21'!Std11dot1KitchenSqFt)</f>
        <v>-99999.99</v>
      </c>
      <c r="DS728" s="151" t="str">
        <f>IF('IWP21'!Std11dot1KitchenSink = 0, "", 'IWP21'!Std11dot1KitchenSink)</f>
        <v/>
      </c>
      <c r="DT728" s="151" t="str">
        <f>IF('IWP21'!Std11dot1Refrigerator = 0, "", 'IWP21'!Std11dot1Refrigerator)</f>
        <v/>
      </c>
      <c r="DU728" s="151" t="str">
        <f>IF('IWP21'!Std11dot1StoveMicrowave = 0, "", 'IWP21'!Std11dot1StoveMicrowave)</f>
        <v/>
      </c>
      <c r="DV728" s="151" t="str">
        <f>IF('IWP21'!Std11dot1SeparateBath = 0, "", 'IWP21'!Std11dot1SeparateBath)</f>
        <v/>
      </c>
      <c r="DW728" s="151" t="str">
        <f>IF('IWP21'!Std11dot1BathSink = 0, "", 'IWP21'!Std11dot1BathSink)</f>
        <v/>
      </c>
      <c r="DX728" s="151" t="str">
        <f>IF('IWP21'!Std11dot1ShowerTubAccessible = 0, "", 'IWP21'!Std11dot1ShowerTubAccessible)</f>
        <v/>
      </c>
      <c r="DY728" s="155">
        <f>'IWP21'!Std11dot1TotalPrivateSpace</f>
        <v>0</v>
      </c>
      <c r="DZ728" s="155">
        <f>'IWP21'!Std11dot1PrivateSpaceSquareFootagePerResident</f>
        <v>0</v>
      </c>
      <c r="EA728" s="155">
        <f>IF('IWP21'!Std11dot1TotalSquareFootagePerResident = "", MINVALDBL, 'IWP21'!Std11dot1TotalSquareFootagePerResident)</f>
        <v>-99999.99</v>
      </c>
      <c r="EB728" s="155">
        <f>'IWP21'!Std11dot1UseableCommonAreaSquareFootage</f>
        <v>0</v>
      </c>
      <c r="EC728" s="155">
        <f>'IWP21'!Std11dot1LicensedCapacity</f>
        <v>0</v>
      </c>
      <c r="ED728" s="155">
        <f>IF('IWP21'!Std11dot1CommonAreaSquareFootagePerResident = "", MINVALDBL, 'IWP21'!Std11dot1CommonAreaSquareFootagePerResident)</f>
        <v>-99999.99</v>
      </c>
      <c r="EE728" s="151" t="str">
        <f>IF('IWP21'!Std11dot1a = 0, "", 'IWP21'!Std11dot1a)</f>
        <v/>
      </c>
      <c r="EF728" s="151" t="str">
        <f>IF('IWP21'!Std11dot1b = 0, "", 'IWP21'!Std11dot1b)</f>
        <v/>
      </c>
      <c r="EG728" s="151" t="str">
        <f>IF('IWP21'!Std11dot1c = 0, "", 'IWP21'!Std11dot1c)</f>
        <v/>
      </c>
      <c r="EH728" s="151" t="str">
        <f>IF('IWP21'!Std11dot1d = 0, "", 'IWP21'!Std11dot1d)</f>
        <v/>
      </c>
      <c r="EI728" s="151" t="str">
        <f>IF('IWP21'!Std11dot1e = 0, "", 'IWP21'!Std11dot1e)</f>
        <v/>
      </c>
      <c r="EJ728" s="151" t="str">
        <f>IF('IWP21'!Std11dot1f = 0, "", 'IWP21'!Std11dot1f)</f>
        <v/>
      </c>
      <c r="EK728" s="151" t="str">
        <f>IF('IWP21'!Std11dot1g = 0, "", 'IWP21'!Std11dot1g)</f>
        <v/>
      </c>
      <c r="EL728" s="151" t="str">
        <f>IF('IWP21'!Std11dot1h = 0, "", 'IWP21'!Std11dot1h)</f>
        <v/>
      </c>
      <c r="EM728" s="151" t="str">
        <f>IF('IWP21'!Std11dot1i = 0, "", 'IWP21'!Std11dot1i)</f>
        <v/>
      </c>
      <c r="EN728" s="151" t="str">
        <f>IF('IWP21'!Std11dot1j = 0, "", 'IWP21'!Std11dot1j)</f>
        <v/>
      </c>
      <c r="EO728" s="151" t="str">
        <f>IF('IWP21'!Std11dot1k = 0, "", 'IWP21'!Std11dot1k)</f>
        <v/>
      </c>
      <c r="EP728" s="151" t="str">
        <f>IF('IWP21'!Std11dot1 = 0, "", 'IWP21'!Std11dot1)</f>
        <v/>
      </c>
      <c r="EQ728" s="151" t="str">
        <f>IF('IWP21'!Std11dot2 = 0, "", 'IWP21'!Std11dot2)</f>
        <v/>
      </c>
      <c r="ER728" s="151" t="str">
        <f>IF('IWP21'!Std11dot3 = 0, "", 'IWP21'!Std11dot3)</f>
        <v/>
      </c>
      <c r="ES728" s="151" t="str">
        <f>IF('IWP21'!Std11dot4 = 0, "", 'IWP21'!Std11dot4)</f>
        <v>NA</v>
      </c>
      <c r="ET728" s="157">
        <f>IF('IWP21'!$A$363=DATE(1900,1,0), DATE(1900,1,1), 'IWP21'!$A$363)</f>
        <v>1</v>
      </c>
      <c r="EU728" s="155">
        <f>'IWP21'!$C$363</f>
        <v>0</v>
      </c>
      <c r="EV728" s="155">
        <f>'IWP21'!$E$363</f>
        <v>0</v>
      </c>
      <c r="EW728" s="157">
        <f>IF('IWP21'!$G$363=DATE(1900,1,0), DATE(1900,1,1), 'IWP21'!$G$363)</f>
        <v>1</v>
      </c>
      <c r="EX728" s="155">
        <f>'IWP21'!$I$363</f>
        <v>0</v>
      </c>
      <c r="EY728" s="155">
        <f>'IWP21'!$K$363</f>
        <v>0</v>
      </c>
      <c r="EZ728" s="157">
        <f>IF('IWP21'!$M$363=DATE(1900,1,0), DATE(1900,1,1), 'IWP21'!$M$363)</f>
        <v>1</v>
      </c>
      <c r="FA728" s="151" t="str">
        <f>IF('IWP21'!$O$363 = 0, "", 'IWP21'!$O$363)</f>
        <v/>
      </c>
      <c r="FB728" s="151" t="str">
        <f>IF('IWP21'!$Q$363 = 0, "", 'IWP21'!$Q$363)</f>
        <v/>
      </c>
      <c r="FC728" s="151" t="str">
        <f>IF('IWP21'!Std11dot5a = 0, "", 'IWP21'!Std11dot5a)</f>
        <v/>
      </c>
      <c r="FD728" s="151" t="str">
        <f>IF('IWP21'!Std11dot5b = 0, "", 'IWP21'!Std11dot5b)</f>
        <v/>
      </c>
      <c r="FE728" s="151" t="str">
        <f>IF('IWP21'!Std11dot5ci = 0, "", 'IWP21'!Std11dot5ci)</f>
        <v>NA</v>
      </c>
      <c r="FF728" s="151" t="str">
        <f>IF('IWP21'!Std11dot5cii = 0, "", 'IWP21'!Std11dot5cii)</f>
        <v>NA</v>
      </c>
      <c r="FG728" s="151" t="str">
        <f>IF('IWP21'!Std11dot5 = 0, "", 'IWP21'!Std11dot5)</f>
        <v/>
      </c>
      <c r="FH728" s="207" t="str">
        <f>IF('IWP21'!Std11dot1AptGrandFthr = "", "", 'IWP21'!Std11dot1AptGrandFthr)</f>
        <v/>
      </c>
    </row>
    <row r="729" spans="1:164">
      <c r="A729" s="206" t="s">
        <v>1325</v>
      </c>
      <c r="B729" s="157">
        <f>IF('Samples (Print)'!D26=DATE(1900,1,0),DATE(1900,1,1),'Samples (Print)'!D26)</f>
        <v>1</v>
      </c>
      <c r="C729" s="157">
        <f>IF('Samples (Print)'!E26=DATE(1900,1,0),DATE(1900,1,1),'Samples (Print)'!E26)</f>
        <v>1</v>
      </c>
      <c r="D729" s="319">
        <f>IF('IWP22'!FiscalReviewFirstMonth =DATE(1900,1,0),DATE(1900,1,1),'IWP22'!FiscalReviewFirstMonth)</f>
        <v>1</v>
      </c>
      <c r="E729" s="319">
        <f>IF('IWP22'!FiscalReviewSecondMonth =DATE(1900,1,0),DATE(1900,1,1),'IWP22'!FiscalReviewSecondMonth)</f>
        <v>1</v>
      </c>
      <c r="F729" s="13">
        <f>'IWP22'!SampleNumber</f>
        <v>22</v>
      </c>
      <c r="G729" s="13">
        <f ca="1">'IWP22'!ClientID</f>
        <v>0</v>
      </c>
      <c r="H729" s="283"/>
      <c r="I729" s="283"/>
      <c r="J729" s="151" t="str">
        <f ca="1">IF('IWP22'!ContractNumber = 0, "", 'IWP22'!ContractNumber)</f>
        <v/>
      </c>
      <c r="K729" s="151" t="str">
        <f ca="1">IF('IWP22'!ContractType = 0, "", 'IWP22'!ContractType)</f>
        <v/>
      </c>
      <c r="L729" s="151" t="str">
        <f>IF('IWP22'!CompletedByLastName = 0, "", 'IWP22'!CompletedByLastName)</f>
        <v/>
      </c>
      <c r="M729" s="151" t="str">
        <f>IF('IWP22'!CompletedByFirstName = 0, "", 'IWP22'!CompletedByFirstName)</f>
        <v/>
      </c>
      <c r="N729" s="157">
        <f>IF('IWP22'!DateCompleted =DATE(1900,1,0),DATE(1900,1,1),'IWP22'!DateCompleted)</f>
        <v>1</v>
      </c>
      <c r="O729" s="151" t="str">
        <f>IF('IWP22'!Std3NotCalc = 0, "", 'IWP22'!Std3NotCalc)</f>
        <v/>
      </c>
      <c r="P729" s="157">
        <f>IF('IWP22'!Std3dot1DateOfAdmission =DATE(1900,1,0),DATE(1900,1,1),'IWP22'!Std3dot1DateOfAdmission)</f>
        <v>1</v>
      </c>
      <c r="Q729" s="151" t="str">
        <f>IF('IWP22'!Std3dot1a = 0, "", 'IWP22'!Std3dot1a)</f>
        <v/>
      </c>
      <c r="R729" s="151" t="str">
        <f>IF('IWP22'!Std3dot1b = 0, "", 'IWP22'!Std3dot1b)</f>
        <v/>
      </c>
      <c r="S729" s="151" t="str">
        <f>IF('IWP22'!Std3dot1c = 0, "", 'IWP22'!Std3dot1c)</f>
        <v>NA</v>
      </c>
      <c r="T729" s="151" t="str">
        <f>IF('IWP22'!Std3dot1 = 0, "", 'IWP22'!Std3dot1)</f>
        <v/>
      </c>
      <c r="U729" s="151" t="str">
        <f>IF('IWP22'!Std3dot2a = 0, "", 'IWP22'!Std3dot2a)</f>
        <v/>
      </c>
      <c r="V729" s="151" t="str">
        <f>IF('IWP22'!Std3dot2b = 0, "", 'IWP22'!Std3dot2b)</f>
        <v/>
      </c>
      <c r="W729" s="151" t="str">
        <f>IF('IWP22'!Std3dot2c = 0, "", 'IWP22'!Std3dot2c)</f>
        <v/>
      </c>
      <c r="X729" s="151" t="str">
        <f>IF('IWP22'!Std3dot2 = 0, "", 'IWP22'!Std3dot2)</f>
        <v/>
      </c>
      <c r="Y729" s="151" t="str">
        <f>IF('IWP22'!Std4dot1Month1 = 0, "", 'IWP22'!Std4dot1Month1)</f>
        <v/>
      </c>
      <c r="Z729" s="157">
        <f>IF('IWP22'!Std4dot1Month1Date =DATE(1900,1,0),DATE(1900,1,1),'IWP22'!Std4dot1Month1Date)</f>
        <v>1</v>
      </c>
      <c r="AA729" s="151" t="str">
        <f>IF('IWP22'!Std4dot1Month2 = 0, "", 'IWP22'!Std4dot1Month2)</f>
        <v/>
      </c>
      <c r="AB729" s="157">
        <f>IF('IWP22'!Std4dot1Month2Date =DATE(1900,1,0),DATE(1900,1,1),'IWP22'!Std4dot1Month2Date)</f>
        <v>1</v>
      </c>
      <c r="AC729" s="151" t="str">
        <f>IF('IWP22'!Std4dot1 = 0, "", 'IWP22'!Std4dot1)</f>
        <v/>
      </c>
      <c r="AD729" s="151" t="str">
        <f>IF('IWP22'!Std4dot2NotCalc = 0, "", 'IWP22'!Std4dot2NotCalc)</f>
        <v/>
      </c>
      <c r="AE729" s="151" t="str">
        <f>IF('IWP22'!Std4dot2 = 0, "", 'IWP22'!Std4dot2)</f>
        <v/>
      </c>
      <c r="AF729" s="151" t="str">
        <f>IF('IWP22'!Std4dot3 = 0, "", 'IWP22'!Std4dot3)</f>
        <v/>
      </c>
      <c r="AG729" s="151" t="str">
        <f>IF('IWP22'!Std4dot4 = 0, "", 'IWP22'!Std4dot4)</f>
        <v/>
      </c>
      <c r="AH729" s="151" t="str">
        <f>IF('IWP22'!Std5NotCalc = 0, "", 'IWP22'!Std5NotCalc)</f>
        <v/>
      </c>
      <c r="AI729" s="151" t="str">
        <f>IF('IWP22'!Std5dot1 = 0, "", 'IWP22'!Std5dot1)</f>
        <v/>
      </c>
      <c r="AJ729" s="151" t="str">
        <f>IF('IWP22'!Std7dot1NotCalc = 0, "", 'IWP22'!Std7dot1NotCalc)</f>
        <v/>
      </c>
      <c r="AK729" s="151" t="str">
        <f>IF('IWP22'!Std7dot1NotCalc = 0, "", 'IWP22'!Std7dot1NotCalc)</f>
        <v/>
      </c>
      <c r="AL729" s="155">
        <f>'IWP22'!Std7dot1BalPerCshLog</f>
        <v>0</v>
      </c>
      <c r="AM729" s="155">
        <f>'IWP22'!Std7dot1LessAdj</f>
        <v>0</v>
      </c>
      <c r="AN729" s="155">
        <f>'IWP22'!Std7dot1AdjBal</f>
        <v>0</v>
      </c>
      <c r="AO729" s="155">
        <f>'IWP22'!Std7dot1CshOnHand</f>
        <v>0</v>
      </c>
      <c r="AP729" s="155">
        <f>'IWP22'!Std7dot1PtyCshOvrShrt</f>
        <v>0</v>
      </c>
      <c r="AQ729" s="151" t="str">
        <f>IF('IWP22'!Std7dot1OvrShrtCorr = 0, "", 'IWP22'!Std7dot1OvrShrtCorr)</f>
        <v/>
      </c>
      <c r="AR729" s="151" t="str">
        <f>IF('IWP22'!Std7dot1 = 0, "", 'IWP22'!Std7dot1)</f>
        <v/>
      </c>
      <c r="AS729" s="151" t="str">
        <f>IF('IWP22'!Std9dot1aNotCalc = 0, "", 'IWP22'!Std9dot1aNotCalc)</f>
        <v/>
      </c>
      <c r="AT729" s="151" t="str">
        <f>IF('IWP22'!Std9dot1bNotCalc = 0, "", 'IWP22'!Std9dot1bNotCalc)</f>
        <v/>
      </c>
      <c r="AU729" s="157">
        <f>IF('IWP22'!Std9BalPerBnkStmtDt =DATE(1900,1,0),DATE(1900,1,1),'IWP22'!Std9BalPerBnkStmtDt)</f>
        <v>1</v>
      </c>
      <c r="AV729" s="155">
        <f>'IWP22'!Std9BalPerBnkStmt</f>
        <v>0</v>
      </c>
      <c r="AW729" s="155">
        <f>'IWP22'!Std9TotDepsInTrans</f>
        <v>0</v>
      </c>
      <c r="AX729" s="155">
        <f>'IWP22'!Std9TotOutsChks</f>
        <v>0</v>
      </c>
      <c r="AY729" s="155">
        <f>'IWP22'!Std9AdjBalPerBank</f>
        <v>0</v>
      </c>
      <c r="AZ729" s="157">
        <f>IF('IWP22'!Std9TotPtyCshIndvDt =DATE(1900,1,0),DATE(1900,1,1),'IWP22'!Std9TotPtyCshIndvDt)</f>
        <v>1</v>
      </c>
      <c r="BA729" s="155">
        <f>'IWP22'!Std9TotPtyCshIndv</f>
        <v>0</v>
      </c>
      <c r="BB729" s="155">
        <f>'IWP22'!Std9TotCshBnkAndHnd</f>
        <v>0</v>
      </c>
      <c r="BC729" s="157">
        <f>IF('IWP22'!Std9BalPerBksDt =DATE(1900,1,0),DATE(1900,1,1),'IWP22'!Std9BalPerBksDt)</f>
        <v>1</v>
      </c>
      <c r="BD729" s="155">
        <f>'IWP22'!Std9BalPerBks</f>
        <v>0</v>
      </c>
      <c r="BE729" s="155">
        <f>'IWP22'!Std9UnapplErndInt</f>
        <v>0</v>
      </c>
      <c r="BF729" s="155">
        <f>'IWP22'!Std9UnpstdRcptDsbrsmts</f>
        <v>0</v>
      </c>
      <c r="BG729" s="155">
        <f>'IWP22'!Std9NsfChks</f>
        <v>0</v>
      </c>
      <c r="BH729" s="155">
        <f>'IWP22'!Std9AdjBalPerBks</f>
        <v>0</v>
      </c>
      <c r="BI729" s="155">
        <f>'IWP22'!Std9TrstFndAcctOvrShrt</f>
        <v>0</v>
      </c>
      <c r="BJ729" s="151" t="str">
        <f>IF('IWP22'!Std9OvrShrtCorrctd = 0, "", 'IWP22'!Std9OvrShrtCorrctd)</f>
        <v/>
      </c>
      <c r="BK729" s="151" t="str">
        <f>IF('IWP22'!Std9ShrtUnreimbSvcChg = 0, "", 'IWP22'!Std9ShrtUnreimbSvcChg)</f>
        <v/>
      </c>
      <c r="BL729" s="151" t="str">
        <f>IF('IWP22'!Std9dot1 = 0, "", 'IWP22'!Std9dot1)</f>
        <v/>
      </c>
      <c r="BM729" s="151" t="str">
        <f>IF('IWP22'!Std10dot1NotCalc = 0, "", 'IWP22'!Std10dot1NotCalc)</f>
        <v/>
      </c>
      <c r="BN729" s="319">
        <f>IF('IWP22'!FiscalReviewFirstMonth =DATE(1900,1,0),DATE(1900,1,1),'IWP22'!FiscalReviewFirstMonth)</f>
        <v>1</v>
      </c>
      <c r="BO729" s="155">
        <f>'IWP22'!Std10dot1TotalAmt1</f>
        <v>0</v>
      </c>
      <c r="BP729" s="319">
        <f>IF('IWP22'!FiscalReviewSecondMonth =DATE(1900,1,0),DATE(1900,1,1),'IWP22'!FiscalReviewSecondMonth)</f>
        <v>1</v>
      </c>
      <c r="BQ729" s="155">
        <f>'IWP22'!Std10dot1TotalAmt2</f>
        <v>0</v>
      </c>
      <c r="BR729" s="151" t="str">
        <f>IF('IWP22'!Std10dot1 = 0, "", 'IWP22'!Std10dot1)</f>
        <v/>
      </c>
      <c r="BS729" s="151" t="str">
        <f>IF('IWP22'!Std10dot2NotCalc = 0, "", 'IWP22'!Std10dot2NotCalc)</f>
        <v/>
      </c>
      <c r="BT729" s="319">
        <f>IF('IWP22'!FiscalReviewFirstMonth =DATE(1900,1,0),DATE(1900,1,1),'IWP22'!FiscalReviewFirstMonth)</f>
        <v>1</v>
      </c>
      <c r="BU729" s="155">
        <f>'IWP22'!Std10dot2BankChgs1</f>
        <v>0</v>
      </c>
      <c r="BV729" s="319">
        <f>IF('IWP22'!FiscalReviewSecondMonth =DATE(1900,1,0),DATE(1900,1,1),'IWP22'!FiscalReviewSecondMonth)</f>
        <v>1</v>
      </c>
      <c r="BW729" s="155">
        <f>'IWP22'!Std10dot2BankChgs2</f>
        <v>0</v>
      </c>
      <c r="BX729" s="151" t="str">
        <f>IF('IWP22'!Std10dot2 = 0, "", 'IWP22'!Std10dot2)</f>
        <v/>
      </c>
      <c r="BY729" s="151" t="str">
        <f>IF('IWP22'!Std10dot3NotCalc = 0, "", 'IWP22'!Std10dot3NotCalc)</f>
        <v/>
      </c>
      <c r="BZ729" s="151" t="str">
        <f>IF('IWP22'!Std10dot3 = 0, "", 'IWP22'!Std10dot3)</f>
        <v/>
      </c>
      <c r="CA729" s="151" t="str">
        <f>IF('IWP22'!Std10dot4NotCalc = 0, "", 'IWP22'!Std10dot4NotCalc)</f>
        <v/>
      </c>
      <c r="CB729" s="151" t="str">
        <f>IF('IWP22'!Std10dot4 = 0, "", 'IWP22'!Std10dot4)</f>
        <v/>
      </c>
      <c r="CC729" s="151" t="str">
        <f>IF('IWP22'!Std10dot5 = 0, "", 'IWP22'!Std10dot5)</f>
        <v/>
      </c>
      <c r="CD729" s="151" t="str">
        <f>IF('IWP22'!Std10dot6NotCalc = 0, "", 'IWP22'!Std10dot6NotCalc)</f>
        <v/>
      </c>
      <c r="CE729" s="157">
        <f>IF('IWP22'!Std10dot6DateOfDeathDischarge =DATE(1900,1,0),DATE(1900,1,1),'IWP22'!Std10dot6DateOfDeathDischarge)</f>
        <v>1</v>
      </c>
      <c r="CF729" s="151" t="str">
        <f>IF('IWP22'!Std10dot6DthDschg = 0, "", 'IWP22'!Std10dot6DthDschg)</f>
        <v/>
      </c>
      <c r="CG729" s="155">
        <f>'IWP22'!Std10dot6TrustFundAmtDue</f>
        <v>0</v>
      </c>
      <c r="CH729" s="155">
        <f>'IWP22'!Std10dot6IndvPtyCshAmtDue</f>
        <v>0</v>
      </c>
      <c r="CI729" s="155">
        <f>'IWP22'!Std10dot6TotRfndDue</f>
        <v>0</v>
      </c>
      <c r="CJ729" s="155">
        <f>'IWP22'!Std10dot6AmtRfnd</f>
        <v>0</v>
      </c>
      <c r="CK729" s="155">
        <f>'IWP22'!Std10dot6DminusE</f>
        <v>0</v>
      </c>
      <c r="CL729" s="151" t="str">
        <f>IF('IWP22'!Std10dot6LastName = 0, "", 'IWP22'!Std10dot6LastName)</f>
        <v/>
      </c>
      <c r="CM729" s="151" t="str">
        <f>IF('IWP22'!Std10dot6FirstName = 0, "", 'IWP22'!Std10dot6FirstName)</f>
        <v/>
      </c>
      <c r="CN729" s="157">
        <f>IF('IWP22'!Std10dot6DateOfRefund =DATE(1900,1,0),DATE(1900,1,1),'IWP22'!Std10dot6DateOfRefund)</f>
        <v>1</v>
      </c>
      <c r="CO729" s="151" t="str">
        <f>IF('IWP22'!Std10dot6a = 0, "", 'IWP22'!Std10dot6a)</f>
        <v/>
      </c>
      <c r="CP729" s="151" t="str">
        <f>IF('IWP22'!Std10dot6b = 0, "", 'IWP22'!Std10dot6b)</f>
        <v/>
      </c>
      <c r="CQ729" s="151" t="str">
        <f>IF('IWP22'!Std10dot6c = 0, "", 'IWP22'!Std10dot6c)</f>
        <v/>
      </c>
      <c r="CR729" s="151" t="str">
        <f>IF('IWP22'!Std10dot6 = "", "", 'IWP22'!Std10dot6)</f>
        <v/>
      </c>
      <c r="CS729" s="151" t="str">
        <f>IF('IWP22'!Std11dot1aNotCalc = 0, "", 'IWP22'!Std11dot1aNotCalc)</f>
        <v/>
      </c>
      <c r="CT729" s="151" t="str">
        <f>IF('IWP22'!Std11dot1bNotCalc = 0, "", 'IWP22'!Std11dot1bNotCalc)</f>
        <v>N</v>
      </c>
      <c r="CU729" s="151" t="str">
        <f>IF('IWP22'!Std11dot1cNotCalc = 0, "", 'IWP22'!Std11dot1cNotCalc)</f>
        <v>N</v>
      </c>
      <c r="CV729" s="151" t="str">
        <f>IF('IWP22'!Std11dot1dNotCalc = 0, "", 'IWP22'!Std11dot1dNotCalc)</f>
        <v/>
      </c>
      <c r="CW729" s="151" t="str">
        <f>IF('IWP22'!Std11dot1eNotCalc = 0, "", 'IWP22'!Std11dot1eNotCalc)</f>
        <v/>
      </c>
      <c r="CX729" s="151" t="str">
        <f>IF('IWP22'!Std11dot1fNotCalc = 0, "", 'IWP22'!Std11dot1fNotCalc)</f>
        <v/>
      </c>
      <c r="CY729" s="151" t="str">
        <f>IF('IWP22'!Std11dot1PrivateLivingSpace = 0, "", 'IWP22'!Std11dot1PrivateLivingSpace)</f>
        <v/>
      </c>
      <c r="CZ729" s="155">
        <f>'IWP22'!Std11dot1LivingWidth</f>
        <v>0</v>
      </c>
      <c r="DA729" s="155">
        <f>'IWP22'!Std11dot1LivingLength</f>
        <v>0</v>
      </c>
      <c r="DB729" s="155">
        <f>IF('IWP22'!Std11dot1LivingSqFt = "", MINVALDBL, 'IWP22'!Std11dot1LivingSqFt)</f>
        <v>-99999.99</v>
      </c>
      <c r="DC729" s="151" t="str">
        <f>IF('IWP22'!Std11dot1PrivateLivingSpace = 0, "", 'IWP22'!Std11dot1PrivateLivingSpace)</f>
        <v/>
      </c>
      <c r="DD729" s="155">
        <f>'IWP22'!Std11dot1LivingWidth</f>
        <v>0</v>
      </c>
      <c r="DE729" s="155">
        <f>'IWP22'!Std11dot1LivingLength</f>
        <v>0</v>
      </c>
      <c r="DF729" s="155">
        <f>IF('IWP22'!Std11dot1LivingSqFt = "", MINVALDBL, 'IWP22'!Std11dot1LivingSqFt)</f>
        <v>-99999.99</v>
      </c>
      <c r="DG729" s="151" t="str">
        <f>IF('IWP22'!Std11dot1PrivateBedSpace = 0, "", 'IWP22'!Std11dot1PrivateBedSpace)</f>
        <v/>
      </c>
      <c r="DH729" s="155">
        <f>'IWP22'!Std11dot1BdrmWidth</f>
        <v>0</v>
      </c>
      <c r="DI729" s="155">
        <f>'IWP22'!Std11dot1BdrmLength</f>
        <v>0</v>
      </c>
      <c r="DJ729" s="155">
        <f>IF('IWP22'!Std11dot1BdrmSqFt = "", MINVALDBL, 'IWP22'!Std11dot1BdrmSqFt)</f>
        <v>-99999.99</v>
      </c>
      <c r="DK729" s="151" t="str">
        <f>IF('IWP22'!Std11dot1PrivateStorageSpace = 0, "", 'IWP22'!Std11dot1PrivateStorageSpace)</f>
        <v/>
      </c>
      <c r="DL729" s="155">
        <f>'IWP22'!Std11dot1StorageWidth</f>
        <v>0</v>
      </c>
      <c r="DM729" s="155">
        <f>'IWP22'!Std11dot1StorageLength</f>
        <v>0</v>
      </c>
      <c r="DN729" s="155">
        <f>IF('IWP22'!Std11dot1StorageSqFt = "", 0, 'IWP22'!Std11dot1StorageSqFt)</f>
        <v>0</v>
      </c>
      <c r="DO729" s="151" t="str">
        <f>IF('IWP22'!Std11dot1PrivateKitchenSpace = 0, "", 'IWP22'!Std11dot1PrivateKitchenSpace)</f>
        <v/>
      </c>
      <c r="DP729" s="155">
        <f>'IWP22'!Std11dot1KitchenWidth</f>
        <v>0</v>
      </c>
      <c r="DQ729" s="155">
        <f>'IWP22'!Std11dot1KitchenLength</f>
        <v>0</v>
      </c>
      <c r="DR729" s="155">
        <f>IF('IWP22'!Std11dot1KitchenSqFt = "", MINVALDBL, 'IWP22'!Std11dot1KitchenSqFt)</f>
        <v>-99999.99</v>
      </c>
      <c r="DS729" s="151" t="str">
        <f>IF('IWP22'!Std11dot1KitchenSink = 0, "", 'IWP22'!Std11dot1KitchenSink)</f>
        <v/>
      </c>
      <c r="DT729" s="151" t="str">
        <f>IF('IWP22'!Std11dot1Refrigerator = 0, "", 'IWP22'!Std11dot1Refrigerator)</f>
        <v/>
      </c>
      <c r="DU729" s="151" t="str">
        <f>IF('IWP22'!Std11dot1StoveMicrowave = 0, "", 'IWP22'!Std11dot1StoveMicrowave)</f>
        <v/>
      </c>
      <c r="DV729" s="151" t="str">
        <f>IF('IWP22'!Std11dot1SeparateBath = 0, "", 'IWP22'!Std11dot1SeparateBath)</f>
        <v/>
      </c>
      <c r="DW729" s="151" t="str">
        <f>IF('IWP22'!Std11dot1BathSink = 0, "", 'IWP22'!Std11dot1BathSink)</f>
        <v/>
      </c>
      <c r="DX729" s="151" t="str">
        <f>IF('IWP22'!Std11dot1ShowerTubAccessible = 0, "", 'IWP22'!Std11dot1ShowerTubAccessible)</f>
        <v/>
      </c>
      <c r="DY729" s="155">
        <f>'IWP22'!Std11dot1TotalPrivateSpace</f>
        <v>0</v>
      </c>
      <c r="DZ729" s="155">
        <f>'IWP22'!Std11dot1PrivateSpaceSquareFootagePerResident</f>
        <v>0</v>
      </c>
      <c r="EA729" s="155">
        <f>IF('IWP22'!Std11dot1TotalSquareFootagePerResident = "", MINVALDBL, 'IWP22'!Std11dot1TotalSquareFootagePerResident)</f>
        <v>-99999.99</v>
      </c>
      <c r="EB729" s="155">
        <f>'IWP22'!Std11dot1UseableCommonAreaSquareFootage</f>
        <v>0</v>
      </c>
      <c r="EC729" s="155">
        <f>'IWP22'!Std11dot1LicensedCapacity</f>
        <v>0</v>
      </c>
      <c r="ED729" s="155">
        <f>IF('IWP22'!Std11dot1CommonAreaSquareFootagePerResident = "", MINVALDBL, 'IWP22'!Std11dot1CommonAreaSquareFootagePerResident)</f>
        <v>-99999.99</v>
      </c>
      <c r="EE729" s="151" t="str">
        <f>IF('IWP22'!Std11dot1a = 0, "", 'IWP22'!Std11dot1a)</f>
        <v/>
      </c>
      <c r="EF729" s="151" t="str">
        <f>IF('IWP22'!Std11dot1b = 0, "", 'IWP22'!Std11dot1b)</f>
        <v/>
      </c>
      <c r="EG729" s="151" t="str">
        <f>IF('IWP22'!Std11dot1c = 0, "", 'IWP22'!Std11dot1c)</f>
        <v/>
      </c>
      <c r="EH729" s="151" t="str">
        <f>IF('IWP22'!Std11dot1d = 0, "", 'IWP22'!Std11dot1d)</f>
        <v/>
      </c>
      <c r="EI729" s="151" t="str">
        <f>IF('IWP22'!Std11dot1e = 0, "", 'IWP22'!Std11dot1e)</f>
        <v/>
      </c>
      <c r="EJ729" s="151" t="str">
        <f>IF('IWP22'!Std11dot1f = 0, "", 'IWP22'!Std11dot1f)</f>
        <v/>
      </c>
      <c r="EK729" s="151" t="str">
        <f>IF('IWP22'!Std11dot1g = 0, "", 'IWP22'!Std11dot1g)</f>
        <v/>
      </c>
      <c r="EL729" s="151" t="str">
        <f>IF('IWP22'!Std11dot1h = 0, "", 'IWP22'!Std11dot1h)</f>
        <v/>
      </c>
      <c r="EM729" s="151" t="str">
        <f>IF('IWP22'!Std11dot1i = 0, "", 'IWP22'!Std11dot1i)</f>
        <v/>
      </c>
      <c r="EN729" s="151" t="str">
        <f>IF('IWP22'!Std11dot1j = 0, "", 'IWP22'!Std11dot1j)</f>
        <v/>
      </c>
      <c r="EO729" s="151" t="str">
        <f>IF('IWP22'!Std11dot1k = 0, "", 'IWP22'!Std11dot1k)</f>
        <v/>
      </c>
      <c r="EP729" s="151" t="str">
        <f>IF('IWP22'!Std11dot1 = 0, "", 'IWP22'!Std11dot1)</f>
        <v/>
      </c>
      <c r="EQ729" s="151" t="str">
        <f>IF('IWP22'!Std11dot2 = 0, "", 'IWP22'!Std11dot2)</f>
        <v/>
      </c>
      <c r="ER729" s="151" t="str">
        <f>IF('IWP22'!Std11dot3 = 0, "", 'IWP22'!Std11dot3)</f>
        <v/>
      </c>
      <c r="ES729" s="151" t="str">
        <f>IF('IWP22'!Std11dot4 = 0, "", 'IWP22'!Std11dot4)</f>
        <v>NA</v>
      </c>
      <c r="ET729" s="157">
        <f>IF('IWP22'!$A$363=DATE(1900,1,0), DATE(1900,1,1), 'IWP22'!$A$363)</f>
        <v>1</v>
      </c>
      <c r="EU729" s="155">
        <f>'IWP22'!$C$363</f>
        <v>0</v>
      </c>
      <c r="EV729" s="155">
        <f>'IWP22'!$E$363</f>
        <v>0</v>
      </c>
      <c r="EW729" s="157">
        <f>IF('IWP22'!$G$363=DATE(1900,1,0), DATE(1900,1,1), 'IWP22'!$G$363)</f>
        <v>1</v>
      </c>
      <c r="EX729" s="155">
        <f>'IWP22'!$I$363</f>
        <v>0</v>
      </c>
      <c r="EY729" s="155">
        <f>'IWP22'!$K$363</f>
        <v>0</v>
      </c>
      <c r="EZ729" s="157">
        <f>IF('IWP22'!$M$363=DATE(1900,1,0), DATE(1900,1,1), 'IWP22'!$M$363)</f>
        <v>1</v>
      </c>
      <c r="FA729" s="151" t="str">
        <f>IF('IWP22'!$O$363 = 0, "", 'IWP22'!$O$363)</f>
        <v/>
      </c>
      <c r="FB729" s="151" t="str">
        <f>IF('IWP22'!$Q$363 = 0, "", 'IWP22'!$Q$363)</f>
        <v/>
      </c>
      <c r="FC729" s="151" t="str">
        <f>IF('IWP22'!Std11dot5a = 0, "", 'IWP22'!Std11dot5a)</f>
        <v/>
      </c>
      <c r="FD729" s="151" t="str">
        <f>IF('IWP22'!Std11dot5b = 0, "", 'IWP22'!Std11dot5b)</f>
        <v/>
      </c>
      <c r="FE729" s="151" t="str">
        <f>IF('IWP22'!Std11dot5ci = 0, "", 'IWP22'!Std11dot5ci)</f>
        <v>NA</v>
      </c>
      <c r="FF729" s="151" t="str">
        <f>IF('IWP22'!Std11dot5cii = 0, "", 'IWP22'!Std11dot5cii)</f>
        <v>NA</v>
      </c>
      <c r="FG729" s="151" t="str">
        <f>IF('IWP22'!Std11dot5 = 0, "", 'IWP22'!Std11dot5)</f>
        <v/>
      </c>
      <c r="FH729" s="207" t="str">
        <f>IF('IWP22'!Std11dot1AptGrandFthr = "", "", 'IWP22'!Std11dot1AptGrandFthr)</f>
        <v/>
      </c>
    </row>
    <row r="730" spans="1:164">
      <c r="A730" s="206" t="s">
        <v>1326</v>
      </c>
      <c r="B730" s="157">
        <f>IF('Samples (Print)'!D27=DATE(1900,1,0),DATE(1900,1,1),'Samples (Print)'!D27)</f>
        <v>1</v>
      </c>
      <c r="C730" s="157">
        <f>IF('Samples (Print)'!E27=DATE(1900,1,0),DATE(1900,1,1),'Samples (Print)'!E27)</f>
        <v>1</v>
      </c>
      <c r="D730" s="319">
        <f>IF('IWP23'!FiscalReviewFirstMonth =DATE(1900,1,0),DATE(1900,1,1),'IWP23'!FiscalReviewFirstMonth)</f>
        <v>1</v>
      </c>
      <c r="E730" s="319">
        <f>IF('IWP23'!FiscalReviewSecondMonth =DATE(1900,1,0),DATE(1900,1,1),'IWP23'!FiscalReviewSecondMonth)</f>
        <v>1</v>
      </c>
      <c r="F730" s="13">
        <f>'IWP23'!SampleNumber</f>
        <v>23</v>
      </c>
      <c r="G730" s="13">
        <f ca="1">'IWP23'!ClientID</f>
        <v>0</v>
      </c>
      <c r="H730" s="283"/>
      <c r="I730" s="283"/>
      <c r="J730" s="151" t="str">
        <f ca="1">IF('IWP23'!ContractNumber = 0, "", 'IWP23'!ContractNumber)</f>
        <v/>
      </c>
      <c r="K730" s="151" t="str">
        <f ca="1">IF('IWP23'!ContractType = 0, "", 'IWP23'!ContractType)</f>
        <v/>
      </c>
      <c r="L730" s="151" t="str">
        <f>IF('IWP23'!CompletedByLastName = 0, "", 'IWP23'!CompletedByLastName)</f>
        <v/>
      </c>
      <c r="M730" s="151" t="str">
        <f>IF('IWP23'!CompletedByFirstName = 0, "", 'IWP23'!CompletedByFirstName)</f>
        <v/>
      </c>
      <c r="N730" s="157">
        <f>IF('IWP23'!DateCompleted =DATE(1900,1,0),DATE(1900,1,1),'IWP23'!DateCompleted)</f>
        <v>1</v>
      </c>
      <c r="O730" s="151" t="str">
        <f>IF('IWP23'!Std3NotCalc = 0, "", 'IWP23'!Std3NotCalc)</f>
        <v/>
      </c>
      <c r="P730" s="157">
        <f>IF('IWP23'!Std3dot1DateOfAdmission =DATE(1900,1,0),DATE(1900,1,1),'IWP23'!Std3dot1DateOfAdmission)</f>
        <v>1</v>
      </c>
      <c r="Q730" s="151" t="str">
        <f>IF('IWP23'!Std3dot1a = 0, "", 'IWP23'!Std3dot1a)</f>
        <v/>
      </c>
      <c r="R730" s="151" t="str">
        <f>IF('IWP23'!Std3dot1b = 0, "", 'IWP23'!Std3dot1b)</f>
        <v/>
      </c>
      <c r="S730" s="151" t="str">
        <f>IF('IWP23'!Std3dot1c = 0, "", 'IWP23'!Std3dot1c)</f>
        <v>NA</v>
      </c>
      <c r="T730" s="151" t="str">
        <f>IF('IWP23'!Std3dot1 = 0, "", 'IWP23'!Std3dot1)</f>
        <v/>
      </c>
      <c r="U730" s="151" t="str">
        <f>IF('IWP23'!Std3dot2a = 0, "", 'IWP23'!Std3dot2a)</f>
        <v/>
      </c>
      <c r="V730" s="151" t="str">
        <f>IF('IWP23'!Std3dot2b = 0, "", 'IWP23'!Std3dot2b)</f>
        <v/>
      </c>
      <c r="W730" s="151" t="str">
        <f>IF('IWP23'!Std3dot2c = 0, "", 'IWP23'!Std3dot2c)</f>
        <v/>
      </c>
      <c r="X730" s="151" t="str">
        <f>IF('IWP23'!Std3dot2 = 0, "", 'IWP23'!Std3dot2)</f>
        <v/>
      </c>
      <c r="Y730" s="151" t="str">
        <f>IF('IWP23'!Std4dot1Month1 = 0, "", 'IWP23'!Std4dot1Month1)</f>
        <v/>
      </c>
      <c r="Z730" s="157">
        <f>IF('IWP23'!Std4dot1Month1Date =DATE(1900,1,0),DATE(1900,1,1),'IWP23'!Std4dot1Month1Date)</f>
        <v>1</v>
      </c>
      <c r="AA730" s="151" t="str">
        <f>IF('IWP23'!Std4dot1Month2 = 0, "", 'IWP23'!Std4dot1Month2)</f>
        <v/>
      </c>
      <c r="AB730" s="157">
        <f>IF('IWP23'!Std4dot1Month2Date =DATE(1900,1,0),DATE(1900,1,1),'IWP23'!Std4dot1Month2Date)</f>
        <v>1</v>
      </c>
      <c r="AC730" s="151" t="str">
        <f>IF('IWP23'!Std4dot1 = 0, "", 'IWP23'!Std4dot1)</f>
        <v/>
      </c>
      <c r="AD730" s="151" t="str">
        <f>IF('IWP23'!Std4dot2NotCalc = 0, "", 'IWP23'!Std4dot2NotCalc)</f>
        <v/>
      </c>
      <c r="AE730" s="151" t="str">
        <f>IF('IWP23'!Std4dot2 = 0, "", 'IWP23'!Std4dot2)</f>
        <v/>
      </c>
      <c r="AF730" s="151" t="str">
        <f>IF('IWP23'!Std4dot3 = 0, "", 'IWP23'!Std4dot3)</f>
        <v/>
      </c>
      <c r="AG730" s="151" t="str">
        <f>IF('IWP23'!Std4dot4 = 0, "", 'IWP23'!Std4dot4)</f>
        <v/>
      </c>
      <c r="AH730" s="151" t="str">
        <f>IF('IWP23'!Std5NotCalc = 0, "", 'IWP23'!Std5NotCalc)</f>
        <v/>
      </c>
      <c r="AI730" s="151" t="str">
        <f>IF('IWP23'!Std5dot1 = 0, "", 'IWP23'!Std5dot1)</f>
        <v/>
      </c>
      <c r="AJ730" s="151" t="str">
        <f>IF('IWP23'!Std7dot1NotCalc = 0, "", 'IWP23'!Std7dot1NotCalc)</f>
        <v/>
      </c>
      <c r="AK730" s="151" t="str">
        <f>IF('IWP23'!Std7dot1NotCalc = 0, "", 'IWP23'!Std7dot1NotCalc)</f>
        <v/>
      </c>
      <c r="AL730" s="155">
        <f>'IWP23'!Std7dot1BalPerCshLog</f>
        <v>0</v>
      </c>
      <c r="AM730" s="155">
        <f>'IWP23'!Std7dot1LessAdj</f>
        <v>0</v>
      </c>
      <c r="AN730" s="155">
        <f>'IWP23'!Std7dot1AdjBal</f>
        <v>0</v>
      </c>
      <c r="AO730" s="155">
        <f>'IWP23'!Std7dot1CshOnHand</f>
        <v>0</v>
      </c>
      <c r="AP730" s="155">
        <f>'IWP23'!Std7dot1PtyCshOvrShrt</f>
        <v>0</v>
      </c>
      <c r="AQ730" s="151" t="str">
        <f>IF('IWP23'!Std7dot1OvrShrtCorr = 0, "", 'IWP23'!Std7dot1OvrShrtCorr)</f>
        <v/>
      </c>
      <c r="AR730" s="151" t="str">
        <f>IF('IWP23'!Std7dot1 = 0, "", 'IWP23'!Std7dot1)</f>
        <v/>
      </c>
      <c r="AS730" s="151" t="str">
        <f>IF('IWP23'!Std9dot1aNotCalc = 0, "", 'IWP23'!Std9dot1aNotCalc)</f>
        <v/>
      </c>
      <c r="AT730" s="151" t="str">
        <f>IF('IWP23'!Std9dot1bNotCalc = 0, "", 'IWP23'!Std9dot1bNotCalc)</f>
        <v/>
      </c>
      <c r="AU730" s="157">
        <f>IF('IWP23'!Std9BalPerBnkStmtDt =DATE(1900,1,0),DATE(1900,1,1),'IWP23'!Std9BalPerBnkStmtDt)</f>
        <v>1</v>
      </c>
      <c r="AV730" s="155">
        <f>'IWP23'!Std9BalPerBnkStmt</f>
        <v>0</v>
      </c>
      <c r="AW730" s="155">
        <f>'IWP23'!Std9TotDepsInTrans</f>
        <v>0</v>
      </c>
      <c r="AX730" s="155">
        <f>'IWP23'!Std9TotOutsChks</f>
        <v>0</v>
      </c>
      <c r="AY730" s="155">
        <f>'IWP23'!Std9AdjBalPerBank</f>
        <v>0</v>
      </c>
      <c r="AZ730" s="157">
        <f>IF('IWP23'!Std9TotPtyCshIndvDt =DATE(1900,1,0),DATE(1900,1,1),'IWP23'!Std9TotPtyCshIndvDt)</f>
        <v>1</v>
      </c>
      <c r="BA730" s="155">
        <f>'IWP23'!Std9TotPtyCshIndv</f>
        <v>0</v>
      </c>
      <c r="BB730" s="155">
        <f>'IWP23'!Std9TotCshBnkAndHnd</f>
        <v>0</v>
      </c>
      <c r="BC730" s="157">
        <f>IF('IWP23'!Std9BalPerBksDt =DATE(1900,1,0),DATE(1900,1,1),'IWP23'!Std9BalPerBksDt)</f>
        <v>1</v>
      </c>
      <c r="BD730" s="155">
        <f>'IWP23'!Std9BalPerBks</f>
        <v>0</v>
      </c>
      <c r="BE730" s="155">
        <f>'IWP23'!Std9UnapplErndInt</f>
        <v>0</v>
      </c>
      <c r="BF730" s="155">
        <f>'IWP23'!Std9UnpstdRcptDsbrsmts</f>
        <v>0</v>
      </c>
      <c r="BG730" s="155">
        <f>'IWP23'!Std9NsfChks</f>
        <v>0</v>
      </c>
      <c r="BH730" s="155">
        <f>'IWP23'!Std9AdjBalPerBks</f>
        <v>0</v>
      </c>
      <c r="BI730" s="155">
        <f>'IWP23'!Std9TrstFndAcctOvrShrt</f>
        <v>0</v>
      </c>
      <c r="BJ730" s="151" t="str">
        <f>IF('IWP23'!Std9OvrShrtCorrctd = 0, "", 'IWP23'!Std9OvrShrtCorrctd)</f>
        <v/>
      </c>
      <c r="BK730" s="151" t="str">
        <f>IF('IWP23'!Std9ShrtUnreimbSvcChg = 0, "", 'IWP23'!Std9ShrtUnreimbSvcChg)</f>
        <v/>
      </c>
      <c r="BL730" s="151" t="str">
        <f>IF('IWP23'!Std9dot1 = 0, "", 'IWP23'!Std9dot1)</f>
        <v/>
      </c>
      <c r="BM730" s="151" t="str">
        <f>IF('IWP23'!Std10dot1NotCalc = 0, "", 'IWP23'!Std10dot1NotCalc)</f>
        <v/>
      </c>
      <c r="BN730" s="319">
        <f>IF('IWP23'!FiscalReviewFirstMonth =DATE(1900,1,0),DATE(1900,1,1),'IWP23'!FiscalReviewFirstMonth)</f>
        <v>1</v>
      </c>
      <c r="BO730" s="155">
        <f>'IWP23'!Std10dot1TotalAmt1</f>
        <v>0</v>
      </c>
      <c r="BP730" s="319">
        <f>IF('IWP23'!FiscalReviewSecondMonth =DATE(1900,1,0),DATE(1900,1,1),'IWP23'!FiscalReviewSecondMonth)</f>
        <v>1</v>
      </c>
      <c r="BQ730" s="155">
        <f>'IWP23'!Std10dot1TotalAmt2</f>
        <v>0</v>
      </c>
      <c r="BR730" s="151" t="str">
        <f>IF('IWP23'!Std10dot1 = 0, "", 'IWP23'!Std10dot1)</f>
        <v/>
      </c>
      <c r="BS730" s="151" t="str">
        <f>IF('IWP23'!Std10dot2NotCalc = 0, "", 'IWP23'!Std10dot2NotCalc)</f>
        <v/>
      </c>
      <c r="BT730" s="319">
        <f>IF('IWP23'!FiscalReviewFirstMonth =DATE(1900,1,0),DATE(1900,1,1),'IWP23'!FiscalReviewFirstMonth)</f>
        <v>1</v>
      </c>
      <c r="BU730" s="155">
        <f>'IWP23'!Std10dot2BankChgs1</f>
        <v>0</v>
      </c>
      <c r="BV730" s="319">
        <f>IF('IWP23'!FiscalReviewSecondMonth =DATE(1900,1,0),DATE(1900,1,1),'IWP23'!FiscalReviewSecondMonth)</f>
        <v>1</v>
      </c>
      <c r="BW730" s="155">
        <f>'IWP23'!Std10dot2BankChgs2</f>
        <v>0</v>
      </c>
      <c r="BX730" s="151" t="str">
        <f>IF('IWP23'!Std10dot2 = 0, "", 'IWP23'!Std10dot2)</f>
        <v/>
      </c>
      <c r="BY730" s="151" t="str">
        <f>IF('IWP23'!Std10dot3NotCalc = 0, "", 'IWP23'!Std10dot3NotCalc)</f>
        <v/>
      </c>
      <c r="BZ730" s="151" t="str">
        <f>IF('IWP23'!Std10dot3 = 0, "", 'IWP23'!Std10dot3)</f>
        <v/>
      </c>
      <c r="CA730" s="151" t="str">
        <f>IF('IWP23'!Std10dot4NotCalc = 0, "", 'IWP23'!Std10dot4NotCalc)</f>
        <v/>
      </c>
      <c r="CB730" s="151" t="str">
        <f>IF('IWP23'!Std10dot4 = 0, "", 'IWP23'!Std10dot4)</f>
        <v/>
      </c>
      <c r="CC730" s="151" t="str">
        <f>IF('IWP23'!Std10dot5 = 0, "", 'IWP23'!Std10dot5)</f>
        <v/>
      </c>
      <c r="CD730" s="151" t="str">
        <f>IF('IWP23'!Std10dot6NotCalc = 0, "", 'IWP23'!Std10dot6NotCalc)</f>
        <v/>
      </c>
      <c r="CE730" s="157">
        <f>IF('IWP23'!Std10dot6DateOfDeathDischarge =DATE(1900,1,0),DATE(1900,1,1),'IWP23'!Std10dot6DateOfDeathDischarge)</f>
        <v>1</v>
      </c>
      <c r="CF730" s="151" t="str">
        <f>IF('IWP23'!Std10dot6DthDschg = 0, "", 'IWP23'!Std10dot6DthDschg)</f>
        <v/>
      </c>
      <c r="CG730" s="155">
        <f>'IWP23'!Std10dot6TrustFundAmtDue</f>
        <v>0</v>
      </c>
      <c r="CH730" s="155">
        <f>'IWP23'!Std10dot6IndvPtyCshAmtDue</f>
        <v>0</v>
      </c>
      <c r="CI730" s="155">
        <f>'IWP23'!Std10dot6TotRfndDue</f>
        <v>0</v>
      </c>
      <c r="CJ730" s="155">
        <f>'IWP23'!Std10dot6AmtRfnd</f>
        <v>0</v>
      </c>
      <c r="CK730" s="155">
        <f>'IWP23'!Std10dot6DminusE</f>
        <v>0</v>
      </c>
      <c r="CL730" s="151" t="str">
        <f>IF('IWP23'!Std10dot6LastName = 0, "", 'IWP23'!Std10dot6LastName)</f>
        <v/>
      </c>
      <c r="CM730" s="151" t="str">
        <f>IF('IWP23'!Std10dot6FirstName = 0, "", 'IWP23'!Std10dot6FirstName)</f>
        <v/>
      </c>
      <c r="CN730" s="157">
        <f>IF('IWP23'!Std10dot6DateOfRefund =DATE(1900,1,0),DATE(1900,1,1),'IWP23'!Std10dot6DateOfRefund)</f>
        <v>1</v>
      </c>
      <c r="CO730" s="151" t="str">
        <f>IF('IWP23'!Std10dot6a = 0, "", 'IWP23'!Std10dot6a)</f>
        <v/>
      </c>
      <c r="CP730" s="151" t="str">
        <f>IF('IWP23'!Std10dot6b = 0, "", 'IWP23'!Std10dot6b)</f>
        <v/>
      </c>
      <c r="CQ730" s="151" t="str">
        <f>IF('IWP23'!Std10dot6c = 0, "", 'IWP23'!Std10dot6c)</f>
        <v/>
      </c>
      <c r="CR730" s="151" t="str">
        <f>IF('IWP23'!Std10dot6 = "", "", 'IWP23'!Std10dot6)</f>
        <v/>
      </c>
      <c r="CS730" s="151" t="str">
        <f>IF('IWP23'!Std11dot1aNotCalc = 0, "", 'IWP23'!Std11dot1aNotCalc)</f>
        <v/>
      </c>
      <c r="CT730" s="151" t="str">
        <f>IF('IWP23'!Std11dot1bNotCalc = 0, "", 'IWP23'!Std11dot1bNotCalc)</f>
        <v>N</v>
      </c>
      <c r="CU730" s="151" t="str">
        <f>IF('IWP23'!Std11dot1cNotCalc = 0, "", 'IWP23'!Std11dot1cNotCalc)</f>
        <v>N</v>
      </c>
      <c r="CV730" s="151" t="str">
        <f>IF('IWP23'!Std11dot1dNotCalc = 0, "", 'IWP23'!Std11dot1dNotCalc)</f>
        <v/>
      </c>
      <c r="CW730" s="151" t="str">
        <f>IF('IWP23'!Std11dot1eNotCalc = 0, "", 'IWP23'!Std11dot1eNotCalc)</f>
        <v/>
      </c>
      <c r="CX730" s="151" t="str">
        <f>IF('IWP23'!Std11dot1fNotCalc = 0, "", 'IWP23'!Std11dot1fNotCalc)</f>
        <v/>
      </c>
      <c r="CY730" s="151" t="str">
        <f>IF('IWP23'!Std11dot1PrivateLivingSpace = 0, "", 'IWP23'!Std11dot1PrivateLivingSpace)</f>
        <v/>
      </c>
      <c r="CZ730" s="155">
        <f>'IWP23'!Std11dot1LivingWidth</f>
        <v>0</v>
      </c>
      <c r="DA730" s="155">
        <f>'IWP23'!Std11dot1LivingLength</f>
        <v>0</v>
      </c>
      <c r="DB730" s="155">
        <f>IF('IWP23'!Std11dot1LivingSqFt = "", MINVALDBL, 'IWP23'!Std11dot1LivingSqFt)</f>
        <v>-99999.99</v>
      </c>
      <c r="DC730" s="151" t="str">
        <f>IF('IWP23'!Std11dot1PrivateLivingSpace = 0, "", 'IWP23'!Std11dot1PrivateLivingSpace)</f>
        <v/>
      </c>
      <c r="DD730" s="155">
        <f>'IWP23'!Std11dot1LivingWidth</f>
        <v>0</v>
      </c>
      <c r="DE730" s="155">
        <f>'IWP23'!Std11dot1LivingLength</f>
        <v>0</v>
      </c>
      <c r="DF730" s="155">
        <f>IF('IWP23'!Std11dot1LivingSqFt = "", MINVALDBL, 'IWP23'!Std11dot1LivingSqFt)</f>
        <v>-99999.99</v>
      </c>
      <c r="DG730" s="151" t="str">
        <f>IF('IWP23'!Std11dot1PrivateBedSpace = 0, "", 'IWP23'!Std11dot1PrivateBedSpace)</f>
        <v/>
      </c>
      <c r="DH730" s="155">
        <f>'IWP23'!Std11dot1BdrmWidth</f>
        <v>0</v>
      </c>
      <c r="DI730" s="155">
        <f>'IWP23'!Std11dot1BdrmLength</f>
        <v>0</v>
      </c>
      <c r="DJ730" s="155">
        <f>IF('IWP23'!Std11dot1BdrmSqFt = "", MINVALDBL, 'IWP23'!Std11dot1BdrmSqFt)</f>
        <v>-99999.99</v>
      </c>
      <c r="DK730" s="151" t="str">
        <f>IF('IWP23'!Std11dot1PrivateStorageSpace = 0, "", 'IWP23'!Std11dot1PrivateStorageSpace)</f>
        <v/>
      </c>
      <c r="DL730" s="155">
        <f>'IWP23'!Std11dot1StorageWidth</f>
        <v>0</v>
      </c>
      <c r="DM730" s="155">
        <f>'IWP23'!Std11dot1StorageLength</f>
        <v>0</v>
      </c>
      <c r="DN730" s="155">
        <f>IF('IWP23'!Std11dot1StorageSqFt = "", 0, 'IWP23'!Std11dot1StorageSqFt)</f>
        <v>0</v>
      </c>
      <c r="DO730" s="151" t="str">
        <f>IF('IWP23'!Std11dot1PrivateKitchenSpace = 0, "", 'IWP23'!Std11dot1PrivateKitchenSpace)</f>
        <v/>
      </c>
      <c r="DP730" s="155">
        <f>'IWP23'!Std11dot1KitchenWidth</f>
        <v>0</v>
      </c>
      <c r="DQ730" s="155">
        <f>'IWP23'!Std11dot1KitchenLength</f>
        <v>0</v>
      </c>
      <c r="DR730" s="155">
        <f>IF('IWP23'!Std11dot1KitchenSqFt = "", MINVALDBL, 'IWP23'!Std11dot1KitchenSqFt)</f>
        <v>-99999.99</v>
      </c>
      <c r="DS730" s="151" t="str">
        <f>IF('IWP23'!Std11dot1KitchenSink = 0, "", 'IWP23'!Std11dot1KitchenSink)</f>
        <v/>
      </c>
      <c r="DT730" s="151" t="str">
        <f>IF('IWP23'!Std11dot1Refrigerator = 0, "", 'IWP23'!Std11dot1Refrigerator)</f>
        <v/>
      </c>
      <c r="DU730" s="151" t="str">
        <f>IF('IWP23'!Std11dot1StoveMicrowave = 0, "", 'IWP23'!Std11dot1StoveMicrowave)</f>
        <v/>
      </c>
      <c r="DV730" s="151" t="str">
        <f>IF('IWP23'!Std11dot1SeparateBath = 0, "", 'IWP23'!Std11dot1SeparateBath)</f>
        <v/>
      </c>
      <c r="DW730" s="151" t="str">
        <f>IF('IWP23'!Std11dot1BathSink = 0, "", 'IWP23'!Std11dot1BathSink)</f>
        <v/>
      </c>
      <c r="DX730" s="151" t="str">
        <f>IF('IWP23'!Std11dot1ShowerTubAccessible = 0, "", 'IWP23'!Std11dot1ShowerTubAccessible)</f>
        <v/>
      </c>
      <c r="DY730" s="155">
        <f>'IWP23'!Std11dot1TotalPrivateSpace</f>
        <v>0</v>
      </c>
      <c r="DZ730" s="155">
        <f>'IWP23'!Std11dot1PrivateSpaceSquareFootagePerResident</f>
        <v>0</v>
      </c>
      <c r="EA730" s="155">
        <f>IF('IWP23'!Std11dot1TotalSquareFootagePerResident = "", MINVALDBL, 'IWP23'!Std11dot1TotalSquareFootagePerResident)</f>
        <v>-99999.99</v>
      </c>
      <c r="EB730" s="155">
        <f>'IWP23'!Std11dot1UseableCommonAreaSquareFootage</f>
        <v>0</v>
      </c>
      <c r="EC730" s="155">
        <f>'IWP23'!Std11dot1LicensedCapacity</f>
        <v>0</v>
      </c>
      <c r="ED730" s="155">
        <f>IF('IWP23'!Std11dot1CommonAreaSquareFootagePerResident = "", MINVALDBL, 'IWP23'!Std11dot1CommonAreaSquareFootagePerResident)</f>
        <v>-99999.99</v>
      </c>
      <c r="EE730" s="151" t="str">
        <f>IF('IWP23'!Std11dot1a = 0, "", 'IWP23'!Std11dot1a)</f>
        <v/>
      </c>
      <c r="EF730" s="151" t="str">
        <f>IF('IWP23'!Std11dot1b = 0, "", 'IWP23'!Std11dot1b)</f>
        <v/>
      </c>
      <c r="EG730" s="151" t="str">
        <f>IF('IWP23'!Std11dot1c = 0, "", 'IWP23'!Std11dot1c)</f>
        <v/>
      </c>
      <c r="EH730" s="151" t="str">
        <f>IF('IWP23'!Std11dot1d = 0, "", 'IWP23'!Std11dot1d)</f>
        <v/>
      </c>
      <c r="EI730" s="151" t="str">
        <f>IF('IWP23'!Std11dot1e = 0, "", 'IWP23'!Std11dot1e)</f>
        <v/>
      </c>
      <c r="EJ730" s="151" t="str">
        <f>IF('IWP23'!Std11dot1f = 0, "", 'IWP23'!Std11dot1f)</f>
        <v/>
      </c>
      <c r="EK730" s="151" t="str">
        <f>IF('IWP23'!Std11dot1g = 0, "", 'IWP23'!Std11dot1g)</f>
        <v/>
      </c>
      <c r="EL730" s="151" t="str">
        <f>IF('IWP23'!Std11dot1h = 0, "", 'IWP23'!Std11dot1h)</f>
        <v/>
      </c>
      <c r="EM730" s="151" t="str">
        <f>IF('IWP23'!Std11dot1i = 0, "", 'IWP23'!Std11dot1i)</f>
        <v/>
      </c>
      <c r="EN730" s="151" t="str">
        <f>IF('IWP23'!Std11dot1j = 0, "", 'IWP23'!Std11dot1j)</f>
        <v/>
      </c>
      <c r="EO730" s="151" t="str">
        <f>IF('IWP23'!Std11dot1k = 0, "", 'IWP23'!Std11dot1k)</f>
        <v/>
      </c>
      <c r="EP730" s="151" t="str">
        <f>IF('IWP23'!Std11dot1 = 0, "", 'IWP23'!Std11dot1)</f>
        <v/>
      </c>
      <c r="EQ730" s="151" t="str">
        <f>IF('IWP23'!Std11dot2 = 0, "", 'IWP23'!Std11dot2)</f>
        <v/>
      </c>
      <c r="ER730" s="151" t="str">
        <f>IF('IWP23'!Std11dot3 = 0, "", 'IWP23'!Std11dot3)</f>
        <v/>
      </c>
      <c r="ES730" s="151" t="str">
        <f>IF('IWP23'!Std11dot4 = 0, "", 'IWP23'!Std11dot4)</f>
        <v>NA</v>
      </c>
      <c r="ET730" s="157">
        <f>IF('IWP23'!$A$363=DATE(1900,1,0), DATE(1900,1,1), 'IWP23'!$A$363)</f>
        <v>1</v>
      </c>
      <c r="EU730" s="155">
        <f>'IWP23'!$C$363</f>
        <v>0</v>
      </c>
      <c r="EV730" s="155">
        <f>'IWP23'!$E$363</f>
        <v>0</v>
      </c>
      <c r="EW730" s="157">
        <f>IF('IWP23'!$G$363=DATE(1900,1,0), DATE(1900,1,1), 'IWP23'!$G$363)</f>
        <v>1</v>
      </c>
      <c r="EX730" s="155">
        <f>'IWP23'!$I$363</f>
        <v>0</v>
      </c>
      <c r="EY730" s="155">
        <f>'IWP23'!$K$363</f>
        <v>0</v>
      </c>
      <c r="EZ730" s="157">
        <f>IF('IWP23'!$M$363=DATE(1900,1,0), DATE(1900,1,1), 'IWP23'!$M$363)</f>
        <v>1</v>
      </c>
      <c r="FA730" s="151" t="str">
        <f>IF('IWP23'!$O$363 = 0, "", 'IWP23'!$O$363)</f>
        <v/>
      </c>
      <c r="FB730" s="151" t="str">
        <f>IF('IWP23'!$Q$363 = 0, "", 'IWP23'!$Q$363)</f>
        <v/>
      </c>
      <c r="FC730" s="151" t="str">
        <f>IF('IWP23'!Std11dot5a = 0, "", 'IWP23'!Std11dot5a)</f>
        <v/>
      </c>
      <c r="FD730" s="151" t="str">
        <f>IF('IWP23'!Std11dot5b = 0, "", 'IWP23'!Std11dot5b)</f>
        <v/>
      </c>
      <c r="FE730" s="151" t="str">
        <f>IF('IWP23'!Std11dot5ci = 0, "", 'IWP23'!Std11dot5ci)</f>
        <v>NA</v>
      </c>
      <c r="FF730" s="151" t="str">
        <f>IF('IWP23'!Std11dot5cii = 0, "", 'IWP23'!Std11dot5cii)</f>
        <v>NA</v>
      </c>
      <c r="FG730" s="151" t="str">
        <f>IF('IWP23'!Std11dot5 = 0, "", 'IWP23'!Std11dot5)</f>
        <v/>
      </c>
      <c r="FH730" s="207" t="str">
        <f>IF('IWP23'!Std11dot1AptGrandFthr = "", "", 'IWP23'!Std11dot1AptGrandFthr)</f>
        <v/>
      </c>
    </row>
    <row r="731" spans="1:164">
      <c r="A731" s="206" t="s">
        <v>1327</v>
      </c>
      <c r="B731" s="157">
        <f>IF('Samples (Print)'!D28=DATE(1900,1,0),DATE(1900,1,1),'Samples (Print)'!D28)</f>
        <v>1</v>
      </c>
      <c r="C731" s="157">
        <f>IF('Samples (Print)'!E28=DATE(1900,1,0),DATE(1900,1,1),'Samples (Print)'!E28)</f>
        <v>1</v>
      </c>
      <c r="D731" s="319">
        <f>IF('IWP24'!FiscalReviewFirstMonth =DATE(1900,1,0),DATE(1900,1,1),'IWP24'!FiscalReviewFirstMonth)</f>
        <v>1</v>
      </c>
      <c r="E731" s="319">
        <f>IF('IWP24'!FiscalReviewSecondMonth =DATE(1900,1,0),DATE(1900,1,1),'IWP24'!FiscalReviewSecondMonth)</f>
        <v>1</v>
      </c>
      <c r="F731" s="13">
        <f>'IWP24'!SampleNumber</f>
        <v>24</v>
      </c>
      <c r="G731" s="13">
        <f ca="1">'IWP24'!ClientID</f>
        <v>0</v>
      </c>
      <c r="H731" s="283"/>
      <c r="I731" s="283"/>
      <c r="J731" s="151" t="str">
        <f ca="1">IF('IWP24'!ContractNumber = 0, "", 'IWP24'!ContractNumber)</f>
        <v/>
      </c>
      <c r="K731" s="151" t="str">
        <f ca="1">IF('IWP24'!ContractType = 0, "", 'IWP24'!ContractType)</f>
        <v/>
      </c>
      <c r="L731" s="151" t="str">
        <f>IF('IWP24'!CompletedByLastName = 0, "", 'IWP24'!CompletedByLastName)</f>
        <v/>
      </c>
      <c r="M731" s="151" t="str">
        <f>IF('IWP24'!CompletedByFirstName = 0, "", 'IWP24'!CompletedByFirstName)</f>
        <v/>
      </c>
      <c r="N731" s="157">
        <f>IF('IWP24'!DateCompleted =DATE(1900,1,0),DATE(1900,1,1),'IWP24'!DateCompleted)</f>
        <v>1</v>
      </c>
      <c r="O731" s="151" t="str">
        <f>IF('IWP24'!Std3NotCalc = 0, "", 'IWP24'!Std3NotCalc)</f>
        <v/>
      </c>
      <c r="P731" s="157">
        <f>IF('IWP24'!Std3dot1DateOfAdmission =DATE(1900,1,0),DATE(1900,1,1),'IWP24'!Std3dot1DateOfAdmission)</f>
        <v>1</v>
      </c>
      <c r="Q731" s="151" t="str">
        <f>IF('IWP24'!Std3dot1a = 0, "", 'IWP24'!Std3dot1a)</f>
        <v/>
      </c>
      <c r="R731" s="151" t="str">
        <f>IF('IWP24'!Std3dot1b = 0, "", 'IWP24'!Std3dot1b)</f>
        <v/>
      </c>
      <c r="S731" s="151" t="str">
        <f>IF('IWP24'!Std3dot1c = 0, "", 'IWP24'!Std3dot1c)</f>
        <v>NA</v>
      </c>
      <c r="T731" s="151" t="str">
        <f>IF('IWP24'!Std3dot1 = 0, "", 'IWP24'!Std3dot1)</f>
        <v/>
      </c>
      <c r="U731" s="151" t="str">
        <f>IF('IWP24'!Std3dot2a = 0, "", 'IWP24'!Std3dot2a)</f>
        <v/>
      </c>
      <c r="V731" s="151" t="str">
        <f>IF('IWP24'!Std3dot2b = 0, "", 'IWP24'!Std3dot2b)</f>
        <v/>
      </c>
      <c r="W731" s="151" t="str">
        <f>IF('IWP24'!Std3dot2c = 0, "", 'IWP24'!Std3dot2c)</f>
        <v/>
      </c>
      <c r="X731" s="151" t="str">
        <f>IF('IWP24'!Std3dot2 = 0, "", 'IWP24'!Std3dot2)</f>
        <v/>
      </c>
      <c r="Y731" s="151" t="str">
        <f>IF('IWP24'!Std4dot1Month1 = 0, "", 'IWP24'!Std4dot1Month1)</f>
        <v/>
      </c>
      <c r="Z731" s="157">
        <f>IF('IWP24'!Std4dot1Month1Date =DATE(1900,1,0),DATE(1900,1,1),'IWP24'!Std4dot1Month1Date)</f>
        <v>1</v>
      </c>
      <c r="AA731" s="151" t="str">
        <f>IF('IWP24'!Std4dot1Month2 = 0, "", 'IWP24'!Std4dot1Month2)</f>
        <v/>
      </c>
      <c r="AB731" s="157">
        <f>IF('IWP24'!Std4dot1Month2Date =DATE(1900,1,0),DATE(1900,1,1),'IWP24'!Std4dot1Month2Date)</f>
        <v>1</v>
      </c>
      <c r="AC731" s="151" t="str">
        <f>IF('IWP24'!Std4dot1 = 0, "", 'IWP24'!Std4dot1)</f>
        <v/>
      </c>
      <c r="AD731" s="151" t="str">
        <f>IF('IWP24'!Std4dot2NotCalc = 0, "", 'IWP24'!Std4dot2NotCalc)</f>
        <v/>
      </c>
      <c r="AE731" s="151" t="str">
        <f>IF('IWP24'!Std4dot2 = 0, "", 'IWP24'!Std4dot2)</f>
        <v/>
      </c>
      <c r="AF731" s="151" t="str">
        <f>IF('IWP24'!Std4dot3 = 0, "", 'IWP24'!Std4dot3)</f>
        <v/>
      </c>
      <c r="AG731" s="151" t="str">
        <f>IF('IWP24'!Std4dot4 = 0, "", 'IWP24'!Std4dot4)</f>
        <v/>
      </c>
      <c r="AH731" s="151" t="str">
        <f>IF('IWP24'!Std5NotCalc = 0, "", 'IWP24'!Std5NotCalc)</f>
        <v/>
      </c>
      <c r="AI731" s="151" t="str">
        <f>IF('IWP24'!Std5dot1 = 0, "", 'IWP24'!Std5dot1)</f>
        <v/>
      </c>
      <c r="AJ731" s="151" t="str">
        <f>IF('IWP24'!Std7dot1NotCalc = 0, "", 'IWP24'!Std7dot1NotCalc)</f>
        <v/>
      </c>
      <c r="AK731" s="151" t="str">
        <f>IF('IWP24'!Std7dot1NotCalc = 0, "", 'IWP24'!Std7dot1NotCalc)</f>
        <v/>
      </c>
      <c r="AL731" s="155">
        <f>'IWP24'!Std7dot1BalPerCshLog</f>
        <v>0</v>
      </c>
      <c r="AM731" s="155">
        <f>'IWP24'!Std7dot1LessAdj</f>
        <v>0</v>
      </c>
      <c r="AN731" s="155">
        <f>'IWP24'!Std7dot1AdjBal</f>
        <v>0</v>
      </c>
      <c r="AO731" s="155">
        <f>'IWP24'!Std7dot1CshOnHand</f>
        <v>0</v>
      </c>
      <c r="AP731" s="155">
        <f>'IWP24'!Std7dot1PtyCshOvrShrt</f>
        <v>0</v>
      </c>
      <c r="AQ731" s="151" t="str">
        <f>IF('IWP24'!Std7dot1OvrShrtCorr = 0, "", 'IWP24'!Std7dot1OvrShrtCorr)</f>
        <v/>
      </c>
      <c r="AR731" s="151" t="str">
        <f>IF('IWP24'!Std7dot1 = 0, "", 'IWP24'!Std7dot1)</f>
        <v/>
      </c>
      <c r="AS731" s="151" t="str">
        <f>IF('IWP24'!Std9dot1aNotCalc = 0, "", 'IWP24'!Std9dot1aNotCalc)</f>
        <v/>
      </c>
      <c r="AT731" s="151" t="str">
        <f>IF('IWP24'!Std9dot1bNotCalc = 0, "", 'IWP24'!Std9dot1bNotCalc)</f>
        <v/>
      </c>
      <c r="AU731" s="157">
        <f>IF('IWP24'!Std9BalPerBnkStmtDt =DATE(1900,1,0),DATE(1900,1,1),'IWP24'!Std9BalPerBnkStmtDt)</f>
        <v>1</v>
      </c>
      <c r="AV731" s="155">
        <f>'IWP24'!Std9BalPerBnkStmt</f>
        <v>0</v>
      </c>
      <c r="AW731" s="155">
        <f>'IWP24'!Std9TotDepsInTrans</f>
        <v>0</v>
      </c>
      <c r="AX731" s="155">
        <f>'IWP24'!Std9TotOutsChks</f>
        <v>0</v>
      </c>
      <c r="AY731" s="155">
        <f>'IWP24'!Std9AdjBalPerBank</f>
        <v>0</v>
      </c>
      <c r="AZ731" s="157">
        <f>IF('IWP24'!Std9TotPtyCshIndvDt =DATE(1900,1,0),DATE(1900,1,1),'IWP24'!Std9TotPtyCshIndvDt)</f>
        <v>1</v>
      </c>
      <c r="BA731" s="155">
        <f>'IWP24'!Std9TotPtyCshIndv</f>
        <v>0</v>
      </c>
      <c r="BB731" s="155">
        <f>'IWP24'!Std9TotCshBnkAndHnd</f>
        <v>0</v>
      </c>
      <c r="BC731" s="157">
        <f>IF('IWP24'!Std9BalPerBksDt =DATE(1900,1,0),DATE(1900,1,1),'IWP24'!Std9BalPerBksDt)</f>
        <v>1</v>
      </c>
      <c r="BD731" s="155">
        <f>'IWP24'!Std9BalPerBks</f>
        <v>0</v>
      </c>
      <c r="BE731" s="155">
        <f>'IWP24'!Std9UnapplErndInt</f>
        <v>0</v>
      </c>
      <c r="BF731" s="155">
        <f>'IWP24'!Std9UnpstdRcptDsbrsmts</f>
        <v>0</v>
      </c>
      <c r="BG731" s="155">
        <f>'IWP24'!Std9NsfChks</f>
        <v>0</v>
      </c>
      <c r="BH731" s="155">
        <f>'IWP24'!Std9AdjBalPerBks</f>
        <v>0</v>
      </c>
      <c r="BI731" s="155">
        <f>'IWP24'!Std9TrstFndAcctOvrShrt</f>
        <v>0</v>
      </c>
      <c r="BJ731" s="151" t="str">
        <f>IF('IWP24'!Std9OvrShrtCorrctd = 0, "", 'IWP24'!Std9OvrShrtCorrctd)</f>
        <v/>
      </c>
      <c r="BK731" s="151" t="str">
        <f>IF('IWP24'!Std9ShrtUnreimbSvcChg = 0, "", 'IWP24'!Std9ShrtUnreimbSvcChg)</f>
        <v/>
      </c>
      <c r="BL731" s="151" t="str">
        <f>IF('IWP24'!Std9dot1 = 0, "", 'IWP24'!Std9dot1)</f>
        <v/>
      </c>
      <c r="BM731" s="151" t="str">
        <f>IF('IWP24'!Std10dot1NotCalc = 0, "", 'IWP24'!Std10dot1NotCalc)</f>
        <v/>
      </c>
      <c r="BN731" s="319">
        <f>IF('IWP24'!FiscalReviewFirstMonth =DATE(1900,1,0),DATE(1900,1,1),'IWP24'!FiscalReviewFirstMonth)</f>
        <v>1</v>
      </c>
      <c r="BO731" s="155">
        <f>'IWP24'!Std10dot1TotalAmt1</f>
        <v>0</v>
      </c>
      <c r="BP731" s="319">
        <f>IF('IWP24'!FiscalReviewSecondMonth =DATE(1900,1,0),DATE(1900,1,1),'IWP24'!FiscalReviewSecondMonth)</f>
        <v>1</v>
      </c>
      <c r="BQ731" s="155">
        <f>'IWP24'!Std10dot1TotalAmt2</f>
        <v>0</v>
      </c>
      <c r="BR731" s="151" t="str">
        <f>IF('IWP24'!Std10dot1 = 0, "", 'IWP24'!Std10dot1)</f>
        <v/>
      </c>
      <c r="BS731" s="151" t="str">
        <f>IF('IWP24'!Std10dot2NotCalc = 0, "", 'IWP24'!Std10dot2NotCalc)</f>
        <v/>
      </c>
      <c r="BT731" s="319">
        <f>IF('IWP24'!FiscalReviewFirstMonth =DATE(1900,1,0),DATE(1900,1,1),'IWP24'!FiscalReviewFirstMonth)</f>
        <v>1</v>
      </c>
      <c r="BU731" s="155">
        <f>'IWP24'!Std10dot2BankChgs1</f>
        <v>0</v>
      </c>
      <c r="BV731" s="319">
        <f>IF('IWP24'!FiscalReviewSecondMonth =DATE(1900,1,0),DATE(1900,1,1),'IWP24'!FiscalReviewSecondMonth)</f>
        <v>1</v>
      </c>
      <c r="BW731" s="155">
        <f>'IWP24'!Std10dot2BankChgs2</f>
        <v>0</v>
      </c>
      <c r="BX731" s="151" t="str">
        <f>IF('IWP24'!Std10dot2 = 0, "", 'IWP24'!Std10dot2)</f>
        <v/>
      </c>
      <c r="BY731" s="151" t="str">
        <f>IF('IWP24'!Std10dot3NotCalc = 0, "", 'IWP24'!Std10dot3NotCalc)</f>
        <v/>
      </c>
      <c r="BZ731" s="151" t="str">
        <f>IF('IWP24'!Std10dot3 = 0, "", 'IWP24'!Std10dot3)</f>
        <v/>
      </c>
      <c r="CA731" s="151" t="str">
        <f>IF('IWP24'!Std10dot4NotCalc = 0, "", 'IWP24'!Std10dot4NotCalc)</f>
        <v/>
      </c>
      <c r="CB731" s="151" t="str">
        <f>IF('IWP24'!Std10dot4 = 0, "", 'IWP24'!Std10dot4)</f>
        <v/>
      </c>
      <c r="CC731" s="151" t="str">
        <f>IF('IWP24'!Std10dot5 = 0, "", 'IWP24'!Std10dot5)</f>
        <v/>
      </c>
      <c r="CD731" s="151" t="str">
        <f>IF('IWP24'!Std10dot6NotCalc = 0, "", 'IWP24'!Std10dot6NotCalc)</f>
        <v/>
      </c>
      <c r="CE731" s="157">
        <f>IF('IWP24'!Std10dot6DateOfDeathDischarge =DATE(1900,1,0),DATE(1900,1,1),'IWP24'!Std10dot6DateOfDeathDischarge)</f>
        <v>1</v>
      </c>
      <c r="CF731" s="151" t="str">
        <f>IF('IWP24'!Std10dot6DthDschg = 0, "", 'IWP24'!Std10dot6DthDschg)</f>
        <v/>
      </c>
      <c r="CG731" s="155">
        <f>'IWP24'!Std10dot6TrustFundAmtDue</f>
        <v>0</v>
      </c>
      <c r="CH731" s="155">
        <f>'IWP24'!Std10dot6IndvPtyCshAmtDue</f>
        <v>0</v>
      </c>
      <c r="CI731" s="155">
        <f>'IWP24'!Std10dot6TotRfndDue</f>
        <v>0</v>
      </c>
      <c r="CJ731" s="155">
        <f>'IWP24'!Std10dot6AmtRfnd</f>
        <v>0</v>
      </c>
      <c r="CK731" s="155">
        <f>'IWP24'!Std10dot6DminusE</f>
        <v>0</v>
      </c>
      <c r="CL731" s="151" t="str">
        <f>IF('IWP24'!Std10dot6LastName = 0, "", 'IWP24'!Std10dot6LastName)</f>
        <v/>
      </c>
      <c r="CM731" s="151" t="str">
        <f>IF('IWP24'!Std10dot6FirstName = 0, "", 'IWP24'!Std10dot6FirstName)</f>
        <v/>
      </c>
      <c r="CN731" s="157">
        <f>IF('IWP24'!Std10dot6DateOfRefund =DATE(1900,1,0),DATE(1900,1,1),'IWP24'!Std10dot6DateOfRefund)</f>
        <v>1</v>
      </c>
      <c r="CO731" s="151" t="str">
        <f>IF('IWP24'!Std10dot6a = 0, "", 'IWP24'!Std10dot6a)</f>
        <v/>
      </c>
      <c r="CP731" s="151" t="str">
        <f>IF('IWP24'!Std10dot6b = 0, "", 'IWP24'!Std10dot6b)</f>
        <v/>
      </c>
      <c r="CQ731" s="151" t="str">
        <f>IF('IWP24'!Std10dot6c = 0, "", 'IWP24'!Std10dot6c)</f>
        <v/>
      </c>
      <c r="CR731" s="151" t="str">
        <f>IF('IWP24'!Std10dot6 = "", "", 'IWP24'!Std10dot6)</f>
        <v/>
      </c>
      <c r="CS731" s="151" t="str">
        <f>IF('IWP24'!Std11dot1aNotCalc = 0, "", 'IWP24'!Std11dot1aNotCalc)</f>
        <v/>
      </c>
      <c r="CT731" s="151" t="str">
        <f>IF('IWP24'!Std11dot1bNotCalc = 0, "", 'IWP24'!Std11dot1bNotCalc)</f>
        <v>N</v>
      </c>
      <c r="CU731" s="151" t="str">
        <f>IF('IWP24'!Std11dot1cNotCalc = 0, "", 'IWP24'!Std11dot1cNotCalc)</f>
        <v>N</v>
      </c>
      <c r="CV731" s="151" t="str">
        <f>IF('IWP24'!Std11dot1dNotCalc = 0, "", 'IWP24'!Std11dot1dNotCalc)</f>
        <v/>
      </c>
      <c r="CW731" s="151" t="str">
        <f>IF('IWP24'!Std11dot1eNotCalc = 0, "", 'IWP24'!Std11dot1eNotCalc)</f>
        <v/>
      </c>
      <c r="CX731" s="151" t="str">
        <f>IF('IWP24'!Std11dot1fNotCalc = 0, "", 'IWP24'!Std11dot1fNotCalc)</f>
        <v/>
      </c>
      <c r="CY731" s="151" t="str">
        <f>IF('IWP24'!Std11dot1PrivateLivingSpace = 0, "", 'IWP24'!Std11dot1PrivateLivingSpace)</f>
        <v/>
      </c>
      <c r="CZ731" s="155">
        <f>'IWP24'!Std11dot1LivingWidth</f>
        <v>0</v>
      </c>
      <c r="DA731" s="155">
        <f>'IWP24'!Std11dot1LivingLength</f>
        <v>0</v>
      </c>
      <c r="DB731" s="155">
        <f>IF('IWP24'!Std11dot1LivingSqFt = "", MINVALDBL, 'IWP24'!Std11dot1LivingSqFt)</f>
        <v>-99999.99</v>
      </c>
      <c r="DC731" s="151" t="str">
        <f>IF('IWP24'!Std11dot1PrivateLivingSpace = 0, "", 'IWP24'!Std11dot1PrivateLivingSpace)</f>
        <v/>
      </c>
      <c r="DD731" s="155">
        <f>'IWP24'!Std11dot1LivingWidth</f>
        <v>0</v>
      </c>
      <c r="DE731" s="155">
        <f>'IWP24'!Std11dot1LivingLength</f>
        <v>0</v>
      </c>
      <c r="DF731" s="155">
        <f>IF('IWP24'!Std11dot1LivingSqFt = "", MINVALDBL, 'IWP24'!Std11dot1LivingSqFt)</f>
        <v>-99999.99</v>
      </c>
      <c r="DG731" s="151" t="str">
        <f>IF('IWP24'!Std11dot1PrivateBedSpace = 0, "", 'IWP24'!Std11dot1PrivateBedSpace)</f>
        <v/>
      </c>
      <c r="DH731" s="155">
        <f>'IWP24'!Std11dot1BdrmWidth</f>
        <v>0</v>
      </c>
      <c r="DI731" s="155">
        <f>'IWP24'!Std11dot1BdrmLength</f>
        <v>0</v>
      </c>
      <c r="DJ731" s="155">
        <f>IF('IWP24'!Std11dot1BdrmSqFt = "", MINVALDBL, 'IWP24'!Std11dot1BdrmSqFt)</f>
        <v>-99999.99</v>
      </c>
      <c r="DK731" s="151" t="str">
        <f>IF('IWP24'!Std11dot1PrivateStorageSpace = 0, "", 'IWP24'!Std11dot1PrivateStorageSpace)</f>
        <v/>
      </c>
      <c r="DL731" s="155">
        <f>'IWP24'!Std11dot1StorageWidth</f>
        <v>0</v>
      </c>
      <c r="DM731" s="155">
        <f>'IWP24'!Std11dot1StorageLength</f>
        <v>0</v>
      </c>
      <c r="DN731" s="155">
        <f>IF('IWP24'!Std11dot1StorageSqFt = "", 0, 'IWP24'!Std11dot1StorageSqFt)</f>
        <v>0</v>
      </c>
      <c r="DO731" s="151" t="str">
        <f>IF('IWP24'!Std11dot1PrivateKitchenSpace = 0, "", 'IWP24'!Std11dot1PrivateKitchenSpace)</f>
        <v/>
      </c>
      <c r="DP731" s="155">
        <f>'IWP24'!Std11dot1KitchenWidth</f>
        <v>0</v>
      </c>
      <c r="DQ731" s="155">
        <f>'IWP24'!Std11dot1KitchenLength</f>
        <v>0</v>
      </c>
      <c r="DR731" s="155">
        <f>IF('IWP24'!Std11dot1KitchenSqFt = "", MINVALDBL, 'IWP24'!Std11dot1KitchenSqFt)</f>
        <v>-99999.99</v>
      </c>
      <c r="DS731" s="151" t="str">
        <f>IF('IWP24'!Std11dot1KitchenSink = 0, "", 'IWP24'!Std11dot1KitchenSink)</f>
        <v/>
      </c>
      <c r="DT731" s="151" t="str">
        <f>IF('IWP24'!Std11dot1Refrigerator = 0, "", 'IWP24'!Std11dot1Refrigerator)</f>
        <v/>
      </c>
      <c r="DU731" s="151" t="str">
        <f>IF('IWP24'!Std11dot1StoveMicrowave = 0, "", 'IWP24'!Std11dot1StoveMicrowave)</f>
        <v/>
      </c>
      <c r="DV731" s="151" t="str">
        <f>IF('IWP24'!Std11dot1SeparateBath = 0, "", 'IWP24'!Std11dot1SeparateBath)</f>
        <v/>
      </c>
      <c r="DW731" s="151" t="str">
        <f>IF('IWP24'!Std11dot1BathSink = 0, "", 'IWP24'!Std11dot1BathSink)</f>
        <v/>
      </c>
      <c r="DX731" s="151" t="str">
        <f>IF('IWP24'!Std11dot1ShowerTubAccessible = 0, "", 'IWP24'!Std11dot1ShowerTubAccessible)</f>
        <v/>
      </c>
      <c r="DY731" s="155">
        <f>'IWP24'!Std11dot1TotalPrivateSpace</f>
        <v>0</v>
      </c>
      <c r="DZ731" s="155">
        <f>'IWP24'!Std11dot1PrivateSpaceSquareFootagePerResident</f>
        <v>0</v>
      </c>
      <c r="EA731" s="155">
        <f>IF('IWP24'!Std11dot1TotalSquareFootagePerResident = "", MINVALDBL, 'IWP24'!Std11dot1TotalSquareFootagePerResident)</f>
        <v>-99999.99</v>
      </c>
      <c r="EB731" s="155">
        <f>'IWP24'!Std11dot1UseableCommonAreaSquareFootage</f>
        <v>0</v>
      </c>
      <c r="EC731" s="155">
        <f>'IWP24'!Std11dot1LicensedCapacity</f>
        <v>0</v>
      </c>
      <c r="ED731" s="155">
        <f>IF('IWP24'!Std11dot1CommonAreaSquareFootagePerResident = "", MINVALDBL, 'IWP24'!Std11dot1CommonAreaSquareFootagePerResident)</f>
        <v>-99999.99</v>
      </c>
      <c r="EE731" s="151" t="str">
        <f>IF('IWP24'!Std11dot1a = 0, "", 'IWP24'!Std11dot1a)</f>
        <v/>
      </c>
      <c r="EF731" s="151" t="str">
        <f>IF('IWP24'!Std11dot1b = 0, "", 'IWP24'!Std11dot1b)</f>
        <v/>
      </c>
      <c r="EG731" s="151" t="str">
        <f>IF('IWP24'!Std11dot1c = 0, "", 'IWP24'!Std11dot1c)</f>
        <v/>
      </c>
      <c r="EH731" s="151" t="str">
        <f>IF('IWP24'!Std11dot1d = 0, "", 'IWP24'!Std11dot1d)</f>
        <v/>
      </c>
      <c r="EI731" s="151" t="str">
        <f>IF('IWP24'!Std11dot1e = 0, "", 'IWP24'!Std11dot1e)</f>
        <v/>
      </c>
      <c r="EJ731" s="151" t="str">
        <f>IF('IWP24'!Std11dot1f = 0, "", 'IWP24'!Std11dot1f)</f>
        <v/>
      </c>
      <c r="EK731" s="151" t="str">
        <f>IF('IWP24'!Std11dot1g = 0, "", 'IWP24'!Std11dot1g)</f>
        <v/>
      </c>
      <c r="EL731" s="151" t="str">
        <f>IF('IWP24'!Std11dot1h = 0, "", 'IWP24'!Std11dot1h)</f>
        <v/>
      </c>
      <c r="EM731" s="151" t="str">
        <f>IF('IWP24'!Std11dot1i = 0, "", 'IWP24'!Std11dot1i)</f>
        <v/>
      </c>
      <c r="EN731" s="151" t="str">
        <f>IF('IWP24'!Std11dot1j = 0, "", 'IWP24'!Std11dot1j)</f>
        <v/>
      </c>
      <c r="EO731" s="151" t="str">
        <f>IF('IWP24'!Std11dot1k = 0, "", 'IWP24'!Std11dot1k)</f>
        <v/>
      </c>
      <c r="EP731" s="151" t="str">
        <f>IF('IWP24'!Std11dot1 = 0, "", 'IWP24'!Std11dot1)</f>
        <v/>
      </c>
      <c r="EQ731" s="151" t="str">
        <f>IF('IWP24'!Std11dot2 = 0, "", 'IWP24'!Std11dot2)</f>
        <v/>
      </c>
      <c r="ER731" s="151" t="str">
        <f>IF('IWP24'!Std11dot3 = 0, "", 'IWP24'!Std11dot3)</f>
        <v/>
      </c>
      <c r="ES731" s="151" t="str">
        <f>IF('IWP24'!Std11dot4 = 0, "", 'IWP24'!Std11dot4)</f>
        <v>NA</v>
      </c>
      <c r="ET731" s="157">
        <f>IF('IWP24'!$A$363=DATE(1900,1,0), DATE(1900,1,1), 'IWP24'!$A$363)</f>
        <v>1</v>
      </c>
      <c r="EU731" s="155">
        <f>'IWP24'!$C$363</f>
        <v>0</v>
      </c>
      <c r="EV731" s="155">
        <f>'IWP24'!$E$363</f>
        <v>0</v>
      </c>
      <c r="EW731" s="157">
        <f>IF('IWP24'!$G$363=DATE(1900,1,0), DATE(1900,1,1), 'IWP24'!$G$363)</f>
        <v>1</v>
      </c>
      <c r="EX731" s="155">
        <f>'IWP24'!$I$363</f>
        <v>0</v>
      </c>
      <c r="EY731" s="155">
        <f>'IWP24'!$K$363</f>
        <v>0</v>
      </c>
      <c r="EZ731" s="157">
        <f>IF('IWP24'!$M$363=DATE(1900,1,0), DATE(1900,1,1), 'IWP24'!$M$363)</f>
        <v>1</v>
      </c>
      <c r="FA731" s="151" t="str">
        <f>IF('IWP24'!$O$363 = 0, "", 'IWP24'!$O$363)</f>
        <v/>
      </c>
      <c r="FB731" s="151" t="str">
        <f>IF('IWP24'!$Q$363 = 0, "", 'IWP24'!$Q$363)</f>
        <v/>
      </c>
      <c r="FC731" s="151" t="str">
        <f>IF('IWP24'!Std11dot5a = 0, "", 'IWP24'!Std11dot5a)</f>
        <v/>
      </c>
      <c r="FD731" s="151" t="str">
        <f>IF('IWP24'!Std11dot5b = 0, "", 'IWP24'!Std11dot5b)</f>
        <v/>
      </c>
      <c r="FE731" s="151" t="str">
        <f>IF('IWP24'!Std11dot5ci = 0, "", 'IWP24'!Std11dot5ci)</f>
        <v>NA</v>
      </c>
      <c r="FF731" s="151" t="str">
        <f>IF('IWP24'!Std11dot5cii = 0, "", 'IWP24'!Std11dot5cii)</f>
        <v>NA</v>
      </c>
      <c r="FG731" s="151" t="str">
        <f>IF('IWP24'!Std11dot5 = 0, "", 'IWP24'!Std11dot5)</f>
        <v/>
      </c>
      <c r="FH731" s="207" t="str">
        <f>IF('IWP24'!Std11dot1AptGrandFthr = "", "", 'IWP24'!Std11dot1AptGrandFthr)</f>
        <v/>
      </c>
    </row>
    <row r="732" spans="1:164">
      <c r="A732" s="206" t="s">
        <v>1328</v>
      </c>
      <c r="B732" s="157">
        <f>IF('Samples (Print)'!D29=DATE(1900,1,0),DATE(1900,1,1),'Samples (Print)'!D29)</f>
        <v>1</v>
      </c>
      <c r="C732" s="157">
        <f>IF('Samples (Print)'!E29=DATE(1900,1,0),DATE(1900,1,1),'Samples (Print)'!E29)</f>
        <v>1</v>
      </c>
      <c r="D732" s="319">
        <f>IF('IWP25'!FiscalReviewFirstMonth =DATE(1900,1,0),DATE(1900,1,1),'IWP25'!FiscalReviewFirstMonth)</f>
        <v>1</v>
      </c>
      <c r="E732" s="319">
        <f>IF('IWP25'!FiscalReviewSecondMonth =DATE(1900,1,0),DATE(1900,1,1),'IWP25'!FiscalReviewSecondMonth)</f>
        <v>1</v>
      </c>
      <c r="F732" s="13">
        <f>'IWP25'!SampleNumber</f>
        <v>25</v>
      </c>
      <c r="G732" s="13">
        <f ca="1">'IWP25'!ClientID</f>
        <v>0</v>
      </c>
      <c r="H732" s="283"/>
      <c r="I732" s="283"/>
      <c r="J732" s="151" t="str">
        <f ca="1">IF('IWP25'!ContractNumber = 0, "", 'IWP25'!ContractNumber)</f>
        <v/>
      </c>
      <c r="K732" s="151" t="str">
        <f ca="1">IF('IWP25'!ContractType = 0, "", 'IWP25'!ContractType)</f>
        <v/>
      </c>
      <c r="L732" s="151" t="str">
        <f>IF('IWP25'!CompletedByLastName = 0, "", 'IWP25'!CompletedByLastName)</f>
        <v/>
      </c>
      <c r="M732" s="151" t="str">
        <f>IF('IWP25'!CompletedByFirstName = 0, "", 'IWP25'!CompletedByFirstName)</f>
        <v/>
      </c>
      <c r="N732" s="157">
        <f>IF('IWP25'!DateCompleted =DATE(1900,1,0),DATE(1900,1,1),'IWP25'!DateCompleted)</f>
        <v>1</v>
      </c>
      <c r="O732" s="151" t="str">
        <f>IF('IWP25'!Std3NotCalc = 0, "", 'IWP25'!Std3NotCalc)</f>
        <v/>
      </c>
      <c r="P732" s="157">
        <f>IF('IWP25'!Std3dot1DateOfAdmission =DATE(1900,1,0),DATE(1900,1,1),'IWP25'!Std3dot1DateOfAdmission)</f>
        <v>1</v>
      </c>
      <c r="Q732" s="151" t="str">
        <f>IF('IWP25'!Std3dot1a = 0, "", 'IWP25'!Std3dot1a)</f>
        <v/>
      </c>
      <c r="R732" s="151" t="str">
        <f>IF('IWP25'!Std3dot1b = 0, "", 'IWP25'!Std3dot1b)</f>
        <v/>
      </c>
      <c r="S732" s="151" t="str">
        <f>IF('IWP25'!Std3dot1c = 0, "", 'IWP25'!Std3dot1c)</f>
        <v>NA</v>
      </c>
      <c r="T732" s="151" t="str">
        <f>IF('IWP25'!Std3dot1 = 0, "", 'IWP25'!Std3dot1)</f>
        <v/>
      </c>
      <c r="U732" s="151" t="str">
        <f>IF('IWP25'!Std3dot2a = 0, "", 'IWP25'!Std3dot2a)</f>
        <v/>
      </c>
      <c r="V732" s="151" t="str">
        <f>IF('IWP25'!Std3dot2b = 0, "", 'IWP25'!Std3dot2b)</f>
        <v/>
      </c>
      <c r="W732" s="151" t="str">
        <f>IF('IWP25'!Std3dot2c = 0, "", 'IWP25'!Std3dot2c)</f>
        <v/>
      </c>
      <c r="X732" s="151" t="str">
        <f>IF('IWP25'!Std3dot2 = 0, "", 'IWP25'!Std3dot2)</f>
        <v/>
      </c>
      <c r="Y732" s="151" t="str">
        <f>IF('IWP25'!Std4dot1Month1 = 0, "", 'IWP25'!Std4dot1Month1)</f>
        <v/>
      </c>
      <c r="Z732" s="157">
        <f>IF('IWP25'!Std4dot1Month1Date =DATE(1900,1,0),DATE(1900,1,1),'IWP25'!Std4dot1Month1Date)</f>
        <v>1</v>
      </c>
      <c r="AA732" s="151" t="str">
        <f>IF('IWP25'!Std4dot1Month2 = 0, "", 'IWP25'!Std4dot1Month2)</f>
        <v/>
      </c>
      <c r="AB732" s="157">
        <f>IF('IWP25'!Std4dot1Month2Date =DATE(1900,1,0),DATE(1900,1,1),'IWP25'!Std4dot1Month2Date)</f>
        <v>1</v>
      </c>
      <c r="AC732" s="151" t="str">
        <f>IF('IWP25'!Std4dot1 = 0, "", 'IWP25'!Std4dot1)</f>
        <v/>
      </c>
      <c r="AD732" s="151" t="str">
        <f>IF('IWP25'!Std4dot2NotCalc = 0, "", 'IWP25'!Std4dot2NotCalc)</f>
        <v/>
      </c>
      <c r="AE732" s="151" t="str">
        <f>IF('IWP25'!Std4dot2 = 0, "", 'IWP25'!Std4dot2)</f>
        <v/>
      </c>
      <c r="AF732" s="151" t="str">
        <f>IF('IWP25'!Std4dot3 = 0, "", 'IWP25'!Std4dot3)</f>
        <v/>
      </c>
      <c r="AG732" s="151" t="str">
        <f>IF('IWP25'!Std4dot4 = 0, "", 'IWP25'!Std4dot4)</f>
        <v/>
      </c>
      <c r="AH732" s="151" t="str">
        <f>IF('IWP25'!Std5NotCalc = 0, "", 'IWP25'!Std5NotCalc)</f>
        <v/>
      </c>
      <c r="AI732" s="151" t="str">
        <f>IF('IWP25'!Std5dot1 = 0, "", 'IWP25'!Std5dot1)</f>
        <v/>
      </c>
      <c r="AJ732" s="151" t="str">
        <f>IF('IWP25'!Std7dot1NotCalc = 0, "", 'IWP25'!Std7dot1NotCalc)</f>
        <v/>
      </c>
      <c r="AK732" s="151" t="str">
        <f>IF('IWP25'!Std7dot1NotCalc = 0, "", 'IWP25'!Std7dot1NotCalc)</f>
        <v/>
      </c>
      <c r="AL732" s="155">
        <f>'IWP25'!Std7dot1BalPerCshLog</f>
        <v>0</v>
      </c>
      <c r="AM732" s="155">
        <f>'IWP25'!Std7dot1LessAdj</f>
        <v>0</v>
      </c>
      <c r="AN732" s="155">
        <f>'IWP25'!Std7dot1AdjBal</f>
        <v>0</v>
      </c>
      <c r="AO732" s="155">
        <f>'IWP25'!Std7dot1CshOnHand</f>
        <v>0</v>
      </c>
      <c r="AP732" s="155">
        <f>'IWP25'!Std7dot1PtyCshOvrShrt</f>
        <v>0</v>
      </c>
      <c r="AQ732" s="151" t="str">
        <f>IF('IWP25'!Std7dot1OvrShrtCorr = 0, "", 'IWP25'!Std7dot1OvrShrtCorr)</f>
        <v/>
      </c>
      <c r="AR732" s="151" t="str">
        <f>IF('IWP25'!Std7dot1 = 0, "", 'IWP25'!Std7dot1)</f>
        <v/>
      </c>
      <c r="AS732" s="151" t="str">
        <f>IF('IWP25'!Std9dot1aNotCalc = 0, "", 'IWP25'!Std9dot1aNotCalc)</f>
        <v/>
      </c>
      <c r="AT732" s="151" t="str">
        <f>IF('IWP25'!Std9dot1bNotCalc = 0, "", 'IWP25'!Std9dot1bNotCalc)</f>
        <v/>
      </c>
      <c r="AU732" s="157">
        <f>IF('IWP25'!Std9BalPerBnkStmtDt =DATE(1900,1,0),DATE(1900,1,1),'IWP25'!Std9BalPerBnkStmtDt)</f>
        <v>1</v>
      </c>
      <c r="AV732" s="155">
        <f>'IWP25'!Std9BalPerBnkStmt</f>
        <v>0</v>
      </c>
      <c r="AW732" s="155">
        <f>'IWP25'!Std9TotDepsInTrans</f>
        <v>0</v>
      </c>
      <c r="AX732" s="155">
        <f>'IWP25'!Std9TotOutsChks</f>
        <v>0</v>
      </c>
      <c r="AY732" s="155">
        <f>'IWP25'!Std9AdjBalPerBank</f>
        <v>0</v>
      </c>
      <c r="AZ732" s="157">
        <f>IF('IWP25'!Std9TotPtyCshIndvDt =DATE(1900,1,0),DATE(1900,1,1),'IWP25'!Std9TotPtyCshIndvDt)</f>
        <v>1</v>
      </c>
      <c r="BA732" s="155">
        <f>'IWP25'!Std9TotPtyCshIndv</f>
        <v>0</v>
      </c>
      <c r="BB732" s="155">
        <f>'IWP25'!Std9TotCshBnkAndHnd</f>
        <v>0</v>
      </c>
      <c r="BC732" s="157">
        <f>IF('IWP25'!Std9BalPerBksDt =DATE(1900,1,0),DATE(1900,1,1),'IWP25'!Std9BalPerBksDt)</f>
        <v>1</v>
      </c>
      <c r="BD732" s="155">
        <f>'IWP25'!Std9BalPerBks</f>
        <v>0</v>
      </c>
      <c r="BE732" s="155">
        <f>'IWP25'!Std9UnapplErndInt</f>
        <v>0</v>
      </c>
      <c r="BF732" s="155">
        <f>'IWP25'!Std9UnpstdRcptDsbrsmts</f>
        <v>0</v>
      </c>
      <c r="BG732" s="155">
        <f>'IWP25'!Std9NsfChks</f>
        <v>0</v>
      </c>
      <c r="BH732" s="155">
        <f>'IWP25'!Std9AdjBalPerBks</f>
        <v>0</v>
      </c>
      <c r="BI732" s="155">
        <f>'IWP25'!Std9TrstFndAcctOvrShrt</f>
        <v>0</v>
      </c>
      <c r="BJ732" s="151" t="str">
        <f>IF('IWP25'!Std9OvrShrtCorrctd = 0, "", 'IWP25'!Std9OvrShrtCorrctd)</f>
        <v/>
      </c>
      <c r="BK732" s="151" t="str">
        <f>IF('IWP25'!Std9ShrtUnreimbSvcChg = 0, "", 'IWP25'!Std9ShrtUnreimbSvcChg)</f>
        <v/>
      </c>
      <c r="BL732" s="151" t="str">
        <f>IF('IWP25'!Std9dot1 = 0, "", 'IWP25'!Std9dot1)</f>
        <v/>
      </c>
      <c r="BM732" s="151" t="str">
        <f>IF('IWP25'!Std10dot1NotCalc = 0, "", 'IWP25'!Std10dot1NotCalc)</f>
        <v/>
      </c>
      <c r="BN732" s="319">
        <f>IF('IWP25'!FiscalReviewFirstMonth =DATE(1900,1,0),DATE(1900,1,1),'IWP25'!FiscalReviewFirstMonth)</f>
        <v>1</v>
      </c>
      <c r="BO732" s="155">
        <f>'IWP25'!Std10dot1TotalAmt1</f>
        <v>0</v>
      </c>
      <c r="BP732" s="319">
        <f>IF('IWP25'!FiscalReviewSecondMonth =DATE(1900,1,0),DATE(1900,1,1),'IWP25'!FiscalReviewSecondMonth)</f>
        <v>1</v>
      </c>
      <c r="BQ732" s="155">
        <f>'IWP25'!Std10dot1TotalAmt2</f>
        <v>0</v>
      </c>
      <c r="BR732" s="151" t="str">
        <f>IF('IWP25'!Std10dot1 = 0, "", 'IWP25'!Std10dot1)</f>
        <v/>
      </c>
      <c r="BS732" s="151" t="str">
        <f>IF('IWP25'!Std10dot2NotCalc = 0, "", 'IWP25'!Std10dot2NotCalc)</f>
        <v/>
      </c>
      <c r="BT732" s="319">
        <f>IF('IWP25'!FiscalReviewFirstMonth =DATE(1900,1,0),DATE(1900,1,1),'IWP25'!FiscalReviewFirstMonth)</f>
        <v>1</v>
      </c>
      <c r="BU732" s="155">
        <f>'IWP25'!Std10dot2BankChgs1</f>
        <v>0</v>
      </c>
      <c r="BV732" s="319">
        <f>IF('IWP25'!FiscalReviewSecondMonth =DATE(1900,1,0),DATE(1900,1,1),'IWP25'!FiscalReviewSecondMonth)</f>
        <v>1</v>
      </c>
      <c r="BW732" s="155">
        <f>'IWP25'!Std10dot2BankChgs2</f>
        <v>0</v>
      </c>
      <c r="BX732" s="151" t="str">
        <f>IF('IWP25'!Std10dot2 = 0, "", 'IWP25'!Std10dot2)</f>
        <v/>
      </c>
      <c r="BY732" s="151" t="str">
        <f>IF('IWP25'!Std10dot3NotCalc = 0, "", 'IWP25'!Std10dot3NotCalc)</f>
        <v/>
      </c>
      <c r="BZ732" s="151" t="str">
        <f>IF('IWP25'!Std10dot3 = 0, "", 'IWP25'!Std10dot3)</f>
        <v/>
      </c>
      <c r="CA732" s="151" t="str">
        <f>IF('IWP25'!Std10dot4NotCalc = 0, "", 'IWP25'!Std10dot4NotCalc)</f>
        <v/>
      </c>
      <c r="CB732" s="151" t="str">
        <f>IF('IWP25'!Std10dot4 = 0, "", 'IWP25'!Std10dot4)</f>
        <v/>
      </c>
      <c r="CC732" s="151" t="str">
        <f>IF('IWP25'!Std10dot5 = 0, "", 'IWP25'!Std10dot5)</f>
        <v/>
      </c>
      <c r="CD732" s="151" t="str">
        <f>IF('IWP25'!Std10dot6NotCalc = 0, "", 'IWP25'!Std10dot6NotCalc)</f>
        <v/>
      </c>
      <c r="CE732" s="157">
        <f>IF('IWP25'!Std10dot6DateOfDeathDischarge =DATE(1900,1,0),DATE(1900,1,1),'IWP25'!Std10dot6DateOfDeathDischarge)</f>
        <v>1</v>
      </c>
      <c r="CF732" s="151" t="str">
        <f>IF('IWP25'!Std10dot6DthDschg = 0, "", 'IWP25'!Std10dot6DthDschg)</f>
        <v/>
      </c>
      <c r="CG732" s="155">
        <f>'IWP25'!Std10dot6TrustFundAmtDue</f>
        <v>0</v>
      </c>
      <c r="CH732" s="155">
        <f>'IWP25'!Std10dot6IndvPtyCshAmtDue</f>
        <v>0</v>
      </c>
      <c r="CI732" s="155">
        <f>'IWP25'!Std10dot6TotRfndDue</f>
        <v>0</v>
      </c>
      <c r="CJ732" s="155">
        <f>'IWP25'!Std10dot6AmtRfnd</f>
        <v>0</v>
      </c>
      <c r="CK732" s="155">
        <f>'IWP25'!Std10dot6DminusE</f>
        <v>0</v>
      </c>
      <c r="CL732" s="151" t="str">
        <f>IF('IWP25'!Std10dot6LastName = 0, "", 'IWP25'!Std10dot6LastName)</f>
        <v/>
      </c>
      <c r="CM732" s="151" t="str">
        <f>IF('IWP25'!Std10dot6FirstName = 0, "", 'IWP25'!Std10dot6FirstName)</f>
        <v/>
      </c>
      <c r="CN732" s="157">
        <f>IF('IWP25'!Std10dot6DateOfRefund =DATE(1900,1,0),DATE(1900,1,1),'IWP25'!Std10dot6DateOfRefund)</f>
        <v>1</v>
      </c>
      <c r="CO732" s="151" t="str">
        <f>IF('IWP25'!Std10dot6a = 0, "", 'IWP25'!Std10dot6a)</f>
        <v/>
      </c>
      <c r="CP732" s="151" t="str">
        <f>IF('IWP25'!Std10dot6b = 0, "", 'IWP25'!Std10dot6b)</f>
        <v/>
      </c>
      <c r="CQ732" s="151" t="str">
        <f>IF('IWP25'!Std10dot6c = 0, "", 'IWP25'!Std10dot6c)</f>
        <v/>
      </c>
      <c r="CR732" s="151" t="str">
        <f>IF('IWP25'!Std10dot6 = "", "", 'IWP25'!Std10dot6)</f>
        <v/>
      </c>
      <c r="CS732" s="151" t="str">
        <f>IF('IWP25'!Std11dot1aNotCalc = 0, "", 'IWP25'!Std11dot1aNotCalc)</f>
        <v/>
      </c>
      <c r="CT732" s="151" t="str">
        <f>IF('IWP25'!Std11dot1bNotCalc = 0, "", 'IWP25'!Std11dot1bNotCalc)</f>
        <v>N</v>
      </c>
      <c r="CU732" s="151" t="str">
        <f>IF('IWP25'!Std11dot1cNotCalc = 0, "", 'IWP25'!Std11dot1cNotCalc)</f>
        <v>N</v>
      </c>
      <c r="CV732" s="151" t="str">
        <f>IF('IWP25'!Std11dot1dNotCalc = 0, "", 'IWP25'!Std11dot1dNotCalc)</f>
        <v/>
      </c>
      <c r="CW732" s="151" t="str">
        <f>IF('IWP25'!Std11dot1eNotCalc = 0, "", 'IWP25'!Std11dot1eNotCalc)</f>
        <v/>
      </c>
      <c r="CX732" s="151" t="str">
        <f>IF('IWP25'!Std11dot1fNotCalc = 0, "", 'IWP25'!Std11dot1fNotCalc)</f>
        <v/>
      </c>
      <c r="CY732" s="151" t="str">
        <f>IF('IWP25'!Std11dot1PrivateLivingSpace = 0, "", 'IWP25'!Std11dot1PrivateLivingSpace)</f>
        <v/>
      </c>
      <c r="CZ732" s="155">
        <f>'IWP25'!Std11dot1LivingWidth</f>
        <v>0</v>
      </c>
      <c r="DA732" s="155">
        <f>'IWP25'!Std11dot1LivingLength</f>
        <v>0</v>
      </c>
      <c r="DB732" s="155">
        <f>IF('IWP25'!Std11dot1LivingSqFt = "", MINVALDBL, 'IWP25'!Std11dot1LivingSqFt)</f>
        <v>-99999.99</v>
      </c>
      <c r="DC732" s="151" t="str">
        <f>IF('IWP25'!Std11dot1PrivateLivingSpace = 0, "", 'IWP25'!Std11dot1PrivateLivingSpace)</f>
        <v/>
      </c>
      <c r="DD732" s="155">
        <f>'IWP25'!Std11dot1LivingWidth</f>
        <v>0</v>
      </c>
      <c r="DE732" s="155">
        <f>'IWP25'!Std11dot1LivingLength</f>
        <v>0</v>
      </c>
      <c r="DF732" s="155">
        <f>IF('IWP25'!Std11dot1LivingSqFt = "", MINVALDBL, 'IWP25'!Std11dot1LivingSqFt)</f>
        <v>-99999.99</v>
      </c>
      <c r="DG732" s="151" t="str">
        <f>IF('IWP25'!Std11dot1PrivateBedSpace = 0, "", 'IWP25'!Std11dot1PrivateBedSpace)</f>
        <v/>
      </c>
      <c r="DH732" s="155">
        <f>'IWP25'!Std11dot1BdrmWidth</f>
        <v>0</v>
      </c>
      <c r="DI732" s="155">
        <f>'IWP25'!Std11dot1BdrmLength</f>
        <v>0</v>
      </c>
      <c r="DJ732" s="155">
        <f>IF('IWP25'!Std11dot1BdrmSqFt = "", MINVALDBL, 'IWP25'!Std11dot1BdrmSqFt)</f>
        <v>-99999.99</v>
      </c>
      <c r="DK732" s="151" t="str">
        <f>IF('IWP25'!Std11dot1PrivateStorageSpace = 0, "", 'IWP25'!Std11dot1PrivateStorageSpace)</f>
        <v/>
      </c>
      <c r="DL732" s="155">
        <f>'IWP25'!Std11dot1StorageWidth</f>
        <v>0</v>
      </c>
      <c r="DM732" s="155">
        <f>'IWP25'!Std11dot1StorageLength</f>
        <v>0</v>
      </c>
      <c r="DN732" s="155">
        <f>IF('IWP25'!Std11dot1StorageSqFt = "", 0, 'IWP25'!Std11dot1StorageSqFt)</f>
        <v>0</v>
      </c>
      <c r="DO732" s="151" t="str">
        <f>IF('IWP25'!Std11dot1PrivateKitchenSpace = 0, "", 'IWP25'!Std11dot1PrivateKitchenSpace)</f>
        <v/>
      </c>
      <c r="DP732" s="155">
        <f>'IWP25'!Std11dot1KitchenWidth</f>
        <v>0</v>
      </c>
      <c r="DQ732" s="155">
        <f>'IWP25'!Std11dot1KitchenLength</f>
        <v>0</v>
      </c>
      <c r="DR732" s="155">
        <f>IF('IWP25'!Std11dot1KitchenSqFt = "", MINVALDBL, 'IWP25'!Std11dot1KitchenSqFt)</f>
        <v>-99999.99</v>
      </c>
      <c r="DS732" s="151" t="str">
        <f>IF('IWP25'!Std11dot1KitchenSink = 0, "", 'IWP25'!Std11dot1KitchenSink)</f>
        <v/>
      </c>
      <c r="DT732" s="151" t="str">
        <f>IF('IWP25'!Std11dot1Refrigerator = 0, "", 'IWP25'!Std11dot1Refrigerator)</f>
        <v/>
      </c>
      <c r="DU732" s="151" t="str">
        <f>IF('IWP25'!Std11dot1StoveMicrowave = 0, "", 'IWP25'!Std11dot1StoveMicrowave)</f>
        <v/>
      </c>
      <c r="DV732" s="151" t="str">
        <f>IF('IWP25'!Std11dot1SeparateBath = 0, "", 'IWP25'!Std11dot1SeparateBath)</f>
        <v/>
      </c>
      <c r="DW732" s="151" t="str">
        <f>IF('IWP25'!Std11dot1BathSink = 0, "", 'IWP25'!Std11dot1BathSink)</f>
        <v/>
      </c>
      <c r="DX732" s="151" t="str">
        <f>IF('IWP25'!Std11dot1ShowerTubAccessible = 0, "", 'IWP25'!Std11dot1ShowerTubAccessible)</f>
        <v/>
      </c>
      <c r="DY732" s="155">
        <f>'IWP25'!Std11dot1TotalPrivateSpace</f>
        <v>0</v>
      </c>
      <c r="DZ732" s="155">
        <f>'IWP25'!Std11dot1PrivateSpaceSquareFootagePerResident</f>
        <v>0</v>
      </c>
      <c r="EA732" s="155">
        <f>IF('IWP25'!Std11dot1TotalSquareFootagePerResident = "", MINVALDBL, 'IWP25'!Std11dot1TotalSquareFootagePerResident)</f>
        <v>-99999.99</v>
      </c>
      <c r="EB732" s="155">
        <f>'IWP25'!Std11dot1UseableCommonAreaSquareFootage</f>
        <v>0</v>
      </c>
      <c r="EC732" s="155">
        <f>'IWP25'!Std11dot1LicensedCapacity</f>
        <v>0</v>
      </c>
      <c r="ED732" s="155">
        <f>IF('IWP25'!Std11dot1CommonAreaSquareFootagePerResident = "", MINVALDBL, 'IWP25'!Std11dot1CommonAreaSquareFootagePerResident)</f>
        <v>-99999.99</v>
      </c>
      <c r="EE732" s="151" t="str">
        <f>IF('IWP25'!Std11dot1a = 0, "", 'IWP25'!Std11dot1a)</f>
        <v/>
      </c>
      <c r="EF732" s="151" t="str">
        <f>IF('IWP25'!Std11dot1b = 0, "", 'IWP25'!Std11dot1b)</f>
        <v/>
      </c>
      <c r="EG732" s="151" t="str">
        <f>IF('IWP25'!Std11dot1c = 0, "", 'IWP25'!Std11dot1c)</f>
        <v/>
      </c>
      <c r="EH732" s="151" t="str">
        <f>IF('IWP25'!Std11dot1d = 0, "", 'IWP25'!Std11dot1d)</f>
        <v/>
      </c>
      <c r="EI732" s="151" t="str">
        <f>IF('IWP25'!Std11dot1e = 0, "", 'IWP25'!Std11dot1e)</f>
        <v/>
      </c>
      <c r="EJ732" s="151" t="str">
        <f>IF('IWP25'!Std11dot1f = 0, "", 'IWP25'!Std11dot1f)</f>
        <v/>
      </c>
      <c r="EK732" s="151" t="str">
        <f>IF('IWP25'!Std11dot1g = 0, "", 'IWP25'!Std11dot1g)</f>
        <v/>
      </c>
      <c r="EL732" s="151" t="str">
        <f>IF('IWP25'!Std11dot1h = 0, "", 'IWP25'!Std11dot1h)</f>
        <v/>
      </c>
      <c r="EM732" s="151" t="str">
        <f>IF('IWP25'!Std11dot1i = 0, "", 'IWP25'!Std11dot1i)</f>
        <v/>
      </c>
      <c r="EN732" s="151" t="str">
        <f>IF('IWP25'!Std11dot1j = 0, "", 'IWP25'!Std11dot1j)</f>
        <v/>
      </c>
      <c r="EO732" s="151" t="str">
        <f>IF('IWP25'!Std11dot1k = 0, "", 'IWP25'!Std11dot1k)</f>
        <v/>
      </c>
      <c r="EP732" s="151" t="str">
        <f>IF('IWP25'!Std11dot1 = 0, "", 'IWP25'!Std11dot1)</f>
        <v/>
      </c>
      <c r="EQ732" s="151" t="str">
        <f>IF('IWP25'!Std11dot2 = 0, "", 'IWP25'!Std11dot2)</f>
        <v/>
      </c>
      <c r="ER732" s="151" t="str">
        <f>IF('IWP25'!Std11dot3 = 0, "", 'IWP25'!Std11dot3)</f>
        <v/>
      </c>
      <c r="ES732" s="151" t="str">
        <f>IF('IWP25'!Std11dot4 = 0, "", 'IWP25'!Std11dot4)</f>
        <v>NA</v>
      </c>
      <c r="ET732" s="157">
        <f>IF('IWP25'!$A$363=DATE(1900,1,0), DATE(1900,1,1), 'IWP25'!$A$363)</f>
        <v>1</v>
      </c>
      <c r="EU732" s="155">
        <f>'IWP25'!$C$363</f>
        <v>0</v>
      </c>
      <c r="EV732" s="155">
        <f>'IWP25'!$E$363</f>
        <v>0</v>
      </c>
      <c r="EW732" s="157">
        <f>IF('IWP25'!$G$363=DATE(1900,1,0), DATE(1900,1,1), 'IWP25'!$G$363)</f>
        <v>1</v>
      </c>
      <c r="EX732" s="155">
        <f>'IWP25'!$I$363</f>
        <v>0</v>
      </c>
      <c r="EY732" s="155">
        <f>'IWP25'!$K$363</f>
        <v>0</v>
      </c>
      <c r="EZ732" s="157">
        <f>IF('IWP25'!$M$363=DATE(1900,1,0), DATE(1900,1,1), 'IWP25'!$M$363)</f>
        <v>1</v>
      </c>
      <c r="FA732" s="151" t="str">
        <f>IF('IWP25'!$O$363 = 0, "", 'IWP25'!$O$363)</f>
        <v/>
      </c>
      <c r="FB732" s="151" t="str">
        <f>IF('IWP25'!$Q$363 = 0, "", 'IWP25'!$Q$363)</f>
        <v/>
      </c>
      <c r="FC732" s="151" t="str">
        <f>IF('IWP25'!Std11dot5a = 0, "", 'IWP25'!Std11dot5a)</f>
        <v/>
      </c>
      <c r="FD732" s="151" t="str">
        <f>IF('IWP25'!Std11dot5b = 0, "", 'IWP25'!Std11dot5b)</f>
        <v/>
      </c>
      <c r="FE732" s="151" t="str">
        <f>IF('IWP25'!Std11dot5ci = 0, "", 'IWP25'!Std11dot5ci)</f>
        <v>NA</v>
      </c>
      <c r="FF732" s="151" t="str">
        <f>IF('IWP25'!Std11dot5cii = 0, "", 'IWP25'!Std11dot5cii)</f>
        <v>NA</v>
      </c>
      <c r="FG732" s="151" t="str">
        <f>IF('IWP25'!Std11dot5 = 0, "", 'IWP25'!Std11dot5)</f>
        <v/>
      </c>
      <c r="FH732" s="207" t="str">
        <f>IF('IWP25'!Std11dot1AptGrandFthr = "", "", 'IWP25'!Std11dot1AptGrandFthr)</f>
        <v/>
      </c>
    </row>
    <row r="733" spans="1:164">
      <c r="A733" s="206" t="s">
        <v>1329</v>
      </c>
      <c r="B733" s="157">
        <f>IF('Samples (Print)'!D30=DATE(1900,1,0),DATE(1900,1,1),'Samples (Print)'!D30)</f>
        <v>1</v>
      </c>
      <c r="C733" s="157">
        <f>IF('Samples (Print)'!E30=DATE(1900,1,0),DATE(1900,1,1),'Samples (Print)'!E30)</f>
        <v>1</v>
      </c>
      <c r="D733" s="319">
        <f>IF('IWP26'!FiscalReviewFirstMonth =DATE(1900,1,0),DATE(1900,1,1),'IWP26'!FiscalReviewFirstMonth)</f>
        <v>1</v>
      </c>
      <c r="E733" s="319">
        <f>IF('IWP26'!FiscalReviewSecondMonth =DATE(1900,1,0),DATE(1900,1,1),'IWP26'!FiscalReviewSecondMonth)</f>
        <v>1</v>
      </c>
      <c r="F733" s="13">
        <f>'IWP26'!SampleNumber</f>
        <v>26</v>
      </c>
      <c r="G733" s="13">
        <f ca="1">'IWP26'!ClientID</f>
        <v>0</v>
      </c>
      <c r="H733" s="283"/>
      <c r="I733" s="283"/>
      <c r="J733" s="151" t="str">
        <f ca="1">IF('IWP26'!ContractNumber = 0, "", 'IWP26'!ContractNumber)</f>
        <v/>
      </c>
      <c r="K733" s="151" t="str">
        <f ca="1">IF('IWP26'!ContractType = 0, "", 'IWP26'!ContractType)</f>
        <v/>
      </c>
      <c r="L733" s="151" t="str">
        <f>IF('IWP26'!CompletedByLastName = 0, "", 'IWP26'!CompletedByLastName)</f>
        <v/>
      </c>
      <c r="M733" s="151" t="str">
        <f>IF('IWP26'!CompletedByFirstName = 0, "", 'IWP26'!CompletedByFirstName)</f>
        <v/>
      </c>
      <c r="N733" s="157">
        <f>IF('IWP26'!DateCompleted =DATE(1900,1,0),DATE(1900,1,1),'IWP26'!DateCompleted)</f>
        <v>1</v>
      </c>
      <c r="O733" s="151" t="str">
        <f>IF('IWP26'!Std3NotCalc = 0, "", 'IWP26'!Std3NotCalc)</f>
        <v/>
      </c>
      <c r="P733" s="157">
        <f>IF('IWP26'!Std3dot1DateOfAdmission =DATE(1900,1,0),DATE(1900,1,1),'IWP26'!Std3dot1DateOfAdmission)</f>
        <v>1</v>
      </c>
      <c r="Q733" s="151" t="str">
        <f>IF('IWP26'!Std3dot1a = 0, "", 'IWP26'!Std3dot1a)</f>
        <v/>
      </c>
      <c r="R733" s="151" t="str">
        <f>IF('IWP26'!Std3dot1b = 0, "", 'IWP26'!Std3dot1b)</f>
        <v/>
      </c>
      <c r="S733" s="151" t="str">
        <f>IF('IWP26'!Std3dot1c = 0, "", 'IWP26'!Std3dot1c)</f>
        <v>NA</v>
      </c>
      <c r="T733" s="151" t="str">
        <f>IF('IWP26'!Std3dot1 = 0, "", 'IWP26'!Std3dot1)</f>
        <v/>
      </c>
      <c r="U733" s="151" t="str">
        <f>IF('IWP26'!Std3dot2a = 0, "", 'IWP26'!Std3dot2a)</f>
        <v/>
      </c>
      <c r="V733" s="151" t="str">
        <f>IF('IWP26'!Std3dot2b = 0, "", 'IWP26'!Std3dot2b)</f>
        <v/>
      </c>
      <c r="W733" s="151" t="str">
        <f>IF('IWP26'!Std3dot2c = 0, "", 'IWP26'!Std3dot2c)</f>
        <v/>
      </c>
      <c r="X733" s="151" t="str">
        <f>IF('IWP26'!Std3dot2 = 0, "", 'IWP26'!Std3dot2)</f>
        <v/>
      </c>
      <c r="Y733" s="151" t="str">
        <f>IF('IWP26'!Std4dot1Month1 = 0, "", 'IWP26'!Std4dot1Month1)</f>
        <v/>
      </c>
      <c r="Z733" s="157">
        <f>IF('IWP26'!Std4dot1Month1Date =DATE(1900,1,0),DATE(1900,1,1),'IWP26'!Std4dot1Month1Date)</f>
        <v>1</v>
      </c>
      <c r="AA733" s="151" t="str">
        <f>IF('IWP26'!Std4dot1Month2 = 0, "", 'IWP26'!Std4dot1Month2)</f>
        <v/>
      </c>
      <c r="AB733" s="157">
        <f>IF('IWP26'!Std4dot1Month2Date =DATE(1900,1,0),DATE(1900,1,1),'IWP26'!Std4dot1Month2Date)</f>
        <v>1</v>
      </c>
      <c r="AC733" s="151" t="str">
        <f>IF('IWP26'!Std4dot1 = 0, "", 'IWP26'!Std4dot1)</f>
        <v/>
      </c>
      <c r="AD733" s="151" t="str">
        <f>IF('IWP26'!Std4dot2NotCalc = 0, "", 'IWP26'!Std4dot2NotCalc)</f>
        <v/>
      </c>
      <c r="AE733" s="151" t="str">
        <f>IF('IWP26'!Std4dot2 = 0, "", 'IWP26'!Std4dot2)</f>
        <v/>
      </c>
      <c r="AF733" s="151" t="str">
        <f>IF('IWP26'!Std4dot3 = 0, "", 'IWP26'!Std4dot3)</f>
        <v/>
      </c>
      <c r="AG733" s="151" t="str">
        <f>IF('IWP26'!Std4dot4 = 0, "", 'IWP26'!Std4dot4)</f>
        <v/>
      </c>
      <c r="AH733" s="151" t="str">
        <f>IF('IWP26'!Std5NotCalc = 0, "", 'IWP26'!Std5NotCalc)</f>
        <v/>
      </c>
      <c r="AI733" s="151" t="str">
        <f>IF('IWP26'!Std5dot1 = 0, "", 'IWP26'!Std5dot1)</f>
        <v/>
      </c>
      <c r="AJ733" s="151" t="str">
        <f>IF('IWP26'!Std7dot1NotCalc = 0, "", 'IWP26'!Std7dot1NotCalc)</f>
        <v/>
      </c>
      <c r="AK733" s="151" t="str">
        <f>IF('IWP26'!Std7dot1NotCalc = 0, "", 'IWP26'!Std7dot1NotCalc)</f>
        <v/>
      </c>
      <c r="AL733" s="155">
        <f>'IWP26'!Std7dot1BalPerCshLog</f>
        <v>0</v>
      </c>
      <c r="AM733" s="155">
        <f>'IWP26'!Std7dot1LessAdj</f>
        <v>0</v>
      </c>
      <c r="AN733" s="155">
        <f>'IWP26'!Std7dot1AdjBal</f>
        <v>0</v>
      </c>
      <c r="AO733" s="155">
        <f>'IWP26'!Std7dot1CshOnHand</f>
        <v>0</v>
      </c>
      <c r="AP733" s="155">
        <f>'IWP26'!Std7dot1PtyCshOvrShrt</f>
        <v>0</v>
      </c>
      <c r="AQ733" s="151" t="str">
        <f>IF('IWP26'!Std7dot1OvrShrtCorr = 0, "", 'IWP26'!Std7dot1OvrShrtCorr)</f>
        <v/>
      </c>
      <c r="AR733" s="151" t="str">
        <f>IF('IWP26'!Std7dot1 = 0, "", 'IWP26'!Std7dot1)</f>
        <v/>
      </c>
      <c r="AS733" s="151" t="str">
        <f>IF('IWP26'!Std9dot1aNotCalc = 0, "", 'IWP26'!Std9dot1aNotCalc)</f>
        <v/>
      </c>
      <c r="AT733" s="151" t="str">
        <f>IF('IWP26'!Std9dot1bNotCalc = 0, "", 'IWP26'!Std9dot1bNotCalc)</f>
        <v/>
      </c>
      <c r="AU733" s="157">
        <f>IF('IWP26'!Std9BalPerBnkStmtDt =DATE(1900,1,0),DATE(1900,1,1),'IWP26'!Std9BalPerBnkStmtDt)</f>
        <v>1</v>
      </c>
      <c r="AV733" s="155">
        <f>'IWP26'!Std9BalPerBnkStmt</f>
        <v>0</v>
      </c>
      <c r="AW733" s="155">
        <f>'IWP26'!Std9TotDepsInTrans</f>
        <v>0</v>
      </c>
      <c r="AX733" s="155">
        <f>'IWP26'!Std9TotOutsChks</f>
        <v>0</v>
      </c>
      <c r="AY733" s="155">
        <f>'IWP26'!Std9AdjBalPerBank</f>
        <v>0</v>
      </c>
      <c r="AZ733" s="157">
        <f>IF('IWP26'!Std9TotPtyCshIndvDt =DATE(1900,1,0),DATE(1900,1,1),'IWP26'!Std9TotPtyCshIndvDt)</f>
        <v>1</v>
      </c>
      <c r="BA733" s="155">
        <f>'IWP26'!Std9TotPtyCshIndv</f>
        <v>0</v>
      </c>
      <c r="BB733" s="155">
        <f>'IWP26'!Std9TotCshBnkAndHnd</f>
        <v>0</v>
      </c>
      <c r="BC733" s="157">
        <f>IF('IWP26'!Std9BalPerBksDt =DATE(1900,1,0),DATE(1900,1,1),'IWP26'!Std9BalPerBksDt)</f>
        <v>1</v>
      </c>
      <c r="BD733" s="155">
        <f>'IWP26'!Std9BalPerBks</f>
        <v>0</v>
      </c>
      <c r="BE733" s="155">
        <f>'IWP26'!Std9UnapplErndInt</f>
        <v>0</v>
      </c>
      <c r="BF733" s="155">
        <f>'IWP26'!Std9UnpstdRcptDsbrsmts</f>
        <v>0</v>
      </c>
      <c r="BG733" s="155">
        <f>'IWP26'!Std9NsfChks</f>
        <v>0</v>
      </c>
      <c r="BH733" s="155">
        <f>'IWP26'!Std9AdjBalPerBks</f>
        <v>0</v>
      </c>
      <c r="BI733" s="155">
        <f>'IWP26'!Std9TrstFndAcctOvrShrt</f>
        <v>0</v>
      </c>
      <c r="BJ733" s="151" t="str">
        <f>IF('IWP26'!Std9OvrShrtCorrctd = 0, "", 'IWP26'!Std9OvrShrtCorrctd)</f>
        <v/>
      </c>
      <c r="BK733" s="151" t="str">
        <f>IF('IWP26'!Std9ShrtUnreimbSvcChg = 0, "", 'IWP26'!Std9ShrtUnreimbSvcChg)</f>
        <v/>
      </c>
      <c r="BL733" s="151" t="str">
        <f>IF('IWP26'!Std9dot1 = 0, "", 'IWP26'!Std9dot1)</f>
        <v/>
      </c>
      <c r="BM733" s="151" t="str">
        <f>IF('IWP26'!Std10dot1NotCalc = 0, "", 'IWP26'!Std10dot1NotCalc)</f>
        <v/>
      </c>
      <c r="BN733" s="319">
        <f>IF('IWP26'!FiscalReviewFirstMonth =DATE(1900,1,0),DATE(1900,1,1),'IWP26'!FiscalReviewFirstMonth)</f>
        <v>1</v>
      </c>
      <c r="BO733" s="155">
        <f>'IWP26'!Std10dot1TotalAmt1</f>
        <v>0</v>
      </c>
      <c r="BP733" s="319">
        <f>IF('IWP26'!FiscalReviewSecondMonth =DATE(1900,1,0),DATE(1900,1,1),'IWP26'!FiscalReviewSecondMonth)</f>
        <v>1</v>
      </c>
      <c r="BQ733" s="155">
        <f>'IWP26'!Std10dot1TotalAmt2</f>
        <v>0</v>
      </c>
      <c r="BR733" s="151" t="str">
        <f>IF('IWP26'!Std10dot1 = 0, "", 'IWP26'!Std10dot1)</f>
        <v/>
      </c>
      <c r="BS733" s="151" t="str">
        <f>IF('IWP26'!Std10dot2NotCalc = 0, "", 'IWP26'!Std10dot2NotCalc)</f>
        <v/>
      </c>
      <c r="BT733" s="319">
        <f>IF('IWP26'!FiscalReviewFirstMonth =DATE(1900,1,0),DATE(1900,1,1),'IWP26'!FiscalReviewFirstMonth)</f>
        <v>1</v>
      </c>
      <c r="BU733" s="155">
        <f>'IWP26'!Std10dot2BankChgs1</f>
        <v>0</v>
      </c>
      <c r="BV733" s="319">
        <f>IF('IWP26'!FiscalReviewSecondMonth =DATE(1900,1,0),DATE(1900,1,1),'IWP26'!FiscalReviewSecondMonth)</f>
        <v>1</v>
      </c>
      <c r="BW733" s="155">
        <f>'IWP26'!Std10dot2BankChgs2</f>
        <v>0</v>
      </c>
      <c r="BX733" s="151" t="str">
        <f>IF('IWP26'!Std10dot2 = 0, "", 'IWP26'!Std10dot2)</f>
        <v/>
      </c>
      <c r="BY733" s="151" t="str">
        <f>IF('IWP26'!Std10dot3NotCalc = 0, "", 'IWP26'!Std10dot3NotCalc)</f>
        <v/>
      </c>
      <c r="BZ733" s="151" t="str">
        <f>IF('IWP26'!Std10dot3 = 0, "", 'IWP26'!Std10dot3)</f>
        <v/>
      </c>
      <c r="CA733" s="151" t="str">
        <f>IF('IWP26'!Std10dot4NotCalc = 0, "", 'IWP26'!Std10dot4NotCalc)</f>
        <v/>
      </c>
      <c r="CB733" s="151" t="str">
        <f>IF('IWP26'!Std10dot4 = 0, "", 'IWP26'!Std10dot4)</f>
        <v/>
      </c>
      <c r="CC733" s="151" t="str">
        <f>IF('IWP26'!Std10dot5 = 0, "", 'IWP26'!Std10dot5)</f>
        <v/>
      </c>
      <c r="CD733" s="151" t="str">
        <f>IF('IWP26'!Std10dot6NotCalc = 0, "", 'IWP26'!Std10dot6NotCalc)</f>
        <v/>
      </c>
      <c r="CE733" s="157">
        <f>IF('IWP26'!Std10dot6DateOfDeathDischarge =DATE(1900,1,0),DATE(1900,1,1),'IWP26'!Std10dot6DateOfDeathDischarge)</f>
        <v>1</v>
      </c>
      <c r="CF733" s="151" t="str">
        <f>IF('IWP26'!Std10dot6DthDschg = 0, "", 'IWP26'!Std10dot6DthDschg)</f>
        <v/>
      </c>
      <c r="CG733" s="155">
        <f>'IWP26'!Std10dot6TrustFundAmtDue</f>
        <v>0</v>
      </c>
      <c r="CH733" s="155">
        <f>'IWP26'!Std10dot6IndvPtyCshAmtDue</f>
        <v>0</v>
      </c>
      <c r="CI733" s="155">
        <f>'IWP26'!Std10dot6TotRfndDue</f>
        <v>0</v>
      </c>
      <c r="CJ733" s="155">
        <f>'IWP26'!Std10dot6AmtRfnd</f>
        <v>0</v>
      </c>
      <c r="CK733" s="155">
        <f>'IWP26'!Std10dot6DminusE</f>
        <v>0</v>
      </c>
      <c r="CL733" s="151" t="str">
        <f>IF('IWP26'!Std10dot6LastName = 0, "", 'IWP26'!Std10dot6LastName)</f>
        <v/>
      </c>
      <c r="CM733" s="151" t="str">
        <f>IF('IWP26'!Std10dot6FirstName = 0, "", 'IWP26'!Std10dot6FirstName)</f>
        <v/>
      </c>
      <c r="CN733" s="157">
        <f>IF('IWP26'!Std10dot6DateOfRefund =DATE(1900,1,0),DATE(1900,1,1),'IWP26'!Std10dot6DateOfRefund)</f>
        <v>1</v>
      </c>
      <c r="CO733" s="151" t="str">
        <f>IF('IWP26'!Std10dot6a = 0, "", 'IWP26'!Std10dot6a)</f>
        <v/>
      </c>
      <c r="CP733" s="151" t="str">
        <f>IF('IWP26'!Std10dot6b = 0, "", 'IWP26'!Std10dot6b)</f>
        <v/>
      </c>
      <c r="CQ733" s="151" t="str">
        <f>IF('IWP26'!Std10dot6c = 0, "", 'IWP26'!Std10dot6c)</f>
        <v/>
      </c>
      <c r="CR733" s="151" t="str">
        <f>IF('IWP26'!Std10dot6 = "", "", 'IWP26'!Std10dot6)</f>
        <v/>
      </c>
      <c r="CS733" s="151" t="str">
        <f>IF('IWP26'!Std11dot1aNotCalc = 0, "", 'IWP26'!Std11dot1aNotCalc)</f>
        <v/>
      </c>
      <c r="CT733" s="151" t="str">
        <f>IF('IWP26'!Std11dot1bNotCalc = 0, "", 'IWP26'!Std11dot1bNotCalc)</f>
        <v>N</v>
      </c>
      <c r="CU733" s="151" t="str">
        <f>IF('IWP26'!Std11dot1cNotCalc = 0, "", 'IWP26'!Std11dot1cNotCalc)</f>
        <v>N</v>
      </c>
      <c r="CV733" s="151" t="str">
        <f>IF('IWP26'!Std11dot1dNotCalc = 0, "", 'IWP26'!Std11dot1dNotCalc)</f>
        <v/>
      </c>
      <c r="CW733" s="151" t="str">
        <f>IF('IWP26'!Std11dot1eNotCalc = 0, "", 'IWP26'!Std11dot1eNotCalc)</f>
        <v/>
      </c>
      <c r="CX733" s="151" t="str">
        <f>IF('IWP26'!Std11dot1fNotCalc = 0, "", 'IWP26'!Std11dot1fNotCalc)</f>
        <v/>
      </c>
      <c r="CY733" s="151" t="str">
        <f>IF('IWP26'!Std11dot1PrivateLivingSpace = 0, "", 'IWP26'!Std11dot1PrivateLivingSpace)</f>
        <v/>
      </c>
      <c r="CZ733" s="155">
        <f>'IWP26'!Std11dot1LivingWidth</f>
        <v>0</v>
      </c>
      <c r="DA733" s="155">
        <f>'IWP26'!Std11dot1LivingLength</f>
        <v>0</v>
      </c>
      <c r="DB733" s="155">
        <f>IF('IWP26'!Std11dot1LivingSqFt = "", MINVALDBL, 'IWP26'!Std11dot1LivingSqFt)</f>
        <v>-99999.99</v>
      </c>
      <c r="DC733" s="151" t="str">
        <f>IF('IWP26'!Std11dot1PrivateLivingSpace = 0, "", 'IWP26'!Std11dot1PrivateLivingSpace)</f>
        <v/>
      </c>
      <c r="DD733" s="155">
        <f>'IWP26'!Std11dot1LivingWidth</f>
        <v>0</v>
      </c>
      <c r="DE733" s="155">
        <f>'IWP26'!Std11dot1LivingLength</f>
        <v>0</v>
      </c>
      <c r="DF733" s="155">
        <f>IF('IWP26'!Std11dot1LivingSqFt = "", MINVALDBL, 'IWP26'!Std11dot1LivingSqFt)</f>
        <v>-99999.99</v>
      </c>
      <c r="DG733" s="151" t="str">
        <f>IF('IWP26'!Std11dot1PrivateBedSpace = 0, "", 'IWP26'!Std11dot1PrivateBedSpace)</f>
        <v/>
      </c>
      <c r="DH733" s="155">
        <f>'IWP26'!Std11dot1BdrmWidth</f>
        <v>0</v>
      </c>
      <c r="DI733" s="155">
        <f>'IWP26'!Std11dot1BdrmLength</f>
        <v>0</v>
      </c>
      <c r="DJ733" s="155">
        <f>IF('IWP26'!Std11dot1BdrmSqFt = "", MINVALDBL, 'IWP26'!Std11dot1BdrmSqFt)</f>
        <v>-99999.99</v>
      </c>
      <c r="DK733" s="151" t="str">
        <f>IF('IWP26'!Std11dot1PrivateStorageSpace = 0, "", 'IWP26'!Std11dot1PrivateStorageSpace)</f>
        <v/>
      </c>
      <c r="DL733" s="155">
        <f>'IWP26'!Std11dot1StorageWidth</f>
        <v>0</v>
      </c>
      <c r="DM733" s="155">
        <f>'IWP26'!Std11dot1StorageLength</f>
        <v>0</v>
      </c>
      <c r="DN733" s="155">
        <f>IF('IWP26'!Std11dot1StorageSqFt = "", 0, 'IWP26'!Std11dot1StorageSqFt)</f>
        <v>0</v>
      </c>
      <c r="DO733" s="151" t="str">
        <f>IF('IWP26'!Std11dot1PrivateKitchenSpace = 0, "", 'IWP26'!Std11dot1PrivateKitchenSpace)</f>
        <v/>
      </c>
      <c r="DP733" s="155">
        <f>'IWP26'!Std11dot1KitchenWidth</f>
        <v>0</v>
      </c>
      <c r="DQ733" s="155">
        <f>'IWP26'!Std11dot1KitchenLength</f>
        <v>0</v>
      </c>
      <c r="DR733" s="155">
        <f>IF('IWP26'!Std11dot1KitchenSqFt = "", MINVALDBL, 'IWP26'!Std11dot1KitchenSqFt)</f>
        <v>-99999.99</v>
      </c>
      <c r="DS733" s="151" t="str">
        <f>IF('IWP26'!Std11dot1KitchenSink = 0, "", 'IWP26'!Std11dot1KitchenSink)</f>
        <v/>
      </c>
      <c r="DT733" s="151" t="str">
        <f>IF('IWP26'!Std11dot1Refrigerator = 0, "", 'IWP26'!Std11dot1Refrigerator)</f>
        <v/>
      </c>
      <c r="DU733" s="151" t="str">
        <f>IF('IWP26'!Std11dot1StoveMicrowave = 0, "", 'IWP26'!Std11dot1StoveMicrowave)</f>
        <v/>
      </c>
      <c r="DV733" s="151" t="str">
        <f>IF('IWP26'!Std11dot1SeparateBath = 0, "", 'IWP26'!Std11dot1SeparateBath)</f>
        <v/>
      </c>
      <c r="DW733" s="151" t="str">
        <f>IF('IWP26'!Std11dot1BathSink = 0, "", 'IWP26'!Std11dot1BathSink)</f>
        <v/>
      </c>
      <c r="DX733" s="151" t="str">
        <f>IF('IWP26'!Std11dot1ShowerTubAccessible = 0, "", 'IWP26'!Std11dot1ShowerTubAccessible)</f>
        <v/>
      </c>
      <c r="DY733" s="155">
        <f>'IWP26'!Std11dot1TotalPrivateSpace</f>
        <v>0</v>
      </c>
      <c r="DZ733" s="155">
        <f>'IWP26'!Std11dot1PrivateSpaceSquareFootagePerResident</f>
        <v>0</v>
      </c>
      <c r="EA733" s="155">
        <f>IF('IWP26'!Std11dot1TotalSquareFootagePerResident = "", MINVALDBL, 'IWP26'!Std11dot1TotalSquareFootagePerResident)</f>
        <v>-99999.99</v>
      </c>
      <c r="EB733" s="155">
        <f>'IWP26'!Std11dot1UseableCommonAreaSquareFootage</f>
        <v>0</v>
      </c>
      <c r="EC733" s="155">
        <f>'IWP26'!Std11dot1LicensedCapacity</f>
        <v>0</v>
      </c>
      <c r="ED733" s="155">
        <f>IF('IWP26'!Std11dot1CommonAreaSquareFootagePerResident = "", MINVALDBL, 'IWP26'!Std11dot1CommonAreaSquareFootagePerResident)</f>
        <v>-99999.99</v>
      </c>
      <c r="EE733" s="151" t="str">
        <f>IF('IWP26'!Std11dot1a = 0, "", 'IWP26'!Std11dot1a)</f>
        <v/>
      </c>
      <c r="EF733" s="151" t="str">
        <f>IF('IWP26'!Std11dot1b = 0, "", 'IWP26'!Std11dot1b)</f>
        <v/>
      </c>
      <c r="EG733" s="151" t="str">
        <f>IF('IWP26'!Std11dot1c = 0, "", 'IWP26'!Std11dot1c)</f>
        <v/>
      </c>
      <c r="EH733" s="151" t="str">
        <f>IF('IWP26'!Std11dot1d = 0, "", 'IWP26'!Std11dot1d)</f>
        <v/>
      </c>
      <c r="EI733" s="151" t="str">
        <f>IF('IWP26'!Std11dot1e = 0, "", 'IWP26'!Std11dot1e)</f>
        <v/>
      </c>
      <c r="EJ733" s="151" t="str">
        <f>IF('IWP26'!Std11dot1f = 0, "", 'IWP26'!Std11dot1f)</f>
        <v/>
      </c>
      <c r="EK733" s="151" t="str">
        <f>IF('IWP26'!Std11dot1g = 0, "", 'IWP26'!Std11dot1g)</f>
        <v/>
      </c>
      <c r="EL733" s="151" t="str">
        <f>IF('IWP26'!Std11dot1h = 0, "", 'IWP26'!Std11dot1h)</f>
        <v/>
      </c>
      <c r="EM733" s="151" t="str">
        <f>IF('IWP26'!Std11dot1i = 0, "", 'IWP26'!Std11dot1i)</f>
        <v/>
      </c>
      <c r="EN733" s="151" t="str">
        <f>IF('IWP26'!Std11dot1j = 0, "", 'IWP26'!Std11dot1j)</f>
        <v/>
      </c>
      <c r="EO733" s="151" t="str">
        <f>IF('IWP26'!Std11dot1k = 0, "", 'IWP26'!Std11dot1k)</f>
        <v/>
      </c>
      <c r="EP733" s="151" t="str">
        <f>IF('IWP26'!Std11dot1 = 0, "", 'IWP26'!Std11dot1)</f>
        <v/>
      </c>
      <c r="EQ733" s="151" t="str">
        <f>IF('IWP26'!Std11dot2 = 0, "", 'IWP26'!Std11dot2)</f>
        <v/>
      </c>
      <c r="ER733" s="151" t="str">
        <f>IF('IWP26'!Std11dot3 = 0, "", 'IWP26'!Std11dot3)</f>
        <v/>
      </c>
      <c r="ES733" s="151" t="str">
        <f>IF('IWP26'!Std11dot4 = 0, "", 'IWP26'!Std11dot4)</f>
        <v>NA</v>
      </c>
      <c r="ET733" s="157">
        <f>IF('IWP26'!$A$363=DATE(1900,1,0), DATE(1900,1,1), 'IWP26'!$A$363)</f>
        <v>1</v>
      </c>
      <c r="EU733" s="155">
        <f>'IWP26'!$C$363</f>
        <v>0</v>
      </c>
      <c r="EV733" s="155">
        <f>'IWP26'!$E$363</f>
        <v>0</v>
      </c>
      <c r="EW733" s="157">
        <f>IF('IWP26'!$G$363=DATE(1900,1,0), DATE(1900,1,1), 'IWP26'!$G$363)</f>
        <v>1</v>
      </c>
      <c r="EX733" s="155">
        <f>'IWP26'!$I$363</f>
        <v>0</v>
      </c>
      <c r="EY733" s="155">
        <f>'IWP26'!$K$363</f>
        <v>0</v>
      </c>
      <c r="EZ733" s="157">
        <f>IF('IWP26'!$M$363=DATE(1900,1,0), DATE(1900,1,1), 'IWP26'!$M$363)</f>
        <v>1</v>
      </c>
      <c r="FA733" s="151" t="str">
        <f>IF('IWP26'!$O$363 = 0, "", 'IWP26'!$O$363)</f>
        <v/>
      </c>
      <c r="FB733" s="151" t="str">
        <f>IF('IWP26'!$Q$363 = 0, "", 'IWP26'!$Q$363)</f>
        <v/>
      </c>
      <c r="FC733" s="151" t="str">
        <f>IF('IWP26'!Std11dot5a = 0, "", 'IWP26'!Std11dot5a)</f>
        <v/>
      </c>
      <c r="FD733" s="151" t="str">
        <f>IF('IWP26'!Std11dot5b = 0, "", 'IWP26'!Std11dot5b)</f>
        <v/>
      </c>
      <c r="FE733" s="151" t="str">
        <f>IF('IWP26'!Std11dot5ci = 0, "", 'IWP26'!Std11dot5ci)</f>
        <v>NA</v>
      </c>
      <c r="FF733" s="151" t="str">
        <f>IF('IWP26'!Std11dot5cii = 0, "", 'IWP26'!Std11dot5cii)</f>
        <v>NA</v>
      </c>
      <c r="FG733" s="151" t="str">
        <f>IF('IWP26'!Std11dot5 = 0, "", 'IWP26'!Std11dot5)</f>
        <v/>
      </c>
      <c r="FH733" s="207" t="str">
        <f>IF('IWP26'!Std11dot1AptGrandFthr = "", "", 'IWP26'!Std11dot1AptGrandFthr)</f>
        <v/>
      </c>
    </row>
    <row r="734" spans="1:164">
      <c r="A734" s="206" t="s">
        <v>1330</v>
      </c>
      <c r="B734" s="157">
        <f>IF('Samples (Print)'!D31=DATE(1900,1,0),DATE(1900,1,1),'Samples (Print)'!D31)</f>
        <v>1</v>
      </c>
      <c r="C734" s="157">
        <f>IF('Samples (Print)'!E31=DATE(1900,1,0),DATE(1900,1,1),'Samples (Print)'!E31)</f>
        <v>1</v>
      </c>
      <c r="D734" s="319">
        <f>IF('IWP27'!FiscalReviewFirstMonth =DATE(1900,1,0),DATE(1900,1,1),'IWP27'!FiscalReviewFirstMonth)</f>
        <v>1</v>
      </c>
      <c r="E734" s="319">
        <f>IF('IWP27'!FiscalReviewSecondMonth =DATE(1900,1,0),DATE(1900,1,1),'IWP27'!FiscalReviewSecondMonth)</f>
        <v>1</v>
      </c>
      <c r="F734" s="13">
        <f>'IWP27'!SampleNumber</f>
        <v>27</v>
      </c>
      <c r="G734" s="13">
        <f ca="1">'IWP27'!ClientID</f>
        <v>0</v>
      </c>
      <c r="H734" s="283"/>
      <c r="I734" s="283"/>
      <c r="J734" s="151" t="str">
        <f ca="1">IF('IWP27'!ContractNumber = 0, "", 'IWP27'!ContractNumber)</f>
        <v/>
      </c>
      <c r="K734" s="151" t="str">
        <f ca="1">IF('IWP27'!ContractType = 0, "", 'IWP27'!ContractType)</f>
        <v/>
      </c>
      <c r="L734" s="151" t="str">
        <f>IF('IWP27'!CompletedByLastName = 0, "", 'IWP27'!CompletedByLastName)</f>
        <v/>
      </c>
      <c r="M734" s="151" t="str">
        <f>IF('IWP27'!CompletedByFirstName = 0, "", 'IWP27'!CompletedByFirstName)</f>
        <v/>
      </c>
      <c r="N734" s="157">
        <f>IF('IWP27'!DateCompleted =DATE(1900,1,0),DATE(1900,1,1),'IWP27'!DateCompleted)</f>
        <v>1</v>
      </c>
      <c r="O734" s="151" t="str">
        <f>IF('IWP27'!Std3NotCalc = 0, "", 'IWP27'!Std3NotCalc)</f>
        <v/>
      </c>
      <c r="P734" s="157">
        <f>IF('IWP27'!Std3dot1DateOfAdmission =DATE(1900,1,0),DATE(1900,1,1),'IWP27'!Std3dot1DateOfAdmission)</f>
        <v>1</v>
      </c>
      <c r="Q734" s="151" t="str">
        <f>IF('IWP27'!Std3dot1a = 0, "", 'IWP27'!Std3dot1a)</f>
        <v/>
      </c>
      <c r="R734" s="151" t="str">
        <f>IF('IWP27'!Std3dot1b = 0, "", 'IWP27'!Std3dot1b)</f>
        <v/>
      </c>
      <c r="S734" s="151" t="str">
        <f>IF('IWP27'!Std3dot1c = 0, "", 'IWP27'!Std3dot1c)</f>
        <v>NA</v>
      </c>
      <c r="T734" s="151" t="str">
        <f>IF('IWP27'!Std3dot1 = 0, "", 'IWP27'!Std3dot1)</f>
        <v/>
      </c>
      <c r="U734" s="151" t="str">
        <f>IF('IWP27'!Std3dot2a = 0, "", 'IWP27'!Std3dot2a)</f>
        <v/>
      </c>
      <c r="V734" s="151" t="str">
        <f>IF('IWP27'!Std3dot2b = 0, "", 'IWP27'!Std3dot2b)</f>
        <v/>
      </c>
      <c r="W734" s="151" t="str">
        <f>IF('IWP27'!Std3dot2c = 0, "", 'IWP27'!Std3dot2c)</f>
        <v/>
      </c>
      <c r="X734" s="151" t="str">
        <f>IF('IWP27'!Std3dot2 = 0, "", 'IWP27'!Std3dot2)</f>
        <v/>
      </c>
      <c r="Y734" s="151" t="str">
        <f>IF('IWP27'!Std4dot1Month1 = 0, "", 'IWP27'!Std4dot1Month1)</f>
        <v/>
      </c>
      <c r="Z734" s="157">
        <f>IF('IWP27'!Std4dot1Month1Date =DATE(1900,1,0),DATE(1900,1,1),'IWP27'!Std4dot1Month1Date)</f>
        <v>1</v>
      </c>
      <c r="AA734" s="151" t="str">
        <f>IF('IWP27'!Std4dot1Month2 = 0, "", 'IWP27'!Std4dot1Month2)</f>
        <v/>
      </c>
      <c r="AB734" s="157">
        <f>IF('IWP27'!Std4dot1Month2Date =DATE(1900,1,0),DATE(1900,1,1),'IWP27'!Std4dot1Month2Date)</f>
        <v>1</v>
      </c>
      <c r="AC734" s="151" t="str">
        <f>IF('IWP27'!Std4dot1 = 0, "", 'IWP27'!Std4dot1)</f>
        <v/>
      </c>
      <c r="AD734" s="151" t="str">
        <f>IF('IWP27'!Std4dot2NotCalc = 0, "", 'IWP27'!Std4dot2NotCalc)</f>
        <v/>
      </c>
      <c r="AE734" s="151" t="str">
        <f>IF('IWP27'!Std4dot2 = 0, "", 'IWP27'!Std4dot2)</f>
        <v/>
      </c>
      <c r="AF734" s="151" t="str">
        <f>IF('IWP27'!Std4dot3 = 0, "", 'IWP27'!Std4dot3)</f>
        <v/>
      </c>
      <c r="AG734" s="151" t="str">
        <f>IF('IWP27'!Std4dot4 = 0, "", 'IWP27'!Std4dot4)</f>
        <v/>
      </c>
      <c r="AH734" s="151" t="str">
        <f>IF('IWP27'!Std5NotCalc = 0, "", 'IWP27'!Std5NotCalc)</f>
        <v/>
      </c>
      <c r="AI734" s="151" t="str">
        <f>IF('IWP27'!Std5dot1 = 0, "", 'IWP27'!Std5dot1)</f>
        <v/>
      </c>
      <c r="AJ734" s="151" t="str">
        <f>IF('IWP27'!Std7dot1NotCalc = 0, "", 'IWP27'!Std7dot1NotCalc)</f>
        <v/>
      </c>
      <c r="AK734" s="151" t="str">
        <f>IF('IWP27'!Std7dot1NotCalc = 0, "", 'IWP27'!Std7dot1NotCalc)</f>
        <v/>
      </c>
      <c r="AL734" s="155">
        <f>'IWP27'!Std7dot1BalPerCshLog</f>
        <v>0</v>
      </c>
      <c r="AM734" s="155">
        <f>'IWP27'!Std7dot1LessAdj</f>
        <v>0</v>
      </c>
      <c r="AN734" s="155">
        <f>'IWP27'!Std7dot1AdjBal</f>
        <v>0</v>
      </c>
      <c r="AO734" s="155">
        <f>'IWP27'!Std7dot1CshOnHand</f>
        <v>0</v>
      </c>
      <c r="AP734" s="155">
        <f>'IWP27'!Std7dot1PtyCshOvrShrt</f>
        <v>0</v>
      </c>
      <c r="AQ734" s="151" t="str">
        <f>IF('IWP27'!Std7dot1OvrShrtCorr = 0, "", 'IWP27'!Std7dot1OvrShrtCorr)</f>
        <v/>
      </c>
      <c r="AR734" s="151" t="str">
        <f>IF('IWP27'!Std7dot1 = 0, "", 'IWP27'!Std7dot1)</f>
        <v/>
      </c>
      <c r="AS734" s="151" t="str">
        <f>IF('IWP27'!Std9dot1aNotCalc = 0, "", 'IWP27'!Std9dot1aNotCalc)</f>
        <v/>
      </c>
      <c r="AT734" s="151" t="str">
        <f>IF('IWP27'!Std9dot1bNotCalc = 0, "", 'IWP27'!Std9dot1bNotCalc)</f>
        <v/>
      </c>
      <c r="AU734" s="157">
        <f>IF('IWP27'!Std9BalPerBnkStmtDt =DATE(1900,1,0),DATE(1900,1,1),'IWP27'!Std9BalPerBnkStmtDt)</f>
        <v>1</v>
      </c>
      <c r="AV734" s="155">
        <f>'IWP27'!Std9BalPerBnkStmt</f>
        <v>0</v>
      </c>
      <c r="AW734" s="155">
        <f>'IWP27'!Std9TotDepsInTrans</f>
        <v>0</v>
      </c>
      <c r="AX734" s="155">
        <f>'IWP27'!Std9TotOutsChks</f>
        <v>0</v>
      </c>
      <c r="AY734" s="155">
        <f>'IWP27'!Std9AdjBalPerBank</f>
        <v>0</v>
      </c>
      <c r="AZ734" s="157">
        <f>IF('IWP27'!Std9TotPtyCshIndvDt =DATE(1900,1,0),DATE(1900,1,1),'IWP27'!Std9TotPtyCshIndvDt)</f>
        <v>1</v>
      </c>
      <c r="BA734" s="155">
        <f>'IWP27'!Std9TotPtyCshIndv</f>
        <v>0</v>
      </c>
      <c r="BB734" s="155">
        <f>'IWP27'!Std9TotCshBnkAndHnd</f>
        <v>0</v>
      </c>
      <c r="BC734" s="157">
        <f>IF('IWP27'!Std9BalPerBksDt =DATE(1900,1,0),DATE(1900,1,1),'IWP27'!Std9BalPerBksDt)</f>
        <v>1</v>
      </c>
      <c r="BD734" s="155">
        <f>'IWP27'!Std9BalPerBks</f>
        <v>0</v>
      </c>
      <c r="BE734" s="155">
        <f>'IWP27'!Std9UnapplErndInt</f>
        <v>0</v>
      </c>
      <c r="BF734" s="155">
        <f>'IWP27'!Std9UnpstdRcptDsbrsmts</f>
        <v>0</v>
      </c>
      <c r="BG734" s="155">
        <f>'IWP27'!Std9NsfChks</f>
        <v>0</v>
      </c>
      <c r="BH734" s="155">
        <f>'IWP27'!Std9AdjBalPerBks</f>
        <v>0</v>
      </c>
      <c r="BI734" s="155">
        <f>'IWP27'!Std9TrstFndAcctOvrShrt</f>
        <v>0</v>
      </c>
      <c r="BJ734" s="151" t="str">
        <f>IF('IWP27'!Std9OvrShrtCorrctd = 0, "", 'IWP27'!Std9OvrShrtCorrctd)</f>
        <v/>
      </c>
      <c r="BK734" s="151" t="str">
        <f>IF('IWP27'!Std9ShrtUnreimbSvcChg = 0, "", 'IWP27'!Std9ShrtUnreimbSvcChg)</f>
        <v/>
      </c>
      <c r="BL734" s="151" t="str">
        <f>IF('IWP27'!Std9dot1 = 0, "", 'IWP27'!Std9dot1)</f>
        <v/>
      </c>
      <c r="BM734" s="151" t="str">
        <f>IF('IWP27'!Std10dot1NotCalc = 0, "", 'IWP27'!Std10dot1NotCalc)</f>
        <v/>
      </c>
      <c r="BN734" s="319">
        <f>IF('IWP27'!FiscalReviewFirstMonth =DATE(1900,1,0),DATE(1900,1,1),'IWP27'!FiscalReviewFirstMonth)</f>
        <v>1</v>
      </c>
      <c r="BO734" s="155">
        <f>'IWP27'!Std10dot1TotalAmt1</f>
        <v>0</v>
      </c>
      <c r="BP734" s="319">
        <f>IF('IWP27'!FiscalReviewSecondMonth =DATE(1900,1,0),DATE(1900,1,1),'IWP27'!FiscalReviewSecondMonth)</f>
        <v>1</v>
      </c>
      <c r="BQ734" s="155">
        <f>'IWP27'!Std10dot1TotalAmt2</f>
        <v>0</v>
      </c>
      <c r="BR734" s="151" t="str">
        <f>IF('IWP27'!Std10dot1 = 0, "", 'IWP27'!Std10dot1)</f>
        <v/>
      </c>
      <c r="BS734" s="151" t="str">
        <f>IF('IWP27'!Std10dot2NotCalc = 0, "", 'IWP27'!Std10dot2NotCalc)</f>
        <v/>
      </c>
      <c r="BT734" s="319">
        <f>IF('IWP27'!FiscalReviewFirstMonth =DATE(1900,1,0),DATE(1900,1,1),'IWP27'!FiscalReviewFirstMonth)</f>
        <v>1</v>
      </c>
      <c r="BU734" s="155">
        <f>'IWP27'!Std10dot2BankChgs1</f>
        <v>0</v>
      </c>
      <c r="BV734" s="319">
        <f>IF('IWP27'!FiscalReviewSecondMonth =DATE(1900,1,0),DATE(1900,1,1),'IWP27'!FiscalReviewSecondMonth)</f>
        <v>1</v>
      </c>
      <c r="BW734" s="155">
        <f>'IWP27'!Std10dot2BankChgs2</f>
        <v>0</v>
      </c>
      <c r="BX734" s="151" t="str">
        <f>IF('IWP27'!Std10dot2 = 0, "", 'IWP27'!Std10dot2)</f>
        <v/>
      </c>
      <c r="BY734" s="151" t="str">
        <f>IF('IWP27'!Std10dot3NotCalc = 0, "", 'IWP27'!Std10dot3NotCalc)</f>
        <v/>
      </c>
      <c r="BZ734" s="151" t="str">
        <f>IF('IWP27'!Std10dot3 = 0, "", 'IWP27'!Std10dot3)</f>
        <v/>
      </c>
      <c r="CA734" s="151" t="str">
        <f>IF('IWP27'!Std10dot4NotCalc = 0, "", 'IWP27'!Std10dot4NotCalc)</f>
        <v/>
      </c>
      <c r="CB734" s="151" t="str">
        <f>IF('IWP27'!Std10dot4 = 0, "", 'IWP27'!Std10dot4)</f>
        <v/>
      </c>
      <c r="CC734" s="151" t="str">
        <f>IF('IWP27'!Std10dot5 = 0, "", 'IWP27'!Std10dot5)</f>
        <v/>
      </c>
      <c r="CD734" s="151" t="str">
        <f>IF('IWP27'!Std10dot6NotCalc = 0, "", 'IWP27'!Std10dot6NotCalc)</f>
        <v/>
      </c>
      <c r="CE734" s="157">
        <f>IF('IWP27'!Std10dot6DateOfDeathDischarge =DATE(1900,1,0),DATE(1900,1,1),'IWP27'!Std10dot6DateOfDeathDischarge)</f>
        <v>1</v>
      </c>
      <c r="CF734" s="151" t="str">
        <f>IF('IWP27'!Std10dot6DthDschg = 0, "", 'IWP27'!Std10dot6DthDschg)</f>
        <v/>
      </c>
      <c r="CG734" s="155">
        <f>'IWP27'!Std10dot6TrustFundAmtDue</f>
        <v>0</v>
      </c>
      <c r="CH734" s="155">
        <f>'IWP27'!Std10dot6IndvPtyCshAmtDue</f>
        <v>0</v>
      </c>
      <c r="CI734" s="155">
        <f>'IWP27'!Std10dot6TotRfndDue</f>
        <v>0</v>
      </c>
      <c r="CJ734" s="155">
        <f>'IWP27'!Std10dot6AmtRfnd</f>
        <v>0</v>
      </c>
      <c r="CK734" s="155">
        <f>'IWP27'!Std10dot6DminusE</f>
        <v>0</v>
      </c>
      <c r="CL734" s="151" t="str">
        <f>IF('IWP27'!Std10dot6LastName = 0, "", 'IWP27'!Std10dot6LastName)</f>
        <v/>
      </c>
      <c r="CM734" s="151" t="str">
        <f>IF('IWP27'!Std10dot6FirstName = 0, "", 'IWP27'!Std10dot6FirstName)</f>
        <v/>
      </c>
      <c r="CN734" s="157">
        <f>IF('IWP27'!Std10dot6DateOfRefund =DATE(1900,1,0),DATE(1900,1,1),'IWP27'!Std10dot6DateOfRefund)</f>
        <v>1</v>
      </c>
      <c r="CO734" s="151" t="str">
        <f>IF('IWP27'!Std10dot6a = 0, "", 'IWP27'!Std10dot6a)</f>
        <v/>
      </c>
      <c r="CP734" s="151" t="str">
        <f>IF('IWP27'!Std10dot6b = 0, "", 'IWP27'!Std10dot6b)</f>
        <v/>
      </c>
      <c r="CQ734" s="151" t="str">
        <f>IF('IWP27'!Std10dot6c = 0, "", 'IWP27'!Std10dot6c)</f>
        <v/>
      </c>
      <c r="CR734" s="151" t="str">
        <f>IF('IWP27'!Std10dot6 = "", "", 'IWP27'!Std10dot6)</f>
        <v/>
      </c>
      <c r="CS734" s="151" t="str">
        <f>IF('IWP27'!Std11dot1aNotCalc = 0, "", 'IWP27'!Std11dot1aNotCalc)</f>
        <v/>
      </c>
      <c r="CT734" s="151" t="str">
        <f>IF('IWP27'!Std11dot1bNotCalc = 0, "", 'IWP27'!Std11dot1bNotCalc)</f>
        <v>N</v>
      </c>
      <c r="CU734" s="151" t="str">
        <f>IF('IWP27'!Std11dot1cNotCalc = 0, "", 'IWP27'!Std11dot1cNotCalc)</f>
        <v>N</v>
      </c>
      <c r="CV734" s="151" t="str">
        <f>IF('IWP27'!Std11dot1dNotCalc = 0, "", 'IWP27'!Std11dot1dNotCalc)</f>
        <v/>
      </c>
      <c r="CW734" s="151" t="str">
        <f>IF('IWP27'!Std11dot1eNotCalc = 0, "", 'IWP27'!Std11dot1eNotCalc)</f>
        <v/>
      </c>
      <c r="CX734" s="151" t="str">
        <f>IF('IWP27'!Std11dot1fNotCalc = 0, "", 'IWP27'!Std11dot1fNotCalc)</f>
        <v/>
      </c>
      <c r="CY734" s="151" t="str">
        <f>IF('IWP27'!Std11dot1PrivateLivingSpace = 0, "", 'IWP27'!Std11dot1PrivateLivingSpace)</f>
        <v/>
      </c>
      <c r="CZ734" s="155">
        <f>'IWP27'!Std11dot1LivingWidth</f>
        <v>0</v>
      </c>
      <c r="DA734" s="155">
        <f>'IWP27'!Std11dot1LivingLength</f>
        <v>0</v>
      </c>
      <c r="DB734" s="155">
        <f>IF('IWP27'!Std11dot1LivingSqFt = "", MINVALDBL, 'IWP27'!Std11dot1LivingSqFt)</f>
        <v>-99999.99</v>
      </c>
      <c r="DC734" s="151" t="str">
        <f>IF('IWP27'!Std11dot1PrivateLivingSpace = 0, "", 'IWP27'!Std11dot1PrivateLivingSpace)</f>
        <v/>
      </c>
      <c r="DD734" s="155">
        <f>'IWP27'!Std11dot1LivingWidth</f>
        <v>0</v>
      </c>
      <c r="DE734" s="155">
        <f>'IWP27'!Std11dot1LivingLength</f>
        <v>0</v>
      </c>
      <c r="DF734" s="155">
        <f>IF('IWP27'!Std11dot1LivingSqFt = "", MINVALDBL, 'IWP27'!Std11dot1LivingSqFt)</f>
        <v>-99999.99</v>
      </c>
      <c r="DG734" s="151" t="str">
        <f>IF('IWP27'!Std11dot1PrivateBedSpace = 0, "", 'IWP27'!Std11dot1PrivateBedSpace)</f>
        <v/>
      </c>
      <c r="DH734" s="155">
        <f>'IWP27'!Std11dot1BdrmWidth</f>
        <v>0</v>
      </c>
      <c r="DI734" s="155">
        <f>'IWP27'!Std11dot1BdrmLength</f>
        <v>0</v>
      </c>
      <c r="DJ734" s="155">
        <f>IF('IWP27'!Std11dot1BdrmSqFt = "", MINVALDBL, 'IWP27'!Std11dot1BdrmSqFt)</f>
        <v>-99999.99</v>
      </c>
      <c r="DK734" s="151" t="str">
        <f>IF('IWP27'!Std11dot1PrivateStorageSpace = 0, "", 'IWP27'!Std11dot1PrivateStorageSpace)</f>
        <v/>
      </c>
      <c r="DL734" s="155">
        <f>'IWP27'!Std11dot1StorageWidth</f>
        <v>0</v>
      </c>
      <c r="DM734" s="155">
        <f>'IWP27'!Std11dot1StorageLength</f>
        <v>0</v>
      </c>
      <c r="DN734" s="155">
        <f>IF('IWP27'!Std11dot1StorageSqFt = "", 0, 'IWP27'!Std11dot1StorageSqFt)</f>
        <v>0</v>
      </c>
      <c r="DO734" s="151" t="str">
        <f>IF('IWP27'!Std11dot1PrivateKitchenSpace = 0, "", 'IWP27'!Std11dot1PrivateKitchenSpace)</f>
        <v/>
      </c>
      <c r="DP734" s="155">
        <f>'IWP27'!Std11dot1KitchenWidth</f>
        <v>0</v>
      </c>
      <c r="DQ734" s="155">
        <f>'IWP27'!Std11dot1KitchenLength</f>
        <v>0</v>
      </c>
      <c r="DR734" s="155">
        <f>IF('IWP27'!Std11dot1KitchenSqFt = "", MINVALDBL, 'IWP27'!Std11dot1KitchenSqFt)</f>
        <v>-99999.99</v>
      </c>
      <c r="DS734" s="151" t="str">
        <f>IF('IWP27'!Std11dot1KitchenSink = 0, "", 'IWP27'!Std11dot1KitchenSink)</f>
        <v/>
      </c>
      <c r="DT734" s="151" t="str">
        <f>IF('IWP27'!Std11dot1Refrigerator = 0, "", 'IWP27'!Std11dot1Refrigerator)</f>
        <v/>
      </c>
      <c r="DU734" s="151" t="str">
        <f>IF('IWP27'!Std11dot1StoveMicrowave = 0, "", 'IWP27'!Std11dot1StoveMicrowave)</f>
        <v/>
      </c>
      <c r="DV734" s="151" t="str">
        <f>IF('IWP27'!Std11dot1SeparateBath = 0, "", 'IWP27'!Std11dot1SeparateBath)</f>
        <v/>
      </c>
      <c r="DW734" s="151" t="str">
        <f>IF('IWP27'!Std11dot1BathSink = 0, "", 'IWP27'!Std11dot1BathSink)</f>
        <v/>
      </c>
      <c r="DX734" s="151" t="str">
        <f>IF('IWP27'!Std11dot1ShowerTubAccessible = 0, "", 'IWP27'!Std11dot1ShowerTubAccessible)</f>
        <v/>
      </c>
      <c r="DY734" s="155">
        <f>'IWP27'!Std11dot1TotalPrivateSpace</f>
        <v>0</v>
      </c>
      <c r="DZ734" s="155">
        <f>'IWP27'!Std11dot1PrivateSpaceSquareFootagePerResident</f>
        <v>0</v>
      </c>
      <c r="EA734" s="155">
        <f>IF('IWP27'!Std11dot1TotalSquareFootagePerResident = "", MINVALDBL, 'IWP27'!Std11dot1TotalSquareFootagePerResident)</f>
        <v>-99999.99</v>
      </c>
      <c r="EB734" s="155">
        <f>'IWP27'!Std11dot1UseableCommonAreaSquareFootage</f>
        <v>0</v>
      </c>
      <c r="EC734" s="155">
        <f>'IWP27'!Std11dot1LicensedCapacity</f>
        <v>0</v>
      </c>
      <c r="ED734" s="155">
        <f>IF('IWP27'!Std11dot1CommonAreaSquareFootagePerResident = "", MINVALDBL, 'IWP27'!Std11dot1CommonAreaSquareFootagePerResident)</f>
        <v>-99999.99</v>
      </c>
      <c r="EE734" s="151" t="str">
        <f>IF('IWP27'!Std11dot1a = 0, "", 'IWP27'!Std11dot1a)</f>
        <v/>
      </c>
      <c r="EF734" s="151" t="str">
        <f>IF('IWP27'!Std11dot1b = 0, "", 'IWP27'!Std11dot1b)</f>
        <v/>
      </c>
      <c r="EG734" s="151" t="str">
        <f>IF('IWP27'!Std11dot1c = 0, "", 'IWP27'!Std11dot1c)</f>
        <v/>
      </c>
      <c r="EH734" s="151" t="str">
        <f>IF('IWP27'!Std11dot1d = 0, "", 'IWP27'!Std11dot1d)</f>
        <v/>
      </c>
      <c r="EI734" s="151" t="str">
        <f>IF('IWP27'!Std11dot1e = 0, "", 'IWP27'!Std11dot1e)</f>
        <v/>
      </c>
      <c r="EJ734" s="151" t="str">
        <f>IF('IWP27'!Std11dot1f = 0, "", 'IWP27'!Std11dot1f)</f>
        <v/>
      </c>
      <c r="EK734" s="151" t="str">
        <f>IF('IWP27'!Std11dot1g = 0, "", 'IWP27'!Std11dot1g)</f>
        <v/>
      </c>
      <c r="EL734" s="151" t="str">
        <f>IF('IWP27'!Std11dot1h = 0, "", 'IWP27'!Std11dot1h)</f>
        <v/>
      </c>
      <c r="EM734" s="151" t="str">
        <f>IF('IWP27'!Std11dot1i = 0, "", 'IWP27'!Std11dot1i)</f>
        <v/>
      </c>
      <c r="EN734" s="151" t="str">
        <f>IF('IWP27'!Std11dot1j = 0, "", 'IWP27'!Std11dot1j)</f>
        <v/>
      </c>
      <c r="EO734" s="151" t="str">
        <f>IF('IWP27'!Std11dot1k = 0, "", 'IWP27'!Std11dot1k)</f>
        <v/>
      </c>
      <c r="EP734" s="151" t="str">
        <f>IF('IWP27'!Std11dot1 = 0, "", 'IWP27'!Std11dot1)</f>
        <v/>
      </c>
      <c r="EQ734" s="151" t="str">
        <f>IF('IWP27'!Std11dot2 = 0, "", 'IWP27'!Std11dot2)</f>
        <v/>
      </c>
      <c r="ER734" s="151" t="str">
        <f>IF('IWP27'!Std11dot3 = 0, "", 'IWP27'!Std11dot3)</f>
        <v/>
      </c>
      <c r="ES734" s="151" t="str">
        <f>IF('IWP27'!Std11dot4 = 0, "", 'IWP27'!Std11dot4)</f>
        <v>NA</v>
      </c>
      <c r="ET734" s="157">
        <f>IF('IWP27'!$A$363=DATE(1900,1,0), DATE(1900,1,1), 'IWP27'!$A$363)</f>
        <v>1</v>
      </c>
      <c r="EU734" s="155">
        <f>'IWP27'!$C$363</f>
        <v>0</v>
      </c>
      <c r="EV734" s="155">
        <f>'IWP27'!$E$363</f>
        <v>0</v>
      </c>
      <c r="EW734" s="157">
        <f>IF('IWP27'!$G$363=DATE(1900,1,0), DATE(1900,1,1), 'IWP27'!$G$363)</f>
        <v>1</v>
      </c>
      <c r="EX734" s="155">
        <f>'IWP27'!$I$363</f>
        <v>0</v>
      </c>
      <c r="EY734" s="155">
        <f>'IWP27'!$K$363</f>
        <v>0</v>
      </c>
      <c r="EZ734" s="157">
        <f>IF('IWP27'!$M$363=DATE(1900,1,0), DATE(1900,1,1), 'IWP27'!$M$363)</f>
        <v>1</v>
      </c>
      <c r="FA734" s="151" t="str">
        <f>IF('IWP27'!$O$363 = 0, "", 'IWP27'!$O$363)</f>
        <v/>
      </c>
      <c r="FB734" s="151" t="str">
        <f>IF('IWP27'!$Q$363 = 0, "", 'IWP27'!$Q$363)</f>
        <v/>
      </c>
      <c r="FC734" s="151" t="str">
        <f>IF('IWP27'!Std11dot5a = 0, "", 'IWP27'!Std11dot5a)</f>
        <v/>
      </c>
      <c r="FD734" s="151" t="str">
        <f>IF('IWP27'!Std11dot5b = 0, "", 'IWP27'!Std11dot5b)</f>
        <v/>
      </c>
      <c r="FE734" s="151" t="str">
        <f>IF('IWP27'!Std11dot5ci = 0, "", 'IWP27'!Std11dot5ci)</f>
        <v>NA</v>
      </c>
      <c r="FF734" s="151" t="str">
        <f>IF('IWP27'!Std11dot5cii = 0, "", 'IWP27'!Std11dot5cii)</f>
        <v>NA</v>
      </c>
      <c r="FG734" s="151" t="str">
        <f>IF('IWP27'!Std11dot5 = 0, "", 'IWP27'!Std11dot5)</f>
        <v/>
      </c>
      <c r="FH734" s="207" t="str">
        <f>IF('IWP27'!Std11dot1AptGrandFthr = "", "", 'IWP27'!Std11dot1AptGrandFthr)</f>
        <v/>
      </c>
    </row>
    <row r="735" spans="1:164">
      <c r="A735" s="206" t="s">
        <v>1331</v>
      </c>
      <c r="B735" s="157">
        <f>IF('Samples (Print)'!D32=DATE(1900,1,0),DATE(1900,1,1),'Samples (Print)'!D32)</f>
        <v>1</v>
      </c>
      <c r="C735" s="157">
        <f>IF('Samples (Print)'!E32=DATE(1900,1,0),DATE(1900,1,1),'Samples (Print)'!E32)</f>
        <v>1</v>
      </c>
      <c r="D735" s="319">
        <f>IF('IWP28'!FiscalReviewFirstMonth =DATE(1900,1,0),DATE(1900,1,1),'IWP28'!FiscalReviewFirstMonth)</f>
        <v>1</v>
      </c>
      <c r="E735" s="319">
        <f>IF('IWP28'!FiscalReviewSecondMonth =DATE(1900,1,0),DATE(1900,1,1),'IWP28'!FiscalReviewSecondMonth)</f>
        <v>1</v>
      </c>
      <c r="F735" s="13">
        <f>'IWP28'!SampleNumber</f>
        <v>28</v>
      </c>
      <c r="G735" s="13">
        <f ca="1">'IWP28'!ClientID</f>
        <v>0</v>
      </c>
      <c r="H735" s="283"/>
      <c r="I735" s="283"/>
      <c r="J735" s="151" t="str">
        <f ca="1">IF('IWP28'!ContractNumber = 0, "", 'IWP28'!ContractNumber)</f>
        <v/>
      </c>
      <c r="K735" s="151" t="str">
        <f ca="1">IF('IWP28'!ContractType = 0, "", 'IWP28'!ContractType)</f>
        <v/>
      </c>
      <c r="L735" s="151" t="str">
        <f>IF('IWP28'!CompletedByLastName = 0, "", 'IWP28'!CompletedByLastName)</f>
        <v/>
      </c>
      <c r="M735" s="151" t="str">
        <f>IF('IWP28'!CompletedByFirstName = 0, "", 'IWP28'!CompletedByFirstName)</f>
        <v/>
      </c>
      <c r="N735" s="157">
        <f>IF('IWP28'!DateCompleted =DATE(1900,1,0),DATE(1900,1,1),'IWP28'!DateCompleted)</f>
        <v>1</v>
      </c>
      <c r="O735" s="151" t="str">
        <f>IF('IWP28'!Std3NotCalc = 0, "", 'IWP28'!Std3NotCalc)</f>
        <v/>
      </c>
      <c r="P735" s="157">
        <f>IF('IWP28'!Std3dot1DateOfAdmission =DATE(1900,1,0),DATE(1900,1,1),'IWP28'!Std3dot1DateOfAdmission)</f>
        <v>1</v>
      </c>
      <c r="Q735" s="151" t="str">
        <f>IF('IWP28'!Std3dot1a = 0, "", 'IWP28'!Std3dot1a)</f>
        <v/>
      </c>
      <c r="R735" s="151" t="str">
        <f>IF('IWP28'!Std3dot1b = 0, "", 'IWP28'!Std3dot1b)</f>
        <v/>
      </c>
      <c r="S735" s="151" t="str">
        <f>IF('IWP28'!Std3dot1c = 0, "", 'IWP28'!Std3dot1c)</f>
        <v>NA</v>
      </c>
      <c r="T735" s="151" t="str">
        <f>IF('IWP28'!Std3dot1 = 0, "", 'IWP28'!Std3dot1)</f>
        <v/>
      </c>
      <c r="U735" s="151" t="str">
        <f>IF('IWP28'!Std3dot2a = 0, "", 'IWP28'!Std3dot2a)</f>
        <v/>
      </c>
      <c r="V735" s="151" t="str">
        <f>IF('IWP28'!Std3dot2b = 0, "", 'IWP28'!Std3dot2b)</f>
        <v/>
      </c>
      <c r="W735" s="151" t="str">
        <f>IF('IWP28'!Std3dot2c = 0, "", 'IWP28'!Std3dot2c)</f>
        <v/>
      </c>
      <c r="X735" s="151" t="str">
        <f>IF('IWP28'!Std3dot2 = 0, "", 'IWP28'!Std3dot2)</f>
        <v/>
      </c>
      <c r="Y735" s="151" t="str">
        <f>IF('IWP28'!Std4dot1Month1 = 0, "", 'IWP28'!Std4dot1Month1)</f>
        <v/>
      </c>
      <c r="Z735" s="157">
        <f>IF('IWP28'!Std4dot1Month1Date =DATE(1900,1,0),DATE(1900,1,1),'IWP28'!Std4dot1Month1Date)</f>
        <v>1</v>
      </c>
      <c r="AA735" s="151" t="str">
        <f>IF('IWP28'!Std4dot1Month2 = 0, "", 'IWP28'!Std4dot1Month2)</f>
        <v/>
      </c>
      <c r="AB735" s="157">
        <f>IF('IWP28'!Std4dot1Month2Date =DATE(1900,1,0),DATE(1900,1,1),'IWP28'!Std4dot1Month2Date)</f>
        <v>1</v>
      </c>
      <c r="AC735" s="151" t="str">
        <f>IF('IWP28'!Std4dot1 = 0, "", 'IWP28'!Std4dot1)</f>
        <v/>
      </c>
      <c r="AD735" s="151" t="str">
        <f>IF('IWP28'!Std4dot2NotCalc = 0, "", 'IWP28'!Std4dot2NotCalc)</f>
        <v/>
      </c>
      <c r="AE735" s="151" t="str">
        <f>IF('IWP28'!Std4dot2 = 0, "", 'IWP28'!Std4dot2)</f>
        <v/>
      </c>
      <c r="AF735" s="151" t="str">
        <f>IF('IWP28'!Std4dot3 = 0, "", 'IWP28'!Std4dot3)</f>
        <v/>
      </c>
      <c r="AG735" s="151" t="str">
        <f>IF('IWP28'!Std4dot4 = 0, "", 'IWP28'!Std4dot4)</f>
        <v/>
      </c>
      <c r="AH735" s="151" t="str">
        <f>IF('IWP28'!Std5NotCalc = 0, "", 'IWP28'!Std5NotCalc)</f>
        <v/>
      </c>
      <c r="AI735" s="151" t="str">
        <f>IF('IWP28'!Std5dot1 = 0, "", 'IWP28'!Std5dot1)</f>
        <v/>
      </c>
      <c r="AJ735" s="151" t="str">
        <f>IF('IWP28'!Std7dot1NotCalc = 0, "", 'IWP28'!Std7dot1NotCalc)</f>
        <v/>
      </c>
      <c r="AK735" s="151" t="str">
        <f>IF('IWP28'!Std7dot1NotCalc = 0, "", 'IWP28'!Std7dot1NotCalc)</f>
        <v/>
      </c>
      <c r="AL735" s="155">
        <f>'IWP28'!Std7dot1BalPerCshLog</f>
        <v>0</v>
      </c>
      <c r="AM735" s="155">
        <f>'IWP28'!Std7dot1LessAdj</f>
        <v>0</v>
      </c>
      <c r="AN735" s="155">
        <f>'IWP28'!Std7dot1AdjBal</f>
        <v>0</v>
      </c>
      <c r="AO735" s="155">
        <f>'IWP28'!Std7dot1CshOnHand</f>
        <v>0</v>
      </c>
      <c r="AP735" s="155">
        <f>'IWP28'!Std7dot1PtyCshOvrShrt</f>
        <v>0</v>
      </c>
      <c r="AQ735" s="151" t="str">
        <f>IF('IWP28'!Std7dot1OvrShrtCorr = 0, "", 'IWP28'!Std7dot1OvrShrtCorr)</f>
        <v/>
      </c>
      <c r="AR735" s="151" t="str">
        <f>IF('IWP28'!Std7dot1 = 0, "", 'IWP28'!Std7dot1)</f>
        <v/>
      </c>
      <c r="AS735" s="151" t="str">
        <f>IF('IWP28'!Std9dot1aNotCalc = 0, "", 'IWP28'!Std9dot1aNotCalc)</f>
        <v/>
      </c>
      <c r="AT735" s="151" t="str">
        <f>IF('IWP28'!Std9dot1bNotCalc = 0, "", 'IWP28'!Std9dot1bNotCalc)</f>
        <v/>
      </c>
      <c r="AU735" s="157">
        <f>IF('IWP28'!Std9BalPerBnkStmtDt =DATE(1900,1,0),DATE(1900,1,1),'IWP28'!Std9BalPerBnkStmtDt)</f>
        <v>1</v>
      </c>
      <c r="AV735" s="155">
        <f>'IWP28'!Std9BalPerBnkStmt</f>
        <v>0</v>
      </c>
      <c r="AW735" s="155">
        <f>'IWP28'!Std9TotDepsInTrans</f>
        <v>0</v>
      </c>
      <c r="AX735" s="155">
        <f>'IWP28'!Std9TotOutsChks</f>
        <v>0</v>
      </c>
      <c r="AY735" s="155">
        <f>'IWP28'!Std9AdjBalPerBank</f>
        <v>0</v>
      </c>
      <c r="AZ735" s="157">
        <f>IF('IWP28'!Std9TotPtyCshIndvDt =DATE(1900,1,0),DATE(1900,1,1),'IWP28'!Std9TotPtyCshIndvDt)</f>
        <v>1</v>
      </c>
      <c r="BA735" s="155">
        <f>'IWP28'!Std9TotPtyCshIndv</f>
        <v>0</v>
      </c>
      <c r="BB735" s="155">
        <f>'IWP28'!Std9TotCshBnkAndHnd</f>
        <v>0</v>
      </c>
      <c r="BC735" s="157">
        <f>IF('IWP28'!Std9BalPerBksDt =DATE(1900,1,0),DATE(1900,1,1),'IWP28'!Std9BalPerBksDt)</f>
        <v>1</v>
      </c>
      <c r="BD735" s="155">
        <f>'IWP28'!Std9BalPerBks</f>
        <v>0</v>
      </c>
      <c r="BE735" s="155">
        <f>'IWP28'!Std9UnapplErndInt</f>
        <v>0</v>
      </c>
      <c r="BF735" s="155">
        <f>'IWP28'!Std9UnpstdRcptDsbrsmts</f>
        <v>0</v>
      </c>
      <c r="BG735" s="155">
        <f>'IWP28'!Std9NsfChks</f>
        <v>0</v>
      </c>
      <c r="BH735" s="155">
        <f>'IWP28'!Std9AdjBalPerBks</f>
        <v>0</v>
      </c>
      <c r="BI735" s="155">
        <f>'IWP28'!Std9TrstFndAcctOvrShrt</f>
        <v>0</v>
      </c>
      <c r="BJ735" s="151" t="str">
        <f>IF('IWP28'!Std9OvrShrtCorrctd = 0, "", 'IWP28'!Std9OvrShrtCorrctd)</f>
        <v/>
      </c>
      <c r="BK735" s="151" t="str">
        <f>IF('IWP28'!Std9ShrtUnreimbSvcChg = 0, "", 'IWP28'!Std9ShrtUnreimbSvcChg)</f>
        <v/>
      </c>
      <c r="BL735" s="151" t="str">
        <f>IF('IWP28'!Std9dot1 = 0, "", 'IWP28'!Std9dot1)</f>
        <v/>
      </c>
      <c r="BM735" s="151" t="str">
        <f>IF('IWP28'!Std10dot1NotCalc = 0, "", 'IWP28'!Std10dot1NotCalc)</f>
        <v/>
      </c>
      <c r="BN735" s="319">
        <f>IF('IWP28'!FiscalReviewFirstMonth =DATE(1900,1,0),DATE(1900,1,1),'IWP28'!FiscalReviewFirstMonth)</f>
        <v>1</v>
      </c>
      <c r="BO735" s="155">
        <f>'IWP28'!Std10dot1TotalAmt1</f>
        <v>0</v>
      </c>
      <c r="BP735" s="319">
        <f>IF('IWP28'!FiscalReviewSecondMonth =DATE(1900,1,0),DATE(1900,1,1),'IWP28'!FiscalReviewSecondMonth)</f>
        <v>1</v>
      </c>
      <c r="BQ735" s="155">
        <f>'IWP28'!Std10dot1TotalAmt2</f>
        <v>0</v>
      </c>
      <c r="BR735" s="151" t="str">
        <f>IF('IWP28'!Std10dot1 = 0, "", 'IWP28'!Std10dot1)</f>
        <v/>
      </c>
      <c r="BS735" s="151" t="str">
        <f>IF('IWP28'!Std10dot2NotCalc = 0, "", 'IWP28'!Std10dot2NotCalc)</f>
        <v/>
      </c>
      <c r="BT735" s="319">
        <f>IF('IWP28'!FiscalReviewFirstMonth =DATE(1900,1,0),DATE(1900,1,1),'IWP28'!FiscalReviewFirstMonth)</f>
        <v>1</v>
      </c>
      <c r="BU735" s="155">
        <f>'IWP28'!Std10dot2BankChgs1</f>
        <v>0</v>
      </c>
      <c r="BV735" s="319">
        <f>IF('IWP28'!FiscalReviewSecondMonth =DATE(1900,1,0),DATE(1900,1,1),'IWP28'!FiscalReviewSecondMonth)</f>
        <v>1</v>
      </c>
      <c r="BW735" s="155">
        <f>'IWP28'!Std10dot2BankChgs2</f>
        <v>0</v>
      </c>
      <c r="BX735" s="151" t="str">
        <f>IF('IWP28'!Std10dot2 = 0, "", 'IWP28'!Std10dot2)</f>
        <v/>
      </c>
      <c r="BY735" s="151" t="str">
        <f>IF('IWP28'!Std10dot3NotCalc = 0, "", 'IWP28'!Std10dot3NotCalc)</f>
        <v/>
      </c>
      <c r="BZ735" s="151" t="str">
        <f>IF('IWP28'!Std10dot3 = 0, "", 'IWP28'!Std10dot3)</f>
        <v/>
      </c>
      <c r="CA735" s="151" t="str">
        <f>IF('IWP28'!Std10dot4NotCalc = 0, "", 'IWP28'!Std10dot4NotCalc)</f>
        <v/>
      </c>
      <c r="CB735" s="151" t="str">
        <f>IF('IWP28'!Std10dot4 = 0, "", 'IWP28'!Std10dot4)</f>
        <v/>
      </c>
      <c r="CC735" s="151" t="str">
        <f>IF('IWP28'!Std10dot5 = 0, "", 'IWP28'!Std10dot5)</f>
        <v/>
      </c>
      <c r="CD735" s="151" t="str">
        <f>IF('IWP28'!Std10dot6NotCalc = 0, "", 'IWP28'!Std10dot6NotCalc)</f>
        <v/>
      </c>
      <c r="CE735" s="157">
        <f>IF('IWP28'!Std10dot6DateOfDeathDischarge =DATE(1900,1,0),DATE(1900,1,1),'IWP28'!Std10dot6DateOfDeathDischarge)</f>
        <v>1</v>
      </c>
      <c r="CF735" s="151" t="str">
        <f>IF('IWP28'!Std10dot6DthDschg = 0, "", 'IWP28'!Std10dot6DthDschg)</f>
        <v/>
      </c>
      <c r="CG735" s="155">
        <f>'IWP28'!Std10dot6TrustFundAmtDue</f>
        <v>0</v>
      </c>
      <c r="CH735" s="155">
        <f>'IWP28'!Std10dot6IndvPtyCshAmtDue</f>
        <v>0</v>
      </c>
      <c r="CI735" s="155">
        <f>'IWP28'!Std10dot6TotRfndDue</f>
        <v>0</v>
      </c>
      <c r="CJ735" s="155">
        <f>'IWP28'!Std10dot6AmtRfnd</f>
        <v>0</v>
      </c>
      <c r="CK735" s="155">
        <f>'IWP28'!Std10dot6DminusE</f>
        <v>0</v>
      </c>
      <c r="CL735" s="151" t="str">
        <f>IF('IWP28'!Std10dot6LastName = 0, "", 'IWP28'!Std10dot6LastName)</f>
        <v/>
      </c>
      <c r="CM735" s="151" t="str">
        <f>IF('IWP28'!Std10dot6FirstName = 0, "", 'IWP28'!Std10dot6FirstName)</f>
        <v/>
      </c>
      <c r="CN735" s="157">
        <f>IF('IWP28'!Std10dot6DateOfRefund =DATE(1900,1,0),DATE(1900,1,1),'IWP28'!Std10dot6DateOfRefund)</f>
        <v>1</v>
      </c>
      <c r="CO735" s="151" t="str">
        <f>IF('IWP28'!Std10dot6a = 0, "", 'IWP28'!Std10dot6a)</f>
        <v/>
      </c>
      <c r="CP735" s="151" t="str">
        <f>IF('IWP28'!Std10dot6b = 0, "", 'IWP28'!Std10dot6b)</f>
        <v/>
      </c>
      <c r="CQ735" s="151" t="str">
        <f>IF('IWP28'!Std10dot6c = 0, "", 'IWP28'!Std10dot6c)</f>
        <v/>
      </c>
      <c r="CR735" s="151" t="str">
        <f>IF('IWP28'!Std10dot6 = "", "", 'IWP28'!Std10dot6)</f>
        <v/>
      </c>
      <c r="CS735" s="151" t="str">
        <f>IF('IWP28'!Std11dot1aNotCalc = 0, "", 'IWP28'!Std11dot1aNotCalc)</f>
        <v/>
      </c>
      <c r="CT735" s="151" t="str">
        <f>IF('IWP28'!Std11dot1bNotCalc = 0, "", 'IWP28'!Std11dot1bNotCalc)</f>
        <v>N</v>
      </c>
      <c r="CU735" s="151" t="str">
        <f>IF('IWP28'!Std11dot1cNotCalc = 0, "", 'IWP28'!Std11dot1cNotCalc)</f>
        <v>N</v>
      </c>
      <c r="CV735" s="151" t="str">
        <f>IF('IWP28'!Std11dot1dNotCalc = 0, "", 'IWP28'!Std11dot1dNotCalc)</f>
        <v/>
      </c>
      <c r="CW735" s="151" t="str">
        <f>IF('IWP28'!Std11dot1eNotCalc = 0, "", 'IWP28'!Std11dot1eNotCalc)</f>
        <v/>
      </c>
      <c r="CX735" s="151" t="str">
        <f>IF('IWP28'!Std11dot1fNotCalc = 0, "", 'IWP28'!Std11dot1fNotCalc)</f>
        <v/>
      </c>
      <c r="CY735" s="151" t="str">
        <f>IF('IWP28'!Std11dot1PrivateLivingSpace = 0, "", 'IWP28'!Std11dot1PrivateLivingSpace)</f>
        <v/>
      </c>
      <c r="CZ735" s="155">
        <f>'IWP28'!Std11dot1LivingWidth</f>
        <v>0</v>
      </c>
      <c r="DA735" s="155">
        <f>'IWP28'!Std11dot1LivingLength</f>
        <v>0</v>
      </c>
      <c r="DB735" s="155">
        <f>IF('IWP28'!Std11dot1LivingSqFt = "", MINVALDBL, 'IWP28'!Std11dot1LivingSqFt)</f>
        <v>-99999.99</v>
      </c>
      <c r="DC735" s="151" t="str">
        <f>IF('IWP28'!Std11dot1PrivateLivingSpace = 0, "", 'IWP28'!Std11dot1PrivateLivingSpace)</f>
        <v/>
      </c>
      <c r="DD735" s="155">
        <f>'IWP28'!Std11dot1LivingWidth</f>
        <v>0</v>
      </c>
      <c r="DE735" s="155">
        <f>'IWP28'!Std11dot1LivingLength</f>
        <v>0</v>
      </c>
      <c r="DF735" s="155">
        <f>IF('IWP28'!Std11dot1LivingSqFt = "", MINVALDBL, 'IWP28'!Std11dot1LivingSqFt)</f>
        <v>-99999.99</v>
      </c>
      <c r="DG735" s="151" t="str">
        <f>IF('IWP28'!Std11dot1PrivateBedSpace = 0, "", 'IWP28'!Std11dot1PrivateBedSpace)</f>
        <v/>
      </c>
      <c r="DH735" s="155">
        <f>'IWP28'!Std11dot1BdrmWidth</f>
        <v>0</v>
      </c>
      <c r="DI735" s="155">
        <f>'IWP28'!Std11dot1BdrmLength</f>
        <v>0</v>
      </c>
      <c r="DJ735" s="155">
        <f>IF('IWP28'!Std11dot1BdrmSqFt = "", MINVALDBL, 'IWP28'!Std11dot1BdrmSqFt)</f>
        <v>-99999.99</v>
      </c>
      <c r="DK735" s="151" t="str">
        <f>IF('IWP28'!Std11dot1PrivateStorageSpace = 0, "", 'IWP28'!Std11dot1PrivateStorageSpace)</f>
        <v/>
      </c>
      <c r="DL735" s="155">
        <f>'IWP28'!Std11dot1StorageWidth</f>
        <v>0</v>
      </c>
      <c r="DM735" s="155">
        <f>'IWP28'!Std11dot1StorageLength</f>
        <v>0</v>
      </c>
      <c r="DN735" s="155">
        <f>IF('IWP28'!Std11dot1StorageSqFt = "", 0, 'IWP28'!Std11dot1StorageSqFt)</f>
        <v>0</v>
      </c>
      <c r="DO735" s="151" t="str">
        <f>IF('IWP28'!Std11dot1PrivateKitchenSpace = 0, "", 'IWP28'!Std11dot1PrivateKitchenSpace)</f>
        <v/>
      </c>
      <c r="DP735" s="155">
        <f>'IWP28'!Std11dot1KitchenWidth</f>
        <v>0</v>
      </c>
      <c r="DQ735" s="155">
        <f>'IWP28'!Std11dot1KitchenLength</f>
        <v>0</v>
      </c>
      <c r="DR735" s="155">
        <f>IF('IWP28'!Std11dot1KitchenSqFt = "", MINVALDBL, 'IWP28'!Std11dot1KitchenSqFt)</f>
        <v>-99999.99</v>
      </c>
      <c r="DS735" s="151" t="str">
        <f>IF('IWP28'!Std11dot1KitchenSink = 0, "", 'IWP28'!Std11dot1KitchenSink)</f>
        <v/>
      </c>
      <c r="DT735" s="151" t="str">
        <f>IF('IWP28'!Std11dot1Refrigerator = 0, "", 'IWP28'!Std11dot1Refrigerator)</f>
        <v/>
      </c>
      <c r="DU735" s="151" t="str">
        <f>IF('IWP28'!Std11dot1StoveMicrowave = 0, "", 'IWP28'!Std11dot1StoveMicrowave)</f>
        <v/>
      </c>
      <c r="DV735" s="151" t="str">
        <f>IF('IWP28'!Std11dot1SeparateBath = 0, "", 'IWP28'!Std11dot1SeparateBath)</f>
        <v/>
      </c>
      <c r="DW735" s="151" t="str">
        <f>IF('IWP28'!Std11dot1BathSink = 0, "", 'IWP28'!Std11dot1BathSink)</f>
        <v/>
      </c>
      <c r="DX735" s="151" t="str">
        <f>IF('IWP28'!Std11dot1ShowerTubAccessible = 0, "", 'IWP28'!Std11dot1ShowerTubAccessible)</f>
        <v/>
      </c>
      <c r="DY735" s="155">
        <f>'IWP28'!Std11dot1TotalPrivateSpace</f>
        <v>0</v>
      </c>
      <c r="DZ735" s="155">
        <f>'IWP28'!Std11dot1PrivateSpaceSquareFootagePerResident</f>
        <v>0</v>
      </c>
      <c r="EA735" s="155">
        <f>IF('IWP28'!Std11dot1TotalSquareFootagePerResident = "", MINVALDBL, 'IWP28'!Std11dot1TotalSquareFootagePerResident)</f>
        <v>-99999.99</v>
      </c>
      <c r="EB735" s="155">
        <f>'IWP28'!Std11dot1UseableCommonAreaSquareFootage</f>
        <v>0</v>
      </c>
      <c r="EC735" s="155">
        <f>'IWP28'!Std11dot1LicensedCapacity</f>
        <v>0</v>
      </c>
      <c r="ED735" s="155">
        <f>IF('IWP28'!Std11dot1CommonAreaSquareFootagePerResident = "", MINVALDBL, 'IWP28'!Std11dot1CommonAreaSquareFootagePerResident)</f>
        <v>-99999.99</v>
      </c>
      <c r="EE735" s="151" t="str">
        <f>IF('IWP28'!Std11dot1a = 0, "", 'IWP28'!Std11dot1a)</f>
        <v/>
      </c>
      <c r="EF735" s="151" t="str">
        <f>IF('IWP28'!Std11dot1b = 0, "", 'IWP28'!Std11dot1b)</f>
        <v/>
      </c>
      <c r="EG735" s="151" t="str">
        <f>IF('IWP28'!Std11dot1c = 0, "", 'IWP28'!Std11dot1c)</f>
        <v/>
      </c>
      <c r="EH735" s="151" t="str">
        <f>IF('IWP28'!Std11dot1d = 0, "", 'IWP28'!Std11dot1d)</f>
        <v/>
      </c>
      <c r="EI735" s="151" t="str">
        <f>IF('IWP28'!Std11dot1e = 0, "", 'IWP28'!Std11dot1e)</f>
        <v/>
      </c>
      <c r="EJ735" s="151" t="str">
        <f>IF('IWP28'!Std11dot1f = 0, "", 'IWP28'!Std11dot1f)</f>
        <v/>
      </c>
      <c r="EK735" s="151" t="str">
        <f>IF('IWP28'!Std11dot1g = 0, "", 'IWP28'!Std11dot1g)</f>
        <v/>
      </c>
      <c r="EL735" s="151" t="str">
        <f>IF('IWP28'!Std11dot1h = 0, "", 'IWP28'!Std11dot1h)</f>
        <v/>
      </c>
      <c r="EM735" s="151" t="str">
        <f>IF('IWP28'!Std11dot1i = 0, "", 'IWP28'!Std11dot1i)</f>
        <v/>
      </c>
      <c r="EN735" s="151" t="str">
        <f>IF('IWP28'!Std11dot1j = 0, "", 'IWP28'!Std11dot1j)</f>
        <v/>
      </c>
      <c r="EO735" s="151" t="str">
        <f>IF('IWP28'!Std11dot1k = 0, "", 'IWP28'!Std11dot1k)</f>
        <v/>
      </c>
      <c r="EP735" s="151" t="str">
        <f>IF('IWP28'!Std11dot1 = 0, "", 'IWP28'!Std11dot1)</f>
        <v/>
      </c>
      <c r="EQ735" s="151" t="str">
        <f>IF('IWP28'!Std11dot2 = 0, "", 'IWP28'!Std11dot2)</f>
        <v/>
      </c>
      <c r="ER735" s="151" t="str">
        <f>IF('IWP28'!Std11dot3 = 0, "", 'IWP28'!Std11dot3)</f>
        <v/>
      </c>
      <c r="ES735" s="151" t="str">
        <f>IF('IWP28'!Std11dot4 = 0, "", 'IWP28'!Std11dot4)</f>
        <v>NA</v>
      </c>
      <c r="ET735" s="157">
        <f>IF('IWP28'!$A$363=DATE(1900,1,0), DATE(1900,1,1), 'IWP28'!$A$363)</f>
        <v>1</v>
      </c>
      <c r="EU735" s="155">
        <f>'IWP28'!$C$363</f>
        <v>0</v>
      </c>
      <c r="EV735" s="155">
        <f>'IWP28'!$E$363</f>
        <v>0</v>
      </c>
      <c r="EW735" s="157">
        <f>IF('IWP28'!$G$363=DATE(1900,1,0), DATE(1900,1,1), 'IWP28'!$G$363)</f>
        <v>1</v>
      </c>
      <c r="EX735" s="155">
        <f>'IWP28'!$I$363</f>
        <v>0</v>
      </c>
      <c r="EY735" s="155">
        <f>'IWP28'!$K$363</f>
        <v>0</v>
      </c>
      <c r="EZ735" s="157">
        <f>IF('IWP28'!$M$363=DATE(1900,1,0), DATE(1900,1,1), 'IWP28'!$M$363)</f>
        <v>1</v>
      </c>
      <c r="FA735" s="151" t="str">
        <f>IF('IWP28'!$O$363 = 0, "", 'IWP28'!$O$363)</f>
        <v/>
      </c>
      <c r="FB735" s="151" t="str">
        <f>IF('IWP28'!$Q$363 = 0, "", 'IWP28'!$Q$363)</f>
        <v/>
      </c>
      <c r="FC735" s="151" t="str">
        <f>IF('IWP28'!Std11dot5a = 0, "", 'IWP28'!Std11dot5a)</f>
        <v/>
      </c>
      <c r="FD735" s="151" t="str">
        <f>IF('IWP28'!Std11dot5b = 0, "", 'IWP28'!Std11dot5b)</f>
        <v/>
      </c>
      <c r="FE735" s="151" t="str">
        <f>IF('IWP28'!Std11dot5ci = 0, "", 'IWP28'!Std11dot5ci)</f>
        <v>NA</v>
      </c>
      <c r="FF735" s="151" t="str">
        <f>IF('IWP28'!Std11dot5cii = 0, "", 'IWP28'!Std11dot5cii)</f>
        <v>NA</v>
      </c>
      <c r="FG735" s="151" t="str">
        <f>IF('IWP28'!Std11dot5 = 0, "", 'IWP28'!Std11dot5)</f>
        <v/>
      </c>
      <c r="FH735" s="207" t="str">
        <f>IF('IWP28'!Std11dot1AptGrandFthr = "", "", 'IWP28'!Std11dot1AptGrandFthr)</f>
        <v/>
      </c>
    </row>
    <row r="736" spans="1:164">
      <c r="A736" s="206" t="s">
        <v>1332</v>
      </c>
      <c r="B736" s="157">
        <f>IF('Samples (Print)'!D33=DATE(1900,1,0),DATE(1900,1,1),'Samples (Print)'!D33)</f>
        <v>1</v>
      </c>
      <c r="C736" s="157">
        <f>IF('Samples (Print)'!E33=DATE(1900,1,0),DATE(1900,1,1),'Samples (Print)'!E33)</f>
        <v>1</v>
      </c>
      <c r="D736" s="319">
        <f>IF('IWP29'!FiscalReviewFirstMonth =DATE(1900,1,0),DATE(1900,1,1),'IWP29'!FiscalReviewFirstMonth)</f>
        <v>1</v>
      </c>
      <c r="E736" s="319">
        <f>IF('IWP29'!FiscalReviewSecondMonth =DATE(1900,1,0),DATE(1900,1,1),'IWP29'!FiscalReviewSecondMonth)</f>
        <v>1</v>
      </c>
      <c r="F736" s="13">
        <f>'IWP29'!SampleNumber</f>
        <v>29</v>
      </c>
      <c r="G736" s="13">
        <f ca="1">'IWP29'!ClientID</f>
        <v>0</v>
      </c>
      <c r="H736" s="283"/>
      <c r="I736" s="283"/>
      <c r="J736" s="151" t="str">
        <f ca="1">IF('IWP29'!ContractNumber = 0, "", 'IWP29'!ContractNumber)</f>
        <v/>
      </c>
      <c r="K736" s="151" t="str">
        <f ca="1">IF('IWP29'!ContractType = 0, "", 'IWP29'!ContractType)</f>
        <v/>
      </c>
      <c r="L736" s="151" t="str">
        <f>IF('IWP29'!CompletedByLastName = 0, "", 'IWP29'!CompletedByLastName)</f>
        <v/>
      </c>
      <c r="M736" s="151" t="str">
        <f>IF('IWP29'!CompletedByFirstName = 0, "", 'IWP29'!CompletedByFirstName)</f>
        <v/>
      </c>
      <c r="N736" s="157">
        <f>IF('IWP29'!DateCompleted =DATE(1900,1,0),DATE(1900,1,1),'IWP29'!DateCompleted)</f>
        <v>1</v>
      </c>
      <c r="O736" s="151" t="str">
        <f>IF('IWP29'!Std3NotCalc = 0, "", 'IWP29'!Std3NotCalc)</f>
        <v/>
      </c>
      <c r="P736" s="157">
        <f>IF('IWP29'!Std3dot1DateOfAdmission =DATE(1900,1,0),DATE(1900,1,1),'IWP29'!Std3dot1DateOfAdmission)</f>
        <v>1</v>
      </c>
      <c r="Q736" s="151" t="str">
        <f>IF('IWP29'!Std3dot1a = 0, "", 'IWP29'!Std3dot1a)</f>
        <v/>
      </c>
      <c r="R736" s="151" t="str">
        <f>IF('IWP29'!Std3dot1b = 0, "", 'IWP29'!Std3dot1b)</f>
        <v/>
      </c>
      <c r="S736" s="151" t="str">
        <f>IF('IWP29'!Std3dot1c = 0, "", 'IWP29'!Std3dot1c)</f>
        <v>NA</v>
      </c>
      <c r="T736" s="151" t="str">
        <f>IF('IWP29'!Std3dot1 = 0, "", 'IWP29'!Std3dot1)</f>
        <v/>
      </c>
      <c r="U736" s="151" t="str">
        <f>IF('IWP29'!Std3dot2a = 0, "", 'IWP29'!Std3dot2a)</f>
        <v/>
      </c>
      <c r="V736" s="151" t="str">
        <f>IF('IWP29'!Std3dot2b = 0, "", 'IWP29'!Std3dot2b)</f>
        <v/>
      </c>
      <c r="W736" s="151" t="str">
        <f>IF('IWP29'!Std3dot2c = 0, "", 'IWP29'!Std3dot2c)</f>
        <v/>
      </c>
      <c r="X736" s="151" t="str">
        <f>IF('IWP29'!Std3dot2 = 0, "", 'IWP29'!Std3dot2)</f>
        <v/>
      </c>
      <c r="Y736" s="151" t="str">
        <f>IF('IWP29'!Std4dot1Month1 = 0, "", 'IWP29'!Std4dot1Month1)</f>
        <v/>
      </c>
      <c r="Z736" s="157">
        <f>IF('IWP29'!Std4dot1Month1Date =DATE(1900,1,0),DATE(1900,1,1),'IWP29'!Std4dot1Month1Date)</f>
        <v>1</v>
      </c>
      <c r="AA736" s="151" t="str">
        <f>IF('IWP29'!Std4dot1Month2 = 0, "", 'IWP29'!Std4dot1Month2)</f>
        <v/>
      </c>
      <c r="AB736" s="157">
        <f>IF('IWP29'!Std4dot1Month2Date =DATE(1900,1,0),DATE(1900,1,1),'IWP29'!Std4dot1Month2Date)</f>
        <v>1</v>
      </c>
      <c r="AC736" s="151" t="str">
        <f>IF('IWP29'!Std4dot1 = 0, "", 'IWP29'!Std4dot1)</f>
        <v/>
      </c>
      <c r="AD736" s="151" t="str">
        <f>IF('IWP29'!Std4dot2NotCalc = 0, "", 'IWP29'!Std4dot2NotCalc)</f>
        <v/>
      </c>
      <c r="AE736" s="151" t="str">
        <f>IF('IWP29'!Std4dot2 = 0, "", 'IWP29'!Std4dot2)</f>
        <v/>
      </c>
      <c r="AF736" s="151" t="str">
        <f>IF('IWP29'!Std4dot3 = 0, "", 'IWP29'!Std4dot3)</f>
        <v/>
      </c>
      <c r="AG736" s="151" t="str">
        <f>IF('IWP29'!Std4dot4 = 0, "", 'IWP29'!Std4dot4)</f>
        <v/>
      </c>
      <c r="AH736" s="151" t="str">
        <f>IF('IWP29'!Std5NotCalc = 0, "", 'IWP29'!Std5NotCalc)</f>
        <v/>
      </c>
      <c r="AI736" s="151" t="str">
        <f>IF('IWP29'!Std5dot1 = 0, "", 'IWP29'!Std5dot1)</f>
        <v/>
      </c>
      <c r="AJ736" s="151" t="str">
        <f>IF('IWP29'!Std7dot1NotCalc = 0, "", 'IWP29'!Std7dot1NotCalc)</f>
        <v/>
      </c>
      <c r="AK736" s="151" t="str">
        <f>IF('IWP29'!Std7dot1NotCalc = 0, "", 'IWP29'!Std7dot1NotCalc)</f>
        <v/>
      </c>
      <c r="AL736" s="155">
        <f>'IWP29'!Std7dot1BalPerCshLog</f>
        <v>0</v>
      </c>
      <c r="AM736" s="155">
        <f>'IWP29'!Std7dot1LessAdj</f>
        <v>0</v>
      </c>
      <c r="AN736" s="155">
        <f>'IWP29'!Std7dot1AdjBal</f>
        <v>0</v>
      </c>
      <c r="AO736" s="155">
        <f>'IWP29'!Std7dot1CshOnHand</f>
        <v>0</v>
      </c>
      <c r="AP736" s="155">
        <f>'IWP29'!Std7dot1PtyCshOvrShrt</f>
        <v>0</v>
      </c>
      <c r="AQ736" s="151" t="str">
        <f>IF('IWP29'!Std7dot1OvrShrtCorr = 0, "", 'IWP29'!Std7dot1OvrShrtCorr)</f>
        <v/>
      </c>
      <c r="AR736" s="151" t="str">
        <f>IF('IWP29'!Std7dot1 = 0, "", 'IWP29'!Std7dot1)</f>
        <v/>
      </c>
      <c r="AS736" s="151" t="str">
        <f>IF('IWP29'!Std9dot1aNotCalc = 0, "", 'IWP29'!Std9dot1aNotCalc)</f>
        <v/>
      </c>
      <c r="AT736" s="151" t="str">
        <f>IF('IWP29'!Std9dot1bNotCalc = 0, "", 'IWP29'!Std9dot1bNotCalc)</f>
        <v/>
      </c>
      <c r="AU736" s="157">
        <f>IF('IWP29'!Std9BalPerBnkStmtDt =DATE(1900,1,0),DATE(1900,1,1),'IWP29'!Std9BalPerBnkStmtDt)</f>
        <v>1</v>
      </c>
      <c r="AV736" s="155">
        <f>'IWP29'!Std9BalPerBnkStmt</f>
        <v>0</v>
      </c>
      <c r="AW736" s="155">
        <f>'IWP29'!Std9TotDepsInTrans</f>
        <v>0</v>
      </c>
      <c r="AX736" s="155">
        <f>'IWP29'!Std9TotOutsChks</f>
        <v>0</v>
      </c>
      <c r="AY736" s="155">
        <f>'IWP29'!Std9AdjBalPerBank</f>
        <v>0</v>
      </c>
      <c r="AZ736" s="157">
        <f>IF('IWP29'!Std9TotPtyCshIndvDt =DATE(1900,1,0),DATE(1900,1,1),'IWP29'!Std9TotPtyCshIndvDt)</f>
        <v>1</v>
      </c>
      <c r="BA736" s="155">
        <f>'IWP29'!Std9TotPtyCshIndv</f>
        <v>0</v>
      </c>
      <c r="BB736" s="155">
        <f>'IWP29'!Std9TotCshBnkAndHnd</f>
        <v>0</v>
      </c>
      <c r="BC736" s="157">
        <f>IF('IWP29'!Std9BalPerBksDt =DATE(1900,1,0),DATE(1900,1,1),'IWP29'!Std9BalPerBksDt)</f>
        <v>1</v>
      </c>
      <c r="BD736" s="155">
        <f>'IWP29'!Std9BalPerBks</f>
        <v>0</v>
      </c>
      <c r="BE736" s="155">
        <f>'IWP29'!Std9UnapplErndInt</f>
        <v>0</v>
      </c>
      <c r="BF736" s="155">
        <f>'IWP29'!Std9UnpstdRcptDsbrsmts</f>
        <v>0</v>
      </c>
      <c r="BG736" s="155">
        <f>'IWP29'!Std9NsfChks</f>
        <v>0</v>
      </c>
      <c r="BH736" s="155">
        <f>'IWP29'!Std9AdjBalPerBks</f>
        <v>0</v>
      </c>
      <c r="BI736" s="155">
        <f>'IWP29'!Std9TrstFndAcctOvrShrt</f>
        <v>0</v>
      </c>
      <c r="BJ736" s="151" t="str">
        <f>IF('IWP29'!Std9OvrShrtCorrctd = 0, "", 'IWP29'!Std9OvrShrtCorrctd)</f>
        <v/>
      </c>
      <c r="BK736" s="151" t="str">
        <f>IF('IWP29'!Std9ShrtUnreimbSvcChg = 0, "", 'IWP29'!Std9ShrtUnreimbSvcChg)</f>
        <v/>
      </c>
      <c r="BL736" s="151" t="str">
        <f>IF('IWP29'!Std9dot1 = 0, "", 'IWP29'!Std9dot1)</f>
        <v/>
      </c>
      <c r="BM736" s="151" t="str">
        <f>IF('IWP29'!Std10dot1NotCalc = 0, "", 'IWP29'!Std10dot1NotCalc)</f>
        <v/>
      </c>
      <c r="BN736" s="319">
        <f>IF('IWP29'!FiscalReviewFirstMonth =DATE(1900,1,0),DATE(1900,1,1),'IWP29'!FiscalReviewFirstMonth)</f>
        <v>1</v>
      </c>
      <c r="BO736" s="155">
        <f>'IWP29'!Std10dot1TotalAmt1</f>
        <v>0</v>
      </c>
      <c r="BP736" s="319">
        <f>IF('IWP29'!FiscalReviewSecondMonth =DATE(1900,1,0),DATE(1900,1,1),'IWP29'!FiscalReviewSecondMonth)</f>
        <v>1</v>
      </c>
      <c r="BQ736" s="155">
        <f>'IWP29'!Std10dot1TotalAmt2</f>
        <v>0</v>
      </c>
      <c r="BR736" s="151" t="str">
        <f>IF('IWP29'!Std10dot1 = 0, "", 'IWP29'!Std10dot1)</f>
        <v/>
      </c>
      <c r="BS736" s="151" t="str">
        <f>IF('IWP29'!Std10dot2NotCalc = 0, "", 'IWP29'!Std10dot2NotCalc)</f>
        <v/>
      </c>
      <c r="BT736" s="319">
        <f>IF('IWP29'!FiscalReviewFirstMonth =DATE(1900,1,0),DATE(1900,1,1),'IWP29'!FiscalReviewFirstMonth)</f>
        <v>1</v>
      </c>
      <c r="BU736" s="155">
        <f>'IWP29'!Std10dot2BankChgs1</f>
        <v>0</v>
      </c>
      <c r="BV736" s="319">
        <f>IF('IWP29'!FiscalReviewSecondMonth =DATE(1900,1,0),DATE(1900,1,1),'IWP29'!FiscalReviewSecondMonth)</f>
        <v>1</v>
      </c>
      <c r="BW736" s="155">
        <f>'IWP29'!Std10dot2BankChgs2</f>
        <v>0</v>
      </c>
      <c r="BX736" s="151" t="str">
        <f>IF('IWP29'!Std10dot2 = 0, "", 'IWP29'!Std10dot2)</f>
        <v/>
      </c>
      <c r="BY736" s="151" t="str">
        <f>IF('IWP29'!Std10dot3NotCalc = 0, "", 'IWP29'!Std10dot3NotCalc)</f>
        <v/>
      </c>
      <c r="BZ736" s="151" t="str">
        <f>IF('IWP29'!Std10dot3 = 0, "", 'IWP29'!Std10dot3)</f>
        <v/>
      </c>
      <c r="CA736" s="151" t="str">
        <f>IF('IWP29'!Std10dot4NotCalc = 0, "", 'IWP29'!Std10dot4NotCalc)</f>
        <v/>
      </c>
      <c r="CB736" s="151" t="str">
        <f>IF('IWP29'!Std10dot4 = 0, "", 'IWP29'!Std10dot4)</f>
        <v/>
      </c>
      <c r="CC736" s="151" t="str">
        <f>IF('IWP29'!Std10dot5 = 0, "", 'IWP29'!Std10dot5)</f>
        <v/>
      </c>
      <c r="CD736" s="151" t="str">
        <f>IF('IWP29'!Std10dot6NotCalc = 0, "", 'IWP29'!Std10dot6NotCalc)</f>
        <v/>
      </c>
      <c r="CE736" s="157">
        <f>IF('IWP29'!Std10dot6DateOfDeathDischarge =DATE(1900,1,0),DATE(1900,1,1),'IWP29'!Std10dot6DateOfDeathDischarge)</f>
        <v>1</v>
      </c>
      <c r="CF736" s="151" t="str">
        <f>IF('IWP29'!Std10dot6DthDschg = 0, "", 'IWP29'!Std10dot6DthDschg)</f>
        <v/>
      </c>
      <c r="CG736" s="155">
        <f>'IWP29'!Std10dot6TrustFundAmtDue</f>
        <v>0</v>
      </c>
      <c r="CH736" s="155">
        <f>'IWP29'!Std10dot6IndvPtyCshAmtDue</f>
        <v>0</v>
      </c>
      <c r="CI736" s="155">
        <f>'IWP29'!Std10dot6TotRfndDue</f>
        <v>0</v>
      </c>
      <c r="CJ736" s="155">
        <f>'IWP29'!Std10dot6AmtRfnd</f>
        <v>0</v>
      </c>
      <c r="CK736" s="155">
        <f>'IWP29'!Std10dot6DminusE</f>
        <v>0</v>
      </c>
      <c r="CL736" s="151" t="str">
        <f>IF('IWP29'!Std10dot6LastName = 0, "", 'IWP29'!Std10dot6LastName)</f>
        <v/>
      </c>
      <c r="CM736" s="151" t="str">
        <f>IF('IWP29'!Std10dot6FirstName = 0, "", 'IWP29'!Std10dot6FirstName)</f>
        <v/>
      </c>
      <c r="CN736" s="157">
        <f>IF('IWP29'!Std10dot6DateOfRefund =DATE(1900,1,0),DATE(1900,1,1),'IWP29'!Std10dot6DateOfRefund)</f>
        <v>1</v>
      </c>
      <c r="CO736" s="151" t="str">
        <f>IF('IWP29'!Std10dot6a = 0, "", 'IWP29'!Std10dot6a)</f>
        <v/>
      </c>
      <c r="CP736" s="151" t="str">
        <f>IF('IWP29'!Std10dot6b = 0, "", 'IWP29'!Std10dot6b)</f>
        <v/>
      </c>
      <c r="CQ736" s="151" t="str">
        <f>IF('IWP29'!Std10dot6c = 0, "", 'IWP29'!Std10dot6c)</f>
        <v/>
      </c>
      <c r="CR736" s="151" t="str">
        <f>IF('IWP29'!Std10dot6 = "", "", 'IWP29'!Std10dot6)</f>
        <v/>
      </c>
      <c r="CS736" s="151" t="str">
        <f>IF('IWP29'!Std11dot1aNotCalc = 0, "", 'IWP29'!Std11dot1aNotCalc)</f>
        <v/>
      </c>
      <c r="CT736" s="151" t="str">
        <f>IF('IWP29'!Std11dot1bNotCalc = 0, "", 'IWP29'!Std11dot1bNotCalc)</f>
        <v>N</v>
      </c>
      <c r="CU736" s="151" t="str">
        <f>IF('IWP29'!Std11dot1cNotCalc = 0, "", 'IWP29'!Std11dot1cNotCalc)</f>
        <v>N</v>
      </c>
      <c r="CV736" s="151" t="str">
        <f>IF('IWP29'!Std11dot1dNotCalc = 0, "", 'IWP29'!Std11dot1dNotCalc)</f>
        <v/>
      </c>
      <c r="CW736" s="151" t="str">
        <f>IF('IWP29'!Std11dot1eNotCalc = 0, "", 'IWP29'!Std11dot1eNotCalc)</f>
        <v/>
      </c>
      <c r="CX736" s="151" t="str">
        <f>IF('IWP29'!Std11dot1fNotCalc = 0, "", 'IWP29'!Std11dot1fNotCalc)</f>
        <v/>
      </c>
      <c r="CY736" s="151" t="str">
        <f>IF('IWP29'!Std11dot1PrivateLivingSpace = 0, "", 'IWP29'!Std11dot1PrivateLivingSpace)</f>
        <v/>
      </c>
      <c r="CZ736" s="155">
        <f>'IWP29'!Std11dot1LivingWidth</f>
        <v>0</v>
      </c>
      <c r="DA736" s="155">
        <f>'IWP29'!Std11dot1LivingLength</f>
        <v>0</v>
      </c>
      <c r="DB736" s="155">
        <f>IF('IWP29'!Std11dot1LivingSqFt = "", MINVALDBL, 'IWP29'!Std11dot1LivingSqFt)</f>
        <v>-99999.99</v>
      </c>
      <c r="DC736" s="151" t="str">
        <f>IF('IWP29'!Std11dot1PrivateLivingSpace = 0, "", 'IWP29'!Std11dot1PrivateLivingSpace)</f>
        <v/>
      </c>
      <c r="DD736" s="155">
        <f>'IWP29'!Std11dot1LivingWidth</f>
        <v>0</v>
      </c>
      <c r="DE736" s="155">
        <f>'IWP29'!Std11dot1LivingLength</f>
        <v>0</v>
      </c>
      <c r="DF736" s="155">
        <f>IF('IWP29'!Std11dot1LivingSqFt = "", MINVALDBL, 'IWP29'!Std11dot1LivingSqFt)</f>
        <v>-99999.99</v>
      </c>
      <c r="DG736" s="151" t="str">
        <f>IF('IWP29'!Std11dot1PrivateBedSpace = 0, "", 'IWP29'!Std11dot1PrivateBedSpace)</f>
        <v/>
      </c>
      <c r="DH736" s="155">
        <f>'IWP29'!Std11dot1BdrmWidth</f>
        <v>0</v>
      </c>
      <c r="DI736" s="155">
        <f>'IWP29'!Std11dot1BdrmLength</f>
        <v>0</v>
      </c>
      <c r="DJ736" s="155">
        <f>IF('IWP29'!Std11dot1BdrmSqFt = "", MINVALDBL, 'IWP29'!Std11dot1BdrmSqFt)</f>
        <v>-99999.99</v>
      </c>
      <c r="DK736" s="151" t="str">
        <f>IF('IWP29'!Std11dot1PrivateStorageSpace = 0, "", 'IWP29'!Std11dot1PrivateStorageSpace)</f>
        <v/>
      </c>
      <c r="DL736" s="155">
        <f>'IWP29'!Std11dot1StorageWidth</f>
        <v>0</v>
      </c>
      <c r="DM736" s="155">
        <f>'IWP29'!Std11dot1StorageLength</f>
        <v>0</v>
      </c>
      <c r="DN736" s="155">
        <f>IF('IWP29'!Std11dot1StorageSqFt = "", 0, 'IWP29'!Std11dot1StorageSqFt)</f>
        <v>0</v>
      </c>
      <c r="DO736" s="151" t="str">
        <f>IF('IWP29'!Std11dot1PrivateKitchenSpace = 0, "", 'IWP29'!Std11dot1PrivateKitchenSpace)</f>
        <v/>
      </c>
      <c r="DP736" s="155">
        <f>'IWP29'!Std11dot1KitchenWidth</f>
        <v>0</v>
      </c>
      <c r="DQ736" s="155">
        <f>'IWP29'!Std11dot1KitchenLength</f>
        <v>0</v>
      </c>
      <c r="DR736" s="155">
        <f>IF('IWP29'!Std11dot1KitchenSqFt = "", MINVALDBL, 'IWP29'!Std11dot1KitchenSqFt)</f>
        <v>-99999.99</v>
      </c>
      <c r="DS736" s="151" t="str">
        <f>IF('IWP29'!Std11dot1KitchenSink = 0, "", 'IWP29'!Std11dot1KitchenSink)</f>
        <v/>
      </c>
      <c r="DT736" s="151" t="str">
        <f>IF('IWP29'!Std11dot1Refrigerator = 0, "", 'IWP29'!Std11dot1Refrigerator)</f>
        <v/>
      </c>
      <c r="DU736" s="151" t="str">
        <f>IF('IWP29'!Std11dot1StoveMicrowave = 0, "", 'IWP29'!Std11dot1StoveMicrowave)</f>
        <v/>
      </c>
      <c r="DV736" s="151" t="str">
        <f>IF('IWP29'!Std11dot1SeparateBath = 0, "", 'IWP29'!Std11dot1SeparateBath)</f>
        <v/>
      </c>
      <c r="DW736" s="151" t="str">
        <f>IF('IWP29'!Std11dot1BathSink = 0, "", 'IWP29'!Std11dot1BathSink)</f>
        <v/>
      </c>
      <c r="DX736" s="151" t="str">
        <f>IF('IWP29'!Std11dot1ShowerTubAccessible = 0, "", 'IWP29'!Std11dot1ShowerTubAccessible)</f>
        <v/>
      </c>
      <c r="DY736" s="155">
        <f>'IWP29'!Std11dot1TotalPrivateSpace</f>
        <v>0</v>
      </c>
      <c r="DZ736" s="155">
        <f>'IWP29'!Std11dot1PrivateSpaceSquareFootagePerResident</f>
        <v>0</v>
      </c>
      <c r="EA736" s="155">
        <f>IF('IWP29'!Std11dot1TotalSquareFootagePerResident = "", MINVALDBL, 'IWP29'!Std11dot1TotalSquareFootagePerResident)</f>
        <v>-99999.99</v>
      </c>
      <c r="EB736" s="155">
        <f>'IWP29'!Std11dot1UseableCommonAreaSquareFootage</f>
        <v>0</v>
      </c>
      <c r="EC736" s="155">
        <f>'IWP29'!Std11dot1LicensedCapacity</f>
        <v>0</v>
      </c>
      <c r="ED736" s="155">
        <f>IF('IWP29'!Std11dot1CommonAreaSquareFootagePerResident = "", MINVALDBL, 'IWP29'!Std11dot1CommonAreaSquareFootagePerResident)</f>
        <v>-99999.99</v>
      </c>
      <c r="EE736" s="151" t="str">
        <f>IF('IWP29'!Std11dot1a = 0, "", 'IWP29'!Std11dot1a)</f>
        <v/>
      </c>
      <c r="EF736" s="151" t="str">
        <f>IF('IWP29'!Std11dot1b = 0, "", 'IWP29'!Std11dot1b)</f>
        <v/>
      </c>
      <c r="EG736" s="151" t="str">
        <f>IF('IWP29'!Std11dot1c = 0, "", 'IWP29'!Std11dot1c)</f>
        <v/>
      </c>
      <c r="EH736" s="151" t="str">
        <f>IF('IWP29'!Std11dot1d = 0, "", 'IWP29'!Std11dot1d)</f>
        <v/>
      </c>
      <c r="EI736" s="151" t="str">
        <f>IF('IWP29'!Std11dot1e = 0, "", 'IWP29'!Std11dot1e)</f>
        <v/>
      </c>
      <c r="EJ736" s="151" t="str">
        <f>IF('IWP29'!Std11dot1f = 0, "", 'IWP29'!Std11dot1f)</f>
        <v/>
      </c>
      <c r="EK736" s="151" t="str">
        <f>IF('IWP29'!Std11dot1g = 0, "", 'IWP29'!Std11dot1g)</f>
        <v/>
      </c>
      <c r="EL736" s="151" t="str">
        <f>IF('IWP29'!Std11dot1h = 0, "", 'IWP29'!Std11dot1h)</f>
        <v/>
      </c>
      <c r="EM736" s="151" t="str">
        <f>IF('IWP29'!Std11dot1i = 0, "", 'IWP29'!Std11dot1i)</f>
        <v/>
      </c>
      <c r="EN736" s="151" t="str">
        <f>IF('IWP29'!Std11dot1j = 0, "", 'IWP29'!Std11dot1j)</f>
        <v/>
      </c>
      <c r="EO736" s="151" t="str">
        <f>IF('IWP29'!Std11dot1k = 0, "", 'IWP29'!Std11dot1k)</f>
        <v/>
      </c>
      <c r="EP736" s="151" t="str">
        <f>IF('IWP29'!Std11dot1 = 0, "", 'IWP29'!Std11dot1)</f>
        <v/>
      </c>
      <c r="EQ736" s="151" t="str">
        <f>IF('IWP29'!Std11dot2 = 0, "", 'IWP29'!Std11dot2)</f>
        <v/>
      </c>
      <c r="ER736" s="151" t="str">
        <f>IF('IWP29'!Std11dot3 = 0, "", 'IWP29'!Std11dot3)</f>
        <v/>
      </c>
      <c r="ES736" s="151" t="str">
        <f>IF('IWP29'!Std11dot4 = 0, "", 'IWP29'!Std11dot4)</f>
        <v>NA</v>
      </c>
      <c r="ET736" s="157">
        <f>IF('IWP29'!$A$363=DATE(1900,1,0), DATE(1900,1,1), 'IWP29'!$A$363)</f>
        <v>1</v>
      </c>
      <c r="EU736" s="155">
        <f>'IWP29'!$C$363</f>
        <v>0</v>
      </c>
      <c r="EV736" s="155">
        <f>'IWP29'!$E$363</f>
        <v>0</v>
      </c>
      <c r="EW736" s="157">
        <f>IF('IWP29'!$G$363=DATE(1900,1,0), DATE(1900,1,1), 'IWP29'!$G$363)</f>
        <v>1</v>
      </c>
      <c r="EX736" s="155">
        <f>'IWP29'!$I$363</f>
        <v>0</v>
      </c>
      <c r="EY736" s="155">
        <f>'IWP29'!$K$363</f>
        <v>0</v>
      </c>
      <c r="EZ736" s="157">
        <f>IF('IWP29'!$M$363=DATE(1900,1,0), DATE(1900,1,1), 'IWP29'!$M$363)</f>
        <v>1</v>
      </c>
      <c r="FA736" s="151" t="str">
        <f>IF('IWP29'!$O$363 = 0, "", 'IWP29'!$O$363)</f>
        <v/>
      </c>
      <c r="FB736" s="151" t="str">
        <f>IF('IWP29'!$Q$363 = 0, "", 'IWP29'!$Q$363)</f>
        <v/>
      </c>
      <c r="FC736" s="151" t="str">
        <f>IF('IWP29'!Std11dot5a = 0, "", 'IWP29'!Std11dot5a)</f>
        <v/>
      </c>
      <c r="FD736" s="151" t="str">
        <f>IF('IWP29'!Std11dot5b = 0, "", 'IWP29'!Std11dot5b)</f>
        <v/>
      </c>
      <c r="FE736" s="151" t="str">
        <f>IF('IWP29'!Std11dot5ci = 0, "", 'IWP29'!Std11dot5ci)</f>
        <v>NA</v>
      </c>
      <c r="FF736" s="151" t="str">
        <f>IF('IWP29'!Std11dot5cii = 0, "", 'IWP29'!Std11dot5cii)</f>
        <v>NA</v>
      </c>
      <c r="FG736" s="151" t="str">
        <f>IF('IWP29'!Std11dot5 = 0, "", 'IWP29'!Std11dot5)</f>
        <v/>
      </c>
      <c r="FH736" s="207" t="str">
        <f>IF('IWP29'!Std11dot1AptGrandFthr = "", "", 'IWP29'!Std11dot1AptGrandFthr)</f>
        <v/>
      </c>
    </row>
    <row r="737" spans="1:164" ht="15" thickBot="1">
      <c r="A737" s="156" t="s">
        <v>1333</v>
      </c>
      <c r="B737" s="194">
        <f>IF('Samples (Print)'!D34=DATE(1900,1,0),DATE(1900,1,1),'Samples (Print)'!D34)</f>
        <v>1</v>
      </c>
      <c r="C737" s="194">
        <f>IF('Samples (Print)'!E34=DATE(1900,1,0),DATE(1900,1,1),'Samples (Print)'!E34)</f>
        <v>1</v>
      </c>
      <c r="D737" s="320">
        <f>IF('IWP30'!FiscalReviewFirstMonth =DATE(1900,1,0),DATE(1900,1,1),'IWP30'!FiscalReviewFirstMonth)</f>
        <v>1</v>
      </c>
      <c r="E737" s="320">
        <f>IF('IWP30'!FiscalReviewSecondMonth =DATE(1900,1,0),DATE(1900,1,1),'IWP30'!FiscalReviewSecondMonth)</f>
        <v>1</v>
      </c>
      <c r="F737" s="172">
        <f>'IWP30'!SampleNumber</f>
        <v>30</v>
      </c>
      <c r="G737" s="172">
        <f ca="1">'IWP30'!ClientID</f>
        <v>0</v>
      </c>
      <c r="H737" s="270"/>
      <c r="I737" s="270"/>
      <c r="J737" s="171" t="str">
        <f ca="1">IF('IWP30'!ContractNumber = 0, "", 'IWP30'!ContractNumber)</f>
        <v/>
      </c>
      <c r="K737" s="171" t="str">
        <f ca="1">IF('IWP30'!ContractType = 0, "", 'IWP30'!ContractType)</f>
        <v/>
      </c>
      <c r="L737" s="171" t="str">
        <f>IF('IWP30'!CompletedByLastName = 0, "", 'IWP30'!CompletedByLastName)</f>
        <v/>
      </c>
      <c r="M737" s="171" t="str">
        <f>IF('IWP30'!CompletedByFirstName = 0, "", 'IWP30'!CompletedByFirstName)</f>
        <v/>
      </c>
      <c r="N737" s="194">
        <f>IF('IWP30'!DateCompleted =DATE(1900,1,0),DATE(1900,1,1),'IWP30'!DateCompleted)</f>
        <v>1</v>
      </c>
      <c r="O737" s="171" t="str">
        <f>IF('IWP30'!Std3NotCalc = 0, "", 'IWP30'!Std3NotCalc)</f>
        <v/>
      </c>
      <c r="P737" s="194">
        <f>IF('IWP30'!Std3dot1DateOfAdmission =DATE(1900,1,0),DATE(1900,1,1),'IWP30'!Std3dot1DateOfAdmission)</f>
        <v>1</v>
      </c>
      <c r="Q737" s="171" t="str">
        <f>IF('IWP30'!Std3dot1a = 0, "", 'IWP30'!Std3dot1a)</f>
        <v/>
      </c>
      <c r="R737" s="171" t="str">
        <f>IF('IWP30'!Std3dot1b = 0, "", 'IWP30'!Std3dot1b)</f>
        <v/>
      </c>
      <c r="S737" s="171" t="str">
        <f>IF('IWP30'!Std3dot1c = 0, "", 'IWP30'!Std3dot1c)</f>
        <v>NA</v>
      </c>
      <c r="T737" s="171" t="str">
        <f>IF('IWP30'!Std3dot1 = 0, "", 'IWP30'!Std3dot1)</f>
        <v/>
      </c>
      <c r="U737" s="171" t="str">
        <f>IF('IWP30'!Std3dot2a = 0, "", 'IWP30'!Std3dot2a)</f>
        <v/>
      </c>
      <c r="V737" s="171" t="str">
        <f>IF('IWP30'!Std3dot2b = 0, "", 'IWP30'!Std3dot2b)</f>
        <v/>
      </c>
      <c r="W737" s="171" t="str">
        <f>IF('IWP30'!Std3dot2c = 0, "", 'IWP30'!Std3dot2c)</f>
        <v/>
      </c>
      <c r="X737" s="171" t="str">
        <f>IF('IWP30'!Std3dot2 = 0, "", 'IWP30'!Std3dot2)</f>
        <v/>
      </c>
      <c r="Y737" s="171" t="str">
        <f>IF('IWP30'!Std4dot1Month1 = 0, "", 'IWP30'!Std4dot1Month1)</f>
        <v/>
      </c>
      <c r="Z737" s="194">
        <f>IF('IWP30'!Std4dot1Month1Date =DATE(1900,1,0),DATE(1900,1,1),'IWP30'!Std4dot1Month1Date)</f>
        <v>1</v>
      </c>
      <c r="AA737" s="171" t="str">
        <f>IF('IWP30'!Std4dot1Month2 = 0, "", 'IWP30'!Std4dot1Month2)</f>
        <v/>
      </c>
      <c r="AB737" s="194">
        <f>IF('IWP30'!Std4dot1Month2Date =DATE(1900,1,0),DATE(1900,1,1),'IWP30'!Std4dot1Month2Date)</f>
        <v>1</v>
      </c>
      <c r="AC737" s="171" t="str">
        <f>IF('IWP30'!Std4dot1 = 0, "", 'IWP30'!Std4dot1)</f>
        <v/>
      </c>
      <c r="AD737" s="171" t="str">
        <f>IF('IWP30'!Std4dot2NotCalc = 0, "", 'IWP30'!Std4dot2NotCalc)</f>
        <v/>
      </c>
      <c r="AE737" s="171" t="str">
        <f>IF('IWP30'!Std4dot2 = 0, "", 'IWP30'!Std4dot2)</f>
        <v/>
      </c>
      <c r="AF737" s="171" t="str">
        <f>IF('IWP30'!Std4dot3 = 0, "", 'IWP30'!Std4dot3)</f>
        <v/>
      </c>
      <c r="AG737" s="171" t="str">
        <f>IF('IWP30'!Std4dot4 = 0, "", 'IWP30'!Std4dot4)</f>
        <v/>
      </c>
      <c r="AH737" s="171" t="str">
        <f>IF('IWP30'!Std5NotCalc = 0, "", 'IWP30'!Std5NotCalc)</f>
        <v/>
      </c>
      <c r="AI737" s="171" t="str">
        <f>IF('IWP30'!Std5dot1 = 0, "", 'IWP30'!Std5dot1)</f>
        <v/>
      </c>
      <c r="AJ737" s="171" t="str">
        <f>IF('IWP30'!Std7dot1NotCalc = 0, "", 'IWP30'!Std7dot1NotCalc)</f>
        <v/>
      </c>
      <c r="AK737" s="171" t="str">
        <f>IF('IWP30'!Std7dot1NotCalc = 0, "", 'IWP30'!Std7dot1NotCalc)</f>
        <v/>
      </c>
      <c r="AL737" s="174">
        <f>'IWP30'!Std7dot1BalPerCshLog</f>
        <v>0</v>
      </c>
      <c r="AM737" s="174">
        <f>'IWP30'!Std7dot1LessAdj</f>
        <v>0</v>
      </c>
      <c r="AN737" s="174">
        <f>'IWP30'!Std7dot1AdjBal</f>
        <v>0</v>
      </c>
      <c r="AO737" s="174">
        <f>'IWP30'!Std7dot1CshOnHand</f>
        <v>0</v>
      </c>
      <c r="AP737" s="174">
        <f>'IWP30'!Std7dot1PtyCshOvrShrt</f>
        <v>0</v>
      </c>
      <c r="AQ737" s="171" t="str">
        <f>IF('IWP30'!Std7dot1OvrShrtCorr = 0, "", 'IWP30'!Std7dot1OvrShrtCorr)</f>
        <v/>
      </c>
      <c r="AR737" s="171" t="str">
        <f>IF('IWP30'!Std7dot1 = 0, "", 'IWP30'!Std7dot1)</f>
        <v/>
      </c>
      <c r="AS737" s="171" t="str">
        <f>IF('IWP30'!Std9dot1aNotCalc = 0, "", 'IWP30'!Std9dot1aNotCalc)</f>
        <v/>
      </c>
      <c r="AT737" s="171" t="str">
        <f>IF('IWP30'!Std9dot1bNotCalc = 0, "", 'IWP30'!Std9dot1bNotCalc)</f>
        <v/>
      </c>
      <c r="AU737" s="194">
        <f>IF('IWP30'!Std9BalPerBnkStmtDt =DATE(1900,1,0),DATE(1900,1,1),'IWP30'!Std9BalPerBnkStmtDt)</f>
        <v>1</v>
      </c>
      <c r="AV737" s="174">
        <f>'IWP30'!Std9BalPerBnkStmt</f>
        <v>0</v>
      </c>
      <c r="AW737" s="174">
        <f>'IWP30'!Std9TotDepsInTrans</f>
        <v>0</v>
      </c>
      <c r="AX737" s="174">
        <f>'IWP30'!Std9TotOutsChks</f>
        <v>0</v>
      </c>
      <c r="AY737" s="174">
        <f>'IWP30'!Std9AdjBalPerBank</f>
        <v>0</v>
      </c>
      <c r="AZ737" s="194">
        <f>IF('IWP30'!Std9TotPtyCshIndvDt =DATE(1900,1,0),DATE(1900,1,1),'IWP30'!Std9TotPtyCshIndvDt)</f>
        <v>1</v>
      </c>
      <c r="BA737" s="174">
        <f>'IWP30'!Std9TotPtyCshIndv</f>
        <v>0</v>
      </c>
      <c r="BB737" s="174">
        <f>'IWP30'!Std9TotCshBnkAndHnd</f>
        <v>0</v>
      </c>
      <c r="BC737" s="194">
        <f>IF('IWP30'!Std9BalPerBksDt =DATE(1900,1,0),DATE(1900,1,1),'IWP30'!Std9BalPerBksDt)</f>
        <v>1</v>
      </c>
      <c r="BD737" s="174">
        <f>'IWP30'!Std9BalPerBks</f>
        <v>0</v>
      </c>
      <c r="BE737" s="174">
        <f>'IWP30'!Std9UnapplErndInt</f>
        <v>0</v>
      </c>
      <c r="BF737" s="174">
        <f>'IWP30'!Std9UnpstdRcptDsbrsmts</f>
        <v>0</v>
      </c>
      <c r="BG737" s="174">
        <f>'IWP30'!Std9NsfChks</f>
        <v>0</v>
      </c>
      <c r="BH737" s="174">
        <f>'IWP30'!Std9AdjBalPerBks</f>
        <v>0</v>
      </c>
      <c r="BI737" s="174">
        <f>'IWP30'!Std9TrstFndAcctOvrShrt</f>
        <v>0</v>
      </c>
      <c r="BJ737" s="171" t="str">
        <f>IF('IWP30'!Std9OvrShrtCorrctd = 0, "", 'IWP30'!Std9OvrShrtCorrctd)</f>
        <v/>
      </c>
      <c r="BK737" s="171" t="str">
        <f>IF('IWP30'!Std9ShrtUnreimbSvcChg = 0, "", 'IWP30'!Std9ShrtUnreimbSvcChg)</f>
        <v/>
      </c>
      <c r="BL737" s="171" t="str">
        <f>IF('IWP30'!Std9dot1 = 0, "", 'IWP30'!Std9dot1)</f>
        <v/>
      </c>
      <c r="BM737" s="171" t="str">
        <f>IF('IWP30'!Std10dot1NotCalc = 0, "", 'IWP30'!Std10dot1NotCalc)</f>
        <v/>
      </c>
      <c r="BN737" s="320">
        <f>IF('IWP30'!FiscalReviewFirstMonth =DATE(1900,1,0),DATE(1900,1,1),'IWP30'!FiscalReviewFirstMonth)</f>
        <v>1</v>
      </c>
      <c r="BO737" s="174">
        <f>'IWP30'!Std10dot1TotalAmt1</f>
        <v>0</v>
      </c>
      <c r="BP737" s="320">
        <f>IF('IWP30'!FiscalReviewSecondMonth =DATE(1900,1,0),DATE(1900,1,1),'IWP30'!FiscalReviewSecondMonth)</f>
        <v>1</v>
      </c>
      <c r="BQ737" s="174">
        <f>'IWP30'!Std10dot1TotalAmt2</f>
        <v>0</v>
      </c>
      <c r="BR737" s="171" t="str">
        <f>IF('IWP30'!Std10dot1 = 0, "", 'IWP30'!Std10dot1)</f>
        <v/>
      </c>
      <c r="BS737" s="171" t="str">
        <f>IF('IWP30'!Std10dot2NotCalc = 0, "", 'IWP30'!Std10dot2NotCalc)</f>
        <v/>
      </c>
      <c r="BT737" s="320">
        <f>IF('IWP30'!FiscalReviewFirstMonth =DATE(1900,1,0),DATE(1900,1,1),'IWP30'!FiscalReviewFirstMonth)</f>
        <v>1</v>
      </c>
      <c r="BU737" s="174">
        <f>'IWP30'!Std10dot2BankChgs1</f>
        <v>0</v>
      </c>
      <c r="BV737" s="320">
        <f>IF('IWP30'!FiscalReviewSecondMonth =DATE(1900,1,0),DATE(1900,1,1),'IWP30'!FiscalReviewSecondMonth)</f>
        <v>1</v>
      </c>
      <c r="BW737" s="174">
        <f>'IWP30'!Std10dot2BankChgs2</f>
        <v>0</v>
      </c>
      <c r="BX737" s="171" t="str">
        <f>IF('IWP30'!Std10dot2 = 0, "", 'IWP30'!Std10dot2)</f>
        <v/>
      </c>
      <c r="BY737" s="171" t="str">
        <f>IF('IWP30'!Std10dot3NotCalc = 0, "", 'IWP30'!Std10dot3NotCalc)</f>
        <v/>
      </c>
      <c r="BZ737" s="171" t="str">
        <f>IF('IWP30'!Std10dot3 = 0, "", 'IWP30'!Std10dot3)</f>
        <v/>
      </c>
      <c r="CA737" s="171" t="str">
        <f>IF('IWP30'!Std10dot4NotCalc = 0, "", 'IWP30'!Std10dot4NotCalc)</f>
        <v/>
      </c>
      <c r="CB737" s="171" t="str">
        <f>IF('IWP30'!Std10dot4 = 0, "", 'IWP30'!Std10dot4)</f>
        <v/>
      </c>
      <c r="CC737" s="171" t="str">
        <f>IF('IWP30'!Std10dot5 = 0, "", 'IWP30'!Std10dot5)</f>
        <v/>
      </c>
      <c r="CD737" s="171" t="str">
        <f>IF('IWP30'!Std10dot6NotCalc = 0, "", 'IWP30'!Std10dot6NotCalc)</f>
        <v/>
      </c>
      <c r="CE737" s="194">
        <f>IF('IWP30'!Std10dot6DateOfDeathDischarge =DATE(1900,1,0),DATE(1900,1,1),'IWP30'!Std10dot6DateOfDeathDischarge)</f>
        <v>1</v>
      </c>
      <c r="CF737" s="171" t="str">
        <f>IF('IWP30'!Std10dot6DthDschg = 0, "", 'IWP30'!Std10dot6DthDschg)</f>
        <v/>
      </c>
      <c r="CG737" s="174">
        <f>'IWP30'!Std10dot6TrustFundAmtDue</f>
        <v>0</v>
      </c>
      <c r="CH737" s="174">
        <f>'IWP30'!Std10dot6IndvPtyCshAmtDue</f>
        <v>0</v>
      </c>
      <c r="CI737" s="174">
        <f>'IWP30'!Std10dot6TotRfndDue</f>
        <v>0</v>
      </c>
      <c r="CJ737" s="174">
        <f>'IWP30'!Std10dot6AmtRfnd</f>
        <v>0</v>
      </c>
      <c r="CK737" s="174">
        <f>'IWP30'!Std10dot6DminusE</f>
        <v>0</v>
      </c>
      <c r="CL737" s="171" t="str">
        <f>IF('IWP30'!Std10dot6LastName = 0, "", 'IWP30'!Std10dot6LastName)</f>
        <v/>
      </c>
      <c r="CM737" s="171" t="str">
        <f>IF('IWP30'!Std10dot6FirstName = 0, "", 'IWP30'!Std10dot6FirstName)</f>
        <v/>
      </c>
      <c r="CN737" s="194">
        <f>IF('IWP30'!Std10dot6DateOfRefund =DATE(1900,1,0),DATE(1900,1,1),'IWP30'!Std10dot6DateOfRefund)</f>
        <v>1</v>
      </c>
      <c r="CO737" s="171" t="str">
        <f>IF('IWP30'!Std10dot6a = 0, "", 'IWP30'!Std10dot6a)</f>
        <v/>
      </c>
      <c r="CP737" s="171" t="str">
        <f>IF('IWP30'!Std10dot6b = 0, "", 'IWP30'!Std10dot6b)</f>
        <v/>
      </c>
      <c r="CQ737" s="171" t="str">
        <f>IF('IWP30'!Std10dot6c = 0, "", 'IWP30'!Std10dot6c)</f>
        <v/>
      </c>
      <c r="CR737" s="171" t="str">
        <f>IF('IWP30'!Std10dot6 = "", "", 'IWP30'!Std10dot6)</f>
        <v/>
      </c>
      <c r="CS737" s="171" t="str">
        <f>IF('IWP30'!Std11dot1aNotCalc = 0, "", 'IWP30'!Std11dot1aNotCalc)</f>
        <v/>
      </c>
      <c r="CT737" s="171" t="str">
        <f>IF('IWP30'!Std11dot1bNotCalc = 0, "", 'IWP30'!Std11dot1bNotCalc)</f>
        <v>N</v>
      </c>
      <c r="CU737" s="171" t="str">
        <f>IF('IWP30'!Std11dot1cNotCalc = 0, "", 'IWP30'!Std11dot1cNotCalc)</f>
        <v>N</v>
      </c>
      <c r="CV737" s="171" t="str">
        <f>IF('IWP30'!Std11dot1dNotCalc = 0, "", 'IWP30'!Std11dot1dNotCalc)</f>
        <v/>
      </c>
      <c r="CW737" s="171" t="str">
        <f>IF('IWP30'!Std11dot1eNotCalc = 0, "", 'IWP30'!Std11dot1eNotCalc)</f>
        <v/>
      </c>
      <c r="CX737" s="171" t="str">
        <f>IF('IWP30'!Std11dot1fNotCalc = 0, "", 'IWP30'!Std11dot1fNotCalc)</f>
        <v/>
      </c>
      <c r="CY737" s="171" t="str">
        <f>IF('IWP30'!Std11dot1PrivateLivingSpace = 0, "", 'IWP30'!Std11dot1PrivateLivingSpace)</f>
        <v/>
      </c>
      <c r="CZ737" s="174">
        <f>'IWP30'!Std11dot1LivingWidth</f>
        <v>0</v>
      </c>
      <c r="DA737" s="174">
        <f>'IWP30'!Std11dot1LivingLength</f>
        <v>0</v>
      </c>
      <c r="DB737" s="174">
        <f>IF('IWP30'!Std11dot1LivingSqFt = "", MINVALDBL, 'IWP30'!Std11dot1LivingSqFt)</f>
        <v>-99999.99</v>
      </c>
      <c r="DC737" s="171" t="str">
        <f>IF('IWP30'!Std11dot1PrivateLivingSpace = 0, "", 'IWP30'!Std11dot1PrivateLivingSpace)</f>
        <v/>
      </c>
      <c r="DD737" s="174">
        <f>'IWP30'!Std11dot1LivingWidth</f>
        <v>0</v>
      </c>
      <c r="DE737" s="174">
        <f>'IWP30'!Std11dot1LivingLength</f>
        <v>0</v>
      </c>
      <c r="DF737" s="174">
        <f>IF('IWP30'!Std11dot1LivingSqFt = "", MINVALDBL, 'IWP30'!Std11dot1LivingSqFt)</f>
        <v>-99999.99</v>
      </c>
      <c r="DG737" s="171" t="str">
        <f>IF('IWP30'!Std11dot1PrivateBedSpace = 0, "", 'IWP30'!Std11dot1PrivateBedSpace)</f>
        <v/>
      </c>
      <c r="DH737" s="174">
        <f>'IWP30'!Std11dot1BdrmWidth</f>
        <v>0</v>
      </c>
      <c r="DI737" s="174">
        <f>'IWP30'!Std11dot1BdrmLength</f>
        <v>0</v>
      </c>
      <c r="DJ737" s="174">
        <f>IF('IWP30'!Std11dot1BdrmSqFt = "", MINVALDBL, 'IWP30'!Std11dot1BdrmSqFt)</f>
        <v>-99999.99</v>
      </c>
      <c r="DK737" s="171" t="str">
        <f>IF('IWP30'!Std11dot1PrivateStorageSpace = 0, "", 'IWP30'!Std11dot1PrivateStorageSpace)</f>
        <v/>
      </c>
      <c r="DL737" s="174">
        <f>'IWP30'!Std11dot1StorageWidth</f>
        <v>0</v>
      </c>
      <c r="DM737" s="174">
        <f>'IWP30'!Std11dot1StorageLength</f>
        <v>0</v>
      </c>
      <c r="DN737" s="174">
        <f>IF('IWP30'!Std11dot1StorageSqFt = "", 0, 'IWP30'!Std11dot1StorageSqFt)</f>
        <v>0</v>
      </c>
      <c r="DO737" s="171" t="str">
        <f>IF('IWP30'!Std11dot1PrivateKitchenSpace = 0, "", 'IWP30'!Std11dot1PrivateKitchenSpace)</f>
        <v/>
      </c>
      <c r="DP737" s="174">
        <f>'IWP30'!Std11dot1KitchenWidth</f>
        <v>0</v>
      </c>
      <c r="DQ737" s="174">
        <f>'IWP30'!Std11dot1KitchenLength</f>
        <v>0</v>
      </c>
      <c r="DR737" s="174">
        <f>IF('IWP30'!Std11dot1KitchenSqFt = "", MINVALDBL, 'IWP30'!Std11dot1KitchenSqFt)</f>
        <v>-99999.99</v>
      </c>
      <c r="DS737" s="171" t="str">
        <f>IF('IWP30'!Std11dot1KitchenSink = 0, "", 'IWP30'!Std11dot1KitchenSink)</f>
        <v/>
      </c>
      <c r="DT737" s="171" t="str">
        <f>IF('IWP30'!Std11dot1Refrigerator = 0, "", 'IWP30'!Std11dot1Refrigerator)</f>
        <v/>
      </c>
      <c r="DU737" s="171" t="str">
        <f>IF('IWP30'!Std11dot1StoveMicrowave = 0, "", 'IWP30'!Std11dot1StoveMicrowave)</f>
        <v/>
      </c>
      <c r="DV737" s="171" t="str">
        <f>IF('IWP30'!Std11dot1SeparateBath = 0, "", 'IWP30'!Std11dot1SeparateBath)</f>
        <v/>
      </c>
      <c r="DW737" s="171" t="str">
        <f>IF('IWP30'!Std11dot1BathSink = 0, "", 'IWP30'!Std11dot1BathSink)</f>
        <v/>
      </c>
      <c r="DX737" s="171" t="str">
        <f>IF('IWP30'!Std11dot1ShowerTubAccessible = 0, "", 'IWP30'!Std11dot1ShowerTubAccessible)</f>
        <v/>
      </c>
      <c r="DY737" s="174">
        <f>'IWP30'!Std11dot1TotalPrivateSpace</f>
        <v>0</v>
      </c>
      <c r="DZ737" s="174">
        <f>'IWP30'!Std11dot1PrivateSpaceSquareFootagePerResident</f>
        <v>0</v>
      </c>
      <c r="EA737" s="174">
        <f>IF('IWP30'!Std11dot1TotalSquareFootagePerResident = "", MINVALDBL, 'IWP30'!Std11dot1TotalSquareFootagePerResident)</f>
        <v>-99999.99</v>
      </c>
      <c r="EB737" s="174">
        <f>'IWP30'!Std11dot1UseableCommonAreaSquareFootage</f>
        <v>0</v>
      </c>
      <c r="EC737" s="174">
        <f>'IWP30'!Std11dot1LicensedCapacity</f>
        <v>0</v>
      </c>
      <c r="ED737" s="174">
        <f>IF('IWP30'!Std11dot1CommonAreaSquareFootagePerResident = "", MINVALDBL, 'IWP30'!Std11dot1CommonAreaSquareFootagePerResident)</f>
        <v>-99999.99</v>
      </c>
      <c r="EE737" s="171" t="str">
        <f>IF('IWP30'!Std11dot1a = 0, "", 'IWP30'!Std11dot1a)</f>
        <v/>
      </c>
      <c r="EF737" s="171" t="str">
        <f>IF('IWP30'!Std11dot1b = 0, "", 'IWP30'!Std11dot1b)</f>
        <v/>
      </c>
      <c r="EG737" s="171" t="str">
        <f>IF('IWP30'!Std11dot1c = 0, "", 'IWP30'!Std11dot1c)</f>
        <v/>
      </c>
      <c r="EH737" s="171" t="str">
        <f>IF('IWP30'!Std11dot1d = 0, "", 'IWP30'!Std11dot1d)</f>
        <v/>
      </c>
      <c r="EI737" s="171" t="str">
        <f>IF('IWP30'!Std11dot1e = 0, "", 'IWP30'!Std11dot1e)</f>
        <v/>
      </c>
      <c r="EJ737" s="171" t="str">
        <f>IF('IWP30'!Std11dot1f = 0, "", 'IWP30'!Std11dot1f)</f>
        <v/>
      </c>
      <c r="EK737" s="171" t="str">
        <f>IF('IWP30'!Std11dot1g = 0, "", 'IWP30'!Std11dot1g)</f>
        <v/>
      </c>
      <c r="EL737" s="171" t="str">
        <f>IF('IWP30'!Std11dot1h = 0, "", 'IWP30'!Std11dot1h)</f>
        <v/>
      </c>
      <c r="EM737" s="171" t="str">
        <f>IF('IWP30'!Std11dot1i = 0, "", 'IWP30'!Std11dot1i)</f>
        <v/>
      </c>
      <c r="EN737" s="171" t="str">
        <f>IF('IWP30'!Std11dot1j = 0, "", 'IWP30'!Std11dot1j)</f>
        <v/>
      </c>
      <c r="EO737" s="171" t="str">
        <f>IF('IWP30'!Std11dot1k = 0, "", 'IWP30'!Std11dot1k)</f>
        <v/>
      </c>
      <c r="EP737" s="171" t="str">
        <f>IF('IWP30'!Std11dot1 = 0, "", 'IWP30'!Std11dot1)</f>
        <v/>
      </c>
      <c r="EQ737" s="171" t="str">
        <f>IF('IWP30'!Std11dot2 = 0, "", 'IWP30'!Std11dot2)</f>
        <v/>
      </c>
      <c r="ER737" s="171" t="str">
        <f>IF('IWP30'!Std11dot3 = 0, "", 'IWP30'!Std11dot3)</f>
        <v/>
      </c>
      <c r="ES737" s="171" t="str">
        <f>IF('IWP30'!Std11dot4 = 0, "", 'IWP30'!Std11dot4)</f>
        <v>NA</v>
      </c>
      <c r="ET737" s="194">
        <f>IF('IWP30'!$A$363=DATE(1900,1,0), DATE(1900,1,1), 'IWP30'!$A$363)</f>
        <v>1</v>
      </c>
      <c r="EU737" s="174">
        <f>'IWP30'!$C$363</f>
        <v>0</v>
      </c>
      <c r="EV737" s="174">
        <f>'IWP30'!$E$363</f>
        <v>0</v>
      </c>
      <c r="EW737" s="194">
        <f>IF('IWP30'!$G$363=DATE(1900,1,0), DATE(1900,1,1), 'IWP30'!$G$363)</f>
        <v>1</v>
      </c>
      <c r="EX737" s="174">
        <f>'IWP30'!$I$363</f>
        <v>0</v>
      </c>
      <c r="EY737" s="174">
        <f>'IWP30'!$K$363</f>
        <v>0</v>
      </c>
      <c r="EZ737" s="194">
        <f>IF('IWP30'!$M$363=DATE(1900,1,0), DATE(1900,1,1), 'IWP30'!$M$363)</f>
        <v>1</v>
      </c>
      <c r="FA737" s="171" t="str">
        <f>IF('IWP30'!$O$363 = 0, "", 'IWP30'!$O$363)</f>
        <v/>
      </c>
      <c r="FB737" s="171" t="str">
        <f>IF('IWP30'!$Q$363 = 0, "", 'IWP30'!$Q$363)</f>
        <v/>
      </c>
      <c r="FC737" s="171" t="str">
        <f>IF('IWP30'!Std11dot5a = 0, "", 'IWP30'!Std11dot5a)</f>
        <v/>
      </c>
      <c r="FD737" s="171" t="str">
        <f>IF('IWP30'!Std11dot5b = 0, "", 'IWP30'!Std11dot5b)</f>
        <v/>
      </c>
      <c r="FE737" s="171" t="str">
        <f>IF('IWP30'!Std11dot5ci = 0, "", 'IWP30'!Std11dot5ci)</f>
        <v>NA</v>
      </c>
      <c r="FF737" s="171" t="str">
        <f>IF('IWP30'!Std11dot5cii = 0, "", 'IWP30'!Std11dot5cii)</f>
        <v>NA</v>
      </c>
      <c r="FG737" s="171" t="str">
        <f>IF('IWP30'!Std11dot5 = 0, "", 'IWP30'!Std11dot5)</f>
        <v/>
      </c>
      <c r="FH737" s="208" t="str">
        <f>IF('IWP30'!Std11dot1AptGrandFthr = "", "", 'IWP30'!Std11dot1AptGrandFthr)</f>
        <v/>
      </c>
    </row>
    <row r="739" spans="1:164" ht="15" thickBot="1">
      <c r="A739" s="156" t="s">
        <v>1265</v>
      </c>
    </row>
    <row r="740" spans="1:164" s="62" customFormat="1" ht="29">
      <c r="A740" s="153" t="s">
        <v>1057</v>
      </c>
      <c r="B740" s="312" t="s">
        <v>1195</v>
      </c>
      <c r="C740" s="311" t="s">
        <v>1196</v>
      </c>
    </row>
    <row r="741" spans="1:164">
      <c r="A741" s="206" t="s">
        <v>1060</v>
      </c>
      <c r="B741" s="157">
        <f ca="1">IF(OFFSET('IWP01'!Std4dot2Dates, 0, 0, 1, 1) = DATE(1900,1,0),DATE(1900,1,1),OFFSET('IWP01'!Std4dot2Dates, 0, 0, 1, 1))</f>
        <v>1</v>
      </c>
      <c r="C741" s="158">
        <f ca="1">IF(OFFSET('IWP01'!Std4dot2Dates, 0, 5, 1, 1) = DATE(1900,1,0),DATE(1900,1,1),OFFSET('IWP01'!Std4dot2Dates, 0, 5, 1, 1))</f>
        <v>1</v>
      </c>
    </row>
    <row r="742" spans="1:164">
      <c r="A742" s="206" t="s">
        <v>1060</v>
      </c>
      <c r="B742" s="157">
        <f ca="1">IF(OFFSET('IWP01'!Std4dot2Dates, 1, 0, 1, 1) = DATE(1900,1,0),DATE(1900,1,1),OFFSET('IWP01'!Std4dot2Dates, 1, 0, 1, 1))</f>
        <v>1</v>
      </c>
      <c r="C742" s="158">
        <f ca="1">IF(OFFSET('IWP01'!Std4dot2Dates, 1, 5, 1, 1) = DATE(1900,1,0),DATE(1900,1,1),OFFSET('IWP01'!Std4dot2Dates, 1, 5, 1, 1))</f>
        <v>1</v>
      </c>
    </row>
    <row r="743" spans="1:164">
      <c r="A743" s="206" t="s">
        <v>1060</v>
      </c>
      <c r="B743" s="157">
        <f ca="1">IF(OFFSET('IWP01'!Std4dot2Dates, 2, 0, 1, 1) = DATE(1900,1,0),DATE(1900,1,1),OFFSET('IWP01'!Std4dot2Dates, 2, 0, 1, 1))</f>
        <v>1</v>
      </c>
      <c r="C743" s="158">
        <f ca="1">IF(OFFSET('IWP01'!Std4dot2Dates, 2, 5, 1, 1) = DATE(1900,1,0),DATE(1900,1,1),OFFSET('IWP01'!Std4dot2Dates, 2, 5, 1, 1))</f>
        <v>1</v>
      </c>
    </row>
    <row r="744" spans="1:164">
      <c r="A744" s="206" t="s">
        <v>1060</v>
      </c>
      <c r="B744" s="157">
        <f ca="1">IF(OFFSET('IWP01'!Std4dot2Dates, 3, 0, 1, 1) = DATE(1900,1,0),DATE(1900,1,1),OFFSET('IWP01'!Std4dot2Dates, 3, 0, 1, 1))</f>
        <v>1</v>
      </c>
      <c r="C744" s="158">
        <f ca="1">IF(OFFSET('IWP01'!Std4dot2Dates, 3, 5, 1, 1) = DATE(1900,1,0),DATE(1900,1,1),OFFSET('IWP01'!Std4dot2Dates, 3, 5, 1, 1))</f>
        <v>1</v>
      </c>
    </row>
    <row r="745" spans="1:164">
      <c r="A745" s="206" t="s">
        <v>1193</v>
      </c>
      <c r="B745" s="157">
        <f ca="1">IF(OFFSET('IWP02'!Std4dot2Dates, 0, 0, 1, 1) = DATE(1900,1,0),DATE(1900,1,1),OFFSET('IWP02'!Std4dot2Dates, 0, 0, 1, 1))</f>
        <v>1</v>
      </c>
      <c r="C745" s="158">
        <f ca="1">IF(OFFSET('IWP02'!Std4dot2Dates, 0, 5, 1, 1) = DATE(1900,1,0),DATE(1900,1,1),OFFSET('IWP02'!Std4dot2Dates, 0, 5, 1, 1))</f>
        <v>1</v>
      </c>
    </row>
    <row r="746" spans="1:164">
      <c r="A746" s="206" t="s">
        <v>1193</v>
      </c>
      <c r="B746" s="157">
        <f ca="1">IF(OFFSET('IWP02'!Std4dot2Dates, 1, 0, 1, 1) = DATE(1900,1,0),DATE(1900,1,1),OFFSET('IWP02'!Std4dot2Dates, 1, 0, 1, 1))</f>
        <v>1</v>
      </c>
      <c r="C746" s="158">
        <f ca="1">IF(OFFSET('IWP02'!Std4dot2Dates, 1, 5, 1, 1) = DATE(1900,1,0),DATE(1900,1,1),OFFSET('IWP02'!Std4dot2Dates, 1, 5, 1, 1))</f>
        <v>1</v>
      </c>
    </row>
    <row r="747" spans="1:164">
      <c r="A747" s="206" t="s">
        <v>1193</v>
      </c>
      <c r="B747" s="157">
        <f ca="1">IF(OFFSET('IWP02'!Std4dot2Dates, 2, 0, 1, 1) = DATE(1900,1,0),DATE(1900,1,1),OFFSET('IWP02'!Std4dot2Dates, 2, 0, 1, 1))</f>
        <v>1</v>
      </c>
      <c r="C747" s="158">
        <f ca="1">IF(OFFSET('IWP02'!Std4dot2Dates, 2, 5, 1, 1) = DATE(1900,1,0),DATE(1900,1,1),OFFSET('IWP02'!Std4dot2Dates, 2, 5, 1, 1))</f>
        <v>1</v>
      </c>
    </row>
    <row r="748" spans="1:164">
      <c r="A748" s="206" t="s">
        <v>1193</v>
      </c>
      <c r="B748" s="157">
        <f ca="1">IF(OFFSET('IWP02'!Std4dot2Dates, 3, 0, 1, 1) = DATE(1900,1,0),DATE(1900,1,1),OFFSET('IWP02'!Std4dot2Dates, 3, 0, 1, 1))</f>
        <v>1</v>
      </c>
      <c r="C748" s="158">
        <f ca="1">IF(OFFSET('IWP02'!Std4dot2Dates, 3, 5, 1, 1) = DATE(1900,1,0),DATE(1900,1,1),OFFSET('IWP02'!Std4dot2Dates, 3, 5, 1, 1))</f>
        <v>1</v>
      </c>
    </row>
    <row r="749" spans="1:164">
      <c r="A749" s="206" t="s">
        <v>1194</v>
      </c>
      <c r="B749" s="157">
        <f ca="1">IF(OFFSET('IWP03'!Std4dot2Dates, 0, 0, 1, 1) = DATE(1900,1,0),DATE(1900,1,1),OFFSET('IWP03'!Std4dot2Dates, 0, 0, 1, 1))</f>
        <v>1</v>
      </c>
      <c r="C749" s="158">
        <f ca="1">IF(OFFSET('IWP03'!Std4dot2Dates, 0, 5, 1, 1) = DATE(1900,1,0),DATE(1900,1,1),OFFSET('IWP03'!Std4dot2Dates, 0, 5, 1, 1))</f>
        <v>1</v>
      </c>
    </row>
    <row r="750" spans="1:164">
      <c r="A750" s="206" t="s">
        <v>1194</v>
      </c>
      <c r="B750" s="157">
        <f ca="1">IF(OFFSET('IWP03'!Std4dot2Dates, 1, 0, 1, 1) = DATE(1900,1,0),DATE(1900,1,1),OFFSET('IWP03'!Std4dot2Dates, 1, 0, 1, 1))</f>
        <v>1</v>
      </c>
      <c r="C750" s="158">
        <f ca="1">IF(OFFSET('IWP03'!Std4dot2Dates, 1, 5, 1, 1) = DATE(1900,1,0),DATE(1900,1,1),OFFSET('IWP03'!Std4dot2Dates, 1, 5, 1, 1))</f>
        <v>1</v>
      </c>
    </row>
    <row r="751" spans="1:164">
      <c r="A751" s="206" t="s">
        <v>1194</v>
      </c>
      <c r="B751" s="157">
        <f ca="1">IF(OFFSET('IWP03'!Std4dot2Dates, 2, 0, 1, 1) = DATE(1900,1,0),DATE(1900,1,1),OFFSET('IWP03'!Std4dot2Dates, 2, 0, 1, 1))</f>
        <v>1</v>
      </c>
      <c r="C751" s="158">
        <f ca="1">IF(OFFSET('IWP03'!Std4dot2Dates, 2, 5, 1, 1) = DATE(1900,1,0),DATE(1900,1,1),OFFSET('IWP03'!Std4dot2Dates, 2, 5, 1, 1))</f>
        <v>1</v>
      </c>
    </row>
    <row r="752" spans="1:164">
      <c r="A752" s="206" t="s">
        <v>1194</v>
      </c>
      <c r="B752" s="157">
        <f ca="1">IF(OFFSET('IWP03'!Std4dot2Dates, 3, 0, 1, 1) = DATE(1900,1,0),DATE(1900,1,1),OFFSET('IWP03'!Std4dot2Dates, 3, 0, 1, 1))</f>
        <v>1</v>
      </c>
      <c r="C752" s="158">
        <f ca="1">IF(OFFSET('IWP03'!Std4dot2Dates, 3, 5, 1, 1) = DATE(1900,1,0),DATE(1900,1,1),OFFSET('IWP03'!Std4dot2Dates, 3, 5, 1, 1))</f>
        <v>1</v>
      </c>
    </row>
    <row r="753" spans="1:3">
      <c r="A753" s="206" t="s">
        <v>1307</v>
      </c>
      <c r="B753" s="157">
        <f ca="1">IF(OFFSET('IWP04'!Std4dot2Dates, 0, 0, 1, 1) = DATE(1900,1,0),DATE(1900,1,1),OFFSET('IWP04'!Std4dot2Dates, 0, 0, 1, 1))</f>
        <v>1</v>
      </c>
      <c r="C753" s="158">
        <f ca="1">IF(OFFSET('IWP04'!Std4dot2Dates, 0, 5, 1, 1) = DATE(1900,1,0),DATE(1900,1,1),OFFSET('IWP04'!Std4dot2Dates, 0, 5, 1, 1))</f>
        <v>1</v>
      </c>
    </row>
    <row r="754" spans="1:3">
      <c r="A754" s="206" t="s">
        <v>1307</v>
      </c>
      <c r="B754" s="157">
        <f ca="1">IF(OFFSET('IWP04'!Std4dot2Dates, 1, 0, 1, 1) = DATE(1900,1,0),DATE(1900,1,1),OFFSET('IWP04'!Std4dot2Dates, 1, 0, 1, 1))</f>
        <v>1</v>
      </c>
      <c r="C754" s="158">
        <f ca="1">IF(OFFSET('IWP04'!Std4dot2Dates, 1, 5, 1, 1) = DATE(1900,1,0),DATE(1900,1,1),OFFSET('IWP04'!Std4dot2Dates, 1, 5, 1, 1))</f>
        <v>1</v>
      </c>
    </row>
    <row r="755" spans="1:3">
      <c r="A755" s="206" t="s">
        <v>1307</v>
      </c>
      <c r="B755" s="157">
        <f ca="1">IF(OFFSET('IWP04'!Std4dot2Dates, 2, 0, 1, 1) = DATE(1900,1,0),DATE(1900,1,1),OFFSET('IWP04'!Std4dot2Dates, 2, 0, 1, 1))</f>
        <v>1</v>
      </c>
      <c r="C755" s="158">
        <f ca="1">IF(OFFSET('IWP04'!Std4dot2Dates, 2, 5, 1, 1) = DATE(1900,1,0),DATE(1900,1,1),OFFSET('IWP04'!Std4dot2Dates, 2, 5, 1, 1))</f>
        <v>1</v>
      </c>
    </row>
    <row r="756" spans="1:3">
      <c r="A756" s="206" t="s">
        <v>1307</v>
      </c>
      <c r="B756" s="157">
        <f ca="1">IF(OFFSET('IWP04'!Std4dot2Dates, 3, 0, 1, 1) = DATE(1900,1,0),DATE(1900,1,1),OFFSET('IWP04'!Std4dot2Dates, 3, 0, 1, 1))</f>
        <v>1</v>
      </c>
      <c r="C756" s="158">
        <f ca="1">IF(OFFSET('IWP04'!Std4dot2Dates, 3, 5, 1, 1) = DATE(1900,1,0),DATE(1900,1,1),OFFSET('IWP04'!Std4dot2Dates, 3, 5, 1, 1))</f>
        <v>1</v>
      </c>
    </row>
    <row r="757" spans="1:3">
      <c r="A757" s="206" t="s">
        <v>1308</v>
      </c>
      <c r="B757" s="157">
        <f ca="1">IF(OFFSET('IWP05'!Std4dot2Dates, 0, 0, 1, 1) = DATE(1900,1,0),DATE(1900,1,1),OFFSET('IWP05'!Std4dot2Dates, 0, 0, 1, 1))</f>
        <v>1</v>
      </c>
      <c r="C757" s="158">
        <f ca="1">IF(OFFSET('IWP05'!Std4dot2Dates, 0, 5, 1, 1) = DATE(1900,1,0),DATE(1900,1,1),OFFSET('IWP05'!Std4dot2Dates, 0, 5, 1, 1))</f>
        <v>1</v>
      </c>
    </row>
    <row r="758" spans="1:3">
      <c r="A758" s="206" t="s">
        <v>1308</v>
      </c>
      <c r="B758" s="157">
        <f ca="1">IF(OFFSET('IWP05'!Std4dot2Dates, 1, 0, 1, 1) = DATE(1900,1,0),DATE(1900,1,1),OFFSET('IWP05'!Std4dot2Dates, 1, 0, 1, 1))</f>
        <v>1</v>
      </c>
      <c r="C758" s="158">
        <f ca="1">IF(OFFSET('IWP05'!Std4dot2Dates, 1, 5, 1, 1) = DATE(1900,1,0),DATE(1900,1,1),OFFSET('IWP05'!Std4dot2Dates, 1, 5, 1, 1))</f>
        <v>1</v>
      </c>
    </row>
    <row r="759" spans="1:3">
      <c r="A759" s="206" t="s">
        <v>1308</v>
      </c>
      <c r="B759" s="157">
        <f ca="1">IF(OFFSET('IWP05'!Std4dot2Dates, 2, 0, 1, 1) = DATE(1900,1,0),DATE(1900,1,1),OFFSET('IWP05'!Std4dot2Dates, 2, 0, 1, 1))</f>
        <v>1</v>
      </c>
      <c r="C759" s="158">
        <f ca="1">IF(OFFSET('IWP05'!Std4dot2Dates, 2, 5, 1, 1) = DATE(1900,1,0),DATE(1900,1,1),OFFSET('IWP05'!Std4dot2Dates, 2, 5, 1, 1))</f>
        <v>1</v>
      </c>
    </row>
    <row r="760" spans="1:3">
      <c r="A760" s="206" t="s">
        <v>1308</v>
      </c>
      <c r="B760" s="157">
        <f ca="1">IF(OFFSET('IWP05'!Std4dot2Dates, 3, 0, 1, 1) = DATE(1900,1,0),DATE(1900,1,1),OFFSET('IWP05'!Std4dot2Dates, 3, 0, 1, 1))</f>
        <v>1</v>
      </c>
      <c r="C760" s="158">
        <f ca="1">IF(OFFSET('IWP05'!Std4dot2Dates, 3, 5, 1, 1) = DATE(1900,1,0),DATE(1900,1,1),OFFSET('IWP05'!Std4dot2Dates, 3, 5, 1, 1))</f>
        <v>1</v>
      </c>
    </row>
    <row r="761" spans="1:3">
      <c r="A761" s="206" t="s">
        <v>1309</v>
      </c>
      <c r="B761" s="157">
        <f ca="1">IF(OFFSET('IWP06'!Std4dot2Dates, 0, 0, 1, 1) = DATE(1900,1,0),DATE(1900,1,1),OFFSET('IWP06'!Std4dot2Dates, 0, 0, 1, 1))</f>
        <v>1</v>
      </c>
      <c r="C761" s="158">
        <f ca="1">IF(OFFSET('IWP06'!Std4dot2Dates, 0, 5, 1, 1) = DATE(1900,1,0),DATE(1900,1,1),OFFSET('IWP06'!Std4dot2Dates, 0, 5, 1, 1))</f>
        <v>1</v>
      </c>
    </row>
    <row r="762" spans="1:3">
      <c r="A762" s="206" t="s">
        <v>1309</v>
      </c>
      <c r="B762" s="157">
        <f ca="1">IF(OFFSET('IWP06'!Std4dot2Dates, 1, 0, 1, 1) = DATE(1900,1,0),DATE(1900,1,1),OFFSET('IWP06'!Std4dot2Dates, 1, 0, 1, 1))</f>
        <v>1</v>
      </c>
      <c r="C762" s="158">
        <f ca="1">IF(OFFSET('IWP06'!Std4dot2Dates, 1, 5, 1, 1) = DATE(1900,1,0),DATE(1900,1,1),OFFSET('IWP06'!Std4dot2Dates, 1, 5, 1, 1))</f>
        <v>1</v>
      </c>
    </row>
    <row r="763" spans="1:3">
      <c r="A763" s="206" t="s">
        <v>1309</v>
      </c>
      <c r="B763" s="157">
        <f ca="1">IF(OFFSET('IWP06'!Std4dot2Dates, 2, 0, 1, 1) = DATE(1900,1,0),DATE(1900,1,1),OFFSET('IWP06'!Std4dot2Dates, 2, 0, 1, 1))</f>
        <v>1</v>
      </c>
      <c r="C763" s="158">
        <f ca="1">IF(OFFSET('IWP06'!Std4dot2Dates, 2, 5, 1, 1) = DATE(1900,1,0),DATE(1900,1,1),OFFSET('IWP06'!Std4dot2Dates, 2, 5, 1, 1))</f>
        <v>1</v>
      </c>
    </row>
    <row r="764" spans="1:3">
      <c r="A764" s="206" t="s">
        <v>1309</v>
      </c>
      <c r="B764" s="157">
        <f ca="1">IF(OFFSET('IWP06'!Std4dot2Dates, 3, 0, 1, 1) = DATE(1900,1,0),DATE(1900,1,1),OFFSET('IWP06'!Std4dot2Dates, 3, 0, 1, 1))</f>
        <v>1</v>
      </c>
      <c r="C764" s="158">
        <f ca="1">IF(OFFSET('IWP06'!Std4dot2Dates, 3, 5, 1, 1) = DATE(1900,1,0),DATE(1900,1,1),OFFSET('IWP06'!Std4dot2Dates, 3, 5, 1, 1))</f>
        <v>1</v>
      </c>
    </row>
    <row r="765" spans="1:3">
      <c r="A765" s="206" t="s">
        <v>1310</v>
      </c>
      <c r="B765" s="157">
        <f ca="1">IF(OFFSET('IWP07'!Std4dot2Dates, 0, 0, 1, 1) = DATE(1900,1,0),DATE(1900,1,1),OFFSET('IWP07'!Std4dot2Dates, 0, 0, 1, 1))</f>
        <v>1</v>
      </c>
      <c r="C765" s="158">
        <f ca="1">IF(OFFSET('IWP07'!Std4dot2Dates, 0, 5, 1, 1) = DATE(1900,1,0),DATE(1900,1,1),OFFSET('IWP07'!Std4dot2Dates, 0, 5, 1, 1))</f>
        <v>1</v>
      </c>
    </row>
    <row r="766" spans="1:3">
      <c r="A766" s="206" t="s">
        <v>1310</v>
      </c>
      <c r="B766" s="157">
        <f ca="1">IF(OFFSET('IWP07'!Std4dot2Dates, 1, 0, 1, 1) = DATE(1900,1,0),DATE(1900,1,1),OFFSET('IWP07'!Std4dot2Dates, 1, 0, 1, 1))</f>
        <v>1</v>
      </c>
      <c r="C766" s="158">
        <f ca="1">IF(OFFSET('IWP07'!Std4dot2Dates, 1, 5, 1, 1) = DATE(1900,1,0),DATE(1900,1,1),OFFSET('IWP07'!Std4dot2Dates, 1, 5, 1, 1))</f>
        <v>1</v>
      </c>
    </row>
    <row r="767" spans="1:3">
      <c r="A767" s="206" t="s">
        <v>1310</v>
      </c>
      <c r="B767" s="157">
        <f ca="1">IF(OFFSET('IWP07'!Std4dot2Dates, 2, 0, 1, 1) = DATE(1900,1,0),DATE(1900,1,1),OFFSET('IWP07'!Std4dot2Dates, 2, 0, 1, 1))</f>
        <v>1</v>
      </c>
      <c r="C767" s="158">
        <f ca="1">IF(OFFSET('IWP07'!Std4dot2Dates, 2, 5, 1, 1) = DATE(1900,1,0),DATE(1900,1,1),OFFSET('IWP07'!Std4dot2Dates, 2, 5, 1, 1))</f>
        <v>1</v>
      </c>
    </row>
    <row r="768" spans="1:3">
      <c r="A768" s="206" t="s">
        <v>1310</v>
      </c>
      <c r="B768" s="157">
        <f ca="1">IF(OFFSET('IWP07'!Std4dot2Dates, 3, 0, 1, 1) = DATE(1900,1,0),DATE(1900,1,1),OFFSET('IWP07'!Std4dot2Dates, 3, 0, 1, 1))</f>
        <v>1</v>
      </c>
      <c r="C768" s="158">
        <f ca="1">IF(OFFSET('IWP07'!Std4dot2Dates, 3, 5, 1, 1) = DATE(1900,1,0),DATE(1900,1,1),OFFSET('IWP07'!Std4dot2Dates, 3, 5, 1, 1))</f>
        <v>1</v>
      </c>
    </row>
    <row r="769" spans="1:3">
      <c r="A769" s="206" t="s">
        <v>1311</v>
      </c>
      <c r="B769" s="157">
        <f ca="1">IF(OFFSET('IWP08'!Std4dot2Dates, 0, 0, 1, 1) = DATE(1900,1,0),DATE(1900,1,1),OFFSET('IWP08'!Std4dot2Dates, 0, 0, 1, 1))</f>
        <v>1</v>
      </c>
      <c r="C769" s="158">
        <f ca="1">IF(OFFSET('IWP08'!Std4dot2Dates, 0, 5, 1, 1) = DATE(1900,1,0),DATE(1900,1,1),OFFSET('IWP08'!Std4dot2Dates, 0, 5, 1, 1))</f>
        <v>1</v>
      </c>
    </row>
    <row r="770" spans="1:3">
      <c r="A770" s="206" t="s">
        <v>1311</v>
      </c>
      <c r="B770" s="157">
        <f ca="1">IF(OFFSET('IWP08'!Std4dot2Dates, 1, 0, 1, 1) = DATE(1900,1,0),DATE(1900,1,1),OFFSET('IWP08'!Std4dot2Dates, 1, 0, 1, 1))</f>
        <v>1</v>
      </c>
      <c r="C770" s="158">
        <f ca="1">IF(OFFSET('IWP08'!Std4dot2Dates, 1, 5, 1, 1) = DATE(1900,1,0),DATE(1900,1,1),OFFSET('IWP08'!Std4dot2Dates, 1, 5, 1, 1))</f>
        <v>1</v>
      </c>
    </row>
    <row r="771" spans="1:3">
      <c r="A771" s="206" t="s">
        <v>1311</v>
      </c>
      <c r="B771" s="157">
        <f ca="1">IF(OFFSET('IWP08'!Std4dot2Dates, 2, 0, 1, 1) = DATE(1900,1,0),DATE(1900,1,1),OFFSET('IWP08'!Std4dot2Dates, 2, 0, 1, 1))</f>
        <v>1</v>
      </c>
      <c r="C771" s="158">
        <f ca="1">IF(OFFSET('IWP08'!Std4dot2Dates, 2, 5, 1, 1) = DATE(1900,1,0),DATE(1900,1,1),OFFSET('IWP08'!Std4dot2Dates, 2, 5, 1, 1))</f>
        <v>1</v>
      </c>
    </row>
    <row r="772" spans="1:3">
      <c r="A772" s="206" t="s">
        <v>1311</v>
      </c>
      <c r="B772" s="157">
        <f ca="1">IF(OFFSET('IWP08'!Std4dot2Dates, 3, 0, 1, 1) = DATE(1900,1,0),DATE(1900,1,1),OFFSET('IWP08'!Std4dot2Dates, 3, 0, 1, 1))</f>
        <v>1</v>
      </c>
      <c r="C772" s="158">
        <f ca="1">IF(OFFSET('IWP08'!Std4dot2Dates, 3, 5, 1, 1) = DATE(1900,1,0),DATE(1900,1,1),OFFSET('IWP08'!Std4dot2Dates, 3, 5, 1, 1))</f>
        <v>1</v>
      </c>
    </row>
    <row r="773" spans="1:3">
      <c r="A773" s="206" t="s">
        <v>1312</v>
      </c>
      <c r="B773" s="157">
        <f ca="1">IF(OFFSET('IWP09'!Std4dot2Dates, 0, 0, 1, 1) = DATE(1900,1,0),DATE(1900,1,1),OFFSET('IWP09'!Std4dot2Dates, 0, 0, 1, 1))</f>
        <v>1</v>
      </c>
      <c r="C773" s="158">
        <f ca="1">IF(OFFSET('IWP09'!Std4dot2Dates, 0, 5, 1, 1) = DATE(1900,1,0),DATE(1900,1,1),OFFSET('IWP09'!Std4dot2Dates, 0, 5, 1, 1))</f>
        <v>1</v>
      </c>
    </row>
    <row r="774" spans="1:3">
      <c r="A774" s="206" t="s">
        <v>1312</v>
      </c>
      <c r="B774" s="157">
        <f ca="1">IF(OFFSET('IWP09'!Std4dot2Dates, 1, 0, 1, 1) = DATE(1900,1,0),DATE(1900,1,1),OFFSET('IWP09'!Std4dot2Dates, 1, 0, 1, 1))</f>
        <v>1</v>
      </c>
      <c r="C774" s="158">
        <f ca="1">IF(OFFSET('IWP09'!Std4dot2Dates, 1, 5, 1, 1) = DATE(1900,1,0),DATE(1900,1,1),OFFSET('IWP09'!Std4dot2Dates, 1, 5, 1, 1))</f>
        <v>1</v>
      </c>
    </row>
    <row r="775" spans="1:3">
      <c r="A775" s="206" t="s">
        <v>1312</v>
      </c>
      <c r="B775" s="157">
        <f ca="1">IF(OFFSET('IWP09'!Std4dot2Dates, 2, 0, 1, 1) = DATE(1900,1,0),DATE(1900,1,1),OFFSET('IWP09'!Std4dot2Dates, 2, 0, 1, 1))</f>
        <v>1</v>
      </c>
      <c r="C775" s="158">
        <f ca="1">IF(OFFSET('IWP09'!Std4dot2Dates, 2, 5, 1, 1) = DATE(1900,1,0),DATE(1900,1,1),OFFSET('IWP09'!Std4dot2Dates, 2, 5, 1, 1))</f>
        <v>1</v>
      </c>
    </row>
    <row r="776" spans="1:3">
      <c r="A776" s="206" t="s">
        <v>1312</v>
      </c>
      <c r="B776" s="157">
        <f ca="1">IF(OFFSET('IWP09'!Std4dot2Dates, 3, 0, 1, 1) = DATE(1900,1,0),DATE(1900,1,1),OFFSET('IWP09'!Std4dot2Dates, 3, 0, 1, 1))</f>
        <v>1</v>
      </c>
      <c r="C776" s="158">
        <f ca="1">IF(OFFSET('IWP09'!Std4dot2Dates, 3, 5, 1, 1) = DATE(1900,1,0),DATE(1900,1,1),OFFSET('IWP09'!Std4dot2Dates, 3, 5, 1, 1))</f>
        <v>1</v>
      </c>
    </row>
    <row r="777" spans="1:3">
      <c r="A777" s="206" t="s">
        <v>1313</v>
      </c>
      <c r="B777" s="157">
        <f ca="1">IF(OFFSET('IWP10'!Std4dot2Dates, 0, 0, 1, 1) = DATE(1900,1,0),DATE(1900,1,1),OFFSET('IWP10'!Std4dot2Dates, 0, 0, 1, 1))</f>
        <v>1</v>
      </c>
      <c r="C777" s="158">
        <f ca="1">IF(OFFSET('IWP10'!Std4dot2Dates, 0, 5, 1, 1) = DATE(1900,1,0),DATE(1900,1,1),OFFSET('IWP10'!Std4dot2Dates, 0, 5, 1, 1))</f>
        <v>1</v>
      </c>
    </row>
    <row r="778" spans="1:3">
      <c r="A778" s="206" t="s">
        <v>1313</v>
      </c>
      <c r="B778" s="157">
        <f ca="1">IF(OFFSET('IWP10'!Std4dot2Dates, 1, 0, 1, 1) = DATE(1900,1,0),DATE(1900,1,1),OFFSET('IWP10'!Std4dot2Dates, 1, 0, 1, 1))</f>
        <v>1</v>
      </c>
      <c r="C778" s="158">
        <f ca="1">IF(OFFSET('IWP10'!Std4dot2Dates, 1, 5, 1, 1) = DATE(1900,1,0),DATE(1900,1,1),OFFSET('IWP10'!Std4dot2Dates, 1, 5, 1, 1))</f>
        <v>1</v>
      </c>
    </row>
    <row r="779" spans="1:3">
      <c r="A779" s="206" t="s">
        <v>1313</v>
      </c>
      <c r="B779" s="157">
        <f ca="1">IF(OFFSET('IWP10'!Std4dot2Dates, 2, 0, 1, 1) = DATE(1900,1,0),DATE(1900,1,1),OFFSET('IWP10'!Std4dot2Dates, 2, 0, 1, 1))</f>
        <v>1</v>
      </c>
      <c r="C779" s="158">
        <f ca="1">IF(OFFSET('IWP10'!Std4dot2Dates, 2, 5, 1, 1) = DATE(1900,1,0),DATE(1900,1,1),OFFSET('IWP10'!Std4dot2Dates, 2, 5, 1, 1))</f>
        <v>1</v>
      </c>
    </row>
    <row r="780" spans="1:3">
      <c r="A780" s="206" t="s">
        <v>1313</v>
      </c>
      <c r="B780" s="157">
        <f ca="1">IF(OFFSET('IWP10'!Std4dot2Dates, 3, 0, 1, 1) = DATE(1900,1,0),DATE(1900,1,1),OFFSET('IWP10'!Std4dot2Dates, 3, 0, 1, 1))</f>
        <v>1</v>
      </c>
      <c r="C780" s="158">
        <f ca="1">IF(OFFSET('IWP10'!Std4dot2Dates, 3, 5, 1, 1) = DATE(1900,1,0),DATE(1900,1,1),OFFSET('IWP10'!Std4dot2Dates, 3, 5, 1, 1))</f>
        <v>1</v>
      </c>
    </row>
    <row r="781" spans="1:3">
      <c r="A781" s="206" t="s">
        <v>1314</v>
      </c>
      <c r="B781" s="157">
        <f ca="1">IF(OFFSET('IWP11'!Std4dot2Dates, 0, 0, 1, 1) = DATE(1900,1,0),DATE(1900,1,1),OFFSET('IWP11'!Std4dot2Dates, 0, 0, 1, 1))</f>
        <v>1</v>
      </c>
      <c r="C781" s="158">
        <f ca="1">IF(OFFSET('IWP11'!Std4dot2Dates, 0, 5, 1, 1) = DATE(1900,1,0),DATE(1900,1,1),OFFSET('IWP11'!Std4dot2Dates, 0, 5, 1, 1))</f>
        <v>1</v>
      </c>
    </row>
    <row r="782" spans="1:3">
      <c r="A782" s="206" t="s">
        <v>1314</v>
      </c>
      <c r="B782" s="157">
        <f ca="1">IF(OFFSET('IWP11'!Std4dot2Dates, 1, 0, 1, 1) = DATE(1900,1,0),DATE(1900,1,1),OFFSET('IWP11'!Std4dot2Dates, 1, 0, 1, 1))</f>
        <v>1</v>
      </c>
      <c r="C782" s="158">
        <f ca="1">IF(OFFSET('IWP11'!Std4dot2Dates, 1, 5, 1, 1) = DATE(1900,1,0),DATE(1900,1,1),OFFSET('IWP11'!Std4dot2Dates, 1, 5, 1, 1))</f>
        <v>1</v>
      </c>
    </row>
    <row r="783" spans="1:3">
      <c r="A783" s="206" t="s">
        <v>1314</v>
      </c>
      <c r="B783" s="157">
        <f ca="1">IF(OFFSET('IWP11'!Std4dot2Dates, 2, 0, 1, 1) = DATE(1900,1,0),DATE(1900,1,1),OFFSET('IWP11'!Std4dot2Dates, 2, 0, 1, 1))</f>
        <v>1</v>
      </c>
      <c r="C783" s="158">
        <f ca="1">IF(OFFSET('IWP11'!Std4dot2Dates, 2, 5, 1, 1) = DATE(1900,1,0),DATE(1900,1,1),OFFSET('IWP11'!Std4dot2Dates, 2, 5, 1, 1))</f>
        <v>1</v>
      </c>
    </row>
    <row r="784" spans="1:3">
      <c r="A784" s="206" t="s">
        <v>1314</v>
      </c>
      <c r="B784" s="157">
        <f ca="1">IF(OFFSET('IWP11'!Std4dot2Dates, 3, 0, 1, 1) = DATE(1900,1,0),DATE(1900,1,1),OFFSET('IWP11'!Std4dot2Dates, 3, 0, 1, 1))</f>
        <v>1</v>
      </c>
      <c r="C784" s="158">
        <f ca="1">IF(OFFSET('IWP11'!Std4dot2Dates, 3, 5, 1, 1) = DATE(1900,1,0),DATE(1900,1,1),OFFSET('IWP11'!Std4dot2Dates, 3, 5, 1, 1))</f>
        <v>1</v>
      </c>
    </row>
    <row r="785" spans="1:3">
      <c r="A785" s="206" t="s">
        <v>1315</v>
      </c>
      <c r="B785" s="157">
        <f ca="1">IF(OFFSET('IWP12'!Std4dot2Dates, 0, 0, 1, 1) = DATE(1900,1,0),DATE(1900,1,1),OFFSET('IWP12'!Std4dot2Dates, 0, 0, 1, 1))</f>
        <v>1</v>
      </c>
      <c r="C785" s="158">
        <f ca="1">IF(OFFSET('IWP12'!Std4dot2Dates, 0, 5, 1, 1) = DATE(1900,1,0),DATE(1900,1,1),OFFSET('IWP12'!Std4dot2Dates, 0, 5, 1, 1))</f>
        <v>1</v>
      </c>
    </row>
    <row r="786" spans="1:3">
      <c r="A786" s="206" t="s">
        <v>1315</v>
      </c>
      <c r="B786" s="157">
        <f ca="1">IF(OFFSET('IWP12'!Std4dot2Dates, 1, 0, 1, 1) = DATE(1900,1,0),DATE(1900,1,1),OFFSET('IWP12'!Std4dot2Dates, 1, 0, 1, 1))</f>
        <v>1</v>
      </c>
      <c r="C786" s="158">
        <f ca="1">IF(OFFSET('IWP12'!Std4dot2Dates, 1, 5, 1, 1) = DATE(1900,1,0),DATE(1900,1,1),OFFSET('IWP12'!Std4dot2Dates, 1, 5, 1, 1))</f>
        <v>1</v>
      </c>
    </row>
    <row r="787" spans="1:3">
      <c r="A787" s="206" t="s">
        <v>1315</v>
      </c>
      <c r="B787" s="157">
        <f ca="1">IF(OFFSET('IWP12'!Std4dot2Dates, 2, 0, 1, 1) = DATE(1900,1,0),DATE(1900,1,1),OFFSET('IWP12'!Std4dot2Dates, 2, 0, 1, 1))</f>
        <v>1</v>
      </c>
      <c r="C787" s="158">
        <f ca="1">IF(OFFSET('IWP12'!Std4dot2Dates, 2, 5, 1, 1) = DATE(1900,1,0),DATE(1900,1,1),OFFSET('IWP12'!Std4dot2Dates, 2, 5, 1, 1))</f>
        <v>1</v>
      </c>
    </row>
    <row r="788" spans="1:3">
      <c r="A788" s="206" t="s">
        <v>1315</v>
      </c>
      <c r="B788" s="157">
        <f ca="1">IF(OFFSET('IWP12'!Std4dot2Dates, 3, 0, 1, 1) = DATE(1900,1,0),DATE(1900,1,1),OFFSET('IWP12'!Std4dot2Dates, 3, 0, 1, 1))</f>
        <v>1</v>
      </c>
      <c r="C788" s="158">
        <f ca="1">IF(OFFSET('IWP12'!Std4dot2Dates, 3, 5, 1, 1) = DATE(1900,1,0),DATE(1900,1,1),OFFSET('IWP12'!Std4dot2Dates, 3, 5, 1, 1))</f>
        <v>1</v>
      </c>
    </row>
    <row r="789" spans="1:3">
      <c r="A789" s="206" t="s">
        <v>1316</v>
      </c>
      <c r="B789" s="157">
        <f ca="1">IF(OFFSET('IWP13'!Std4dot2Dates, 0, 0, 1, 1) = DATE(1900,1,0),DATE(1900,1,1),OFFSET('IWP13'!Std4dot2Dates, 0, 0, 1, 1))</f>
        <v>1</v>
      </c>
      <c r="C789" s="158">
        <f ca="1">IF(OFFSET('IWP13'!Std4dot2Dates, 0, 5, 1, 1) = DATE(1900,1,0),DATE(1900,1,1),OFFSET('IWP13'!Std4dot2Dates, 0, 5, 1, 1))</f>
        <v>1</v>
      </c>
    </row>
    <row r="790" spans="1:3">
      <c r="A790" s="206" t="s">
        <v>1316</v>
      </c>
      <c r="B790" s="157">
        <f ca="1">IF(OFFSET('IWP13'!Std4dot2Dates, 1, 0, 1, 1) = DATE(1900,1,0),DATE(1900,1,1),OFFSET('IWP13'!Std4dot2Dates, 1, 0, 1, 1))</f>
        <v>1</v>
      </c>
      <c r="C790" s="158">
        <f ca="1">IF(OFFSET('IWP13'!Std4dot2Dates, 1, 5, 1, 1) = DATE(1900,1,0),DATE(1900,1,1),OFFSET('IWP13'!Std4dot2Dates, 1, 5, 1, 1))</f>
        <v>1</v>
      </c>
    </row>
    <row r="791" spans="1:3">
      <c r="A791" s="206" t="s">
        <v>1316</v>
      </c>
      <c r="B791" s="157">
        <f ca="1">IF(OFFSET('IWP13'!Std4dot2Dates, 2, 0, 1, 1) = DATE(1900,1,0),DATE(1900,1,1),OFFSET('IWP13'!Std4dot2Dates, 2, 0, 1, 1))</f>
        <v>1</v>
      </c>
      <c r="C791" s="158">
        <f ca="1">IF(OFFSET('IWP13'!Std4dot2Dates, 2, 5, 1, 1) = DATE(1900,1,0),DATE(1900,1,1),OFFSET('IWP13'!Std4dot2Dates, 2, 5, 1, 1))</f>
        <v>1</v>
      </c>
    </row>
    <row r="792" spans="1:3">
      <c r="A792" s="206" t="s">
        <v>1316</v>
      </c>
      <c r="B792" s="157">
        <f ca="1">IF(OFFSET('IWP13'!Std4dot2Dates, 3, 0, 1, 1) = DATE(1900,1,0),DATE(1900,1,1),OFFSET('IWP13'!Std4dot2Dates, 3, 0, 1, 1))</f>
        <v>1</v>
      </c>
      <c r="C792" s="158">
        <f ca="1">IF(OFFSET('IWP13'!Std4dot2Dates, 3, 5, 1, 1) = DATE(1900,1,0),DATE(1900,1,1),OFFSET('IWP13'!Std4dot2Dates, 3, 5, 1, 1))</f>
        <v>1</v>
      </c>
    </row>
    <row r="793" spans="1:3">
      <c r="A793" s="206" t="s">
        <v>1317</v>
      </c>
      <c r="B793" s="157">
        <f ca="1">IF(OFFSET('IWP14'!Std4dot2Dates, 0, 0, 1, 1) = DATE(1900,1,0),DATE(1900,1,1),OFFSET('IWP14'!Std4dot2Dates, 0, 0, 1, 1))</f>
        <v>1</v>
      </c>
      <c r="C793" s="158">
        <f ca="1">IF(OFFSET('IWP14'!Std4dot2Dates, 0, 5, 1, 1) = DATE(1900,1,0),DATE(1900,1,1),OFFSET('IWP14'!Std4dot2Dates, 0, 5, 1, 1))</f>
        <v>1</v>
      </c>
    </row>
    <row r="794" spans="1:3">
      <c r="A794" s="206" t="s">
        <v>1317</v>
      </c>
      <c r="B794" s="157">
        <f ca="1">IF(OFFSET('IWP14'!Std4dot2Dates, 1, 0, 1, 1) = DATE(1900,1,0),DATE(1900,1,1),OFFSET('IWP14'!Std4dot2Dates, 1, 0, 1, 1))</f>
        <v>1</v>
      </c>
      <c r="C794" s="158">
        <f ca="1">IF(OFFSET('IWP14'!Std4dot2Dates, 1, 5, 1, 1) = DATE(1900,1,0),DATE(1900,1,1),OFFSET('IWP14'!Std4dot2Dates, 1, 5, 1, 1))</f>
        <v>1</v>
      </c>
    </row>
    <row r="795" spans="1:3">
      <c r="A795" s="206" t="s">
        <v>1317</v>
      </c>
      <c r="B795" s="157">
        <f ca="1">IF(OFFSET('IWP14'!Std4dot2Dates, 2, 0, 1, 1) = DATE(1900,1,0),DATE(1900,1,1),OFFSET('IWP14'!Std4dot2Dates, 2, 0, 1, 1))</f>
        <v>1</v>
      </c>
      <c r="C795" s="158">
        <f ca="1">IF(OFFSET('IWP14'!Std4dot2Dates, 2, 5, 1, 1) = DATE(1900,1,0),DATE(1900,1,1),OFFSET('IWP14'!Std4dot2Dates, 2, 5, 1, 1))</f>
        <v>1</v>
      </c>
    </row>
    <row r="796" spans="1:3">
      <c r="A796" s="206" t="s">
        <v>1317</v>
      </c>
      <c r="B796" s="157">
        <f ca="1">IF(OFFSET('IWP14'!Std4dot2Dates, 3, 0, 1, 1) = DATE(1900,1,0),DATE(1900,1,1),OFFSET('IWP14'!Std4dot2Dates, 3, 0, 1, 1))</f>
        <v>1</v>
      </c>
      <c r="C796" s="158">
        <f ca="1">IF(OFFSET('IWP14'!Std4dot2Dates, 3, 5, 1, 1) = DATE(1900,1,0),DATE(1900,1,1),OFFSET('IWP14'!Std4dot2Dates, 3, 5, 1, 1))</f>
        <v>1</v>
      </c>
    </row>
    <row r="797" spans="1:3">
      <c r="A797" s="206" t="s">
        <v>1318</v>
      </c>
      <c r="B797" s="157">
        <f ca="1">IF(OFFSET('IWP15'!Std4dot2Dates, 0, 0, 1, 1) = DATE(1900,1,0),DATE(1900,1,1),OFFSET('IWP15'!Std4dot2Dates, 0, 0, 1, 1))</f>
        <v>1</v>
      </c>
      <c r="C797" s="158">
        <f ca="1">IF(OFFSET('IWP15'!Std4dot2Dates, 0, 5, 1, 1) = DATE(1900,1,0),DATE(1900,1,1),OFFSET('IWP15'!Std4dot2Dates, 0, 5, 1, 1))</f>
        <v>1</v>
      </c>
    </row>
    <row r="798" spans="1:3">
      <c r="A798" s="206" t="s">
        <v>1318</v>
      </c>
      <c r="B798" s="157">
        <f ca="1">IF(OFFSET('IWP15'!Std4dot2Dates, 1, 0, 1, 1) = DATE(1900,1,0),DATE(1900,1,1),OFFSET('IWP15'!Std4dot2Dates, 1, 0, 1, 1))</f>
        <v>1</v>
      </c>
      <c r="C798" s="158">
        <f ca="1">IF(OFFSET('IWP15'!Std4dot2Dates, 1, 5, 1, 1) = DATE(1900,1,0),DATE(1900,1,1),OFFSET('IWP15'!Std4dot2Dates, 1, 5, 1, 1))</f>
        <v>1</v>
      </c>
    </row>
    <row r="799" spans="1:3">
      <c r="A799" s="206" t="s">
        <v>1318</v>
      </c>
      <c r="B799" s="157">
        <f ca="1">IF(OFFSET('IWP15'!Std4dot2Dates, 2, 0, 1, 1) = DATE(1900,1,0),DATE(1900,1,1),OFFSET('IWP15'!Std4dot2Dates, 2, 0, 1, 1))</f>
        <v>1</v>
      </c>
      <c r="C799" s="158">
        <f ca="1">IF(OFFSET('IWP15'!Std4dot2Dates, 2, 5, 1, 1) = DATE(1900,1,0),DATE(1900,1,1),OFFSET('IWP15'!Std4dot2Dates, 2, 5, 1, 1))</f>
        <v>1</v>
      </c>
    </row>
    <row r="800" spans="1:3">
      <c r="A800" s="206" t="s">
        <v>1318</v>
      </c>
      <c r="B800" s="157">
        <f ca="1">IF(OFFSET('IWP15'!Std4dot2Dates, 3, 0, 1, 1) = DATE(1900,1,0),DATE(1900,1,1),OFFSET('IWP15'!Std4dot2Dates, 3, 0, 1, 1))</f>
        <v>1</v>
      </c>
      <c r="C800" s="158">
        <f ca="1">IF(OFFSET('IWP15'!Std4dot2Dates, 3, 5, 1, 1) = DATE(1900,1,0),DATE(1900,1,1),OFFSET('IWP15'!Std4dot2Dates, 3, 5, 1, 1))</f>
        <v>1</v>
      </c>
    </row>
    <row r="801" spans="1:3">
      <c r="A801" s="206" t="s">
        <v>1319</v>
      </c>
      <c r="B801" s="157">
        <f ca="1">IF(OFFSET('IWP16'!Std4dot2Dates, 0, 0, 1, 1) = DATE(1900,1,0),DATE(1900,1,1),OFFSET('IWP16'!Std4dot2Dates, 0, 0, 1, 1))</f>
        <v>1</v>
      </c>
      <c r="C801" s="158">
        <f ca="1">IF(OFFSET('IWP16'!Std4dot2Dates, 0, 5, 1, 1) = DATE(1900,1,0),DATE(1900,1,1),OFFSET('IWP16'!Std4dot2Dates, 0, 5, 1, 1))</f>
        <v>1</v>
      </c>
    </row>
    <row r="802" spans="1:3">
      <c r="A802" s="206" t="s">
        <v>1319</v>
      </c>
      <c r="B802" s="157">
        <f ca="1">IF(OFFSET('IWP16'!Std4dot2Dates, 1, 0, 1, 1) = DATE(1900,1,0),DATE(1900,1,1),OFFSET('IWP16'!Std4dot2Dates, 1, 0, 1, 1))</f>
        <v>1</v>
      </c>
      <c r="C802" s="158">
        <f ca="1">IF(OFFSET('IWP16'!Std4dot2Dates, 1, 5, 1, 1) = DATE(1900,1,0),DATE(1900,1,1),OFFSET('IWP16'!Std4dot2Dates, 1, 5, 1, 1))</f>
        <v>1</v>
      </c>
    </row>
    <row r="803" spans="1:3">
      <c r="A803" s="206" t="s">
        <v>1319</v>
      </c>
      <c r="B803" s="157">
        <f ca="1">IF(OFFSET('IWP16'!Std4dot2Dates, 2, 0, 1, 1) = DATE(1900,1,0),DATE(1900,1,1),OFFSET('IWP16'!Std4dot2Dates, 2, 0, 1, 1))</f>
        <v>1</v>
      </c>
      <c r="C803" s="158">
        <f ca="1">IF(OFFSET('IWP16'!Std4dot2Dates, 2, 5, 1, 1) = DATE(1900,1,0),DATE(1900,1,1),OFFSET('IWP16'!Std4dot2Dates, 2, 5, 1, 1))</f>
        <v>1</v>
      </c>
    </row>
    <row r="804" spans="1:3">
      <c r="A804" s="206" t="s">
        <v>1319</v>
      </c>
      <c r="B804" s="157">
        <f ca="1">IF(OFFSET('IWP16'!Std4dot2Dates, 3, 0, 1, 1) = DATE(1900,1,0),DATE(1900,1,1),OFFSET('IWP16'!Std4dot2Dates, 3, 0, 1, 1))</f>
        <v>1</v>
      </c>
      <c r="C804" s="158">
        <f ca="1">IF(OFFSET('IWP16'!Std4dot2Dates, 3, 5, 1, 1) = DATE(1900,1,0),DATE(1900,1,1),OFFSET('IWP16'!Std4dot2Dates, 3, 5, 1, 1))</f>
        <v>1</v>
      </c>
    </row>
    <row r="805" spans="1:3">
      <c r="A805" s="206" t="s">
        <v>1320</v>
      </c>
      <c r="B805" s="157">
        <f ca="1">IF(OFFSET('IWP17'!Std4dot2Dates, 0, 0, 1, 1) = DATE(1900,1,0),DATE(1900,1,1),OFFSET('IWP17'!Std4dot2Dates, 0, 0, 1, 1))</f>
        <v>1</v>
      </c>
      <c r="C805" s="158">
        <f ca="1">IF(OFFSET('IWP17'!Std4dot2Dates, 0, 5, 1, 1) = DATE(1900,1,0),DATE(1900,1,1),OFFSET('IWP17'!Std4dot2Dates, 0, 5, 1, 1))</f>
        <v>1</v>
      </c>
    </row>
    <row r="806" spans="1:3">
      <c r="A806" s="206" t="s">
        <v>1320</v>
      </c>
      <c r="B806" s="157">
        <f ca="1">IF(OFFSET('IWP17'!Std4dot2Dates, 1, 0, 1, 1) = DATE(1900,1,0),DATE(1900,1,1),OFFSET('IWP17'!Std4dot2Dates, 1, 0, 1, 1))</f>
        <v>1</v>
      </c>
      <c r="C806" s="158">
        <f ca="1">IF(OFFSET('IWP17'!Std4dot2Dates, 1, 5, 1, 1) = DATE(1900,1,0),DATE(1900,1,1),OFFSET('IWP17'!Std4dot2Dates, 1, 5, 1, 1))</f>
        <v>1</v>
      </c>
    </row>
    <row r="807" spans="1:3">
      <c r="A807" s="206" t="s">
        <v>1320</v>
      </c>
      <c r="B807" s="157">
        <f ca="1">IF(OFFSET('IWP17'!Std4dot2Dates, 2, 0, 1, 1) = DATE(1900,1,0),DATE(1900,1,1),OFFSET('IWP17'!Std4dot2Dates, 2, 0, 1, 1))</f>
        <v>1</v>
      </c>
      <c r="C807" s="158">
        <f ca="1">IF(OFFSET('IWP17'!Std4dot2Dates, 2, 5, 1, 1) = DATE(1900,1,0),DATE(1900,1,1),OFFSET('IWP17'!Std4dot2Dates, 2, 5, 1, 1))</f>
        <v>1</v>
      </c>
    </row>
    <row r="808" spans="1:3">
      <c r="A808" s="206" t="s">
        <v>1320</v>
      </c>
      <c r="B808" s="157">
        <f ca="1">IF(OFFSET('IWP17'!Std4dot2Dates, 3, 0, 1, 1) = DATE(1900,1,0),DATE(1900,1,1),OFFSET('IWP17'!Std4dot2Dates, 3, 0, 1, 1))</f>
        <v>1</v>
      </c>
      <c r="C808" s="158">
        <f ca="1">IF(OFFSET('IWP17'!Std4dot2Dates, 3, 5, 1, 1) = DATE(1900,1,0),DATE(1900,1,1),OFFSET('IWP17'!Std4dot2Dates, 3, 5, 1, 1))</f>
        <v>1</v>
      </c>
    </row>
    <row r="809" spans="1:3">
      <c r="A809" s="206" t="s">
        <v>1321</v>
      </c>
      <c r="B809" s="157">
        <f ca="1">IF(OFFSET('IWP18'!Std4dot2Dates, 0, 0, 1, 1) = DATE(1900,1,0),DATE(1900,1,1),OFFSET('IWP18'!Std4dot2Dates, 0, 0, 1, 1))</f>
        <v>1</v>
      </c>
      <c r="C809" s="158">
        <f ca="1">IF(OFFSET('IWP18'!Std4dot2Dates, 0, 5, 1, 1) = DATE(1900,1,0),DATE(1900,1,1),OFFSET('IWP18'!Std4dot2Dates, 0, 5, 1, 1))</f>
        <v>1</v>
      </c>
    </row>
    <row r="810" spans="1:3">
      <c r="A810" s="206" t="s">
        <v>1321</v>
      </c>
      <c r="B810" s="157">
        <f ca="1">IF(OFFSET('IWP18'!Std4dot2Dates, 1, 0, 1, 1) = DATE(1900,1,0),DATE(1900,1,1),OFFSET('IWP18'!Std4dot2Dates, 1, 0, 1, 1))</f>
        <v>1</v>
      </c>
      <c r="C810" s="158">
        <f ca="1">IF(OFFSET('IWP18'!Std4dot2Dates, 1, 5, 1, 1) = DATE(1900,1,0),DATE(1900,1,1),OFFSET('IWP18'!Std4dot2Dates, 1, 5, 1, 1))</f>
        <v>1</v>
      </c>
    </row>
    <row r="811" spans="1:3">
      <c r="A811" s="206" t="s">
        <v>1321</v>
      </c>
      <c r="B811" s="157">
        <f ca="1">IF(OFFSET('IWP18'!Std4dot2Dates, 2, 0, 1, 1) = DATE(1900,1,0),DATE(1900,1,1),OFFSET('IWP18'!Std4dot2Dates, 2, 0, 1, 1))</f>
        <v>1</v>
      </c>
      <c r="C811" s="158">
        <f ca="1">IF(OFFSET('IWP18'!Std4dot2Dates, 2, 5, 1, 1) = DATE(1900,1,0),DATE(1900,1,1),OFFSET('IWP18'!Std4dot2Dates, 2, 5, 1, 1))</f>
        <v>1</v>
      </c>
    </row>
    <row r="812" spans="1:3">
      <c r="A812" s="206" t="s">
        <v>1321</v>
      </c>
      <c r="B812" s="157">
        <f ca="1">IF(OFFSET('IWP18'!Std4dot2Dates, 3, 0, 1, 1) = DATE(1900,1,0),DATE(1900,1,1),OFFSET('IWP18'!Std4dot2Dates, 3, 0, 1, 1))</f>
        <v>1</v>
      </c>
      <c r="C812" s="158">
        <f ca="1">IF(OFFSET('IWP18'!Std4dot2Dates, 3, 5, 1, 1) = DATE(1900,1,0),DATE(1900,1,1),OFFSET('IWP18'!Std4dot2Dates, 3, 5, 1, 1))</f>
        <v>1</v>
      </c>
    </row>
    <row r="813" spans="1:3">
      <c r="A813" s="206" t="s">
        <v>1322</v>
      </c>
      <c r="B813" s="157">
        <f ca="1">IF(OFFSET('IWP19'!Std4dot2Dates, 0, 0, 1, 1) = DATE(1900,1,0),DATE(1900,1,1),OFFSET('IWP19'!Std4dot2Dates, 0, 0, 1, 1))</f>
        <v>1</v>
      </c>
      <c r="C813" s="158">
        <f ca="1">IF(OFFSET('IWP19'!Std4dot2Dates, 0, 5, 1, 1) = DATE(1900,1,0),DATE(1900,1,1),OFFSET('IWP19'!Std4dot2Dates, 0, 5, 1, 1))</f>
        <v>1</v>
      </c>
    </row>
    <row r="814" spans="1:3">
      <c r="A814" s="206" t="s">
        <v>1322</v>
      </c>
      <c r="B814" s="157">
        <f ca="1">IF(OFFSET('IWP19'!Std4dot2Dates, 1, 0, 1, 1) = DATE(1900,1,0),DATE(1900,1,1),OFFSET('IWP19'!Std4dot2Dates, 1, 0, 1, 1))</f>
        <v>1</v>
      </c>
      <c r="C814" s="158">
        <f ca="1">IF(OFFSET('IWP19'!Std4dot2Dates, 1, 5, 1, 1) = DATE(1900,1,0),DATE(1900,1,1),OFFSET('IWP19'!Std4dot2Dates, 1, 5, 1, 1))</f>
        <v>1</v>
      </c>
    </row>
    <row r="815" spans="1:3">
      <c r="A815" s="206" t="s">
        <v>1322</v>
      </c>
      <c r="B815" s="157">
        <f ca="1">IF(OFFSET('IWP19'!Std4dot2Dates, 2, 0, 1, 1) = DATE(1900,1,0),DATE(1900,1,1),OFFSET('IWP19'!Std4dot2Dates, 2, 0, 1, 1))</f>
        <v>1</v>
      </c>
      <c r="C815" s="158">
        <f ca="1">IF(OFFSET('IWP19'!Std4dot2Dates, 2, 5, 1, 1) = DATE(1900,1,0),DATE(1900,1,1),OFFSET('IWP19'!Std4dot2Dates, 2, 5, 1, 1))</f>
        <v>1</v>
      </c>
    </row>
    <row r="816" spans="1:3">
      <c r="A816" s="206" t="s">
        <v>1322</v>
      </c>
      <c r="B816" s="157">
        <f ca="1">IF(OFFSET('IWP19'!Std4dot2Dates, 3, 0, 1, 1) = DATE(1900,1,0),DATE(1900,1,1),OFFSET('IWP19'!Std4dot2Dates, 3, 0, 1, 1))</f>
        <v>1</v>
      </c>
      <c r="C816" s="158">
        <f ca="1">IF(OFFSET('IWP19'!Std4dot2Dates, 3, 5, 1, 1) = DATE(1900,1,0),DATE(1900,1,1),OFFSET('IWP19'!Std4dot2Dates, 3, 5, 1, 1))</f>
        <v>1</v>
      </c>
    </row>
    <row r="817" spans="1:3">
      <c r="A817" s="206" t="s">
        <v>1323</v>
      </c>
      <c r="B817" s="157">
        <f ca="1">IF(OFFSET('IWP20'!Std4dot2Dates, 0, 0, 1, 1) = DATE(1900,1,0),DATE(1900,1,1),OFFSET('IWP20'!Std4dot2Dates, 0, 0, 1, 1))</f>
        <v>1</v>
      </c>
      <c r="C817" s="158">
        <f ca="1">IF(OFFSET('IWP20'!Std4dot2Dates, 0, 5, 1, 1) = DATE(1900,1,0),DATE(1900,1,1),OFFSET('IWP20'!Std4dot2Dates, 0, 5, 1, 1))</f>
        <v>1</v>
      </c>
    </row>
    <row r="818" spans="1:3">
      <c r="A818" s="206" t="s">
        <v>1323</v>
      </c>
      <c r="B818" s="157">
        <f ca="1">IF(OFFSET('IWP20'!Std4dot2Dates, 1, 0, 1, 1) = DATE(1900,1,0),DATE(1900,1,1),OFFSET('IWP20'!Std4dot2Dates, 1, 0, 1, 1))</f>
        <v>1</v>
      </c>
      <c r="C818" s="158">
        <f ca="1">IF(OFFSET('IWP20'!Std4dot2Dates, 1, 5, 1, 1) = DATE(1900,1,0),DATE(1900,1,1),OFFSET('IWP20'!Std4dot2Dates, 1, 5, 1, 1))</f>
        <v>1</v>
      </c>
    </row>
    <row r="819" spans="1:3">
      <c r="A819" s="206" t="s">
        <v>1323</v>
      </c>
      <c r="B819" s="157">
        <f ca="1">IF(OFFSET('IWP20'!Std4dot2Dates, 2, 0, 1, 1) = DATE(1900,1,0),DATE(1900,1,1),OFFSET('IWP20'!Std4dot2Dates, 2, 0, 1, 1))</f>
        <v>1</v>
      </c>
      <c r="C819" s="158">
        <f ca="1">IF(OFFSET('IWP20'!Std4dot2Dates, 2, 5, 1, 1) = DATE(1900,1,0),DATE(1900,1,1),OFFSET('IWP20'!Std4dot2Dates, 2, 5, 1, 1))</f>
        <v>1</v>
      </c>
    </row>
    <row r="820" spans="1:3">
      <c r="A820" s="206" t="s">
        <v>1323</v>
      </c>
      <c r="B820" s="157">
        <f ca="1">IF(OFFSET('IWP20'!Std4dot2Dates, 3, 0, 1, 1) = DATE(1900,1,0),DATE(1900,1,1),OFFSET('IWP20'!Std4dot2Dates, 3, 0, 1, 1))</f>
        <v>1</v>
      </c>
      <c r="C820" s="158">
        <f ca="1">IF(OFFSET('IWP20'!Std4dot2Dates, 3, 5, 1, 1) = DATE(1900,1,0),DATE(1900,1,1),OFFSET('IWP20'!Std4dot2Dates, 3, 5, 1, 1))</f>
        <v>1</v>
      </c>
    </row>
    <row r="821" spans="1:3">
      <c r="A821" s="206" t="s">
        <v>1324</v>
      </c>
      <c r="B821" s="157">
        <f ca="1">IF(OFFSET('IWP21'!Std4dot2Dates, 0, 0, 1, 1) = DATE(1900,1,0),DATE(1900,1,1),OFFSET('IWP21'!Std4dot2Dates, 0, 0, 1, 1))</f>
        <v>1</v>
      </c>
      <c r="C821" s="158">
        <f ca="1">IF(OFFSET('IWP21'!Std4dot2Dates, 0, 5, 1, 1) = DATE(1900,1,0),DATE(1900,1,1),OFFSET('IWP21'!Std4dot2Dates, 0, 5, 1, 1))</f>
        <v>1</v>
      </c>
    </row>
    <row r="822" spans="1:3">
      <c r="A822" s="206" t="s">
        <v>1324</v>
      </c>
      <c r="B822" s="157">
        <f ca="1">IF(OFFSET('IWP21'!Std4dot2Dates, 1, 0, 1, 1) = DATE(1900,1,0),DATE(1900,1,1),OFFSET('IWP21'!Std4dot2Dates, 1, 0, 1, 1))</f>
        <v>1</v>
      </c>
      <c r="C822" s="158">
        <f ca="1">IF(OFFSET('IWP21'!Std4dot2Dates, 1, 5, 1, 1) = DATE(1900,1,0),DATE(1900,1,1),OFFSET('IWP21'!Std4dot2Dates, 1, 5, 1, 1))</f>
        <v>1</v>
      </c>
    </row>
    <row r="823" spans="1:3">
      <c r="A823" s="206" t="s">
        <v>1324</v>
      </c>
      <c r="B823" s="157">
        <f ca="1">IF(OFFSET('IWP21'!Std4dot2Dates, 2, 0, 1, 1) = DATE(1900,1,0),DATE(1900,1,1),OFFSET('IWP21'!Std4dot2Dates, 2, 0, 1, 1))</f>
        <v>1</v>
      </c>
      <c r="C823" s="158">
        <f ca="1">IF(OFFSET('IWP21'!Std4dot2Dates, 2, 5, 1, 1) = DATE(1900,1,0),DATE(1900,1,1),OFFSET('IWP21'!Std4dot2Dates, 2, 5, 1, 1))</f>
        <v>1</v>
      </c>
    </row>
    <row r="824" spans="1:3">
      <c r="A824" s="206" t="s">
        <v>1324</v>
      </c>
      <c r="B824" s="157">
        <f ca="1">IF(OFFSET('IWP21'!Std4dot2Dates, 3, 0, 1, 1) = DATE(1900,1,0),DATE(1900,1,1),OFFSET('IWP21'!Std4dot2Dates, 3, 0, 1, 1))</f>
        <v>1</v>
      </c>
      <c r="C824" s="158">
        <f ca="1">IF(OFFSET('IWP21'!Std4dot2Dates, 3, 5, 1, 1) = DATE(1900,1,0),DATE(1900,1,1),OFFSET('IWP21'!Std4dot2Dates, 3, 5, 1, 1))</f>
        <v>1</v>
      </c>
    </row>
    <row r="825" spans="1:3">
      <c r="A825" s="206" t="s">
        <v>1325</v>
      </c>
      <c r="B825" s="157">
        <f ca="1">IF(OFFSET('IWP22'!Std4dot2Dates, 0, 0, 1, 1) = DATE(1900,1,0),DATE(1900,1,1),OFFSET('IWP22'!Std4dot2Dates, 0, 0, 1, 1))</f>
        <v>1</v>
      </c>
      <c r="C825" s="158">
        <f ca="1">IF(OFFSET('IWP22'!Std4dot2Dates, 0, 5, 1, 1) = DATE(1900,1,0),DATE(1900,1,1),OFFSET('IWP22'!Std4dot2Dates, 0, 5, 1, 1))</f>
        <v>1</v>
      </c>
    </row>
    <row r="826" spans="1:3">
      <c r="A826" s="206" t="s">
        <v>1325</v>
      </c>
      <c r="B826" s="157">
        <f ca="1">IF(OFFSET('IWP22'!Std4dot2Dates, 1, 0, 1, 1) = DATE(1900,1,0),DATE(1900,1,1),OFFSET('IWP22'!Std4dot2Dates, 1, 0, 1, 1))</f>
        <v>1</v>
      </c>
      <c r="C826" s="158">
        <f ca="1">IF(OFFSET('IWP22'!Std4dot2Dates, 1, 5, 1, 1) = DATE(1900,1,0),DATE(1900,1,1),OFFSET('IWP22'!Std4dot2Dates, 1, 5, 1, 1))</f>
        <v>1</v>
      </c>
    </row>
    <row r="827" spans="1:3">
      <c r="A827" s="206" t="s">
        <v>1325</v>
      </c>
      <c r="B827" s="157">
        <f ca="1">IF(OFFSET('IWP22'!Std4dot2Dates, 2, 0, 1, 1) = DATE(1900,1,0),DATE(1900,1,1),OFFSET('IWP22'!Std4dot2Dates, 2, 0, 1, 1))</f>
        <v>1</v>
      </c>
      <c r="C827" s="158">
        <f ca="1">IF(OFFSET('IWP22'!Std4dot2Dates, 2, 5, 1, 1) = DATE(1900,1,0),DATE(1900,1,1),OFFSET('IWP22'!Std4dot2Dates, 2, 5, 1, 1))</f>
        <v>1</v>
      </c>
    </row>
    <row r="828" spans="1:3">
      <c r="A828" s="206" t="s">
        <v>1325</v>
      </c>
      <c r="B828" s="157">
        <f ca="1">IF(OFFSET('IWP22'!Std4dot2Dates, 3, 0, 1, 1) = DATE(1900,1,0),DATE(1900,1,1),OFFSET('IWP22'!Std4dot2Dates, 3, 0, 1, 1))</f>
        <v>1</v>
      </c>
      <c r="C828" s="158">
        <f ca="1">IF(OFFSET('IWP22'!Std4dot2Dates, 3, 5, 1, 1) = DATE(1900,1,0),DATE(1900,1,1),OFFSET('IWP22'!Std4dot2Dates, 3, 5, 1, 1))</f>
        <v>1</v>
      </c>
    </row>
    <row r="829" spans="1:3">
      <c r="A829" s="206" t="s">
        <v>1326</v>
      </c>
      <c r="B829" s="157">
        <f ca="1">IF(OFFSET('IWP23'!Std4dot2Dates, 0, 0, 1, 1) = DATE(1900,1,0),DATE(1900,1,1),OFFSET('IWP23'!Std4dot2Dates, 0, 0, 1, 1))</f>
        <v>1</v>
      </c>
      <c r="C829" s="158">
        <f ca="1">IF(OFFSET('IWP23'!Std4dot2Dates, 0, 5, 1, 1) = DATE(1900,1,0),DATE(1900,1,1),OFFSET('IWP23'!Std4dot2Dates, 0, 5, 1, 1))</f>
        <v>1</v>
      </c>
    </row>
    <row r="830" spans="1:3">
      <c r="A830" s="206" t="s">
        <v>1326</v>
      </c>
      <c r="B830" s="157">
        <f ca="1">IF(OFFSET('IWP23'!Std4dot2Dates, 1, 0, 1, 1) = DATE(1900,1,0),DATE(1900,1,1),OFFSET('IWP23'!Std4dot2Dates, 1, 0, 1, 1))</f>
        <v>1</v>
      </c>
      <c r="C830" s="158">
        <f ca="1">IF(OFFSET('IWP23'!Std4dot2Dates, 1, 5, 1, 1) = DATE(1900,1,0),DATE(1900,1,1),OFFSET('IWP23'!Std4dot2Dates, 1, 5, 1, 1))</f>
        <v>1</v>
      </c>
    </row>
    <row r="831" spans="1:3">
      <c r="A831" s="206" t="s">
        <v>1326</v>
      </c>
      <c r="B831" s="157">
        <f ca="1">IF(OFFSET('IWP23'!Std4dot2Dates, 2, 0, 1, 1) = DATE(1900,1,0),DATE(1900,1,1),OFFSET('IWP23'!Std4dot2Dates, 2, 0, 1, 1))</f>
        <v>1</v>
      </c>
      <c r="C831" s="158">
        <f ca="1">IF(OFFSET('IWP23'!Std4dot2Dates, 2, 5, 1, 1) = DATE(1900,1,0),DATE(1900,1,1),OFFSET('IWP23'!Std4dot2Dates, 2, 5, 1, 1))</f>
        <v>1</v>
      </c>
    </row>
    <row r="832" spans="1:3">
      <c r="A832" s="206" t="s">
        <v>1326</v>
      </c>
      <c r="B832" s="157">
        <f ca="1">IF(OFFSET('IWP23'!Std4dot2Dates, 3, 0, 1, 1) = DATE(1900,1,0),DATE(1900,1,1),OFFSET('IWP23'!Std4dot2Dates, 3, 0, 1, 1))</f>
        <v>1</v>
      </c>
      <c r="C832" s="158">
        <f ca="1">IF(OFFSET('IWP23'!Std4dot2Dates, 3, 5, 1, 1) = DATE(1900,1,0),DATE(1900,1,1),OFFSET('IWP23'!Std4dot2Dates, 3, 5, 1, 1))</f>
        <v>1</v>
      </c>
    </row>
    <row r="833" spans="1:3">
      <c r="A833" s="206" t="s">
        <v>1327</v>
      </c>
      <c r="B833" s="157">
        <f ca="1">IF(OFFSET('IWP24'!Std4dot2Dates, 0, 0, 1, 1) = DATE(1900,1,0),DATE(1900,1,1),OFFSET('IWP24'!Std4dot2Dates, 0, 0, 1, 1))</f>
        <v>1</v>
      </c>
      <c r="C833" s="158">
        <f ca="1">IF(OFFSET('IWP24'!Std4dot2Dates, 0, 5, 1, 1) = DATE(1900,1,0),DATE(1900,1,1),OFFSET('IWP24'!Std4dot2Dates, 0, 5, 1, 1))</f>
        <v>1</v>
      </c>
    </row>
    <row r="834" spans="1:3">
      <c r="A834" s="206" t="s">
        <v>1327</v>
      </c>
      <c r="B834" s="157">
        <f ca="1">IF(OFFSET('IWP24'!Std4dot2Dates, 1, 0, 1, 1) = DATE(1900,1,0),DATE(1900,1,1),OFFSET('IWP24'!Std4dot2Dates, 1, 0, 1, 1))</f>
        <v>1</v>
      </c>
      <c r="C834" s="158">
        <f ca="1">IF(OFFSET('IWP24'!Std4dot2Dates, 1, 5, 1, 1) = DATE(1900,1,0),DATE(1900,1,1),OFFSET('IWP24'!Std4dot2Dates, 1, 5, 1, 1))</f>
        <v>1</v>
      </c>
    </row>
    <row r="835" spans="1:3">
      <c r="A835" s="206" t="s">
        <v>1327</v>
      </c>
      <c r="B835" s="157">
        <f ca="1">IF(OFFSET('IWP24'!Std4dot2Dates, 2, 0, 1, 1) = DATE(1900,1,0),DATE(1900,1,1),OFFSET('IWP24'!Std4dot2Dates, 2, 0, 1, 1))</f>
        <v>1</v>
      </c>
      <c r="C835" s="158">
        <f ca="1">IF(OFFSET('IWP24'!Std4dot2Dates, 2, 5, 1, 1) = DATE(1900,1,0),DATE(1900,1,1),OFFSET('IWP24'!Std4dot2Dates, 2, 5, 1, 1))</f>
        <v>1</v>
      </c>
    </row>
    <row r="836" spans="1:3">
      <c r="A836" s="206" t="s">
        <v>1327</v>
      </c>
      <c r="B836" s="157">
        <f ca="1">IF(OFFSET('IWP24'!Std4dot2Dates, 3, 0, 1, 1) = DATE(1900,1,0),DATE(1900,1,1),OFFSET('IWP24'!Std4dot2Dates, 3, 0, 1, 1))</f>
        <v>1</v>
      </c>
      <c r="C836" s="158">
        <f ca="1">IF(OFFSET('IWP24'!Std4dot2Dates, 3, 5, 1, 1) = DATE(1900,1,0),DATE(1900,1,1),OFFSET('IWP24'!Std4dot2Dates, 3, 5, 1, 1))</f>
        <v>1</v>
      </c>
    </row>
    <row r="837" spans="1:3">
      <c r="A837" s="206" t="s">
        <v>1328</v>
      </c>
      <c r="B837" s="157">
        <f ca="1">IF(OFFSET('IWP25'!Std4dot2Dates, 0, 0, 1, 1) = DATE(1900,1,0),DATE(1900,1,1),OFFSET('IWP25'!Std4dot2Dates, 0, 0, 1, 1))</f>
        <v>1</v>
      </c>
      <c r="C837" s="158">
        <f ca="1">IF(OFFSET('IWP25'!Std4dot2Dates, 0, 5, 1, 1) = DATE(1900,1,0),DATE(1900,1,1),OFFSET('IWP25'!Std4dot2Dates, 0, 5, 1, 1))</f>
        <v>1</v>
      </c>
    </row>
    <row r="838" spans="1:3">
      <c r="A838" s="206" t="s">
        <v>1328</v>
      </c>
      <c r="B838" s="157">
        <f ca="1">IF(OFFSET('IWP25'!Std4dot2Dates, 1, 0, 1, 1) = DATE(1900,1,0),DATE(1900,1,1),OFFSET('IWP25'!Std4dot2Dates, 1, 0, 1, 1))</f>
        <v>1</v>
      </c>
      <c r="C838" s="158">
        <f ca="1">IF(OFFSET('IWP25'!Std4dot2Dates, 1, 5, 1, 1) = DATE(1900,1,0),DATE(1900,1,1),OFFSET('IWP25'!Std4dot2Dates, 1, 5, 1, 1))</f>
        <v>1</v>
      </c>
    </row>
    <row r="839" spans="1:3">
      <c r="A839" s="206" t="s">
        <v>1328</v>
      </c>
      <c r="B839" s="157">
        <f ca="1">IF(OFFSET('IWP25'!Std4dot2Dates, 2, 0, 1, 1) = DATE(1900,1,0),DATE(1900,1,1),OFFSET('IWP25'!Std4dot2Dates, 2, 0, 1, 1))</f>
        <v>1</v>
      </c>
      <c r="C839" s="158">
        <f ca="1">IF(OFFSET('IWP25'!Std4dot2Dates, 2, 5, 1, 1) = DATE(1900,1,0),DATE(1900,1,1),OFFSET('IWP25'!Std4dot2Dates, 2, 5, 1, 1))</f>
        <v>1</v>
      </c>
    </row>
    <row r="840" spans="1:3">
      <c r="A840" s="206" t="s">
        <v>1328</v>
      </c>
      <c r="B840" s="157">
        <f ca="1">IF(OFFSET('IWP25'!Std4dot2Dates, 3, 0, 1, 1) = DATE(1900,1,0),DATE(1900,1,1),OFFSET('IWP25'!Std4dot2Dates, 3, 0, 1, 1))</f>
        <v>1</v>
      </c>
      <c r="C840" s="158">
        <f ca="1">IF(OFFSET('IWP25'!Std4dot2Dates, 3, 5, 1, 1) = DATE(1900,1,0),DATE(1900,1,1),OFFSET('IWP25'!Std4dot2Dates, 3, 5, 1, 1))</f>
        <v>1</v>
      </c>
    </row>
    <row r="841" spans="1:3">
      <c r="A841" s="206" t="s">
        <v>1329</v>
      </c>
      <c r="B841" s="157">
        <f ca="1">IF(OFFSET('IWP26'!Std4dot2Dates, 0, 0, 1, 1) = DATE(1900,1,0),DATE(1900,1,1),OFFSET('IWP26'!Std4dot2Dates, 0, 0, 1, 1))</f>
        <v>1</v>
      </c>
      <c r="C841" s="158">
        <f ca="1">IF(OFFSET('IWP26'!Std4dot2Dates, 0, 5, 1, 1) = DATE(1900,1,0),DATE(1900,1,1),OFFSET('IWP26'!Std4dot2Dates, 0, 5, 1, 1))</f>
        <v>1</v>
      </c>
    </row>
    <row r="842" spans="1:3">
      <c r="A842" s="206" t="s">
        <v>1329</v>
      </c>
      <c r="B842" s="157">
        <f ca="1">IF(OFFSET('IWP26'!Std4dot2Dates, 1, 0, 1, 1) = DATE(1900,1,0),DATE(1900,1,1),OFFSET('IWP26'!Std4dot2Dates, 1, 0, 1, 1))</f>
        <v>1</v>
      </c>
      <c r="C842" s="158">
        <f ca="1">IF(OFFSET('IWP26'!Std4dot2Dates, 1, 5, 1, 1) = DATE(1900,1,0),DATE(1900,1,1),OFFSET('IWP26'!Std4dot2Dates, 1, 5, 1, 1))</f>
        <v>1</v>
      </c>
    </row>
    <row r="843" spans="1:3">
      <c r="A843" s="206" t="s">
        <v>1329</v>
      </c>
      <c r="B843" s="157">
        <f ca="1">IF(OFFSET('IWP26'!Std4dot2Dates, 2, 0, 1, 1) = DATE(1900,1,0),DATE(1900,1,1),OFFSET('IWP26'!Std4dot2Dates, 2, 0, 1, 1))</f>
        <v>1</v>
      </c>
      <c r="C843" s="158">
        <f ca="1">IF(OFFSET('IWP26'!Std4dot2Dates, 2, 5, 1, 1) = DATE(1900,1,0),DATE(1900,1,1),OFFSET('IWP26'!Std4dot2Dates, 2, 5, 1, 1))</f>
        <v>1</v>
      </c>
    </row>
    <row r="844" spans="1:3">
      <c r="A844" s="206" t="s">
        <v>1329</v>
      </c>
      <c r="B844" s="157">
        <f ca="1">IF(OFFSET('IWP26'!Std4dot2Dates, 3, 0, 1, 1) = DATE(1900,1,0),DATE(1900,1,1),OFFSET('IWP26'!Std4dot2Dates, 3, 0, 1, 1))</f>
        <v>1</v>
      </c>
      <c r="C844" s="158">
        <f ca="1">IF(OFFSET('IWP26'!Std4dot2Dates, 3, 5, 1, 1) = DATE(1900,1,0),DATE(1900,1,1),OFFSET('IWP26'!Std4dot2Dates, 3, 5, 1, 1))</f>
        <v>1</v>
      </c>
    </row>
    <row r="845" spans="1:3">
      <c r="A845" s="206" t="s">
        <v>1330</v>
      </c>
      <c r="B845" s="157">
        <f ca="1">IF(OFFSET('IWP27'!Std4dot2Dates, 0, 0, 1, 1) = DATE(1900,1,0),DATE(1900,1,1),OFFSET('IWP27'!Std4dot2Dates, 0, 0, 1, 1))</f>
        <v>1</v>
      </c>
      <c r="C845" s="158">
        <f ca="1">IF(OFFSET('IWP27'!Std4dot2Dates, 0, 5, 1, 1) = DATE(1900,1,0),DATE(1900,1,1),OFFSET('IWP27'!Std4dot2Dates, 0, 5, 1, 1))</f>
        <v>1</v>
      </c>
    </row>
    <row r="846" spans="1:3">
      <c r="A846" s="206" t="s">
        <v>1330</v>
      </c>
      <c r="B846" s="157">
        <f ca="1">IF(OFFSET('IWP27'!Std4dot2Dates, 1, 0, 1, 1) = DATE(1900,1,0),DATE(1900,1,1),OFFSET('IWP27'!Std4dot2Dates, 1, 0, 1, 1))</f>
        <v>1</v>
      </c>
      <c r="C846" s="158">
        <f ca="1">IF(OFFSET('IWP27'!Std4dot2Dates, 1, 5, 1, 1) = DATE(1900,1,0),DATE(1900,1,1),OFFSET('IWP27'!Std4dot2Dates, 1, 5, 1, 1))</f>
        <v>1</v>
      </c>
    </row>
    <row r="847" spans="1:3">
      <c r="A847" s="206" t="s">
        <v>1330</v>
      </c>
      <c r="B847" s="157">
        <f ca="1">IF(OFFSET('IWP27'!Std4dot2Dates, 2, 0, 1, 1) = DATE(1900,1,0),DATE(1900,1,1),OFFSET('IWP27'!Std4dot2Dates, 2, 0, 1, 1))</f>
        <v>1</v>
      </c>
      <c r="C847" s="158">
        <f ca="1">IF(OFFSET('IWP27'!Std4dot2Dates, 2, 5, 1, 1) = DATE(1900,1,0),DATE(1900,1,1),OFFSET('IWP27'!Std4dot2Dates, 2, 5, 1, 1))</f>
        <v>1</v>
      </c>
    </row>
    <row r="848" spans="1:3">
      <c r="A848" s="206" t="s">
        <v>1330</v>
      </c>
      <c r="B848" s="157">
        <f ca="1">IF(OFFSET('IWP27'!Std4dot2Dates, 3, 0, 1, 1) = DATE(1900,1,0),DATE(1900,1,1),OFFSET('IWP27'!Std4dot2Dates, 3, 0, 1, 1))</f>
        <v>1</v>
      </c>
      <c r="C848" s="158">
        <f ca="1">IF(OFFSET('IWP27'!Std4dot2Dates, 3, 5, 1, 1) = DATE(1900,1,0),DATE(1900,1,1),OFFSET('IWP27'!Std4dot2Dates, 3, 5, 1, 1))</f>
        <v>1</v>
      </c>
    </row>
    <row r="849" spans="1:4">
      <c r="A849" s="206" t="s">
        <v>1331</v>
      </c>
      <c r="B849" s="157">
        <f ca="1">IF(OFFSET('IWP28'!Std4dot2Dates, 0, 0, 1, 1) = DATE(1900,1,0),DATE(1900,1,1),OFFSET('IWP28'!Std4dot2Dates, 0, 0, 1, 1))</f>
        <v>1</v>
      </c>
      <c r="C849" s="158">
        <f ca="1">IF(OFFSET('IWP28'!Std4dot2Dates, 0, 5, 1, 1) = DATE(1900,1,0),DATE(1900,1,1),OFFSET('IWP28'!Std4dot2Dates, 0, 5, 1, 1))</f>
        <v>1</v>
      </c>
    </row>
    <row r="850" spans="1:4">
      <c r="A850" s="206" t="s">
        <v>1331</v>
      </c>
      <c r="B850" s="157">
        <f ca="1">IF(OFFSET('IWP28'!Std4dot2Dates, 1, 0, 1, 1) = DATE(1900,1,0),DATE(1900,1,1),OFFSET('IWP28'!Std4dot2Dates, 1, 0, 1, 1))</f>
        <v>1</v>
      </c>
      <c r="C850" s="158">
        <f ca="1">IF(OFFSET('IWP28'!Std4dot2Dates, 1, 5, 1, 1) = DATE(1900,1,0),DATE(1900,1,1),OFFSET('IWP28'!Std4dot2Dates, 1, 5, 1, 1))</f>
        <v>1</v>
      </c>
    </row>
    <row r="851" spans="1:4">
      <c r="A851" s="206" t="s">
        <v>1331</v>
      </c>
      <c r="B851" s="157">
        <f ca="1">IF(OFFSET('IWP28'!Std4dot2Dates, 2, 0, 1, 1) = DATE(1900,1,0),DATE(1900,1,1),OFFSET('IWP28'!Std4dot2Dates, 2, 0, 1, 1))</f>
        <v>1</v>
      </c>
      <c r="C851" s="158">
        <f ca="1">IF(OFFSET('IWP28'!Std4dot2Dates, 2, 5, 1, 1) = DATE(1900,1,0),DATE(1900,1,1),OFFSET('IWP28'!Std4dot2Dates, 2, 5, 1, 1))</f>
        <v>1</v>
      </c>
    </row>
    <row r="852" spans="1:4">
      <c r="A852" s="206" t="s">
        <v>1331</v>
      </c>
      <c r="B852" s="157">
        <f ca="1">IF(OFFSET('IWP28'!Std4dot2Dates, 3, 0, 1, 1) = DATE(1900,1,0),DATE(1900,1,1),OFFSET('IWP28'!Std4dot2Dates, 3, 0, 1, 1))</f>
        <v>1</v>
      </c>
      <c r="C852" s="158">
        <f ca="1">IF(OFFSET('IWP28'!Std4dot2Dates, 3, 5, 1, 1) = DATE(1900,1,0),DATE(1900,1,1),OFFSET('IWP28'!Std4dot2Dates, 3, 5, 1, 1))</f>
        <v>1</v>
      </c>
    </row>
    <row r="853" spans="1:4">
      <c r="A853" s="206" t="s">
        <v>1332</v>
      </c>
      <c r="B853" s="157">
        <f ca="1">IF(OFFSET('IWP29'!Std4dot2Dates, 0, 0, 1, 1) = DATE(1900,1,0),DATE(1900,1,1),OFFSET('IWP29'!Std4dot2Dates, 0, 0, 1, 1))</f>
        <v>1</v>
      </c>
      <c r="C853" s="158">
        <f ca="1">IF(OFFSET('IWP29'!Std4dot2Dates, 0, 5, 1, 1) = DATE(1900,1,0),DATE(1900,1,1),OFFSET('IWP29'!Std4dot2Dates, 0, 5, 1, 1))</f>
        <v>1</v>
      </c>
    </row>
    <row r="854" spans="1:4">
      <c r="A854" s="206" t="s">
        <v>1332</v>
      </c>
      <c r="B854" s="157">
        <f ca="1">IF(OFFSET('IWP29'!Std4dot2Dates, 1, 0, 1, 1) = DATE(1900,1,0),DATE(1900,1,1),OFFSET('IWP29'!Std4dot2Dates, 1, 0, 1, 1))</f>
        <v>1</v>
      </c>
      <c r="C854" s="158">
        <f ca="1">IF(OFFSET('IWP29'!Std4dot2Dates, 1, 5, 1, 1) = DATE(1900,1,0),DATE(1900,1,1),OFFSET('IWP29'!Std4dot2Dates, 1, 5, 1, 1))</f>
        <v>1</v>
      </c>
    </row>
    <row r="855" spans="1:4">
      <c r="A855" s="206" t="s">
        <v>1332</v>
      </c>
      <c r="B855" s="157">
        <f ca="1">IF(OFFSET('IWP29'!Std4dot2Dates, 2, 0, 1, 1) = DATE(1900,1,0),DATE(1900,1,1),OFFSET('IWP29'!Std4dot2Dates, 2, 0, 1, 1))</f>
        <v>1</v>
      </c>
      <c r="C855" s="158">
        <f ca="1">IF(OFFSET('IWP29'!Std4dot2Dates, 2, 5, 1, 1) = DATE(1900,1,0),DATE(1900,1,1),OFFSET('IWP29'!Std4dot2Dates, 2, 5, 1, 1))</f>
        <v>1</v>
      </c>
    </row>
    <row r="856" spans="1:4">
      <c r="A856" s="206" t="s">
        <v>1332</v>
      </c>
      <c r="B856" s="157">
        <f ca="1">IF(OFFSET('IWP29'!Std4dot2Dates, 3, 0, 1, 1) = DATE(1900,1,0),DATE(1900,1,1),OFFSET('IWP29'!Std4dot2Dates, 3, 0, 1, 1))</f>
        <v>1</v>
      </c>
      <c r="C856" s="158">
        <f ca="1">IF(OFFSET('IWP29'!Std4dot2Dates, 3, 5, 1, 1) = DATE(1900,1,0),DATE(1900,1,1),OFFSET('IWP29'!Std4dot2Dates, 3, 5, 1, 1))</f>
        <v>1</v>
      </c>
    </row>
    <row r="857" spans="1:4">
      <c r="A857" s="206" t="s">
        <v>1333</v>
      </c>
      <c r="B857" s="157">
        <f ca="1">IF(OFFSET('IWP30'!Std4dot2Dates, 0, 0, 1, 1) = DATE(1900,1,0),DATE(1900,1,1),OFFSET('IWP30'!Std4dot2Dates, 0, 0, 1, 1))</f>
        <v>1</v>
      </c>
      <c r="C857" s="158">
        <f ca="1">IF(OFFSET('IWP30'!Std4dot2Dates, 0, 5, 1, 1) = DATE(1900,1,0),DATE(1900,1,1),OFFSET('IWP30'!Std4dot2Dates, 0, 5, 1, 1))</f>
        <v>1</v>
      </c>
    </row>
    <row r="858" spans="1:4">
      <c r="A858" s="206" t="s">
        <v>1333</v>
      </c>
      <c r="B858" s="157">
        <f ca="1">IF(OFFSET('IWP30'!Std4dot2Dates, 1, 0, 1, 1) = DATE(1900,1,0),DATE(1900,1,1),OFFSET('IWP30'!Std4dot2Dates, 1, 0, 1, 1))</f>
        <v>1</v>
      </c>
      <c r="C858" s="158">
        <f ca="1">IF(OFFSET('IWP30'!Std4dot2Dates, 1, 5, 1, 1) = DATE(1900,1,0),DATE(1900,1,1),OFFSET('IWP30'!Std4dot2Dates, 1, 5, 1, 1))</f>
        <v>1</v>
      </c>
    </row>
    <row r="859" spans="1:4">
      <c r="A859" s="206" t="s">
        <v>1333</v>
      </c>
      <c r="B859" s="157">
        <f ca="1">IF(OFFSET('IWP30'!Std4dot2Dates, 2, 0, 1, 1) = DATE(1900,1,0),DATE(1900,1,1),OFFSET('IWP30'!Std4dot2Dates, 2, 0, 1, 1))</f>
        <v>1</v>
      </c>
      <c r="C859" s="158">
        <f ca="1">IF(OFFSET('IWP30'!Std4dot2Dates, 2, 5, 1, 1) = DATE(1900,1,0),DATE(1900,1,1),OFFSET('IWP30'!Std4dot2Dates, 2, 5, 1, 1))</f>
        <v>1</v>
      </c>
    </row>
    <row r="860" spans="1:4" ht="15" thickBot="1">
      <c r="A860" s="156" t="s">
        <v>1333</v>
      </c>
      <c r="B860" s="194">
        <f ca="1">IF(OFFSET('IWP30'!Std4dot2Dates, 3, 0, 1, 1) = DATE(1900,1,0),DATE(1900,1,1),OFFSET('IWP30'!Std4dot2Dates, 3, 0, 1, 1))</f>
        <v>1</v>
      </c>
      <c r="C860" s="159">
        <f ca="1">IF(OFFSET('IWP30'!Std4dot2Dates, 3, 5, 1, 1) = DATE(1900,1,0),DATE(1900,1,1),OFFSET('IWP30'!Std4dot2Dates, 3, 5, 1, 1))</f>
        <v>1</v>
      </c>
    </row>
    <row r="862" spans="1:4" ht="15" thickBot="1">
      <c r="A862" t="s">
        <v>1267</v>
      </c>
    </row>
    <row r="863" spans="1:4" s="62" customFormat="1">
      <c r="A863" s="153" t="s">
        <v>1057</v>
      </c>
      <c r="B863" s="312" t="s">
        <v>929</v>
      </c>
      <c r="C863" s="312" t="s">
        <v>1301</v>
      </c>
      <c r="D863" s="311" t="s">
        <v>187</v>
      </c>
    </row>
    <row r="864" spans="1:4">
      <c r="A864" s="206" t="s">
        <v>1060</v>
      </c>
      <c r="B864" s="13">
        <f ca="1">OFFSET('IWP01'!Std9dot1OutstandingChecks, 0, 0, 1, 1)</f>
        <v>0</v>
      </c>
      <c r="C864" s="157">
        <f ca="1">IF(OFFSET('IWP01'!Std9dot1OutstandingChecks, 0, 1, 1, 1) = DATE(1900,1,0),DATE(1900,1,1),OFFSET('IWP01'!Std9dot1OutstandingChecks, 0, 1, 1, 1))</f>
        <v>1</v>
      </c>
      <c r="D864" s="185">
        <f ca="1">OFFSET('IWP01'!Std9dot1OutstandingChecks, 0, 2, 1, 1)</f>
        <v>0</v>
      </c>
    </row>
    <row r="865" spans="1:4">
      <c r="A865" s="206" t="s">
        <v>1060</v>
      </c>
      <c r="B865" s="13">
        <f ca="1">OFFSET('IWP01'!Std9dot1OutstandingChecks, 1, 0, 1, 1)</f>
        <v>0</v>
      </c>
      <c r="C865" s="157">
        <f ca="1">IF(OFFSET('IWP01'!Std9dot1OutstandingChecks, 1, 1, 1, 1) = DATE(1900,1,0),DATE(1900,1,1),OFFSET('IWP01'!Std9dot1OutstandingChecks, 1, 1, 1, 1))</f>
        <v>1</v>
      </c>
      <c r="D865" s="185">
        <f ca="1">OFFSET('IWP01'!Std9dot1OutstandingChecks, 1, 2, 1, 1)</f>
        <v>0</v>
      </c>
    </row>
    <row r="866" spans="1:4">
      <c r="A866" s="206" t="s">
        <v>1060</v>
      </c>
      <c r="B866" s="13">
        <f ca="1">OFFSET('IWP01'!Std9dot1OutstandingChecks, 2, 0, 1, 1)</f>
        <v>0</v>
      </c>
      <c r="C866" s="157">
        <f ca="1">IF(OFFSET('IWP01'!Std9dot1OutstandingChecks, 2, 1, 1, 1) = DATE(1900,1,0),DATE(1900,1,1),OFFSET('IWP01'!Std9dot1OutstandingChecks, 2, 1, 1, 1))</f>
        <v>1</v>
      </c>
      <c r="D866" s="185">
        <f ca="1">OFFSET('IWP01'!Std9dot1OutstandingChecks, 2, 2, 1, 1)</f>
        <v>0</v>
      </c>
    </row>
    <row r="867" spans="1:4">
      <c r="A867" s="206" t="s">
        <v>1060</v>
      </c>
      <c r="B867" s="13">
        <f ca="1">OFFSET('IWP01'!Std9dot1OutstandingChecks, 3, 0, 1, 1)</f>
        <v>0</v>
      </c>
      <c r="C867" s="157">
        <f ca="1">IF(OFFSET('IWP01'!Std9dot1OutstandingChecks, 3, 1, 1, 1) = DATE(1900,1,0),DATE(1900,1,1),OFFSET('IWP01'!Std9dot1OutstandingChecks, 3, 1, 1, 1))</f>
        <v>1</v>
      </c>
      <c r="D867" s="185">
        <f ca="1">OFFSET('IWP01'!Std9dot1OutstandingChecks, 3, 2, 1, 1)</f>
        <v>0</v>
      </c>
    </row>
    <row r="868" spans="1:4">
      <c r="A868" s="206" t="s">
        <v>1060</v>
      </c>
      <c r="B868" s="13">
        <f ca="1">OFFSET('IWP01'!Std9dot1OutstandingChecks, 4, 0, 1, 1)</f>
        <v>0</v>
      </c>
      <c r="C868" s="157">
        <f ca="1">IF(OFFSET('IWP01'!Std9dot1OutstandingChecks, 4, 1, 1, 1) = DATE(1900,1,0),DATE(1900,1,1),OFFSET('IWP01'!Std9dot1OutstandingChecks, 4, 1, 1, 1))</f>
        <v>1</v>
      </c>
      <c r="D868" s="185">
        <f ca="1">OFFSET('IWP01'!Std9dot1OutstandingChecks, 4, 2, 1, 1)</f>
        <v>0</v>
      </c>
    </row>
    <row r="869" spans="1:4">
      <c r="A869" s="206" t="s">
        <v>1060</v>
      </c>
      <c r="B869" s="13">
        <f ca="1">OFFSET('IWP01'!Std9dot1OutstandingChecks, 5, 0, 1, 1)</f>
        <v>0</v>
      </c>
      <c r="C869" s="157">
        <f ca="1">IF(OFFSET('IWP01'!Std9dot1OutstandingChecks, 5, 1, 1, 1) = DATE(1900,1,0),DATE(1900,1,1),OFFSET('IWP01'!Std9dot1OutstandingChecks, 5, 1, 1, 1))</f>
        <v>1</v>
      </c>
      <c r="D869" s="185">
        <f ca="1">OFFSET('IWP01'!Std9dot1OutstandingChecks, 5, 2, 1, 1)</f>
        <v>0</v>
      </c>
    </row>
    <row r="870" spans="1:4">
      <c r="A870" s="206" t="s">
        <v>1060</v>
      </c>
      <c r="B870" s="13">
        <f ca="1">OFFSET('IWP01'!Std9dot1OutstandingChecks, 6, 0, 1, 1)</f>
        <v>0</v>
      </c>
      <c r="C870" s="157">
        <f ca="1">IF(OFFSET('IWP01'!Std9dot1OutstandingChecks, 6, 1, 1, 1) = DATE(1900,1,0),DATE(1900,1,1),OFFSET('IWP01'!Std9dot1OutstandingChecks, 6, 1, 1, 1))</f>
        <v>1</v>
      </c>
      <c r="D870" s="185">
        <f ca="1">OFFSET('IWP01'!Std9dot1OutstandingChecks, 6, 2, 1, 1)</f>
        <v>0</v>
      </c>
    </row>
    <row r="871" spans="1:4">
      <c r="A871" s="206" t="s">
        <v>1060</v>
      </c>
      <c r="B871" s="13">
        <f ca="1">OFFSET('IWP01'!Std9dot1OutstandingChecks, 7, 0, 1, 1)</f>
        <v>0</v>
      </c>
      <c r="C871" s="157">
        <f ca="1">IF(OFFSET('IWP01'!Std9dot1OutstandingChecks, 7, 1, 1, 1) = DATE(1900,1,0),DATE(1900,1,1),OFFSET('IWP01'!Std9dot1OutstandingChecks, 7, 1, 1, 1))</f>
        <v>1</v>
      </c>
      <c r="D871" s="185">
        <f ca="1">OFFSET('IWP01'!Std9dot1OutstandingChecks, 7, 2, 1, 1)</f>
        <v>0</v>
      </c>
    </row>
    <row r="872" spans="1:4">
      <c r="A872" s="206" t="s">
        <v>1060</v>
      </c>
      <c r="B872" s="13">
        <f ca="1">OFFSET('IWP01'!Std9dot1OutstandingChecks, 8, 0, 1, 1)</f>
        <v>0</v>
      </c>
      <c r="C872" s="157">
        <f ca="1">IF(OFFSET('IWP01'!Std9dot1OutstandingChecks, 8, 1, 1, 1) = DATE(1900,1,0),DATE(1900,1,1),OFFSET('IWP01'!Std9dot1OutstandingChecks, 8, 1, 1, 1))</f>
        <v>1</v>
      </c>
      <c r="D872" s="185">
        <f ca="1">OFFSET('IWP01'!Std9dot1OutstandingChecks, 8, 2, 1, 1)</f>
        <v>0</v>
      </c>
    </row>
    <row r="873" spans="1:4">
      <c r="A873" s="206" t="s">
        <v>1060</v>
      </c>
      <c r="B873" s="13">
        <f ca="1">OFFSET('IWP01'!Std9dot1OutstandingChecks, 9, 0, 1, 1)</f>
        <v>0</v>
      </c>
      <c r="C873" s="157">
        <f ca="1">IF(OFFSET('IWP01'!Std9dot1OutstandingChecks, 9, 1, 1, 1) = DATE(1900,1,0),DATE(1900,1,1),OFFSET('IWP01'!Std9dot1OutstandingChecks, 9, 1, 1, 1))</f>
        <v>1</v>
      </c>
      <c r="D873" s="185">
        <f ca="1">OFFSET('IWP01'!Std9dot1OutstandingChecks, 9, 2, 1, 1)</f>
        <v>0</v>
      </c>
    </row>
    <row r="874" spans="1:4">
      <c r="A874" s="206" t="s">
        <v>1060</v>
      </c>
      <c r="B874" s="13">
        <f ca="1">OFFSET('IWP01'!Std9dot1OutstandingChecks, 0, 4, 1, 1)</f>
        <v>0</v>
      </c>
      <c r="C874" s="157">
        <f ca="1">IF(OFFSET('IWP01'!Std9dot1OutstandingChecks, 0, 5, 1, 1) = DATE(1900,1,0),DATE(1900,1,1),OFFSET('IWP01'!Std9dot1OutstandingChecks, 0, 5, 1, 1))</f>
        <v>1</v>
      </c>
      <c r="D874" s="185">
        <f ca="1">OFFSET('IWP01'!Std9dot1OutstandingChecks, 0, 6, 1, 1)</f>
        <v>0</v>
      </c>
    </row>
    <row r="875" spans="1:4">
      <c r="A875" s="206" t="s">
        <v>1060</v>
      </c>
      <c r="B875" s="13">
        <f ca="1">OFFSET('IWP01'!Std9dot1OutstandingChecks, 1, 4, 1, 1)</f>
        <v>0</v>
      </c>
      <c r="C875" s="157">
        <f ca="1">IF(OFFSET('IWP01'!Std9dot1OutstandingChecks, 1, 5, 1, 1) = DATE(1900,1,0),DATE(1900,1,1),OFFSET('IWP01'!Std9dot1OutstandingChecks, 1, 5, 1, 1))</f>
        <v>1</v>
      </c>
      <c r="D875" s="185">
        <f ca="1">OFFSET('IWP01'!Std9dot1OutstandingChecks, 1, 6, 1, 1)</f>
        <v>0</v>
      </c>
    </row>
    <row r="876" spans="1:4">
      <c r="A876" s="206" t="s">
        <v>1060</v>
      </c>
      <c r="B876" s="13">
        <f ca="1">OFFSET('IWP01'!Std9dot1OutstandingChecks, 2, 4, 1, 1)</f>
        <v>0</v>
      </c>
      <c r="C876" s="157">
        <f ca="1">IF(OFFSET('IWP01'!Std9dot1OutstandingChecks, 2, 5, 1, 1) = DATE(1900,1,0),DATE(1900,1,1),OFFSET('IWP01'!Std9dot1OutstandingChecks, 2, 5, 1, 1))</f>
        <v>1</v>
      </c>
      <c r="D876" s="185">
        <f ca="1">OFFSET('IWP01'!Std9dot1OutstandingChecks, 2, 6, 1, 1)</f>
        <v>0</v>
      </c>
    </row>
    <row r="877" spans="1:4">
      <c r="A877" s="206" t="s">
        <v>1060</v>
      </c>
      <c r="B877" s="13">
        <f ca="1">OFFSET('IWP01'!Std9dot1OutstandingChecks, 3, 4, 1, 1)</f>
        <v>0</v>
      </c>
      <c r="C877" s="157">
        <f ca="1">IF(OFFSET('IWP01'!Std9dot1OutstandingChecks, 3, 5, 1, 1) = DATE(1900,1,0),DATE(1900,1,1),OFFSET('IWP01'!Std9dot1OutstandingChecks, 3, 5, 1, 1))</f>
        <v>1</v>
      </c>
      <c r="D877" s="185">
        <f ca="1">OFFSET('IWP01'!Std9dot1OutstandingChecks, 3, 6, 1, 1)</f>
        <v>0</v>
      </c>
    </row>
    <row r="878" spans="1:4">
      <c r="A878" s="206" t="s">
        <v>1060</v>
      </c>
      <c r="B878" s="13">
        <f ca="1">OFFSET('IWP01'!Std9dot1OutstandingChecks, 4, 4, 1, 1)</f>
        <v>0</v>
      </c>
      <c r="C878" s="157">
        <f ca="1">IF(OFFSET('IWP01'!Std9dot1OutstandingChecks, 4, 5, 1, 1) = DATE(1900,1,0),DATE(1900,1,1),OFFSET('IWP01'!Std9dot1OutstandingChecks, 4, 5, 1, 1))</f>
        <v>1</v>
      </c>
      <c r="D878" s="185">
        <f ca="1">OFFSET('IWP01'!Std9dot1OutstandingChecks, 4, 6, 1, 1)</f>
        <v>0</v>
      </c>
    </row>
    <row r="879" spans="1:4">
      <c r="A879" s="206" t="s">
        <v>1060</v>
      </c>
      <c r="B879" s="13">
        <f ca="1">OFFSET('IWP01'!Std9dot1OutstandingChecks, 5, 4, 1, 1)</f>
        <v>0</v>
      </c>
      <c r="C879" s="157">
        <f ca="1">IF(OFFSET('IWP01'!Std9dot1OutstandingChecks, 5, 5, 1, 1) = DATE(1900,1,0),DATE(1900,1,1),OFFSET('IWP01'!Std9dot1OutstandingChecks, 5, 5, 1, 1))</f>
        <v>1</v>
      </c>
      <c r="D879" s="185">
        <f ca="1">OFFSET('IWP01'!Std9dot1OutstandingChecks, 5, 6, 1, 1)</f>
        <v>0</v>
      </c>
    </row>
    <row r="880" spans="1:4">
      <c r="A880" s="206" t="s">
        <v>1060</v>
      </c>
      <c r="B880" s="13">
        <f ca="1">OFFSET('IWP01'!Std9dot1OutstandingChecks, 6, 4, 1, 1)</f>
        <v>0</v>
      </c>
      <c r="C880" s="157">
        <f ca="1">IF(OFFSET('IWP01'!Std9dot1OutstandingChecks, 6, 5, 1, 1) = DATE(1900,1,0),DATE(1900,1,1),OFFSET('IWP01'!Std9dot1OutstandingChecks, 6, 5, 1, 1))</f>
        <v>1</v>
      </c>
      <c r="D880" s="185">
        <f ca="1">OFFSET('IWP01'!Std9dot1OutstandingChecks, 6, 6, 1, 1)</f>
        <v>0</v>
      </c>
    </row>
    <row r="881" spans="1:4">
      <c r="A881" s="206" t="s">
        <v>1060</v>
      </c>
      <c r="B881" s="13">
        <f ca="1">OFFSET('IWP01'!Std9dot1OutstandingChecks, 7, 4, 1, 1)</f>
        <v>0</v>
      </c>
      <c r="C881" s="157">
        <f ca="1">IF(OFFSET('IWP01'!Std9dot1OutstandingChecks, 7, 5, 1, 1) = DATE(1900,1,0),DATE(1900,1,1),OFFSET('IWP01'!Std9dot1OutstandingChecks, 7, 5, 1, 1))</f>
        <v>1</v>
      </c>
      <c r="D881" s="185">
        <f ca="1">OFFSET('IWP01'!Std9dot1OutstandingChecks, 7, 6, 1, 1)</f>
        <v>0</v>
      </c>
    </row>
    <row r="882" spans="1:4">
      <c r="A882" s="206" t="s">
        <v>1060</v>
      </c>
      <c r="B882" s="13">
        <f ca="1">OFFSET('IWP01'!Std9dot1OutstandingChecks, 8, 4, 1, 1)</f>
        <v>0</v>
      </c>
      <c r="C882" s="157">
        <f ca="1">IF(OFFSET('IWP01'!Std9dot1OutstandingChecks, 8, 5, 1, 1) = DATE(1900,1,0),DATE(1900,1,1),OFFSET('IWP01'!Std9dot1OutstandingChecks, 8, 5, 1, 1))</f>
        <v>1</v>
      </c>
      <c r="D882" s="185">
        <f ca="1">OFFSET('IWP01'!Std9dot1OutstandingChecks, 8, 6, 1, 1)</f>
        <v>0</v>
      </c>
    </row>
    <row r="883" spans="1:4">
      <c r="A883" s="206" t="s">
        <v>1060</v>
      </c>
      <c r="B883" s="13">
        <f ca="1">OFFSET('IWP01'!Std9dot1OutstandingChecks, 9, 4, 1, 1)</f>
        <v>0</v>
      </c>
      <c r="C883" s="157">
        <f ca="1">IF(OFFSET('IWP01'!Std9dot1OutstandingChecks, 9, 5, 1, 1) = DATE(1900,1,0),DATE(1900,1,1),OFFSET('IWP01'!Std9dot1OutstandingChecks, 9, 5, 1, 1))</f>
        <v>1</v>
      </c>
      <c r="D883" s="185">
        <f ca="1">OFFSET('IWP01'!Std9dot1OutstandingChecks, 9, 6, 1, 1)</f>
        <v>0</v>
      </c>
    </row>
    <row r="884" spans="1:4">
      <c r="A884" s="206" t="s">
        <v>1193</v>
      </c>
      <c r="B884" s="13">
        <f ca="1">OFFSET('IWP02'!Std9dot1OutstandingChecks, 0, 0, 1, 1)</f>
        <v>0</v>
      </c>
      <c r="C884" s="157">
        <f ca="1">IF(OFFSET('IWP02'!Std9dot1OutstandingChecks, 0, 1, 1, 1) = DATE(1900,1,0),DATE(1900,1,1),OFFSET('IWP02'!Std9dot1OutstandingChecks, 0, 1, 1, 1))</f>
        <v>1</v>
      </c>
      <c r="D884" s="185">
        <f ca="1">OFFSET('IWP02'!Std9dot1OutstandingChecks, 0, 2, 1, 1)</f>
        <v>0</v>
      </c>
    </row>
    <row r="885" spans="1:4">
      <c r="A885" s="206" t="s">
        <v>1193</v>
      </c>
      <c r="B885" s="13">
        <f ca="1">OFFSET('IWP02'!Std9dot1OutstandingChecks, 1, 0, 1, 1)</f>
        <v>0</v>
      </c>
      <c r="C885" s="157">
        <f ca="1">IF(OFFSET('IWP02'!Std9dot1OutstandingChecks, 1, 1, 1, 1) = DATE(1900,1,0),DATE(1900,1,1),OFFSET('IWP02'!Std9dot1OutstandingChecks, 1, 1, 1, 1))</f>
        <v>1</v>
      </c>
      <c r="D885" s="185">
        <f ca="1">OFFSET('IWP02'!Std9dot1OutstandingChecks, 1, 2, 1, 1)</f>
        <v>0</v>
      </c>
    </row>
    <row r="886" spans="1:4">
      <c r="A886" s="206" t="s">
        <v>1193</v>
      </c>
      <c r="B886" s="13">
        <f ca="1">OFFSET('IWP02'!Std9dot1OutstandingChecks, 2, 0, 1, 1)</f>
        <v>0</v>
      </c>
      <c r="C886" s="157">
        <f ca="1">IF(OFFSET('IWP02'!Std9dot1OutstandingChecks, 2, 1, 1, 1) = DATE(1900,1,0),DATE(1900,1,1),OFFSET('IWP02'!Std9dot1OutstandingChecks, 2, 1, 1, 1))</f>
        <v>1</v>
      </c>
      <c r="D886" s="185">
        <f ca="1">OFFSET('IWP02'!Std9dot1OutstandingChecks, 2, 2, 1, 1)</f>
        <v>0</v>
      </c>
    </row>
    <row r="887" spans="1:4">
      <c r="A887" s="206" t="s">
        <v>1193</v>
      </c>
      <c r="B887" s="13">
        <f ca="1">OFFSET('IWP02'!Std9dot1OutstandingChecks, 3, 0, 1, 1)</f>
        <v>0</v>
      </c>
      <c r="C887" s="157">
        <f ca="1">IF(OFFSET('IWP02'!Std9dot1OutstandingChecks, 3, 1, 1, 1) = DATE(1900,1,0),DATE(1900,1,1),OFFSET('IWP02'!Std9dot1OutstandingChecks, 3, 1, 1, 1))</f>
        <v>1</v>
      </c>
      <c r="D887" s="185">
        <f ca="1">OFFSET('IWP02'!Std9dot1OutstandingChecks, 3, 2, 1, 1)</f>
        <v>0</v>
      </c>
    </row>
    <row r="888" spans="1:4">
      <c r="A888" s="206" t="s">
        <v>1193</v>
      </c>
      <c r="B888" s="13">
        <f ca="1">OFFSET('IWP02'!Std9dot1OutstandingChecks, 4, 0, 1, 1)</f>
        <v>0</v>
      </c>
      <c r="C888" s="157">
        <f ca="1">IF(OFFSET('IWP02'!Std9dot1OutstandingChecks, 4, 1, 1, 1) = DATE(1900,1,0),DATE(1900,1,1),OFFSET('IWP02'!Std9dot1OutstandingChecks, 4, 1, 1, 1))</f>
        <v>1</v>
      </c>
      <c r="D888" s="185">
        <f ca="1">OFFSET('IWP02'!Std9dot1OutstandingChecks, 4, 2, 1, 1)</f>
        <v>0</v>
      </c>
    </row>
    <row r="889" spans="1:4">
      <c r="A889" s="206" t="s">
        <v>1193</v>
      </c>
      <c r="B889" s="13">
        <f ca="1">OFFSET('IWP02'!Std9dot1OutstandingChecks, 5, 0, 1, 1)</f>
        <v>0</v>
      </c>
      <c r="C889" s="157">
        <f ca="1">IF(OFFSET('IWP02'!Std9dot1OutstandingChecks, 5, 1, 1, 1) = DATE(1900,1,0),DATE(1900,1,1),OFFSET('IWP02'!Std9dot1OutstandingChecks, 5, 1, 1, 1))</f>
        <v>1</v>
      </c>
      <c r="D889" s="185">
        <f ca="1">OFFSET('IWP02'!Std9dot1OutstandingChecks, 5, 2, 1, 1)</f>
        <v>0</v>
      </c>
    </row>
    <row r="890" spans="1:4">
      <c r="A890" s="206" t="s">
        <v>1193</v>
      </c>
      <c r="B890" s="13">
        <f ca="1">OFFSET('IWP02'!Std9dot1OutstandingChecks, 6, 0, 1, 1)</f>
        <v>0</v>
      </c>
      <c r="C890" s="157">
        <f ca="1">IF(OFFSET('IWP02'!Std9dot1OutstandingChecks, 6, 1, 1, 1) = DATE(1900,1,0),DATE(1900,1,1),OFFSET('IWP02'!Std9dot1OutstandingChecks, 6, 1, 1, 1))</f>
        <v>1</v>
      </c>
      <c r="D890" s="185">
        <f ca="1">OFFSET('IWP02'!Std9dot1OutstandingChecks, 6, 2, 1, 1)</f>
        <v>0</v>
      </c>
    </row>
    <row r="891" spans="1:4">
      <c r="A891" s="206" t="s">
        <v>1193</v>
      </c>
      <c r="B891" s="13">
        <f ca="1">OFFSET('IWP02'!Std9dot1OutstandingChecks, 7, 0, 1, 1)</f>
        <v>0</v>
      </c>
      <c r="C891" s="157">
        <f ca="1">IF(OFFSET('IWP02'!Std9dot1OutstandingChecks, 7, 1, 1, 1) = DATE(1900,1,0),DATE(1900,1,1),OFFSET('IWP02'!Std9dot1OutstandingChecks, 7, 1, 1, 1))</f>
        <v>1</v>
      </c>
      <c r="D891" s="185">
        <f ca="1">OFFSET('IWP02'!Std9dot1OutstandingChecks, 7, 2, 1, 1)</f>
        <v>0</v>
      </c>
    </row>
    <row r="892" spans="1:4">
      <c r="A892" s="206" t="s">
        <v>1193</v>
      </c>
      <c r="B892" s="13">
        <f ca="1">OFFSET('IWP02'!Std9dot1OutstandingChecks, 8, 0, 1, 1)</f>
        <v>0</v>
      </c>
      <c r="C892" s="157">
        <f ca="1">IF(OFFSET('IWP02'!Std9dot1OutstandingChecks, 8, 1, 1, 1) = DATE(1900,1,0),DATE(1900,1,1),OFFSET('IWP02'!Std9dot1OutstandingChecks, 8, 1, 1, 1))</f>
        <v>1</v>
      </c>
      <c r="D892" s="185">
        <f ca="1">OFFSET('IWP02'!Std9dot1OutstandingChecks, 8, 2, 1, 1)</f>
        <v>0</v>
      </c>
    </row>
    <row r="893" spans="1:4">
      <c r="A893" s="206" t="s">
        <v>1193</v>
      </c>
      <c r="B893" s="13">
        <f ca="1">OFFSET('IWP02'!Std9dot1OutstandingChecks, 9, 0, 1, 1)</f>
        <v>0</v>
      </c>
      <c r="C893" s="157">
        <f ca="1">IF(OFFSET('IWP02'!Std9dot1OutstandingChecks, 9, 1, 1, 1) = DATE(1900,1,0),DATE(1900,1,1),OFFSET('IWP02'!Std9dot1OutstandingChecks, 9, 1, 1, 1))</f>
        <v>1</v>
      </c>
      <c r="D893" s="185">
        <f ca="1">OFFSET('IWP02'!Std9dot1OutstandingChecks, 9, 2, 1, 1)</f>
        <v>0</v>
      </c>
    </row>
    <row r="894" spans="1:4">
      <c r="A894" s="206" t="s">
        <v>1193</v>
      </c>
      <c r="B894" s="13">
        <f ca="1">OFFSET('IWP02'!Std9dot1OutstandingChecks, 0, 4, 1, 1)</f>
        <v>0</v>
      </c>
      <c r="C894" s="157">
        <f ca="1">IF(OFFSET('IWP02'!Std9dot1OutstandingChecks, 0, 5, 1, 1) = DATE(1900,1,0),DATE(1900,1,1),OFFSET('IWP02'!Std9dot1OutstandingChecks, 0, 5, 1, 1))</f>
        <v>1</v>
      </c>
      <c r="D894" s="185">
        <f ca="1">OFFSET('IWP02'!Std9dot1OutstandingChecks, 0, 6, 1, 1)</f>
        <v>0</v>
      </c>
    </row>
    <row r="895" spans="1:4">
      <c r="A895" s="206" t="s">
        <v>1193</v>
      </c>
      <c r="B895" s="13">
        <f ca="1">OFFSET('IWP02'!Std9dot1OutstandingChecks, 1, 4, 1, 1)</f>
        <v>0</v>
      </c>
      <c r="C895" s="157">
        <f ca="1">IF(OFFSET('IWP02'!Std9dot1OutstandingChecks, 1, 5, 1, 1) = DATE(1900,1,0),DATE(1900,1,1),OFFSET('IWP02'!Std9dot1OutstandingChecks, 1, 5, 1, 1))</f>
        <v>1</v>
      </c>
      <c r="D895" s="185">
        <f ca="1">OFFSET('IWP02'!Std9dot1OutstandingChecks, 1, 6, 1, 1)</f>
        <v>0</v>
      </c>
    </row>
    <row r="896" spans="1:4">
      <c r="A896" s="206" t="s">
        <v>1193</v>
      </c>
      <c r="B896" s="13">
        <f ca="1">OFFSET('IWP02'!Std9dot1OutstandingChecks, 2, 4, 1, 1)</f>
        <v>0</v>
      </c>
      <c r="C896" s="157">
        <f ca="1">IF(OFFSET('IWP02'!Std9dot1OutstandingChecks, 2, 5, 1, 1) = DATE(1900,1,0),DATE(1900,1,1),OFFSET('IWP02'!Std9dot1OutstandingChecks, 2, 5, 1, 1))</f>
        <v>1</v>
      </c>
      <c r="D896" s="185">
        <f ca="1">OFFSET('IWP02'!Std9dot1OutstandingChecks, 2, 6, 1, 1)</f>
        <v>0</v>
      </c>
    </row>
    <row r="897" spans="1:4">
      <c r="A897" s="206" t="s">
        <v>1193</v>
      </c>
      <c r="B897" s="13">
        <f ca="1">OFFSET('IWP02'!Std9dot1OutstandingChecks, 3, 4, 1, 1)</f>
        <v>0</v>
      </c>
      <c r="C897" s="157">
        <f ca="1">IF(OFFSET('IWP02'!Std9dot1OutstandingChecks, 3, 5, 1, 1) = DATE(1900,1,0),DATE(1900,1,1),OFFSET('IWP02'!Std9dot1OutstandingChecks, 3, 5, 1, 1))</f>
        <v>1</v>
      </c>
      <c r="D897" s="185">
        <f ca="1">OFFSET('IWP02'!Std9dot1OutstandingChecks, 3, 6, 1, 1)</f>
        <v>0</v>
      </c>
    </row>
    <row r="898" spans="1:4">
      <c r="A898" s="206" t="s">
        <v>1193</v>
      </c>
      <c r="B898" s="13">
        <f ca="1">OFFSET('IWP02'!Std9dot1OutstandingChecks, 4, 4, 1, 1)</f>
        <v>0</v>
      </c>
      <c r="C898" s="157">
        <f ca="1">IF(OFFSET('IWP02'!Std9dot1OutstandingChecks, 4, 5, 1, 1) = DATE(1900,1,0),DATE(1900,1,1),OFFSET('IWP02'!Std9dot1OutstandingChecks, 4, 5, 1, 1))</f>
        <v>1</v>
      </c>
      <c r="D898" s="185">
        <f ca="1">OFFSET('IWP02'!Std9dot1OutstandingChecks, 4, 6, 1, 1)</f>
        <v>0</v>
      </c>
    </row>
    <row r="899" spans="1:4">
      <c r="A899" s="206" t="s">
        <v>1193</v>
      </c>
      <c r="B899" s="13">
        <f ca="1">OFFSET('IWP02'!Std9dot1OutstandingChecks, 5, 4, 1, 1)</f>
        <v>0</v>
      </c>
      <c r="C899" s="157">
        <f ca="1">IF(OFFSET('IWP02'!Std9dot1OutstandingChecks, 5, 5, 1, 1) = DATE(1900,1,0),DATE(1900,1,1),OFFSET('IWP02'!Std9dot1OutstandingChecks, 5, 5, 1, 1))</f>
        <v>1</v>
      </c>
      <c r="D899" s="185">
        <f ca="1">OFFSET('IWP02'!Std9dot1OutstandingChecks, 5, 6, 1, 1)</f>
        <v>0</v>
      </c>
    </row>
    <row r="900" spans="1:4">
      <c r="A900" s="206" t="s">
        <v>1193</v>
      </c>
      <c r="B900" s="13">
        <f ca="1">OFFSET('IWP02'!Std9dot1OutstandingChecks, 6, 4, 1, 1)</f>
        <v>0</v>
      </c>
      <c r="C900" s="157">
        <f ca="1">IF(OFFSET('IWP02'!Std9dot1OutstandingChecks, 6, 5, 1, 1) = DATE(1900,1,0),DATE(1900,1,1),OFFSET('IWP02'!Std9dot1OutstandingChecks, 6, 5, 1, 1))</f>
        <v>1</v>
      </c>
      <c r="D900" s="185">
        <f ca="1">OFFSET('IWP02'!Std9dot1OutstandingChecks, 6, 6, 1, 1)</f>
        <v>0</v>
      </c>
    </row>
    <row r="901" spans="1:4">
      <c r="A901" s="206" t="s">
        <v>1193</v>
      </c>
      <c r="B901" s="13">
        <f ca="1">OFFSET('IWP02'!Std9dot1OutstandingChecks, 7, 4, 1, 1)</f>
        <v>0</v>
      </c>
      <c r="C901" s="157">
        <f ca="1">IF(OFFSET('IWP02'!Std9dot1OutstandingChecks, 7, 5, 1, 1) = DATE(1900,1,0),DATE(1900,1,1),OFFSET('IWP02'!Std9dot1OutstandingChecks, 7, 5, 1, 1))</f>
        <v>1</v>
      </c>
      <c r="D901" s="185">
        <f ca="1">OFFSET('IWP02'!Std9dot1OutstandingChecks, 7, 6, 1, 1)</f>
        <v>0</v>
      </c>
    </row>
    <row r="902" spans="1:4">
      <c r="A902" s="206" t="s">
        <v>1193</v>
      </c>
      <c r="B902" s="13">
        <f ca="1">OFFSET('IWP02'!Std9dot1OutstandingChecks, 8, 4, 1, 1)</f>
        <v>0</v>
      </c>
      <c r="C902" s="157">
        <f ca="1">IF(OFFSET('IWP02'!Std9dot1OutstandingChecks, 8, 5, 1, 1) = DATE(1900,1,0),DATE(1900,1,1),OFFSET('IWP02'!Std9dot1OutstandingChecks, 8, 5, 1, 1))</f>
        <v>1</v>
      </c>
      <c r="D902" s="185">
        <f ca="1">OFFSET('IWP02'!Std9dot1OutstandingChecks, 8, 6, 1, 1)</f>
        <v>0</v>
      </c>
    </row>
    <row r="903" spans="1:4">
      <c r="A903" s="206" t="s">
        <v>1193</v>
      </c>
      <c r="B903" s="13">
        <f ca="1">OFFSET('IWP02'!Std9dot1OutstandingChecks, 9, 4, 1, 1)</f>
        <v>0</v>
      </c>
      <c r="C903" s="157">
        <f ca="1">IF(OFFSET('IWP02'!Std9dot1OutstandingChecks, 9, 5, 1, 1) = DATE(1900,1,0),DATE(1900,1,1),OFFSET('IWP02'!Std9dot1OutstandingChecks, 9, 5, 1, 1))</f>
        <v>1</v>
      </c>
      <c r="D903" s="185">
        <f ca="1">OFFSET('IWP02'!Std9dot1OutstandingChecks, 9, 6, 1, 1)</f>
        <v>0</v>
      </c>
    </row>
    <row r="904" spans="1:4">
      <c r="A904" s="206" t="s">
        <v>1194</v>
      </c>
      <c r="B904" s="13">
        <f ca="1">OFFSET('IWP03'!Std9dot1OutstandingChecks, 0, 0, 1, 1)</f>
        <v>0</v>
      </c>
      <c r="C904" s="157">
        <f ca="1">IF(OFFSET('IWP03'!Std9dot1OutstandingChecks, 0, 1, 1, 1) = DATE(1900,1,0),DATE(1900,1,1),OFFSET('IWP03'!Std9dot1OutstandingChecks, 0, 1, 1, 1))</f>
        <v>1</v>
      </c>
      <c r="D904" s="185">
        <f ca="1">OFFSET('IWP03'!Std9dot1OutstandingChecks, 0, 2, 1, 1)</f>
        <v>0</v>
      </c>
    </row>
    <row r="905" spans="1:4">
      <c r="A905" s="206" t="s">
        <v>1194</v>
      </c>
      <c r="B905" s="13">
        <f ca="1">OFFSET('IWP03'!Std9dot1OutstandingChecks, 1, 0, 1, 1)</f>
        <v>0</v>
      </c>
      <c r="C905" s="157">
        <f ca="1">IF(OFFSET('IWP03'!Std9dot1OutstandingChecks, 1, 1, 1, 1) = DATE(1900,1,0),DATE(1900,1,1),OFFSET('IWP03'!Std9dot1OutstandingChecks, 1, 1, 1, 1))</f>
        <v>1</v>
      </c>
      <c r="D905" s="185">
        <f ca="1">OFFSET('IWP03'!Std9dot1OutstandingChecks, 1, 2, 1, 1)</f>
        <v>0</v>
      </c>
    </row>
    <row r="906" spans="1:4">
      <c r="A906" s="206" t="s">
        <v>1194</v>
      </c>
      <c r="B906" s="13">
        <f ca="1">OFFSET('IWP03'!Std9dot1OutstandingChecks, 2, 0, 1, 1)</f>
        <v>0</v>
      </c>
      <c r="C906" s="157">
        <f ca="1">IF(OFFSET('IWP03'!Std9dot1OutstandingChecks, 2, 1, 1, 1) = DATE(1900,1,0),DATE(1900,1,1),OFFSET('IWP03'!Std9dot1OutstandingChecks, 2, 1, 1, 1))</f>
        <v>1</v>
      </c>
      <c r="D906" s="185">
        <f ca="1">OFFSET('IWP03'!Std9dot1OutstandingChecks, 2, 2, 1, 1)</f>
        <v>0</v>
      </c>
    </row>
    <row r="907" spans="1:4">
      <c r="A907" s="206" t="s">
        <v>1194</v>
      </c>
      <c r="B907" s="13">
        <f ca="1">OFFSET('IWP03'!Std9dot1OutstandingChecks, 3, 0, 1, 1)</f>
        <v>0</v>
      </c>
      <c r="C907" s="157">
        <f ca="1">IF(OFFSET('IWP03'!Std9dot1OutstandingChecks, 3, 1, 1, 1) = DATE(1900,1,0),DATE(1900,1,1),OFFSET('IWP03'!Std9dot1OutstandingChecks, 3, 1, 1, 1))</f>
        <v>1</v>
      </c>
      <c r="D907" s="185">
        <f ca="1">OFFSET('IWP03'!Std9dot1OutstandingChecks, 3, 2, 1, 1)</f>
        <v>0</v>
      </c>
    </row>
    <row r="908" spans="1:4">
      <c r="A908" s="206" t="s">
        <v>1194</v>
      </c>
      <c r="B908" s="13">
        <f ca="1">OFFSET('IWP03'!Std9dot1OutstandingChecks, 4, 0, 1, 1)</f>
        <v>0</v>
      </c>
      <c r="C908" s="157">
        <f ca="1">IF(OFFSET('IWP03'!Std9dot1OutstandingChecks, 4, 1, 1, 1) = DATE(1900,1,0),DATE(1900,1,1),OFFSET('IWP03'!Std9dot1OutstandingChecks, 4, 1, 1, 1))</f>
        <v>1</v>
      </c>
      <c r="D908" s="185">
        <f ca="1">OFFSET('IWP03'!Std9dot1OutstandingChecks, 4, 2, 1, 1)</f>
        <v>0</v>
      </c>
    </row>
    <row r="909" spans="1:4">
      <c r="A909" s="206" t="s">
        <v>1194</v>
      </c>
      <c r="B909" s="13">
        <f ca="1">OFFSET('IWP03'!Std9dot1OutstandingChecks, 5, 0, 1, 1)</f>
        <v>0</v>
      </c>
      <c r="C909" s="157">
        <f ca="1">IF(OFFSET('IWP03'!Std9dot1OutstandingChecks, 5, 1, 1, 1) = DATE(1900,1,0),DATE(1900,1,1),OFFSET('IWP03'!Std9dot1OutstandingChecks, 5, 1, 1, 1))</f>
        <v>1</v>
      </c>
      <c r="D909" s="185">
        <f ca="1">OFFSET('IWP03'!Std9dot1OutstandingChecks, 5, 2, 1, 1)</f>
        <v>0</v>
      </c>
    </row>
    <row r="910" spans="1:4">
      <c r="A910" s="206" t="s">
        <v>1194</v>
      </c>
      <c r="B910" s="13">
        <f ca="1">OFFSET('IWP03'!Std9dot1OutstandingChecks, 6, 0, 1, 1)</f>
        <v>0</v>
      </c>
      <c r="C910" s="157">
        <f ca="1">IF(OFFSET('IWP03'!Std9dot1OutstandingChecks, 6, 1, 1, 1) = DATE(1900,1,0),DATE(1900,1,1),OFFSET('IWP03'!Std9dot1OutstandingChecks, 6, 1, 1, 1))</f>
        <v>1</v>
      </c>
      <c r="D910" s="185">
        <f ca="1">OFFSET('IWP03'!Std9dot1OutstandingChecks, 6, 2, 1, 1)</f>
        <v>0</v>
      </c>
    </row>
    <row r="911" spans="1:4">
      <c r="A911" s="206" t="s">
        <v>1194</v>
      </c>
      <c r="B911" s="13">
        <f ca="1">OFFSET('IWP03'!Std9dot1OutstandingChecks, 7, 0, 1, 1)</f>
        <v>0</v>
      </c>
      <c r="C911" s="157">
        <f ca="1">IF(OFFSET('IWP03'!Std9dot1OutstandingChecks, 7, 1, 1, 1) = DATE(1900,1,0),DATE(1900,1,1),OFFSET('IWP03'!Std9dot1OutstandingChecks, 7, 1, 1, 1))</f>
        <v>1</v>
      </c>
      <c r="D911" s="185">
        <f ca="1">OFFSET('IWP03'!Std9dot1OutstandingChecks, 7, 2, 1, 1)</f>
        <v>0</v>
      </c>
    </row>
    <row r="912" spans="1:4">
      <c r="A912" s="206" t="s">
        <v>1194</v>
      </c>
      <c r="B912" s="13">
        <f ca="1">OFFSET('IWP03'!Std9dot1OutstandingChecks, 8, 0, 1, 1)</f>
        <v>0</v>
      </c>
      <c r="C912" s="157">
        <f ca="1">IF(OFFSET('IWP03'!Std9dot1OutstandingChecks, 8, 1, 1, 1) = DATE(1900,1,0),DATE(1900,1,1),OFFSET('IWP03'!Std9dot1OutstandingChecks, 8, 1, 1, 1))</f>
        <v>1</v>
      </c>
      <c r="D912" s="185">
        <f ca="1">OFFSET('IWP03'!Std9dot1OutstandingChecks, 8, 2, 1, 1)</f>
        <v>0</v>
      </c>
    </row>
    <row r="913" spans="1:4">
      <c r="A913" s="206" t="s">
        <v>1194</v>
      </c>
      <c r="B913" s="13">
        <f ca="1">OFFSET('IWP03'!Std9dot1OutstandingChecks, 9, 0, 1, 1)</f>
        <v>0</v>
      </c>
      <c r="C913" s="157">
        <f ca="1">IF(OFFSET('IWP03'!Std9dot1OutstandingChecks, 9, 1, 1, 1) = DATE(1900,1,0),DATE(1900,1,1),OFFSET('IWP03'!Std9dot1OutstandingChecks, 9, 1, 1, 1))</f>
        <v>1</v>
      </c>
      <c r="D913" s="185">
        <f ca="1">OFFSET('IWP03'!Std9dot1OutstandingChecks, 9, 2, 1, 1)</f>
        <v>0</v>
      </c>
    </row>
    <row r="914" spans="1:4">
      <c r="A914" s="206" t="s">
        <v>1194</v>
      </c>
      <c r="B914" s="13">
        <f ca="1">OFFSET('IWP03'!Std9dot1OutstandingChecks, 0, 4, 1, 1)</f>
        <v>0</v>
      </c>
      <c r="C914" s="157">
        <f ca="1">IF(OFFSET('IWP03'!Std9dot1OutstandingChecks, 0, 5, 1, 1) = DATE(1900,1,0),DATE(1900,1,1),OFFSET('IWP03'!Std9dot1OutstandingChecks, 0, 5, 1, 1))</f>
        <v>1</v>
      </c>
      <c r="D914" s="185">
        <f ca="1">OFFSET('IWP03'!Std9dot1OutstandingChecks, 0, 6, 1, 1)</f>
        <v>0</v>
      </c>
    </row>
    <row r="915" spans="1:4">
      <c r="A915" s="206" t="s">
        <v>1194</v>
      </c>
      <c r="B915" s="13">
        <f ca="1">OFFSET('IWP03'!Std9dot1OutstandingChecks, 1, 4, 1, 1)</f>
        <v>0</v>
      </c>
      <c r="C915" s="157">
        <f ca="1">IF(OFFSET('IWP03'!Std9dot1OutstandingChecks, 1, 5, 1, 1) = DATE(1900,1,0),DATE(1900,1,1),OFFSET('IWP03'!Std9dot1OutstandingChecks, 1, 5, 1, 1))</f>
        <v>1</v>
      </c>
      <c r="D915" s="185">
        <f ca="1">OFFSET('IWP03'!Std9dot1OutstandingChecks, 1, 6, 1, 1)</f>
        <v>0</v>
      </c>
    </row>
    <row r="916" spans="1:4">
      <c r="A916" s="206" t="s">
        <v>1194</v>
      </c>
      <c r="B916" s="13">
        <f ca="1">OFFSET('IWP03'!Std9dot1OutstandingChecks, 2, 4, 1, 1)</f>
        <v>0</v>
      </c>
      <c r="C916" s="157">
        <f ca="1">IF(OFFSET('IWP03'!Std9dot1OutstandingChecks, 2, 5, 1, 1) = DATE(1900,1,0),DATE(1900,1,1),OFFSET('IWP03'!Std9dot1OutstandingChecks, 2, 5, 1, 1))</f>
        <v>1</v>
      </c>
      <c r="D916" s="185">
        <f ca="1">OFFSET('IWP03'!Std9dot1OutstandingChecks, 2, 6, 1, 1)</f>
        <v>0</v>
      </c>
    </row>
    <row r="917" spans="1:4">
      <c r="A917" s="206" t="s">
        <v>1194</v>
      </c>
      <c r="B917" s="13">
        <f ca="1">OFFSET('IWP03'!Std9dot1OutstandingChecks, 3, 4, 1, 1)</f>
        <v>0</v>
      </c>
      <c r="C917" s="157">
        <f ca="1">IF(OFFSET('IWP03'!Std9dot1OutstandingChecks, 3, 5, 1, 1) = DATE(1900,1,0),DATE(1900,1,1),OFFSET('IWP03'!Std9dot1OutstandingChecks, 3, 5, 1, 1))</f>
        <v>1</v>
      </c>
      <c r="D917" s="185">
        <f ca="1">OFFSET('IWP03'!Std9dot1OutstandingChecks, 3, 6, 1, 1)</f>
        <v>0</v>
      </c>
    </row>
    <row r="918" spans="1:4">
      <c r="A918" s="206" t="s">
        <v>1194</v>
      </c>
      <c r="B918" s="13">
        <f ca="1">OFFSET('IWP03'!Std9dot1OutstandingChecks, 4, 4, 1, 1)</f>
        <v>0</v>
      </c>
      <c r="C918" s="157">
        <f ca="1">IF(OFFSET('IWP03'!Std9dot1OutstandingChecks, 4, 5, 1, 1) = DATE(1900,1,0),DATE(1900,1,1),OFFSET('IWP03'!Std9dot1OutstandingChecks, 4, 5, 1, 1))</f>
        <v>1</v>
      </c>
      <c r="D918" s="185">
        <f ca="1">OFFSET('IWP03'!Std9dot1OutstandingChecks, 4, 6, 1, 1)</f>
        <v>0</v>
      </c>
    </row>
    <row r="919" spans="1:4">
      <c r="A919" s="206" t="s">
        <v>1194</v>
      </c>
      <c r="B919" s="13">
        <f ca="1">OFFSET('IWP03'!Std9dot1OutstandingChecks, 5, 4, 1, 1)</f>
        <v>0</v>
      </c>
      <c r="C919" s="157">
        <f ca="1">IF(OFFSET('IWP03'!Std9dot1OutstandingChecks, 5, 5, 1, 1) = DATE(1900,1,0),DATE(1900,1,1),OFFSET('IWP03'!Std9dot1OutstandingChecks, 5, 5, 1, 1))</f>
        <v>1</v>
      </c>
      <c r="D919" s="185">
        <f ca="1">OFFSET('IWP03'!Std9dot1OutstandingChecks, 5, 6, 1, 1)</f>
        <v>0</v>
      </c>
    </row>
    <row r="920" spans="1:4">
      <c r="A920" s="206" t="s">
        <v>1194</v>
      </c>
      <c r="B920" s="13">
        <f ca="1">OFFSET('IWP03'!Std9dot1OutstandingChecks, 6, 4, 1, 1)</f>
        <v>0</v>
      </c>
      <c r="C920" s="157">
        <f ca="1">IF(OFFSET('IWP03'!Std9dot1OutstandingChecks, 6, 5, 1, 1) = DATE(1900,1,0),DATE(1900,1,1),OFFSET('IWP03'!Std9dot1OutstandingChecks, 6, 5, 1, 1))</f>
        <v>1</v>
      </c>
      <c r="D920" s="185">
        <f ca="1">OFFSET('IWP03'!Std9dot1OutstandingChecks, 6, 6, 1, 1)</f>
        <v>0</v>
      </c>
    </row>
    <row r="921" spans="1:4">
      <c r="A921" s="206" t="s">
        <v>1194</v>
      </c>
      <c r="B921" s="13">
        <f ca="1">OFFSET('IWP03'!Std9dot1OutstandingChecks, 7, 4, 1, 1)</f>
        <v>0</v>
      </c>
      <c r="C921" s="157">
        <f ca="1">IF(OFFSET('IWP03'!Std9dot1OutstandingChecks, 7, 5, 1, 1) = DATE(1900,1,0),DATE(1900,1,1),OFFSET('IWP03'!Std9dot1OutstandingChecks, 7, 5, 1, 1))</f>
        <v>1</v>
      </c>
      <c r="D921" s="185">
        <f ca="1">OFFSET('IWP03'!Std9dot1OutstandingChecks, 7, 6, 1, 1)</f>
        <v>0</v>
      </c>
    </row>
    <row r="922" spans="1:4">
      <c r="A922" s="206" t="s">
        <v>1194</v>
      </c>
      <c r="B922" s="13">
        <f ca="1">OFFSET('IWP03'!Std9dot1OutstandingChecks, 8, 4, 1, 1)</f>
        <v>0</v>
      </c>
      <c r="C922" s="157">
        <f ca="1">IF(OFFSET('IWP03'!Std9dot1OutstandingChecks, 8, 5, 1, 1) = DATE(1900,1,0),DATE(1900,1,1),OFFSET('IWP03'!Std9dot1OutstandingChecks, 8, 5, 1, 1))</f>
        <v>1</v>
      </c>
      <c r="D922" s="185">
        <f ca="1">OFFSET('IWP03'!Std9dot1OutstandingChecks, 8, 6, 1, 1)</f>
        <v>0</v>
      </c>
    </row>
    <row r="923" spans="1:4">
      <c r="A923" s="206" t="s">
        <v>1194</v>
      </c>
      <c r="B923" s="13">
        <f ca="1">OFFSET('IWP03'!Std9dot1OutstandingChecks, 9, 4, 1, 1)</f>
        <v>0</v>
      </c>
      <c r="C923" s="157">
        <f ca="1">IF(OFFSET('IWP03'!Std9dot1OutstandingChecks, 9, 5, 1, 1) = DATE(1900,1,0),DATE(1900,1,1),OFFSET('IWP03'!Std9dot1OutstandingChecks, 9, 5, 1, 1))</f>
        <v>1</v>
      </c>
      <c r="D923" s="185">
        <f ca="1">OFFSET('IWP03'!Std9dot1OutstandingChecks, 9, 6, 1, 1)</f>
        <v>0</v>
      </c>
    </row>
    <row r="924" spans="1:4">
      <c r="A924" s="206" t="s">
        <v>1307</v>
      </c>
      <c r="B924" s="13">
        <f ca="1">OFFSET('IWP04'!Std9dot1OutstandingChecks, 0, 0, 1, 1)</f>
        <v>0</v>
      </c>
      <c r="C924" s="157">
        <f ca="1">IF(OFFSET('IWP04'!Std9dot1OutstandingChecks, 0, 1, 1, 1) = DATE(1900,1,0),DATE(1900,1,1),OFFSET('IWP04'!Std9dot1OutstandingChecks, 0, 1, 1, 1))</f>
        <v>1</v>
      </c>
      <c r="D924" s="185">
        <f ca="1">OFFSET('IWP04'!Std9dot1OutstandingChecks, 0, 2, 1, 1)</f>
        <v>0</v>
      </c>
    </row>
    <row r="925" spans="1:4">
      <c r="A925" s="206" t="s">
        <v>1307</v>
      </c>
      <c r="B925" s="13">
        <f ca="1">OFFSET('IWP04'!Std9dot1OutstandingChecks, 1, 0, 1, 1)</f>
        <v>0</v>
      </c>
      <c r="C925" s="157">
        <f ca="1">IF(OFFSET('IWP04'!Std9dot1OutstandingChecks, 1, 1, 1, 1) = DATE(1900,1,0),DATE(1900,1,1),OFFSET('IWP04'!Std9dot1OutstandingChecks, 1, 1, 1, 1))</f>
        <v>1</v>
      </c>
      <c r="D925" s="185">
        <f ca="1">OFFSET('IWP04'!Std9dot1OutstandingChecks, 1, 2, 1, 1)</f>
        <v>0</v>
      </c>
    </row>
    <row r="926" spans="1:4">
      <c r="A926" s="206" t="s">
        <v>1307</v>
      </c>
      <c r="B926" s="13">
        <f ca="1">OFFSET('IWP04'!Std9dot1OutstandingChecks, 2, 0, 1, 1)</f>
        <v>0</v>
      </c>
      <c r="C926" s="157">
        <f ca="1">IF(OFFSET('IWP04'!Std9dot1OutstandingChecks, 2, 1, 1, 1) = DATE(1900,1,0),DATE(1900,1,1),OFFSET('IWP04'!Std9dot1OutstandingChecks, 2, 1, 1, 1))</f>
        <v>1</v>
      </c>
      <c r="D926" s="185">
        <f ca="1">OFFSET('IWP04'!Std9dot1OutstandingChecks, 2, 2, 1, 1)</f>
        <v>0</v>
      </c>
    </row>
    <row r="927" spans="1:4">
      <c r="A927" s="206" t="s">
        <v>1307</v>
      </c>
      <c r="B927" s="13">
        <f ca="1">OFFSET('IWP04'!Std9dot1OutstandingChecks, 3, 0, 1, 1)</f>
        <v>0</v>
      </c>
      <c r="C927" s="157">
        <f ca="1">IF(OFFSET('IWP04'!Std9dot1OutstandingChecks, 3, 1, 1, 1) = DATE(1900,1,0),DATE(1900,1,1),OFFSET('IWP04'!Std9dot1OutstandingChecks, 3, 1, 1, 1))</f>
        <v>1</v>
      </c>
      <c r="D927" s="185">
        <f ca="1">OFFSET('IWP04'!Std9dot1OutstandingChecks, 3, 2, 1, 1)</f>
        <v>0</v>
      </c>
    </row>
    <row r="928" spans="1:4">
      <c r="A928" s="206" t="s">
        <v>1307</v>
      </c>
      <c r="B928" s="13">
        <f ca="1">OFFSET('IWP04'!Std9dot1OutstandingChecks, 4, 0, 1, 1)</f>
        <v>0</v>
      </c>
      <c r="C928" s="157">
        <f ca="1">IF(OFFSET('IWP04'!Std9dot1OutstandingChecks, 4, 1, 1, 1) = DATE(1900,1,0),DATE(1900,1,1),OFFSET('IWP04'!Std9dot1OutstandingChecks, 4, 1, 1, 1))</f>
        <v>1</v>
      </c>
      <c r="D928" s="185">
        <f ca="1">OFFSET('IWP04'!Std9dot1OutstandingChecks, 4, 2, 1, 1)</f>
        <v>0</v>
      </c>
    </row>
    <row r="929" spans="1:4">
      <c r="A929" s="206" t="s">
        <v>1307</v>
      </c>
      <c r="B929" s="13">
        <f ca="1">OFFSET('IWP04'!Std9dot1OutstandingChecks, 5, 0, 1, 1)</f>
        <v>0</v>
      </c>
      <c r="C929" s="157">
        <f ca="1">IF(OFFSET('IWP04'!Std9dot1OutstandingChecks, 5, 1, 1, 1) = DATE(1900,1,0),DATE(1900,1,1),OFFSET('IWP04'!Std9dot1OutstandingChecks, 5, 1, 1, 1))</f>
        <v>1</v>
      </c>
      <c r="D929" s="185">
        <f ca="1">OFFSET('IWP04'!Std9dot1OutstandingChecks, 5, 2, 1, 1)</f>
        <v>0</v>
      </c>
    </row>
    <row r="930" spans="1:4">
      <c r="A930" s="206" t="s">
        <v>1307</v>
      </c>
      <c r="B930" s="13">
        <f ca="1">OFFSET('IWP04'!Std9dot1OutstandingChecks, 6, 0, 1, 1)</f>
        <v>0</v>
      </c>
      <c r="C930" s="157">
        <f ca="1">IF(OFFSET('IWP04'!Std9dot1OutstandingChecks, 6, 1, 1, 1) = DATE(1900,1,0),DATE(1900,1,1),OFFSET('IWP04'!Std9dot1OutstandingChecks, 6, 1, 1, 1))</f>
        <v>1</v>
      </c>
      <c r="D930" s="185">
        <f ca="1">OFFSET('IWP04'!Std9dot1OutstandingChecks, 6, 2, 1, 1)</f>
        <v>0</v>
      </c>
    </row>
    <row r="931" spans="1:4">
      <c r="A931" s="206" t="s">
        <v>1307</v>
      </c>
      <c r="B931" s="13">
        <f ca="1">OFFSET('IWP04'!Std9dot1OutstandingChecks, 7, 0, 1, 1)</f>
        <v>0</v>
      </c>
      <c r="C931" s="157">
        <f ca="1">IF(OFFSET('IWP04'!Std9dot1OutstandingChecks, 7, 1, 1, 1) = DATE(1900,1,0),DATE(1900,1,1),OFFSET('IWP04'!Std9dot1OutstandingChecks, 7, 1, 1, 1))</f>
        <v>1</v>
      </c>
      <c r="D931" s="185">
        <f ca="1">OFFSET('IWP04'!Std9dot1OutstandingChecks, 7, 2, 1, 1)</f>
        <v>0</v>
      </c>
    </row>
    <row r="932" spans="1:4">
      <c r="A932" s="206" t="s">
        <v>1307</v>
      </c>
      <c r="B932" s="13">
        <f ca="1">OFFSET('IWP04'!Std9dot1OutstandingChecks, 8, 0, 1, 1)</f>
        <v>0</v>
      </c>
      <c r="C932" s="157">
        <f ca="1">IF(OFFSET('IWP04'!Std9dot1OutstandingChecks, 8, 1, 1, 1) = DATE(1900,1,0),DATE(1900,1,1),OFFSET('IWP04'!Std9dot1OutstandingChecks, 8, 1, 1, 1))</f>
        <v>1</v>
      </c>
      <c r="D932" s="185">
        <f ca="1">OFFSET('IWP04'!Std9dot1OutstandingChecks, 8, 2, 1, 1)</f>
        <v>0</v>
      </c>
    </row>
    <row r="933" spans="1:4">
      <c r="A933" s="206" t="s">
        <v>1307</v>
      </c>
      <c r="B933" s="13">
        <f ca="1">OFFSET('IWP04'!Std9dot1OutstandingChecks, 9, 0, 1, 1)</f>
        <v>0</v>
      </c>
      <c r="C933" s="157">
        <f ca="1">IF(OFFSET('IWP04'!Std9dot1OutstandingChecks, 9, 1, 1, 1) = DATE(1900,1,0),DATE(1900,1,1),OFFSET('IWP04'!Std9dot1OutstandingChecks, 9, 1, 1, 1))</f>
        <v>1</v>
      </c>
      <c r="D933" s="185">
        <f ca="1">OFFSET('IWP04'!Std9dot1OutstandingChecks, 9, 2, 1, 1)</f>
        <v>0</v>
      </c>
    </row>
    <row r="934" spans="1:4">
      <c r="A934" s="206" t="s">
        <v>1307</v>
      </c>
      <c r="B934" s="13">
        <f ca="1">OFFSET('IWP04'!Std9dot1OutstandingChecks, 0, 4, 1, 1)</f>
        <v>0</v>
      </c>
      <c r="C934" s="157">
        <f ca="1">IF(OFFSET('IWP04'!Std9dot1OutstandingChecks, 0, 5, 1, 1) = DATE(1900,1,0),DATE(1900,1,1),OFFSET('IWP04'!Std9dot1OutstandingChecks, 0, 5, 1, 1))</f>
        <v>1</v>
      </c>
      <c r="D934" s="185">
        <f ca="1">OFFSET('IWP04'!Std9dot1OutstandingChecks, 0, 6, 1, 1)</f>
        <v>0</v>
      </c>
    </row>
    <row r="935" spans="1:4">
      <c r="A935" s="206" t="s">
        <v>1307</v>
      </c>
      <c r="B935" s="13">
        <f ca="1">OFFSET('IWP04'!Std9dot1OutstandingChecks, 1, 4, 1, 1)</f>
        <v>0</v>
      </c>
      <c r="C935" s="157">
        <f ca="1">IF(OFFSET('IWP04'!Std9dot1OutstandingChecks, 1, 5, 1, 1) = DATE(1900,1,0),DATE(1900,1,1),OFFSET('IWP04'!Std9dot1OutstandingChecks, 1, 5, 1, 1))</f>
        <v>1</v>
      </c>
      <c r="D935" s="185">
        <f ca="1">OFFSET('IWP04'!Std9dot1OutstandingChecks, 1, 6, 1, 1)</f>
        <v>0</v>
      </c>
    </row>
    <row r="936" spans="1:4">
      <c r="A936" s="206" t="s">
        <v>1307</v>
      </c>
      <c r="B936" s="13">
        <f ca="1">OFFSET('IWP04'!Std9dot1OutstandingChecks, 2, 4, 1, 1)</f>
        <v>0</v>
      </c>
      <c r="C936" s="157">
        <f ca="1">IF(OFFSET('IWP04'!Std9dot1OutstandingChecks, 2, 5, 1, 1) = DATE(1900,1,0),DATE(1900,1,1),OFFSET('IWP04'!Std9dot1OutstandingChecks, 2, 5, 1, 1))</f>
        <v>1</v>
      </c>
      <c r="D936" s="185">
        <f ca="1">OFFSET('IWP04'!Std9dot1OutstandingChecks, 2, 6, 1, 1)</f>
        <v>0</v>
      </c>
    </row>
    <row r="937" spans="1:4">
      <c r="A937" s="206" t="s">
        <v>1307</v>
      </c>
      <c r="B937" s="13">
        <f ca="1">OFFSET('IWP04'!Std9dot1OutstandingChecks, 3, 4, 1, 1)</f>
        <v>0</v>
      </c>
      <c r="C937" s="157">
        <f ca="1">IF(OFFSET('IWP04'!Std9dot1OutstandingChecks, 3, 5, 1, 1) = DATE(1900,1,0),DATE(1900,1,1),OFFSET('IWP04'!Std9dot1OutstandingChecks, 3, 5, 1, 1))</f>
        <v>1</v>
      </c>
      <c r="D937" s="185">
        <f ca="1">OFFSET('IWP04'!Std9dot1OutstandingChecks, 3, 6, 1, 1)</f>
        <v>0</v>
      </c>
    </row>
    <row r="938" spans="1:4">
      <c r="A938" s="206" t="s">
        <v>1307</v>
      </c>
      <c r="B938" s="13">
        <f ca="1">OFFSET('IWP04'!Std9dot1OutstandingChecks, 4, 4, 1, 1)</f>
        <v>0</v>
      </c>
      <c r="C938" s="157">
        <f ca="1">IF(OFFSET('IWP04'!Std9dot1OutstandingChecks, 4, 5, 1, 1) = DATE(1900,1,0),DATE(1900,1,1),OFFSET('IWP04'!Std9dot1OutstandingChecks, 4, 5, 1, 1))</f>
        <v>1</v>
      </c>
      <c r="D938" s="185">
        <f ca="1">OFFSET('IWP04'!Std9dot1OutstandingChecks, 4, 6, 1, 1)</f>
        <v>0</v>
      </c>
    </row>
    <row r="939" spans="1:4">
      <c r="A939" s="206" t="s">
        <v>1307</v>
      </c>
      <c r="B939" s="13">
        <f ca="1">OFFSET('IWP04'!Std9dot1OutstandingChecks, 5, 4, 1, 1)</f>
        <v>0</v>
      </c>
      <c r="C939" s="157">
        <f ca="1">IF(OFFSET('IWP04'!Std9dot1OutstandingChecks, 5, 5, 1, 1) = DATE(1900,1,0),DATE(1900,1,1),OFFSET('IWP04'!Std9dot1OutstandingChecks, 5, 5, 1, 1))</f>
        <v>1</v>
      </c>
      <c r="D939" s="185">
        <f ca="1">OFFSET('IWP04'!Std9dot1OutstandingChecks, 5, 6, 1, 1)</f>
        <v>0</v>
      </c>
    </row>
    <row r="940" spans="1:4">
      <c r="A940" s="206" t="s">
        <v>1307</v>
      </c>
      <c r="B940" s="13">
        <f ca="1">OFFSET('IWP04'!Std9dot1OutstandingChecks, 6, 4, 1, 1)</f>
        <v>0</v>
      </c>
      <c r="C940" s="157">
        <f ca="1">IF(OFFSET('IWP04'!Std9dot1OutstandingChecks, 6, 5, 1, 1) = DATE(1900,1,0),DATE(1900,1,1),OFFSET('IWP04'!Std9dot1OutstandingChecks, 6, 5, 1, 1))</f>
        <v>1</v>
      </c>
      <c r="D940" s="185">
        <f ca="1">OFFSET('IWP04'!Std9dot1OutstandingChecks, 6, 6, 1, 1)</f>
        <v>0</v>
      </c>
    </row>
    <row r="941" spans="1:4">
      <c r="A941" s="206" t="s">
        <v>1307</v>
      </c>
      <c r="B941" s="13">
        <f ca="1">OFFSET('IWP04'!Std9dot1OutstandingChecks, 7, 4, 1, 1)</f>
        <v>0</v>
      </c>
      <c r="C941" s="157">
        <f ca="1">IF(OFFSET('IWP04'!Std9dot1OutstandingChecks, 7, 5, 1, 1) = DATE(1900,1,0),DATE(1900,1,1),OFFSET('IWP04'!Std9dot1OutstandingChecks, 7, 5, 1, 1))</f>
        <v>1</v>
      </c>
      <c r="D941" s="185">
        <f ca="1">OFFSET('IWP04'!Std9dot1OutstandingChecks, 7, 6, 1, 1)</f>
        <v>0</v>
      </c>
    </row>
    <row r="942" spans="1:4">
      <c r="A942" s="206" t="s">
        <v>1307</v>
      </c>
      <c r="B942" s="13">
        <f ca="1">OFFSET('IWP04'!Std9dot1OutstandingChecks, 8, 4, 1, 1)</f>
        <v>0</v>
      </c>
      <c r="C942" s="157">
        <f ca="1">IF(OFFSET('IWP04'!Std9dot1OutstandingChecks, 8, 5, 1, 1) = DATE(1900,1,0),DATE(1900,1,1),OFFSET('IWP04'!Std9dot1OutstandingChecks, 8, 5, 1, 1))</f>
        <v>1</v>
      </c>
      <c r="D942" s="185">
        <f ca="1">OFFSET('IWP04'!Std9dot1OutstandingChecks, 8, 6, 1, 1)</f>
        <v>0</v>
      </c>
    </row>
    <row r="943" spans="1:4">
      <c r="A943" s="206" t="s">
        <v>1307</v>
      </c>
      <c r="B943" s="13">
        <f ca="1">OFFSET('IWP04'!Std9dot1OutstandingChecks, 9, 4, 1, 1)</f>
        <v>0</v>
      </c>
      <c r="C943" s="157">
        <f ca="1">IF(OFFSET('IWP04'!Std9dot1OutstandingChecks, 9, 5, 1, 1) = DATE(1900,1,0),DATE(1900,1,1),OFFSET('IWP04'!Std9dot1OutstandingChecks, 9, 5, 1, 1))</f>
        <v>1</v>
      </c>
      <c r="D943" s="185">
        <f ca="1">OFFSET('IWP04'!Std9dot1OutstandingChecks, 9, 6, 1, 1)</f>
        <v>0</v>
      </c>
    </row>
    <row r="944" spans="1:4">
      <c r="A944" s="206" t="s">
        <v>1308</v>
      </c>
      <c r="B944" s="13">
        <f ca="1">OFFSET('IWP05'!Std9dot1OutstandingChecks, 0, 0, 1, 1)</f>
        <v>0</v>
      </c>
      <c r="C944" s="157">
        <f ca="1">IF(OFFSET('IWP05'!Std9dot1OutstandingChecks, 0, 1, 1, 1) = DATE(1900,1,0),DATE(1900,1,1),OFFSET('IWP05'!Std9dot1OutstandingChecks, 0, 1, 1, 1))</f>
        <v>1</v>
      </c>
      <c r="D944" s="185">
        <f ca="1">OFFSET('IWP05'!Std9dot1OutstandingChecks, 0, 2, 1, 1)</f>
        <v>0</v>
      </c>
    </row>
    <row r="945" spans="1:4">
      <c r="A945" s="206" t="s">
        <v>1308</v>
      </c>
      <c r="B945" s="13">
        <f ca="1">OFFSET('IWP05'!Std9dot1OutstandingChecks, 1, 0, 1, 1)</f>
        <v>0</v>
      </c>
      <c r="C945" s="157">
        <f ca="1">IF(OFFSET('IWP05'!Std9dot1OutstandingChecks, 1, 1, 1, 1) = DATE(1900,1,0),DATE(1900,1,1),OFFSET('IWP05'!Std9dot1OutstandingChecks, 1, 1, 1, 1))</f>
        <v>1</v>
      </c>
      <c r="D945" s="185">
        <f ca="1">OFFSET('IWP05'!Std9dot1OutstandingChecks, 1, 2, 1, 1)</f>
        <v>0</v>
      </c>
    </row>
    <row r="946" spans="1:4">
      <c r="A946" s="206" t="s">
        <v>1308</v>
      </c>
      <c r="B946" s="13">
        <f ca="1">OFFSET('IWP05'!Std9dot1OutstandingChecks, 2, 0, 1, 1)</f>
        <v>0</v>
      </c>
      <c r="C946" s="157">
        <f ca="1">IF(OFFSET('IWP05'!Std9dot1OutstandingChecks, 2, 1, 1, 1) = DATE(1900,1,0),DATE(1900,1,1),OFFSET('IWP05'!Std9dot1OutstandingChecks, 2, 1, 1, 1))</f>
        <v>1</v>
      </c>
      <c r="D946" s="185">
        <f ca="1">OFFSET('IWP05'!Std9dot1OutstandingChecks, 2, 2, 1, 1)</f>
        <v>0</v>
      </c>
    </row>
    <row r="947" spans="1:4">
      <c r="A947" s="206" t="s">
        <v>1308</v>
      </c>
      <c r="B947" s="13">
        <f ca="1">OFFSET('IWP05'!Std9dot1OutstandingChecks, 3, 0, 1, 1)</f>
        <v>0</v>
      </c>
      <c r="C947" s="157">
        <f ca="1">IF(OFFSET('IWP05'!Std9dot1OutstandingChecks, 3, 1, 1, 1) = DATE(1900,1,0),DATE(1900,1,1),OFFSET('IWP05'!Std9dot1OutstandingChecks, 3, 1, 1, 1))</f>
        <v>1</v>
      </c>
      <c r="D947" s="185">
        <f ca="1">OFFSET('IWP05'!Std9dot1OutstandingChecks, 3, 2, 1, 1)</f>
        <v>0</v>
      </c>
    </row>
    <row r="948" spans="1:4">
      <c r="A948" s="206" t="s">
        <v>1308</v>
      </c>
      <c r="B948" s="13">
        <f ca="1">OFFSET('IWP05'!Std9dot1OutstandingChecks, 4, 0, 1, 1)</f>
        <v>0</v>
      </c>
      <c r="C948" s="157">
        <f ca="1">IF(OFFSET('IWP05'!Std9dot1OutstandingChecks, 4, 1, 1, 1) = DATE(1900,1,0),DATE(1900,1,1),OFFSET('IWP05'!Std9dot1OutstandingChecks, 4, 1, 1, 1))</f>
        <v>1</v>
      </c>
      <c r="D948" s="185">
        <f ca="1">OFFSET('IWP05'!Std9dot1OutstandingChecks, 4, 2, 1, 1)</f>
        <v>0</v>
      </c>
    </row>
    <row r="949" spans="1:4">
      <c r="A949" s="206" t="s">
        <v>1308</v>
      </c>
      <c r="B949" s="13">
        <f ca="1">OFFSET('IWP05'!Std9dot1OutstandingChecks, 5, 0, 1, 1)</f>
        <v>0</v>
      </c>
      <c r="C949" s="157">
        <f ca="1">IF(OFFSET('IWP05'!Std9dot1OutstandingChecks, 5, 1, 1, 1) = DATE(1900,1,0),DATE(1900,1,1),OFFSET('IWP05'!Std9dot1OutstandingChecks, 5, 1, 1, 1))</f>
        <v>1</v>
      </c>
      <c r="D949" s="185">
        <f ca="1">OFFSET('IWP05'!Std9dot1OutstandingChecks, 5, 2, 1, 1)</f>
        <v>0</v>
      </c>
    </row>
    <row r="950" spans="1:4">
      <c r="A950" s="206" t="s">
        <v>1308</v>
      </c>
      <c r="B950" s="13">
        <f ca="1">OFFSET('IWP05'!Std9dot1OutstandingChecks, 6, 0, 1, 1)</f>
        <v>0</v>
      </c>
      <c r="C950" s="157">
        <f ca="1">IF(OFFSET('IWP05'!Std9dot1OutstandingChecks, 6, 1, 1, 1) = DATE(1900,1,0),DATE(1900,1,1),OFFSET('IWP05'!Std9dot1OutstandingChecks, 6, 1, 1, 1))</f>
        <v>1</v>
      </c>
      <c r="D950" s="185">
        <f ca="1">OFFSET('IWP05'!Std9dot1OutstandingChecks, 6, 2, 1, 1)</f>
        <v>0</v>
      </c>
    </row>
    <row r="951" spans="1:4">
      <c r="A951" s="206" t="s">
        <v>1308</v>
      </c>
      <c r="B951" s="13">
        <f ca="1">OFFSET('IWP05'!Std9dot1OutstandingChecks, 7, 0, 1, 1)</f>
        <v>0</v>
      </c>
      <c r="C951" s="157">
        <f ca="1">IF(OFFSET('IWP05'!Std9dot1OutstandingChecks, 7, 1, 1, 1) = DATE(1900,1,0),DATE(1900,1,1),OFFSET('IWP05'!Std9dot1OutstandingChecks, 7, 1, 1, 1))</f>
        <v>1</v>
      </c>
      <c r="D951" s="185">
        <f ca="1">OFFSET('IWP05'!Std9dot1OutstandingChecks, 7, 2, 1, 1)</f>
        <v>0</v>
      </c>
    </row>
    <row r="952" spans="1:4">
      <c r="A952" s="206" t="s">
        <v>1308</v>
      </c>
      <c r="B952" s="13">
        <f ca="1">OFFSET('IWP05'!Std9dot1OutstandingChecks, 8, 0, 1, 1)</f>
        <v>0</v>
      </c>
      <c r="C952" s="157">
        <f ca="1">IF(OFFSET('IWP05'!Std9dot1OutstandingChecks, 8, 1, 1, 1) = DATE(1900,1,0),DATE(1900,1,1),OFFSET('IWP05'!Std9dot1OutstandingChecks, 8, 1, 1, 1))</f>
        <v>1</v>
      </c>
      <c r="D952" s="185">
        <f ca="1">OFFSET('IWP05'!Std9dot1OutstandingChecks, 8, 2, 1, 1)</f>
        <v>0</v>
      </c>
    </row>
    <row r="953" spans="1:4">
      <c r="A953" s="206" t="s">
        <v>1308</v>
      </c>
      <c r="B953" s="13">
        <f ca="1">OFFSET('IWP05'!Std9dot1OutstandingChecks, 9, 0, 1, 1)</f>
        <v>0</v>
      </c>
      <c r="C953" s="157">
        <f ca="1">IF(OFFSET('IWP05'!Std9dot1OutstandingChecks, 9, 1, 1, 1) = DATE(1900,1,0),DATE(1900,1,1),OFFSET('IWP05'!Std9dot1OutstandingChecks, 9, 1, 1, 1))</f>
        <v>1</v>
      </c>
      <c r="D953" s="185">
        <f ca="1">OFFSET('IWP05'!Std9dot1OutstandingChecks, 9, 2, 1, 1)</f>
        <v>0</v>
      </c>
    </row>
    <row r="954" spans="1:4">
      <c r="A954" s="206" t="s">
        <v>1308</v>
      </c>
      <c r="B954" s="13">
        <f ca="1">OFFSET('IWP05'!Std9dot1OutstandingChecks, 0, 4, 1, 1)</f>
        <v>0</v>
      </c>
      <c r="C954" s="157">
        <f ca="1">IF(OFFSET('IWP05'!Std9dot1OutstandingChecks, 0, 5, 1, 1) = DATE(1900,1,0),DATE(1900,1,1),OFFSET('IWP05'!Std9dot1OutstandingChecks, 0, 5, 1, 1))</f>
        <v>1</v>
      </c>
      <c r="D954" s="185">
        <f ca="1">OFFSET('IWP05'!Std9dot1OutstandingChecks, 0, 6, 1, 1)</f>
        <v>0</v>
      </c>
    </row>
    <row r="955" spans="1:4">
      <c r="A955" s="206" t="s">
        <v>1308</v>
      </c>
      <c r="B955" s="13">
        <f ca="1">OFFSET('IWP05'!Std9dot1OutstandingChecks, 1, 4, 1, 1)</f>
        <v>0</v>
      </c>
      <c r="C955" s="157">
        <f ca="1">IF(OFFSET('IWP05'!Std9dot1OutstandingChecks, 1, 5, 1, 1) = DATE(1900,1,0),DATE(1900,1,1),OFFSET('IWP05'!Std9dot1OutstandingChecks, 1, 5, 1, 1))</f>
        <v>1</v>
      </c>
      <c r="D955" s="185">
        <f ca="1">OFFSET('IWP05'!Std9dot1OutstandingChecks, 1, 6, 1, 1)</f>
        <v>0</v>
      </c>
    </row>
    <row r="956" spans="1:4">
      <c r="A956" s="206" t="s">
        <v>1308</v>
      </c>
      <c r="B956" s="13">
        <f ca="1">OFFSET('IWP05'!Std9dot1OutstandingChecks, 2, 4, 1, 1)</f>
        <v>0</v>
      </c>
      <c r="C956" s="157">
        <f ca="1">IF(OFFSET('IWP05'!Std9dot1OutstandingChecks, 2, 5, 1, 1) = DATE(1900,1,0),DATE(1900,1,1),OFFSET('IWP05'!Std9dot1OutstandingChecks, 2, 5, 1, 1))</f>
        <v>1</v>
      </c>
      <c r="D956" s="185">
        <f ca="1">OFFSET('IWP05'!Std9dot1OutstandingChecks, 2, 6, 1, 1)</f>
        <v>0</v>
      </c>
    </row>
    <row r="957" spans="1:4">
      <c r="A957" s="206" t="s">
        <v>1308</v>
      </c>
      <c r="B957" s="13">
        <f ca="1">OFFSET('IWP05'!Std9dot1OutstandingChecks, 3, 4, 1, 1)</f>
        <v>0</v>
      </c>
      <c r="C957" s="157">
        <f ca="1">IF(OFFSET('IWP05'!Std9dot1OutstandingChecks, 3, 5, 1, 1) = DATE(1900,1,0),DATE(1900,1,1),OFFSET('IWP05'!Std9dot1OutstandingChecks, 3, 5, 1, 1))</f>
        <v>1</v>
      </c>
      <c r="D957" s="185">
        <f ca="1">OFFSET('IWP05'!Std9dot1OutstandingChecks, 3, 6, 1, 1)</f>
        <v>0</v>
      </c>
    </row>
    <row r="958" spans="1:4">
      <c r="A958" s="206" t="s">
        <v>1308</v>
      </c>
      <c r="B958" s="13">
        <f ca="1">OFFSET('IWP05'!Std9dot1OutstandingChecks, 4, 4, 1, 1)</f>
        <v>0</v>
      </c>
      <c r="C958" s="157">
        <f ca="1">IF(OFFSET('IWP05'!Std9dot1OutstandingChecks, 4, 5, 1, 1) = DATE(1900,1,0),DATE(1900,1,1),OFFSET('IWP05'!Std9dot1OutstandingChecks, 4, 5, 1, 1))</f>
        <v>1</v>
      </c>
      <c r="D958" s="185">
        <f ca="1">OFFSET('IWP05'!Std9dot1OutstandingChecks, 4, 6, 1, 1)</f>
        <v>0</v>
      </c>
    </row>
    <row r="959" spans="1:4">
      <c r="A959" s="206" t="s">
        <v>1308</v>
      </c>
      <c r="B959" s="13">
        <f ca="1">OFFSET('IWP05'!Std9dot1OutstandingChecks, 5, 4, 1, 1)</f>
        <v>0</v>
      </c>
      <c r="C959" s="157">
        <f ca="1">IF(OFFSET('IWP05'!Std9dot1OutstandingChecks, 5, 5, 1, 1) = DATE(1900,1,0),DATE(1900,1,1),OFFSET('IWP05'!Std9dot1OutstandingChecks, 5, 5, 1, 1))</f>
        <v>1</v>
      </c>
      <c r="D959" s="185">
        <f ca="1">OFFSET('IWP05'!Std9dot1OutstandingChecks, 5, 6, 1, 1)</f>
        <v>0</v>
      </c>
    </row>
    <row r="960" spans="1:4">
      <c r="A960" s="206" t="s">
        <v>1308</v>
      </c>
      <c r="B960" s="13">
        <f ca="1">OFFSET('IWP05'!Std9dot1OutstandingChecks, 6, 4, 1, 1)</f>
        <v>0</v>
      </c>
      <c r="C960" s="157">
        <f ca="1">IF(OFFSET('IWP05'!Std9dot1OutstandingChecks, 6, 5, 1, 1) = DATE(1900,1,0),DATE(1900,1,1),OFFSET('IWP05'!Std9dot1OutstandingChecks, 6, 5, 1, 1))</f>
        <v>1</v>
      </c>
      <c r="D960" s="185">
        <f ca="1">OFFSET('IWP05'!Std9dot1OutstandingChecks, 6, 6, 1, 1)</f>
        <v>0</v>
      </c>
    </row>
    <row r="961" spans="1:4">
      <c r="A961" s="206" t="s">
        <v>1308</v>
      </c>
      <c r="B961" s="13">
        <f ca="1">OFFSET('IWP05'!Std9dot1OutstandingChecks, 7, 4, 1, 1)</f>
        <v>0</v>
      </c>
      <c r="C961" s="157">
        <f ca="1">IF(OFFSET('IWP05'!Std9dot1OutstandingChecks, 7, 5, 1, 1) = DATE(1900,1,0),DATE(1900,1,1),OFFSET('IWP05'!Std9dot1OutstandingChecks, 7, 5, 1, 1))</f>
        <v>1</v>
      </c>
      <c r="D961" s="185">
        <f ca="1">OFFSET('IWP05'!Std9dot1OutstandingChecks, 7, 6, 1, 1)</f>
        <v>0</v>
      </c>
    </row>
    <row r="962" spans="1:4">
      <c r="A962" s="206" t="s">
        <v>1308</v>
      </c>
      <c r="B962" s="13">
        <f ca="1">OFFSET('IWP05'!Std9dot1OutstandingChecks, 8, 4, 1, 1)</f>
        <v>0</v>
      </c>
      <c r="C962" s="157">
        <f ca="1">IF(OFFSET('IWP05'!Std9dot1OutstandingChecks, 8, 5, 1, 1) = DATE(1900,1,0),DATE(1900,1,1),OFFSET('IWP05'!Std9dot1OutstandingChecks, 8, 5, 1, 1))</f>
        <v>1</v>
      </c>
      <c r="D962" s="185">
        <f ca="1">OFFSET('IWP05'!Std9dot1OutstandingChecks, 8, 6, 1, 1)</f>
        <v>0</v>
      </c>
    </row>
    <row r="963" spans="1:4">
      <c r="A963" s="206" t="s">
        <v>1308</v>
      </c>
      <c r="B963" s="13">
        <f ca="1">OFFSET('IWP05'!Std9dot1OutstandingChecks, 9, 4, 1, 1)</f>
        <v>0</v>
      </c>
      <c r="C963" s="157">
        <f ca="1">IF(OFFSET('IWP05'!Std9dot1OutstandingChecks, 9, 5, 1, 1) = DATE(1900,1,0),DATE(1900,1,1),OFFSET('IWP05'!Std9dot1OutstandingChecks, 9, 5, 1, 1))</f>
        <v>1</v>
      </c>
      <c r="D963" s="185">
        <f ca="1">OFFSET('IWP05'!Std9dot1OutstandingChecks, 9, 6, 1, 1)</f>
        <v>0</v>
      </c>
    </row>
    <row r="964" spans="1:4">
      <c r="A964" s="206" t="s">
        <v>1309</v>
      </c>
      <c r="B964" s="13">
        <f ca="1">OFFSET('IWP06'!Std9dot1OutstandingChecks, 0, 0, 1, 1)</f>
        <v>0</v>
      </c>
      <c r="C964" s="157">
        <f ca="1">IF(OFFSET('IWP06'!Std9dot1OutstandingChecks, 0, 1, 1, 1) = DATE(1900,1,0),DATE(1900,1,1),OFFSET('IWP06'!Std9dot1OutstandingChecks, 0, 1, 1, 1))</f>
        <v>1</v>
      </c>
      <c r="D964" s="185">
        <f ca="1">OFFSET('IWP06'!Std9dot1OutstandingChecks, 0, 2, 1, 1)</f>
        <v>0</v>
      </c>
    </row>
    <row r="965" spans="1:4">
      <c r="A965" s="206" t="s">
        <v>1309</v>
      </c>
      <c r="B965" s="13">
        <f ca="1">OFFSET('IWP06'!Std9dot1OutstandingChecks, 1, 0, 1, 1)</f>
        <v>0</v>
      </c>
      <c r="C965" s="157">
        <f ca="1">IF(OFFSET('IWP06'!Std9dot1OutstandingChecks, 1, 1, 1, 1) = DATE(1900,1,0),DATE(1900,1,1),OFFSET('IWP06'!Std9dot1OutstandingChecks, 1, 1, 1, 1))</f>
        <v>1</v>
      </c>
      <c r="D965" s="185">
        <f ca="1">OFFSET('IWP06'!Std9dot1OutstandingChecks, 1, 2, 1, 1)</f>
        <v>0</v>
      </c>
    </row>
    <row r="966" spans="1:4">
      <c r="A966" s="206" t="s">
        <v>1309</v>
      </c>
      <c r="B966" s="13">
        <f ca="1">OFFSET('IWP06'!Std9dot1OutstandingChecks, 2, 0, 1, 1)</f>
        <v>0</v>
      </c>
      <c r="C966" s="157">
        <f ca="1">IF(OFFSET('IWP06'!Std9dot1OutstandingChecks, 2, 1, 1, 1) = DATE(1900,1,0),DATE(1900,1,1),OFFSET('IWP06'!Std9dot1OutstandingChecks, 2, 1, 1, 1))</f>
        <v>1</v>
      </c>
      <c r="D966" s="185">
        <f ca="1">OFFSET('IWP06'!Std9dot1OutstandingChecks, 2, 2, 1, 1)</f>
        <v>0</v>
      </c>
    </row>
    <row r="967" spans="1:4">
      <c r="A967" s="206" t="s">
        <v>1309</v>
      </c>
      <c r="B967" s="13">
        <f ca="1">OFFSET('IWP06'!Std9dot1OutstandingChecks, 3, 0, 1, 1)</f>
        <v>0</v>
      </c>
      <c r="C967" s="157">
        <f ca="1">IF(OFFSET('IWP06'!Std9dot1OutstandingChecks, 3, 1, 1, 1) = DATE(1900,1,0),DATE(1900,1,1),OFFSET('IWP06'!Std9dot1OutstandingChecks, 3, 1, 1, 1))</f>
        <v>1</v>
      </c>
      <c r="D967" s="185">
        <f ca="1">OFFSET('IWP06'!Std9dot1OutstandingChecks, 3, 2, 1, 1)</f>
        <v>0</v>
      </c>
    </row>
    <row r="968" spans="1:4">
      <c r="A968" s="206" t="s">
        <v>1309</v>
      </c>
      <c r="B968" s="13">
        <f ca="1">OFFSET('IWP06'!Std9dot1OutstandingChecks, 4, 0, 1, 1)</f>
        <v>0</v>
      </c>
      <c r="C968" s="157">
        <f ca="1">IF(OFFSET('IWP06'!Std9dot1OutstandingChecks, 4, 1, 1, 1) = DATE(1900,1,0),DATE(1900,1,1),OFFSET('IWP06'!Std9dot1OutstandingChecks, 4, 1, 1, 1))</f>
        <v>1</v>
      </c>
      <c r="D968" s="185">
        <f ca="1">OFFSET('IWP06'!Std9dot1OutstandingChecks, 4, 2, 1, 1)</f>
        <v>0</v>
      </c>
    </row>
    <row r="969" spans="1:4">
      <c r="A969" s="206" t="s">
        <v>1309</v>
      </c>
      <c r="B969" s="13">
        <f ca="1">OFFSET('IWP06'!Std9dot1OutstandingChecks, 5, 0, 1, 1)</f>
        <v>0</v>
      </c>
      <c r="C969" s="157">
        <f ca="1">IF(OFFSET('IWP06'!Std9dot1OutstandingChecks, 5, 1, 1, 1) = DATE(1900,1,0),DATE(1900,1,1),OFFSET('IWP06'!Std9dot1OutstandingChecks, 5, 1, 1, 1))</f>
        <v>1</v>
      </c>
      <c r="D969" s="185">
        <f ca="1">OFFSET('IWP06'!Std9dot1OutstandingChecks, 5, 2, 1, 1)</f>
        <v>0</v>
      </c>
    </row>
    <row r="970" spans="1:4">
      <c r="A970" s="206" t="s">
        <v>1309</v>
      </c>
      <c r="B970" s="13">
        <f ca="1">OFFSET('IWP06'!Std9dot1OutstandingChecks, 6, 0, 1, 1)</f>
        <v>0</v>
      </c>
      <c r="C970" s="157">
        <f ca="1">IF(OFFSET('IWP06'!Std9dot1OutstandingChecks, 6, 1, 1, 1) = DATE(1900,1,0),DATE(1900,1,1),OFFSET('IWP06'!Std9dot1OutstandingChecks, 6, 1, 1, 1))</f>
        <v>1</v>
      </c>
      <c r="D970" s="185">
        <f ca="1">OFFSET('IWP06'!Std9dot1OutstandingChecks, 6, 2, 1, 1)</f>
        <v>0</v>
      </c>
    </row>
    <row r="971" spans="1:4">
      <c r="A971" s="206" t="s">
        <v>1309</v>
      </c>
      <c r="B971" s="13">
        <f ca="1">OFFSET('IWP06'!Std9dot1OutstandingChecks, 7, 0, 1, 1)</f>
        <v>0</v>
      </c>
      <c r="C971" s="157">
        <f ca="1">IF(OFFSET('IWP06'!Std9dot1OutstandingChecks, 7, 1, 1, 1) = DATE(1900,1,0),DATE(1900,1,1),OFFSET('IWP06'!Std9dot1OutstandingChecks, 7, 1, 1, 1))</f>
        <v>1</v>
      </c>
      <c r="D971" s="185">
        <f ca="1">OFFSET('IWP06'!Std9dot1OutstandingChecks, 7, 2, 1, 1)</f>
        <v>0</v>
      </c>
    </row>
    <row r="972" spans="1:4">
      <c r="A972" s="206" t="s">
        <v>1309</v>
      </c>
      <c r="B972" s="13">
        <f ca="1">OFFSET('IWP06'!Std9dot1OutstandingChecks, 8, 0, 1, 1)</f>
        <v>0</v>
      </c>
      <c r="C972" s="157">
        <f ca="1">IF(OFFSET('IWP06'!Std9dot1OutstandingChecks, 8, 1, 1, 1) = DATE(1900,1,0),DATE(1900,1,1),OFFSET('IWP06'!Std9dot1OutstandingChecks, 8, 1, 1, 1))</f>
        <v>1</v>
      </c>
      <c r="D972" s="185">
        <f ca="1">OFFSET('IWP06'!Std9dot1OutstandingChecks, 8, 2, 1, 1)</f>
        <v>0</v>
      </c>
    </row>
    <row r="973" spans="1:4">
      <c r="A973" s="206" t="s">
        <v>1309</v>
      </c>
      <c r="B973" s="13">
        <f ca="1">OFFSET('IWP06'!Std9dot1OutstandingChecks, 9, 0, 1, 1)</f>
        <v>0</v>
      </c>
      <c r="C973" s="157">
        <f ca="1">IF(OFFSET('IWP06'!Std9dot1OutstandingChecks, 9, 1, 1, 1) = DATE(1900,1,0),DATE(1900,1,1),OFFSET('IWP06'!Std9dot1OutstandingChecks, 9, 1, 1, 1))</f>
        <v>1</v>
      </c>
      <c r="D973" s="185">
        <f ca="1">OFFSET('IWP06'!Std9dot1OutstandingChecks, 9, 2, 1, 1)</f>
        <v>0</v>
      </c>
    </row>
    <row r="974" spans="1:4">
      <c r="A974" s="206" t="s">
        <v>1309</v>
      </c>
      <c r="B974" s="13">
        <f ca="1">OFFSET('IWP06'!Std9dot1OutstandingChecks, 0, 4, 1, 1)</f>
        <v>0</v>
      </c>
      <c r="C974" s="157">
        <f ca="1">IF(OFFSET('IWP06'!Std9dot1OutstandingChecks, 0, 5, 1, 1) = DATE(1900,1,0),DATE(1900,1,1),OFFSET('IWP06'!Std9dot1OutstandingChecks, 0, 5, 1, 1))</f>
        <v>1</v>
      </c>
      <c r="D974" s="185">
        <f ca="1">OFFSET('IWP06'!Std9dot1OutstandingChecks, 0, 6, 1, 1)</f>
        <v>0</v>
      </c>
    </row>
    <row r="975" spans="1:4">
      <c r="A975" s="206" t="s">
        <v>1309</v>
      </c>
      <c r="B975" s="13">
        <f ca="1">OFFSET('IWP06'!Std9dot1OutstandingChecks, 1, 4, 1, 1)</f>
        <v>0</v>
      </c>
      <c r="C975" s="157">
        <f ca="1">IF(OFFSET('IWP06'!Std9dot1OutstandingChecks, 1, 5, 1, 1) = DATE(1900,1,0),DATE(1900,1,1),OFFSET('IWP06'!Std9dot1OutstandingChecks, 1, 5, 1, 1))</f>
        <v>1</v>
      </c>
      <c r="D975" s="185">
        <f ca="1">OFFSET('IWP06'!Std9dot1OutstandingChecks, 1, 6, 1, 1)</f>
        <v>0</v>
      </c>
    </row>
    <row r="976" spans="1:4">
      <c r="A976" s="206" t="s">
        <v>1309</v>
      </c>
      <c r="B976" s="13">
        <f ca="1">OFFSET('IWP06'!Std9dot1OutstandingChecks, 2, 4, 1, 1)</f>
        <v>0</v>
      </c>
      <c r="C976" s="157">
        <f ca="1">IF(OFFSET('IWP06'!Std9dot1OutstandingChecks, 2, 5, 1, 1) = DATE(1900,1,0),DATE(1900,1,1),OFFSET('IWP06'!Std9dot1OutstandingChecks, 2, 5, 1, 1))</f>
        <v>1</v>
      </c>
      <c r="D976" s="185">
        <f ca="1">OFFSET('IWP06'!Std9dot1OutstandingChecks, 2, 6, 1, 1)</f>
        <v>0</v>
      </c>
    </row>
    <row r="977" spans="1:4">
      <c r="A977" s="206" t="s">
        <v>1309</v>
      </c>
      <c r="B977" s="13">
        <f ca="1">OFFSET('IWP06'!Std9dot1OutstandingChecks, 3, 4, 1, 1)</f>
        <v>0</v>
      </c>
      <c r="C977" s="157">
        <f ca="1">IF(OFFSET('IWP06'!Std9dot1OutstandingChecks, 3, 5, 1, 1) = DATE(1900,1,0),DATE(1900,1,1),OFFSET('IWP06'!Std9dot1OutstandingChecks, 3, 5, 1, 1))</f>
        <v>1</v>
      </c>
      <c r="D977" s="185">
        <f ca="1">OFFSET('IWP06'!Std9dot1OutstandingChecks, 3, 6, 1, 1)</f>
        <v>0</v>
      </c>
    </row>
    <row r="978" spans="1:4">
      <c r="A978" s="206" t="s">
        <v>1309</v>
      </c>
      <c r="B978" s="13">
        <f ca="1">OFFSET('IWP06'!Std9dot1OutstandingChecks, 4, 4, 1, 1)</f>
        <v>0</v>
      </c>
      <c r="C978" s="157">
        <f ca="1">IF(OFFSET('IWP06'!Std9dot1OutstandingChecks, 4, 5, 1, 1) = DATE(1900,1,0),DATE(1900,1,1),OFFSET('IWP06'!Std9dot1OutstandingChecks, 4, 5, 1, 1))</f>
        <v>1</v>
      </c>
      <c r="D978" s="185">
        <f ca="1">OFFSET('IWP06'!Std9dot1OutstandingChecks, 4, 6, 1, 1)</f>
        <v>0</v>
      </c>
    </row>
    <row r="979" spans="1:4">
      <c r="A979" s="206" t="s">
        <v>1309</v>
      </c>
      <c r="B979" s="13">
        <f ca="1">OFFSET('IWP06'!Std9dot1OutstandingChecks, 5, 4, 1, 1)</f>
        <v>0</v>
      </c>
      <c r="C979" s="157">
        <f ca="1">IF(OFFSET('IWP06'!Std9dot1OutstandingChecks, 5, 5, 1, 1) = DATE(1900,1,0),DATE(1900,1,1),OFFSET('IWP06'!Std9dot1OutstandingChecks, 5, 5, 1, 1))</f>
        <v>1</v>
      </c>
      <c r="D979" s="185">
        <f ca="1">OFFSET('IWP06'!Std9dot1OutstandingChecks, 5, 6, 1, 1)</f>
        <v>0</v>
      </c>
    </row>
    <row r="980" spans="1:4">
      <c r="A980" s="206" t="s">
        <v>1309</v>
      </c>
      <c r="B980" s="13">
        <f ca="1">OFFSET('IWP06'!Std9dot1OutstandingChecks, 6, 4, 1, 1)</f>
        <v>0</v>
      </c>
      <c r="C980" s="157">
        <f ca="1">IF(OFFSET('IWP06'!Std9dot1OutstandingChecks, 6, 5, 1, 1) = DATE(1900,1,0),DATE(1900,1,1),OFFSET('IWP06'!Std9dot1OutstandingChecks, 6, 5, 1, 1))</f>
        <v>1</v>
      </c>
      <c r="D980" s="185">
        <f ca="1">OFFSET('IWP06'!Std9dot1OutstandingChecks, 6, 6, 1, 1)</f>
        <v>0</v>
      </c>
    </row>
    <row r="981" spans="1:4">
      <c r="A981" s="206" t="s">
        <v>1309</v>
      </c>
      <c r="B981" s="13">
        <f ca="1">OFFSET('IWP06'!Std9dot1OutstandingChecks, 7, 4, 1, 1)</f>
        <v>0</v>
      </c>
      <c r="C981" s="157">
        <f ca="1">IF(OFFSET('IWP06'!Std9dot1OutstandingChecks, 7, 5, 1, 1) = DATE(1900,1,0),DATE(1900,1,1),OFFSET('IWP06'!Std9dot1OutstandingChecks, 7, 5, 1, 1))</f>
        <v>1</v>
      </c>
      <c r="D981" s="185">
        <f ca="1">OFFSET('IWP06'!Std9dot1OutstandingChecks, 7, 6, 1, 1)</f>
        <v>0</v>
      </c>
    </row>
    <row r="982" spans="1:4">
      <c r="A982" s="206" t="s">
        <v>1309</v>
      </c>
      <c r="B982" s="13">
        <f ca="1">OFFSET('IWP06'!Std9dot1OutstandingChecks, 8, 4, 1, 1)</f>
        <v>0</v>
      </c>
      <c r="C982" s="157">
        <f ca="1">IF(OFFSET('IWP06'!Std9dot1OutstandingChecks, 8, 5, 1, 1) = DATE(1900,1,0),DATE(1900,1,1),OFFSET('IWP06'!Std9dot1OutstandingChecks, 8, 5, 1, 1))</f>
        <v>1</v>
      </c>
      <c r="D982" s="185">
        <f ca="1">OFFSET('IWP06'!Std9dot1OutstandingChecks, 8, 6, 1, 1)</f>
        <v>0</v>
      </c>
    </row>
    <row r="983" spans="1:4">
      <c r="A983" s="206" t="s">
        <v>1309</v>
      </c>
      <c r="B983" s="13">
        <f ca="1">OFFSET('IWP06'!Std9dot1OutstandingChecks, 9, 4, 1, 1)</f>
        <v>0</v>
      </c>
      <c r="C983" s="157">
        <f ca="1">IF(OFFSET('IWP06'!Std9dot1OutstandingChecks, 9, 5, 1, 1) = DATE(1900,1,0),DATE(1900,1,1),OFFSET('IWP06'!Std9dot1OutstandingChecks, 9, 5, 1, 1))</f>
        <v>1</v>
      </c>
      <c r="D983" s="185">
        <f ca="1">OFFSET('IWP06'!Std9dot1OutstandingChecks, 9, 6, 1, 1)</f>
        <v>0</v>
      </c>
    </row>
    <row r="984" spans="1:4">
      <c r="A984" s="206" t="s">
        <v>1310</v>
      </c>
      <c r="B984" s="13">
        <f ca="1">OFFSET('IWP07'!Std9dot1OutstandingChecks, 0, 0, 1, 1)</f>
        <v>0</v>
      </c>
      <c r="C984" s="157">
        <f ca="1">IF(OFFSET('IWP07'!Std9dot1OutstandingChecks, 0, 1, 1, 1) = DATE(1900,1,0),DATE(1900,1,1),OFFSET('IWP07'!Std9dot1OutstandingChecks, 0, 1, 1, 1))</f>
        <v>1</v>
      </c>
      <c r="D984" s="185">
        <f ca="1">OFFSET('IWP07'!Std9dot1OutstandingChecks, 0, 2, 1, 1)</f>
        <v>0</v>
      </c>
    </row>
    <row r="985" spans="1:4">
      <c r="A985" s="206" t="s">
        <v>1310</v>
      </c>
      <c r="B985" s="13">
        <f ca="1">OFFSET('IWP07'!Std9dot1OutstandingChecks, 1, 0, 1, 1)</f>
        <v>0</v>
      </c>
      <c r="C985" s="157">
        <f ca="1">IF(OFFSET('IWP07'!Std9dot1OutstandingChecks, 1, 1, 1, 1) = DATE(1900,1,0),DATE(1900,1,1),OFFSET('IWP07'!Std9dot1OutstandingChecks, 1, 1, 1, 1))</f>
        <v>1</v>
      </c>
      <c r="D985" s="185">
        <f ca="1">OFFSET('IWP07'!Std9dot1OutstandingChecks, 1, 2, 1, 1)</f>
        <v>0</v>
      </c>
    </row>
    <row r="986" spans="1:4">
      <c r="A986" s="206" t="s">
        <v>1310</v>
      </c>
      <c r="B986" s="13">
        <f ca="1">OFFSET('IWP07'!Std9dot1OutstandingChecks, 2, 0, 1, 1)</f>
        <v>0</v>
      </c>
      <c r="C986" s="157">
        <f ca="1">IF(OFFSET('IWP07'!Std9dot1OutstandingChecks, 2, 1, 1, 1) = DATE(1900,1,0),DATE(1900,1,1),OFFSET('IWP07'!Std9dot1OutstandingChecks, 2, 1, 1, 1))</f>
        <v>1</v>
      </c>
      <c r="D986" s="185">
        <f ca="1">OFFSET('IWP07'!Std9dot1OutstandingChecks, 2, 2, 1, 1)</f>
        <v>0</v>
      </c>
    </row>
    <row r="987" spans="1:4">
      <c r="A987" s="206" t="s">
        <v>1310</v>
      </c>
      <c r="B987" s="13">
        <f ca="1">OFFSET('IWP07'!Std9dot1OutstandingChecks, 3, 0, 1, 1)</f>
        <v>0</v>
      </c>
      <c r="C987" s="157">
        <f ca="1">IF(OFFSET('IWP07'!Std9dot1OutstandingChecks, 3, 1, 1, 1) = DATE(1900,1,0),DATE(1900,1,1),OFFSET('IWP07'!Std9dot1OutstandingChecks, 3, 1, 1, 1))</f>
        <v>1</v>
      </c>
      <c r="D987" s="185">
        <f ca="1">OFFSET('IWP07'!Std9dot1OutstandingChecks, 3, 2, 1, 1)</f>
        <v>0</v>
      </c>
    </row>
    <row r="988" spans="1:4">
      <c r="A988" s="206" t="s">
        <v>1310</v>
      </c>
      <c r="B988" s="13">
        <f ca="1">OFFSET('IWP07'!Std9dot1OutstandingChecks, 4, 0, 1, 1)</f>
        <v>0</v>
      </c>
      <c r="C988" s="157">
        <f ca="1">IF(OFFSET('IWP07'!Std9dot1OutstandingChecks, 4, 1, 1, 1) = DATE(1900,1,0),DATE(1900,1,1),OFFSET('IWP07'!Std9dot1OutstandingChecks, 4, 1, 1, 1))</f>
        <v>1</v>
      </c>
      <c r="D988" s="185">
        <f ca="1">OFFSET('IWP07'!Std9dot1OutstandingChecks, 4, 2, 1, 1)</f>
        <v>0</v>
      </c>
    </row>
    <row r="989" spans="1:4">
      <c r="A989" s="206" t="s">
        <v>1310</v>
      </c>
      <c r="B989" s="13">
        <f ca="1">OFFSET('IWP07'!Std9dot1OutstandingChecks, 5, 0, 1, 1)</f>
        <v>0</v>
      </c>
      <c r="C989" s="157">
        <f ca="1">IF(OFFSET('IWP07'!Std9dot1OutstandingChecks, 5, 1, 1, 1) = DATE(1900,1,0),DATE(1900,1,1),OFFSET('IWP07'!Std9dot1OutstandingChecks, 5, 1, 1, 1))</f>
        <v>1</v>
      </c>
      <c r="D989" s="185">
        <f ca="1">OFFSET('IWP07'!Std9dot1OutstandingChecks, 5, 2, 1, 1)</f>
        <v>0</v>
      </c>
    </row>
    <row r="990" spans="1:4">
      <c r="A990" s="206" t="s">
        <v>1310</v>
      </c>
      <c r="B990" s="13">
        <f ca="1">OFFSET('IWP07'!Std9dot1OutstandingChecks, 6, 0, 1, 1)</f>
        <v>0</v>
      </c>
      <c r="C990" s="157">
        <f ca="1">IF(OFFSET('IWP07'!Std9dot1OutstandingChecks, 6, 1, 1, 1) = DATE(1900,1,0),DATE(1900,1,1),OFFSET('IWP07'!Std9dot1OutstandingChecks, 6, 1, 1, 1))</f>
        <v>1</v>
      </c>
      <c r="D990" s="185">
        <f ca="1">OFFSET('IWP07'!Std9dot1OutstandingChecks, 6, 2, 1, 1)</f>
        <v>0</v>
      </c>
    </row>
    <row r="991" spans="1:4">
      <c r="A991" s="206" t="s">
        <v>1310</v>
      </c>
      <c r="B991" s="13">
        <f ca="1">OFFSET('IWP07'!Std9dot1OutstandingChecks, 7, 0, 1, 1)</f>
        <v>0</v>
      </c>
      <c r="C991" s="157">
        <f ca="1">IF(OFFSET('IWP07'!Std9dot1OutstandingChecks, 7, 1, 1, 1) = DATE(1900,1,0),DATE(1900,1,1),OFFSET('IWP07'!Std9dot1OutstandingChecks, 7, 1, 1, 1))</f>
        <v>1</v>
      </c>
      <c r="D991" s="185">
        <f ca="1">OFFSET('IWP07'!Std9dot1OutstandingChecks, 7, 2, 1, 1)</f>
        <v>0</v>
      </c>
    </row>
    <row r="992" spans="1:4">
      <c r="A992" s="206" t="s">
        <v>1310</v>
      </c>
      <c r="B992" s="13">
        <f ca="1">OFFSET('IWP07'!Std9dot1OutstandingChecks, 8, 0, 1, 1)</f>
        <v>0</v>
      </c>
      <c r="C992" s="157">
        <f ca="1">IF(OFFSET('IWP07'!Std9dot1OutstandingChecks, 8, 1, 1, 1) = DATE(1900,1,0),DATE(1900,1,1),OFFSET('IWP07'!Std9dot1OutstandingChecks, 8, 1, 1, 1))</f>
        <v>1</v>
      </c>
      <c r="D992" s="185">
        <f ca="1">OFFSET('IWP07'!Std9dot1OutstandingChecks, 8, 2, 1, 1)</f>
        <v>0</v>
      </c>
    </row>
    <row r="993" spans="1:4">
      <c r="A993" s="206" t="s">
        <v>1310</v>
      </c>
      <c r="B993" s="13">
        <f ca="1">OFFSET('IWP07'!Std9dot1OutstandingChecks, 9, 0, 1, 1)</f>
        <v>0</v>
      </c>
      <c r="C993" s="157">
        <f ca="1">IF(OFFSET('IWP07'!Std9dot1OutstandingChecks, 9, 1, 1, 1) = DATE(1900,1,0),DATE(1900,1,1),OFFSET('IWP07'!Std9dot1OutstandingChecks, 9, 1, 1, 1))</f>
        <v>1</v>
      </c>
      <c r="D993" s="185">
        <f ca="1">OFFSET('IWP07'!Std9dot1OutstandingChecks, 9, 2, 1, 1)</f>
        <v>0</v>
      </c>
    </row>
    <row r="994" spans="1:4">
      <c r="A994" s="206" t="s">
        <v>1310</v>
      </c>
      <c r="B994" s="13">
        <f ca="1">OFFSET('IWP07'!Std9dot1OutstandingChecks, 0, 4, 1, 1)</f>
        <v>0</v>
      </c>
      <c r="C994" s="157">
        <f ca="1">IF(OFFSET('IWP07'!Std9dot1OutstandingChecks, 0, 5, 1, 1) = DATE(1900,1,0),DATE(1900,1,1),OFFSET('IWP07'!Std9dot1OutstandingChecks, 0, 5, 1, 1))</f>
        <v>1</v>
      </c>
      <c r="D994" s="185">
        <f ca="1">OFFSET('IWP07'!Std9dot1OutstandingChecks, 0, 6, 1, 1)</f>
        <v>0</v>
      </c>
    </row>
    <row r="995" spans="1:4">
      <c r="A995" s="206" t="s">
        <v>1310</v>
      </c>
      <c r="B995" s="13">
        <f ca="1">OFFSET('IWP07'!Std9dot1OutstandingChecks, 1, 4, 1, 1)</f>
        <v>0</v>
      </c>
      <c r="C995" s="157">
        <f ca="1">IF(OFFSET('IWP07'!Std9dot1OutstandingChecks, 1, 5, 1, 1) = DATE(1900,1,0),DATE(1900,1,1),OFFSET('IWP07'!Std9dot1OutstandingChecks, 1, 5, 1, 1))</f>
        <v>1</v>
      </c>
      <c r="D995" s="185">
        <f ca="1">OFFSET('IWP07'!Std9dot1OutstandingChecks, 1, 6, 1, 1)</f>
        <v>0</v>
      </c>
    </row>
    <row r="996" spans="1:4">
      <c r="A996" s="206" t="s">
        <v>1310</v>
      </c>
      <c r="B996" s="13">
        <f ca="1">OFFSET('IWP07'!Std9dot1OutstandingChecks, 2, 4, 1, 1)</f>
        <v>0</v>
      </c>
      <c r="C996" s="157">
        <f ca="1">IF(OFFSET('IWP07'!Std9dot1OutstandingChecks, 2, 5, 1, 1) = DATE(1900,1,0),DATE(1900,1,1),OFFSET('IWP07'!Std9dot1OutstandingChecks, 2, 5, 1, 1))</f>
        <v>1</v>
      </c>
      <c r="D996" s="185">
        <f ca="1">OFFSET('IWP07'!Std9dot1OutstandingChecks, 2, 6, 1, 1)</f>
        <v>0</v>
      </c>
    </row>
    <row r="997" spans="1:4">
      <c r="A997" s="206" t="s">
        <v>1310</v>
      </c>
      <c r="B997" s="13">
        <f ca="1">OFFSET('IWP07'!Std9dot1OutstandingChecks, 3, 4, 1, 1)</f>
        <v>0</v>
      </c>
      <c r="C997" s="157">
        <f ca="1">IF(OFFSET('IWP07'!Std9dot1OutstandingChecks, 3, 5, 1, 1) = DATE(1900,1,0),DATE(1900,1,1),OFFSET('IWP07'!Std9dot1OutstandingChecks, 3, 5, 1, 1))</f>
        <v>1</v>
      </c>
      <c r="D997" s="185">
        <f ca="1">OFFSET('IWP07'!Std9dot1OutstandingChecks, 3, 6, 1, 1)</f>
        <v>0</v>
      </c>
    </row>
    <row r="998" spans="1:4">
      <c r="A998" s="206" t="s">
        <v>1310</v>
      </c>
      <c r="B998" s="13">
        <f ca="1">OFFSET('IWP07'!Std9dot1OutstandingChecks, 4, 4, 1, 1)</f>
        <v>0</v>
      </c>
      <c r="C998" s="157">
        <f ca="1">IF(OFFSET('IWP07'!Std9dot1OutstandingChecks, 4, 5, 1, 1) = DATE(1900,1,0),DATE(1900,1,1),OFFSET('IWP07'!Std9dot1OutstandingChecks, 4, 5, 1, 1))</f>
        <v>1</v>
      </c>
      <c r="D998" s="185">
        <f ca="1">OFFSET('IWP07'!Std9dot1OutstandingChecks, 4, 6, 1, 1)</f>
        <v>0</v>
      </c>
    </row>
    <row r="999" spans="1:4">
      <c r="A999" s="206" t="s">
        <v>1310</v>
      </c>
      <c r="B999" s="13">
        <f ca="1">OFFSET('IWP07'!Std9dot1OutstandingChecks, 5, 4, 1, 1)</f>
        <v>0</v>
      </c>
      <c r="C999" s="157">
        <f ca="1">IF(OFFSET('IWP07'!Std9dot1OutstandingChecks, 5, 5, 1, 1) = DATE(1900,1,0),DATE(1900,1,1),OFFSET('IWP07'!Std9dot1OutstandingChecks, 5, 5, 1, 1))</f>
        <v>1</v>
      </c>
      <c r="D999" s="185">
        <f ca="1">OFFSET('IWP07'!Std9dot1OutstandingChecks, 5, 6, 1, 1)</f>
        <v>0</v>
      </c>
    </row>
    <row r="1000" spans="1:4">
      <c r="A1000" s="206" t="s">
        <v>1310</v>
      </c>
      <c r="B1000" s="13">
        <f ca="1">OFFSET('IWP07'!Std9dot1OutstandingChecks, 6, 4, 1, 1)</f>
        <v>0</v>
      </c>
      <c r="C1000" s="157">
        <f ca="1">IF(OFFSET('IWP07'!Std9dot1OutstandingChecks, 6, 5, 1, 1) = DATE(1900,1,0),DATE(1900,1,1),OFFSET('IWP07'!Std9dot1OutstandingChecks, 6, 5, 1, 1))</f>
        <v>1</v>
      </c>
      <c r="D1000" s="185">
        <f ca="1">OFFSET('IWP07'!Std9dot1OutstandingChecks, 6, 6, 1, 1)</f>
        <v>0</v>
      </c>
    </row>
    <row r="1001" spans="1:4">
      <c r="A1001" s="206" t="s">
        <v>1310</v>
      </c>
      <c r="B1001" s="13">
        <f ca="1">OFFSET('IWP07'!Std9dot1OutstandingChecks, 7, 4, 1, 1)</f>
        <v>0</v>
      </c>
      <c r="C1001" s="157">
        <f ca="1">IF(OFFSET('IWP07'!Std9dot1OutstandingChecks, 7, 5, 1, 1) = DATE(1900,1,0),DATE(1900,1,1),OFFSET('IWP07'!Std9dot1OutstandingChecks, 7, 5, 1, 1))</f>
        <v>1</v>
      </c>
      <c r="D1001" s="185">
        <f ca="1">OFFSET('IWP07'!Std9dot1OutstandingChecks, 7, 6, 1, 1)</f>
        <v>0</v>
      </c>
    </row>
    <row r="1002" spans="1:4">
      <c r="A1002" s="206" t="s">
        <v>1310</v>
      </c>
      <c r="B1002" s="13">
        <f ca="1">OFFSET('IWP07'!Std9dot1OutstandingChecks, 8, 4, 1, 1)</f>
        <v>0</v>
      </c>
      <c r="C1002" s="157">
        <f ca="1">IF(OFFSET('IWP07'!Std9dot1OutstandingChecks, 8, 5, 1, 1) = DATE(1900,1,0),DATE(1900,1,1),OFFSET('IWP07'!Std9dot1OutstandingChecks, 8, 5, 1, 1))</f>
        <v>1</v>
      </c>
      <c r="D1002" s="185">
        <f ca="1">OFFSET('IWP07'!Std9dot1OutstandingChecks, 8, 6, 1, 1)</f>
        <v>0</v>
      </c>
    </row>
    <row r="1003" spans="1:4">
      <c r="A1003" s="206" t="s">
        <v>1310</v>
      </c>
      <c r="B1003" s="13">
        <f ca="1">OFFSET('IWP07'!Std9dot1OutstandingChecks, 9, 4, 1, 1)</f>
        <v>0</v>
      </c>
      <c r="C1003" s="157">
        <f ca="1">IF(OFFSET('IWP07'!Std9dot1OutstandingChecks, 9, 5, 1, 1) = DATE(1900,1,0),DATE(1900,1,1),OFFSET('IWP07'!Std9dot1OutstandingChecks, 9, 5, 1, 1))</f>
        <v>1</v>
      </c>
      <c r="D1003" s="185">
        <f ca="1">OFFSET('IWP07'!Std9dot1OutstandingChecks, 9, 6, 1, 1)</f>
        <v>0</v>
      </c>
    </row>
    <row r="1004" spans="1:4">
      <c r="A1004" s="206" t="s">
        <v>1311</v>
      </c>
      <c r="B1004" s="13">
        <f ca="1">OFFSET('IWP08'!Std9dot1OutstandingChecks, 0, 0, 1, 1)</f>
        <v>0</v>
      </c>
      <c r="C1004" s="157">
        <f ca="1">IF(OFFSET('IWP08'!Std9dot1OutstandingChecks, 0, 1, 1, 1) = DATE(1900,1,0),DATE(1900,1,1),OFFSET('IWP08'!Std9dot1OutstandingChecks, 0, 1, 1, 1))</f>
        <v>1</v>
      </c>
      <c r="D1004" s="185">
        <f ca="1">OFFSET('IWP08'!Std9dot1OutstandingChecks, 0, 2, 1, 1)</f>
        <v>0</v>
      </c>
    </row>
    <row r="1005" spans="1:4">
      <c r="A1005" s="206" t="s">
        <v>1311</v>
      </c>
      <c r="B1005" s="13">
        <f ca="1">OFFSET('IWP08'!Std9dot1OutstandingChecks, 1, 0, 1, 1)</f>
        <v>0</v>
      </c>
      <c r="C1005" s="157">
        <f ca="1">IF(OFFSET('IWP08'!Std9dot1OutstandingChecks, 1, 1, 1, 1) = DATE(1900,1,0),DATE(1900,1,1),OFFSET('IWP08'!Std9dot1OutstandingChecks, 1, 1, 1, 1))</f>
        <v>1</v>
      </c>
      <c r="D1005" s="185">
        <f ca="1">OFFSET('IWP08'!Std9dot1OutstandingChecks, 1, 2, 1, 1)</f>
        <v>0</v>
      </c>
    </row>
    <row r="1006" spans="1:4">
      <c r="A1006" s="206" t="s">
        <v>1311</v>
      </c>
      <c r="B1006" s="13">
        <f ca="1">OFFSET('IWP08'!Std9dot1OutstandingChecks, 2, 0, 1, 1)</f>
        <v>0</v>
      </c>
      <c r="C1006" s="157">
        <f ca="1">IF(OFFSET('IWP08'!Std9dot1OutstandingChecks, 2, 1, 1, 1) = DATE(1900,1,0),DATE(1900,1,1),OFFSET('IWP08'!Std9dot1OutstandingChecks, 2, 1, 1, 1))</f>
        <v>1</v>
      </c>
      <c r="D1006" s="185">
        <f ca="1">OFFSET('IWP08'!Std9dot1OutstandingChecks, 2, 2, 1, 1)</f>
        <v>0</v>
      </c>
    </row>
    <row r="1007" spans="1:4">
      <c r="A1007" s="206" t="s">
        <v>1311</v>
      </c>
      <c r="B1007" s="13">
        <f ca="1">OFFSET('IWP08'!Std9dot1OutstandingChecks, 3, 0, 1, 1)</f>
        <v>0</v>
      </c>
      <c r="C1007" s="157">
        <f ca="1">IF(OFFSET('IWP08'!Std9dot1OutstandingChecks, 3, 1, 1, 1) = DATE(1900,1,0),DATE(1900,1,1),OFFSET('IWP08'!Std9dot1OutstandingChecks, 3, 1, 1, 1))</f>
        <v>1</v>
      </c>
      <c r="D1007" s="185">
        <f ca="1">OFFSET('IWP08'!Std9dot1OutstandingChecks, 3, 2, 1, 1)</f>
        <v>0</v>
      </c>
    </row>
    <row r="1008" spans="1:4">
      <c r="A1008" s="206" t="s">
        <v>1311</v>
      </c>
      <c r="B1008" s="13">
        <f ca="1">OFFSET('IWP08'!Std9dot1OutstandingChecks, 4, 0, 1, 1)</f>
        <v>0</v>
      </c>
      <c r="C1008" s="157">
        <f ca="1">IF(OFFSET('IWP08'!Std9dot1OutstandingChecks, 4, 1, 1, 1) = DATE(1900,1,0),DATE(1900,1,1),OFFSET('IWP08'!Std9dot1OutstandingChecks, 4, 1, 1, 1))</f>
        <v>1</v>
      </c>
      <c r="D1008" s="185">
        <f ca="1">OFFSET('IWP08'!Std9dot1OutstandingChecks, 4, 2, 1, 1)</f>
        <v>0</v>
      </c>
    </row>
    <row r="1009" spans="1:4">
      <c r="A1009" s="206" t="s">
        <v>1311</v>
      </c>
      <c r="B1009" s="13">
        <f ca="1">OFFSET('IWP08'!Std9dot1OutstandingChecks, 5, 0, 1, 1)</f>
        <v>0</v>
      </c>
      <c r="C1009" s="157">
        <f ca="1">IF(OFFSET('IWP08'!Std9dot1OutstandingChecks, 5, 1, 1, 1) = DATE(1900,1,0),DATE(1900,1,1),OFFSET('IWP08'!Std9dot1OutstandingChecks, 5, 1, 1, 1))</f>
        <v>1</v>
      </c>
      <c r="D1009" s="185">
        <f ca="1">OFFSET('IWP08'!Std9dot1OutstandingChecks, 5, 2, 1, 1)</f>
        <v>0</v>
      </c>
    </row>
    <row r="1010" spans="1:4">
      <c r="A1010" s="206" t="s">
        <v>1311</v>
      </c>
      <c r="B1010" s="13">
        <f ca="1">OFFSET('IWP08'!Std9dot1OutstandingChecks, 6, 0, 1, 1)</f>
        <v>0</v>
      </c>
      <c r="C1010" s="157">
        <f ca="1">IF(OFFSET('IWP08'!Std9dot1OutstandingChecks, 6, 1, 1, 1) = DATE(1900,1,0),DATE(1900,1,1),OFFSET('IWP08'!Std9dot1OutstandingChecks, 6, 1, 1, 1))</f>
        <v>1</v>
      </c>
      <c r="D1010" s="185">
        <f ca="1">OFFSET('IWP08'!Std9dot1OutstandingChecks, 6, 2, 1, 1)</f>
        <v>0</v>
      </c>
    </row>
    <row r="1011" spans="1:4">
      <c r="A1011" s="206" t="s">
        <v>1311</v>
      </c>
      <c r="B1011" s="13">
        <f ca="1">OFFSET('IWP08'!Std9dot1OutstandingChecks, 7, 0, 1, 1)</f>
        <v>0</v>
      </c>
      <c r="C1011" s="157">
        <f ca="1">IF(OFFSET('IWP08'!Std9dot1OutstandingChecks, 7, 1, 1, 1) = DATE(1900,1,0),DATE(1900,1,1),OFFSET('IWP08'!Std9dot1OutstandingChecks, 7, 1, 1, 1))</f>
        <v>1</v>
      </c>
      <c r="D1011" s="185">
        <f ca="1">OFFSET('IWP08'!Std9dot1OutstandingChecks, 7, 2, 1, 1)</f>
        <v>0</v>
      </c>
    </row>
    <row r="1012" spans="1:4">
      <c r="A1012" s="206" t="s">
        <v>1311</v>
      </c>
      <c r="B1012" s="13">
        <f ca="1">OFFSET('IWP08'!Std9dot1OutstandingChecks, 8, 0, 1, 1)</f>
        <v>0</v>
      </c>
      <c r="C1012" s="157">
        <f ca="1">IF(OFFSET('IWP08'!Std9dot1OutstandingChecks, 8, 1, 1, 1) = DATE(1900,1,0),DATE(1900,1,1),OFFSET('IWP08'!Std9dot1OutstandingChecks, 8, 1, 1, 1))</f>
        <v>1</v>
      </c>
      <c r="D1012" s="185">
        <f ca="1">OFFSET('IWP08'!Std9dot1OutstandingChecks, 8, 2, 1, 1)</f>
        <v>0</v>
      </c>
    </row>
    <row r="1013" spans="1:4">
      <c r="A1013" s="206" t="s">
        <v>1311</v>
      </c>
      <c r="B1013" s="13">
        <f ca="1">OFFSET('IWP08'!Std9dot1OutstandingChecks, 9, 0, 1, 1)</f>
        <v>0</v>
      </c>
      <c r="C1013" s="157">
        <f ca="1">IF(OFFSET('IWP08'!Std9dot1OutstandingChecks, 9, 1, 1, 1) = DATE(1900,1,0),DATE(1900,1,1),OFFSET('IWP08'!Std9dot1OutstandingChecks, 9, 1, 1, 1))</f>
        <v>1</v>
      </c>
      <c r="D1013" s="185">
        <f ca="1">OFFSET('IWP08'!Std9dot1OutstandingChecks, 9, 2, 1, 1)</f>
        <v>0</v>
      </c>
    </row>
    <row r="1014" spans="1:4">
      <c r="A1014" s="206" t="s">
        <v>1311</v>
      </c>
      <c r="B1014" s="13">
        <f ca="1">OFFSET('IWP08'!Std9dot1OutstandingChecks, 0, 4, 1, 1)</f>
        <v>0</v>
      </c>
      <c r="C1014" s="157">
        <f ca="1">IF(OFFSET('IWP08'!Std9dot1OutstandingChecks, 0, 5, 1, 1) = DATE(1900,1,0),DATE(1900,1,1),OFFSET('IWP08'!Std9dot1OutstandingChecks, 0, 5, 1, 1))</f>
        <v>1</v>
      </c>
      <c r="D1014" s="185">
        <f ca="1">OFFSET('IWP08'!Std9dot1OutstandingChecks, 0, 6, 1, 1)</f>
        <v>0</v>
      </c>
    </row>
    <row r="1015" spans="1:4">
      <c r="A1015" s="206" t="s">
        <v>1311</v>
      </c>
      <c r="B1015" s="13">
        <f ca="1">OFFSET('IWP08'!Std9dot1OutstandingChecks, 1, 4, 1, 1)</f>
        <v>0</v>
      </c>
      <c r="C1015" s="157">
        <f ca="1">IF(OFFSET('IWP08'!Std9dot1OutstandingChecks, 1, 5, 1, 1) = DATE(1900,1,0),DATE(1900,1,1),OFFSET('IWP08'!Std9dot1OutstandingChecks, 1, 5, 1, 1))</f>
        <v>1</v>
      </c>
      <c r="D1015" s="185">
        <f ca="1">OFFSET('IWP08'!Std9dot1OutstandingChecks, 1, 6, 1, 1)</f>
        <v>0</v>
      </c>
    </row>
    <row r="1016" spans="1:4">
      <c r="A1016" s="206" t="s">
        <v>1311</v>
      </c>
      <c r="B1016" s="13">
        <f ca="1">OFFSET('IWP08'!Std9dot1OutstandingChecks, 2, 4, 1, 1)</f>
        <v>0</v>
      </c>
      <c r="C1016" s="157">
        <f ca="1">IF(OFFSET('IWP08'!Std9dot1OutstandingChecks, 2, 5, 1, 1) = DATE(1900,1,0),DATE(1900,1,1),OFFSET('IWP08'!Std9dot1OutstandingChecks, 2, 5, 1, 1))</f>
        <v>1</v>
      </c>
      <c r="D1016" s="185">
        <f ca="1">OFFSET('IWP08'!Std9dot1OutstandingChecks, 2, 6, 1, 1)</f>
        <v>0</v>
      </c>
    </row>
    <row r="1017" spans="1:4">
      <c r="A1017" s="206" t="s">
        <v>1311</v>
      </c>
      <c r="B1017" s="13">
        <f ca="1">OFFSET('IWP08'!Std9dot1OutstandingChecks, 3, 4, 1, 1)</f>
        <v>0</v>
      </c>
      <c r="C1017" s="157">
        <f ca="1">IF(OFFSET('IWP08'!Std9dot1OutstandingChecks, 3, 5, 1, 1) = DATE(1900,1,0),DATE(1900,1,1),OFFSET('IWP08'!Std9dot1OutstandingChecks, 3, 5, 1, 1))</f>
        <v>1</v>
      </c>
      <c r="D1017" s="185">
        <f ca="1">OFFSET('IWP08'!Std9dot1OutstandingChecks, 3, 6, 1, 1)</f>
        <v>0</v>
      </c>
    </row>
    <row r="1018" spans="1:4">
      <c r="A1018" s="206" t="s">
        <v>1311</v>
      </c>
      <c r="B1018" s="13">
        <f ca="1">OFFSET('IWP08'!Std9dot1OutstandingChecks, 4, 4, 1, 1)</f>
        <v>0</v>
      </c>
      <c r="C1018" s="157">
        <f ca="1">IF(OFFSET('IWP08'!Std9dot1OutstandingChecks, 4, 5, 1, 1) = DATE(1900,1,0),DATE(1900,1,1),OFFSET('IWP08'!Std9dot1OutstandingChecks, 4, 5, 1, 1))</f>
        <v>1</v>
      </c>
      <c r="D1018" s="185">
        <f ca="1">OFFSET('IWP08'!Std9dot1OutstandingChecks, 4, 6, 1, 1)</f>
        <v>0</v>
      </c>
    </row>
    <row r="1019" spans="1:4">
      <c r="A1019" s="206" t="s">
        <v>1311</v>
      </c>
      <c r="B1019" s="13">
        <f ca="1">OFFSET('IWP08'!Std9dot1OutstandingChecks, 5, 4, 1, 1)</f>
        <v>0</v>
      </c>
      <c r="C1019" s="157">
        <f ca="1">IF(OFFSET('IWP08'!Std9dot1OutstandingChecks, 5, 5, 1, 1) = DATE(1900,1,0),DATE(1900,1,1),OFFSET('IWP08'!Std9dot1OutstandingChecks, 5, 5, 1, 1))</f>
        <v>1</v>
      </c>
      <c r="D1019" s="185">
        <f ca="1">OFFSET('IWP08'!Std9dot1OutstandingChecks, 5, 6, 1, 1)</f>
        <v>0</v>
      </c>
    </row>
    <row r="1020" spans="1:4">
      <c r="A1020" s="206" t="s">
        <v>1311</v>
      </c>
      <c r="B1020" s="13">
        <f ca="1">OFFSET('IWP08'!Std9dot1OutstandingChecks, 6, 4, 1, 1)</f>
        <v>0</v>
      </c>
      <c r="C1020" s="157">
        <f ca="1">IF(OFFSET('IWP08'!Std9dot1OutstandingChecks, 6, 5, 1, 1) = DATE(1900,1,0),DATE(1900,1,1),OFFSET('IWP08'!Std9dot1OutstandingChecks, 6, 5, 1, 1))</f>
        <v>1</v>
      </c>
      <c r="D1020" s="185">
        <f ca="1">OFFSET('IWP08'!Std9dot1OutstandingChecks, 6, 6, 1, 1)</f>
        <v>0</v>
      </c>
    </row>
    <row r="1021" spans="1:4">
      <c r="A1021" s="206" t="s">
        <v>1311</v>
      </c>
      <c r="B1021" s="13">
        <f ca="1">OFFSET('IWP08'!Std9dot1OutstandingChecks, 7, 4, 1, 1)</f>
        <v>0</v>
      </c>
      <c r="C1021" s="157">
        <f ca="1">IF(OFFSET('IWP08'!Std9dot1OutstandingChecks, 7, 5, 1, 1) = DATE(1900,1,0),DATE(1900,1,1),OFFSET('IWP08'!Std9dot1OutstandingChecks, 7, 5, 1, 1))</f>
        <v>1</v>
      </c>
      <c r="D1021" s="185">
        <f ca="1">OFFSET('IWP08'!Std9dot1OutstandingChecks, 7, 6, 1, 1)</f>
        <v>0</v>
      </c>
    </row>
    <row r="1022" spans="1:4">
      <c r="A1022" s="206" t="s">
        <v>1311</v>
      </c>
      <c r="B1022" s="13">
        <f ca="1">OFFSET('IWP08'!Std9dot1OutstandingChecks, 8, 4, 1, 1)</f>
        <v>0</v>
      </c>
      <c r="C1022" s="157">
        <f ca="1">IF(OFFSET('IWP08'!Std9dot1OutstandingChecks, 8, 5, 1, 1) = DATE(1900,1,0),DATE(1900,1,1),OFFSET('IWP08'!Std9dot1OutstandingChecks, 8, 5, 1, 1))</f>
        <v>1</v>
      </c>
      <c r="D1022" s="185">
        <f ca="1">OFFSET('IWP08'!Std9dot1OutstandingChecks, 8, 6, 1, 1)</f>
        <v>0</v>
      </c>
    </row>
    <row r="1023" spans="1:4">
      <c r="A1023" s="206" t="s">
        <v>1311</v>
      </c>
      <c r="B1023" s="13">
        <f ca="1">OFFSET('IWP08'!Std9dot1OutstandingChecks, 9, 4, 1, 1)</f>
        <v>0</v>
      </c>
      <c r="C1023" s="157">
        <f ca="1">IF(OFFSET('IWP08'!Std9dot1OutstandingChecks, 9, 5, 1, 1) = DATE(1900,1,0),DATE(1900,1,1),OFFSET('IWP08'!Std9dot1OutstandingChecks, 9, 5, 1, 1))</f>
        <v>1</v>
      </c>
      <c r="D1023" s="185">
        <f ca="1">OFFSET('IWP08'!Std9dot1OutstandingChecks, 9, 6, 1, 1)</f>
        <v>0</v>
      </c>
    </row>
    <row r="1024" spans="1:4">
      <c r="A1024" s="206" t="s">
        <v>1312</v>
      </c>
      <c r="B1024" s="13">
        <f ca="1">OFFSET('IWP09'!Std9dot1OutstandingChecks, 0, 0, 1, 1)</f>
        <v>0</v>
      </c>
      <c r="C1024" s="157">
        <f ca="1">IF(OFFSET('IWP09'!Std9dot1OutstandingChecks, 0, 1, 1, 1) = DATE(1900,1,0),DATE(1900,1,1),OFFSET('IWP09'!Std9dot1OutstandingChecks, 0, 1, 1, 1))</f>
        <v>1</v>
      </c>
      <c r="D1024" s="185">
        <f ca="1">OFFSET('IWP09'!Std9dot1OutstandingChecks, 0, 2, 1, 1)</f>
        <v>0</v>
      </c>
    </row>
    <row r="1025" spans="1:4">
      <c r="A1025" s="206" t="s">
        <v>1312</v>
      </c>
      <c r="B1025" s="13">
        <f ca="1">OFFSET('IWP09'!Std9dot1OutstandingChecks, 1, 0, 1, 1)</f>
        <v>0</v>
      </c>
      <c r="C1025" s="157">
        <f ca="1">IF(OFFSET('IWP09'!Std9dot1OutstandingChecks, 1, 1, 1, 1) = DATE(1900,1,0),DATE(1900,1,1),OFFSET('IWP09'!Std9dot1OutstandingChecks, 1, 1, 1, 1))</f>
        <v>1</v>
      </c>
      <c r="D1025" s="185">
        <f ca="1">OFFSET('IWP09'!Std9dot1OutstandingChecks, 1, 2, 1, 1)</f>
        <v>0</v>
      </c>
    </row>
    <row r="1026" spans="1:4">
      <c r="A1026" s="206" t="s">
        <v>1312</v>
      </c>
      <c r="B1026" s="13">
        <f ca="1">OFFSET('IWP09'!Std9dot1OutstandingChecks, 2, 0, 1, 1)</f>
        <v>0</v>
      </c>
      <c r="C1026" s="157">
        <f ca="1">IF(OFFSET('IWP09'!Std9dot1OutstandingChecks, 2, 1, 1, 1) = DATE(1900,1,0),DATE(1900,1,1),OFFSET('IWP09'!Std9dot1OutstandingChecks, 2, 1, 1, 1))</f>
        <v>1</v>
      </c>
      <c r="D1026" s="185">
        <f ca="1">OFFSET('IWP09'!Std9dot1OutstandingChecks, 2, 2, 1, 1)</f>
        <v>0</v>
      </c>
    </row>
    <row r="1027" spans="1:4">
      <c r="A1027" s="206" t="s">
        <v>1312</v>
      </c>
      <c r="B1027" s="13">
        <f ca="1">OFFSET('IWP09'!Std9dot1OutstandingChecks, 3, 0, 1, 1)</f>
        <v>0</v>
      </c>
      <c r="C1027" s="157">
        <f ca="1">IF(OFFSET('IWP09'!Std9dot1OutstandingChecks, 3, 1, 1, 1) = DATE(1900,1,0),DATE(1900,1,1),OFFSET('IWP09'!Std9dot1OutstandingChecks, 3, 1, 1, 1))</f>
        <v>1</v>
      </c>
      <c r="D1027" s="185">
        <f ca="1">OFFSET('IWP09'!Std9dot1OutstandingChecks, 3, 2, 1, 1)</f>
        <v>0</v>
      </c>
    </row>
    <row r="1028" spans="1:4">
      <c r="A1028" s="206" t="s">
        <v>1312</v>
      </c>
      <c r="B1028" s="13">
        <f ca="1">OFFSET('IWP09'!Std9dot1OutstandingChecks, 4, 0, 1, 1)</f>
        <v>0</v>
      </c>
      <c r="C1028" s="157">
        <f ca="1">IF(OFFSET('IWP09'!Std9dot1OutstandingChecks, 4, 1, 1, 1) = DATE(1900,1,0),DATE(1900,1,1),OFFSET('IWP09'!Std9dot1OutstandingChecks, 4, 1, 1, 1))</f>
        <v>1</v>
      </c>
      <c r="D1028" s="185">
        <f ca="1">OFFSET('IWP09'!Std9dot1OutstandingChecks, 4, 2, 1, 1)</f>
        <v>0</v>
      </c>
    </row>
    <row r="1029" spans="1:4">
      <c r="A1029" s="206" t="s">
        <v>1312</v>
      </c>
      <c r="B1029" s="13">
        <f ca="1">OFFSET('IWP09'!Std9dot1OutstandingChecks, 5, 0, 1, 1)</f>
        <v>0</v>
      </c>
      <c r="C1029" s="157">
        <f ca="1">IF(OFFSET('IWP09'!Std9dot1OutstandingChecks, 5, 1, 1, 1) = DATE(1900,1,0),DATE(1900,1,1),OFFSET('IWP09'!Std9dot1OutstandingChecks, 5, 1, 1, 1))</f>
        <v>1</v>
      </c>
      <c r="D1029" s="185">
        <f ca="1">OFFSET('IWP09'!Std9dot1OutstandingChecks, 5, 2, 1, 1)</f>
        <v>0</v>
      </c>
    </row>
    <row r="1030" spans="1:4">
      <c r="A1030" s="206" t="s">
        <v>1312</v>
      </c>
      <c r="B1030" s="13">
        <f ca="1">OFFSET('IWP09'!Std9dot1OutstandingChecks, 6, 0, 1, 1)</f>
        <v>0</v>
      </c>
      <c r="C1030" s="157">
        <f ca="1">IF(OFFSET('IWP09'!Std9dot1OutstandingChecks, 6, 1, 1, 1) = DATE(1900,1,0),DATE(1900,1,1),OFFSET('IWP09'!Std9dot1OutstandingChecks, 6, 1, 1, 1))</f>
        <v>1</v>
      </c>
      <c r="D1030" s="185">
        <f ca="1">OFFSET('IWP09'!Std9dot1OutstandingChecks, 6, 2, 1, 1)</f>
        <v>0</v>
      </c>
    </row>
    <row r="1031" spans="1:4">
      <c r="A1031" s="206" t="s">
        <v>1312</v>
      </c>
      <c r="B1031" s="13">
        <f ca="1">OFFSET('IWP09'!Std9dot1OutstandingChecks, 7, 0, 1, 1)</f>
        <v>0</v>
      </c>
      <c r="C1031" s="157">
        <f ca="1">IF(OFFSET('IWP09'!Std9dot1OutstandingChecks, 7, 1, 1, 1) = DATE(1900,1,0),DATE(1900,1,1),OFFSET('IWP09'!Std9dot1OutstandingChecks, 7, 1, 1, 1))</f>
        <v>1</v>
      </c>
      <c r="D1031" s="185">
        <f ca="1">OFFSET('IWP09'!Std9dot1OutstandingChecks, 7, 2, 1, 1)</f>
        <v>0</v>
      </c>
    </row>
    <row r="1032" spans="1:4">
      <c r="A1032" s="206" t="s">
        <v>1312</v>
      </c>
      <c r="B1032" s="13">
        <f ca="1">OFFSET('IWP09'!Std9dot1OutstandingChecks, 8, 0, 1, 1)</f>
        <v>0</v>
      </c>
      <c r="C1032" s="157">
        <f ca="1">IF(OFFSET('IWP09'!Std9dot1OutstandingChecks, 8, 1, 1, 1) = DATE(1900,1,0),DATE(1900,1,1),OFFSET('IWP09'!Std9dot1OutstandingChecks, 8, 1, 1, 1))</f>
        <v>1</v>
      </c>
      <c r="D1032" s="185">
        <f ca="1">OFFSET('IWP09'!Std9dot1OutstandingChecks, 8, 2, 1, 1)</f>
        <v>0</v>
      </c>
    </row>
    <row r="1033" spans="1:4">
      <c r="A1033" s="206" t="s">
        <v>1312</v>
      </c>
      <c r="B1033" s="13">
        <f ca="1">OFFSET('IWP09'!Std9dot1OutstandingChecks, 9, 0, 1, 1)</f>
        <v>0</v>
      </c>
      <c r="C1033" s="157">
        <f ca="1">IF(OFFSET('IWP09'!Std9dot1OutstandingChecks, 9, 1, 1, 1) = DATE(1900,1,0),DATE(1900,1,1),OFFSET('IWP09'!Std9dot1OutstandingChecks, 9, 1, 1, 1))</f>
        <v>1</v>
      </c>
      <c r="D1033" s="185">
        <f ca="1">OFFSET('IWP09'!Std9dot1OutstandingChecks, 9, 2, 1, 1)</f>
        <v>0</v>
      </c>
    </row>
    <row r="1034" spans="1:4">
      <c r="A1034" s="206" t="s">
        <v>1312</v>
      </c>
      <c r="B1034" s="13">
        <f ca="1">OFFSET('IWP09'!Std9dot1OutstandingChecks, 0, 4, 1, 1)</f>
        <v>0</v>
      </c>
      <c r="C1034" s="157">
        <f ca="1">IF(OFFSET('IWP09'!Std9dot1OutstandingChecks, 0, 5, 1, 1) = DATE(1900,1,0),DATE(1900,1,1),OFFSET('IWP09'!Std9dot1OutstandingChecks, 0, 5, 1, 1))</f>
        <v>1</v>
      </c>
      <c r="D1034" s="185">
        <f ca="1">OFFSET('IWP09'!Std9dot1OutstandingChecks, 0, 6, 1, 1)</f>
        <v>0</v>
      </c>
    </row>
    <row r="1035" spans="1:4">
      <c r="A1035" s="206" t="s">
        <v>1312</v>
      </c>
      <c r="B1035" s="13">
        <f ca="1">OFFSET('IWP09'!Std9dot1OutstandingChecks, 1, 4, 1, 1)</f>
        <v>0</v>
      </c>
      <c r="C1035" s="157">
        <f ca="1">IF(OFFSET('IWP09'!Std9dot1OutstandingChecks, 1, 5, 1, 1) = DATE(1900,1,0),DATE(1900,1,1),OFFSET('IWP09'!Std9dot1OutstandingChecks, 1, 5, 1, 1))</f>
        <v>1</v>
      </c>
      <c r="D1035" s="185">
        <f ca="1">OFFSET('IWP09'!Std9dot1OutstandingChecks, 1, 6, 1, 1)</f>
        <v>0</v>
      </c>
    </row>
    <row r="1036" spans="1:4">
      <c r="A1036" s="206" t="s">
        <v>1312</v>
      </c>
      <c r="B1036" s="13">
        <f ca="1">OFFSET('IWP09'!Std9dot1OutstandingChecks, 2, 4, 1, 1)</f>
        <v>0</v>
      </c>
      <c r="C1036" s="157">
        <f ca="1">IF(OFFSET('IWP09'!Std9dot1OutstandingChecks, 2, 5, 1, 1) = DATE(1900,1,0),DATE(1900,1,1),OFFSET('IWP09'!Std9dot1OutstandingChecks, 2, 5, 1, 1))</f>
        <v>1</v>
      </c>
      <c r="D1036" s="185">
        <f ca="1">OFFSET('IWP09'!Std9dot1OutstandingChecks, 2, 6, 1, 1)</f>
        <v>0</v>
      </c>
    </row>
    <row r="1037" spans="1:4">
      <c r="A1037" s="206" t="s">
        <v>1312</v>
      </c>
      <c r="B1037" s="13">
        <f ca="1">OFFSET('IWP09'!Std9dot1OutstandingChecks, 3, 4, 1, 1)</f>
        <v>0</v>
      </c>
      <c r="C1037" s="157">
        <f ca="1">IF(OFFSET('IWP09'!Std9dot1OutstandingChecks, 3, 5, 1, 1) = DATE(1900,1,0),DATE(1900,1,1),OFFSET('IWP09'!Std9dot1OutstandingChecks, 3, 5, 1, 1))</f>
        <v>1</v>
      </c>
      <c r="D1037" s="185">
        <f ca="1">OFFSET('IWP09'!Std9dot1OutstandingChecks, 3, 6, 1, 1)</f>
        <v>0</v>
      </c>
    </row>
    <row r="1038" spans="1:4">
      <c r="A1038" s="206" t="s">
        <v>1312</v>
      </c>
      <c r="B1038" s="13">
        <f ca="1">OFFSET('IWP09'!Std9dot1OutstandingChecks, 4, 4, 1, 1)</f>
        <v>0</v>
      </c>
      <c r="C1038" s="157">
        <f ca="1">IF(OFFSET('IWP09'!Std9dot1OutstandingChecks, 4, 5, 1, 1) = DATE(1900,1,0),DATE(1900,1,1),OFFSET('IWP09'!Std9dot1OutstandingChecks, 4, 5, 1, 1))</f>
        <v>1</v>
      </c>
      <c r="D1038" s="185">
        <f ca="1">OFFSET('IWP09'!Std9dot1OutstandingChecks, 4, 6, 1, 1)</f>
        <v>0</v>
      </c>
    </row>
    <row r="1039" spans="1:4">
      <c r="A1039" s="206" t="s">
        <v>1312</v>
      </c>
      <c r="B1039" s="13">
        <f ca="1">OFFSET('IWP09'!Std9dot1OutstandingChecks, 5, 4, 1, 1)</f>
        <v>0</v>
      </c>
      <c r="C1039" s="157">
        <f ca="1">IF(OFFSET('IWP09'!Std9dot1OutstandingChecks, 5, 5, 1, 1) = DATE(1900,1,0),DATE(1900,1,1),OFFSET('IWP09'!Std9dot1OutstandingChecks, 5, 5, 1, 1))</f>
        <v>1</v>
      </c>
      <c r="D1039" s="185">
        <f ca="1">OFFSET('IWP09'!Std9dot1OutstandingChecks, 5, 6, 1, 1)</f>
        <v>0</v>
      </c>
    </row>
    <row r="1040" spans="1:4">
      <c r="A1040" s="206" t="s">
        <v>1312</v>
      </c>
      <c r="B1040" s="13">
        <f ca="1">OFFSET('IWP09'!Std9dot1OutstandingChecks, 6, 4, 1, 1)</f>
        <v>0</v>
      </c>
      <c r="C1040" s="157">
        <f ca="1">IF(OFFSET('IWP09'!Std9dot1OutstandingChecks, 6, 5, 1, 1) = DATE(1900,1,0),DATE(1900,1,1),OFFSET('IWP09'!Std9dot1OutstandingChecks, 6, 5, 1, 1))</f>
        <v>1</v>
      </c>
      <c r="D1040" s="185">
        <f ca="1">OFFSET('IWP09'!Std9dot1OutstandingChecks, 6, 6, 1, 1)</f>
        <v>0</v>
      </c>
    </row>
    <row r="1041" spans="1:4">
      <c r="A1041" s="206" t="s">
        <v>1312</v>
      </c>
      <c r="B1041" s="13">
        <f ca="1">OFFSET('IWP09'!Std9dot1OutstandingChecks, 7, 4, 1, 1)</f>
        <v>0</v>
      </c>
      <c r="C1041" s="157">
        <f ca="1">IF(OFFSET('IWP09'!Std9dot1OutstandingChecks, 7, 5, 1, 1) = DATE(1900,1,0),DATE(1900,1,1),OFFSET('IWP09'!Std9dot1OutstandingChecks, 7, 5, 1, 1))</f>
        <v>1</v>
      </c>
      <c r="D1041" s="185">
        <f ca="1">OFFSET('IWP09'!Std9dot1OutstandingChecks, 7, 6, 1, 1)</f>
        <v>0</v>
      </c>
    </row>
    <row r="1042" spans="1:4">
      <c r="A1042" s="206" t="s">
        <v>1312</v>
      </c>
      <c r="B1042" s="13">
        <f ca="1">OFFSET('IWP09'!Std9dot1OutstandingChecks, 8, 4, 1, 1)</f>
        <v>0</v>
      </c>
      <c r="C1042" s="157">
        <f ca="1">IF(OFFSET('IWP09'!Std9dot1OutstandingChecks, 8, 5, 1, 1) = DATE(1900,1,0),DATE(1900,1,1),OFFSET('IWP09'!Std9dot1OutstandingChecks, 8, 5, 1, 1))</f>
        <v>1</v>
      </c>
      <c r="D1042" s="185">
        <f ca="1">OFFSET('IWP09'!Std9dot1OutstandingChecks, 8, 6, 1, 1)</f>
        <v>0</v>
      </c>
    </row>
    <row r="1043" spans="1:4">
      <c r="A1043" s="206" t="s">
        <v>1312</v>
      </c>
      <c r="B1043" s="13">
        <f ca="1">OFFSET('IWP09'!Std9dot1OutstandingChecks, 9, 4, 1, 1)</f>
        <v>0</v>
      </c>
      <c r="C1043" s="157">
        <f ca="1">IF(OFFSET('IWP09'!Std9dot1OutstandingChecks, 9, 5, 1, 1) = DATE(1900,1,0),DATE(1900,1,1),OFFSET('IWP09'!Std9dot1OutstandingChecks, 9, 5, 1, 1))</f>
        <v>1</v>
      </c>
      <c r="D1043" s="185">
        <f ca="1">OFFSET('IWP09'!Std9dot1OutstandingChecks, 9, 6, 1, 1)</f>
        <v>0</v>
      </c>
    </row>
    <row r="1044" spans="1:4">
      <c r="A1044" s="206" t="s">
        <v>1313</v>
      </c>
      <c r="B1044" s="13">
        <f ca="1">OFFSET('IWP10'!Std9dot1OutstandingChecks, 0, 0, 1, 1)</f>
        <v>0</v>
      </c>
      <c r="C1044" s="157">
        <f ca="1">IF(OFFSET('IWP10'!Std9dot1OutstandingChecks, 0, 1, 1, 1) = DATE(1900,1,0),DATE(1900,1,1),OFFSET('IWP10'!Std9dot1OutstandingChecks, 0, 1, 1, 1))</f>
        <v>1</v>
      </c>
      <c r="D1044" s="185">
        <f ca="1">OFFSET('IWP10'!Std9dot1OutstandingChecks, 0, 2, 1, 1)</f>
        <v>0</v>
      </c>
    </row>
    <row r="1045" spans="1:4">
      <c r="A1045" s="206" t="s">
        <v>1313</v>
      </c>
      <c r="B1045" s="13">
        <f ca="1">OFFSET('IWP10'!Std9dot1OutstandingChecks, 1, 0, 1, 1)</f>
        <v>0</v>
      </c>
      <c r="C1045" s="157">
        <f ca="1">IF(OFFSET('IWP10'!Std9dot1OutstandingChecks, 1, 1, 1, 1) = DATE(1900,1,0),DATE(1900,1,1),OFFSET('IWP10'!Std9dot1OutstandingChecks, 1, 1, 1, 1))</f>
        <v>1</v>
      </c>
      <c r="D1045" s="185">
        <f ca="1">OFFSET('IWP10'!Std9dot1OutstandingChecks, 1, 2, 1, 1)</f>
        <v>0</v>
      </c>
    </row>
    <row r="1046" spans="1:4">
      <c r="A1046" s="206" t="s">
        <v>1313</v>
      </c>
      <c r="B1046" s="13">
        <f ca="1">OFFSET('IWP10'!Std9dot1OutstandingChecks, 2, 0, 1, 1)</f>
        <v>0</v>
      </c>
      <c r="C1046" s="157">
        <f ca="1">IF(OFFSET('IWP10'!Std9dot1OutstandingChecks, 2, 1, 1, 1) = DATE(1900,1,0),DATE(1900,1,1),OFFSET('IWP10'!Std9dot1OutstandingChecks, 2, 1, 1, 1))</f>
        <v>1</v>
      </c>
      <c r="D1046" s="185">
        <f ca="1">OFFSET('IWP10'!Std9dot1OutstandingChecks, 2, 2, 1, 1)</f>
        <v>0</v>
      </c>
    </row>
    <row r="1047" spans="1:4">
      <c r="A1047" s="206" t="s">
        <v>1313</v>
      </c>
      <c r="B1047" s="13">
        <f ca="1">OFFSET('IWP10'!Std9dot1OutstandingChecks, 3, 0, 1, 1)</f>
        <v>0</v>
      </c>
      <c r="C1047" s="157">
        <f ca="1">IF(OFFSET('IWP10'!Std9dot1OutstandingChecks, 3, 1, 1, 1) = DATE(1900,1,0),DATE(1900,1,1),OFFSET('IWP10'!Std9dot1OutstandingChecks, 3, 1, 1, 1))</f>
        <v>1</v>
      </c>
      <c r="D1047" s="185">
        <f ca="1">OFFSET('IWP10'!Std9dot1OutstandingChecks, 3, 2, 1, 1)</f>
        <v>0</v>
      </c>
    </row>
    <row r="1048" spans="1:4">
      <c r="A1048" s="206" t="s">
        <v>1313</v>
      </c>
      <c r="B1048" s="13">
        <f ca="1">OFFSET('IWP10'!Std9dot1OutstandingChecks, 4, 0, 1, 1)</f>
        <v>0</v>
      </c>
      <c r="C1048" s="157">
        <f ca="1">IF(OFFSET('IWP10'!Std9dot1OutstandingChecks, 4, 1, 1, 1) = DATE(1900,1,0),DATE(1900,1,1),OFFSET('IWP10'!Std9dot1OutstandingChecks, 4, 1, 1, 1))</f>
        <v>1</v>
      </c>
      <c r="D1048" s="185">
        <f ca="1">OFFSET('IWP10'!Std9dot1OutstandingChecks, 4, 2, 1, 1)</f>
        <v>0</v>
      </c>
    </row>
    <row r="1049" spans="1:4">
      <c r="A1049" s="206" t="s">
        <v>1313</v>
      </c>
      <c r="B1049" s="13">
        <f ca="1">OFFSET('IWP10'!Std9dot1OutstandingChecks, 5, 0, 1, 1)</f>
        <v>0</v>
      </c>
      <c r="C1049" s="157">
        <f ca="1">IF(OFFSET('IWP10'!Std9dot1OutstandingChecks, 5, 1, 1, 1) = DATE(1900,1,0),DATE(1900,1,1),OFFSET('IWP10'!Std9dot1OutstandingChecks, 5, 1, 1, 1))</f>
        <v>1</v>
      </c>
      <c r="D1049" s="185">
        <f ca="1">OFFSET('IWP10'!Std9dot1OutstandingChecks, 5, 2, 1, 1)</f>
        <v>0</v>
      </c>
    </row>
    <row r="1050" spans="1:4">
      <c r="A1050" s="206" t="s">
        <v>1313</v>
      </c>
      <c r="B1050" s="13">
        <f ca="1">OFFSET('IWP10'!Std9dot1OutstandingChecks, 6, 0, 1, 1)</f>
        <v>0</v>
      </c>
      <c r="C1050" s="157">
        <f ca="1">IF(OFFSET('IWP10'!Std9dot1OutstandingChecks, 6, 1, 1, 1) = DATE(1900,1,0),DATE(1900,1,1),OFFSET('IWP10'!Std9dot1OutstandingChecks, 6, 1, 1, 1))</f>
        <v>1</v>
      </c>
      <c r="D1050" s="185">
        <f ca="1">OFFSET('IWP10'!Std9dot1OutstandingChecks, 6, 2, 1, 1)</f>
        <v>0</v>
      </c>
    </row>
    <row r="1051" spans="1:4">
      <c r="A1051" s="206" t="s">
        <v>1313</v>
      </c>
      <c r="B1051" s="13">
        <f ca="1">OFFSET('IWP10'!Std9dot1OutstandingChecks, 7, 0, 1, 1)</f>
        <v>0</v>
      </c>
      <c r="C1051" s="157">
        <f ca="1">IF(OFFSET('IWP10'!Std9dot1OutstandingChecks, 7, 1, 1, 1) = DATE(1900,1,0),DATE(1900,1,1),OFFSET('IWP10'!Std9dot1OutstandingChecks, 7, 1, 1, 1))</f>
        <v>1</v>
      </c>
      <c r="D1051" s="185">
        <f ca="1">OFFSET('IWP10'!Std9dot1OutstandingChecks, 7, 2, 1, 1)</f>
        <v>0</v>
      </c>
    </row>
    <row r="1052" spans="1:4">
      <c r="A1052" s="206" t="s">
        <v>1313</v>
      </c>
      <c r="B1052" s="13">
        <f ca="1">OFFSET('IWP10'!Std9dot1OutstandingChecks, 8, 0, 1, 1)</f>
        <v>0</v>
      </c>
      <c r="C1052" s="157">
        <f ca="1">IF(OFFSET('IWP10'!Std9dot1OutstandingChecks, 8, 1, 1, 1) = DATE(1900,1,0),DATE(1900,1,1),OFFSET('IWP10'!Std9dot1OutstandingChecks, 8, 1, 1, 1))</f>
        <v>1</v>
      </c>
      <c r="D1052" s="185">
        <f ca="1">OFFSET('IWP10'!Std9dot1OutstandingChecks, 8, 2, 1, 1)</f>
        <v>0</v>
      </c>
    </row>
    <row r="1053" spans="1:4">
      <c r="A1053" s="206" t="s">
        <v>1313</v>
      </c>
      <c r="B1053" s="13">
        <f ca="1">OFFSET('IWP10'!Std9dot1OutstandingChecks, 9, 0, 1, 1)</f>
        <v>0</v>
      </c>
      <c r="C1053" s="157">
        <f ca="1">IF(OFFSET('IWP10'!Std9dot1OutstandingChecks, 9, 1, 1, 1) = DATE(1900,1,0),DATE(1900,1,1),OFFSET('IWP10'!Std9dot1OutstandingChecks, 9, 1, 1, 1))</f>
        <v>1</v>
      </c>
      <c r="D1053" s="185">
        <f ca="1">OFFSET('IWP10'!Std9dot1OutstandingChecks, 9, 2, 1, 1)</f>
        <v>0</v>
      </c>
    </row>
    <row r="1054" spans="1:4">
      <c r="A1054" s="206" t="s">
        <v>1313</v>
      </c>
      <c r="B1054" s="13">
        <f ca="1">OFFSET('IWP10'!Std9dot1OutstandingChecks, 0, 4, 1, 1)</f>
        <v>0</v>
      </c>
      <c r="C1054" s="157">
        <f ca="1">IF(OFFSET('IWP10'!Std9dot1OutstandingChecks, 0, 5, 1, 1) = DATE(1900,1,0),DATE(1900,1,1),OFFSET('IWP10'!Std9dot1OutstandingChecks, 0, 5, 1, 1))</f>
        <v>1</v>
      </c>
      <c r="D1054" s="185">
        <f ca="1">OFFSET('IWP10'!Std9dot1OutstandingChecks, 0, 6, 1, 1)</f>
        <v>0</v>
      </c>
    </row>
    <row r="1055" spans="1:4">
      <c r="A1055" s="206" t="s">
        <v>1313</v>
      </c>
      <c r="B1055" s="13">
        <f ca="1">OFFSET('IWP10'!Std9dot1OutstandingChecks, 1, 4, 1, 1)</f>
        <v>0</v>
      </c>
      <c r="C1055" s="157">
        <f ca="1">IF(OFFSET('IWP10'!Std9dot1OutstandingChecks, 1, 5, 1, 1) = DATE(1900,1,0),DATE(1900,1,1),OFFSET('IWP10'!Std9dot1OutstandingChecks, 1, 5, 1, 1))</f>
        <v>1</v>
      </c>
      <c r="D1055" s="185">
        <f ca="1">OFFSET('IWP10'!Std9dot1OutstandingChecks, 1, 6, 1, 1)</f>
        <v>0</v>
      </c>
    </row>
    <row r="1056" spans="1:4">
      <c r="A1056" s="206" t="s">
        <v>1313</v>
      </c>
      <c r="B1056" s="13">
        <f ca="1">OFFSET('IWP10'!Std9dot1OutstandingChecks, 2, 4, 1, 1)</f>
        <v>0</v>
      </c>
      <c r="C1056" s="157">
        <f ca="1">IF(OFFSET('IWP10'!Std9dot1OutstandingChecks, 2, 5, 1, 1) = DATE(1900,1,0),DATE(1900,1,1),OFFSET('IWP10'!Std9dot1OutstandingChecks, 2, 5, 1, 1))</f>
        <v>1</v>
      </c>
      <c r="D1056" s="185">
        <f ca="1">OFFSET('IWP10'!Std9dot1OutstandingChecks, 2, 6, 1, 1)</f>
        <v>0</v>
      </c>
    </row>
    <row r="1057" spans="1:4">
      <c r="A1057" s="206" t="s">
        <v>1313</v>
      </c>
      <c r="B1057" s="13">
        <f ca="1">OFFSET('IWP10'!Std9dot1OutstandingChecks, 3, 4, 1, 1)</f>
        <v>0</v>
      </c>
      <c r="C1057" s="157">
        <f ca="1">IF(OFFSET('IWP10'!Std9dot1OutstandingChecks, 3, 5, 1, 1) = DATE(1900,1,0),DATE(1900,1,1),OFFSET('IWP10'!Std9dot1OutstandingChecks, 3, 5, 1, 1))</f>
        <v>1</v>
      </c>
      <c r="D1057" s="185">
        <f ca="1">OFFSET('IWP10'!Std9dot1OutstandingChecks, 3, 6, 1, 1)</f>
        <v>0</v>
      </c>
    </row>
    <row r="1058" spans="1:4">
      <c r="A1058" s="206" t="s">
        <v>1313</v>
      </c>
      <c r="B1058" s="13">
        <f ca="1">OFFSET('IWP10'!Std9dot1OutstandingChecks, 4, 4, 1, 1)</f>
        <v>0</v>
      </c>
      <c r="C1058" s="157">
        <f ca="1">IF(OFFSET('IWP10'!Std9dot1OutstandingChecks, 4, 5, 1, 1) = DATE(1900,1,0),DATE(1900,1,1),OFFSET('IWP10'!Std9dot1OutstandingChecks, 4, 5, 1, 1))</f>
        <v>1</v>
      </c>
      <c r="D1058" s="185">
        <f ca="1">OFFSET('IWP10'!Std9dot1OutstandingChecks, 4, 6, 1, 1)</f>
        <v>0</v>
      </c>
    </row>
    <row r="1059" spans="1:4">
      <c r="A1059" s="206" t="s">
        <v>1313</v>
      </c>
      <c r="B1059" s="13">
        <f ca="1">OFFSET('IWP10'!Std9dot1OutstandingChecks, 5, 4, 1, 1)</f>
        <v>0</v>
      </c>
      <c r="C1059" s="157">
        <f ca="1">IF(OFFSET('IWP10'!Std9dot1OutstandingChecks, 5, 5, 1, 1) = DATE(1900,1,0),DATE(1900,1,1),OFFSET('IWP10'!Std9dot1OutstandingChecks, 5, 5, 1, 1))</f>
        <v>1</v>
      </c>
      <c r="D1059" s="185">
        <f ca="1">OFFSET('IWP10'!Std9dot1OutstandingChecks, 5, 6, 1, 1)</f>
        <v>0</v>
      </c>
    </row>
    <row r="1060" spans="1:4">
      <c r="A1060" s="206" t="s">
        <v>1313</v>
      </c>
      <c r="B1060" s="13">
        <f ca="1">OFFSET('IWP10'!Std9dot1OutstandingChecks, 6, 4, 1, 1)</f>
        <v>0</v>
      </c>
      <c r="C1060" s="157">
        <f ca="1">IF(OFFSET('IWP10'!Std9dot1OutstandingChecks, 6, 5, 1, 1) = DATE(1900,1,0),DATE(1900,1,1),OFFSET('IWP10'!Std9dot1OutstandingChecks, 6, 5, 1, 1))</f>
        <v>1</v>
      </c>
      <c r="D1060" s="185">
        <f ca="1">OFFSET('IWP10'!Std9dot1OutstandingChecks, 6, 6, 1, 1)</f>
        <v>0</v>
      </c>
    </row>
    <row r="1061" spans="1:4">
      <c r="A1061" s="206" t="s">
        <v>1313</v>
      </c>
      <c r="B1061" s="13">
        <f ca="1">OFFSET('IWP10'!Std9dot1OutstandingChecks, 7, 4, 1, 1)</f>
        <v>0</v>
      </c>
      <c r="C1061" s="157">
        <f ca="1">IF(OFFSET('IWP10'!Std9dot1OutstandingChecks, 7, 5, 1, 1) = DATE(1900,1,0),DATE(1900,1,1),OFFSET('IWP10'!Std9dot1OutstandingChecks, 7, 5, 1, 1))</f>
        <v>1</v>
      </c>
      <c r="D1061" s="185">
        <f ca="1">OFFSET('IWP10'!Std9dot1OutstandingChecks, 7, 6, 1, 1)</f>
        <v>0</v>
      </c>
    </row>
    <row r="1062" spans="1:4">
      <c r="A1062" s="206" t="s">
        <v>1313</v>
      </c>
      <c r="B1062" s="13">
        <f ca="1">OFFSET('IWP10'!Std9dot1OutstandingChecks, 8, 4, 1, 1)</f>
        <v>0</v>
      </c>
      <c r="C1062" s="157">
        <f ca="1">IF(OFFSET('IWP10'!Std9dot1OutstandingChecks, 8, 5, 1, 1) = DATE(1900,1,0),DATE(1900,1,1),OFFSET('IWP10'!Std9dot1OutstandingChecks, 8, 5, 1, 1))</f>
        <v>1</v>
      </c>
      <c r="D1062" s="185">
        <f ca="1">OFFSET('IWP10'!Std9dot1OutstandingChecks, 8, 6, 1, 1)</f>
        <v>0</v>
      </c>
    </row>
    <row r="1063" spans="1:4">
      <c r="A1063" s="206" t="s">
        <v>1313</v>
      </c>
      <c r="B1063" s="13">
        <f ca="1">OFFSET('IWP10'!Std9dot1OutstandingChecks, 9, 4, 1, 1)</f>
        <v>0</v>
      </c>
      <c r="C1063" s="157">
        <f ca="1">IF(OFFSET('IWP10'!Std9dot1OutstandingChecks, 9, 5, 1, 1) = DATE(1900,1,0),DATE(1900,1,1),OFFSET('IWP10'!Std9dot1OutstandingChecks, 9, 5, 1, 1))</f>
        <v>1</v>
      </c>
      <c r="D1063" s="185">
        <f ca="1">OFFSET('IWP10'!Std9dot1OutstandingChecks, 9, 6, 1, 1)</f>
        <v>0</v>
      </c>
    </row>
    <row r="1064" spans="1:4">
      <c r="A1064" s="206" t="s">
        <v>1314</v>
      </c>
      <c r="B1064" s="13">
        <f ca="1">OFFSET('IWP11'!Std9dot1OutstandingChecks, 0, 0, 1, 1)</f>
        <v>0</v>
      </c>
      <c r="C1064" s="157">
        <f ca="1">IF(OFFSET('IWP11'!Std9dot1OutstandingChecks, 0, 1, 1, 1) = DATE(1900,1,0),DATE(1900,1,1),OFFSET('IWP11'!Std9dot1OutstandingChecks, 0, 1, 1, 1))</f>
        <v>1</v>
      </c>
      <c r="D1064" s="185">
        <f ca="1">OFFSET('IWP11'!Std9dot1OutstandingChecks, 0, 2, 1, 1)</f>
        <v>0</v>
      </c>
    </row>
    <row r="1065" spans="1:4">
      <c r="A1065" s="206" t="s">
        <v>1314</v>
      </c>
      <c r="B1065" s="13">
        <f ca="1">OFFSET('IWP11'!Std9dot1OutstandingChecks, 1, 0, 1, 1)</f>
        <v>0</v>
      </c>
      <c r="C1065" s="157">
        <f ca="1">IF(OFFSET('IWP11'!Std9dot1OutstandingChecks, 1, 1, 1, 1) = DATE(1900,1,0),DATE(1900,1,1),OFFSET('IWP11'!Std9dot1OutstandingChecks, 1, 1, 1, 1))</f>
        <v>1</v>
      </c>
      <c r="D1065" s="185">
        <f ca="1">OFFSET('IWP11'!Std9dot1OutstandingChecks, 1, 2, 1, 1)</f>
        <v>0</v>
      </c>
    </row>
    <row r="1066" spans="1:4">
      <c r="A1066" s="206" t="s">
        <v>1314</v>
      </c>
      <c r="B1066" s="13">
        <f ca="1">OFFSET('IWP11'!Std9dot1OutstandingChecks, 2, 0, 1, 1)</f>
        <v>0</v>
      </c>
      <c r="C1066" s="157">
        <f ca="1">IF(OFFSET('IWP11'!Std9dot1OutstandingChecks, 2, 1, 1, 1) = DATE(1900,1,0),DATE(1900,1,1),OFFSET('IWP11'!Std9dot1OutstandingChecks, 2, 1, 1, 1))</f>
        <v>1</v>
      </c>
      <c r="D1066" s="185">
        <f ca="1">OFFSET('IWP11'!Std9dot1OutstandingChecks, 2, 2, 1, 1)</f>
        <v>0</v>
      </c>
    </row>
    <row r="1067" spans="1:4">
      <c r="A1067" s="206" t="s">
        <v>1314</v>
      </c>
      <c r="B1067" s="13">
        <f ca="1">OFFSET('IWP11'!Std9dot1OutstandingChecks, 3, 0, 1, 1)</f>
        <v>0</v>
      </c>
      <c r="C1067" s="157">
        <f ca="1">IF(OFFSET('IWP11'!Std9dot1OutstandingChecks, 3, 1, 1, 1) = DATE(1900,1,0),DATE(1900,1,1),OFFSET('IWP11'!Std9dot1OutstandingChecks, 3, 1, 1, 1))</f>
        <v>1</v>
      </c>
      <c r="D1067" s="185">
        <f ca="1">OFFSET('IWP11'!Std9dot1OutstandingChecks, 3, 2, 1, 1)</f>
        <v>0</v>
      </c>
    </row>
    <row r="1068" spans="1:4">
      <c r="A1068" s="206" t="s">
        <v>1314</v>
      </c>
      <c r="B1068" s="13">
        <f ca="1">OFFSET('IWP11'!Std9dot1OutstandingChecks, 4, 0, 1, 1)</f>
        <v>0</v>
      </c>
      <c r="C1068" s="157">
        <f ca="1">IF(OFFSET('IWP11'!Std9dot1OutstandingChecks, 4, 1, 1, 1) = DATE(1900,1,0),DATE(1900,1,1),OFFSET('IWP11'!Std9dot1OutstandingChecks, 4, 1, 1, 1))</f>
        <v>1</v>
      </c>
      <c r="D1068" s="185">
        <f ca="1">OFFSET('IWP11'!Std9dot1OutstandingChecks, 4, 2, 1, 1)</f>
        <v>0</v>
      </c>
    </row>
    <row r="1069" spans="1:4">
      <c r="A1069" s="206" t="s">
        <v>1314</v>
      </c>
      <c r="B1069" s="13">
        <f ca="1">OFFSET('IWP11'!Std9dot1OutstandingChecks, 5, 0, 1, 1)</f>
        <v>0</v>
      </c>
      <c r="C1069" s="157">
        <f ca="1">IF(OFFSET('IWP11'!Std9dot1OutstandingChecks, 5, 1, 1, 1) = DATE(1900,1,0),DATE(1900,1,1),OFFSET('IWP11'!Std9dot1OutstandingChecks, 5, 1, 1, 1))</f>
        <v>1</v>
      </c>
      <c r="D1069" s="185">
        <f ca="1">OFFSET('IWP11'!Std9dot1OutstandingChecks, 5, 2, 1, 1)</f>
        <v>0</v>
      </c>
    </row>
    <row r="1070" spans="1:4">
      <c r="A1070" s="206" t="s">
        <v>1314</v>
      </c>
      <c r="B1070" s="13">
        <f ca="1">OFFSET('IWP11'!Std9dot1OutstandingChecks, 6, 0, 1, 1)</f>
        <v>0</v>
      </c>
      <c r="C1070" s="157">
        <f ca="1">IF(OFFSET('IWP11'!Std9dot1OutstandingChecks, 6, 1, 1, 1) = DATE(1900,1,0),DATE(1900,1,1),OFFSET('IWP11'!Std9dot1OutstandingChecks, 6, 1, 1, 1))</f>
        <v>1</v>
      </c>
      <c r="D1070" s="185">
        <f ca="1">OFFSET('IWP11'!Std9dot1OutstandingChecks, 6, 2, 1, 1)</f>
        <v>0</v>
      </c>
    </row>
    <row r="1071" spans="1:4">
      <c r="A1071" s="206" t="s">
        <v>1314</v>
      </c>
      <c r="B1071" s="13">
        <f ca="1">OFFSET('IWP11'!Std9dot1OutstandingChecks, 7, 0, 1, 1)</f>
        <v>0</v>
      </c>
      <c r="C1071" s="157">
        <f ca="1">IF(OFFSET('IWP11'!Std9dot1OutstandingChecks, 7, 1, 1, 1) = DATE(1900,1,0),DATE(1900,1,1),OFFSET('IWP11'!Std9dot1OutstandingChecks, 7, 1, 1, 1))</f>
        <v>1</v>
      </c>
      <c r="D1071" s="185">
        <f ca="1">OFFSET('IWP11'!Std9dot1OutstandingChecks, 7, 2, 1, 1)</f>
        <v>0</v>
      </c>
    </row>
    <row r="1072" spans="1:4">
      <c r="A1072" s="206" t="s">
        <v>1314</v>
      </c>
      <c r="B1072" s="13">
        <f ca="1">OFFSET('IWP11'!Std9dot1OutstandingChecks, 8, 0, 1, 1)</f>
        <v>0</v>
      </c>
      <c r="C1072" s="157">
        <f ca="1">IF(OFFSET('IWP11'!Std9dot1OutstandingChecks, 8, 1, 1, 1) = DATE(1900,1,0),DATE(1900,1,1),OFFSET('IWP11'!Std9dot1OutstandingChecks, 8, 1, 1, 1))</f>
        <v>1</v>
      </c>
      <c r="D1072" s="185">
        <f ca="1">OFFSET('IWP11'!Std9dot1OutstandingChecks, 8, 2, 1, 1)</f>
        <v>0</v>
      </c>
    </row>
    <row r="1073" spans="1:4">
      <c r="A1073" s="206" t="s">
        <v>1314</v>
      </c>
      <c r="B1073" s="13">
        <f ca="1">OFFSET('IWP11'!Std9dot1OutstandingChecks, 9, 0, 1, 1)</f>
        <v>0</v>
      </c>
      <c r="C1073" s="157">
        <f ca="1">IF(OFFSET('IWP11'!Std9dot1OutstandingChecks, 9, 1, 1, 1) = DATE(1900,1,0),DATE(1900,1,1),OFFSET('IWP11'!Std9dot1OutstandingChecks, 9, 1, 1, 1))</f>
        <v>1</v>
      </c>
      <c r="D1073" s="185">
        <f ca="1">OFFSET('IWP11'!Std9dot1OutstandingChecks, 9, 2, 1, 1)</f>
        <v>0</v>
      </c>
    </row>
    <row r="1074" spans="1:4">
      <c r="A1074" s="206" t="s">
        <v>1314</v>
      </c>
      <c r="B1074" s="13">
        <f ca="1">OFFSET('IWP11'!Std9dot1OutstandingChecks, 0, 4, 1, 1)</f>
        <v>0</v>
      </c>
      <c r="C1074" s="157">
        <f ca="1">IF(OFFSET('IWP11'!Std9dot1OutstandingChecks, 0, 5, 1, 1) = DATE(1900,1,0),DATE(1900,1,1),OFFSET('IWP11'!Std9dot1OutstandingChecks, 0, 5, 1, 1))</f>
        <v>1</v>
      </c>
      <c r="D1074" s="185">
        <f ca="1">OFFSET('IWP11'!Std9dot1OutstandingChecks, 0, 6, 1, 1)</f>
        <v>0</v>
      </c>
    </row>
    <row r="1075" spans="1:4">
      <c r="A1075" s="206" t="s">
        <v>1314</v>
      </c>
      <c r="B1075" s="13">
        <f ca="1">OFFSET('IWP11'!Std9dot1OutstandingChecks, 1, 4, 1, 1)</f>
        <v>0</v>
      </c>
      <c r="C1075" s="157">
        <f ca="1">IF(OFFSET('IWP11'!Std9dot1OutstandingChecks, 1, 5, 1, 1) = DATE(1900,1,0),DATE(1900,1,1),OFFSET('IWP11'!Std9dot1OutstandingChecks, 1, 5, 1, 1))</f>
        <v>1</v>
      </c>
      <c r="D1075" s="185">
        <f ca="1">OFFSET('IWP11'!Std9dot1OutstandingChecks, 1, 6, 1, 1)</f>
        <v>0</v>
      </c>
    </row>
    <row r="1076" spans="1:4">
      <c r="A1076" s="206" t="s">
        <v>1314</v>
      </c>
      <c r="B1076" s="13">
        <f ca="1">OFFSET('IWP11'!Std9dot1OutstandingChecks, 2, 4, 1, 1)</f>
        <v>0</v>
      </c>
      <c r="C1076" s="157">
        <f ca="1">IF(OFFSET('IWP11'!Std9dot1OutstandingChecks, 2, 5, 1, 1) = DATE(1900,1,0),DATE(1900,1,1),OFFSET('IWP11'!Std9dot1OutstandingChecks, 2, 5, 1, 1))</f>
        <v>1</v>
      </c>
      <c r="D1076" s="185">
        <f ca="1">OFFSET('IWP11'!Std9dot1OutstandingChecks, 2, 6, 1, 1)</f>
        <v>0</v>
      </c>
    </row>
    <row r="1077" spans="1:4">
      <c r="A1077" s="206" t="s">
        <v>1314</v>
      </c>
      <c r="B1077" s="13">
        <f ca="1">OFFSET('IWP11'!Std9dot1OutstandingChecks, 3, 4, 1, 1)</f>
        <v>0</v>
      </c>
      <c r="C1077" s="157">
        <f ca="1">IF(OFFSET('IWP11'!Std9dot1OutstandingChecks, 3, 5, 1, 1) = DATE(1900,1,0),DATE(1900,1,1),OFFSET('IWP11'!Std9dot1OutstandingChecks, 3, 5, 1, 1))</f>
        <v>1</v>
      </c>
      <c r="D1077" s="185">
        <f ca="1">OFFSET('IWP11'!Std9dot1OutstandingChecks, 3, 6, 1, 1)</f>
        <v>0</v>
      </c>
    </row>
    <row r="1078" spans="1:4">
      <c r="A1078" s="206" t="s">
        <v>1314</v>
      </c>
      <c r="B1078" s="13">
        <f ca="1">OFFSET('IWP11'!Std9dot1OutstandingChecks, 4, 4, 1, 1)</f>
        <v>0</v>
      </c>
      <c r="C1078" s="157">
        <f ca="1">IF(OFFSET('IWP11'!Std9dot1OutstandingChecks, 4, 5, 1, 1) = DATE(1900,1,0),DATE(1900,1,1),OFFSET('IWP11'!Std9dot1OutstandingChecks, 4, 5, 1, 1))</f>
        <v>1</v>
      </c>
      <c r="D1078" s="185">
        <f ca="1">OFFSET('IWP11'!Std9dot1OutstandingChecks, 4, 6, 1, 1)</f>
        <v>0</v>
      </c>
    </row>
    <row r="1079" spans="1:4">
      <c r="A1079" s="206" t="s">
        <v>1314</v>
      </c>
      <c r="B1079" s="13">
        <f ca="1">OFFSET('IWP11'!Std9dot1OutstandingChecks, 5, 4, 1, 1)</f>
        <v>0</v>
      </c>
      <c r="C1079" s="157">
        <f ca="1">IF(OFFSET('IWP11'!Std9dot1OutstandingChecks, 5, 5, 1, 1) = DATE(1900,1,0),DATE(1900,1,1),OFFSET('IWP11'!Std9dot1OutstandingChecks, 5, 5, 1, 1))</f>
        <v>1</v>
      </c>
      <c r="D1079" s="185">
        <f ca="1">OFFSET('IWP11'!Std9dot1OutstandingChecks, 5, 6, 1, 1)</f>
        <v>0</v>
      </c>
    </row>
    <row r="1080" spans="1:4">
      <c r="A1080" s="206" t="s">
        <v>1314</v>
      </c>
      <c r="B1080" s="13">
        <f ca="1">OFFSET('IWP11'!Std9dot1OutstandingChecks, 6, 4, 1, 1)</f>
        <v>0</v>
      </c>
      <c r="C1080" s="157">
        <f ca="1">IF(OFFSET('IWP11'!Std9dot1OutstandingChecks, 6, 5, 1, 1) = DATE(1900,1,0),DATE(1900,1,1),OFFSET('IWP11'!Std9dot1OutstandingChecks, 6, 5, 1, 1))</f>
        <v>1</v>
      </c>
      <c r="D1080" s="185">
        <f ca="1">OFFSET('IWP11'!Std9dot1OutstandingChecks, 6, 6, 1, 1)</f>
        <v>0</v>
      </c>
    </row>
    <row r="1081" spans="1:4">
      <c r="A1081" s="206" t="s">
        <v>1314</v>
      </c>
      <c r="B1081" s="13">
        <f ca="1">OFFSET('IWP11'!Std9dot1OutstandingChecks, 7, 4, 1, 1)</f>
        <v>0</v>
      </c>
      <c r="C1081" s="157">
        <f ca="1">IF(OFFSET('IWP11'!Std9dot1OutstandingChecks, 7, 5, 1, 1) = DATE(1900,1,0),DATE(1900,1,1),OFFSET('IWP11'!Std9dot1OutstandingChecks, 7, 5, 1, 1))</f>
        <v>1</v>
      </c>
      <c r="D1081" s="185">
        <f ca="1">OFFSET('IWP11'!Std9dot1OutstandingChecks, 7, 6, 1, 1)</f>
        <v>0</v>
      </c>
    </row>
    <row r="1082" spans="1:4">
      <c r="A1082" s="206" t="s">
        <v>1314</v>
      </c>
      <c r="B1082" s="13">
        <f ca="1">OFFSET('IWP11'!Std9dot1OutstandingChecks, 8, 4, 1, 1)</f>
        <v>0</v>
      </c>
      <c r="C1082" s="157">
        <f ca="1">IF(OFFSET('IWP11'!Std9dot1OutstandingChecks, 8, 5, 1, 1) = DATE(1900,1,0),DATE(1900,1,1),OFFSET('IWP11'!Std9dot1OutstandingChecks, 8, 5, 1, 1))</f>
        <v>1</v>
      </c>
      <c r="D1082" s="185">
        <f ca="1">OFFSET('IWP11'!Std9dot1OutstandingChecks, 8, 6, 1, 1)</f>
        <v>0</v>
      </c>
    </row>
    <row r="1083" spans="1:4">
      <c r="A1083" s="206" t="s">
        <v>1314</v>
      </c>
      <c r="B1083" s="13">
        <f ca="1">OFFSET('IWP11'!Std9dot1OutstandingChecks, 9, 4, 1, 1)</f>
        <v>0</v>
      </c>
      <c r="C1083" s="157">
        <f ca="1">IF(OFFSET('IWP11'!Std9dot1OutstandingChecks, 9, 5, 1, 1) = DATE(1900,1,0),DATE(1900,1,1),OFFSET('IWP11'!Std9dot1OutstandingChecks, 9, 5, 1, 1))</f>
        <v>1</v>
      </c>
      <c r="D1083" s="185">
        <f ca="1">OFFSET('IWP11'!Std9dot1OutstandingChecks, 9, 6, 1, 1)</f>
        <v>0</v>
      </c>
    </row>
    <row r="1084" spans="1:4">
      <c r="A1084" s="206" t="s">
        <v>1315</v>
      </c>
      <c r="B1084" s="13">
        <f ca="1">OFFSET('IWP12'!Std9dot1OutstandingChecks, 0, 0, 1, 1)</f>
        <v>0</v>
      </c>
      <c r="C1084" s="157">
        <f ca="1">IF(OFFSET('IWP12'!Std9dot1OutstandingChecks, 0, 1, 1, 1) = DATE(1900,1,0),DATE(1900,1,1),OFFSET('IWP12'!Std9dot1OutstandingChecks, 0, 1, 1, 1))</f>
        <v>1</v>
      </c>
      <c r="D1084" s="185">
        <f ca="1">OFFSET('IWP12'!Std9dot1OutstandingChecks, 0, 2, 1, 1)</f>
        <v>0</v>
      </c>
    </row>
    <row r="1085" spans="1:4">
      <c r="A1085" s="206" t="s">
        <v>1315</v>
      </c>
      <c r="B1085" s="13">
        <f ca="1">OFFSET('IWP12'!Std9dot1OutstandingChecks, 1, 0, 1, 1)</f>
        <v>0</v>
      </c>
      <c r="C1085" s="157">
        <f ca="1">IF(OFFSET('IWP12'!Std9dot1OutstandingChecks, 1, 1, 1, 1) = DATE(1900,1,0),DATE(1900,1,1),OFFSET('IWP12'!Std9dot1OutstandingChecks, 1, 1, 1, 1))</f>
        <v>1</v>
      </c>
      <c r="D1085" s="185">
        <f ca="1">OFFSET('IWP12'!Std9dot1OutstandingChecks, 1, 2, 1, 1)</f>
        <v>0</v>
      </c>
    </row>
    <row r="1086" spans="1:4">
      <c r="A1086" s="206" t="s">
        <v>1315</v>
      </c>
      <c r="B1086" s="13">
        <f ca="1">OFFSET('IWP12'!Std9dot1OutstandingChecks, 2, 0, 1, 1)</f>
        <v>0</v>
      </c>
      <c r="C1086" s="157">
        <f ca="1">IF(OFFSET('IWP12'!Std9dot1OutstandingChecks, 2, 1, 1, 1) = DATE(1900,1,0),DATE(1900,1,1),OFFSET('IWP12'!Std9dot1OutstandingChecks, 2, 1, 1, 1))</f>
        <v>1</v>
      </c>
      <c r="D1086" s="185">
        <f ca="1">OFFSET('IWP12'!Std9dot1OutstandingChecks, 2, 2, 1, 1)</f>
        <v>0</v>
      </c>
    </row>
    <row r="1087" spans="1:4">
      <c r="A1087" s="206" t="s">
        <v>1315</v>
      </c>
      <c r="B1087" s="13">
        <f ca="1">OFFSET('IWP12'!Std9dot1OutstandingChecks, 3, 0, 1, 1)</f>
        <v>0</v>
      </c>
      <c r="C1087" s="157">
        <f ca="1">IF(OFFSET('IWP12'!Std9dot1OutstandingChecks, 3, 1, 1, 1) = DATE(1900,1,0),DATE(1900,1,1),OFFSET('IWP12'!Std9dot1OutstandingChecks, 3, 1, 1, 1))</f>
        <v>1</v>
      </c>
      <c r="D1087" s="185">
        <f ca="1">OFFSET('IWP12'!Std9dot1OutstandingChecks, 3, 2, 1, 1)</f>
        <v>0</v>
      </c>
    </row>
    <row r="1088" spans="1:4">
      <c r="A1088" s="206" t="s">
        <v>1315</v>
      </c>
      <c r="B1088" s="13">
        <f ca="1">OFFSET('IWP12'!Std9dot1OutstandingChecks, 4, 0, 1, 1)</f>
        <v>0</v>
      </c>
      <c r="C1088" s="157">
        <f ca="1">IF(OFFSET('IWP12'!Std9dot1OutstandingChecks, 4, 1, 1, 1) = DATE(1900,1,0),DATE(1900,1,1),OFFSET('IWP12'!Std9dot1OutstandingChecks, 4, 1, 1, 1))</f>
        <v>1</v>
      </c>
      <c r="D1088" s="185">
        <f ca="1">OFFSET('IWP12'!Std9dot1OutstandingChecks, 4, 2, 1, 1)</f>
        <v>0</v>
      </c>
    </row>
    <row r="1089" spans="1:4">
      <c r="A1089" s="206" t="s">
        <v>1315</v>
      </c>
      <c r="B1089" s="13">
        <f ca="1">OFFSET('IWP12'!Std9dot1OutstandingChecks, 5, 0, 1, 1)</f>
        <v>0</v>
      </c>
      <c r="C1089" s="157">
        <f ca="1">IF(OFFSET('IWP12'!Std9dot1OutstandingChecks, 5, 1, 1, 1) = DATE(1900,1,0),DATE(1900,1,1),OFFSET('IWP12'!Std9dot1OutstandingChecks, 5, 1, 1, 1))</f>
        <v>1</v>
      </c>
      <c r="D1089" s="185">
        <f ca="1">OFFSET('IWP12'!Std9dot1OutstandingChecks, 5, 2, 1, 1)</f>
        <v>0</v>
      </c>
    </row>
    <row r="1090" spans="1:4">
      <c r="A1090" s="206" t="s">
        <v>1315</v>
      </c>
      <c r="B1090" s="13">
        <f ca="1">OFFSET('IWP12'!Std9dot1OutstandingChecks, 6, 0, 1, 1)</f>
        <v>0</v>
      </c>
      <c r="C1090" s="157">
        <f ca="1">IF(OFFSET('IWP12'!Std9dot1OutstandingChecks, 6, 1, 1, 1) = DATE(1900,1,0),DATE(1900,1,1),OFFSET('IWP12'!Std9dot1OutstandingChecks, 6, 1, 1, 1))</f>
        <v>1</v>
      </c>
      <c r="D1090" s="185">
        <f ca="1">OFFSET('IWP12'!Std9dot1OutstandingChecks, 6, 2, 1, 1)</f>
        <v>0</v>
      </c>
    </row>
    <row r="1091" spans="1:4">
      <c r="A1091" s="206" t="s">
        <v>1315</v>
      </c>
      <c r="B1091" s="13">
        <f ca="1">OFFSET('IWP12'!Std9dot1OutstandingChecks, 7, 0, 1, 1)</f>
        <v>0</v>
      </c>
      <c r="C1091" s="157">
        <f ca="1">IF(OFFSET('IWP12'!Std9dot1OutstandingChecks, 7, 1, 1, 1) = DATE(1900,1,0),DATE(1900,1,1),OFFSET('IWP12'!Std9dot1OutstandingChecks, 7, 1, 1, 1))</f>
        <v>1</v>
      </c>
      <c r="D1091" s="185">
        <f ca="1">OFFSET('IWP12'!Std9dot1OutstandingChecks, 7, 2, 1, 1)</f>
        <v>0</v>
      </c>
    </row>
    <row r="1092" spans="1:4">
      <c r="A1092" s="206" t="s">
        <v>1315</v>
      </c>
      <c r="B1092" s="13">
        <f ca="1">OFFSET('IWP12'!Std9dot1OutstandingChecks, 8, 0, 1, 1)</f>
        <v>0</v>
      </c>
      <c r="C1092" s="157">
        <f ca="1">IF(OFFSET('IWP12'!Std9dot1OutstandingChecks, 8, 1, 1, 1) = DATE(1900,1,0),DATE(1900,1,1),OFFSET('IWP12'!Std9dot1OutstandingChecks, 8, 1, 1, 1))</f>
        <v>1</v>
      </c>
      <c r="D1092" s="185">
        <f ca="1">OFFSET('IWP12'!Std9dot1OutstandingChecks, 8, 2, 1, 1)</f>
        <v>0</v>
      </c>
    </row>
    <row r="1093" spans="1:4">
      <c r="A1093" s="206" t="s">
        <v>1315</v>
      </c>
      <c r="B1093" s="13">
        <f ca="1">OFFSET('IWP12'!Std9dot1OutstandingChecks, 9, 0, 1, 1)</f>
        <v>0</v>
      </c>
      <c r="C1093" s="157">
        <f ca="1">IF(OFFSET('IWP12'!Std9dot1OutstandingChecks, 9, 1, 1, 1) = DATE(1900,1,0),DATE(1900,1,1),OFFSET('IWP12'!Std9dot1OutstandingChecks, 9, 1, 1, 1))</f>
        <v>1</v>
      </c>
      <c r="D1093" s="185">
        <f ca="1">OFFSET('IWP12'!Std9dot1OutstandingChecks, 9, 2, 1, 1)</f>
        <v>0</v>
      </c>
    </row>
    <row r="1094" spans="1:4">
      <c r="A1094" s="206" t="s">
        <v>1315</v>
      </c>
      <c r="B1094" s="13">
        <f ca="1">OFFSET('IWP12'!Std9dot1OutstandingChecks, 0, 4, 1, 1)</f>
        <v>0</v>
      </c>
      <c r="C1094" s="157">
        <f ca="1">IF(OFFSET('IWP12'!Std9dot1OutstandingChecks, 0, 5, 1, 1) = DATE(1900,1,0),DATE(1900,1,1),OFFSET('IWP12'!Std9dot1OutstandingChecks, 0, 5, 1, 1))</f>
        <v>1</v>
      </c>
      <c r="D1094" s="185">
        <f ca="1">OFFSET('IWP12'!Std9dot1OutstandingChecks, 0, 6, 1, 1)</f>
        <v>0</v>
      </c>
    </row>
    <row r="1095" spans="1:4">
      <c r="A1095" s="206" t="s">
        <v>1315</v>
      </c>
      <c r="B1095" s="13">
        <f ca="1">OFFSET('IWP12'!Std9dot1OutstandingChecks, 1, 4, 1, 1)</f>
        <v>0</v>
      </c>
      <c r="C1095" s="157">
        <f ca="1">IF(OFFSET('IWP12'!Std9dot1OutstandingChecks, 1, 5, 1, 1) = DATE(1900,1,0),DATE(1900,1,1),OFFSET('IWP12'!Std9dot1OutstandingChecks, 1, 5, 1, 1))</f>
        <v>1</v>
      </c>
      <c r="D1095" s="185">
        <f ca="1">OFFSET('IWP12'!Std9dot1OutstandingChecks, 1, 6, 1, 1)</f>
        <v>0</v>
      </c>
    </row>
    <row r="1096" spans="1:4">
      <c r="A1096" s="206" t="s">
        <v>1315</v>
      </c>
      <c r="B1096" s="13">
        <f ca="1">OFFSET('IWP12'!Std9dot1OutstandingChecks, 2, 4, 1, 1)</f>
        <v>0</v>
      </c>
      <c r="C1096" s="157">
        <f ca="1">IF(OFFSET('IWP12'!Std9dot1OutstandingChecks, 2, 5, 1, 1) = DATE(1900,1,0),DATE(1900,1,1),OFFSET('IWP12'!Std9dot1OutstandingChecks, 2, 5, 1, 1))</f>
        <v>1</v>
      </c>
      <c r="D1096" s="185">
        <f ca="1">OFFSET('IWP12'!Std9dot1OutstandingChecks, 2, 6, 1, 1)</f>
        <v>0</v>
      </c>
    </row>
    <row r="1097" spans="1:4">
      <c r="A1097" s="206" t="s">
        <v>1315</v>
      </c>
      <c r="B1097" s="13">
        <f ca="1">OFFSET('IWP12'!Std9dot1OutstandingChecks, 3, 4, 1, 1)</f>
        <v>0</v>
      </c>
      <c r="C1097" s="157">
        <f ca="1">IF(OFFSET('IWP12'!Std9dot1OutstandingChecks, 3, 5, 1, 1) = DATE(1900,1,0),DATE(1900,1,1),OFFSET('IWP12'!Std9dot1OutstandingChecks, 3, 5, 1, 1))</f>
        <v>1</v>
      </c>
      <c r="D1097" s="185">
        <f ca="1">OFFSET('IWP12'!Std9dot1OutstandingChecks, 3, 6, 1, 1)</f>
        <v>0</v>
      </c>
    </row>
    <row r="1098" spans="1:4">
      <c r="A1098" s="206" t="s">
        <v>1315</v>
      </c>
      <c r="B1098" s="13">
        <f ca="1">OFFSET('IWP12'!Std9dot1OutstandingChecks, 4, 4, 1, 1)</f>
        <v>0</v>
      </c>
      <c r="C1098" s="157">
        <f ca="1">IF(OFFSET('IWP12'!Std9dot1OutstandingChecks, 4, 5, 1, 1) = DATE(1900,1,0),DATE(1900,1,1),OFFSET('IWP12'!Std9dot1OutstandingChecks, 4, 5, 1, 1))</f>
        <v>1</v>
      </c>
      <c r="D1098" s="185">
        <f ca="1">OFFSET('IWP12'!Std9dot1OutstandingChecks, 4, 6, 1, 1)</f>
        <v>0</v>
      </c>
    </row>
    <row r="1099" spans="1:4">
      <c r="A1099" s="206" t="s">
        <v>1315</v>
      </c>
      <c r="B1099" s="13">
        <f ca="1">OFFSET('IWP12'!Std9dot1OutstandingChecks, 5, 4, 1, 1)</f>
        <v>0</v>
      </c>
      <c r="C1099" s="157">
        <f ca="1">IF(OFFSET('IWP12'!Std9dot1OutstandingChecks, 5, 5, 1, 1) = DATE(1900,1,0),DATE(1900,1,1),OFFSET('IWP12'!Std9dot1OutstandingChecks, 5, 5, 1, 1))</f>
        <v>1</v>
      </c>
      <c r="D1099" s="185">
        <f ca="1">OFFSET('IWP12'!Std9dot1OutstandingChecks, 5, 6, 1, 1)</f>
        <v>0</v>
      </c>
    </row>
    <row r="1100" spans="1:4">
      <c r="A1100" s="206" t="s">
        <v>1315</v>
      </c>
      <c r="B1100" s="13">
        <f ca="1">OFFSET('IWP12'!Std9dot1OutstandingChecks, 6, 4, 1, 1)</f>
        <v>0</v>
      </c>
      <c r="C1100" s="157">
        <f ca="1">IF(OFFSET('IWP12'!Std9dot1OutstandingChecks, 6, 5, 1, 1) = DATE(1900,1,0),DATE(1900,1,1),OFFSET('IWP12'!Std9dot1OutstandingChecks, 6, 5, 1, 1))</f>
        <v>1</v>
      </c>
      <c r="D1100" s="185">
        <f ca="1">OFFSET('IWP12'!Std9dot1OutstandingChecks, 6, 6, 1, 1)</f>
        <v>0</v>
      </c>
    </row>
    <row r="1101" spans="1:4">
      <c r="A1101" s="206" t="s">
        <v>1315</v>
      </c>
      <c r="B1101" s="13">
        <f ca="1">OFFSET('IWP12'!Std9dot1OutstandingChecks, 7, 4, 1, 1)</f>
        <v>0</v>
      </c>
      <c r="C1101" s="157">
        <f ca="1">IF(OFFSET('IWP12'!Std9dot1OutstandingChecks, 7, 5, 1, 1) = DATE(1900,1,0),DATE(1900,1,1),OFFSET('IWP12'!Std9dot1OutstandingChecks, 7, 5, 1, 1))</f>
        <v>1</v>
      </c>
      <c r="D1101" s="185">
        <f ca="1">OFFSET('IWP12'!Std9dot1OutstandingChecks, 7, 6, 1, 1)</f>
        <v>0</v>
      </c>
    </row>
    <row r="1102" spans="1:4">
      <c r="A1102" s="206" t="s">
        <v>1315</v>
      </c>
      <c r="B1102" s="13">
        <f ca="1">OFFSET('IWP12'!Std9dot1OutstandingChecks, 8, 4, 1, 1)</f>
        <v>0</v>
      </c>
      <c r="C1102" s="157">
        <f ca="1">IF(OFFSET('IWP12'!Std9dot1OutstandingChecks, 8, 5, 1, 1) = DATE(1900,1,0),DATE(1900,1,1),OFFSET('IWP12'!Std9dot1OutstandingChecks, 8, 5, 1, 1))</f>
        <v>1</v>
      </c>
      <c r="D1102" s="185">
        <f ca="1">OFFSET('IWP12'!Std9dot1OutstandingChecks, 8, 6, 1, 1)</f>
        <v>0</v>
      </c>
    </row>
    <row r="1103" spans="1:4">
      <c r="A1103" s="206" t="s">
        <v>1315</v>
      </c>
      <c r="B1103" s="13">
        <f ca="1">OFFSET('IWP12'!Std9dot1OutstandingChecks, 9, 4, 1, 1)</f>
        <v>0</v>
      </c>
      <c r="C1103" s="157">
        <f ca="1">IF(OFFSET('IWP12'!Std9dot1OutstandingChecks, 9, 5, 1, 1) = DATE(1900,1,0),DATE(1900,1,1),OFFSET('IWP12'!Std9dot1OutstandingChecks, 9, 5, 1, 1))</f>
        <v>1</v>
      </c>
      <c r="D1103" s="185">
        <f ca="1">OFFSET('IWP12'!Std9dot1OutstandingChecks, 9, 6, 1, 1)</f>
        <v>0</v>
      </c>
    </row>
    <row r="1104" spans="1:4">
      <c r="A1104" s="206" t="s">
        <v>1316</v>
      </c>
      <c r="B1104" s="13">
        <f ca="1">OFFSET('IWP13'!Std9dot1OutstandingChecks, 0, 0, 1, 1)</f>
        <v>0</v>
      </c>
      <c r="C1104" s="157">
        <f ca="1">IF(OFFSET('IWP13'!Std9dot1OutstandingChecks, 0, 1, 1, 1) = DATE(1900,1,0),DATE(1900,1,1),OFFSET('IWP13'!Std9dot1OutstandingChecks, 0, 1, 1, 1))</f>
        <v>1</v>
      </c>
      <c r="D1104" s="185">
        <f ca="1">OFFSET('IWP13'!Std9dot1OutstandingChecks, 0, 2, 1, 1)</f>
        <v>0</v>
      </c>
    </row>
    <row r="1105" spans="1:4">
      <c r="A1105" s="206" t="s">
        <v>1316</v>
      </c>
      <c r="B1105" s="13">
        <f ca="1">OFFSET('IWP13'!Std9dot1OutstandingChecks, 1, 0, 1, 1)</f>
        <v>0</v>
      </c>
      <c r="C1105" s="157">
        <f ca="1">IF(OFFSET('IWP13'!Std9dot1OutstandingChecks, 1, 1, 1, 1) = DATE(1900,1,0),DATE(1900,1,1),OFFSET('IWP13'!Std9dot1OutstandingChecks, 1, 1, 1, 1))</f>
        <v>1</v>
      </c>
      <c r="D1105" s="185">
        <f ca="1">OFFSET('IWP13'!Std9dot1OutstandingChecks, 1, 2, 1, 1)</f>
        <v>0</v>
      </c>
    </row>
    <row r="1106" spans="1:4">
      <c r="A1106" s="206" t="s">
        <v>1316</v>
      </c>
      <c r="B1106" s="13">
        <f ca="1">OFFSET('IWP13'!Std9dot1OutstandingChecks, 2, 0, 1, 1)</f>
        <v>0</v>
      </c>
      <c r="C1106" s="157">
        <f ca="1">IF(OFFSET('IWP13'!Std9dot1OutstandingChecks, 2, 1, 1, 1) = DATE(1900,1,0),DATE(1900,1,1),OFFSET('IWP13'!Std9dot1OutstandingChecks, 2, 1, 1, 1))</f>
        <v>1</v>
      </c>
      <c r="D1106" s="185">
        <f ca="1">OFFSET('IWP13'!Std9dot1OutstandingChecks, 2, 2, 1, 1)</f>
        <v>0</v>
      </c>
    </row>
    <row r="1107" spans="1:4">
      <c r="A1107" s="206" t="s">
        <v>1316</v>
      </c>
      <c r="B1107" s="13">
        <f ca="1">OFFSET('IWP13'!Std9dot1OutstandingChecks, 3, 0, 1, 1)</f>
        <v>0</v>
      </c>
      <c r="C1107" s="157">
        <f ca="1">IF(OFFSET('IWP13'!Std9dot1OutstandingChecks, 3, 1, 1, 1) = DATE(1900,1,0),DATE(1900,1,1),OFFSET('IWP13'!Std9dot1OutstandingChecks, 3, 1, 1, 1))</f>
        <v>1</v>
      </c>
      <c r="D1107" s="185">
        <f ca="1">OFFSET('IWP13'!Std9dot1OutstandingChecks, 3, 2, 1, 1)</f>
        <v>0</v>
      </c>
    </row>
    <row r="1108" spans="1:4">
      <c r="A1108" s="206" t="s">
        <v>1316</v>
      </c>
      <c r="B1108" s="13">
        <f ca="1">OFFSET('IWP13'!Std9dot1OutstandingChecks, 4, 0, 1, 1)</f>
        <v>0</v>
      </c>
      <c r="C1108" s="157">
        <f ca="1">IF(OFFSET('IWP13'!Std9dot1OutstandingChecks, 4, 1, 1, 1) = DATE(1900,1,0),DATE(1900,1,1),OFFSET('IWP13'!Std9dot1OutstandingChecks, 4, 1, 1, 1))</f>
        <v>1</v>
      </c>
      <c r="D1108" s="185">
        <f ca="1">OFFSET('IWP13'!Std9dot1OutstandingChecks, 4, 2, 1, 1)</f>
        <v>0</v>
      </c>
    </row>
    <row r="1109" spans="1:4">
      <c r="A1109" s="206" t="s">
        <v>1316</v>
      </c>
      <c r="B1109" s="13">
        <f ca="1">OFFSET('IWP13'!Std9dot1OutstandingChecks, 5, 0, 1, 1)</f>
        <v>0</v>
      </c>
      <c r="C1109" s="157">
        <f ca="1">IF(OFFSET('IWP13'!Std9dot1OutstandingChecks, 5, 1, 1, 1) = DATE(1900,1,0),DATE(1900,1,1),OFFSET('IWP13'!Std9dot1OutstandingChecks, 5, 1, 1, 1))</f>
        <v>1</v>
      </c>
      <c r="D1109" s="185">
        <f ca="1">OFFSET('IWP13'!Std9dot1OutstandingChecks, 5, 2, 1, 1)</f>
        <v>0</v>
      </c>
    </row>
    <row r="1110" spans="1:4">
      <c r="A1110" s="206" t="s">
        <v>1316</v>
      </c>
      <c r="B1110" s="13">
        <f ca="1">OFFSET('IWP13'!Std9dot1OutstandingChecks, 6, 0, 1, 1)</f>
        <v>0</v>
      </c>
      <c r="C1110" s="157">
        <f ca="1">IF(OFFSET('IWP13'!Std9dot1OutstandingChecks, 6, 1, 1, 1) = DATE(1900,1,0),DATE(1900,1,1),OFFSET('IWP13'!Std9dot1OutstandingChecks, 6, 1, 1, 1))</f>
        <v>1</v>
      </c>
      <c r="D1110" s="185">
        <f ca="1">OFFSET('IWP13'!Std9dot1OutstandingChecks, 6, 2, 1, 1)</f>
        <v>0</v>
      </c>
    </row>
    <row r="1111" spans="1:4">
      <c r="A1111" s="206" t="s">
        <v>1316</v>
      </c>
      <c r="B1111" s="13">
        <f ca="1">OFFSET('IWP13'!Std9dot1OutstandingChecks, 7, 0, 1, 1)</f>
        <v>0</v>
      </c>
      <c r="C1111" s="157">
        <f ca="1">IF(OFFSET('IWP13'!Std9dot1OutstandingChecks, 7, 1, 1, 1) = DATE(1900,1,0),DATE(1900,1,1),OFFSET('IWP13'!Std9dot1OutstandingChecks, 7, 1, 1, 1))</f>
        <v>1</v>
      </c>
      <c r="D1111" s="185">
        <f ca="1">OFFSET('IWP13'!Std9dot1OutstandingChecks, 7, 2, 1, 1)</f>
        <v>0</v>
      </c>
    </row>
    <row r="1112" spans="1:4">
      <c r="A1112" s="206" t="s">
        <v>1316</v>
      </c>
      <c r="B1112" s="13">
        <f ca="1">OFFSET('IWP13'!Std9dot1OutstandingChecks, 8, 0, 1, 1)</f>
        <v>0</v>
      </c>
      <c r="C1112" s="157">
        <f ca="1">IF(OFFSET('IWP13'!Std9dot1OutstandingChecks, 8, 1, 1, 1) = DATE(1900,1,0),DATE(1900,1,1),OFFSET('IWP13'!Std9dot1OutstandingChecks, 8, 1, 1, 1))</f>
        <v>1</v>
      </c>
      <c r="D1112" s="185">
        <f ca="1">OFFSET('IWP13'!Std9dot1OutstandingChecks, 8, 2, 1, 1)</f>
        <v>0</v>
      </c>
    </row>
    <row r="1113" spans="1:4">
      <c r="A1113" s="206" t="s">
        <v>1316</v>
      </c>
      <c r="B1113" s="13">
        <f ca="1">OFFSET('IWP13'!Std9dot1OutstandingChecks, 9, 0, 1, 1)</f>
        <v>0</v>
      </c>
      <c r="C1113" s="157">
        <f ca="1">IF(OFFSET('IWP13'!Std9dot1OutstandingChecks, 9, 1, 1, 1) = DATE(1900,1,0),DATE(1900,1,1),OFFSET('IWP13'!Std9dot1OutstandingChecks, 9, 1, 1, 1))</f>
        <v>1</v>
      </c>
      <c r="D1113" s="185">
        <f ca="1">OFFSET('IWP13'!Std9dot1OutstandingChecks, 9, 2, 1, 1)</f>
        <v>0</v>
      </c>
    </row>
    <row r="1114" spans="1:4">
      <c r="A1114" s="206" t="s">
        <v>1316</v>
      </c>
      <c r="B1114" s="13">
        <f ca="1">OFFSET('IWP13'!Std9dot1OutstandingChecks, 0, 4, 1, 1)</f>
        <v>0</v>
      </c>
      <c r="C1114" s="157">
        <f ca="1">IF(OFFSET('IWP13'!Std9dot1OutstandingChecks, 0, 5, 1, 1) = DATE(1900,1,0),DATE(1900,1,1),OFFSET('IWP13'!Std9dot1OutstandingChecks, 0, 5, 1, 1))</f>
        <v>1</v>
      </c>
      <c r="D1114" s="185">
        <f ca="1">OFFSET('IWP13'!Std9dot1OutstandingChecks, 0, 6, 1, 1)</f>
        <v>0</v>
      </c>
    </row>
    <row r="1115" spans="1:4">
      <c r="A1115" s="206" t="s">
        <v>1316</v>
      </c>
      <c r="B1115" s="13">
        <f ca="1">OFFSET('IWP13'!Std9dot1OutstandingChecks, 1, 4, 1, 1)</f>
        <v>0</v>
      </c>
      <c r="C1115" s="157">
        <f ca="1">IF(OFFSET('IWP13'!Std9dot1OutstandingChecks, 1, 5, 1, 1) = DATE(1900,1,0),DATE(1900,1,1),OFFSET('IWP13'!Std9dot1OutstandingChecks, 1, 5, 1, 1))</f>
        <v>1</v>
      </c>
      <c r="D1115" s="185">
        <f ca="1">OFFSET('IWP13'!Std9dot1OutstandingChecks, 1, 6, 1, 1)</f>
        <v>0</v>
      </c>
    </row>
    <row r="1116" spans="1:4">
      <c r="A1116" s="206" t="s">
        <v>1316</v>
      </c>
      <c r="B1116" s="13">
        <f ca="1">OFFSET('IWP13'!Std9dot1OutstandingChecks, 2, 4, 1, 1)</f>
        <v>0</v>
      </c>
      <c r="C1116" s="157">
        <f ca="1">IF(OFFSET('IWP13'!Std9dot1OutstandingChecks, 2, 5, 1, 1) = DATE(1900,1,0),DATE(1900,1,1),OFFSET('IWP13'!Std9dot1OutstandingChecks, 2, 5, 1, 1))</f>
        <v>1</v>
      </c>
      <c r="D1116" s="185">
        <f ca="1">OFFSET('IWP13'!Std9dot1OutstandingChecks, 2, 6, 1, 1)</f>
        <v>0</v>
      </c>
    </row>
    <row r="1117" spans="1:4">
      <c r="A1117" s="206" t="s">
        <v>1316</v>
      </c>
      <c r="B1117" s="13">
        <f ca="1">OFFSET('IWP13'!Std9dot1OutstandingChecks, 3, 4, 1, 1)</f>
        <v>0</v>
      </c>
      <c r="C1117" s="157">
        <f ca="1">IF(OFFSET('IWP13'!Std9dot1OutstandingChecks, 3, 5, 1, 1) = DATE(1900,1,0),DATE(1900,1,1),OFFSET('IWP13'!Std9dot1OutstandingChecks, 3, 5, 1, 1))</f>
        <v>1</v>
      </c>
      <c r="D1117" s="185">
        <f ca="1">OFFSET('IWP13'!Std9dot1OutstandingChecks, 3, 6, 1, 1)</f>
        <v>0</v>
      </c>
    </row>
    <row r="1118" spans="1:4">
      <c r="A1118" s="206" t="s">
        <v>1316</v>
      </c>
      <c r="B1118" s="13">
        <f ca="1">OFFSET('IWP13'!Std9dot1OutstandingChecks, 4, 4, 1, 1)</f>
        <v>0</v>
      </c>
      <c r="C1118" s="157">
        <f ca="1">IF(OFFSET('IWP13'!Std9dot1OutstandingChecks, 4, 5, 1, 1) = DATE(1900,1,0),DATE(1900,1,1),OFFSET('IWP13'!Std9dot1OutstandingChecks, 4, 5, 1, 1))</f>
        <v>1</v>
      </c>
      <c r="D1118" s="185">
        <f ca="1">OFFSET('IWP13'!Std9dot1OutstandingChecks, 4, 6, 1, 1)</f>
        <v>0</v>
      </c>
    </row>
    <row r="1119" spans="1:4">
      <c r="A1119" s="206" t="s">
        <v>1316</v>
      </c>
      <c r="B1119" s="13">
        <f ca="1">OFFSET('IWP13'!Std9dot1OutstandingChecks, 5, 4, 1, 1)</f>
        <v>0</v>
      </c>
      <c r="C1119" s="157">
        <f ca="1">IF(OFFSET('IWP13'!Std9dot1OutstandingChecks, 5, 5, 1, 1) = DATE(1900,1,0),DATE(1900,1,1),OFFSET('IWP13'!Std9dot1OutstandingChecks, 5, 5, 1, 1))</f>
        <v>1</v>
      </c>
      <c r="D1119" s="185">
        <f ca="1">OFFSET('IWP13'!Std9dot1OutstandingChecks, 5, 6, 1, 1)</f>
        <v>0</v>
      </c>
    </row>
    <row r="1120" spans="1:4">
      <c r="A1120" s="206" t="s">
        <v>1316</v>
      </c>
      <c r="B1120" s="13">
        <f ca="1">OFFSET('IWP13'!Std9dot1OutstandingChecks, 6, 4, 1, 1)</f>
        <v>0</v>
      </c>
      <c r="C1120" s="157">
        <f ca="1">IF(OFFSET('IWP13'!Std9dot1OutstandingChecks, 6, 5, 1, 1) = DATE(1900,1,0),DATE(1900,1,1),OFFSET('IWP13'!Std9dot1OutstandingChecks, 6, 5, 1, 1))</f>
        <v>1</v>
      </c>
      <c r="D1120" s="185">
        <f ca="1">OFFSET('IWP13'!Std9dot1OutstandingChecks, 6, 6, 1, 1)</f>
        <v>0</v>
      </c>
    </row>
    <row r="1121" spans="1:4">
      <c r="A1121" s="206" t="s">
        <v>1316</v>
      </c>
      <c r="B1121" s="13">
        <f ca="1">OFFSET('IWP13'!Std9dot1OutstandingChecks, 7, 4, 1, 1)</f>
        <v>0</v>
      </c>
      <c r="C1121" s="157">
        <f ca="1">IF(OFFSET('IWP13'!Std9dot1OutstandingChecks, 7, 5, 1, 1) = DATE(1900,1,0),DATE(1900,1,1),OFFSET('IWP13'!Std9dot1OutstandingChecks, 7, 5, 1, 1))</f>
        <v>1</v>
      </c>
      <c r="D1121" s="185">
        <f ca="1">OFFSET('IWP13'!Std9dot1OutstandingChecks, 7, 6, 1, 1)</f>
        <v>0</v>
      </c>
    </row>
    <row r="1122" spans="1:4">
      <c r="A1122" s="206" t="s">
        <v>1316</v>
      </c>
      <c r="B1122" s="13">
        <f ca="1">OFFSET('IWP13'!Std9dot1OutstandingChecks, 8, 4, 1, 1)</f>
        <v>0</v>
      </c>
      <c r="C1122" s="157">
        <f ca="1">IF(OFFSET('IWP13'!Std9dot1OutstandingChecks, 8, 5, 1, 1) = DATE(1900,1,0),DATE(1900,1,1),OFFSET('IWP13'!Std9dot1OutstandingChecks, 8, 5, 1, 1))</f>
        <v>1</v>
      </c>
      <c r="D1122" s="185">
        <f ca="1">OFFSET('IWP13'!Std9dot1OutstandingChecks, 8, 6, 1, 1)</f>
        <v>0</v>
      </c>
    </row>
    <row r="1123" spans="1:4">
      <c r="A1123" s="206" t="s">
        <v>1316</v>
      </c>
      <c r="B1123" s="13">
        <f ca="1">OFFSET('IWP13'!Std9dot1OutstandingChecks, 9, 4, 1, 1)</f>
        <v>0</v>
      </c>
      <c r="C1123" s="157">
        <f ca="1">IF(OFFSET('IWP13'!Std9dot1OutstandingChecks, 9, 5, 1, 1) = DATE(1900,1,0),DATE(1900,1,1),OFFSET('IWP13'!Std9dot1OutstandingChecks, 9, 5, 1, 1))</f>
        <v>1</v>
      </c>
      <c r="D1123" s="185">
        <f ca="1">OFFSET('IWP13'!Std9dot1OutstandingChecks, 9, 6, 1, 1)</f>
        <v>0</v>
      </c>
    </row>
    <row r="1124" spans="1:4">
      <c r="A1124" s="206" t="s">
        <v>1317</v>
      </c>
      <c r="B1124" s="13">
        <f ca="1">OFFSET('IWP14'!Std9dot1OutstandingChecks, 0, 0, 1, 1)</f>
        <v>0</v>
      </c>
      <c r="C1124" s="157">
        <f ca="1">IF(OFFSET('IWP14'!Std9dot1OutstandingChecks, 0, 1, 1, 1) = DATE(1900,1,0),DATE(1900,1,1),OFFSET('IWP14'!Std9dot1OutstandingChecks, 0, 1, 1, 1))</f>
        <v>1</v>
      </c>
      <c r="D1124" s="185">
        <f ca="1">OFFSET('IWP14'!Std9dot1OutstandingChecks, 0, 2, 1, 1)</f>
        <v>0</v>
      </c>
    </row>
    <row r="1125" spans="1:4">
      <c r="A1125" s="206" t="s">
        <v>1317</v>
      </c>
      <c r="B1125" s="13">
        <f ca="1">OFFSET('IWP14'!Std9dot1OutstandingChecks, 1, 0, 1, 1)</f>
        <v>0</v>
      </c>
      <c r="C1125" s="157">
        <f ca="1">IF(OFFSET('IWP14'!Std9dot1OutstandingChecks, 1, 1, 1, 1) = DATE(1900,1,0),DATE(1900,1,1),OFFSET('IWP14'!Std9dot1OutstandingChecks, 1, 1, 1, 1))</f>
        <v>1</v>
      </c>
      <c r="D1125" s="185">
        <f ca="1">OFFSET('IWP14'!Std9dot1OutstandingChecks, 1, 2, 1, 1)</f>
        <v>0</v>
      </c>
    </row>
    <row r="1126" spans="1:4">
      <c r="A1126" s="206" t="s">
        <v>1317</v>
      </c>
      <c r="B1126" s="13">
        <f ca="1">OFFSET('IWP14'!Std9dot1OutstandingChecks, 2, 0, 1, 1)</f>
        <v>0</v>
      </c>
      <c r="C1126" s="157">
        <f ca="1">IF(OFFSET('IWP14'!Std9dot1OutstandingChecks, 2, 1, 1, 1) = DATE(1900,1,0),DATE(1900,1,1),OFFSET('IWP14'!Std9dot1OutstandingChecks, 2, 1, 1, 1))</f>
        <v>1</v>
      </c>
      <c r="D1126" s="185">
        <f ca="1">OFFSET('IWP14'!Std9dot1OutstandingChecks, 2, 2, 1, 1)</f>
        <v>0</v>
      </c>
    </row>
    <row r="1127" spans="1:4">
      <c r="A1127" s="206" t="s">
        <v>1317</v>
      </c>
      <c r="B1127" s="13">
        <f ca="1">OFFSET('IWP14'!Std9dot1OutstandingChecks, 3, 0, 1, 1)</f>
        <v>0</v>
      </c>
      <c r="C1127" s="157">
        <f ca="1">IF(OFFSET('IWP14'!Std9dot1OutstandingChecks, 3, 1, 1, 1) = DATE(1900,1,0),DATE(1900,1,1),OFFSET('IWP14'!Std9dot1OutstandingChecks, 3, 1, 1, 1))</f>
        <v>1</v>
      </c>
      <c r="D1127" s="185">
        <f ca="1">OFFSET('IWP14'!Std9dot1OutstandingChecks, 3, 2, 1, 1)</f>
        <v>0</v>
      </c>
    </row>
    <row r="1128" spans="1:4">
      <c r="A1128" s="206" t="s">
        <v>1317</v>
      </c>
      <c r="B1128" s="13">
        <f ca="1">OFFSET('IWP14'!Std9dot1OutstandingChecks, 4, 0, 1, 1)</f>
        <v>0</v>
      </c>
      <c r="C1128" s="157">
        <f ca="1">IF(OFFSET('IWP14'!Std9dot1OutstandingChecks, 4, 1, 1, 1) = DATE(1900,1,0),DATE(1900,1,1),OFFSET('IWP14'!Std9dot1OutstandingChecks, 4, 1, 1, 1))</f>
        <v>1</v>
      </c>
      <c r="D1128" s="185">
        <f ca="1">OFFSET('IWP14'!Std9dot1OutstandingChecks, 4, 2, 1, 1)</f>
        <v>0</v>
      </c>
    </row>
    <row r="1129" spans="1:4">
      <c r="A1129" s="206" t="s">
        <v>1317</v>
      </c>
      <c r="B1129" s="13">
        <f ca="1">OFFSET('IWP14'!Std9dot1OutstandingChecks, 5, 0, 1, 1)</f>
        <v>0</v>
      </c>
      <c r="C1129" s="157">
        <f ca="1">IF(OFFSET('IWP14'!Std9dot1OutstandingChecks, 5, 1, 1, 1) = DATE(1900,1,0),DATE(1900,1,1),OFFSET('IWP14'!Std9dot1OutstandingChecks, 5, 1, 1, 1))</f>
        <v>1</v>
      </c>
      <c r="D1129" s="185">
        <f ca="1">OFFSET('IWP14'!Std9dot1OutstandingChecks, 5, 2, 1, 1)</f>
        <v>0</v>
      </c>
    </row>
    <row r="1130" spans="1:4">
      <c r="A1130" s="206" t="s">
        <v>1317</v>
      </c>
      <c r="B1130" s="13">
        <f ca="1">OFFSET('IWP14'!Std9dot1OutstandingChecks, 6, 0, 1, 1)</f>
        <v>0</v>
      </c>
      <c r="C1130" s="157">
        <f ca="1">IF(OFFSET('IWP14'!Std9dot1OutstandingChecks, 6, 1, 1, 1) = DATE(1900,1,0),DATE(1900,1,1),OFFSET('IWP14'!Std9dot1OutstandingChecks, 6, 1, 1, 1))</f>
        <v>1</v>
      </c>
      <c r="D1130" s="185">
        <f ca="1">OFFSET('IWP14'!Std9dot1OutstandingChecks, 6, 2, 1, 1)</f>
        <v>0</v>
      </c>
    </row>
    <row r="1131" spans="1:4">
      <c r="A1131" s="206" t="s">
        <v>1317</v>
      </c>
      <c r="B1131" s="13">
        <f ca="1">OFFSET('IWP14'!Std9dot1OutstandingChecks, 7, 0, 1, 1)</f>
        <v>0</v>
      </c>
      <c r="C1131" s="157">
        <f ca="1">IF(OFFSET('IWP14'!Std9dot1OutstandingChecks, 7, 1, 1, 1) = DATE(1900,1,0),DATE(1900,1,1),OFFSET('IWP14'!Std9dot1OutstandingChecks, 7, 1, 1, 1))</f>
        <v>1</v>
      </c>
      <c r="D1131" s="185">
        <f ca="1">OFFSET('IWP14'!Std9dot1OutstandingChecks, 7, 2, 1, 1)</f>
        <v>0</v>
      </c>
    </row>
    <row r="1132" spans="1:4">
      <c r="A1132" s="206" t="s">
        <v>1317</v>
      </c>
      <c r="B1132" s="13">
        <f ca="1">OFFSET('IWP14'!Std9dot1OutstandingChecks, 8, 0, 1, 1)</f>
        <v>0</v>
      </c>
      <c r="C1132" s="157">
        <f ca="1">IF(OFFSET('IWP14'!Std9dot1OutstandingChecks, 8, 1, 1, 1) = DATE(1900,1,0),DATE(1900,1,1),OFFSET('IWP14'!Std9dot1OutstandingChecks, 8, 1, 1, 1))</f>
        <v>1</v>
      </c>
      <c r="D1132" s="185">
        <f ca="1">OFFSET('IWP14'!Std9dot1OutstandingChecks, 8, 2, 1, 1)</f>
        <v>0</v>
      </c>
    </row>
    <row r="1133" spans="1:4">
      <c r="A1133" s="206" t="s">
        <v>1317</v>
      </c>
      <c r="B1133" s="13">
        <f ca="1">OFFSET('IWP14'!Std9dot1OutstandingChecks, 9, 0, 1, 1)</f>
        <v>0</v>
      </c>
      <c r="C1133" s="157">
        <f ca="1">IF(OFFSET('IWP14'!Std9dot1OutstandingChecks, 9, 1, 1, 1) = DATE(1900,1,0),DATE(1900,1,1),OFFSET('IWP14'!Std9dot1OutstandingChecks, 9, 1, 1, 1))</f>
        <v>1</v>
      </c>
      <c r="D1133" s="185">
        <f ca="1">OFFSET('IWP14'!Std9dot1OutstandingChecks, 9, 2, 1, 1)</f>
        <v>0</v>
      </c>
    </row>
    <row r="1134" spans="1:4">
      <c r="A1134" s="206" t="s">
        <v>1317</v>
      </c>
      <c r="B1134" s="13">
        <f ca="1">OFFSET('IWP14'!Std9dot1OutstandingChecks, 0, 4, 1, 1)</f>
        <v>0</v>
      </c>
      <c r="C1134" s="157">
        <f ca="1">IF(OFFSET('IWP14'!Std9dot1OutstandingChecks, 0, 5, 1, 1) = DATE(1900,1,0),DATE(1900,1,1),OFFSET('IWP14'!Std9dot1OutstandingChecks, 0, 5, 1, 1))</f>
        <v>1</v>
      </c>
      <c r="D1134" s="185">
        <f ca="1">OFFSET('IWP14'!Std9dot1OutstandingChecks, 0, 6, 1, 1)</f>
        <v>0</v>
      </c>
    </row>
    <row r="1135" spans="1:4">
      <c r="A1135" s="206" t="s">
        <v>1317</v>
      </c>
      <c r="B1135" s="13">
        <f ca="1">OFFSET('IWP14'!Std9dot1OutstandingChecks, 1, 4, 1, 1)</f>
        <v>0</v>
      </c>
      <c r="C1135" s="157">
        <f ca="1">IF(OFFSET('IWP14'!Std9dot1OutstandingChecks, 1, 5, 1, 1) = DATE(1900,1,0),DATE(1900,1,1),OFFSET('IWP14'!Std9dot1OutstandingChecks, 1, 5, 1, 1))</f>
        <v>1</v>
      </c>
      <c r="D1135" s="185">
        <f ca="1">OFFSET('IWP14'!Std9dot1OutstandingChecks, 1, 6, 1, 1)</f>
        <v>0</v>
      </c>
    </row>
    <row r="1136" spans="1:4">
      <c r="A1136" s="206" t="s">
        <v>1317</v>
      </c>
      <c r="B1136" s="13">
        <f ca="1">OFFSET('IWP14'!Std9dot1OutstandingChecks, 2, 4, 1, 1)</f>
        <v>0</v>
      </c>
      <c r="C1136" s="157">
        <f ca="1">IF(OFFSET('IWP14'!Std9dot1OutstandingChecks, 2, 5, 1, 1) = DATE(1900,1,0),DATE(1900,1,1),OFFSET('IWP14'!Std9dot1OutstandingChecks, 2, 5, 1, 1))</f>
        <v>1</v>
      </c>
      <c r="D1136" s="185">
        <f ca="1">OFFSET('IWP14'!Std9dot1OutstandingChecks, 2, 6, 1, 1)</f>
        <v>0</v>
      </c>
    </row>
    <row r="1137" spans="1:4">
      <c r="A1137" s="206" t="s">
        <v>1317</v>
      </c>
      <c r="B1137" s="13">
        <f ca="1">OFFSET('IWP14'!Std9dot1OutstandingChecks, 3, 4, 1, 1)</f>
        <v>0</v>
      </c>
      <c r="C1137" s="157">
        <f ca="1">IF(OFFSET('IWP14'!Std9dot1OutstandingChecks, 3, 5, 1, 1) = DATE(1900,1,0),DATE(1900,1,1),OFFSET('IWP14'!Std9dot1OutstandingChecks, 3, 5, 1, 1))</f>
        <v>1</v>
      </c>
      <c r="D1137" s="185">
        <f ca="1">OFFSET('IWP14'!Std9dot1OutstandingChecks, 3, 6, 1, 1)</f>
        <v>0</v>
      </c>
    </row>
    <row r="1138" spans="1:4">
      <c r="A1138" s="206" t="s">
        <v>1317</v>
      </c>
      <c r="B1138" s="13">
        <f ca="1">OFFSET('IWP14'!Std9dot1OutstandingChecks, 4, 4, 1, 1)</f>
        <v>0</v>
      </c>
      <c r="C1138" s="157">
        <f ca="1">IF(OFFSET('IWP14'!Std9dot1OutstandingChecks, 4, 5, 1, 1) = DATE(1900,1,0),DATE(1900,1,1),OFFSET('IWP14'!Std9dot1OutstandingChecks, 4, 5, 1, 1))</f>
        <v>1</v>
      </c>
      <c r="D1138" s="185">
        <f ca="1">OFFSET('IWP14'!Std9dot1OutstandingChecks, 4, 6, 1, 1)</f>
        <v>0</v>
      </c>
    </row>
    <row r="1139" spans="1:4">
      <c r="A1139" s="206" t="s">
        <v>1317</v>
      </c>
      <c r="B1139" s="13">
        <f ca="1">OFFSET('IWP14'!Std9dot1OutstandingChecks, 5, 4, 1, 1)</f>
        <v>0</v>
      </c>
      <c r="C1139" s="157">
        <f ca="1">IF(OFFSET('IWP14'!Std9dot1OutstandingChecks, 5, 5, 1, 1) = DATE(1900,1,0),DATE(1900,1,1),OFFSET('IWP14'!Std9dot1OutstandingChecks, 5, 5, 1, 1))</f>
        <v>1</v>
      </c>
      <c r="D1139" s="185">
        <f ca="1">OFFSET('IWP14'!Std9dot1OutstandingChecks, 5, 6, 1, 1)</f>
        <v>0</v>
      </c>
    </row>
    <row r="1140" spans="1:4">
      <c r="A1140" s="206" t="s">
        <v>1317</v>
      </c>
      <c r="B1140" s="13">
        <f ca="1">OFFSET('IWP14'!Std9dot1OutstandingChecks, 6, 4, 1, 1)</f>
        <v>0</v>
      </c>
      <c r="C1140" s="157">
        <f ca="1">IF(OFFSET('IWP14'!Std9dot1OutstandingChecks, 6, 5, 1, 1) = DATE(1900,1,0),DATE(1900,1,1),OFFSET('IWP14'!Std9dot1OutstandingChecks, 6, 5, 1, 1))</f>
        <v>1</v>
      </c>
      <c r="D1140" s="185">
        <f ca="1">OFFSET('IWP14'!Std9dot1OutstandingChecks, 6, 6, 1, 1)</f>
        <v>0</v>
      </c>
    </row>
    <row r="1141" spans="1:4">
      <c r="A1141" s="206" t="s">
        <v>1317</v>
      </c>
      <c r="B1141" s="13">
        <f ca="1">OFFSET('IWP14'!Std9dot1OutstandingChecks, 7, 4, 1, 1)</f>
        <v>0</v>
      </c>
      <c r="C1141" s="157">
        <f ca="1">IF(OFFSET('IWP14'!Std9dot1OutstandingChecks, 7, 5, 1, 1) = DATE(1900,1,0),DATE(1900,1,1),OFFSET('IWP14'!Std9dot1OutstandingChecks, 7, 5, 1, 1))</f>
        <v>1</v>
      </c>
      <c r="D1141" s="185">
        <f ca="1">OFFSET('IWP14'!Std9dot1OutstandingChecks, 7, 6, 1, 1)</f>
        <v>0</v>
      </c>
    </row>
    <row r="1142" spans="1:4">
      <c r="A1142" s="206" t="s">
        <v>1317</v>
      </c>
      <c r="B1142" s="13">
        <f ca="1">OFFSET('IWP14'!Std9dot1OutstandingChecks, 8, 4, 1, 1)</f>
        <v>0</v>
      </c>
      <c r="C1142" s="157">
        <f ca="1">IF(OFFSET('IWP14'!Std9dot1OutstandingChecks, 8, 5, 1, 1) = DATE(1900,1,0),DATE(1900,1,1),OFFSET('IWP14'!Std9dot1OutstandingChecks, 8, 5, 1, 1))</f>
        <v>1</v>
      </c>
      <c r="D1142" s="185">
        <f ca="1">OFFSET('IWP14'!Std9dot1OutstandingChecks, 8, 6, 1, 1)</f>
        <v>0</v>
      </c>
    </row>
    <row r="1143" spans="1:4">
      <c r="A1143" s="206" t="s">
        <v>1317</v>
      </c>
      <c r="B1143" s="13">
        <f ca="1">OFFSET('IWP14'!Std9dot1OutstandingChecks, 9, 4, 1, 1)</f>
        <v>0</v>
      </c>
      <c r="C1143" s="157">
        <f ca="1">IF(OFFSET('IWP14'!Std9dot1OutstandingChecks, 9, 5, 1, 1) = DATE(1900,1,0),DATE(1900,1,1),OFFSET('IWP14'!Std9dot1OutstandingChecks, 9, 5, 1, 1))</f>
        <v>1</v>
      </c>
      <c r="D1143" s="185">
        <f ca="1">OFFSET('IWP14'!Std9dot1OutstandingChecks, 9, 6, 1, 1)</f>
        <v>0</v>
      </c>
    </row>
    <row r="1144" spans="1:4">
      <c r="A1144" s="206" t="s">
        <v>1318</v>
      </c>
      <c r="B1144" s="13">
        <f ca="1">OFFSET('IWP15'!Std9dot1OutstandingChecks, 0, 0, 1, 1)</f>
        <v>0</v>
      </c>
      <c r="C1144" s="157">
        <f ca="1">IF(OFFSET('IWP15'!Std9dot1OutstandingChecks, 0, 1, 1, 1) = DATE(1900,1,0),DATE(1900,1,1),OFFSET('IWP15'!Std9dot1OutstandingChecks, 0, 1, 1, 1))</f>
        <v>1</v>
      </c>
      <c r="D1144" s="185">
        <f ca="1">OFFSET('IWP15'!Std9dot1OutstandingChecks, 0, 2, 1, 1)</f>
        <v>0</v>
      </c>
    </row>
    <row r="1145" spans="1:4">
      <c r="A1145" s="206" t="s">
        <v>1318</v>
      </c>
      <c r="B1145" s="13">
        <f ca="1">OFFSET('IWP15'!Std9dot1OutstandingChecks, 1, 0, 1, 1)</f>
        <v>0</v>
      </c>
      <c r="C1145" s="157">
        <f ca="1">IF(OFFSET('IWP15'!Std9dot1OutstandingChecks, 1, 1, 1, 1) = DATE(1900,1,0),DATE(1900,1,1),OFFSET('IWP15'!Std9dot1OutstandingChecks, 1, 1, 1, 1))</f>
        <v>1</v>
      </c>
      <c r="D1145" s="185">
        <f ca="1">OFFSET('IWP15'!Std9dot1OutstandingChecks, 1, 2, 1, 1)</f>
        <v>0</v>
      </c>
    </row>
    <row r="1146" spans="1:4">
      <c r="A1146" s="206" t="s">
        <v>1318</v>
      </c>
      <c r="B1146" s="13">
        <f ca="1">OFFSET('IWP15'!Std9dot1OutstandingChecks, 2, 0, 1, 1)</f>
        <v>0</v>
      </c>
      <c r="C1146" s="157">
        <f ca="1">IF(OFFSET('IWP15'!Std9dot1OutstandingChecks, 2, 1, 1, 1) = DATE(1900,1,0),DATE(1900,1,1),OFFSET('IWP15'!Std9dot1OutstandingChecks, 2, 1, 1, 1))</f>
        <v>1</v>
      </c>
      <c r="D1146" s="185">
        <f ca="1">OFFSET('IWP15'!Std9dot1OutstandingChecks, 2, 2, 1, 1)</f>
        <v>0</v>
      </c>
    </row>
    <row r="1147" spans="1:4">
      <c r="A1147" s="206" t="s">
        <v>1318</v>
      </c>
      <c r="B1147" s="13">
        <f ca="1">OFFSET('IWP15'!Std9dot1OutstandingChecks, 3, 0, 1, 1)</f>
        <v>0</v>
      </c>
      <c r="C1147" s="157">
        <f ca="1">IF(OFFSET('IWP15'!Std9dot1OutstandingChecks, 3, 1, 1, 1) = DATE(1900,1,0),DATE(1900,1,1),OFFSET('IWP15'!Std9dot1OutstandingChecks, 3, 1, 1, 1))</f>
        <v>1</v>
      </c>
      <c r="D1147" s="185">
        <f ca="1">OFFSET('IWP15'!Std9dot1OutstandingChecks, 3, 2, 1, 1)</f>
        <v>0</v>
      </c>
    </row>
    <row r="1148" spans="1:4">
      <c r="A1148" s="206" t="s">
        <v>1318</v>
      </c>
      <c r="B1148" s="13">
        <f ca="1">OFFSET('IWP15'!Std9dot1OutstandingChecks, 4, 0, 1, 1)</f>
        <v>0</v>
      </c>
      <c r="C1148" s="157">
        <f ca="1">IF(OFFSET('IWP15'!Std9dot1OutstandingChecks, 4, 1, 1, 1) = DATE(1900,1,0),DATE(1900,1,1),OFFSET('IWP15'!Std9dot1OutstandingChecks, 4, 1, 1, 1))</f>
        <v>1</v>
      </c>
      <c r="D1148" s="185">
        <f ca="1">OFFSET('IWP15'!Std9dot1OutstandingChecks, 4, 2, 1, 1)</f>
        <v>0</v>
      </c>
    </row>
    <row r="1149" spans="1:4">
      <c r="A1149" s="206" t="s">
        <v>1318</v>
      </c>
      <c r="B1149" s="13">
        <f ca="1">OFFSET('IWP15'!Std9dot1OutstandingChecks, 5, 0, 1, 1)</f>
        <v>0</v>
      </c>
      <c r="C1149" s="157">
        <f ca="1">IF(OFFSET('IWP15'!Std9dot1OutstandingChecks, 5, 1, 1, 1) = DATE(1900,1,0),DATE(1900,1,1),OFFSET('IWP15'!Std9dot1OutstandingChecks, 5, 1, 1, 1))</f>
        <v>1</v>
      </c>
      <c r="D1149" s="185">
        <f ca="1">OFFSET('IWP15'!Std9dot1OutstandingChecks, 5, 2, 1, 1)</f>
        <v>0</v>
      </c>
    </row>
    <row r="1150" spans="1:4">
      <c r="A1150" s="206" t="s">
        <v>1318</v>
      </c>
      <c r="B1150" s="13">
        <f ca="1">OFFSET('IWP15'!Std9dot1OutstandingChecks, 6, 0, 1, 1)</f>
        <v>0</v>
      </c>
      <c r="C1150" s="157">
        <f ca="1">IF(OFFSET('IWP15'!Std9dot1OutstandingChecks, 6, 1, 1, 1) = DATE(1900,1,0),DATE(1900,1,1),OFFSET('IWP15'!Std9dot1OutstandingChecks, 6, 1, 1, 1))</f>
        <v>1</v>
      </c>
      <c r="D1150" s="185">
        <f ca="1">OFFSET('IWP15'!Std9dot1OutstandingChecks, 6, 2, 1, 1)</f>
        <v>0</v>
      </c>
    </row>
    <row r="1151" spans="1:4">
      <c r="A1151" s="206" t="s">
        <v>1318</v>
      </c>
      <c r="B1151" s="13">
        <f ca="1">OFFSET('IWP15'!Std9dot1OutstandingChecks, 7, 0, 1, 1)</f>
        <v>0</v>
      </c>
      <c r="C1151" s="157">
        <f ca="1">IF(OFFSET('IWP15'!Std9dot1OutstandingChecks, 7, 1, 1, 1) = DATE(1900,1,0),DATE(1900,1,1),OFFSET('IWP15'!Std9dot1OutstandingChecks, 7, 1, 1, 1))</f>
        <v>1</v>
      </c>
      <c r="D1151" s="185">
        <f ca="1">OFFSET('IWP15'!Std9dot1OutstandingChecks, 7, 2, 1, 1)</f>
        <v>0</v>
      </c>
    </row>
    <row r="1152" spans="1:4">
      <c r="A1152" s="206" t="s">
        <v>1318</v>
      </c>
      <c r="B1152" s="13">
        <f ca="1">OFFSET('IWP15'!Std9dot1OutstandingChecks, 8, 0, 1, 1)</f>
        <v>0</v>
      </c>
      <c r="C1152" s="157">
        <f ca="1">IF(OFFSET('IWP15'!Std9dot1OutstandingChecks, 8, 1, 1, 1) = DATE(1900,1,0),DATE(1900,1,1),OFFSET('IWP15'!Std9dot1OutstandingChecks, 8, 1, 1, 1))</f>
        <v>1</v>
      </c>
      <c r="D1152" s="185">
        <f ca="1">OFFSET('IWP15'!Std9dot1OutstandingChecks, 8, 2, 1, 1)</f>
        <v>0</v>
      </c>
    </row>
    <row r="1153" spans="1:4">
      <c r="A1153" s="206" t="s">
        <v>1318</v>
      </c>
      <c r="B1153" s="13">
        <f ca="1">OFFSET('IWP15'!Std9dot1OutstandingChecks, 9, 0, 1, 1)</f>
        <v>0</v>
      </c>
      <c r="C1153" s="157">
        <f ca="1">IF(OFFSET('IWP15'!Std9dot1OutstandingChecks, 9, 1, 1, 1) = DATE(1900,1,0),DATE(1900,1,1),OFFSET('IWP15'!Std9dot1OutstandingChecks, 9, 1, 1, 1))</f>
        <v>1</v>
      </c>
      <c r="D1153" s="185">
        <f ca="1">OFFSET('IWP15'!Std9dot1OutstandingChecks, 9, 2, 1, 1)</f>
        <v>0</v>
      </c>
    </row>
    <row r="1154" spans="1:4">
      <c r="A1154" s="206" t="s">
        <v>1318</v>
      </c>
      <c r="B1154" s="13">
        <f ca="1">OFFSET('IWP15'!Std9dot1OutstandingChecks, 0, 4, 1, 1)</f>
        <v>0</v>
      </c>
      <c r="C1154" s="157">
        <f ca="1">IF(OFFSET('IWP15'!Std9dot1OutstandingChecks, 0, 5, 1, 1) = DATE(1900,1,0),DATE(1900,1,1),OFFSET('IWP15'!Std9dot1OutstandingChecks, 0, 5, 1, 1))</f>
        <v>1</v>
      </c>
      <c r="D1154" s="185">
        <f ca="1">OFFSET('IWP15'!Std9dot1OutstandingChecks, 0, 6, 1, 1)</f>
        <v>0</v>
      </c>
    </row>
    <row r="1155" spans="1:4">
      <c r="A1155" s="206" t="s">
        <v>1318</v>
      </c>
      <c r="B1155" s="13">
        <f ca="1">OFFSET('IWP15'!Std9dot1OutstandingChecks, 1, 4, 1, 1)</f>
        <v>0</v>
      </c>
      <c r="C1155" s="157">
        <f ca="1">IF(OFFSET('IWP15'!Std9dot1OutstandingChecks, 1, 5, 1, 1) = DATE(1900,1,0),DATE(1900,1,1),OFFSET('IWP15'!Std9dot1OutstandingChecks, 1, 5, 1, 1))</f>
        <v>1</v>
      </c>
      <c r="D1155" s="185">
        <f ca="1">OFFSET('IWP15'!Std9dot1OutstandingChecks, 1, 6, 1, 1)</f>
        <v>0</v>
      </c>
    </row>
    <row r="1156" spans="1:4">
      <c r="A1156" s="206" t="s">
        <v>1318</v>
      </c>
      <c r="B1156" s="13">
        <f ca="1">OFFSET('IWP15'!Std9dot1OutstandingChecks, 2, 4, 1, 1)</f>
        <v>0</v>
      </c>
      <c r="C1156" s="157">
        <f ca="1">IF(OFFSET('IWP15'!Std9dot1OutstandingChecks, 2, 5, 1, 1) = DATE(1900,1,0),DATE(1900,1,1),OFFSET('IWP15'!Std9dot1OutstandingChecks, 2, 5, 1, 1))</f>
        <v>1</v>
      </c>
      <c r="D1156" s="185">
        <f ca="1">OFFSET('IWP15'!Std9dot1OutstandingChecks, 2, 6, 1, 1)</f>
        <v>0</v>
      </c>
    </row>
    <row r="1157" spans="1:4">
      <c r="A1157" s="206" t="s">
        <v>1318</v>
      </c>
      <c r="B1157" s="13">
        <f ca="1">OFFSET('IWP15'!Std9dot1OutstandingChecks, 3, 4, 1, 1)</f>
        <v>0</v>
      </c>
      <c r="C1157" s="157">
        <f ca="1">IF(OFFSET('IWP15'!Std9dot1OutstandingChecks, 3, 5, 1, 1) = DATE(1900,1,0),DATE(1900,1,1),OFFSET('IWP15'!Std9dot1OutstandingChecks, 3, 5, 1, 1))</f>
        <v>1</v>
      </c>
      <c r="D1157" s="185">
        <f ca="1">OFFSET('IWP15'!Std9dot1OutstandingChecks, 3, 6, 1, 1)</f>
        <v>0</v>
      </c>
    </row>
    <row r="1158" spans="1:4">
      <c r="A1158" s="206" t="s">
        <v>1318</v>
      </c>
      <c r="B1158" s="13">
        <f ca="1">OFFSET('IWP15'!Std9dot1OutstandingChecks, 4, 4, 1, 1)</f>
        <v>0</v>
      </c>
      <c r="C1158" s="157">
        <f ca="1">IF(OFFSET('IWP15'!Std9dot1OutstandingChecks, 4, 5, 1, 1) = DATE(1900,1,0),DATE(1900,1,1),OFFSET('IWP15'!Std9dot1OutstandingChecks, 4, 5, 1, 1))</f>
        <v>1</v>
      </c>
      <c r="D1158" s="185">
        <f ca="1">OFFSET('IWP15'!Std9dot1OutstandingChecks, 4, 6, 1, 1)</f>
        <v>0</v>
      </c>
    </row>
    <row r="1159" spans="1:4">
      <c r="A1159" s="206" t="s">
        <v>1318</v>
      </c>
      <c r="B1159" s="13">
        <f ca="1">OFFSET('IWP15'!Std9dot1OutstandingChecks, 5, 4, 1, 1)</f>
        <v>0</v>
      </c>
      <c r="C1159" s="157">
        <f ca="1">IF(OFFSET('IWP15'!Std9dot1OutstandingChecks, 5, 5, 1, 1) = DATE(1900,1,0),DATE(1900,1,1),OFFSET('IWP15'!Std9dot1OutstandingChecks, 5, 5, 1, 1))</f>
        <v>1</v>
      </c>
      <c r="D1159" s="185">
        <f ca="1">OFFSET('IWP15'!Std9dot1OutstandingChecks, 5, 6, 1, 1)</f>
        <v>0</v>
      </c>
    </row>
    <row r="1160" spans="1:4">
      <c r="A1160" s="206" t="s">
        <v>1318</v>
      </c>
      <c r="B1160" s="13">
        <f ca="1">OFFSET('IWP15'!Std9dot1OutstandingChecks, 6, 4, 1, 1)</f>
        <v>0</v>
      </c>
      <c r="C1160" s="157">
        <f ca="1">IF(OFFSET('IWP15'!Std9dot1OutstandingChecks, 6, 5, 1, 1) = DATE(1900,1,0),DATE(1900,1,1),OFFSET('IWP15'!Std9dot1OutstandingChecks, 6, 5, 1, 1))</f>
        <v>1</v>
      </c>
      <c r="D1160" s="185">
        <f ca="1">OFFSET('IWP15'!Std9dot1OutstandingChecks, 6, 6, 1, 1)</f>
        <v>0</v>
      </c>
    </row>
    <row r="1161" spans="1:4">
      <c r="A1161" s="206" t="s">
        <v>1318</v>
      </c>
      <c r="B1161" s="13">
        <f ca="1">OFFSET('IWP15'!Std9dot1OutstandingChecks, 7, 4, 1, 1)</f>
        <v>0</v>
      </c>
      <c r="C1161" s="157">
        <f ca="1">IF(OFFSET('IWP15'!Std9dot1OutstandingChecks, 7, 5, 1, 1) = DATE(1900,1,0),DATE(1900,1,1),OFFSET('IWP15'!Std9dot1OutstandingChecks, 7, 5, 1, 1))</f>
        <v>1</v>
      </c>
      <c r="D1161" s="185">
        <f ca="1">OFFSET('IWP15'!Std9dot1OutstandingChecks, 7, 6, 1, 1)</f>
        <v>0</v>
      </c>
    </row>
    <row r="1162" spans="1:4">
      <c r="A1162" s="206" t="s">
        <v>1318</v>
      </c>
      <c r="B1162" s="13">
        <f ca="1">OFFSET('IWP15'!Std9dot1OutstandingChecks, 8, 4, 1, 1)</f>
        <v>0</v>
      </c>
      <c r="C1162" s="157">
        <f ca="1">IF(OFFSET('IWP15'!Std9dot1OutstandingChecks, 8, 5, 1, 1) = DATE(1900,1,0),DATE(1900,1,1),OFFSET('IWP15'!Std9dot1OutstandingChecks, 8, 5, 1, 1))</f>
        <v>1</v>
      </c>
      <c r="D1162" s="185">
        <f ca="1">OFFSET('IWP15'!Std9dot1OutstandingChecks, 8, 6, 1, 1)</f>
        <v>0</v>
      </c>
    </row>
    <row r="1163" spans="1:4">
      <c r="A1163" s="206" t="s">
        <v>1318</v>
      </c>
      <c r="B1163" s="13">
        <f ca="1">OFFSET('IWP15'!Std9dot1OutstandingChecks, 9, 4, 1, 1)</f>
        <v>0</v>
      </c>
      <c r="C1163" s="157">
        <f ca="1">IF(OFFSET('IWP15'!Std9dot1OutstandingChecks, 9, 5, 1, 1) = DATE(1900,1,0),DATE(1900,1,1),OFFSET('IWP15'!Std9dot1OutstandingChecks, 9, 5, 1, 1))</f>
        <v>1</v>
      </c>
      <c r="D1163" s="185">
        <f ca="1">OFFSET('IWP15'!Std9dot1OutstandingChecks, 9, 6, 1, 1)</f>
        <v>0</v>
      </c>
    </row>
    <row r="1164" spans="1:4">
      <c r="A1164" s="206" t="s">
        <v>1319</v>
      </c>
      <c r="B1164" s="13">
        <f ca="1">OFFSET('IWP16'!Std9dot1OutstandingChecks, 0, 0, 1, 1)</f>
        <v>0</v>
      </c>
      <c r="C1164" s="157">
        <f ca="1">IF(OFFSET('IWP16'!Std9dot1OutstandingChecks, 0, 1, 1, 1) = DATE(1900,1,0),DATE(1900,1,1),OFFSET('IWP16'!Std9dot1OutstandingChecks, 0, 1, 1, 1))</f>
        <v>1</v>
      </c>
      <c r="D1164" s="185">
        <f ca="1">OFFSET('IWP16'!Std9dot1OutstandingChecks, 0, 2, 1, 1)</f>
        <v>0</v>
      </c>
    </row>
    <row r="1165" spans="1:4">
      <c r="A1165" s="206" t="s">
        <v>1319</v>
      </c>
      <c r="B1165" s="13">
        <f ca="1">OFFSET('IWP16'!Std9dot1OutstandingChecks, 1, 0, 1, 1)</f>
        <v>0</v>
      </c>
      <c r="C1165" s="157">
        <f ca="1">IF(OFFSET('IWP16'!Std9dot1OutstandingChecks, 1, 1, 1, 1) = DATE(1900,1,0),DATE(1900,1,1),OFFSET('IWP16'!Std9dot1OutstandingChecks, 1, 1, 1, 1))</f>
        <v>1</v>
      </c>
      <c r="D1165" s="185">
        <f ca="1">OFFSET('IWP16'!Std9dot1OutstandingChecks, 1, 2, 1, 1)</f>
        <v>0</v>
      </c>
    </row>
    <row r="1166" spans="1:4">
      <c r="A1166" s="206" t="s">
        <v>1319</v>
      </c>
      <c r="B1166" s="13">
        <f ca="1">OFFSET('IWP16'!Std9dot1OutstandingChecks, 2, 0, 1, 1)</f>
        <v>0</v>
      </c>
      <c r="C1166" s="157">
        <f ca="1">IF(OFFSET('IWP16'!Std9dot1OutstandingChecks, 2, 1, 1, 1) = DATE(1900,1,0),DATE(1900,1,1),OFFSET('IWP16'!Std9dot1OutstandingChecks, 2, 1, 1, 1))</f>
        <v>1</v>
      </c>
      <c r="D1166" s="185">
        <f ca="1">OFFSET('IWP16'!Std9dot1OutstandingChecks, 2, 2, 1, 1)</f>
        <v>0</v>
      </c>
    </row>
    <row r="1167" spans="1:4">
      <c r="A1167" s="206" t="s">
        <v>1319</v>
      </c>
      <c r="B1167" s="13">
        <f ca="1">OFFSET('IWP16'!Std9dot1OutstandingChecks, 3, 0, 1, 1)</f>
        <v>0</v>
      </c>
      <c r="C1167" s="157">
        <f ca="1">IF(OFFSET('IWP16'!Std9dot1OutstandingChecks, 3, 1, 1, 1) = DATE(1900,1,0),DATE(1900,1,1),OFFSET('IWP16'!Std9dot1OutstandingChecks, 3, 1, 1, 1))</f>
        <v>1</v>
      </c>
      <c r="D1167" s="185">
        <f ca="1">OFFSET('IWP16'!Std9dot1OutstandingChecks, 3, 2, 1, 1)</f>
        <v>0</v>
      </c>
    </row>
    <row r="1168" spans="1:4">
      <c r="A1168" s="206" t="s">
        <v>1319</v>
      </c>
      <c r="B1168" s="13">
        <f ca="1">OFFSET('IWP16'!Std9dot1OutstandingChecks, 4, 0, 1, 1)</f>
        <v>0</v>
      </c>
      <c r="C1168" s="157">
        <f ca="1">IF(OFFSET('IWP16'!Std9dot1OutstandingChecks, 4, 1, 1, 1) = DATE(1900,1,0),DATE(1900,1,1),OFFSET('IWP16'!Std9dot1OutstandingChecks, 4, 1, 1, 1))</f>
        <v>1</v>
      </c>
      <c r="D1168" s="185">
        <f ca="1">OFFSET('IWP16'!Std9dot1OutstandingChecks, 4, 2, 1, 1)</f>
        <v>0</v>
      </c>
    </row>
    <row r="1169" spans="1:4">
      <c r="A1169" s="206" t="s">
        <v>1319</v>
      </c>
      <c r="B1169" s="13">
        <f ca="1">OFFSET('IWP16'!Std9dot1OutstandingChecks, 5, 0, 1, 1)</f>
        <v>0</v>
      </c>
      <c r="C1169" s="157">
        <f ca="1">IF(OFFSET('IWP16'!Std9dot1OutstandingChecks, 5, 1, 1, 1) = DATE(1900,1,0),DATE(1900,1,1),OFFSET('IWP16'!Std9dot1OutstandingChecks, 5, 1, 1, 1))</f>
        <v>1</v>
      </c>
      <c r="D1169" s="185">
        <f ca="1">OFFSET('IWP16'!Std9dot1OutstandingChecks, 5, 2, 1, 1)</f>
        <v>0</v>
      </c>
    </row>
    <row r="1170" spans="1:4">
      <c r="A1170" s="206" t="s">
        <v>1319</v>
      </c>
      <c r="B1170" s="13">
        <f ca="1">OFFSET('IWP16'!Std9dot1OutstandingChecks, 6, 0, 1, 1)</f>
        <v>0</v>
      </c>
      <c r="C1170" s="157">
        <f ca="1">IF(OFFSET('IWP16'!Std9dot1OutstandingChecks, 6, 1, 1, 1) = DATE(1900,1,0),DATE(1900,1,1),OFFSET('IWP16'!Std9dot1OutstandingChecks, 6, 1, 1, 1))</f>
        <v>1</v>
      </c>
      <c r="D1170" s="185">
        <f ca="1">OFFSET('IWP16'!Std9dot1OutstandingChecks, 6, 2, 1, 1)</f>
        <v>0</v>
      </c>
    </row>
    <row r="1171" spans="1:4">
      <c r="A1171" s="206" t="s">
        <v>1319</v>
      </c>
      <c r="B1171" s="13">
        <f ca="1">OFFSET('IWP16'!Std9dot1OutstandingChecks, 7, 0, 1, 1)</f>
        <v>0</v>
      </c>
      <c r="C1171" s="157">
        <f ca="1">IF(OFFSET('IWP16'!Std9dot1OutstandingChecks, 7, 1, 1, 1) = DATE(1900,1,0),DATE(1900,1,1),OFFSET('IWP16'!Std9dot1OutstandingChecks, 7, 1, 1, 1))</f>
        <v>1</v>
      </c>
      <c r="D1171" s="185">
        <f ca="1">OFFSET('IWP16'!Std9dot1OutstandingChecks, 7, 2, 1, 1)</f>
        <v>0</v>
      </c>
    </row>
    <row r="1172" spans="1:4">
      <c r="A1172" s="206" t="s">
        <v>1319</v>
      </c>
      <c r="B1172" s="13">
        <f ca="1">OFFSET('IWP16'!Std9dot1OutstandingChecks, 8, 0, 1, 1)</f>
        <v>0</v>
      </c>
      <c r="C1172" s="157">
        <f ca="1">IF(OFFSET('IWP16'!Std9dot1OutstandingChecks, 8, 1, 1, 1) = DATE(1900,1,0),DATE(1900,1,1),OFFSET('IWP16'!Std9dot1OutstandingChecks, 8, 1, 1, 1))</f>
        <v>1</v>
      </c>
      <c r="D1172" s="185">
        <f ca="1">OFFSET('IWP16'!Std9dot1OutstandingChecks, 8, 2, 1, 1)</f>
        <v>0</v>
      </c>
    </row>
    <row r="1173" spans="1:4">
      <c r="A1173" s="206" t="s">
        <v>1319</v>
      </c>
      <c r="B1173" s="13">
        <f ca="1">OFFSET('IWP16'!Std9dot1OutstandingChecks, 9, 0, 1, 1)</f>
        <v>0</v>
      </c>
      <c r="C1173" s="157">
        <f ca="1">IF(OFFSET('IWP16'!Std9dot1OutstandingChecks, 9, 1, 1, 1) = DATE(1900,1,0),DATE(1900,1,1),OFFSET('IWP16'!Std9dot1OutstandingChecks, 9, 1, 1, 1))</f>
        <v>1</v>
      </c>
      <c r="D1173" s="185">
        <f ca="1">OFFSET('IWP16'!Std9dot1OutstandingChecks, 9, 2, 1, 1)</f>
        <v>0</v>
      </c>
    </row>
    <row r="1174" spans="1:4">
      <c r="A1174" s="206" t="s">
        <v>1319</v>
      </c>
      <c r="B1174" s="13">
        <f ca="1">OFFSET('IWP16'!Std9dot1OutstandingChecks, 0, 4, 1, 1)</f>
        <v>0</v>
      </c>
      <c r="C1174" s="157">
        <f ca="1">IF(OFFSET('IWP16'!Std9dot1OutstandingChecks, 0, 5, 1, 1) = DATE(1900,1,0),DATE(1900,1,1),OFFSET('IWP16'!Std9dot1OutstandingChecks, 0, 5, 1, 1))</f>
        <v>1</v>
      </c>
      <c r="D1174" s="185">
        <f ca="1">OFFSET('IWP16'!Std9dot1OutstandingChecks, 0, 6, 1, 1)</f>
        <v>0</v>
      </c>
    </row>
    <row r="1175" spans="1:4">
      <c r="A1175" s="206" t="s">
        <v>1319</v>
      </c>
      <c r="B1175" s="13">
        <f ca="1">OFFSET('IWP16'!Std9dot1OutstandingChecks, 1, 4, 1, 1)</f>
        <v>0</v>
      </c>
      <c r="C1175" s="157">
        <f ca="1">IF(OFFSET('IWP16'!Std9dot1OutstandingChecks, 1, 5, 1, 1) = DATE(1900,1,0),DATE(1900,1,1),OFFSET('IWP16'!Std9dot1OutstandingChecks, 1, 5, 1, 1))</f>
        <v>1</v>
      </c>
      <c r="D1175" s="185">
        <f ca="1">OFFSET('IWP16'!Std9dot1OutstandingChecks, 1, 6, 1, 1)</f>
        <v>0</v>
      </c>
    </row>
    <row r="1176" spans="1:4">
      <c r="A1176" s="206" t="s">
        <v>1319</v>
      </c>
      <c r="B1176" s="13">
        <f ca="1">OFFSET('IWP16'!Std9dot1OutstandingChecks, 2, 4, 1, 1)</f>
        <v>0</v>
      </c>
      <c r="C1176" s="157">
        <f ca="1">IF(OFFSET('IWP16'!Std9dot1OutstandingChecks, 2, 5, 1, 1) = DATE(1900,1,0),DATE(1900,1,1),OFFSET('IWP16'!Std9dot1OutstandingChecks, 2, 5, 1, 1))</f>
        <v>1</v>
      </c>
      <c r="D1176" s="185">
        <f ca="1">OFFSET('IWP16'!Std9dot1OutstandingChecks, 2, 6, 1, 1)</f>
        <v>0</v>
      </c>
    </row>
    <row r="1177" spans="1:4">
      <c r="A1177" s="206" t="s">
        <v>1319</v>
      </c>
      <c r="B1177" s="13">
        <f ca="1">OFFSET('IWP16'!Std9dot1OutstandingChecks, 3, 4, 1, 1)</f>
        <v>0</v>
      </c>
      <c r="C1177" s="157">
        <f ca="1">IF(OFFSET('IWP16'!Std9dot1OutstandingChecks, 3, 5, 1, 1) = DATE(1900,1,0),DATE(1900,1,1),OFFSET('IWP16'!Std9dot1OutstandingChecks, 3, 5, 1, 1))</f>
        <v>1</v>
      </c>
      <c r="D1177" s="185">
        <f ca="1">OFFSET('IWP16'!Std9dot1OutstandingChecks, 3, 6, 1, 1)</f>
        <v>0</v>
      </c>
    </row>
    <row r="1178" spans="1:4">
      <c r="A1178" s="206" t="s">
        <v>1319</v>
      </c>
      <c r="B1178" s="13">
        <f ca="1">OFFSET('IWP16'!Std9dot1OutstandingChecks, 4, 4, 1, 1)</f>
        <v>0</v>
      </c>
      <c r="C1178" s="157">
        <f ca="1">IF(OFFSET('IWP16'!Std9dot1OutstandingChecks, 4, 5, 1, 1) = DATE(1900,1,0),DATE(1900,1,1),OFFSET('IWP16'!Std9dot1OutstandingChecks, 4, 5, 1, 1))</f>
        <v>1</v>
      </c>
      <c r="D1178" s="185">
        <f ca="1">OFFSET('IWP16'!Std9dot1OutstandingChecks, 4, 6, 1, 1)</f>
        <v>0</v>
      </c>
    </row>
    <row r="1179" spans="1:4">
      <c r="A1179" s="206" t="s">
        <v>1319</v>
      </c>
      <c r="B1179" s="13">
        <f ca="1">OFFSET('IWP16'!Std9dot1OutstandingChecks, 5, 4, 1, 1)</f>
        <v>0</v>
      </c>
      <c r="C1179" s="157">
        <f ca="1">IF(OFFSET('IWP16'!Std9dot1OutstandingChecks, 5, 5, 1, 1) = DATE(1900,1,0),DATE(1900,1,1),OFFSET('IWP16'!Std9dot1OutstandingChecks, 5, 5, 1, 1))</f>
        <v>1</v>
      </c>
      <c r="D1179" s="185">
        <f ca="1">OFFSET('IWP16'!Std9dot1OutstandingChecks, 5, 6, 1, 1)</f>
        <v>0</v>
      </c>
    </row>
    <row r="1180" spans="1:4">
      <c r="A1180" s="206" t="s">
        <v>1319</v>
      </c>
      <c r="B1180" s="13">
        <f ca="1">OFFSET('IWP16'!Std9dot1OutstandingChecks, 6, 4, 1, 1)</f>
        <v>0</v>
      </c>
      <c r="C1180" s="157">
        <f ca="1">IF(OFFSET('IWP16'!Std9dot1OutstandingChecks, 6, 5, 1, 1) = DATE(1900,1,0),DATE(1900,1,1),OFFSET('IWP16'!Std9dot1OutstandingChecks, 6, 5, 1, 1))</f>
        <v>1</v>
      </c>
      <c r="D1180" s="185">
        <f ca="1">OFFSET('IWP16'!Std9dot1OutstandingChecks, 6, 6, 1, 1)</f>
        <v>0</v>
      </c>
    </row>
    <row r="1181" spans="1:4">
      <c r="A1181" s="206" t="s">
        <v>1319</v>
      </c>
      <c r="B1181" s="13">
        <f ca="1">OFFSET('IWP16'!Std9dot1OutstandingChecks, 7, 4, 1, 1)</f>
        <v>0</v>
      </c>
      <c r="C1181" s="157">
        <f ca="1">IF(OFFSET('IWP16'!Std9dot1OutstandingChecks, 7, 5, 1, 1) = DATE(1900,1,0),DATE(1900,1,1),OFFSET('IWP16'!Std9dot1OutstandingChecks, 7, 5, 1, 1))</f>
        <v>1</v>
      </c>
      <c r="D1181" s="185">
        <f ca="1">OFFSET('IWP16'!Std9dot1OutstandingChecks, 7, 6, 1, 1)</f>
        <v>0</v>
      </c>
    </row>
    <row r="1182" spans="1:4">
      <c r="A1182" s="206" t="s">
        <v>1319</v>
      </c>
      <c r="B1182" s="13">
        <f ca="1">OFFSET('IWP16'!Std9dot1OutstandingChecks, 8, 4, 1, 1)</f>
        <v>0</v>
      </c>
      <c r="C1182" s="157">
        <f ca="1">IF(OFFSET('IWP16'!Std9dot1OutstandingChecks, 8, 5, 1, 1) = DATE(1900,1,0),DATE(1900,1,1),OFFSET('IWP16'!Std9dot1OutstandingChecks, 8, 5, 1, 1))</f>
        <v>1</v>
      </c>
      <c r="D1182" s="185">
        <f ca="1">OFFSET('IWP16'!Std9dot1OutstandingChecks, 8, 6, 1, 1)</f>
        <v>0</v>
      </c>
    </row>
    <row r="1183" spans="1:4">
      <c r="A1183" s="206" t="s">
        <v>1319</v>
      </c>
      <c r="B1183" s="13">
        <f ca="1">OFFSET('IWP16'!Std9dot1OutstandingChecks, 9, 4, 1, 1)</f>
        <v>0</v>
      </c>
      <c r="C1183" s="157">
        <f ca="1">IF(OFFSET('IWP16'!Std9dot1OutstandingChecks, 9, 5, 1, 1) = DATE(1900,1,0),DATE(1900,1,1),OFFSET('IWP16'!Std9dot1OutstandingChecks, 9, 5, 1, 1))</f>
        <v>1</v>
      </c>
      <c r="D1183" s="185">
        <f ca="1">OFFSET('IWP16'!Std9dot1OutstandingChecks, 9, 6, 1, 1)</f>
        <v>0</v>
      </c>
    </row>
    <row r="1184" spans="1:4">
      <c r="A1184" s="206" t="s">
        <v>1320</v>
      </c>
      <c r="B1184" s="13">
        <f ca="1">OFFSET('IWP17'!Std9dot1OutstandingChecks, 0, 0, 1, 1)</f>
        <v>0</v>
      </c>
      <c r="C1184" s="157">
        <f ca="1">IF(OFFSET('IWP17'!Std9dot1OutstandingChecks, 0, 1, 1, 1) = DATE(1900,1,0),DATE(1900,1,1),OFFSET('IWP17'!Std9dot1OutstandingChecks, 0, 1, 1, 1))</f>
        <v>1</v>
      </c>
      <c r="D1184" s="185">
        <f ca="1">OFFSET('IWP17'!Std9dot1OutstandingChecks, 0, 2, 1, 1)</f>
        <v>0</v>
      </c>
    </row>
    <row r="1185" spans="1:4">
      <c r="A1185" s="206" t="s">
        <v>1320</v>
      </c>
      <c r="B1185" s="13">
        <f ca="1">OFFSET('IWP17'!Std9dot1OutstandingChecks, 1, 0, 1, 1)</f>
        <v>0</v>
      </c>
      <c r="C1185" s="157">
        <f ca="1">IF(OFFSET('IWP17'!Std9dot1OutstandingChecks, 1, 1, 1, 1) = DATE(1900,1,0),DATE(1900,1,1),OFFSET('IWP17'!Std9dot1OutstandingChecks, 1, 1, 1, 1))</f>
        <v>1</v>
      </c>
      <c r="D1185" s="185">
        <f ca="1">OFFSET('IWP17'!Std9dot1OutstandingChecks, 1, 2, 1, 1)</f>
        <v>0</v>
      </c>
    </row>
    <row r="1186" spans="1:4">
      <c r="A1186" s="206" t="s">
        <v>1320</v>
      </c>
      <c r="B1186" s="13">
        <f ca="1">OFFSET('IWP17'!Std9dot1OutstandingChecks, 2, 0, 1, 1)</f>
        <v>0</v>
      </c>
      <c r="C1186" s="157">
        <f ca="1">IF(OFFSET('IWP17'!Std9dot1OutstandingChecks, 2, 1, 1, 1) = DATE(1900,1,0),DATE(1900,1,1),OFFSET('IWP17'!Std9dot1OutstandingChecks, 2, 1, 1, 1))</f>
        <v>1</v>
      </c>
      <c r="D1186" s="185">
        <f ca="1">OFFSET('IWP17'!Std9dot1OutstandingChecks, 2, 2, 1, 1)</f>
        <v>0</v>
      </c>
    </row>
    <row r="1187" spans="1:4">
      <c r="A1187" s="206" t="s">
        <v>1320</v>
      </c>
      <c r="B1187" s="13">
        <f ca="1">OFFSET('IWP17'!Std9dot1OutstandingChecks, 3, 0, 1, 1)</f>
        <v>0</v>
      </c>
      <c r="C1187" s="157">
        <f ca="1">IF(OFFSET('IWP17'!Std9dot1OutstandingChecks, 3, 1, 1, 1) = DATE(1900,1,0),DATE(1900,1,1),OFFSET('IWP17'!Std9dot1OutstandingChecks, 3, 1, 1, 1))</f>
        <v>1</v>
      </c>
      <c r="D1187" s="185">
        <f ca="1">OFFSET('IWP17'!Std9dot1OutstandingChecks, 3, 2, 1, 1)</f>
        <v>0</v>
      </c>
    </row>
    <row r="1188" spans="1:4">
      <c r="A1188" s="206" t="s">
        <v>1320</v>
      </c>
      <c r="B1188" s="13">
        <f ca="1">OFFSET('IWP17'!Std9dot1OutstandingChecks, 4, 0, 1, 1)</f>
        <v>0</v>
      </c>
      <c r="C1188" s="157">
        <f ca="1">IF(OFFSET('IWP17'!Std9dot1OutstandingChecks, 4, 1, 1, 1) = DATE(1900,1,0),DATE(1900,1,1),OFFSET('IWP17'!Std9dot1OutstandingChecks, 4, 1, 1, 1))</f>
        <v>1</v>
      </c>
      <c r="D1188" s="185">
        <f ca="1">OFFSET('IWP17'!Std9dot1OutstandingChecks, 4, 2, 1, 1)</f>
        <v>0</v>
      </c>
    </row>
    <row r="1189" spans="1:4">
      <c r="A1189" s="206" t="s">
        <v>1320</v>
      </c>
      <c r="B1189" s="13">
        <f ca="1">OFFSET('IWP17'!Std9dot1OutstandingChecks, 5, 0, 1, 1)</f>
        <v>0</v>
      </c>
      <c r="C1189" s="157">
        <f ca="1">IF(OFFSET('IWP17'!Std9dot1OutstandingChecks, 5, 1, 1, 1) = DATE(1900,1,0),DATE(1900,1,1),OFFSET('IWP17'!Std9dot1OutstandingChecks, 5, 1, 1, 1))</f>
        <v>1</v>
      </c>
      <c r="D1189" s="185">
        <f ca="1">OFFSET('IWP17'!Std9dot1OutstandingChecks, 5, 2, 1, 1)</f>
        <v>0</v>
      </c>
    </row>
    <row r="1190" spans="1:4">
      <c r="A1190" s="206" t="s">
        <v>1320</v>
      </c>
      <c r="B1190" s="13">
        <f ca="1">OFFSET('IWP17'!Std9dot1OutstandingChecks, 6, 0, 1, 1)</f>
        <v>0</v>
      </c>
      <c r="C1190" s="157">
        <f ca="1">IF(OFFSET('IWP17'!Std9dot1OutstandingChecks, 6, 1, 1, 1) = DATE(1900,1,0),DATE(1900,1,1),OFFSET('IWP17'!Std9dot1OutstandingChecks, 6, 1, 1, 1))</f>
        <v>1</v>
      </c>
      <c r="D1190" s="185">
        <f ca="1">OFFSET('IWP17'!Std9dot1OutstandingChecks, 6, 2, 1, 1)</f>
        <v>0</v>
      </c>
    </row>
    <row r="1191" spans="1:4">
      <c r="A1191" s="206" t="s">
        <v>1320</v>
      </c>
      <c r="B1191" s="13">
        <f ca="1">OFFSET('IWP17'!Std9dot1OutstandingChecks, 7, 0, 1, 1)</f>
        <v>0</v>
      </c>
      <c r="C1191" s="157">
        <f ca="1">IF(OFFSET('IWP17'!Std9dot1OutstandingChecks, 7, 1, 1, 1) = DATE(1900,1,0),DATE(1900,1,1),OFFSET('IWP17'!Std9dot1OutstandingChecks, 7, 1, 1, 1))</f>
        <v>1</v>
      </c>
      <c r="D1191" s="185">
        <f ca="1">OFFSET('IWP17'!Std9dot1OutstandingChecks, 7, 2, 1, 1)</f>
        <v>0</v>
      </c>
    </row>
    <row r="1192" spans="1:4">
      <c r="A1192" s="206" t="s">
        <v>1320</v>
      </c>
      <c r="B1192" s="13">
        <f ca="1">OFFSET('IWP17'!Std9dot1OutstandingChecks, 8, 0, 1, 1)</f>
        <v>0</v>
      </c>
      <c r="C1192" s="157">
        <f ca="1">IF(OFFSET('IWP17'!Std9dot1OutstandingChecks, 8, 1, 1, 1) = DATE(1900,1,0),DATE(1900,1,1),OFFSET('IWP17'!Std9dot1OutstandingChecks, 8, 1, 1, 1))</f>
        <v>1</v>
      </c>
      <c r="D1192" s="185">
        <f ca="1">OFFSET('IWP17'!Std9dot1OutstandingChecks, 8, 2, 1, 1)</f>
        <v>0</v>
      </c>
    </row>
    <row r="1193" spans="1:4">
      <c r="A1193" s="206" t="s">
        <v>1320</v>
      </c>
      <c r="B1193" s="13">
        <f ca="1">OFFSET('IWP17'!Std9dot1OutstandingChecks, 9, 0, 1, 1)</f>
        <v>0</v>
      </c>
      <c r="C1193" s="157">
        <f ca="1">IF(OFFSET('IWP17'!Std9dot1OutstandingChecks, 9, 1, 1, 1) = DATE(1900,1,0),DATE(1900,1,1),OFFSET('IWP17'!Std9dot1OutstandingChecks, 9, 1, 1, 1))</f>
        <v>1</v>
      </c>
      <c r="D1193" s="185">
        <f ca="1">OFFSET('IWP17'!Std9dot1OutstandingChecks, 9, 2, 1, 1)</f>
        <v>0</v>
      </c>
    </row>
    <row r="1194" spans="1:4">
      <c r="A1194" s="206" t="s">
        <v>1320</v>
      </c>
      <c r="B1194" s="13">
        <f ca="1">OFFSET('IWP17'!Std9dot1OutstandingChecks, 0, 4, 1, 1)</f>
        <v>0</v>
      </c>
      <c r="C1194" s="157">
        <f ca="1">IF(OFFSET('IWP17'!Std9dot1OutstandingChecks, 0, 5, 1, 1) = DATE(1900,1,0),DATE(1900,1,1),OFFSET('IWP17'!Std9dot1OutstandingChecks, 0, 5, 1, 1))</f>
        <v>1</v>
      </c>
      <c r="D1194" s="185">
        <f ca="1">OFFSET('IWP17'!Std9dot1OutstandingChecks, 0, 6, 1, 1)</f>
        <v>0</v>
      </c>
    </row>
    <row r="1195" spans="1:4">
      <c r="A1195" s="206" t="s">
        <v>1320</v>
      </c>
      <c r="B1195" s="13">
        <f ca="1">OFFSET('IWP17'!Std9dot1OutstandingChecks, 1, 4, 1, 1)</f>
        <v>0</v>
      </c>
      <c r="C1195" s="157">
        <f ca="1">IF(OFFSET('IWP17'!Std9dot1OutstandingChecks, 1, 5, 1, 1) = DATE(1900,1,0),DATE(1900,1,1),OFFSET('IWP17'!Std9dot1OutstandingChecks, 1, 5, 1, 1))</f>
        <v>1</v>
      </c>
      <c r="D1195" s="185">
        <f ca="1">OFFSET('IWP17'!Std9dot1OutstandingChecks, 1, 6, 1, 1)</f>
        <v>0</v>
      </c>
    </row>
    <row r="1196" spans="1:4">
      <c r="A1196" s="206" t="s">
        <v>1320</v>
      </c>
      <c r="B1196" s="13">
        <f ca="1">OFFSET('IWP17'!Std9dot1OutstandingChecks, 2, 4, 1, 1)</f>
        <v>0</v>
      </c>
      <c r="C1196" s="157">
        <f ca="1">IF(OFFSET('IWP17'!Std9dot1OutstandingChecks, 2, 5, 1, 1) = DATE(1900,1,0),DATE(1900,1,1),OFFSET('IWP17'!Std9dot1OutstandingChecks, 2, 5, 1, 1))</f>
        <v>1</v>
      </c>
      <c r="D1196" s="185">
        <f ca="1">OFFSET('IWP17'!Std9dot1OutstandingChecks, 2, 6, 1, 1)</f>
        <v>0</v>
      </c>
    </row>
    <row r="1197" spans="1:4">
      <c r="A1197" s="206" t="s">
        <v>1320</v>
      </c>
      <c r="B1197" s="13">
        <f ca="1">OFFSET('IWP17'!Std9dot1OutstandingChecks, 3, 4, 1, 1)</f>
        <v>0</v>
      </c>
      <c r="C1197" s="157">
        <f ca="1">IF(OFFSET('IWP17'!Std9dot1OutstandingChecks, 3, 5, 1, 1) = DATE(1900,1,0),DATE(1900,1,1),OFFSET('IWP17'!Std9dot1OutstandingChecks, 3, 5, 1, 1))</f>
        <v>1</v>
      </c>
      <c r="D1197" s="185">
        <f ca="1">OFFSET('IWP17'!Std9dot1OutstandingChecks, 3, 6, 1, 1)</f>
        <v>0</v>
      </c>
    </row>
    <row r="1198" spans="1:4">
      <c r="A1198" s="206" t="s">
        <v>1320</v>
      </c>
      <c r="B1198" s="13">
        <f ca="1">OFFSET('IWP17'!Std9dot1OutstandingChecks, 4, 4, 1, 1)</f>
        <v>0</v>
      </c>
      <c r="C1198" s="157">
        <f ca="1">IF(OFFSET('IWP17'!Std9dot1OutstandingChecks, 4, 5, 1, 1) = DATE(1900,1,0),DATE(1900,1,1),OFFSET('IWP17'!Std9dot1OutstandingChecks, 4, 5, 1, 1))</f>
        <v>1</v>
      </c>
      <c r="D1198" s="185">
        <f ca="1">OFFSET('IWP17'!Std9dot1OutstandingChecks, 4, 6, 1, 1)</f>
        <v>0</v>
      </c>
    </row>
    <row r="1199" spans="1:4">
      <c r="A1199" s="206" t="s">
        <v>1320</v>
      </c>
      <c r="B1199" s="13">
        <f ca="1">OFFSET('IWP17'!Std9dot1OutstandingChecks, 5, 4, 1, 1)</f>
        <v>0</v>
      </c>
      <c r="C1199" s="157">
        <f ca="1">IF(OFFSET('IWP17'!Std9dot1OutstandingChecks, 5, 5, 1, 1) = DATE(1900,1,0),DATE(1900,1,1),OFFSET('IWP17'!Std9dot1OutstandingChecks, 5, 5, 1, 1))</f>
        <v>1</v>
      </c>
      <c r="D1199" s="185">
        <f ca="1">OFFSET('IWP17'!Std9dot1OutstandingChecks, 5, 6, 1, 1)</f>
        <v>0</v>
      </c>
    </row>
    <row r="1200" spans="1:4">
      <c r="A1200" s="206" t="s">
        <v>1320</v>
      </c>
      <c r="B1200" s="13">
        <f ca="1">OFFSET('IWP17'!Std9dot1OutstandingChecks, 6, 4, 1, 1)</f>
        <v>0</v>
      </c>
      <c r="C1200" s="157">
        <f ca="1">IF(OFFSET('IWP17'!Std9dot1OutstandingChecks, 6, 5, 1, 1) = DATE(1900,1,0),DATE(1900,1,1),OFFSET('IWP17'!Std9dot1OutstandingChecks, 6, 5, 1, 1))</f>
        <v>1</v>
      </c>
      <c r="D1200" s="185">
        <f ca="1">OFFSET('IWP17'!Std9dot1OutstandingChecks, 6, 6, 1, 1)</f>
        <v>0</v>
      </c>
    </row>
    <row r="1201" spans="1:4">
      <c r="A1201" s="206" t="s">
        <v>1320</v>
      </c>
      <c r="B1201" s="13">
        <f ca="1">OFFSET('IWP17'!Std9dot1OutstandingChecks, 7, 4, 1, 1)</f>
        <v>0</v>
      </c>
      <c r="C1201" s="157">
        <f ca="1">IF(OFFSET('IWP17'!Std9dot1OutstandingChecks, 7, 5, 1, 1) = DATE(1900,1,0),DATE(1900,1,1),OFFSET('IWP17'!Std9dot1OutstandingChecks, 7, 5, 1, 1))</f>
        <v>1</v>
      </c>
      <c r="D1201" s="185">
        <f ca="1">OFFSET('IWP17'!Std9dot1OutstandingChecks, 7, 6, 1, 1)</f>
        <v>0</v>
      </c>
    </row>
    <row r="1202" spans="1:4">
      <c r="A1202" s="206" t="s">
        <v>1320</v>
      </c>
      <c r="B1202" s="13">
        <f ca="1">OFFSET('IWP17'!Std9dot1OutstandingChecks, 8, 4, 1, 1)</f>
        <v>0</v>
      </c>
      <c r="C1202" s="157">
        <f ca="1">IF(OFFSET('IWP17'!Std9dot1OutstandingChecks, 8, 5, 1, 1) = DATE(1900,1,0),DATE(1900,1,1),OFFSET('IWP17'!Std9dot1OutstandingChecks, 8, 5, 1, 1))</f>
        <v>1</v>
      </c>
      <c r="D1202" s="185">
        <f ca="1">OFFSET('IWP17'!Std9dot1OutstandingChecks, 8, 6, 1, 1)</f>
        <v>0</v>
      </c>
    </row>
    <row r="1203" spans="1:4">
      <c r="A1203" s="206" t="s">
        <v>1320</v>
      </c>
      <c r="B1203" s="13">
        <f ca="1">OFFSET('IWP17'!Std9dot1OutstandingChecks, 9, 4, 1, 1)</f>
        <v>0</v>
      </c>
      <c r="C1203" s="157">
        <f ca="1">IF(OFFSET('IWP17'!Std9dot1OutstandingChecks, 9, 5, 1, 1) = DATE(1900,1,0),DATE(1900,1,1),OFFSET('IWP17'!Std9dot1OutstandingChecks, 9, 5, 1, 1))</f>
        <v>1</v>
      </c>
      <c r="D1203" s="185">
        <f ca="1">OFFSET('IWP17'!Std9dot1OutstandingChecks, 9, 6, 1, 1)</f>
        <v>0</v>
      </c>
    </row>
    <row r="1204" spans="1:4">
      <c r="A1204" s="206" t="s">
        <v>1321</v>
      </c>
      <c r="B1204" s="13">
        <f ca="1">OFFSET('IWP18'!Std9dot1OutstandingChecks, 0, 0, 1, 1)</f>
        <v>0</v>
      </c>
      <c r="C1204" s="157">
        <f ca="1">IF(OFFSET('IWP18'!Std9dot1OutstandingChecks, 0, 1, 1, 1) = DATE(1900,1,0),DATE(1900,1,1),OFFSET('IWP18'!Std9dot1OutstandingChecks, 0, 1, 1, 1))</f>
        <v>1</v>
      </c>
      <c r="D1204" s="185">
        <f ca="1">OFFSET('IWP18'!Std9dot1OutstandingChecks, 0, 2, 1, 1)</f>
        <v>0</v>
      </c>
    </row>
    <row r="1205" spans="1:4">
      <c r="A1205" s="206" t="s">
        <v>1321</v>
      </c>
      <c r="B1205" s="13">
        <f ca="1">OFFSET('IWP18'!Std9dot1OutstandingChecks, 1, 0, 1, 1)</f>
        <v>0</v>
      </c>
      <c r="C1205" s="157">
        <f ca="1">IF(OFFSET('IWP18'!Std9dot1OutstandingChecks, 1, 1, 1, 1) = DATE(1900,1,0),DATE(1900,1,1),OFFSET('IWP18'!Std9dot1OutstandingChecks, 1, 1, 1, 1))</f>
        <v>1</v>
      </c>
      <c r="D1205" s="185">
        <f ca="1">OFFSET('IWP18'!Std9dot1OutstandingChecks, 1, 2, 1, 1)</f>
        <v>0</v>
      </c>
    </row>
    <row r="1206" spans="1:4">
      <c r="A1206" s="206" t="s">
        <v>1321</v>
      </c>
      <c r="B1206" s="13">
        <f ca="1">OFFSET('IWP18'!Std9dot1OutstandingChecks, 2, 0, 1, 1)</f>
        <v>0</v>
      </c>
      <c r="C1206" s="157">
        <f ca="1">IF(OFFSET('IWP18'!Std9dot1OutstandingChecks, 2, 1, 1, 1) = DATE(1900,1,0),DATE(1900,1,1),OFFSET('IWP18'!Std9dot1OutstandingChecks, 2, 1, 1, 1))</f>
        <v>1</v>
      </c>
      <c r="D1206" s="185">
        <f ca="1">OFFSET('IWP18'!Std9dot1OutstandingChecks, 2, 2, 1, 1)</f>
        <v>0</v>
      </c>
    </row>
    <row r="1207" spans="1:4">
      <c r="A1207" s="206" t="s">
        <v>1321</v>
      </c>
      <c r="B1207" s="13">
        <f ca="1">OFFSET('IWP18'!Std9dot1OutstandingChecks, 3, 0, 1, 1)</f>
        <v>0</v>
      </c>
      <c r="C1207" s="157">
        <f ca="1">IF(OFFSET('IWP18'!Std9dot1OutstandingChecks, 3, 1, 1, 1) = DATE(1900,1,0),DATE(1900,1,1),OFFSET('IWP18'!Std9dot1OutstandingChecks, 3, 1, 1, 1))</f>
        <v>1</v>
      </c>
      <c r="D1207" s="185">
        <f ca="1">OFFSET('IWP18'!Std9dot1OutstandingChecks, 3, 2, 1, 1)</f>
        <v>0</v>
      </c>
    </row>
    <row r="1208" spans="1:4">
      <c r="A1208" s="206" t="s">
        <v>1321</v>
      </c>
      <c r="B1208" s="13">
        <f ca="1">OFFSET('IWP18'!Std9dot1OutstandingChecks, 4, 0, 1, 1)</f>
        <v>0</v>
      </c>
      <c r="C1208" s="157">
        <f ca="1">IF(OFFSET('IWP18'!Std9dot1OutstandingChecks, 4, 1, 1, 1) = DATE(1900,1,0),DATE(1900,1,1),OFFSET('IWP18'!Std9dot1OutstandingChecks, 4, 1, 1, 1))</f>
        <v>1</v>
      </c>
      <c r="D1208" s="185">
        <f ca="1">OFFSET('IWP18'!Std9dot1OutstandingChecks, 4, 2, 1, 1)</f>
        <v>0</v>
      </c>
    </row>
    <row r="1209" spans="1:4">
      <c r="A1209" s="206" t="s">
        <v>1321</v>
      </c>
      <c r="B1209" s="13">
        <f ca="1">OFFSET('IWP18'!Std9dot1OutstandingChecks, 5, 0, 1, 1)</f>
        <v>0</v>
      </c>
      <c r="C1209" s="157">
        <f ca="1">IF(OFFSET('IWP18'!Std9dot1OutstandingChecks, 5, 1, 1, 1) = DATE(1900,1,0),DATE(1900,1,1),OFFSET('IWP18'!Std9dot1OutstandingChecks, 5, 1, 1, 1))</f>
        <v>1</v>
      </c>
      <c r="D1209" s="185">
        <f ca="1">OFFSET('IWP18'!Std9dot1OutstandingChecks, 5, 2, 1, 1)</f>
        <v>0</v>
      </c>
    </row>
    <row r="1210" spans="1:4">
      <c r="A1210" s="206" t="s">
        <v>1321</v>
      </c>
      <c r="B1210" s="13">
        <f ca="1">OFFSET('IWP18'!Std9dot1OutstandingChecks, 6, 0, 1, 1)</f>
        <v>0</v>
      </c>
      <c r="C1210" s="157">
        <f ca="1">IF(OFFSET('IWP18'!Std9dot1OutstandingChecks, 6, 1, 1, 1) = DATE(1900,1,0),DATE(1900,1,1),OFFSET('IWP18'!Std9dot1OutstandingChecks, 6, 1, 1, 1))</f>
        <v>1</v>
      </c>
      <c r="D1210" s="185">
        <f ca="1">OFFSET('IWP18'!Std9dot1OutstandingChecks, 6, 2, 1, 1)</f>
        <v>0</v>
      </c>
    </row>
    <row r="1211" spans="1:4">
      <c r="A1211" s="206" t="s">
        <v>1321</v>
      </c>
      <c r="B1211" s="13">
        <f ca="1">OFFSET('IWP18'!Std9dot1OutstandingChecks, 7, 0, 1, 1)</f>
        <v>0</v>
      </c>
      <c r="C1211" s="157">
        <f ca="1">IF(OFFSET('IWP18'!Std9dot1OutstandingChecks, 7, 1, 1, 1) = DATE(1900,1,0),DATE(1900,1,1),OFFSET('IWP18'!Std9dot1OutstandingChecks, 7, 1, 1, 1))</f>
        <v>1</v>
      </c>
      <c r="D1211" s="185">
        <f ca="1">OFFSET('IWP18'!Std9dot1OutstandingChecks, 7, 2, 1, 1)</f>
        <v>0</v>
      </c>
    </row>
    <row r="1212" spans="1:4">
      <c r="A1212" s="206" t="s">
        <v>1321</v>
      </c>
      <c r="B1212" s="13">
        <f ca="1">OFFSET('IWP18'!Std9dot1OutstandingChecks, 8, 0, 1, 1)</f>
        <v>0</v>
      </c>
      <c r="C1212" s="157">
        <f ca="1">IF(OFFSET('IWP18'!Std9dot1OutstandingChecks, 8, 1, 1, 1) = DATE(1900,1,0),DATE(1900,1,1),OFFSET('IWP18'!Std9dot1OutstandingChecks, 8, 1, 1, 1))</f>
        <v>1</v>
      </c>
      <c r="D1212" s="185">
        <f ca="1">OFFSET('IWP18'!Std9dot1OutstandingChecks, 8, 2, 1, 1)</f>
        <v>0</v>
      </c>
    </row>
    <row r="1213" spans="1:4">
      <c r="A1213" s="206" t="s">
        <v>1321</v>
      </c>
      <c r="B1213" s="13">
        <f ca="1">OFFSET('IWP18'!Std9dot1OutstandingChecks, 9, 0, 1, 1)</f>
        <v>0</v>
      </c>
      <c r="C1213" s="157">
        <f ca="1">IF(OFFSET('IWP18'!Std9dot1OutstandingChecks, 9, 1, 1, 1) = DATE(1900,1,0),DATE(1900,1,1),OFFSET('IWP18'!Std9dot1OutstandingChecks, 9, 1, 1, 1))</f>
        <v>1</v>
      </c>
      <c r="D1213" s="185">
        <f ca="1">OFFSET('IWP18'!Std9dot1OutstandingChecks, 9, 2, 1, 1)</f>
        <v>0</v>
      </c>
    </row>
    <row r="1214" spans="1:4">
      <c r="A1214" s="206" t="s">
        <v>1321</v>
      </c>
      <c r="B1214" s="13">
        <f ca="1">OFFSET('IWP18'!Std9dot1OutstandingChecks, 0, 4, 1, 1)</f>
        <v>0</v>
      </c>
      <c r="C1214" s="157">
        <f ca="1">IF(OFFSET('IWP18'!Std9dot1OutstandingChecks, 0, 5, 1, 1) = DATE(1900,1,0),DATE(1900,1,1),OFFSET('IWP18'!Std9dot1OutstandingChecks, 0, 5, 1, 1))</f>
        <v>1</v>
      </c>
      <c r="D1214" s="185">
        <f ca="1">OFFSET('IWP18'!Std9dot1OutstandingChecks, 0, 6, 1, 1)</f>
        <v>0</v>
      </c>
    </row>
    <row r="1215" spans="1:4">
      <c r="A1215" s="206" t="s">
        <v>1321</v>
      </c>
      <c r="B1215" s="13">
        <f ca="1">OFFSET('IWP18'!Std9dot1OutstandingChecks, 1, 4, 1, 1)</f>
        <v>0</v>
      </c>
      <c r="C1215" s="157">
        <f ca="1">IF(OFFSET('IWP18'!Std9dot1OutstandingChecks, 1, 5, 1, 1) = DATE(1900,1,0),DATE(1900,1,1),OFFSET('IWP18'!Std9dot1OutstandingChecks, 1, 5, 1, 1))</f>
        <v>1</v>
      </c>
      <c r="D1215" s="185">
        <f ca="1">OFFSET('IWP18'!Std9dot1OutstandingChecks, 1, 6, 1, 1)</f>
        <v>0</v>
      </c>
    </row>
    <row r="1216" spans="1:4">
      <c r="A1216" s="206" t="s">
        <v>1321</v>
      </c>
      <c r="B1216" s="13">
        <f ca="1">OFFSET('IWP18'!Std9dot1OutstandingChecks, 2, 4, 1, 1)</f>
        <v>0</v>
      </c>
      <c r="C1216" s="157">
        <f ca="1">IF(OFFSET('IWP18'!Std9dot1OutstandingChecks, 2, 5, 1, 1) = DATE(1900,1,0),DATE(1900,1,1),OFFSET('IWP18'!Std9dot1OutstandingChecks, 2, 5, 1, 1))</f>
        <v>1</v>
      </c>
      <c r="D1216" s="185">
        <f ca="1">OFFSET('IWP18'!Std9dot1OutstandingChecks, 2, 6, 1, 1)</f>
        <v>0</v>
      </c>
    </row>
    <row r="1217" spans="1:4">
      <c r="A1217" s="206" t="s">
        <v>1321</v>
      </c>
      <c r="B1217" s="13">
        <f ca="1">OFFSET('IWP18'!Std9dot1OutstandingChecks, 3, 4, 1, 1)</f>
        <v>0</v>
      </c>
      <c r="C1217" s="157">
        <f ca="1">IF(OFFSET('IWP18'!Std9dot1OutstandingChecks, 3, 5, 1, 1) = DATE(1900,1,0),DATE(1900,1,1),OFFSET('IWP18'!Std9dot1OutstandingChecks, 3, 5, 1, 1))</f>
        <v>1</v>
      </c>
      <c r="D1217" s="185">
        <f ca="1">OFFSET('IWP18'!Std9dot1OutstandingChecks, 3, 6, 1, 1)</f>
        <v>0</v>
      </c>
    </row>
    <row r="1218" spans="1:4">
      <c r="A1218" s="206" t="s">
        <v>1321</v>
      </c>
      <c r="B1218" s="13">
        <f ca="1">OFFSET('IWP18'!Std9dot1OutstandingChecks, 4, 4, 1, 1)</f>
        <v>0</v>
      </c>
      <c r="C1218" s="157">
        <f ca="1">IF(OFFSET('IWP18'!Std9dot1OutstandingChecks, 4, 5, 1, 1) = DATE(1900,1,0),DATE(1900,1,1),OFFSET('IWP18'!Std9dot1OutstandingChecks, 4, 5, 1, 1))</f>
        <v>1</v>
      </c>
      <c r="D1218" s="185">
        <f ca="1">OFFSET('IWP18'!Std9dot1OutstandingChecks, 4, 6, 1, 1)</f>
        <v>0</v>
      </c>
    </row>
    <row r="1219" spans="1:4">
      <c r="A1219" s="206" t="s">
        <v>1321</v>
      </c>
      <c r="B1219" s="13">
        <f ca="1">OFFSET('IWP18'!Std9dot1OutstandingChecks, 5, 4, 1, 1)</f>
        <v>0</v>
      </c>
      <c r="C1219" s="157">
        <f ca="1">IF(OFFSET('IWP18'!Std9dot1OutstandingChecks, 5, 5, 1, 1) = DATE(1900,1,0),DATE(1900,1,1),OFFSET('IWP18'!Std9dot1OutstandingChecks, 5, 5, 1, 1))</f>
        <v>1</v>
      </c>
      <c r="D1219" s="185">
        <f ca="1">OFFSET('IWP18'!Std9dot1OutstandingChecks, 5, 6, 1, 1)</f>
        <v>0</v>
      </c>
    </row>
    <row r="1220" spans="1:4">
      <c r="A1220" s="206" t="s">
        <v>1321</v>
      </c>
      <c r="B1220" s="13">
        <f ca="1">OFFSET('IWP18'!Std9dot1OutstandingChecks, 6, 4, 1, 1)</f>
        <v>0</v>
      </c>
      <c r="C1220" s="157">
        <f ca="1">IF(OFFSET('IWP18'!Std9dot1OutstandingChecks, 6, 5, 1, 1) = DATE(1900,1,0),DATE(1900,1,1),OFFSET('IWP18'!Std9dot1OutstandingChecks, 6, 5, 1, 1))</f>
        <v>1</v>
      </c>
      <c r="D1220" s="185">
        <f ca="1">OFFSET('IWP18'!Std9dot1OutstandingChecks, 6, 6, 1, 1)</f>
        <v>0</v>
      </c>
    </row>
    <row r="1221" spans="1:4">
      <c r="A1221" s="206" t="s">
        <v>1321</v>
      </c>
      <c r="B1221" s="13">
        <f ca="1">OFFSET('IWP18'!Std9dot1OutstandingChecks, 7, 4, 1, 1)</f>
        <v>0</v>
      </c>
      <c r="C1221" s="157">
        <f ca="1">IF(OFFSET('IWP18'!Std9dot1OutstandingChecks, 7, 5, 1, 1) = DATE(1900,1,0),DATE(1900,1,1),OFFSET('IWP18'!Std9dot1OutstandingChecks, 7, 5, 1, 1))</f>
        <v>1</v>
      </c>
      <c r="D1221" s="185">
        <f ca="1">OFFSET('IWP18'!Std9dot1OutstandingChecks, 7, 6, 1, 1)</f>
        <v>0</v>
      </c>
    </row>
    <row r="1222" spans="1:4">
      <c r="A1222" s="206" t="s">
        <v>1321</v>
      </c>
      <c r="B1222" s="13">
        <f ca="1">OFFSET('IWP18'!Std9dot1OutstandingChecks, 8, 4, 1, 1)</f>
        <v>0</v>
      </c>
      <c r="C1222" s="157">
        <f ca="1">IF(OFFSET('IWP18'!Std9dot1OutstandingChecks, 8, 5, 1, 1) = DATE(1900,1,0),DATE(1900,1,1),OFFSET('IWP18'!Std9dot1OutstandingChecks, 8, 5, 1, 1))</f>
        <v>1</v>
      </c>
      <c r="D1222" s="185">
        <f ca="1">OFFSET('IWP18'!Std9dot1OutstandingChecks, 8, 6, 1, 1)</f>
        <v>0</v>
      </c>
    </row>
    <row r="1223" spans="1:4">
      <c r="A1223" s="206" t="s">
        <v>1321</v>
      </c>
      <c r="B1223" s="13">
        <f ca="1">OFFSET('IWP18'!Std9dot1OutstandingChecks, 9, 4, 1, 1)</f>
        <v>0</v>
      </c>
      <c r="C1223" s="157">
        <f ca="1">IF(OFFSET('IWP18'!Std9dot1OutstandingChecks, 9, 5, 1, 1) = DATE(1900,1,0),DATE(1900,1,1),OFFSET('IWP18'!Std9dot1OutstandingChecks, 9, 5, 1, 1))</f>
        <v>1</v>
      </c>
      <c r="D1223" s="185">
        <f ca="1">OFFSET('IWP18'!Std9dot1OutstandingChecks, 9, 6, 1, 1)</f>
        <v>0</v>
      </c>
    </row>
    <row r="1224" spans="1:4">
      <c r="A1224" s="206" t="s">
        <v>1322</v>
      </c>
      <c r="B1224" s="13">
        <f ca="1">OFFSET('IWP19'!Std9dot1OutstandingChecks, 0, 0, 1, 1)</f>
        <v>0</v>
      </c>
      <c r="C1224" s="157">
        <f ca="1">IF(OFFSET('IWP19'!Std9dot1OutstandingChecks, 0, 1, 1, 1) = DATE(1900,1,0),DATE(1900,1,1),OFFSET('IWP19'!Std9dot1OutstandingChecks, 0, 1, 1, 1))</f>
        <v>1</v>
      </c>
      <c r="D1224" s="185">
        <f ca="1">OFFSET('IWP19'!Std9dot1OutstandingChecks, 0, 2, 1, 1)</f>
        <v>0</v>
      </c>
    </row>
    <row r="1225" spans="1:4">
      <c r="A1225" s="206" t="s">
        <v>1322</v>
      </c>
      <c r="B1225" s="13">
        <f ca="1">OFFSET('IWP19'!Std9dot1OutstandingChecks, 1, 0, 1, 1)</f>
        <v>0</v>
      </c>
      <c r="C1225" s="157">
        <f ca="1">IF(OFFSET('IWP19'!Std9dot1OutstandingChecks, 1, 1, 1, 1) = DATE(1900,1,0),DATE(1900,1,1),OFFSET('IWP19'!Std9dot1OutstandingChecks, 1, 1, 1, 1))</f>
        <v>1</v>
      </c>
      <c r="D1225" s="185">
        <f ca="1">OFFSET('IWP19'!Std9dot1OutstandingChecks, 1, 2, 1, 1)</f>
        <v>0</v>
      </c>
    </row>
    <row r="1226" spans="1:4">
      <c r="A1226" s="206" t="s">
        <v>1322</v>
      </c>
      <c r="B1226" s="13">
        <f ca="1">OFFSET('IWP19'!Std9dot1OutstandingChecks, 2, 0, 1, 1)</f>
        <v>0</v>
      </c>
      <c r="C1226" s="157">
        <f ca="1">IF(OFFSET('IWP19'!Std9dot1OutstandingChecks, 2, 1, 1, 1) = DATE(1900,1,0),DATE(1900,1,1),OFFSET('IWP19'!Std9dot1OutstandingChecks, 2, 1, 1, 1))</f>
        <v>1</v>
      </c>
      <c r="D1226" s="185">
        <f ca="1">OFFSET('IWP19'!Std9dot1OutstandingChecks, 2, 2, 1, 1)</f>
        <v>0</v>
      </c>
    </row>
    <row r="1227" spans="1:4">
      <c r="A1227" s="206" t="s">
        <v>1322</v>
      </c>
      <c r="B1227" s="13">
        <f ca="1">OFFSET('IWP19'!Std9dot1OutstandingChecks, 3, 0, 1, 1)</f>
        <v>0</v>
      </c>
      <c r="C1227" s="157">
        <f ca="1">IF(OFFSET('IWP19'!Std9dot1OutstandingChecks, 3, 1, 1, 1) = DATE(1900,1,0),DATE(1900,1,1),OFFSET('IWP19'!Std9dot1OutstandingChecks, 3, 1, 1, 1))</f>
        <v>1</v>
      </c>
      <c r="D1227" s="185">
        <f ca="1">OFFSET('IWP19'!Std9dot1OutstandingChecks, 3, 2, 1, 1)</f>
        <v>0</v>
      </c>
    </row>
    <row r="1228" spans="1:4">
      <c r="A1228" s="206" t="s">
        <v>1322</v>
      </c>
      <c r="B1228" s="13">
        <f ca="1">OFFSET('IWP19'!Std9dot1OutstandingChecks, 4, 0, 1, 1)</f>
        <v>0</v>
      </c>
      <c r="C1228" s="157">
        <f ca="1">IF(OFFSET('IWP19'!Std9dot1OutstandingChecks, 4, 1, 1, 1) = DATE(1900,1,0),DATE(1900,1,1),OFFSET('IWP19'!Std9dot1OutstandingChecks, 4, 1, 1, 1))</f>
        <v>1</v>
      </c>
      <c r="D1228" s="185">
        <f ca="1">OFFSET('IWP19'!Std9dot1OutstandingChecks, 4, 2, 1, 1)</f>
        <v>0</v>
      </c>
    </row>
    <row r="1229" spans="1:4">
      <c r="A1229" s="206" t="s">
        <v>1322</v>
      </c>
      <c r="B1229" s="13">
        <f ca="1">OFFSET('IWP19'!Std9dot1OutstandingChecks, 5, 0, 1, 1)</f>
        <v>0</v>
      </c>
      <c r="C1229" s="157">
        <f ca="1">IF(OFFSET('IWP19'!Std9dot1OutstandingChecks, 5, 1, 1, 1) = DATE(1900,1,0),DATE(1900,1,1),OFFSET('IWP19'!Std9dot1OutstandingChecks, 5, 1, 1, 1))</f>
        <v>1</v>
      </c>
      <c r="D1229" s="185">
        <f ca="1">OFFSET('IWP19'!Std9dot1OutstandingChecks, 5, 2, 1, 1)</f>
        <v>0</v>
      </c>
    </row>
    <row r="1230" spans="1:4">
      <c r="A1230" s="206" t="s">
        <v>1322</v>
      </c>
      <c r="B1230" s="13">
        <f ca="1">OFFSET('IWP19'!Std9dot1OutstandingChecks, 6, 0, 1, 1)</f>
        <v>0</v>
      </c>
      <c r="C1230" s="157">
        <f ca="1">IF(OFFSET('IWP19'!Std9dot1OutstandingChecks, 6, 1, 1, 1) = DATE(1900,1,0),DATE(1900,1,1),OFFSET('IWP19'!Std9dot1OutstandingChecks, 6, 1, 1, 1))</f>
        <v>1</v>
      </c>
      <c r="D1230" s="185">
        <f ca="1">OFFSET('IWP19'!Std9dot1OutstandingChecks, 6, 2, 1, 1)</f>
        <v>0</v>
      </c>
    </row>
    <row r="1231" spans="1:4">
      <c r="A1231" s="206" t="s">
        <v>1322</v>
      </c>
      <c r="B1231" s="13">
        <f ca="1">OFFSET('IWP19'!Std9dot1OutstandingChecks, 7, 0, 1, 1)</f>
        <v>0</v>
      </c>
      <c r="C1231" s="157">
        <f ca="1">IF(OFFSET('IWP19'!Std9dot1OutstandingChecks, 7, 1, 1, 1) = DATE(1900,1,0),DATE(1900,1,1),OFFSET('IWP19'!Std9dot1OutstandingChecks, 7, 1, 1, 1))</f>
        <v>1</v>
      </c>
      <c r="D1231" s="185">
        <f ca="1">OFFSET('IWP19'!Std9dot1OutstandingChecks, 7, 2, 1, 1)</f>
        <v>0</v>
      </c>
    </row>
    <row r="1232" spans="1:4">
      <c r="A1232" s="206" t="s">
        <v>1322</v>
      </c>
      <c r="B1232" s="13">
        <f ca="1">OFFSET('IWP19'!Std9dot1OutstandingChecks, 8, 0, 1, 1)</f>
        <v>0</v>
      </c>
      <c r="C1232" s="157">
        <f ca="1">IF(OFFSET('IWP19'!Std9dot1OutstandingChecks, 8, 1, 1, 1) = DATE(1900,1,0),DATE(1900,1,1),OFFSET('IWP19'!Std9dot1OutstandingChecks, 8, 1, 1, 1))</f>
        <v>1</v>
      </c>
      <c r="D1232" s="185">
        <f ca="1">OFFSET('IWP19'!Std9dot1OutstandingChecks, 8, 2, 1, 1)</f>
        <v>0</v>
      </c>
    </row>
    <row r="1233" spans="1:4">
      <c r="A1233" s="206" t="s">
        <v>1322</v>
      </c>
      <c r="B1233" s="13">
        <f ca="1">OFFSET('IWP19'!Std9dot1OutstandingChecks, 9, 0, 1, 1)</f>
        <v>0</v>
      </c>
      <c r="C1233" s="157">
        <f ca="1">IF(OFFSET('IWP19'!Std9dot1OutstandingChecks, 9, 1, 1, 1) = DATE(1900,1,0),DATE(1900,1,1),OFFSET('IWP19'!Std9dot1OutstandingChecks, 9, 1, 1, 1))</f>
        <v>1</v>
      </c>
      <c r="D1233" s="185">
        <f ca="1">OFFSET('IWP19'!Std9dot1OutstandingChecks, 9, 2, 1, 1)</f>
        <v>0</v>
      </c>
    </row>
    <row r="1234" spans="1:4">
      <c r="A1234" s="206" t="s">
        <v>1322</v>
      </c>
      <c r="B1234" s="13">
        <f ca="1">OFFSET('IWP19'!Std9dot1OutstandingChecks, 0, 4, 1, 1)</f>
        <v>0</v>
      </c>
      <c r="C1234" s="157">
        <f ca="1">IF(OFFSET('IWP19'!Std9dot1OutstandingChecks, 0, 5, 1, 1) = DATE(1900,1,0),DATE(1900,1,1),OFFSET('IWP19'!Std9dot1OutstandingChecks, 0, 5, 1, 1))</f>
        <v>1</v>
      </c>
      <c r="D1234" s="185">
        <f ca="1">OFFSET('IWP19'!Std9dot1OutstandingChecks, 0, 6, 1, 1)</f>
        <v>0</v>
      </c>
    </row>
    <row r="1235" spans="1:4">
      <c r="A1235" s="206" t="s">
        <v>1322</v>
      </c>
      <c r="B1235" s="13">
        <f ca="1">OFFSET('IWP19'!Std9dot1OutstandingChecks, 1, 4, 1, 1)</f>
        <v>0</v>
      </c>
      <c r="C1235" s="157">
        <f ca="1">IF(OFFSET('IWP19'!Std9dot1OutstandingChecks, 1, 5, 1, 1) = DATE(1900,1,0),DATE(1900,1,1),OFFSET('IWP19'!Std9dot1OutstandingChecks, 1, 5, 1, 1))</f>
        <v>1</v>
      </c>
      <c r="D1235" s="185">
        <f ca="1">OFFSET('IWP19'!Std9dot1OutstandingChecks, 1, 6, 1, 1)</f>
        <v>0</v>
      </c>
    </row>
    <row r="1236" spans="1:4">
      <c r="A1236" s="206" t="s">
        <v>1322</v>
      </c>
      <c r="B1236" s="13">
        <f ca="1">OFFSET('IWP19'!Std9dot1OutstandingChecks, 2, 4, 1, 1)</f>
        <v>0</v>
      </c>
      <c r="C1236" s="157">
        <f ca="1">IF(OFFSET('IWP19'!Std9dot1OutstandingChecks, 2, 5, 1, 1) = DATE(1900,1,0),DATE(1900,1,1),OFFSET('IWP19'!Std9dot1OutstandingChecks, 2, 5, 1, 1))</f>
        <v>1</v>
      </c>
      <c r="D1236" s="185">
        <f ca="1">OFFSET('IWP19'!Std9dot1OutstandingChecks, 2, 6, 1, 1)</f>
        <v>0</v>
      </c>
    </row>
    <row r="1237" spans="1:4">
      <c r="A1237" s="206" t="s">
        <v>1322</v>
      </c>
      <c r="B1237" s="13">
        <f ca="1">OFFSET('IWP19'!Std9dot1OutstandingChecks, 3, 4, 1, 1)</f>
        <v>0</v>
      </c>
      <c r="C1237" s="157">
        <f ca="1">IF(OFFSET('IWP19'!Std9dot1OutstandingChecks, 3, 5, 1, 1) = DATE(1900,1,0),DATE(1900,1,1),OFFSET('IWP19'!Std9dot1OutstandingChecks, 3, 5, 1, 1))</f>
        <v>1</v>
      </c>
      <c r="D1237" s="185">
        <f ca="1">OFFSET('IWP19'!Std9dot1OutstandingChecks, 3, 6, 1, 1)</f>
        <v>0</v>
      </c>
    </row>
    <row r="1238" spans="1:4">
      <c r="A1238" s="206" t="s">
        <v>1322</v>
      </c>
      <c r="B1238" s="13">
        <f ca="1">OFFSET('IWP19'!Std9dot1OutstandingChecks, 4, 4, 1, 1)</f>
        <v>0</v>
      </c>
      <c r="C1238" s="157">
        <f ca="1">IF(OFFSET('IWP19'!Std9dot1OutstandingChecks, 4, 5, 1, 1) = DATE(1900,1,0),DATE(1900,1,1),OFFSET('IWP19'!Std9dot1OutstandingChecks, 4, 5, 1, 1))</f>
        <v>1</v>
      </c>
      <c r="D1238" s="185">
        <f ca="1">OFFSET('IWP19'!Std9dot1OutstandingChecks, 4, 6, 1, 1)</f>
        <v>0</v>
      </c>
    </row>
    <row r="1239" spans="1:4">
      <c r="A1239" s="206" t="s">
        <v>1322</v>
      </c>
      <c r="B1239" s="13">
        <f ca="1">OFFSET('IWP19'!Std9dot1OutstandingChecks, 5, 4, 1, 1)</f>
        <v>0</v>
      </c>
      <c r="C1239" s="157">
        <f ca="1">IF(OFFSET('IWP19'!Std9dot1OutstandingChecks, 5, 5, 1, 1) = DATE(1900,1,0),DATE(1900,1,1),OFFSET('IWP19'!Std9dot1OutstandingChecks, 5, 5, 1, 1))</f>
        <v>1</v>
      </c>
      <c r="D1239" s="185">
        <f ca="1">OFFSET('IWP19'!Std9dot1OutstandingChecks, 5, 6, 1, 1)</f>
        <v>0</v>
      </c>
    </row>
    <row r="1240" spans="1:4">
      <c r="A1240" s="206" t="s">
        <v>1322</v>
      </c>
      <c r="B1240" s="13">
        <f ca="1">OFFSET('IWP19'!Std9dot1OutstandingChecks, 6, 4, 1, 1)</f>
        <v>0</v>
      </c>
      <c r="C1240" s="157">
        <f ca="1">IF(OFFSET('IWP19'!Std9dot1OutstandingChecks, 6, 5, 1, 1) = DATE(1900,1,0),DATE(1900,1,1),OFFSET('IWP19'!Std9dot1OutstandingChecks, 6, 5, 1, 1))</f>
        <v>1</v>
      </c>
      <c r="D1240" s="185">
        <f ca="1">OFFSET('IWP19'!Std9dot1OutstandingChecks, 6, 6, 1, 1)</f>
        <v>0</v>
      </c>
    </row>
    <row r="1241" spans="1:4">
      <c r="A1241" s="206" t="s">
        <v>1322</v>
      </c>
      <c r="B1241" s="13">
        <f ca="1">OFFSET('IWP19'!Std9dot1OutstandingChecks, 7, 4, 1, 1)</f>
        <v>0</v>
      </c>
      <c r="C1241" s="157">
        <f ca="1">IF(OFFSET('IWP19'!Std9dot1OutstandingChecks, 7, 5, 1, 1) = DATE(1900,1,0),DATE(1900,1,1),OFFSET('IWP19'!Std9dot1OutstandingChecks, 7, 5, 1, 1))</f>
        <v>1</v>
      </c>
      <c r="D1241" s="185">
        <f ca="1">OFFSET('IWP19'!Std9dot1OutstandingChecks, 7, 6, 1, 1)</f>
        <v>0</v>
      </c>
    </row>
    <row r="1242" spans="1:4">
      <c r="A1242" s="206" t="s">
        <v>1322</v>
      </c>
      <c r="B1242" s="13">
        <f ca="1">OFFSET('IWP19'!Std9dot1OutstandingChecks, 8, 4, 1, 1)</f>
        <v>0</v>
      </c>
      <c r="C1242" s="157">
        <f ca="1">IF(OFFSET('IWP19'!Std9dot1OutstandingChecks, 8, 5, 1, 1) = DATE(1900,1,0),DATE(1900,1,1),OFFSET('IWP19'!Std9dot1OutstandingChecks, 8, 5, 1, 1))</f>
        <v>1</v>
      </c>
      <c r="D1242" s="185">
        <f ca="1">OFFSET('IWP19'!Std9dot1OutstandingChecks, 8, 6, 1, 1)</f>
        <v>0</v>
      </c>
    </row>
    <row r="1243" spans="1:4">
      <c r="A1243" s="206" t="s">
        <v>1322</v>
      </c>
      <c r="B1243" s="13">
        <f ca="1">OFFSET('IWP19'!Std9dot1OutstandingChecks, 9, 4, 1, 1)</f>
        <v>0</v>
      </c>
      <c r="C1243" s="157">
        <f ca="1">IF(OFFSET('IWP19'!Std9dot1OutstandingChecks, 9, 5, 1, 1) = DATE(1900,1,0),DATE(1900,1,1),OFFSET('IWP19'!Std9dot1OutstandingChecks, 9, 5, 1, 1))</f>
        <v>1</v>
      </c>
      <c r="D1243" s="185">
        <f ca="1">OFFSET('IWP19'!Std9dot1OutstandingChecks, 9, 6, 1, 1)</f>
        <v>0</v>
      </c>
    </row>
    <row r="1244" spans="1:4">
      <c r="A1244" s="206" t="s">
        <v>1323</v>
      </c>
      <c r="B1244" s="13">
        <f ca="1">OFFSET('IWP20'!Std9dot1OutstandingChecks, 0, 0, 1, 1)</f>
        <v>0</v>
      </c>
      <c r="C1244" s="157">
        <f ca="1">IF(OFFSET('IWP20'!Std9dot1OutstandingChecks, 0, 1, 1, 1) = DATE(1900,1,0),DATE(1900,1,1),OFFSET('IWP20'!Std9dot1OutstandingChecks, 0, 1, 1, 1))</f>
        <v>1</v>
      </c>
      <c r="D1244" s="185">
        <f ca="1">OFFSET('IWP20'!Std9dot1OutstandingChecks, 0, 2, 1, 1)</f>
        <v>0</v>
      </c>
    </row>
    <row r="1245" spans="1:4">
      <c r="A1245" s="206" t="s">
        <v>1323</v>
      </c>
      <c r="B1245" s="13">
        <f ca="1">OFFSET('IWP20'!Std9dot1OutstandingChecks, 1, 0, 1, 1)</f>
        <v>0</v>
      </c>
      <c r="C1245" s="157">
        <f ca="1">IF(OFFSET('IWP20'!Std9dot1OutstandingChecks, 1, 1, 1, 1) = DATE(1900,1,0),DATE(1900,1,1),OFFSET('IWP20'!Std9dot1OutstandingChecks, 1, 1, 1, 1))</f>
        <v>1</v>
      </c>
      <c r="D1245" s="185">
        <f ca="1">OFFSET('IWP20'!Std9dot1OutstandingChecks, 1, 2, 1, 1)</f>
        <v>0</v>
      </c>
    </row>
    <row r="1246" spans="1:4">
      <c r="A1246" s="206" t="s">
        <v>1323</v>
      </c>
      <c r="B1246" s="13">
        <f ca="1">OFFSET('IWP20'!Std9dot1OutstandingChecks, 2, 0, 1, 1)</f>
        <v>0</v>
      </c>
      <c r="C1246" s="157">
        <f ca="1">IF(OFFSET('IWP20'!Std9dot1OutstandingChecks, 2, 1, 1, 1) = DATE(1900,1,0),DATE(1900,1,1),OFFSET('IWP20'!Std9dot1OutstandingChecks, 2, 1, 1, 1))</f>
        <v>1</v>
      </c>
      <c r="D1246" s="185">
        <f ca="1">OFFSET('IWP20'!Std9dot1OutstandingChecks, 2, 2, 1, 1)</f>
        <v>0</v>
      </c>
    </row>
    <row r="1247" spans="1:4">
      <c r="A1247" s="206" t="s">
        <v>1323</v>
      </c>
      <c r="B1247" s="13">
        <f ca="1">OFFSET('IWP20'!Std9dot1OutstandingChecks, 3, 0, 1, 1)</f>
        <v>0</v>
      </c>
      <c r="C1247" s="157">
        <f ca="1">IF(OFFSET('IWP20'!Std9dot1OutstandingChecks, 3, 1, 1, 1) = DATE(1900,1,0),DATE(1900,1,1),OFFSET('IWP20'!Std9dot1OutstandingChecks, 3, 1, 1, 1))</f>
        <v>1</v>
      </c>
      <c r="D1247" s="185">
        <f ca="1">OFFSET('IWP20'!Std9dot1OutstandingChecks, 3, 2, 1, 1)</f>
        <v>0</v>
      </c>
    </row>
    <row r="1248" spans="1:4">
      <c r="A1248" s="206" t="s">
        <v>1323</v>
      </c>
      <c r="B1248" s="13">
        <f ca="1">OFFSET('IWP20'!Std9dot1OutstandingChecks, 4, 0, 1, 1)</f>
        <v>0</v>
      </c>
      <c r="C1248" s="157">
        <f ca="1">IF(OFFSET('IWP20'!Std9dot1OutstandingChecks, 4, 1, 1, 1) = DATE(1900,1,0),DATE(1900,1,1),OFFSET('IWP20'!Std9dot1OutstandingChecks, 4, 1, 1, 1))</f>
        <v>1</v>
      </c>
      <c r="D1248" s="185">
        <f ca="1">OFFSET('IWP20'!Std9dot1OutstandingChecks, 4, 2, 1, 1)</f>
        <v>0</v>
      </c>
    </row>
    <row r="1249" spans="1:4">
      <c r="A1249" s="206" t="s">
        <v>1323</v>
      </c>
      <c r="B1249" s="13">
        <f ca="1">OFFSET('IWP20'!Std9dot1OutstandingChecks, 5, 0, 1, 1)</f>
        <v>0</v>
      </c>
      <c r="C1249" s="157">
        <f ca="1">IF(OFFSET('IWP20'!Std9dot1OutstandingChecks, 5, 1, 1, 1) = DATE(1900,1,0),DATE(1900,1,1),OFFSET('IWP20'!Std9dot1OutstandingChecks, 5, 1, 1, 1))</f>
        <v>1</v>
      </c>
      <c r="D1249" s="185">
        <f ca="1">OFFSET('IWP20'!Std9dot1OutstandingChecks, 5, 2, 1, 1)</f>
        <v>0</v>
      </c>
    </row>
    <row r="1250" spans="1:4">
      <c r="A1250" s="206" t="s">
        <v>1323</v>
      </c>
      <c r="B1250" s="13">
        <f ca="1">OFFSET('IWP20'!Std9dot1OutstandingChecks, 6, 0, 1, 1)</f>
        <v>0</v>
      </c>
      <c r="C1250" s="157">
        <f ca="1">IF(OFFSET('IWP20'!Std9dot1OutstandingChecks, 6, 1, 1, 1) = DATE(1900,1,0),DATE(1900,1,1),OFFSET('IWP20'!Std9dot1OutstandingChecks, 6, 1, 1, 1))</f>
        <v>1</v>
      </c>
      <c r="D1250" s="185">
        <f ca="1">OFFSET('IWP20'!Std9dot1OutstandingChecks, 6, 2, 1, 1)</f>
        <v>0</v>
      </c>
    </row>
    <row r="1251" spans="1:4">
      <c r="A1251" s="206" t="s">
        <v>1323</v>
      </c>
      <c r="B1251" s="13">
        <f ca="1">OFFSET('IWP20'!Std9dot1OutstandingChecks, 7, 0, 1, 1)</f>
        <v>0</v>
      </c>
      <c r="C1251" s="157">
        <f ca="1">IF(OFFSET('IWP20'!Std9dot1OutstandingChecks, 7, 1, 1, 1) = DATE(1900,1,0),DATE(1900,1,1),OFFSET('IWP20'!Std9dot1OutstandingChecks, 7, 1, 1, 1))</f>
        <v>1</v>
      </c>
      <c r="D1251" s="185">
        <f ca="1">OFFSET('IWP20'!Std9dot1OutstandingChecks, 7, 2, 1, 1)</f>
        <v>0</v>
      </c>
    </row>
    <row r="1252" spans="1:4">
      <c r="A1252" s="206" t="s">
        <v>1323</v>
      </c>
      <c r="B1252" s="13">
        <f ca="1">OFFSET('IWP20'!Std9dot1OutstandingChecks, 8, 0, 1, 1)</f>
        <v>0</v>
      </c>
      <c r="C1252" s="157">
        <f ca="1">IF(OFFSET('IWP20'!Std9dot1OutstandingChecks, 8, 1, 1, 1) = DATE(1900,1,0),DATE(1900,1,1),OFFSET('IWP20'!Std9dot1OutstandingChecks, 8, 1, 1, 1))</f>
        <v>1</v>
      </c>
      <c r="D1252" s="185">
        <f ca="1">OFFSET('IWP20'!Std9dot1OutstandingChecks, 8, 2, 1, 1)</f>
        <v>0</v>
      </c>
    </row>
    <row r="1253" spans="1:4">
      <c r="A1253" s="206" t="s">
        <v>1323</v>
      </c>
      <c r="B1253" s="13">
        <f ca="1">OFFSET('IWP20'!Std9dot1OutstandingChecks, 9, 0, 1, 1)</f>
        <v>0</v>
      </c>
      <c r="C1253" s="157">
        <f ca="1">IF(OFFSET('IWP20'!Std9dot1OutstandingChecks, 9, 1, 1, 1) = DATE(1900,1,0),DATE(1900,1,1),OFFSET('IWP20'!Std9dot1OutstandingChecks, 9, 1, 1, 1))</f>
        <v>1</v>
      </c>
      <c r="D1253" s="185">
        <f ca="1">OFFSET('IWP20'!Std9dot1OutstandingChecks, 9, 2, 1, 1)</f>
        <v>0</v>
      </c>
    </row>
    <row r="1254" spans="1:4">
      <c r="A1254" s="206" t="s">
        <v>1323</v>
      </c>
      <c r="B1254" s="13">
        <f ca="1">OFFSET('IWP20'!Std9dot1OutstandingChecks, 0, 4, 1, 1)</f>
        <v>0</v>
      </c>
      <c r="C1254" s="157">
        <f ca="1">IF(OFFSET('IWP20'!Std9dot1OutstandingChecks, 0, 5, 1, 1) = DATE(1900,1,0),DATE(1900,1,1),OFFSET('IWP20'!Std9dot1OutstandingChecks, 0, 5, 1, 1))</f>
        <v>1</v>
      </c>
      <c r="D1254" s="185">
        <f ca="1">OFFSET('IWP20'!Std9dot1OutstandingChecks, 0, 6, 1, 1)</f>
        <v>0</v>
      </c>
    </row>
    <row r="1255" spans="1:4">
      <c r="A1255" s="206" t="s">
        <v>1323</v>
      </c>
      <c r="B1255" s="13">
        <f ca="1">OFFSET('IWP20'!Std9dot1OutstandingChecks, 1, 4, 1, 1)</f>
        <v>0</v>
      </c>
      <c r="C1255" s="157">
        <f ca="1">IF(OFFSET('IWP20'!Std9dot1OutstandingChecks, 1, 5, 1, 1) = DATE(1900,1,0),DATE(1900,1,1),OFFSET('IWP20'!Std9dot1OutstandingChecks, 1, 5, 1, 1))</f>
        <v>1</v>
      </c>
      <c r="D1255" s="185">
        <f ca="1">OFFSET('IWP20'!Std9dot1OutstandingChecks, 1, 6, 1, 1)</f>
        <v>0</v>
      </c>
    </row>
    <row r="1256" spans="1:4">
      <c r="A1256" s="206" t="s">
        <v>1323</v>
      </c>
      <c r="B1256" s="13">
        <f ca="1">OFFSET('IWP20'!Std9dot1OutstandingChecks, 2, 4, 1, 1)</f>
        <v>0</v>
      </c>
      <c r="C1256" s="157">
        <f ca="1">IF(OFFSET('IWP20'!Std9dot1OutstandingChecks, 2, 5, 1, 1) = DATE(1900,1,0),DATE(1900,1,1),OFFSET('IWP20'!Std9dot1OutstandingChecks, 2, 5, 1, 1))</f>
        <v>1</v>
      </c>
      <c r="D1256" s="185">
        <f ca="1">OFFSET('IWP20'!Std9dot1OutstandingChecks, 2, 6, 1, 1)</f>
        <v>0</v>
      </c>
    </row>
    <row r="1257" spans="1:4">
      <c r="A1257" s="206" t="s">
        <v>1323</v>
      </c>
      <c r="B1257" s="13">
        <f ca="1">OFFSET('IWP20'!Std9dot1OutstandingChecks, 3, 4, 1, 1)</f>
        <v>0</v>
      </c>
      <c r="C1257" s="157">
        <f ca="1">IF(OFFSET('IWP20'!Std9dot1OutstandingChecks, 3, 5, 1, 1) = DATE(1900,1,0),DATE(1900,1,1),OFFSET('IWP20'!Std9dot1OutstandingChecks, 3, 5, 1, 1))</f>
        <v>1</v>
      </c>
      <c r="D1257" s="185">
        <f ca="1">OFFSET('IWP20'!Std9dot1OutstandingChecks, 3, 6, 1, 1)</f>
        <v>0</v>
      </c>
    </row>
    <row r="1258" spans="1:4">
      <c r="A1258" s="206" t="s">
        <v>1323</v>
      </c>
      <c r="B1258" s="13">
        <f ca="1">OFFSET('IWP20'!Std9dot1OutstandingChecks, 4, 4, 1, 1)</f>
        <v>0</v>
      </c>
      <c r="C1258" s="157">
        <f ca="1">IF(OFFSET('IWP20'!Std9dot1OutstandingChecks, 4, 5, 1, 1) = DATE(1900,1,0),DATE(1900,1,1),OFFSET('IWP20'!Std9dot1OutstandingChecks, 4, 5, 1, 1))</f>
        <v>1</v>
      </c>
      <c r="D1258" s="185">
        <f ca="1">OFFSET('IWP20'!Std9dot1OutstandingChecks, 4, 6, 1, 1)</f>
        <v>0</v>
      </c>
    </row>
    <row r="1259" spans="1:4">
      <c r="A1259" s="206" t="s">
        <v>1323</v>
      </c>
      <c r="B1259" s="13">
        <f ca="1">OFFSET('IWP20'!Std9dot1OutstandingChecks, 5, 4, 1, 1)</f>
        <v>0</v>
      </c>
      <c r="C1259" s="157">
        <f ca="1">IF(OFFSET('IWP20'!Std9dot1OutstandingChecks, 5, 5, 1, 1) = DATE(1900,1,0),DATE(1900,1,1),OFFSET('IWP20'!Std9dot1OutstandingChecks, 5, 5, 1, 1))</f>
        <v>1</v>
      </c>
      <c r="D1259" s="185">
        <f ca="1">OFFSET('IWP20'!Std9dot1OutstandingChecks, 5, 6, 1, 1)</f>
        <v>0</v>
      </c>
    </row>
    <row r="1260" spans="1:4">
      <c r="A1260" s="206" t="s">
        <v>1323</v>
      </c>
      <c r="B1260" s="13">
        <f ca="1">OFFSET('IWP20'!Std9dot1OutstandingChecks, 6, 4, 1, 1)</f>
        <v>0</v>
      </c>
      <c r="C1260" s="157">
        <f ca="1">IF(OFFSET('IWP20'!Std9dot1OutstandingChecks, 6, 5, 1, 1) = DATE(1900,1,0),DATE(1900,1,1),OFFSET('IWP20'!Std9dot1OutstandingChecks, 6, 5, 1, 1))</f>
        <v>1</v>
      </c>
      <c r="D1260" s="185">
        <f ca="1">OFFSET('IWP20'!Std9dot1OutstandingChecks, 6, 6, 1, 1)</f>
        <v>0</v>
      </c>
    </row>
    <row r="1261" spans="1:4">
      <c r="A1261" s="206" t="s">
        <v>1323</v>
      </c>
      <c r="B1261" s="13">
        <f ca="1">OFFSET('IWP20'!Std9dot1OutstandingChecks, 7, 4, 1, 1)</f>
        <v>0</v>
      </c>
      <c r="C1261" s="157">
        <f ca="1">IF(OFFSET('IWP20'!Std9dot1OutstandingChecks, 7, 5, 1, 1) = DATE(1900,1,0),DATE(1900,1,1),OFFSET('IWP20'!Std9dot1OutstandingChecks, 7, 5, 1, 1))</f>
        <v>1</v>
      </c>
      <c r="D1261" s="185">
        <f ca="1">OFFSET('IWP20'!Std9dot1OutstandingChecks, 7, 6, 1, 1)</f>
        <v>0</v>
      </c>
    </row>
    <row r="1262" spans="1:4">
      <c r="A1262" s="206" t="s">
        <v>1323</v>
      </c>
      <c r="B1262" s="13">
        <f ca="1">OFFSET('IWP20'!Std9dot1OutstandingChecks, 8, 4, 1, 1)</f>
        <v>0</v>
      </c>
      <c r="C1262" s="157">
        <f ca="1">IF(OFFSET('IWP20'!Std9dot1OutstandingChecks, 8, 5, 1, 1) = DATE(1900,1,0),DATE(1900,1,1),OFFSET('IWP20'!Std9dot1OutstandingChecks, 8, 5, 1, 1))</f>
        <v>1</v>
      </c>
      <c r="D1262" s="185">
        <f ca="1">OFFSET('IWP20'!Std9dot1OutstandingChecks, 8, 6, 1, 1)</f>
        <v>0</v>
      </c>
    </row>
    <row r="1263" spans="1:4">
      <c r="A1263" s="206" t="s">
        <v>1323</v>
      </c>
      <c r="B1263" s="13">
        <f ca="1">OFFSET('IWP20'!Std9dot1OutstandingChecks, 9, 4, 1, 1)</f>
        <v>0</v>
      </c>
      <c r="C1263" s="157">
        <f ca="1">IF(OFFSET('IWP20'!Std9dot1OutstandingChecks, 9, 5, 1, 1) = DATE(1900,1,0),DATE(1900,1,1),OFFSET('IWP20'!Std9dot1OutstandingChecks, 9, 5, 1, 1))</f>
        <v>1</v>
      </c>
      <c r="D1263" s="185">
        <f ca="1">OFFSET('IWP20'!Std9dot1OutstandingChecks, 9, 6, 1, 1)</f>
        <v>0</v>
      </c>
    </row>
    <row r="1264" spans="1:4">
      <c r="A1264" s="206" t="s">
        <v>1324</v>
      </c>
      <c r="B1264" s="13">
        <f ca="1">OFFSET('IWP21'!Std9dot1OutstandingChecks, 0, 0, 1, 1)</f>
        <v>0</v>
      </c>
      <c r="C1264" s="157">
        <f ca="1">IF(OFFSET('IWP21'!Std9dot1OutstandingChecks, 0, 1, 1, 1) = DATE(1900,1,0),DATE(1900,1,1),OFFSET('IWP21'!Std9dot1OutstandingChecks, 0, 1, 1, 1))</f>
        <v>1</v>
      </c>
      <c r="D1264" s="185">
        <f ca="1">OFFSET('IWP21'!Std9dot1OutstandingChecks, 0, 2, 1, 1)</f>
        <v>0</v>
      </c>
    </row>
    <row r="1265" spans="1:4">
      <c r="A1265" s="206" t="s">
        <v>1324</v>
      </c>
      <c r="B1265" s="13">
        <f ca="1">OFFSET('IWP21'!Std9dot1OutstandingChecks, 1, 0, 1, 1)</f>
        <v>0</v>
      </c>
      <c r="C1265" s="157">
        <f ca="1">IF(OFFSET('IWP21'!Std9dot1OutstandingChecks, 1, 1, 1, 1) = DATE(1900,1,0),DATE(1900,1,1),OFFSET('IWP21'!Std9dot1OutstandingChecks, 1, 1, 1, 1))</f>
        <v>1</v>
      </c>
      <c r="D1265" s="185">
        <f ca="1">OFFSET('IWP21'!Std9dot1OutstandingChecks, 1, 2, 1, 1)</f>
        <v>0</v>
      </c>
    </row>
    <row r="1266" spans="1:4">
      <c r="A1266" s="206" t="s">
        <v>1324</v>
      </c>
      <c r="B1266" s="13">
        <f ca="1">OFFSET('IWP21'!Std9dot1OutstandingChecks, 2, 0, 1, 1)</f>
        <v>0</v>
      </c>
      <c r="C1266" s="157">
        <f ca="1">IF(OFFSET('IWP21'!Std9dot1OutstandingChecks, 2, 1, 1, 1) = DATE(1900,1,0),DATE(1900,1,1),OFFSET('IWP21'!Std9dot1OutstandingChecks, 2, 1, 1, 1))</f>
        <v>1</v>
      </c>
      <c r="D1266" s="185">
        <f ca="1">OFFSET('IWP21'!Std9dot1OutstandingChecks, 2, 2, 1, 1)</f>
        <v>0</v>
      </c>
    </row>
    <row r="1267" spans="1:4">
      <c r="A1267" s="206" t="s">
        <v>1324</v>
      </c>
      <c r="B1267" s="13">
        <f ca="1">OFFSET('IWP21'!Std9dot1OutstandingChecks, 3, 0, 1, 1)</f>
        <v>0</v>
      </c>
      <c r="C1267" s="157">
        <f ca="1">IF(OFFSET('IWP21'!Std9dot1OutstandingChecks, 3, 1, 1, 1) = DATE(1900,1,0),DATE(1900,1,1),OFFSET('IWP21'!Std9dot1OutstandingChecks, 3, 1, 1, 1))</f>
        <v>1</v>
      </c>
      <c r="D1267" s="185">
        <f ca="1">OFFSET('IWP21'!Std9dot1OutstandingChecks, 3, 2, 1, 1)</f>
        <v>0</v>
      </c>
    </row>
    <row r="1268" spans="1:4">
      <c r="A1268" s="206" t="s">
        <v>1324</v>
      </c>
      <c r="B1268" s="13">
        <f ca="1">OFFSET('IWP21'!Std9dot1OutstandingChecks, 4, 0, 1, 1)</f>
        <v>0</v>
      </c>
      <c r="C1268" s="157">
        <f ca="1">IF(OFFSET('IWP21'!Std9dot1OutstandingChecks, 4, 1, 1, 1) = DATE(1900,1,0),DATE(1900,1,1),OFFSET('IWP21'!Std9dot1OutstandingChecks, 4, 1, 1, 1))</f>
        <v>1</v>
      </c>
      <c r="D1268" s="185">
        <f ca="1">OFFSET('IWP21'!Std9dot1OutstandingChecks, 4, 2, 1, 1)</f>
        <v>0</v>
      </c>
    </row>
    <row r="1269" spans="1:4">
      <c r="A1269" s="206" t="s">
        <v>1324</v>
      </c>
      <c r="B1269" s="13">
        <f ca="1">OFFSET('IWP21'!Std9dot1OutstandingChecks, 5, 0, 1, 1)</f>
        <v>0</v>
      </c>
      <c r="C1269" s="157">
        <f ca="1">IF(OFFSET('IWP21'!Std9dot1OutstandingChecks, 5, 1, 1, 1) = DATE(1900,1,0),DATE(1900,1,1),OFFSET('IWP21'!Std9dot1OutstandingChecks, 5, 1, 1, 1))</f>
        <v>1</v>
      </c>
      <c r="D1269" s="185">
        <f ca="1">OFFSET('IWP21'!Std9dot1OutstandingChecks, 5, 2, 1, 1)</f>
        <v>0</v>
      </c>
    </row>
    <row r="1270" spans="1:4">
      <c r="A1270" s="206" t="s">
        <v>1324</v>
      </c>
      <c r="B1270" s="13">
        <f ca="1">OFFSET('IWP21'!Std9dot1OutstandingChecks, 6, 0, 1, 1)</f>
        <v>0</v>
      </c>
      <c r="C1270" s="157">
        <f ca="1">IF(OFFSET('IWP21'!Std9dot1OutstandingChecks, 6, 1, 1, 1) = DATE(1900,1,0),DATE(1900,1,1),OFFSET('IWP21'!Std9dot1OutstandingChecks, 6, 1, 1, 1))</f>
        <v>1</v>
      </c>
      <c r="D1270" s="185">
        <f ca="1">OFFSET('IWP21'!Std9dot1OutstandingChecks, 6, 2, 1, 1)</f>
        <v>0</v>
      </c>
    </row>
    <row r="1271" spans="1:4">
      <c r="A1271" s="206" t="s">
        <v>1324</v>
      </c>
      <c r="B1271" s="13">
        <f ca="1">OFFSET('IWP21'!Std9dot1OutstandingChecks, 7, 0, 1, 1)</f>
        <v>0</v>
      </c>
      <c r="C1271" s="157">
        <f ca="1">IF(OFFSET('IWP21'!Std9dot1OutstandingChecks, 7, 1, 1, 1) = DATE(1900,1,0),DATE(1900,1,1),OFFSET('IWP21'!Std9dot1OutstandingChecks, 7, 1, 1, 1))</f>
        <v>1</v>
      </c>
      <c r="D1271" s="185">
        <f ca="1">OFFSET('IWP21'!Std9dot1OutstandingChecks, 7, 2, 1, 1)</f>
        <v>0</v>
      </c>
    </row>
    <row r="1272" spans="1:4">
      <c r="A1272" s="206" t="s">
        <v>1324</v>
      </c>
      <c r="B1272" s="13">
        <f ca="1">OFFSET('IWP21'!Std9dot1OutstandingChecks, 8, 0, 1, 1)</f>
        <v>0</v>
      </c>
      <c r="C1272" s="157">
        <f ca="1">IF(OFFSET('IWP21'!Std9dot1OutstandingChecks, 8, 1, 1, 1) = DATE(1900,1,0),DATE(1900,1,1),OFFSET('IWP21'!Std9dot1OutstandingChecks, 8, 1, 1, 1))</f>
        <v>1</v>
      </c>
      <c r="D1272" s="185">
        <f ca="1">OFFSET('IWP21'!Std9dot1OutstandingChecks, 8, 2, 1, 1)</f>
        <v>0</v>
      </c>
    </row>
    <row r="1273" spans="1:4">
      <c r="A1273" s="206" t="s">
        <v>1324</v>
      </c>
      <c r="B1273" s="13">
        <f ca="1">OFFSET('IWP21'!Std9dot1OutstandingChecks, 9, 0, 1, 1)</f>
        <v>0</v>
      </c>
      <c r="C1273" s="157">
        <f ca="1">IF(OFFSET('IWP21'!Std9dot1OutstandingChecks, 9, 1, 1, 1) = DATE(1900,1,0),DATE(1900,1,1),OFFSET('IWP21'!Std9dot1OutstandingChecks, 9, 1, 1, 1))</f>
        <v>1</v>
      </c>
      <c r="D1273" s="185">
        <f ca="1">OFFSET('IWP21'!Std9dot1OutstandingChecks, 9, 2, 1, 1)</f>
        <v>0</v>
      </c>
    </row>
    <row r="1274" spans="1:4">
      <c r="A1274" s="206" t="s">
        <v>1324</v>
      </c>
      <c r="B1274" s="13">
        <f ca="1">OFFSET('IWP21'!Std9dot1OutstandingChecks, 0, 4, 1, 1)</f>
        <v>0</v>
      </c>
      <c r="C1274" s="157">
        <f ca="1">IF(OFFSET('IWP21'!Std9dot1OutstandingChecks, 0, 5, 1, 1) = DATE(1900,1,0),DATE(1900,1,1),OFFSET('IWP21'!Std9dot1OutstandingChecks, 0, 5, 1, 1))</f>
        <v>1</v>
      </c>
      <c r="D1274" s="185">
        <f ca="1">OFFSET('IWP21'!Std9dot1OutstandingChecks, 0, 6, 1, 1)</f>
        <v>0</v>
      </c>
    </row>
    <row r="1275" spans="1:4">
      <c r="A1275" s="206" t="s">
        <v>1324</v>
      </c>
      <c r="B1275" s="13">
        <f ca="1">OFFSET('IWP21'!Std9dot1OutstandingChecks, 1, 4, 1, 1)</f>
        <v>0</v>
      </c>
      <c r="C1275" s="157">
        <f ca="1">IF(OFFSET('IWP21'!Std9dot1OutstandingChecks, 1, 5, 1, 1) = DATE(1900,1,0),DATE(1900,1,1),OFFSET('IWP21'!Std9dot1OutstandingChecks, 1, 5, 1, 1))</f>
        <v>1</v>
      </c>
      <c r="D1275" s="185">
        <f ca="1">OFFSET('IWP21'!Std9dot1OutstandingChecks, 1, 6, 1, 1)</f>
        <v>0</v>
      </c>
    </row>
    <row r="1276" spans="1:4">
      <c r="A1276" s="206" t="s">
        <v>1324</v>
      </c>
      <c r="B1276" s="13">
        <f ca="1">OFFSET('IWP21'!Std9dot1OutstandingChecks, 2, 4, 1, 1)</f>
        <v>0</v>
      </c>
      <c r="C1276" s="157">
        <f ca="1">IF(OFFSET('IWP21'!Std9dot1OutstandingChecks, 2, 5, 1, 1) = DATE(1900,1,0),DATE(1900,1,1),OFFSET('IWP21'!Std9dot1OutstandingChecks, 2, 5, 1, 1))</f>
        <v>1</v>
      </c>
      <c r="D1276" s="185">
        <f ca="1">OFFSET('IWP21'!Std9dot1OutstandingChecks, 2, 6, 1, 1)</f>
        <v>0</v>
      </c>
    </row>
    <row r="1277" spans="1:4">
      <c r="A1277" s="206" t="s">
        <v>1324</v>
      </c>
      <c r="B1277" s="13">
        <f ca="1">OFFSET('IWP21'!Std9dot1OutstandingChecks, 3, 4, 1, 1)</f>
        <v>0</v>
      </c>
      <c r="C1277" s="157">
        <f ca="1">IF(OFFSET('IWP21'!Std9dot1OutstandingChecks, 3, 5, 1, 1) = DATE(1900,1,0),DATE(1900,1,1),OFFSET('IWP21'!Std9dot1OutstandingChecks, 3, 5, 1, 1))</f>
        <v>1</v>
      </c>
      <c r="D1277" s="185">
        <f ca="1">OFFSET('IWP21'!Std9dot1OutstandingChecks, 3, 6, 1, 1)</f>
        <v>0</v>
      </c>
    </row>
    <row r="1278" spans="1:4">
      <c r="A1278" s="206" t="s">
        <v>1324</v>
      </c>
      <c r="B1278" s="13">
        <f ca="1">OFFSET('IWP21'!Std9dot1OutstandingChecks, 4, 4, 1, 1)</f>
        <v>0</v>
      </c>
      <c r="C1278" s="157">
        <f ca="1">IF(OFFSET('IWP21'!Std9dot1OutstandingChecks, 4, 5, 1, 1) = DATE(1900,1,0),DATE(1900,1,1),OFFSET('IWP21'!Std9dot1OutstandingChecks, 4, 5, 1, 1))</f>
        <v>1</v>
      </c>
      <c r="D1278" s="185">
        <f ca="1">OFFSET('IWP21'!Std9dot1OutstandingChecks, 4, 6, 1, 1)</f>
        <v>0</v>
      </c>
    </row>
    <row r="1279" spans="1:4">
      <c r="A1279" s="206" t="s">
        <v>1324</v>
      </c>
      <c r="B1279" s="13">
        <f ca="1">OFFSET('IWP21'!Std9dot1OutstandingChecks, 5, 4, 1, 1)</f>
        <v>0</v>
      </c>
      <c r="C1279" s="157">
        <f ca="1">IF(OFFSET('IWP21'!Std9dot1OutstandingChecks, 5, 5, 1, 1) = DATE(1900,1,0),DATE(1900,1,1),OFFSET('IWP21'!Std9dot1OutstandingChecks, 5, 5, 1, 1))</f>
        <v>1</v>
      </c>
      <c r="D1279" s="185">
        <f ca="1">OFFSET('IWP21'!Std9dot1OutstandingChecks, 5, 6, 1, 1)</f>
        <v>0</v>
      </c>
    </row>
    <row r="1280" spans="1:4">
      <c r="A1280" s="206" t="s">
        <v>1324</v>
      </c>
      <c r="B1280" s="13">
        <f ca="1">OFFSET('IWP21'!Std9dot1OutstandingChecks, 6, 4, 1, 1)</f>
        <v>0</v>
      </c>
      <c r="C1280" s="157">
        <f ca="1">IF(OFFSET('IWP21'!Std9dot1OutstandingChecks, 6, 5, 1, 1) = DATE(1900,1,0),DATE(1900,1,1),OFFSET('IWP21'!Std9dot1OutstandingChecks, 6, 5, 1, 1))</f>
        <v>1</v>
      </c>
      <c r="D1280" s="185">
        <f ca="1">OFFSET('IWP21'!Std9dot1OutstandingChecks, 6, 6, 1, 1)</f>
        <v>0</v>
      </c>
    </row>
    <row r="1281" spans="1:4">
      <c r="A1281" s="206" t="s">
        <v>1324</v>
      </c>
      <c r="B1281" s="13">
        <f ca="1">OFFSET('IWP21'!Std9dot1OutstandingChecks, 7, 4, 1, 1)</f>
        <v>0</v>
      </c>
      <c r="C1281" s="157">
        <f ca="1">IF(OFFSET('IWP21'!Std9dot1OutstandingChecks, 7, 5, 1, 1) = DATE(1900,1,0),DATE(1900,1,1),OFFSET('IWP21'!Std9dot1OutstandingChecks, 7, 5, 1, 1))</f>
        <v>1</v>
      </c>
      <c r="D1281" s="185">
        <f ca="1">OFFSET('IWP21'!Std9dot1OutstandingChecks, 7, 6, 1, 1)</f>
        <v>0</v>
      </c>
    </row>
    <row r="1282" spans="1:4">
      <c r="A1282" s="206" t="s">
        <v>1324</v>
      </c>
      <c r="B1282" s="13">
        <f ca="1">OFFSET('IWP21'!Std9dot1OutstandingChecks, 8, 4, 1, 1)</f>
        <v>0</v>
      </c>
      <c r="C1282" s="157">
        <f ca="1">IF(OFFSET('IWP21'!Std9dot1OutstandingChecks, 8, 5, 1, 1) = DATE(1900,1,0),DATE(1900,1,1),OFFSET('IWP21'!Std9dot1OutstandingChecks, 8, 5, 1, 1))</f>
        <v>1</v>
      </c>
      <c r="D1282" s="185">
        <f ca="1">OFFSET('IWP21'!Std9dot1OutstandingChecks, 8, 6, 1, 1)</f>
        <v>0</v>
      </c>
    </row>
    <row r="1283" spans="1:4">
      <c r="A1283" s="206" t="s">
        <v>1324</v>
      </c>
      <c r="B1283" s="13">
        <f ca="1">OFFSET('IWP21'!Std9dot1OutstandingChecks, 9, 4, 1, 1)</f>
        <v>0</v>
      </c>
      <c r="C1283" s="157">
        <f ca="1">IF(OFFSET('IWP21'!Std9dot1OutstandingChecks, 9, 5, 1, 1) = DATE(1900,1,0),DATE(1900,1,1),OFFSET('IWP21'!Std9dot1OutstandingChecks, 9, 5, 1, 1))</f>
        <v>1</v>
      </c>
      <c r="D1283" s="185">
        <f ca="1">OFFSET('IWP21'!Std9dot1OutstandingChecks, 9, 6, 1, 1)</f>
        <v>0</v>
      </c>
    </row>
    <row r="1284" spans="1:4">
      <c r="A1284" s="206" t="s">
        <v>1325</v>
      </c>
      <c r="B1284" s="13">
        <f ca="1">OFFSET('IWP22'!Std9dot1OutstandingChecks, 0, 0, 1, 1)</f>
        <v>0</v>
      </c>
      <c r="C1284" s="157">
        <f ca="1">IF(OFFSET('IWP22'!Std9dot1OutstandingChecks, 0, 1, 1, 1) = DATE(1900,1,0),DATE(1900,1,1),OFFSET('IWP22'!Std9dot1OutstandingChecks, 0, 1, 1, 1))</f>
        <v>1</v>
      </c>
      <c r="D1284" s="185">
        <f ca="1">OFFSET('IWP22'!Std9dot1OutstandingChecks, 0, 2, 1, 1)</f>
        <v>0</v>
      </c>
    </row>
    <row r="1285" spans="1:4">
      <c r="A1285" s="206" t="s">
        <v>1325</v>
      </c>
      <c r="B1285" s="13">
        <f ca="1">OFFSET('IWP22'!Std9dot1OutstandingChecks, 1, 0, 1, 1)</f>
        <v>0</v>
      </c>
      <c r="C1285" s="157">
        <f ca="1">IF(OFFSET('IWP22'!Std9dot1OutstandingChecks, 1, 1, 1, 1) = DATE(1900,1,0),DATE(1900,1,1),OFFSET('IWP22'!Std9dot1OutstandingChecks, 1, 1, 1, 1))</f>
        <v>1</v>
      </c>
      <c r="D1285" s="185">
        <f ca="1">OFFSET('IWP22'!Std9dot1OutstandingChecks, 1, 2, 1, 1)</f>
        <v>0</v>
      </c>
    </row>
    <row r="1286" spans="1:4">
      <c r="A1286" s="206" t="s">
        <v>1325</v>
      </c>
      <c r="B1286" s="13">
        <f ca="1">OFFSET('IWP22'!Std9dot1OutstandingChecks, 2, 0, 1, 1)</f>
        <v>0</v>
      </c>
      <c r="C1286" s="157">
        <f ca="1">IF(OFFSET('IWP22'!Std9dot1OutstandingChecks, 2, 1, 1, 1) = DATE(1900,1,0),DATE(1900,1,1),OFFSET('IWP22'!Std9dot1OutstandingChecks, 2, 1, 1, 1))</f>
        <v>1</v>
      </c>
      <c r="D1286" s="185">
        <f ca="1">OFFSET('IWP22'!Std9dot1OutstandingChecks, 2, 2, 1, 1)</f>
        <v>0</v>
      </c>
    </row>
    <row r="1287" spans="1:4">
      <c r="A1287" s="206" t="s">
        <v>1325</v>
      </c>
      <c r="B1287" s="13">
        <f ca="1">OFFSET('IWP22'!Std9dot1OutstandingChecks, 3, 0, 1, 1)</f>
        <v>0</v>
      </c>
      <c r="C1287" s="157">
        <f ca="1">IF(OFFSET('IWP22'!Std9dot1OutstandingChecks, 3, 1, 1, 1) = DATE(1900,1,0),DATE(1900,1,1),OFFSET('IWP22'!Std9dot1OutstandingChecks, 3, 1, 1, 1))</f>
        <v>1</v>
      </c>
      <c r="D1287" s="185">
        <f ca="1">OFFSET('IWP22'!Std9dot1OutstandingChecks, 3, 2, 1, 1)</f>
        <v>0</v>
      </c>
    </row>
    <row r="1288" spans="1:4">
      <c r="A1288" s="206" t="s">
        <v>1325</v>
      </c>
      <c r="B1288" s="13">
        <f ca="1">OFFSET('IWP22'!Std9dot1OutstandingChecks, 4, 0, 1, 1)</f>
        <v>0</v>
      </c>
      <c r="C1288" s="157">
        <f ca="1">IF(OFFSET('IWP22'!Std9dot1OutstandingChecks, 4, 1, 1, 1) = DATE(1900,1,0),DATE(1900,1,1),OFFSET('IWP22'!Std9dot1OutstandingChecks, 4, 1, 1, 1))</f>
        <v>1</v>
      </c>
      <c r="D1288" s="185">
        <f ca="1">OFFSET('IWP22'!Std9dot1OutstandingChecks, 4, 2, 1, 1)</f>
        <v>0</v>
      </c>
    </row>
    <row r="1289" spans="1:4">
      <c r="A1289" s="206" t="s">
        <v>1325</v>
      </c>
      <c r="B1289" s="13">
        <f ca="1">OFFSET('IWP22'!Std9dot1OutstandingChecks, 5, 0, 1, 1)</f>
        <v>0</v>
      </c>
      <c r="C1289" s="157">
        <f ca="1">IF(OFFSET('IWP22'!Std9dot1OutstandingChecks, 5, 1, 1, 1) = DATE(1900,1,0),DATE(1900,1,1),OFFSET('IWP22'!Std9dot1OutstandingChecks, 5, 1, 1, 1))</f>
        <v>1</v>
      </c>
      <c r="D1289" s="185">
        <f ca="1">OFFSET('IWP22'!Std9dot1OutstandingChecks, 5, 2, 1, 1)</f>
        <v>0</v>
      </c>
    </row>
    <row r="1290" spans="1:4">
      <c r="A1290" s="206" t="s">
        <v>1325</v>
      </c>
      <c r="B1290" s="13">
        <f ca="1">OFFSET('IWP22'!Std9dot1OutstandingChecks, 6, 0, 1, 1)</f>
        <v>0</v>
      </c>
      <c r="C1290" s="157">
        <f ca="1">IF(OFFSET('IWP22'!Std9dot1OutstandingChecks, 6, 1, 1, 1) = DATE(1900,1,0),DATE(1900,1,1),OFFSET('IWP22'!Std9dot1OutstandingChecks, 6, 1, 1, 1))</f>
        <v>1</v>
      </c>
      <c r="D1290" s="185">
        <f ca="1">OFFSET('IWP22'!Std9dot1OutstandingChecks, 6, 2, 1, 1)</f>
        <v>0</v>
      </c>
    </row>
    <row r="1291" spans="1:4">
      <c r="A1291" s="206" t="s">
        <v>1325</v>
      </c>
      <c r="B1291" s="13">
        <f ca="1">OFFSET('IWP22'!Std9dot1OutstandingChecks, 7, 0, 1, 1)</f>
        <v>0</v>
      </c>
      <c r="C1291" s="157">
        <f ca="1">IF(OFFSET('IWP22'!Std9dot1OutstandingChecks, 7, 1, 1, 1) = DATE(1900,1,0),DATE(1900,1,1),OFFSET('IWP22'!Std9dot1OutstandingChecks, 7, 1, 1, 1))</f>
        <v>1</v>
      </c>
      <c r="D1291" s="185">
        <f ca="1">OFFSET('IWP22'!Std9dot1OutstandingChecks, 7, 2, 1, 1)</f>
        <v>0</v>
      </c>
    </row>
    <row r="1292" spans="1:4">
      <c r="A1292" s="206" t="s">
        <v>1325</v>
      </c>
      <c r="B1292" s="13">
        <f ca="1">OFFSET('IWP22'!Std9dot1OutstandingChecks, 8, 0, 1, 1)</f>
        <v>0</v>
      </c>
      <c r="C1292" s="157">
        <f ca="1">IF(OFFSET('IWP22'!Std9dot1OutstandingChecks, 8, 1, 1, 1) = DATE(1900,1,0),DATE(1900,1,1),OFFSET('IWP22'!Std9dot1OutstandingChecks, 8, 1, 1, 1))</f>
        <v>1</v>
      </c>
      <c r="D1292" s="185">
        <f ca="1">OFFSET('IWP22'!Std9dot1OutstandingChecks, 8, 2, 1, 1)</f>
        <v>0</v>
      </c>
    </row>
    <row r="1293" spans="1:4">
      <c r="A1293" s="206" t="s">
        <v>1325</v>
      </c>
      <c r="B1293" s="13">
        <f ca="1">OFFSET('IWP22'!Std9dot1OutstandingChecks, 9, 0, 1, 1)</f>
        <v>0</v>
      </c>
      <c r="C1293" s="157">
        <f ca="1">IF(OFFSET('IWP22'!Std9dot1OutstandingChecks, 9, 1, 1, 1) = DATE(1900,1,0),DATE(1900,1,1),OFFSET('IWP22'!Std9dot1OutstandingChecks, 9, 1, 1, 1))</f>
        <v>1</v>
      </c>
      <c r="D1293" s="185">
        <f ca="1">OFFSET('IWP22'!Std9dot1OutstandingChecks, 9, 2, 1, 1)</f>
        <v>0</v>
      </c>
    </row>
    <row r="1294" spans="1:4">
      <c r="A1294" s="206" t="s">
        <v>1325</v>
      </c>
      <c r="B1294" s="13">
        <f ca="1">OFFSET('IWP22'!Std9dot1OutstandingChecks, 0, 4, 1, 1)</f>
        <v>0</v>
      </c>
      <c r="C1294" s="157">
        <f ca="1">IF(OFFSET('IWP22'!Std9dot1OutstandingChecks, 0, 5, 1, 1) = DATE(1900,1,0),DATE(1900,1,1),OFFSET('IWP22'!Std9dot1OutstandingChecks, 0, 5, 1, 1))</f>
        <v>1</v>
      </c>
      <c r="D1294" s="185">
        <f ca="1">OFFSET('IWP22'!Std9dot1OutstandingChecks, 0, 6, 1, 1)</f>
        <v>0</v>
      </c>
    </row>
    <row r="1295" spans="1:4">
      <c r="A1295" s="206" t="s">
        <v>1325</v>
      </c>
      <c r="B1295" s="13">
        <f ca="1">OFFSET('IWP22'!Std9dot1OutstandingChecks, 1, 4, 1, 1)</f>
        <v>0</v>
      </c>
      <c r="C1295" s="157">
        <f ca="1">IF(OFFSET('IWP22'!Std9dot1OutstandingChecks, 1, 5, 1, 1) = DATE(1900,1,0),DATE(1900,1,1),OFFSET('IWP22'!Std9dot1OutstandingChecks, 1, 5, 1, 1))</f>
        <v>1</v>
      </c>
      <c r="D1295" s="185">
        <f ca="1">OFFSET('IWP22'!Std9dot1OutstandingChecks, 1, 6, 1, 1)</f>
        <v>0</v>
      </c>
    </row>
    <row r="1296" spans="1:4">
      <c r="A1296" s="206" t="s">
        <v>1325</v>
      </c>
      <c r="B1296" s="13">
        <f ca="1">OFFSET('IWP22'!Std9dot1OutstandingChecks, 2, 4, 1, 1)</f>
        <v>0</v>
      </c>
      <c r="C1296" s="157">
        <f ca="1">IF(OFFSET('IWP22'!Std9dot1OutstandingChecks, 2, 5, 1, 1) = DATE(1900,1,0),DATE(1900,1,1),OFFSET('IWP22'!Std9dot1OutstandingChecks, 2, 5, 1, 1))</f>
        <v>1</v>
      </c>
      <c r="D1296" s="185">
        <f ca="1">OFFSET('IWP22'!Std9dot1OutstandingChecks, 2, 6, 1, 1)</f>
        <v>0</v>
      </c>
    </row>
    <row r="1297" spans="1:4">
      <c r="A1297" s="206" t="s">
        <v>1325</v>
      </c>
      <c r="B1297" s="13">
        <f ca="1">OFFSET('IWP22'!Std9dot1OutstandingChecks, 3, 4, 1, 1)</f>
        <v>0</v>
      </c>
      <c r="C1297" s="157">
        <f ca="1">IF(OFFSET('IWP22'!Std9dot1OutstandingChecks, 3, 5, 1, 1) = DATE(1900,1,0),DATE(1900,1,1),OFFSET('IWP22'!Std9dot1OutstandingChecks, 3, 5, 1, 1))</f>
        <v>1</v>
      </c>
      <c r="D1297" s="185">
        <f ca="1">OFFSET('IWP22'!Std9dot1OutstandingChecks, 3, 6, 1, 1)</f>
        <v>0</v>
      </c>
    </row>
    <row r="1298" spans="1:4">
      <c r="A1298" s="206" t="s">
        <v>1325</v>
      </c>
      <c r="B1298" s="13">
        <f ca="1">OFFSET('IWP22'!Std9dot1OutstandingChecks, 4, 4, 1, 1)</f>
        <v>0</v>
      </c>
      <c r="C1298" s="157">
        <f ca="1">IF(OFFSET('IWP22'!Std9dot1OutstandingChecks, 4, 5, 1, 1) = DATE(1900,1,0),DATE(1900,1,1),OFFSET('IWP22'!Std9dot1OutstandingChecks, 4, 5, 1, 1))</f>
        <v>1</v>
      </c>
      <c r="D1298" s="185">
        <f ca="1">OFFSET('IWP22'!Std9dot1OutstandingChecks, 4, 6, 1, 1)</f>
        <v>0</v>
      </c>
    </row>
    <row r="1299" spans="1:4">
      <c r="A1299" s="206" t="s">
        <v>1325</v>
      </c>
      <c r="B1299" s="13">
        <f ca="1">OFFSET('IWP22'!Std9dot1OutstandingChecks, 5, 4, 1, 1)</f>
        <v>0</v>
      </c>
      <c r="C1299" s="157">
        <f ca="1">IF(OFFSET('IWP22'!Std9dot1OutstandingChecks, 5, 5, 1, 1) = DATE(1900,1,0),DATE(1900,1,1),OFFSET('IWP22'!Std9dot1OutstandingChecks, 5, 5, 1, 1))</f>
        <v>1</v>
      </c>
      <c r="D1299" s="185">
        <f ca="1">OFFSET('IWP22'!Std9dot1OutstandingChecks, 5, 6, 1, 1)</f>
        <v>0</v>
      </c>
    </row>
    <row r="1300" spans="1:4">
      <c r="A1300" s="206" t="s">
        <v>1325</v>
      </c>
      <c r="B1300" s="13">
        <f ca="1">OFFSET('IWP22'!Std9dot1OutstandingChecks, 6, 4, 1, 1)</f>
        <v>0</v>
      </c>
      <c r="C1300" s="157">
        <f ca="1">IF(OFFSET('IWP22'!Std9dot1OutstandingChecks, 6, 5, 1, 1) = DATE(1900,1,0),DATE(1900,1,1),OFFSET('IWP22'!Std9dot1OutstandingChecks, 6, 5, 1, 1))</f>
        <v>1</v>
      </c>
      <c r="D1300" s="185">
        <f ca="1">OFFSET('IWP22'!Std9dot1OutstandingChecks, 6, 6, 1, 1)</f>
        <v>0</v>
      </c>
    </row>
    <row r="1301" spans="1:4">
      <c r="A1301" s="206" t="s">
        <v>1325</v>
      </c>
      <c r="B1301" s="13">
        <f ca="1">OFFSET('IWP22'!Std9dot1OutstandingChecks, 7, 4, 1, 1)</f>
        <v>0</v>
      </c>
      <c r="C1301" s="157">
        <f ca="1">IF(OFFSET('IWP22'!Std9dot1OutstandingChecks, 7, 5, 1, 1) = DATE(1900,1,0),DATE(1900,1,1),OFFSET('IWP22'!Std9dot1OutstandingChecks, 7, 5, 1, 1))</f>
        <v>1</v>
      </c>
      <c r="D1301" s="185">
        <f ca="1">OFFSET('IWP22'!Std9dot1OutstandingChecks, 7, 6, 1, 1)</f>
        <v>0</v>
      </c>
    </row>
    <row r="1302" spans="1:4">
      <c r="A1302" s="206" t="s">
        <v>1325</v>
      </c>
      <c r="B1302" s="13">
        <f ca="1">OFFSET('IWP22'!Std9dot1OutstandingChecks, 8, 4, 1, 1)</f>
        <v>0</v>
      </c>
      <c r="C1302" s="157">
        <f ca="1">IF(OFFSET('IWP22'!Std9dot1OutstandingChecks, 8, 5, 1, 1) = DATE(1900,1,0),DATE(1900,1,1),OFFSET('IWP22'!Std9dot1OutstandingChecks, 8, 5, 1, 1))</f>
        <v>1</v>
      </c>
      <c r="D1302" s="185">
        <f ca="1">OFFSET('IWP22'!Std9dot1OutstandingChecks, 8, 6, 1, 1)</f>
        <v>0</v>
      </c>
    </row>
    <row r="1303" spans="1:4">
      <c r="A1303" s="206" t="s">
        <v>1325</v>
      </c>
      <c r="B1303" s="13">
        <f ca="1">OFFSET('IWP22'!Std9dot1OutstandingChecks, 9, 4, 1, 1)</f>
        <v>0</v>
      </c>
      <c r="C1303" s="157">
        <f ca="1">IF(OFFSET('IWP22'!Std9dot1OutstandingChecks, 9, 5, 1, 1) = DATE(1900,1,0),DATE(1900,1,1),OFFSET('IWP22'!Std9dot1OutstandingChecks, 9, 5, 1, 1))</f>
        <v>1</v>
      </c>
      <c r="D1303" s="185">
        <f ca="1">OFFSET('IWP22'!Std9dot1OutstandingChecks, 9, 6, 1, 1)</f>
        <v>0</v>
      </c>
    </row>
    <row r="1304" spans="1:4">
      <c r="A1304" s="206" t="s">
        <v>1326</v>
      </c>
      <c r="B1304" s="13">
        <f ca="1">OFFSET('IWP23'!Std9dot1OutstandingChecks, 0, 0, 1, 1)</f>
        <v>0</v>
      </c>
      <c r="C1304" s="157">
        <f ca="1">IF(OFFSET('IWP23'!Std9dot1OutstandingChecks, 0, 1, 1, 1) = DATE(1900,1,0),DATE(1900,1,1),OFFSET('IWP23'!Std9dot1OutstandingChecks, 0, 1, 1, 1))</f>
        <v>1</v>
      </c>
      <c r="D1304" s="185">
        <f ca="1">OFFSET('IWP23'!Std9dot1OutstandingChecks, 0, 2, 1, 1)</f>
        <v>0</v>
      </c>
    </row>
    <row r="1305" spans="1:4">
      <c r="A1305" s="206" t="s">
        <v>1326</v>
      </c>
      <c r="B1305" s="13">
        <f ca="1">OFFSET('IWP23'!Std9dot1OutstandingChecks, 1, 0, 1, 1)</f>
        <v>0</v>
      </c>
      <c r="C1305" s="157">
        <f ca="1">IF(OFFSET('IWP23'!Std9dot1OutstandingChecks, 1, 1, 1, 1) = DATE(1900,1,0),DATE(1900,1,1),OFFSET('IWP23'!Std9dot1OutstandingChecks, 1, 1, 1, 1))</f>
        <v>1</v>
      </c>
      <c r="D1305" s="185">
        <f ca="1">OFFSET('IWP23'!Std9dot1OutstandingChecks, 1, 2, 1, 1)</f>
        <v>0</v>
      </c>
    </row>
    <row r="1306" spans="1:4">
      <c r="A1306" s="206" t="s">
        <v>1326</v>
      </c>
      <c r="B1306" s="13">
        <f ca="1">OFFSET('IWP23'!Std9dot1OutstandingChecks, 2, 0, 1, 1)</f>
        <v>0</v>
      </c>
      <c r="C1306" s="157">
        <f ca="1">IF(OFFSET('IWP23'!Std9dot1OutstandingChecks, 2, 1, 1, 1) = DATE(1900,1,0),DATE(1900,1,1),OFFSET('IWP23'!Std9dot1OutstandingChecks, 2, 1, 1, 1))</f>
        <v>1</v>
      </c>
      <c r="D1306" s="185">
        <f ca="1">OFFSET('IWP23'!Std9dot1OutstandingChecks, 2, 2, 1, 1)</f>
        <v>0</v>
      </c>
    </row>
    <row r="1307" spans="1:4">
      <c r="A1307" s="206" t="s">
        <v>1326</v>
      </c>
      <c r="B1307" s="13">
        <f ca="1">OFFSET('IWP23'!Std9dot1OutstandingChecks, 3, 0, 1, 1)</f>
        <v>0</v>
      </c>
      <c r="C1307" s="157">
        <f ca="1">IF(OFFSET('IWP23'!Std9dot1OutstandingChecks, 3, 1, 1, 1) = DATE(1900,1,0),DATE(1900,1,1),OFFSET('IWP23'!Std9dot1OutstandingChecks, 3, 1, 1, 1))</f>
        <v>1</v>
      </c>
      <c r="D1307" s="185">
        <f ca="1">OFFSET('IWP23'!Std9dot1OutstandingChecks, 3, 2, 1, 1)</f>
        <v>0</v>
      </c>
    </row>
    <row r="1308" spans="1:4">
      <c r="A1308" s="206" t="s">
        <v>1326</v>
      </c>
      <c r="B1308" s="13">
        <f ca="1">OFFSET('IWP23'!Std9dot1OutstandingChecks, 4, 0, 1, 1)</f>
        <v>0</v>
      </c>
      <c r="C1308" s="157">
        <f ca="1">IF(OFFSET('IWP23'!Std9dot1OutstandingChecks, 4, 1, 1, 1) = DATE(1900,1,0),DATE(1900,1,1),OFFSET('IWP23'!Std9dot1OutstandingChecks, 4, 1, 1, 1))</f>
        <v>1</v>
      </c>
      <c r="D1308" s="185">
        <f ca="1">OFFSET('IWP23'!Std9dot1OutstandingChecks, 4, 2, 1, 1)</f>
        <v>0</v>
      </c>
    </row>
    <row r="1309" spans="1:4">
      <c r="A1309" s="206" t="s">
        <v>1326</v>
      </c>
      <c r="B1309" s="13">
        <f ca="1">OFFSET('IWP23'!Std9dot1OutstandingChecks, 5, 0, 1, 1)</f>
        <v>0</v>
      </c>
      <c r="C1309" s="157">
        <f ca="1">IF(OFFSET('IWP23'!Std9dot1OutstandingChecks, 5, 1, 1, 1) = DATE(1900,1,0),DATE(1900,1,1),OFFSET('IWP23'!Std9dot1OutstandingChecks, 5, 1, 1, 1))</f>
        <v>1</v>
      </c>
      <c r="D1309" s="185">
        <f ca="1">OFFSET('IWP23'!Std9dot1OutstandingChecks, 5, 2, 1, 1)</f>
        <v>0</v>
      </c>
    </row>
    <row r="1310" spans="1:4">
      <c r="A1310" s="206" t="s">
        <v>1326</v>
      </c>
      <c r="B1310" s="13">
        <f ca="1">OFFSET('IWP23'!Std9dot1OutstandingChecks, 6, 0, 1, 1)</f>
        <v>0</v>
      </c>
      <c r="C1310" s="157">
        <f ca="1">IF(OFFSET('IWP23'!Std9dot1OutstandingChecks, 6, 1, 1, 1) = DATE(1900,1,0),DATE(1900,1,1),OFFSET('IWP23'!Std9dot1OutstandingChecks, 6, 1, 1, 1))</f>
        <v>1</v>
      </c>
      <c r="D1310" s="185">
        <f ca="1">OFFSET('IWP23'!Std9dot1OutstandingChecks, 6, 2, 1, 1)</f>
        <v>0</v>
      </c>
    </row>
    <row r="1311" spans="1:4">
      <c r="A1311" s="206" t="s">
        <v>1326</v>
      </c>
      <c r="B1311" s="13">
        <f ca="1">OFFSET('IWP23'!Std9dot1OutstandingChecks, 7, 0, 1, 1)</f>
        <v>0</v>
      </c>
      <c r="C1311" s="157">
        <f ca="1">IF(OFFSET('IWP23'!Std9dot1OutstandingChecks, 7, 1, 1, 1) = DATE(1900,1,0),DATE(1900,1,1),OFFSET('IWP23'!Std9dot1OutstandingChecks, 7, 1, 1, 1))</f>
        <v>1</v>
      </c>
      <c r="D1311" s="185">
        <f ca="1">OFFSET('IWP23'!Std9dot1OutstandingChecks, 7, 2, 1, 1)</f>
        <v>0</v>
      </c>
    </row>
    <row r="1312" spans="1:4">
      <c r="A1312" s="206" t="s">
        <v>1326</v>
      </c>
      <c r="B1312" s="13">
        <f ca="1">OFFSET('IWP23'!Std9dot1OutstandingChecks, 8, 0, 1, 1)</f>
        <v>0</v>
      </c>
      <c r="C1312" s="157">
        <f ca="1">IF(OFFSET('IWP23'!Std9dot1OutstandingChecks, 8, 1, 1, 1) = DATE(1900,1,0),DATE(1900,1,1),OFFSET('IWP23'!Std9dot1OutstandingChecks, 8, 1, 1, 1))</f>
        <v>1</v>
      </c>
      <c r="D1312" s="185">
        <f ca="1">OFFSET('IWP23'!Std9dot1OutstandingChecks, 8, 2, 1, 1)</f>
        <v>0</v>
      </c>
    </row>
    <row r="1313" spans="1:4">
      <c r="A1313" s="206" t="s">
        <v>1326</v>
      </c>
      <c r="B1313" s="13">
        <f ca="1">OFFSET('IWP23'!Std9dot1OutstandingChecks, 9, 0, 1, 1)</f>
        <v>0</v>
      </c>
      <c r="C1313" s="157">
        <f ca="1">IF(OFFSET('IWP23'!Std9dot1OutstandingChecks, 9, 1, 1, 1) = DATE(1900,1,0),DATE(1900,1,1),OFFSET('IWP23'!Std9dot1OutstandingChecks, 9, 1, 1, 1))</f>
        <v>1</v>
      </c>
      <c r="D1313" s="185">
        <f ca="1">OFFSET('IWP23'!Std9dot1OutstandingChecks, 9, 2, 1, 1)</f>
        <v>0</v>
      </c>
    </row>
    <row r="1314" spans="1:4">
      <c r="A1314" s="206" t="s">
        <v>1326</v>
      </c>
      <c r="B1314" s="13">
        <f ca="1">OFFSET('IWP23'!Std9dot1OutstandingChecks, 0, 4, 1, 1)</f>
        <v>0</v>
      </c>
      <c r="C1314" s="157">
        <f ca="1">IF(OFFSET('IWP23'!Std9dot1OutstandingChecks, 0, 5, 1, 1) = DATE(1900,1,0),DATE(1900,1,1),OFFSET('IWP23'!Std9dot1OutstandingChecks, 0, 5, 1, 1))</f>
        <v>1</v>
      </c>
      <c r="D1314" s="185">
        <f ca="1">OFFSET('IWP23'!Std9dot1OutstandingChecks, 0, 6, 1, 1)</f>
        <v>0</v>
      </c>
    </row>
    <row r="1315" spans="1:4">
      <c r="A1315" s="206" t="s">
        <v>1326</v>
      </c>
      <c r="B1315" s="13">
        <f ca="1">OFFSET('IWP23'!Std9dot1OutstandingChecks, 1, 4, 1, 1)</f>
        <v>0</v>
      </c>
      <c r="C1315" s="157">
        <f ca="1">IF(OFFSET('IWP23'!Std9dot1OutstandingChecks, 1, 5, 1, 1) = DATE(1900,1,0),DATE(1900,1,1),OFFSET('IWP23'!Std9dot1OutstandingChecks, 1, 5, 1, 1))</f>
        <v>1</v>
      </c>
      <c r="D1315" s="185">
        <f ca="1">OFFSET('IWP23'!Std9dot1OutstandingChecks, 1, 6, 1, 1)</f>
        <v>0</v>
      </c>
    </row>
    <row r="1316" spans="1:4">
      <c r="A1316" s="206" t="s">
        <v>1326</v>
      </c>
      <c r="B1316" s="13">
        <f ca="1">OFFSET('IWP23'!Std9dot1OutstandingChecks, 2, 4, 1, 1)</f>
        <v>0</v>
      </c>
      <c r="C1316" s="157">
        <f ca="1">IF(OFFSET('IWP23'!Std9dot1OutstandingChecks, 2, 5, 1, 1) = DATE(1900,1,0),DATE(1900,1,1),OFFSET('IWP23'!Std9dot1OutstandingChecks, 2, 5, 1, 1))</f>
        <v>1</v>
      </c>
      <c r="D1316" s="185">
        <f ca="1">OFFSET('IWP23'!Std9dot1OutstandingChecks, 2, 6, 1, 1)</f>
        <v>0</v>
      </c>
    </row>
    <row r="1317" spans="1:4">
      <c r="A1317" s="206" t="s">
        <v>1326</v>
      </c>
      <c r="B1317" s="13">
        <f ca="1">OFFSET('IWP23'!Std9dot1OutstandingChecks, 3, 4, 1, 1)</f>
        <v>0</v>
      </c>
      <c r="C1317" s="157">
        <f ca="1">IF(OFFSET('IWP23'!Std9dot1OutstandingChecks, 3, 5, 1, 1) = DATE(1900,1,0),DATE(1900,1,1),OFFSET('IWP23'!Std9dot1OutstandingChecks, 3, 5, 1, 1))</f>
        <v>1</v>
      </c>
      <c r="D1317" s="185">
        <f ca="1">OFFSET('IWP23'!Std9dot1OutstandingChecks, 3, 6, 1, 1)</f>
        <v>0</v>
      </c>
    </row>
    <row r="1318" spans="1:4">
      <c r="A1318" s="206" t="s">
        <v>1326</v>
      </c>
      <c r="B1318" s="13">
        <f ca="1">OFFSET('IWP23'!Std9dot1OutstandingChecks, 4, 4, 1, 1)</f>
        <v>0</v>
      </c>
      <c r="C1318" s="157">
        <f ca="1">IF(OFFSET('IWP23'!Std9dot1OutstandingChecks, 4, 5, 1, 1) = DATE(1900,1,0),DATE(1900,1,1),OFFSET('IWP23'!Std9dot1OutstandingChecks, 4, 5, 1, 1))</f>
        <v>1</v>
      </c>
      <c r="D1318" s="185">
        <f ca="1">OFFSET('IWP23'!Std9dot1OutstandingChecks, 4, 6, 1, 1)</f>
        <v>0</v>
      </c>
    </row>
    <row r="1319" spans="1:4">
      <c r="A1319" s="206" t="s">
        <v>1326</v>
      </c>
      <c r="B1319" s="13">
        <f ca="1">OFFSET('IWP23'!Std9dot1OutstandingChecks, 5, 4, 1, 1)</f>
        <v>0</v>
      </c>
      <c r="C1319" s="157">
        <f ca="1">IF(OFFSET('IWP23'!Std9dot1OutstandingChecks, 5, 5, 1, 1) = DATE(1900,1,0),DATE(1900,1,1),OFFSET('IWP23'!Std9dot1OutstandingChecks, 5, 5, 1, 1))</f>
        <v>1</v>
      </c>
      <c r="D1319" s="185">
        <f ca="1">OFFSET('IWP23'!Std9dot1OutstandingChecks, 5, 6, 1, 1)</f>
        <v>0</v>
      </c>
    </row>
    <row r="1320" spans="1:4">
      <c r="A1320" s="206" t="s">
        <v>1326</v>
      </c>
      <c r="B1320" s="13">
        <f ca="1">OFFSET('IWP23'!Std9dot1OutstandingChecks, 6, 4, 1, 1)</f>
        <v>0</v>
      </c>
      <c r="C1320" s="157">
        <f ca="1">IF(OFFSET('IWP23'!Std9dot1OutstandingChecks, 6, 5, 1, 1) = DATE(1900,1,0),DATE(1900,1,1),OFFSET('IWP23'!Std9dot1OutstandingChecks, 6, 5, 1, 1))</f>
        <v>1</v>
      </c>
      <c r="D1320" s="185">
        <f ca="1">OFFSET('IWP23'!Std9dot1OutstandingChecks, 6, 6, 1, 1)</f>
        <v>0</v>
      </c>
    </row>
    <row r="1321" spans="1:4">
      <c r="A1321" s="206" t="s">
        <v>1326</v>
      </c>
      <c r="B1321" s="13">
        <f ca="1">OFFSET('IWP23'!Std9dot1OutstandingChecks, 7, 4, 1, 1)</f>
        <v>0</v>
      </c>
      <c r="C1321" s="157">
        <f ca="1">IF(OFFSET('IWP23'!Std9dot1OutstandingChecks, 7, 5, 1, 1) = DATE(1900,1,0),DATE(1900,1,1),OFFSET('IWP23'!Std9dot1OutstandingChecks, 7, 5, 1, 1))</f>
        <v>1</v>
      </c>
      <c r="D1321" s="185">
        <f ca="1">OFFSET('IWP23'!Std9dot1OutstandingChecks, 7, 6, 1, 1)</f>
        <v>0</v>
      </c>
    </row>
    <row r="1322" spans="1:4">
      <c r="A1322" s="206" t="s">
        <v>1326</v>
      </c>
      <c r="B1322" s="13">
        <f ca="1">OFFSET('IWP23'!Std9dot1OutstandingChecks, 8, 4, 1, 1)</f>
        <v>0</v>
      </c>
      <c r="C1322" s="157">
        <f ca="1">IF(OFFSET('IWP23'!Std9dot1OutstandingChecks, 8, 5, 1, 1) = DATE(1900,1,0),DATE(1900,1,1),OFFSET('IWP23'!Std9dot1OutstandingChecks, 8, 5, 1, 1))</f>
        <v>1</v>
      </c>
      <c r="D1322" s="185">
        <f ca="1">OFFSET('IWP23'!Std9dot1OutstandingChecks, 8, 6, 1, 1)</f>
        <v>0</v>
      </c>
    </row>
    <row r="1323" spans="1:4">
      <c r="A1323" s="206" t="s">
        <v>1326</v>
      </c>
      <c r="B1323" s="13">
        <f ca="1">OFFSET('IWP23'!Std9dot1OutstandingChecks, 9, 4, 1, 1)</f>
        <v>0</v>
      </c>
      <c r="C1323" s="157">
        <f ca="1">IF(OFFSET('IWP23'!Std9dot1OutstandingChecks, 9, 5, 1, 1) = DATE(1900,1,0),DATE(1900,1,1),OFFSET('IWP23'!Std9dot1OutstandingChecks, 9, 5, 1, 1))</f>
        <v>1</v>
      </c>
      <c r="D1323" s="185">
        <f ca="1">OFFSET('IWP23'!Std9dot1OutstandingChecks, 9, 6, 1, 1)</f>
        <v>0</v>
      </c>
    </row>
    <row r="1324" spans="1:4">
      <c r="A1324" s="206" t="s">
        <v>1327</v>
      </c>
      <c r="B1324" s="13">
        <f ca="1">OFFSET('IWP24'!Std9dot1OutstandingChecks, 0, 0, 1, 1)</f>
        <v>0</v>
      </c>
      <c r="C1324" s="157">
        <f ca="1">IF(OFFSET('IWP24'!Std9dot1OutstandingChecks, 0, 1, 1, 1) = DATE(1900,1,0),DATE(1900,1,1),OFFSET('IWP24'!Std9dot1OutstandingChecks, 0, 1, 1, 1))</f>
        <v>1</v>
      </c>
      <c r="D1324" s="185">
        <f ca="1">OFFSET('IWP24'!Std9dot1OutstandingChecks, 0, 2, 1, 1)</f>
        <v>0</v>
      </c>
    </row>
    <row r="1325" spans="1:4">
      <c r="A1325" s="206" t="s">
        <v>1327</v>
      </c>
      <c r="B1325" s="13">
        <f ca="1">OFFSET('IWP24'!Std9dot1OutstandingChecks, 1, 0, 1, 1)</f>
        <v>0</v>
      </c>
      <c r="C1325" s="157">
        <f ca="1">IF(OFFSET('IWP24'!Std9dot1OutstandingChecks, 1, 1, 1, 1) = DATE(1900,1,0),DATE(1900,1,1),OFFSET('IWP24'!Std9dot1OutstandingChecks, 1, 1, 1, 1))</f>
        <v>1</v>
      </c>
      <c r="D1325" s="185">
        <f ca="1">OFFSET('IWP24'!Std9dot1OutstandingChecks, 1, 2, 1, 1)</f>
        <v>0</v>
      </c>
    </row>
    <row r="1326" spans="1:4">
      <c r="A1326" s="206" t="s">
        <v>1327</v>
      </c>
      <c r="B1326" s="13">
        <f ca="1">OFFSET('IWP24'!Std9dot1OutstandingChecks, 2, 0, 1, 1)</f>
        <v>0</v>
      </c>
      <c r="C1326" s="157">
        <f ca="1">IF(OFFSET('IWP24'!Std9dot1OutstandingChecks, 2, 1, 1, 1) = DATE(1900,1,0),DATE(1900,1,1),OFFSET('IWP24'!Std9dot1OutstandingChecks, 2, 1, 1, 1))</f>
        <v>1</v>
      </c>
      <c r="D1326" s="185">
        <f ca="1">OFFSET('IWP24'!Std9dot1OutstandingChecks, 2, 2, 1, 1)</f>
        <v>0</v>
      </c>
    </row>
    <row r="1327" spans="1:4">
      <c r="A1327" s="206" t="s">
        <v>1327</v>
      </c>
      <c r="B1327" s="13">
        <f ca="1">OFFSET('IWP24'!Std9dot1OutstandingChecks, 3, 0, 1, 1)</f>
        <v>0</v>
      </c>
      <c r="C1327" s="157">
        <f ca="1">IF(OFFSET('IWP24'!Std9dot1OutstandingChecks, 3, 1, 1, 1) = DATE(1900,1,0),DATE(1900,1,1),OFFSET('IWP24'!Std9dot1OutstandingChecks, 3, 1, 1, 1))</f>
        <v>1</v>
      </c>
      <c r="D1327" s="185">
        <f ca="1">OFFSET('IWP24'!Std9dot1OutstandingChecks, 3, 2, 1, 1)</f>
        <v>0</v>
      </c>
    </row>
    <row r="1328" spans="1:4">
      <c r="A1328" s="206" t="s">
        <v>1327</v>
      </c>
      <c r="B1328" s="13">
        <f ca="1">OFFSET('IWP24'!Std9dot1OutstandingChecks, 4, 0, 1, 1)</f>
        <v>0</v>
      </c>
      <c r="C1328" s="157">
        <f ca="1">IF(OFFSET('IWP24'!Std9dot1OutstandingChecks, 4, 1, 1, 1) = DATE(1900,1,0),DATE(1900,1,1),OFFSET('IWP24'!Std9dot1OutstandingChecks, 4, 1, 1, 1))</f>
        <v>1</v>
      </c>
      <c r="D1328" s="185">
        <f ca="1">OFFSET('IWP24'!Std9dot1OutstandingChecks, 4, 2, 1, 1)</f>
        <v>0</v>
      </c>
    </row>
    <row r="1329" spans="1:4">
      <c r="A1329" s="206" t="s">
        <v>1327</v>
      </c>
      <c r="B1329" s="13">
        <f ca="1">OFFSET('IWP24'!Std9dot1OutstandingChecks, 5, 0, 1, 1)</f>
        <v>0</v>
      </c>
      <c r="C1329" s="157">
        <f ca="1">IF(OFFSET('IWP24'!Std9dot1OutstandingChecks, 5, 1, 1, 1) = DATE(1900,1,0),DATE(1900,1,1),OFFSET('IWP24'!Std9dot1OutstandingChecks, 5, 1, 1, 1))</f>
        <v>1</v>
      </c>
      <c r="D1329" s="185">
        <f ca="1">OFFSET('IWP24'!Std9dot1OutstandingChecks, 5, 2, 1, 1)</f>
        <v>0</v>
      </c>
    </row>
    <row r="1330" spans="1:4">
      <c r="A1330" s="206" t="s">
        <v>1327</v>
      </c>
      <c r="B1330" s="13">
        <f ca="1">OFFSET('IWP24'!Std9dot1OutstandingChecks, 6, 0, 1, 1)</f>
        <v>0</v>
      </c>
      <c r="C1330" s="157">
        <f ca="1">IF(OFFSET('IWP24'!Std9dot1OutstandingChecks, 6, 1, 1, 1) = DATE(1900,1,0),DATE(1900,1,1),OFFSET('IWP24'!Std9dot1OutstandingChecks, 6, 1, 1, 1))</f>
        <v>1</v>
      </c>
      <c r="D1330" s="185">
        <f ca="1">OFFSET('IWP24'!Std9dot1OutstandingChecks, 6, 2, 1, 1)</f>
        <v>0</v>
      </c>
    </row>
    <row r="1331" spans="1:4">
      <c r="A1331" s="206" t="s">
        <v>1327</v>
      </c>
      <c r="B1331" s="13">
        <f ca="1">OFFSET('IWP24'!Std9dot1OutstandingChecks, 7, 0, 1, 1)</f>
        <v>0</v>
      </c>
      <c r="C1331" s="157">
        <f ca="1">IF(OFFSET('IWP24'!Std9dot1OutstandingChecks, 7, 1, 1, 1) = DATE(1900,1,0),DATE(1900,1,1),OFFSET('IWP24'!Std9dot1OutstandingChecks, 7, 1, 1, 1))</f>
        <v>1</v>
      </c>
      <c r="D1331" s="185">
        <f ca="1">OFFSET('IWP24'!Std9dot1OutstandingChecks, 7, 2, 1, 1)</f>
        <v>0</v>
      </c>
    </row>
    <row r="1332" spans="1:4">
      <c r="A1332" s="206" t="s">
        <v>1327</v>
      </c>
      <c r="B1332" s="13">
        <f ca="1">OFFSET('IWP24'!Std9dot1OutstandingChecks, 8, 0, 1, 1)</f>
        <v>0</v>
      </c>
      <c r="C1332" s="157">
        <f ca="1">IF(OFFSET('IWP24'!Std9dot1OutstandingChecks, 8, 1, 1, 1) = DATE(1900,1,0),DATE(1900,1,1),OFFSET('IWP24'!Std9dot1OutstandingChecks, 8, 1, 1, 1))</f>
        <v>1</v>
      </c>
      <c r="D1332" s="185">
        <f ca="1">OFFSET('IWP24'!Std9dot1OutstandingChecks, 8, 2, 1, 1)</f>
        <v>0</v>
      </c>
    </row>
    <row r="1333" spans="1:4">
      <c r="A1333" s="206" t="s">
        <v>1327</v>
      </c>
      <c r="B1333" s="13">
        <f ca="1">OFFSET('IWP24'!Std9dot1OutstandingChecks, 9, 0, 1, 1)</f>
        <v>0</v>
      </c>
      <c r="C1333" s="157">
        <f ca="1">IF(OFFSET('IWP24'!Std9dot1OutstandingChecks, 9, 1, 1, 1) = DATE(1900,1,0),DATE(1900,1,1),OFFSET('IWP24'!Std9dot1OutstandingChecks, 9, 1, 1, 1))</f>
        <v>1</v>
      </c>
      <c r="D1333" s="185">
        <f ca="1">OFFSET('IWP24'!Std9dot1OutstandingChecks, 9, 2, 1, 1)</f>
        <v>0</v>
      </c>
    </row>
    <row r="1334" spans="1:4">
      <c r="A1334" s="206" t="s">
        <v>1327</v>
      </c>
      <c r="B1334" s="13">
        <f ca="1">OFFSET('IWP24'!Std9dot1OutstandingChecks, 0, 4, 1, 1)</f>
        <v>0</v>
      </c>
      <c r="C1334" s="157">
        <f ca="1">IF(OFFSET('IWP24'!Std9dot1OutstandingChecks, 0, 5, 1, 1) = DATE(1900,1,0),DATE(1900,1,1),OFFSET('IWP24'!Std9dot1OutstandingChecks, 0, 5, 1, 1))</f>
        <v>1</v>
      </c>
      <c r="D1334" s="185">
        <f ca="1">OFFSET('IWP24'!Std9dot1OutstandingChecks, 0, 6, 1, 1)</f>
        <v>0</v>
      </c>
    </row>
    <row r="1335" spans="1:4">
      <c r="A1335" s="206" t="s">
        <v>1327</v>
      </c>
      <c r="B1335" s="13">
        <f ca="1">OFFSET('IWP24'!Std9dot1OutstandingChecks, 1, 4, 1, 1)</f>
        <v>0</v>
      </c>
      <c r="C1335" s="157">
        <f ca="1">IF(OFFSET('IWP24'!Std9dot1OutstandingChecks, 1, 5, 1, 1) = DATE(1900,1,0),DATE(1900,1,1),OFFSET('IWP24'!Std9dot1OutstandingChecks, 1, 5, 1, 1))</f>
        <v>1</v>
      </c>
      <c r="D1335" s="185">
        <f ca="1">OFFSET('IWP24'!Std9dot1OutstandingChecks, 1, 6, 1, 1)</f>
        <v>0</v>
      </c>
    </row>
    <row r="1336" spans="1:4">
      <c r="A1336" s="206" t="s">
        <v>1327</v>
      </c>
      <c r="B1336" s="13">
        <f ca="1">OFFSET('IWP24'!Std9dot1OutstandingChecks, 2, 4, 1, 1)</f>
        <v>0</v>
      </c>
      <c r="C1336" s="157">
        <f ca="1">IF(OFFSET('IWP24'!Std9dot1OutstandingChecks, 2, 5, 1, 1) = DATE(1900,1,0),DATE(1900,1,1),OFFSET('IWP24'!Std9dot1OutstandingChecks, 2, 5, 1, 1))</f>
        <v>1</v>
      </c>
      <c r="D1336" s="185">
        <f ca="1">OFFSET('IWP24'!Std9dot1OutstandingChecks, 2, 6, 1, 1)</f>
        <v>0</v>
      </c>
    </row>
    <row r="1337" spans="1:4">
      <c r="A1337" s="206" t="s">
        <v>1327</v>
      </c>
      <c r="B1337" s="13">
        <f ca="1">OFFSET('IWP24'!Std9dot1OutstandingChecks, 3, 4, 1, 1)</f>
        <v>0</v>
      </c>
      <c r="C1337" s="157">
        <f ca="1">IF(OFFSET('IWP24'!Std9dot1OutstandingChecks, 3, 5, 1, 1) = DATE(1900,1,0),DATE(1900,1,1),OFFSET('IWP24'!Std9dot1OutstandingChecks, 3, 5, 1, 1))</f>
        <v>1</v>
      </c>
      <c r="D1337" s="185">
        <f ca="1">OFFSET('IWP24'!Std9dot1OutstandingChecks, 3, 6, 1, 1)</f>
        <v>0</v>
      </c>
    </row>
    <row r="1338" spans="1:4">
      <c r="A1338" s="206" t="s">
        <v>1327</v>
      </c>
      <c r="B1338" s="13">
        <f ca="1">OFFSET('IWP24'!Std9dot1OutstandingChecks, 4, 4, 1, 1)</f>
        <v>0</v>
      </c>
      <c r="C1338" s="157">
        <f ca="1">IF(OFFSET('IWP24'!Std9dot1OutstandingChecks, 4, 5, 1, 1) = DATE(1900,1,0),DATE(1900,1,1),OFFSET('IWP24'!Std9dot1OutstandingChecks, 4, 5, 1, 1))</f>
        <v>1</v>
      </c>
      <c r="D1338" s="185">
        <f ca="1">OFFSET('IWP24'!Std9dot1OutstandingChecks, 4, 6, 1, 1)</f>
        <v>0</v>
      </c>
    </row>
    <row r="1339" spans="1:4">
      <c r="A1339" s="206" t="s">
        <v>1327</v>
      </c>
      <c r="B1339" s="13">
        <f ca="1">OFFSET('IWP24'!Std9dot1OutstandingChecks, 5, 4, 1, 1)</f>
        <v>0</v>
      </c>
      <c r="C1339" s="157">
        <f ca="1">IF(OFFSET('IWP24'!Std9dot1OutstandingChecks, 5, 5, 1, 1) = DATE(1900,1,0),DATE(1900,1,1),OFFSET('IWP24'!Std9dot1OutstandingChecks, 5, 5, 1, 1))</f>
        <v>1</v>
      </c>
      <c r="D1339" s="185">
        <f ca="1">OFFSET('IWP24'!Std9dot1OutstandingChecks, 5, 6, 1, 1)</f>
        <v>0</v>
      </c>
    </row>
    <row r="1340" spans="1:4">
      <c r="A1340" s="206" t="s">
        <v>1327</v>
      </c>
      <c r="B1340" s="13">
        <f ca="1">OFFSET('IWP24'!Std9dot1OutstandingChecks, 6, 4, 1, 1)</f>
        <v>0</v>
      </c>
      <c r="C1340" s="157">
        <f ca="1">IF(OFFSET('IWP24'!Std9dot1OutstandingChecks, 6, 5, 1, 1) = DATE(1900,1,0),DATE(1900,1,1),OFFSET('IWP24'!Std9dot1OutstandingChecks, 6, 5, 1, 1))</f>
        <v>1</v>
      </c>
      <c r="D1340" s="185">
        <f ca="1">OFFSET('IWP24'!Std9dot1OutstandingChecks, 6, 6, 1, 1)</f>
        <v>0</v>
      </c>
    </row>
    <row r="1341" spans="1:4">
      <c r="A1341" s="206" t="s">
        <v>1327</v>
      </c>
      <c r="B1341" s="13">
        <f ca="1">OFFSET('IWP24'!Std9dot1OutstandingChecks, 7, 4, 1, 1)</f>
        <v>0</v>
      </c>
      <c r="C1341" s="157">
        <f ca="1">IF(OFFSET('IWP24'!Std9dot1OutstandingChecks, 7, 5, 1, 1) = DATE(1900,1,0),DATE(1900,1,1),OFFSET('IWP24'!Std9dot1OutstandingChecks, 7, 5, 1, 1))</f>
        <v>1</v>
      </c>
      <c r="D1341" s="185">
        <f ca="1">OFFSET('IWP24'!Std9dot1OutstandingChecks, 7, 6, 1, 1)</f>
        <v>0</v>
      </c>
    </row>
    <row r="1342" spans="1:4">
      <c r="A1342" s="206" t="s">
        <v>1327</v>
      </c>
      <c r="B1342" s="13">
        <f ca="1">OFFSET('IWP24'!Std9dot1OutstandingChecks, 8, 4, 1, 1)</f>
        <v>0</v>
      </c>
      <c r="C1342" s="157">
        <f ca="1">IF(OFFSET('IWP24'!Std9dot1OutstandingChecks, 8, 5, 1, 1) = DATE(1900,1,0),DATE(1900,1,1),OFFSET('IWP24'!Std9dot1OutstandingChecks, 8, 5, 1, 1))</f>
        <v>1</v>
      </c>
      <c r="D1342" s="185">
        <f ca="1">OFFSET('IWP24'!Std9dot1OutstandingChecks, 8, 6, 1, 1)</f>
        <v>0</v>
      </c>
    </row>
    <row r="1343" spans="1:4">
      <c r="A1343" s="206" t="s">
        <v>1327</v>
      </c>
      <c r="B1343" s="13">
        <f ca="1">OFFSET('IWP24'!Std9dot1OutstandingChecks, 9, 4, 1, 1)</f>
        <v>0</v>
      </c>
      <c r="C1343" s="157">
        <f ca="1">IF(OFFSET('IWP24'!Std9dot1OutstandingChecks, 9, 5, 1, 1) = DATE(1900,1,0),DATE(1900,1,1),OFFSET('IWP24'!Std9dot1OutstandingChecks, 9, 5, 1, 1))</f>
        <v>1</v>
      </c>
      <c r="D1343" s="185">
        <f ca="1">OFFSET('IWP24'!Std9dot1OutstandingChecks, 9, 6, 1, 1)</f>
        <v>0</v>
      </c>
    </row>
    <row r="1344" spans="1:4">
      <c r="A1344" s="206" t="s">
        <v>1328</v>
      </c>
      <c r="B1344" s="13">
        <f ca="1">OFFSET('IWP25'!Std9dot1OutstandingChecks, 0, 0, 1, 1)</f>
        <v>0</v>
      </c>
      <c r="C1344" s="157">
        <f ca="1">IF(OFFSET('IWP25'!Std9dot1OutstandingChecks, 0, 1, 1, 1) = DATE(1900,1,0),DATE(1900,1,1),OFFSET('IWP25'!Std9dot1OutstandingChecks, 0, 1, 1, 1))</f>
        <v>1</v>
      </c>
      <c r="D1344" s="185">
        <f ca="1">OFFSET('IWP25'!Std9dot1OutstandingChecks, 0, 2, 1, 1)</f>
        <v>0</v>
      </c>
    </row>
    <row r="1345" spans="1:4">
      <c r="A1345" s="206" t="s">
        <v>1328</v>
      </c>
      <c r="B1345" s="13">
        <f ca="1">OFFSET('IWP25'!Std9dot1OutstandingChecks, 1, 0, 1, 1)</f>
        <v>0</v>
      </c>
      <c r="C1345" s="157">
        <f ca="1">IF(OFFSET('IWP25'!Std9dot1OutstandingChecks, 1, 1, 1, 1) = DATE(1900,1,0),DATE(1900,1,1),OFFSET('IWP25'!Std9dot1OutstandingChecks, 1, 1, 1, 1))</f>
        <v>1</v>
      </c>
      <c r="D1345" s="185">
        <f ca="1">OFFSET('IWP25'!Std9dot1OutstandingChecks, 1, 2, 1, 1)</f>
        <v>0</v>
      </c>
    </row>
    <row r="1346" spans="1:4">
      <c r="A1346" s="206" t="s">
        <v>1328</v>
      </c>
      <c r="B1346" s="13">
        <f ca="1">OFFSET('IWP25'!Std9dot1OutstandingChecks, 2, 0, 1, 1)</f>
        <v>0</v>
      </c>
      <c r="C1346" s="157">
        <f ca="1">IF(OFFSET('IWP25'!Std9dot1OutstandingChecks, 2, 1, 1, 1) = DATE(1900,1,0),DATE(1900,1,1),OFFSET('IWP25'!Std9dot1OutstandingChecks, 2, 1, 1, 1))</f>
        <v>1</v>
      </c>
      <c r="D1346" s="185">
        <f ca="1">OFFSET('IWP25'!Std9dot1OutstandingChecks, 2, 2, 1, 1)</f>
        <v>0</v>
      </c>
    </row>
    <row r="1347" spans="1:4">
      <c r="A1347" s="206" t="s">
        <v>1328</v>
      </c>
      <c r="B1347" s="13">
        <f ca="1">OFFSET('IWP25'!Std9dot1OutstandingChecks, 3, 0, 1, 1)</f>
        <v>0</v>
      </c>
      <c r="C1347" s="157">
        <f ca="1">IF(OFFSET('IWP25'!Std9dot1OutstandingChecks, 3, 1, 1, 1) = DATE(1900,1,0),DATE(1900,1,1),OFFSET('IWP25'!Std9dot1OutstandingChecks, 3, 1, 1, 1))</f>
        <v>1</v>
      </c>
      <c r="D1347" s="185">
        <f ca="1">OFFSET('IWP25'!Std9dot1OutstandingChecks, 3, 2, 1, 1)</f>
        <v>0</v>
      </c>
    </row>
    <row r="1348" spans="1:4">
      <c r="A1348" s="206" t="s">
        <v>1328</v>
      </c>
      <c r="B1348" s="13">
        <f ca="1">OFFSET('IWP25'!Std9dot1OutstandingChecks, 4, 0, 1, 1)</f>
        <v>0</v>
      </c>
      <c r="C1348" s="157">
        <f ca="1">IF(OFFSET('IWP25'!Std9dot1OutstandingChecks, 4, 1, 1, 1) = DATE(1900,1,0),DATE(1900,1,1),OFFSET('IWP25'!Std9dot1OutstandingChecks, 4, 1, 1, 1))</f>
        <v>1</v>
      </c>
      <c r="D1348" s="185">
        <f ca="1">OFFSET('IWP25'!Std9dot1OutstandingChecks, 4, 2, 1, 1)</f>
        <v>0</v>
      </c>
    </row>
    <row r="1349" spans="1:4">
      <c r="A1349" s="206" t="s">
        <v>1328</v>
      </c>
      <c r="B1349" s="13">
        <f ca="1">OFFSET('IWP25'!Std9dot1OutstandingChecks, 5, 0, 1, 1)</f>
        <v>0</v>
      </c>
      <c r="C1349" s="157">
        <f ca="1">IF(OFFSET('IWP25'!Std9dot1OutstandingChecks, 5, 1, 1, 1) = DATE(1900,1,0),DATE(1900,1,1),OFFSET('IWP25'!Std9dot1OutstandingChecks, 5, 1, 1, 1))</f>
        <v>1</v>
      </c>
      <c r="D1349" s="185">
        <f ca="1">OFFSET('IWP25'!Std9dot1OutstandingChecks, 5, 2, 1, 1)</f>
        <v>0</v>
      </c>
    </row>
    <row r="1350" spans="1:4">
      <c r="A1350" s="206" t="s">
        <v>1328</v>
      </c>
      <c r="B1350" s="13">
        <f ca="1">OFFSET('IWP25'!Std9dot1OutstandingChecks, 6, 0, 1, 1)</f>
        <v>0</v>
      </c>
      <c r="C1350" s="157">
        <f ca="1">IF(OFFSET('IWP25'!Std9dot1OutstandingChecks, 6, 1, 1, 1) = DATE(1900,1,0),DATE(1900,1,1),OFFSET('IWP25'!Std9dot1OutstandingChecks, 6, 1, 1, 1))</f>
        <v>1</v>
      </c>
      <c r="D1350" s="185">
        <f ca="1">OFFSET('IWP25'!Std9dot1OutstandingChecks, 6, 2, 1, 1)</f>
        <v>0</v>
      </c>
    </row>
    <row r="1351" spans="1:4">
      <c r="A1351" s="206" t="s">
        <v>1328</v>
      </c>
      <c r="B1351" s="13">
        <f ca="1">OFFSET('IWP25'!Std9dot1OutstandingChecks, 7, 0, 1, 1)</f>
        <v>0</v>
      </c>
      <c r="C1351" s="157">
        <f ca="1">IF(OFFSET('IWP25'!Std9dot1OutstandingChecks, 7, 1, 1, 1) = DATE(1900,1,0),DATE(1900,1,1),OFFSET('IWP25'!Std9dot1OutstandingChecks, 7, 1, 1, 1))</f>
        <v>1</v>
      </c>
      <c r="D1351" s="185">
        <f ca="1">OFFSET('IWP25'!Std9dot1OutstandingChecks, 7, 2, 1, 1)</f>
        <v>0</v>
      </c>
    </row>
    <row r="1352" spans="1:4">
      <c r="A1352" s="206" t="s">
        <v>1328</v>
      </c>
      <c r="B1352" s="13">
        <f ca="1">OFFSET('IWP25'!Std9dot1OutstandingChecks, 8, 0, 1, 1)</f>
        <v>0</v>
      </c>
      <c r="C1352" s="157">
        <f ca="1">IF(OFFSET('IWP25'!Std9dot1OutstandingChecks, 8, 1, 1, 1) = DATE(1900,1,0),DATE(1900,1,1),OFFSET('IWP25'!Std9dot1OutstandingChecks, 8, 1, 1, 1))</f>
        <v>1</v>
      </c>
      <c r="D1352" s="185">
        <f ca="1">OFFSET('IWP25'!Std9dot1OutstandingChecks, 8, 2, 1, 1)</f>
        <v>0</v>
      </c>
    </row>
    <row r="1353" spans="1:4">
      <c r="A1353" s="206" t="s">
        <v>1328</v>
      </c>
      <c r="B1353" s="13">
        <f ca="1">OFFSET('IWP25'!Std9dot1OutstandingChecks, 9, 0, 1, 1)</f>
        <v>0</v>
      </c>
      <c r="C1353" s="157">
        <f ca="1">IF(OFFSET('IWP25'!Std9dot1OutstandingChecks, 9, 1, 1, 1) = DATE(1900,1,0),DATE(1900,1,1),OFFSET('IWP25'!Std9dot1OutstandingChecks, 9, 1, 1, 1))</f>
        <v>1</v>
      </c>
      <c r="D1353" s="185">
        <f ca="1">OFFSET('IWP25'!Std9dot1OutstandingChecks, 9, 2, 1, 1)</f>
        <v>0</v>
      </c>
    </row>
    <row r="1354" spans="1:4">
      <c r="A1354" s="206" t="s">
        <v>1328</v>
      </c>
      <c r="B1354" s="13">
        <f ca="1">OFFSET('IWP25'!Std9dot1OutstandingChecks, 0, 4, 1, 1)</f>
        <v>0</v>
      </c>
      <c r="C1354" s="157">
        <f ca="1">IF(OFFSET('IWP25'!Std9dot1OutstandingChecks, 0, 5, 1, 1) = DATE(1900,1,0),DATE(1900,1,1),OFFSET('IWP25'!Std9dot1OutstandingChecks, 0, 5, 1, 1))</f>
        <v>1</v>
      </c>
      <c r="D1354" s="185">
        <f ca="1">OFFSET('IWP25'!Std9dot1OutstandingChecks, 0, 6, 1, 1)</f>
        <v>0</v>
      </c>
    </row>
    <row r="1355" spans="1:4">
      <c r="A1355" s="206" t="s">
        <v>1328</v>
      </c>
      <c r="B1355" s="13">
        <f ca="1">OFFSET('IWP25'!Std9dot1OutstandingChecks, 1, 4, 1, 1)</f>
        <v>0</v>
      </c>
      <c r="C1355" s="157">
        <f ca="1">IF(OFFSET('IWP25'!Std9dot1OutstandingChecks, 1, 5, 1, 1) = DATE(1900,1,0),DATE(1900,1,1),OFFSET('IWP25'!Std9dot1OutstandingChecks, 1, 5, 1, 1))</f>
        <v>1</v>
      </c>
      <c r="D1355" s="185">
        <f ca="1">OFFSET('IWP25'!Std9dot1OutstandingChecks, 1, 6, 1, 1)</f>
        <v>0</v>
      </c>
    </row>
    <row r="1356" spans="1:4">
      <c r="A1356" s="206" t="s">
        <v>1328</v>
      </c>
      <c r="B1356" s="13">
        <f ca="1">OFFSET('IWP25'!Std9dot1OutstandingChecks, 2, 4, 1, 1)</f>
        <v>0</v>
      </c>
      <c r="C1356" s="157">
        <f ca="1">IF(OFFSET('IWP25'!Std9dot1OutstandingChecks, 2, 5, 1, 1) = DATE(1900,1,0),DATE(1900,1,1),OFFSET('IWP25'!Std9dot1OutstandingChecks, 2, 5, 1, 1))</f>
        <v>1</v>
      </c>
      <c r="D1356" s="185">
        <f ca="1">OFFSET('IWP25'!Std9dot1OutstandingChecks, 2, 6, 1, 1)</f>
        <v>0</v>
      </c>
    </row>
    <row r="1357" spans="1:4">
      <c r="A1357" s="206" t="s">
        <v>1328</v>
      </c>
      <c r="B1357" s="13">
        <f ca="1">OFFSET('IWP25'!Std9dot1OutstandingChecks, 3, 4, 1, 1)</f>
        <v>0</v>
      </c>
      <c r="C1357" s="157">
        <f ca="1">IF(OFFSET('IWP25'!Std9dot1OutstandingChecks, 3, 5, 1, 1) = DATE(1900,1,0),DATE(1900,1,1),OFFSET('IWP25'!Std9dot1OutstandingChecks, 3, 5, 1, 1))</f>
        <v>1</v>
      </c>
      <c r="D1357" s="185">
        <f ca="1">OFFSET('IWP25'!Std9dot1OutstandingChecks, 3, 6, 1, 1)</f>
        <v>0</v>
      </c>
    </row>
    <row r="1358" spans="1:4">
      <c r="A1358" s="206" t="s">
        <v>1328</v>
      </c>
      <c r="B1358" s="13">
        <f ca="1">OFFSET('IWP25'!Std9dot1OutstandingChecks, 4, 4, 1, 1)</f>
        <v>0</v>
      </c>
      <c r="C1358" s="157">
        <f ca="1">IF(OFFSET('IWP25'!Std9dot1OutstandingChecks, 4, 5, 1, 1) = DATE(1900,1,0),DATE(1900,1,1),OFFSET('IWP25'!Std9dot1OutstandingChecks, 4, 5, 1, 1))</f>
        <v>1</v>
      </c>
      <c r="D1358" s="185">
        <f ca="1">OFFSET('IWP25'!Std9dot1OutstandingChecks, 4, 6, 1, 1)</f>
        <v>0</v>
      </c>
    </row>
    <row r="1359" spans="1:4">
      <c r="A1359" s="206" t="s">
        <v>1328</v>
      </c>
      <c r="B1359" s="13">
        <f ca="1">OFFSET('IWP25'!Std9dot1OutstandingChecks, 5, 4, 1, 1)</f>
        <v>0</v>
      </c>
      <c r="C1359" s="157">
        <f ca="1">IF(OFFSET('IWP25'!Std9dot1OutstandingChecks, 5, 5, 1, 1) = DATE(1900,1,0),DATE(1900,1,1),OFFSET('IWP25'!Std9dot1OutstandingChecks, 5, 5, 1, 1))</f>
        <v>1</v>
      </c>
      <c r="D1359" s="185">
        <f ca="1">OFFSET('IWP25'!Std9dot1OutstandingChecks, 5, 6, 1, 1)</f>
        <v>0</v>
      </c>
    </row>
    <row r="1360" spans="1:4">
      <c r="A1360" s="206" t="s">
        <v>1328</v>
      </c>
      <c r="B1360" s="13">
        <f ca="1">OFFSET('IWP25'!Std9dot1OutstandingChecks, 6, 4, 1, 1)</f>
        <v>0</v>
      </c>
      <c r="C1360" s="157">
        <f ca="1">IF(OFFSET('IWP25'!Std9dot1OutstandingChecks, 6, 5, 1, 1) = DATE(1900,1,0),DATE(1900,1,1),OFFSET('IWP25'!Std9dot1OutstandingChecks, 6, 5, 1, 1))</f>
        <v>1</v>
      </c>
      <c r="D1360" s="185">
        <f ca="1">OFFSET('IWP25'!Std9dot1OutstandingChecks, 6, 6, 1, 1)</f>
        <v>0</v>
      </c>
    </row>
    <row r="1361" spans="1:4">
      <c r="A1361" s="206" t="s">
        <v>1328</v>
      </c>
      <c r="B1361" s="13">
        <f ca="1">OFFSET('IWP25'!Std9dot1OutstandingChecks, 7, 4, 1, 1)</f>
        <v>0</v>
      </c>
      <c r="C1361" s="157">
        <f ca="1">IF(OFFSET('IWP25'!Std9dot1OutstandingChecks, 7, 5, 1, 1) = DATE(1900,1,0),DATE(1900,1,1),OFFSET('IWP25'!Std9dot1OutstandingChecks, 7, 5, 1, 1))</f>
        <v>1</v>
      </c>
      <c r="D1361" s="185">
        <f ca="1">OFFSET('IWP25'!Std9dot1OutstandingChecks, 7, 6, 1, 1)</f>
        <v>0</v>
      </c>
    </row>
    <row r="1362" spans="1:4">
      <c r="A1362" s="206" t="s">
        <v>1328</v>
      </c>
      <c r="B1362" s="13">
        <f ca="1">OFFSET('IWP25'!Std9dot1OutstandingChecks, 8, 4, 1, 1)</f>
        <v>0</v>
      </c>
      <c r="C1362" s="157">
        <f ca="1">IF(OFFSET('IWP25'!Std9dot1OutstandingChecks, 8, 5, 1, 1) = DATE(1900,1,0),DATE(1900,1,1),OFFSET('IWP25'!Std9dot1OutstandingChecks, 8, 5, 1, 1))</f>
        <v>1</v>
      </c>
      <c r="D1362" s="185">
        <f ca="1">OFFSET('IWP25'!Std9dot1OutstandingChecks, 8, 6, 1, 1)</f>
        <v>0</v>
      </c>
    </row>
    <row r="1363" spans="1:4">
      <c r="A1363" s="206" t="s">
        <v>1328</v>
      </c>
      <c r="B1363" s="13">
        <f ca="1">OFFSET('IWP25'!Std9dot1OutstandingChecks, 9, 4, 1, 1)</f>
        <v>0</v>
      </c>
      <c r="C1363" s="157">
        <f ca="1">IF(OFFSET('IWP25'!Std9dot1OutstandingChecks, 9, 5, 1, 1) = DATE(1900,1,0),DATE(1900,1,1),OFFSET('IWP25'!Std9dot1OutstandingChecks, 9, 5, 1, 1))</f>
        <v>1</v>
      </c>
      <c r="D1363" s="185">
        <f ca="1">OFFSET('IWP25'!Std9dot1OutstandingChecks, 9, 6, 1, 1)</f>
        <v>0</v>
      </c>
    </row>
    <row r="1364" spans="1:4">
      <c r="A1364" s="206" t="s">
        <v>1329</v>
      </c>
      <c r="B1364" s="13">
        <f ca="1">OFFSET('IWP26'!Std9dot1OutstandingChecks, 0, 0, 1, 1)</f>
        <v>0</v>
      </c>
      <c r="C1364" s="157">
        <f ca="1">IF(OFFSET('IWP26'!Std9dot1OutstandingChecks, 0, 1, 1, 1) = DATE(1900,1,0),DATE(1900,1,1),OFFSET('IWP26'!Std9dot1OutstandingChecks, 0, 1, 1, 1))</f>
        <v>1</v>
      </c>
      <c r="D1364" s="185">
        <f ca="1">OFFSET('IWP26'!Std9dot1OutstandingChecks, 0, 2, 1, 1)</f>
        <v>0</v>
      </c>
    </row>
    <row r="1365" spans="1:4">
      <c r="A1365" s="206" t="s">
        <v>1329</v>
      </c>
      <c r="B1365" s="13">
        <f ca="1">OFFSET('IWP26'!Std9dot1OutstandingChecks, 1, 0, 1, 1)</f>
        <v>0</v>
      </c>
      <c r="C1365" s="157">
        <f ca="1">IF(OFFSET('IWP26'!Std9dot1OutstandingChecks, 1, 1, 1, 1) = DATE(1900,1,0),DATE(1900,1,1),OFFSET('IWP26'!Std9dot1OutstandingChecks, 1, 1, 1, 1))</f>
        <v>1</v>
      </c>
      <c r="D1365" s="185">
        <f ca="1">OFFSET('IWP26'!Std9dot1OutstandingChecks, 1, 2, 1, 1)</f>
        <v>0</v>
      </c>
    </row>
    <row r="1366" spans="1:4">
      <c r="A1366" s="206" t="s">
        <v>1329</v>
      </c>
      <c r="B1366" s="13">
        <f ca="1">OFFSET('IWP26'!Std9dot1OutstandingChecks, 2, 0, 1, 1)</f>
        <v>0</v>
      </c>
      <c r="C1366" s="157">
        <f ca="1">IF(OFFSET('IWP26'!Std9dot1OutstandingChecks, 2, 1, 1, 1) = DATE(1900,1,0),DATE(1900,1,1),OFFSET('IWP26'!Std9dot1OutstandingChecks, 2, 1, 1, 1))</f>
        <v>1</v>
      </c>
      <c r="D1366" s="185">
        <f ca="1">OFFSET('IWP26'!Std9dot1OutstandingChecks, 2, 2, 1, 1)</f>
        <v>0</v>
      </c>
    </row>
    <row r="1367" spans="1:4">
      <c r="A1367" s="206" t="s">
        <v>1329</v>
      </c>
      <c r="B1367" s="13">
        <f ca="1">OFFSET('IWP26'!Std9dot1OutstandingChecks, 3, 0, 1, 1)</f>
        <v>0</v>
      </c>
      <c r="C1367" s="157">
        <f ca="1">IF(OFFSET('IWP26'!Std9dot1OutstandingChecks, 3, 1, 1, 1) = DATE(1900,1,0),DATE(1900,1,1),OFFSET('IWP26'!Std9dot1OutstandingChecks, 3, 1, 1, 1))</f>
        <v>1</v>
      </c>
      <c r="D1367" s="185">
        <f ca="1">OFFSET('IWP26'!Std9dot1OutstandingChecks, 3, 2, 1, 1)</f>
        <v>0</v>
      </c>
    </row>
    <row r="1368" spans="1:4">
      <c r="A1368" s="206" t="s">
        <v>1329</v>
      </c>
      <c r="B1368" s="13">
        <f ca="1">OFFSET('IWP26'!Std9dot1OutstandingChecks, 4, 0, 1, 1)</f>
        <v>0</v>
      </c>
      <c r="C1368" s="157">
        <f ca="1">IF(OFFSET('IWP26'!Std9dot1OutstandingChecks, 4, 1, 1, 1) = DATE(1900,1,0),DATE(1900,1,1),OFFSET('IWP26'!Std9dot1OutstandingChecks, 4, 1, 1, 1))</f>
        <v>1</v>
      </c>
      <c r="D1368" s="185">
        <f ca="1">OFFSET('IWP26'!Std9dot1OutstandingChecks, 4, 2, 1, 1)</f>
        <v>0</v>
      </c>
    </row>
    <row r="1369" spans="1:4">
      <c r="A1369" s="206" t="s">
        <v>1329</v>
      </c>
      <c r="B1369" s="13">
        <f ca="1">OFFSET('IWP26'!Std9dot1OutstandingChecks, 5, 0, 1, 1)</f>
        <v>0</v>
      </c>
      <c r="C1369" s="157">
        <f ca="1">IF(OFFSET('IWP26'!Std9dot1OutstandingChecks, 5, 1, 1, 1) = DATE(1900,1,0),DATE(1900,1,1),OFFSET('IWP26'!Std9dot1OutstandingChecks, 5, 1, 1, 1))</f>
        <v>1</v>
      </c>
      <c r="D1369" s="185">
        <f ca="1">OFFSET('IWP26'!Std9dot1OutstandingChecks, 5, 2, 1, 1)</f>
        <v>0</v>
      </c>
    </row>
    <row r="1370" spans="1:4">
      <c r="A1370" s="206" t="s">
        <v>1329</v>
      </c>
      <c r="B1370" s="13">
        <f ca="1">OFFSET('IWP26'!Std9dot1OutstandingChecks, 6, 0, 1, 1)</f>
        <v>0</v>
      </c>
      <c r="C1370" s="157">
        <f ca="1">IF(OFFSET('IWP26'!Std9dot1OutstandingChecks, 6, 1, 1, 1) = DATE(1900,1,0),DATE(1900,1,1),OFFSET('IWP26'!Std9dot1OutstandingChecks, 6, 1, 1, 1))</f>
        <v>1</v>
      </c>
      <c r="D1370" s="185">
        <f ca="1">OFFSET('IWP26'!Std9dot1OutstandingChecks, 6, 2, 1, 1)</f>
        <v>0</v>
      </c>
    </row>
    <row r="1371" spans="1:4">
      <c r="A1371" s="206" t="s">
        <v>1329</v>
      </c>
      <c r="B1371" s="13">
        <f ca="1">OFFSET('IWP26'!Std9dot1OutstandingChecks, 7, 0, 1, 1)</f>
        <v>0</v>
      </c>
      <c r="C1371" s="157">
        <f ca="1">IF(OFFSET('IWP26'!Std9dot1OutstandingChecks, 7, 1, 1, 1) = DATE(1900,1,0),DATE(1900,1,1),OFFSET('IWP26'!Std9dot1OutstandingChecks, 7, 1, 1, 1))</f>
        <v>1</v>
      </c>
      <c r="D1371" s="185">
        <f ca="1">OFFSET('IWP26'!Std9dot1OutstandingChecks, 7, 2, 1, 1)</f>
        <v>0</v>
      </c>
    </row>
    <row r="1372" spans="1:4">
      <c r="A1372" s="206" t="s">
        <v>1329</v>
      </c>
      <c r="B1372" s="13">
        <f ca="1">OFFSET('IWP26'!Std9dot1OutstandingChecks, 8, 0, 1, 1)</f>
        <v>0</v>
      </c>
      <c r="C1372" s="157">
        <f ca="1">IF(OFFSET('IWP26'!Std9dot1OutstandingChecks, 8, 1, 1, 1) = DATE(1900,1,0),DATE(1900,1,1),OFFSET('IWP26'!Std9dot1OutstandingChecks, 8, 1, 1, 1))</f>
        <v>1</v>
      </c>
      <c r="D1372" s="185">
        <f ca="1">OFFSET('IWP26'!Std9dot1OutstandingChecks, 8, 2, 1, 1)</f>
        <v>0</v>
      </c>
    </row>
    <row r="1373" spans="1:4">
      <c r="A1373" s="206" t="s">
        <v>1329</v>
      </c>
      <c r="B1373" s="13">
        <f ca="1">OFFSET('IWP26'!Std9dot1OutstandingChecks, 9, 0, 1, 1)</f>
        <v>0</v>
      </c>
      <c r="C1373" s="157">
        <f ca="1">IF(OFFSET('IWP26'!Std9dot1OutstandingChecks, 9, 1, 1, 1) = DATE(1900,1,0),DATE(1900,1,1),OFFSET('IWP26'!Std9dot1OutstandingChecks, 9, 1, 1, 1))</f>
        <v>1</v>
      </c>
      <c r="D1373" s="185">
        <f ca="1">OFFSET('IWP26'!Std9dot1OutstandingChecks, 9, 2, 1, 1)</f>
        <v>0</v>
      </c>
    </row>
    <row r="1374" spans="1:4">
      <c r="A1374" s="206" t="s">
        <v>1329</v>
      </c>
      <c r="B1374" s="13">
        <f ca="1">OFFSET('IWP26'!Std9dot1OutstandingChecks, 0, 4, 1, 1)</f>
        <v>0</v>
      </c>
      <c r="C1374" s="157">
        <f ca="1">IF(OFFSET('IWP26'!Std9dot1OutstandingChecks, 0, 5, 1, 1) = DATE(1900,1,0),DATE(1900,1,1),OFFSET('IWP26'!Std9dot1OutstandingChecks, 0, 5, 1, 1))</f>
        <v>1</v>
      </c>
      <c r="D1374" s="185">
        <f ca="1">OFFSET('IWP26'!Std9dot1OutstandingChecks, 0, 6, 1, 1)</f>
        <v>0</v>
      </c>
    </row>
    <row r="1375" spans="1:4">
      <c r="A1375" s="206" t="s">
        <v>1329</v>
      </c>
      <c r="B1375" s="13">
        <f ca="1">OFFSET('IWP26'!Std9dot1OutstandingChecks, 1, 4, 1, 1)</f>
        <v>0</v>
      </c>
      <c r="C1375" s="157">
        <f ca="1">IF(OFFSET('IWP26'!Std9dot1OutstandingChecks, 1, 5, 1, 1) = DATE(1900,1,0),DATE(1900,1,1),OFFSET('IWP26'!Std9dot1OutstandingChecks, 1, 5, 1, 1))</f>
        <v>1</v>
      </c>
      <c r="D1375" s="185">
        <f ca="1">OFFSET('IWP26'!Std9dot1OutstandingChecks, 1, 6, 1, 1)</f>
        <v>0</v>
      </c>
    </row>
    <row r="1376" spans="1:4">
      <c r="A1376" s="206" t="s">
        <v>1329</v>
      </c>
      <c r="B1376" s="13">
        <f ca="1">OFFSET('IWP26'!Std9dot1OutstandingChecks, 2, 4, 1, 1)</f>
        <v>0</v>
      </c>
      <c r="C1376" s="157">
        <f ca="1">IF(OFFSET('IWP26'!Std9dot1OutstandingChecks, 2, 5, 1, 1) = DATE(1900,1,0),DATE(1900,1,1),OFFSET('IWP26'!Std9dot1OutstandingChecks, 2, 5, 1, 1))</f>
        <v>1</v>
      </c>
      <c r="D1376" s="185">
        <f ca="1">OFFSET('IWP26'!Std9dot1OutstandingChecks, 2, 6, 1, 1)</f>
        <v>0</v>
      </c>
    </row>
    <row r="1377" spans="1:4">
      <c r="A1377" s="206" t="s">
        <v>1329</v>
      </c>
      <c r="B1377" s="13">
        <f ca="1">OFFSET('IWP26'!Std9dot1OutstandingChecks, 3, 4, 1, 1)</f>
        <v>0</v>
      </c>
      <c r="C1377" s="157">
        <f ca="1">IF(OFFSET('IWP26'!Std9dot1OutstandingChecks, 3, 5, 1, 1) = DATE(1900,1,0),DATE(1900,1,1),OFFSET('IWP26'!Std9dot1OutstandingChecks, 3, 5, 1, 1))</f>
        <v>1</v>
      </c>
      <c r="D1377" s="185">
        <f ca="1">OFFSET('IWP26'!Std9dot1OutstandingChecks, 3, 6, 1, 1)</f>
        <v>0</v>
      </c>
    </row>
    <row r="1378" spans="1:4">
      <c r="A1378" s="206" t="s">
        <v>1329</v>
      </c>
      <c r="B1378" s="13">
        <f ca="1">OFFSET('IWP26'!Std9dot1OutstandingChecks, 4, 4, 1, 1)</f>
        <v>0</v>
      </c>
      <c r="C1378" s="157">
        <f ca="1">IF(OFFSET('IWP26'!Std9dot1OutstandingChecks, 4, 5, 1, 1) = DATE(1900,1,0),DATE(1900,1,1),OFFSET('IWP26'!Std9dot1OutstandingChecks, 4, 5, 1, 1))</f>
        <v>1</v>
      </c>
      <c r="D1378" s="185">
        <f ca="1">OFFSET('IWP26'!Std9dot1OutstandingChecks, 4, 6, 1, 1)</f>
        <v>0</v>
      </c>
    </row>
    <row r="1379" spans="1:4">
      <c r="A1379" s="206" t="s">
        <v>1329</v>
      </c>
      <c r="B1379" s="13">
        <f ca="1">OFFSET('IWP26'!Std9dot1OutstandingChecks, 5, 4, 1, 1)</f>
        <v>0</v>
      </c>
      <c r="C1379" s="157">
        <f ca="1">IF(OFFSET('IWP26'!Std9dot1OutstandingChecks, 5, 5, 1, 1) = DATE(1900,1,0),DATE(1900,1,1),OFFSET('IWP26'!Std9dot1OutstandingChecks, 5, 5, 1, 1))</f>
        <v>1</v>
      </c>
      <c r="D1379" s="185">
        <f ca="1">OFFSET('IWP26'!Std9dot1OutstandingChecks, 5, 6, 1, 1)</f>
        <v>0</v>
      </c>
    </row>
    <row r="1380" spans="1:4">
      <c r="A1380" s="206" t="s">
        <v>1329</v>
      </c>
      <c r="B1380" s="13">
        <f ca="1">OFFSET('IWP26'!Std9dot1OutstandingChecks, 6, 4, 1, 1)</f>
        <v>0</v>
      </c>
      <c r="C1380" s="157">
        <f ca="1">IF(OFFSET('IWP26'!Std9dot1OutstandingChecks, 6, 5, 1, 1) = DATE(1900,1,0),DATE(1900,1,1),OFFSET('IWP26'!Std9dot1OutstandingChecks, 6, 5, 1, 1))</f>
        <v>1</v>
      </c>
      <c r="D1380" s="185">
        <f ca="1">OFFSET('IWP26'!Std9dot1OutstandingChecks, 6, 6, 1, 1)</f>
        <v>0</v>
      </c>
    </row>
    <row r="1381" spans="1:4">
      <c r="A1381" s="206" t="s">
        <v>1329</v>
      </c>
      <c r="B1381" s="13">
        <f ca="1">OFFSET('IWP26'!Std9dot1OutstandingChecks, 7, 4, 1, 1)</f>
        <v>0</v>
      </c>
      <c r="C1381" s="157">
        <f ca="1">IF(OFFSET('IWP26'!Std9dot1OutstandingChecks, 7, 5, 1, 1) = DATE(1900,1,0),DATE(1900,1,1),OFFSET('IWP26'!Std9dot1OutstandingChecks, 7, 5, 1, 1))</f>
        <v>1</v>
      </c>
      <c r="D1381" s="185">
        <f ca="1">OFFSET('IWP26'!Std9dot1OutstandingChecks, 7, 6, 1, 1)</f>
        <v>0</v>
      </c>
    </row>
    <row r="1382" spans="1:4">
      <c r="A1382" s="206" t="s">
        <v>1329</v>
      </c>
      <c r="B1382" s="13">
        <f ca="1">OFFSET('IWP26'!Std9dot1OutstandingChecks, 8, 4, 1, 1)</f>
        <v>0</v>
      </c>
      <c r="C1382" s="157">
        <f ca="1">IF(OFFSET('IWP26'!Std9dot1OutstandingChecks, 8, 5, 1, 1) = DATE(1900,1,0),DATE(1900,1,1),OFFSET('IWP26'!Std9dot1OutstandingChecks, 8, 5, 1, 1))</f>
        <v>1</v>
      </c>
      <c r="D1382" s="185">
        <f ca="1">OFFSET('IWP26'!Std9dot1OutstandingChecks, 8, 6, 1, 1)</f>
        <v>0</v>
      </c>
    </row>
    <row r="1383" spans="1:4">
      <c r="A1383" s="206" t="s">
        <v>1329</v>
      </c>
      <c r="B1383" s="13">
        <f ca="1">OFFSET('IWP26'!Std9dot1OutstandingChecks, 9, 4, 1, 1)</f>
        <v>0</v>
      </c>
      <c r="C1383" s="157">
        <f ca="1">IF(OFFSET('IWP26'!Std9dot1OutstandingChecks, 9, 5, 1, 1) = DATE(1900,1,0),DATE(1900,1,1),OFFSET('IWP26'!Std9dot1OutstandingChecks, 9, 5, 1, 1))</f>
        <v>1</v>
      </c>
      <c r="D1383" s="185">
        <f ca="1">OFFSET('IWP26'!Std9dot1OutstandingChecks, 9, 6, 1, 1)</f>
        <v>0</v>
      </c>
    </row>
    <row r="1384" spans="1:4">
      <c r="A1384" s="206" t="s">
        <v>1330</v>
      </c>
      <c r="B1384" s="13">
        <f ca="1">OFFSET('IWP27'!Std9dot1OutstandingChecks, 0, 0, 1, 1)</f>
        <v>0</v>
      </c>
      <c r="C1384" s="157">
        <f ca="1">IF(OFFSET('IWP27'!Std9dot1OutstandingChecks, 0, 1, 1, 1) = DATE(1900,1,0),DATE(1900,1,1),OFFSET('IWP27'!Std9dot1OutstandingChecks, 0, 1, 1, 1))</f>
        <v>1</v>
      </c>
      <c r="D1384" s="185">
        <f ca="1">OFFSET('IWP27'!Std9dot1OutstandingChecks, 0, 2, 1, 1)</f>
        <v>0</v>
      </c>
    </row>
    <row r="1385" spans="1:4">
      <c r="A1385" s="206" t="s">
        <v>1330</v>
      </c>
      <c r="B1385" s="13">
        <f ca="1">OFFSET('IWP27'!Std9dot1OutstandingChecks, 1, 0, 1, 1)</f>
        <v>0</v>
      </c>
      <c r="C1385" s="157">
        <f ca="1">IF(OFFSET('IWP27'!Std9dot1OutstandingChecks, 1, 1, 1, 1) = DATE(1900,1,0),DATE(1900,1,1),OFFSET('IWP27'!Std9dot1OutstandingChecks, 1, 1, 1, 1))</f>
        <v>1</v>
      </c>
      <c r="D1385" s="185">
        <f ca="1">OFFSET('IWP27'!Std9dot1OutstandingChecks, 1, 2, 1, 1)</f>
        <v>0</v>
      </c>
    </row>
    <row r="1386" spans="1:4">
      <c r="A1386" s="206" t="s">
        <v>1330</v>
      </c>
      <c r="B1386" s="13">
        <f ca="1">OFFSET('IWP27'!Std9dot1OutstandingChecks, 2, 0, 1, 1)</f>
        <v>0</v>
      </c>
      <c r="C1386" s="157">
        <f ca="1">IF(OFFSET('IWP27'!Std9dot1OutstandingChecks, 2, 1, 1, 1) = DATE(1900,1,0),DATE(1900,1,1),OFFSET('IWP27'!Std9dot1OutstandingChecks, 2, 1, 1, 1))</f>
        <v>1</v>
      </c>
      <c r="D1386" s="185">
        <f ca="1">OFFSET('IWP27'!Std9dot1OutstandingChecks, 2, 2, 1, 1)</f>
        <v>0</v>
      </c>
    </row>
    <row r="1387" spans="1:4">
      <c r="A1387" s="206" t="s">
        <v>1330</v>
      </c>
      <c r="B1387" s="13">
        <f ca="1">OFFSET('IWP27'!Std9dot1OutstandingChecks, 3, 0, 1, 1)</f>
        <v>0</v>
      </c>
      <c r="C1387" s="157">
        <f ca="1">IF(OFFSET('IWP27'!Std9dot1OutstandingChecks, 3, 1, 1, 1) = DATE(1900,1,0),DATE(1900,1,1),OFFSET('IWP27'!Std9dot1OutstandingChecks, 3, 1, 1, 1))</f>
        <v>1</v>
      </c>
      <c r="D1387" s="185">
        <f ca="1">OFFSET('IWP27'!Std9dot1OutstandingChecks, 3, 2, 1, 1)</f>
        <v>0</v>
      </c>
    </row>
    <row r="1388" spans="1:4">
      <c r="A1388" s="206" t="s">
        <v>1330</v>
      </c>
      <c r="B1388" s="13">
        <f ca="1">OFFSET('IWP27'!Std9dot1OutstandingChecks, 4, 0, 1, 1)</f>
        <v>0</v>
      </c>
      <c r="C1388" s="157">
        <f ca="1">IF(OFFSET('IWP27'!Std9dot1OutstandingChecks, 4, 1, 1, 1) = DATE(1900,1,0),DATE(1900,1,1),OFFSET('IWP27'!Std9dot1OutstandingChecks, 4, 1, 1, 1))</f>
        <v>1</v>
      </c>
      <c r="D1388" s="185">
        <f ca="1">OFFSET('IWP27'!Std9dot1OutstandingChecks, 4, 2, 1, 1)</f>
        <v>0</v>
      </c>
    </row>
    <row r="1389" spans="1:4">
      <c r="A1389" s="206" t="s">
        <v>1330</v>
      </c>
      <c r="B1389" s="13">
        <f ca="1">OFFSET('IWP27'!Std9dot1OutstandingChecks, 5, 0, 1, 1)</f>
        <v>0</v>
      </c>
      <c r="C1389" s="157">
        <f ca="1">IF(OFFSET('IWP27'!Std9dot1OutstandingChecks, 5, 1, 1, 1) = DATE(1900,1,0),DATE(1900,1,1),OFFSET('IWP27'!Std9dot1OutstandingChecks, 5, 1, 1, 1))</f>
        <v>1</v>
      </c>
      <c r="D1389" s="185">
        <f ca="1">OFFSET('IWP27'!Std9dot1OutstandingChecks, 5, 2, 1, 1)</f>
        <v>0</v>
      </c>
    </row>
    <row r="1390" spans="1:4">
      <c r="A1390" s="206" t="s">
        <v>1330</v>
      </c>
      <c r="B1390" s="13">
        <f ca="1">OFFSET('IWP27'!Std9dot1OutstandingChecks, 6, 0, 1, 1)</f>
        <v>0</v>
      </c>
      <c r="C1390" s="157">
        <f ca="1">IF(OFFSET('IWP27'!Std9dot1OutstandingChecks, 6, 1, 1, 1) = DATE(1900,1,0),DATE(1900,1,1),OFFSET('IWP27'!Std9dot1OutstandingChecks, 6, 1, 1, 1))</f>
        <v>1</v>
      </c>
      <c r="D1390" s="185">
        <f ca="1">OFFSET('IWP27'!Std9dot1OutstandingChecks, 6, 2, 1, 1)</f>
        <v>0</v>
      </c>
    </row>
    <row r="1391" spans="1:4">
      <c r="A1391" s="206" t="s">
        <v>1330</v>
      </c>
      <c r="B1391" s="13">
        <f ca="1">OFFSET('IWP27'!Std9dot1OutstandingChecks, 7, 0, 1, 1)</f>
        <v>0</v>
      </c>
      <c r="C1391" s="157">
        <f ca="1">IF(OFFSET('IWP27'!Std9dot1OutstandingChecks, 7, 1, 1, 1) = DATE(1900,1,0),DATE(1900,1,1),OFFSET('IWP27'!Std9dot1OutstandingChecks, 7, 1, 1, 1))</f>
        <v>1</v>
      </c>
      <c r="D1391" s="185">
        <f ca="1">OFFSET('IWP27'!Std9dot1OutstandingChecks, 7, 2, 1, 1)</f>
        <v>0</v>
      </c>
    </row>
    <row r="1392" spans="1:4">
      <c r="A1392" s="206" t="s">
        <v>1330</v>
      </c>
      <c r="B1392" s="13">
        <f ca="1">OFFSET('IWP27'!Std9dot1OutstandingChecks, 8, 0, 1, 1)</f>
        <v>0</v>
      </c>
      <c r="C1392" s="157">
        <f ca="1">IF(OFFSET('IWP27'!Std9dot1OutstandingChecks, 8, 1, 1, 1) = DATE(1900,1,0),DATE(1900,1,1),OFFSET('IWP27'!Std9dot1OutstandingChecks, 8, 1, 1, 1))</f>
        <v>1</v>
      </c>
      <c r="D1392" s="185">
        <f ca="1">OFFSET('IWP27'!Std9dot1OutstandingChecks, 8, 2, 1, 1)</f>
        <v>0</v>
      </c>
    </row>
    <row r="1393" spans="1:4">
      <c r="A1393" s="206" t="s">
        <v>1330</v>
      </c>
      <c r="B1393" s="13">
        <f ca="1">OFFSET('IWP27'!Std9dot1OutstandingChecks, 9, 0, 1, 1)</f>
        <v>0</v>
      </c>
      <c r="C1393" s="157">
        <f ca="1">IF(OFFSET('IWP27'!Std9dot1OutstandingChecks, 9, 1, 1, 1) = DATE(1900,1,0),DATE(1900,1,1),OFFSET('IWP27'!Std9dot1OutstandingChecks, 9, 1, 1, 1))</f>
        <v>1</v>
      </c>
      <c r="D1393" s="185">
        <f ca="1">OFFSET('IWP27'!Std9dot1OutstandingChecks, 9, 2, 1, 1)</f>
        <v>0</v>
      </c>
    </row>
    <row r="1394" spans="1:4">
      <c r="A1394" s="206" t="s">
        <v>1330</v>
      </c>
      <c r="B1394" s="13">
        <f ca="1">OFFSET('IWP27'!Std9dot1OutstandingChecks, 0, 4, 1, 1)</f>
        <v>0</v>
      </c>
      <c r="C1394" s="157">
        <f ca="1">IF(OFFSET('IWP27'!Std9dot1OutstandingChecks, 0, 5, 1, 1) = DATE(1900,1,0),DATE(1900,1,1),OFFSET('IWP27'!Std9dot1OutstandingChecks, 0, 5, 1, 1))</f>
        <v>1</v>
      </c>
      <c r="D1394" s="185">
        <f ca="1">OFFSET('IWP27'!Std9dot1OutstandingChecks, 0, 6, 1, 1)</f>
        <v>0</v>
      </c>
    </row>
    <row r="1395" spans="1:4">
      <c r="A1395" s="206" t="s">
        <v>1330</v>
      </c>
      <c r="B1395" s="13">
        <f ca="1">OFFSET('IWP27'!Std9dot1OutstandingChecks, 1, 4, 1, 1)</f>
        <v>0</v>
      </c>
      <c r="C1395" s="157">
        <f ca="1">IF(OFFSET('IWP27'!Std9dot1OutstandingChecks, 1, 5, 1, 1) = DATE(1900,1,0),DATE(1900,1,1),OFFSET('IWP27'!Std9dot1OutstandingChecks, 1, 5, 1, 1))</f>
        <v>1</v>
      </c>
      <c r="D1395" s="185">
        <f ca="1">OFFSET('IWP27'!Std9dot1OutstandingChecks, 1, 6, 1, 1)</f>
        <v>0</v>
      </c>
    </row>
    <row r="1396" spans="1:4">
      <c r="A1396" s="206" t="s">
        <v>1330</v>
      </c>
      <c r="B1396" s="13">
        <f ca="1">OFFSET('IWP27'!Std9dot1OutstandingChecks, 2, 4, 1, 1)</f>
        <v>0</v>
      </c>
      <c r="C1396" s="157">
        <f ca="1">IF(OFFSET('IWP27'!Std9dot1OutstandingChecks, 2, 5, 1, 1) = DATE(1900,1,0),DATE(1900,1,1),OFFSET('IWP27'!Std9dot1OutstandingChecks, 2, 5, 1, 1))</f>
        <v>1</v>
      </c>
      <c r="D1396" s="185">
        <f ca="1">OFFSET('IWP27'!Std9dot1OutstandingChecks, 2, 6, 1, 1)</f>
        <v>0</v>
      </c>
    </row>
    <row r="1397" spans="1:4">
      <c r="A1397" s="206" t="s">
        <v>1330</v>
      </c>
      <c r="B1397" s="13">
        <f ca="1">OFFSET('IWP27'!Std9dot1OutstandingChecks, 3, 4, 1, 1)</f>
        <v>0</v>
      </c>
      <c r="C1397" s="157">
        <f ca="1">IF(OFFSET('IWP27'!Std9dot1OutstandingChecks, 3, 5, 1, 1) = DATE(1900,1,0),DATE(1900,1,1),OFFSET('IWP27'!Std9dot1OutstandingChecks, 3, 5, 1, 1))</f>
        <v>1</v>
      </c>
      <c r="D1397" s="185">
        <f ca="1">OFFSET('IWP27'!Std9dot1OutstandingChecks, 3, 6, 1, 1)</f>
        <v>0</v>
      </c>
    </row>
    <row r="1398" spans="1:4">
      <c r="A1398" s="206" t="s">
        <v>1330</v>
      </c>
      <c r="B1398" s="13">
        <f ca="1">OFFSET('IWP27'!Std9dot1OutstandingChecks, 4, 4, 1, 1)</f>
        <v>0</v>
      </c>
      <c r="C1398" s="157">
        <f ca="1">IF(OFFSET('IWP27'!Std9dot1OutstandingChecks, 4, 5, 1, 1) = DATE(1900,1,0),DATE(1900,1,1),OFFSET('IWP27'!Std9dot1OutstandingChecks, 4, 5, 1, 1))</f>
        <v>1</v>
      </c>
      <c r="D1398" s="185">
        <f ca="1">OFFSET('IWP27'!Std9dot1OutstandingChecks, 4, 6, 1, 1)</f>
        <v>0</v>
      </c>
    </row>
    <row r="1399" spans="1:4">
      <c r="A1399" s="206" t="s">
        <v>1330</v>
      </c>
      <c r="B1399" s="13">
        <f ca="1">OFFSET('IWP27'!Std9dot1OutstandingChecks, 5, 4, 1, 1)</f>
        <v>0</v>
      </c>
      <c r="C1399" s="157">
        <f ca="1">IF(OFFSET('IWP27'!Std9dot1OutstandingChecks, 5, 5, 1, 1) = DATE(1900,1,0),DATE(1900,1,1),OFFSET('IWP27'!Std9dot1OutstandingChecks, 5, 5, 1, 1))</f>
        <v>1</v>
      </c>
      <c r="D1399" s="185">
        <f ca="1">OFFSET('IWP27'!Std9dot1OutstandingChecks, 5, 6, 1, 1)</f>
        <v>0</v>
      </c>
    </row>
    <row r="1400" spans="1:4">
      <c r="A1400" s="206" t="s">
        <v>1330</v>
      </c>
      <c r="B1400" s="13">
        <f ca="1">OFFSET('IWP27'!Std9dot1OutstandingChecks, 6, 4, 1, 1)</f>
        <v>0</v>
      </c>
      <c r="C1400" s="157">
        <f ca="1">IF(OFFSET('IWP27'!Std9dot1OutstandingChecks, 6, 5, 1, 1) = DATE(1900,1,0),DATE(1900,1,1),OFFSET('IWP27'!Std9dot1OutstandingChecks, 6, 5, 1, 1))</f>
        <v>1</v>
      </c>
      <c r="D1400" s="185">
        <f ca="1">OFFSET('IWP27'!Std9dot1OutstandingChecks, 6, 6, 1, 1)</f>
        <v>0</v>
      </c>
    </row>
    <row r="1401" spans="1:4">
      <c r="A1401" s="206" t="s">
        <v>1330</v>
      </c>
      <c r="B1401" s="13">
        <f ca="1">OFFSET('IWP27'!Std9dot1OutstandingChecks, 7, 4, 1, 1)</f>
        <v>0</v>
      </c>
      <c r="C1401" s="157">
        <f ca="1">IF(OFFSET('IWP27'!Std9dot1OutstandingChecks, 7, 5, 1, 1) = DATE(1900,1,0),DATE(1900,1,1),OFFSET('IWP27'!Std9dot1OutstandingChecks, 7, 5, 1, 1))</f>
        <v>1</v>
      </c>
      <c r="D1401" s="185">
        <f ca="1">OFFSET('IWP27'!Std9dot1OutstandingChecks, 7, 6, 1, 1)</f>
        <v>0</v>
      </c>
    </row>
    <row r="1402" spans="1:4">
      <c r="A1402" s="206" t="s">
        <v>1330</v>
      </c>
      <c r="B1402" s="13">
        <f ca="1">OFFSET('IWP27'!Std9dot1OutstandingChecks, 8, 4, 1, 1)</f>
        <v>0</v>
      </c>
      <c r="C1402" s="157">
        <f ca="1">IF(OFFSET('IWP27'!Std9dot1OutstandingChecks, 8, 5, 1, 1) = DATE(1900,1,0),DATE(1900,1,1),OFFSET('IWP27'!Std9dot1OutstandingChecks, 8, 5, 1, 1))</f>
        <v>1</v>
      </c>
      <c r="D1402" s="185">
        <f ca="1">OFFSET('IWP27'!Std9dot1OutstandingChecks, 8, 6, 1, 1)</f>
        <v>0</v>
      </c>
    </row>
    <row r="1403" spans="1:4">
      <c r="A1403" s="206" t="s">
        <v>1330</v>
      </c>
      <c r="B1403" s="13">
        <f ca="1">OFFSET('IWP27'!Std9dot1OutstandingChecks, 9, 4, 1, 1)</f>
        <v>0</v>
      </c>
      <c r="C1403" s="157">
        <f ca="1">IF(OFFSET('IWP27'!Std9dot1OutstandingChecks, 9, 5, 1, 1) = DATE(1900,1,0),DATE(1900,1,1),OFFSET('IWP27'!Std9dot1OutstandingChecks, 9, 5, 1, 1))</f>
        <v>1</v>
      </c>
      <c r="D1403" s="185">
        <f ca="1">OFFSET('IWP27'!Std9dot1OutstandingChecks, 9, 6, 1, 1)</f>
        <v>0</v>
      </c>
    </row>
    <row r="1404" spans="1:4">
      <c r="A1404" s="206" t="s">
        <v>1331</v>
      </c>
      <c r="B1404" s="13">
        <f ca="1">OFFSET('IWP28'!Std9dot1OutstandingChecks, 0, 0, 1, 1)</f>
        <v>0</v>
      </c>
      <c r="C1404" s="157">
        <f ca="1">IF(OFFSET('IWP28'!Std9dot1OutstandingChecks, 0, 1, 1, 1) = DATE(1900,1,0),DATE(1900,1,1),OFFSET('IWP28'!Std9dot1OutstandingChecks, 0, 1, 1, 1))</f>
        <v>1</v>
      </c>
      <c r="D1404" s="185">
        <f ca="1">OFFSET('IWP28'!Std9dot1OutstandingChecks, 0, 2, 1, 1)</f>
        <v>0</v>
      </c>
    </row>
    <row r="1405" spans="1:4">
      <c r="A1405" s="206" t="s">
        <v>1331</v>
      </c>
      <c r="B1405" s="13">
        <f ca="1">OFFSET('IWP28'!Std9dot1OutstandingChecks, 1, 0, 1, 1)</f>
        <v>0</v>
      </c>
      <c r="C1405" s="157">
        <f ca="1">IF(OFFSET('IWP28'!Std9dot1OutstandingChecks, 1, 1, 1, 1) = DATE(1900,1,0),DATE(1900,1,1),OFFSET('IWP28'!Std9dot1OutstandingChecks, 1, 1, 1, 1))</f>
        <v>1</v>
      </c>
      <c r="D1405" s="185">
        <f ca="1">OFFSET('IWP28'!Std9dot1OutstandingChecks, 1, 2, 1, 1)</f>
        <v>0</v>
      </c>
    </row>
    <row r="1406" spans="1:4">
      <c r="A1406" s="206" t="s">
        <v>1331</v>
      </c>
      <c r="B1406" s="13">
        <f ca="1">OFFSET('IWP28'!Std9dot1OutstandingChecks, 2, 0, 1, 1)</f>
        <v>0</v>
      </c>
      <c r="C1406" s="157">
        <f ca="1">IF(OFFSET('IWP28'!Std9dot1OutstandingChecks, 2, 1, 1, 1) = DATE(1900,1,0),DATE(1900,1,1),OFFSET('IWP28'!Std9dot1OutstandingChecks, 2, 1, 1, 1))</f>
        <v>1</v>
      </c>
      <c r="D1406" s="185">
        <f ca="1">OFFSET('IWP28'!Std9dot1OutstandingChecks, 2, 2, 1, 1)</f>
        <v>0</v>
      </c>
    </row>
    <row r="1407" spans="1:4">
      <c r="A1407" s="206" t="s">
        <v>1331</v>
      </c>
      <c r="B1407" s="13">
        <f ca="1">OFFSET('IWP28'!Std9dot1OutstandingChecks, 3, 0, 1, 1)</f>
        <v>0</v>
      </c>
      <c r="C1407" s="157">
        <f ca="1">IF(OFFSET('IWP28'!Std9dot1OutstandingChecks, 3, 1, 1, 1) = DATE(1900,1,0),DATE(1900,1,1),OFFSET('IWP28'!Std9dot1OutstandingChecks, 3, 1, 1, 1))</f>
        <v>1</v>
      </c>
      <c r="D1407" s="185">
        <f ca="1">OFFSET('IWP28'!Std9dot1OutstandingChecks, 3, 2, 1, 1)</f>
        <v>0</v>
      </c>
    </row>
    <row r="1408" spans="1:4">
      <c r="A1408" s="206" t="s">
        <v>1331</v>
      </c>
      <c r="B1408" s="13">
        <f ca="1">OFFSET('IWP28'!Std9dot1OutstandingChecks, 4, 0, 1, 1)</f>
        <v>0</v>
      </c>
      <c r="C1408" s="157">
        <f ca="1">IF(OFFSET('IWP28'!Std9dot1OutstandingChecks, 4, 1, 1, 1) = DATE(1900,1,0),DATE(1900,1,1),OFFSET('IWP28'!Std9dot1OutstandingChecks, 4, 1, 1, 1))</f>
        <v>1</v>
      </c>
      <c r="D1408" s="185">
        <f ca="1">OFFSET('IWP28'!Std9dot1OutstandingChecks, 4, 2, 1, 1)</f>
        <v>0</v>
      </c>
    </row>
    <row r="1409" spans="1:4">
      <c r="A1409" s="206" t="s">
        <v>1331</v>
      </c>
      <c r="B1409" s="13">
        <f ca="1">OFFSET('IWP28'!Std9dot1OutstandingChecks, 5, 0, 1, 1)</f>
        <v>0</v>
      </c>
      <c r="C1409" s="157">
        <f ca="1">IF(OFFSET('IWP28'!Std9dot1OutstandingChecks, 5, 1, 1, 1) = DATE(1900,1,0),DATE(1900,1,1),OFFSET('IWP28'!Std9dot1OutstandingChecks, 5, 1, 1, 1))</f>
        <v>1</v>
      </c>
      <c r="D1409" s="185">
        <f ca="1">OFFSET('IWP28'!Std9dot1OutstandingChecks, 5, 2, 1, 1)</f>
        <v>0</v>
      </c>
    </row>
    <row r="1410" spans="1:4">
      <c r="A1410" s="206" t="s">
        <v>1331</v>
      </c>
      <c r="B1410" s="13">
        <f ca="1">OFFSET('IWP28'!Std9dot1OutstandingChecks, 6, 0, 1, 1)</f>
        <v>0</v>
      </c>
      <c r="C1410" s="157">
        <f ca="1">IF(OFFSET('IWP28'!Std9dot1OutstandingChecks, 6, 1, 1, 1) = DATE(1900,1,0),DATE(1900,1,1),OFFSET('IWP28'!Std9dot1OutstandingChecks, 6, 1, 1, 1))</f>
        <v>1</v>
      </c>
      <c r="D1410" s="185">
        <f ca="1">OFFSET('IWP28'!Std9dot1OutstandingChecks, 6, 2, 1, 1)</f>
        <v>0</v>
      </c>
    </row>
    <row r="1411" spans="1:4">
      <c r="A1411" s="206" t="s">
        <v>1331</v>
      </c>
      <c r="B1411" s="13">
        <f ca="1">OFFSET('IWP28'!Std9dot1OutstandingChecks, 7, 0, 1, 1)</f>
        <v>0</v>
      </c>
      <c r="C1411" s="157">
        <f ca="1">IF(OFFSET('IWP28'!Std9dot1OutstandingChecks, 7, 1, 1, 1) = DATE(1900,1,0),DATE(1900,1,1),OFFSET('IWP28'!Std9dot1OutstandingChecks, 7, 1, 1, 1))</f>
        <v>1</v>
      </c>
      <c r="D1411" s="185">
        <f ca="1">OFFSET('IWP28'!Std9dot1OutstandingChecks, 7, 2, 1, 1)</f>
        <v>0</v>
      </c>
    </row>
    <row r="1412" spans="1:4">
      <c r="A1412" s="206" t="s">
        <v>1331</v>
      </c>
      <c r="B1412" s="13">
        <f ca="1">OFFSET('IWP28'!Std9dot1OutstandingChecks, 8, 0, 1, 1)</f>
        <v>0</v>
      </c>
      <c r="C1412" s="157">
        <f ca="1">IF(OFFSET('IWP28'!Std9dot1OutstandingChecks, 8, 1, 1, 1) = DATE(1900,1,0),DATE(1900,1,1),OFFSET('IWP28'!Std9dot1OutstandingChecks, 8, 1, 1, 1))</f>
        <v>1</v>
      </c>
      <c r="D1412" s="185">
        <f ca="1">OFFSET('IWP28'!Std9dot1OutstandingChecks, 8, 2, 1, 1)</f>
        <v>0</v>
      </c>
    </row>
    <row r="1413" spans="1:4">
      <c r="A1413" s="206" t="s">
        <v>1331</v>
      </c>
      <c r="B1413" s="13">
        <f ca="1">OFFSET('IWP28'!Std9dot1OutstandingChecks, 9, 0, 1, 1)</f>
        <v>0</v>
      </c>
      <c r="C1413" s="157">
        <f ca="1">IF(OFFSET('IWP28'!Std9dot1OutstandingChecks, 9, 1, 1, 1) = DATE(1900,1,0),DATE(1900,1,1),OFFSET('IWP28'!Std9dot1OutstandingChecks, 9, 1, 1, 1))</f>
        <v>1</v>
      </c>
      <c r="D1413" s="185">
        <f ca="1">OFFSET('IWP28'!Std9dot1OutstandingChecks, 9, 2, 1, 1)</f>
        <v>0</v>
      </c>
    </row>
    <row r="1414" spans="1:4">
      <c r="A1414" s="206" t="s">
        <v>1331</v>
      </c>
      <c r="B1414" s="13">
        <f ca="1">OFFSET('IWP28'!Std9dot1OutstandingChecks, 0, 4, 1, 1)</f>
        <v>0</v>
      </c>
      <c r="C1414" s="157">
        <f ca="1">IF(OFFSET('IWP28'!Std9dot1OutstandingChecks, 0, 5, 1, 1) = DATE(1900,1,0),DATE(1900,1,1),OFFSET('IWP28'!Std9dot1OutstandingChecks, 0, 5, 1, 1))</f>
        <v>1</v>
      </c>
      <c r="D1414" s="185">
        <f ca="1">OFFSET('IWP28'!Std9dot1OutstandingChecks, 0, 6, 1, 1)</f>
        <v>0</v>
      </c>
    </row>
    <row r="1415" spans="1:4">
      <c r="A1415" s="206" t="s">
        <v>1331</v>
      </c>
      <c r="B1415" s="13">
        <f ca="1">OFFSET('IWP28'!Std9dot1OutstandingChecks, 1, 4, 1, 1)</f>
        <v>0</v>
      </c>
      <c r="C1415" s="157">
        <f ca="1">IF(OFFSET('IWP28'!Std9dot1OutstandingChecks, 1, 5, 1, 1) = DATE(1900,1,0),DATE(1900,1,1),OFFSET('IWP28'!Std9dot1OutstandingChecks, 1, 5, 1, 1))</f>
        <v>1</v>
      </c>
      <c r="D1415" s="185">
        <f ca="1">OFFSET('IWP28'!Std9dot1OutstandingChecks, 1, 6, 1, 1)</f>
        <v>0</v>
      </c>
    </row>
    <row r="1416" spans="1:4">
      <c r="A1416" s="206" t="s">
        <v>1331</v>
      </c>
      <c r="B1416" s="13">
        <f ca="1">OFFSET('IWP28'!Std9dot1OutstandingChecks, 2, 4, 1, 1)</f>
        <v>0</v>
      </c>
      <c r="C1416" s="157">
        <f ca="1">IF(OFFSET('IWP28'!Std9dot1OutstandingChecks, 2, 5, 1, 1) = DATE(1900,1,0),DATE(1900,1,1),OFFSET('IWP28'!Std9dot1OutstandingChecks, 2, 5, 1, 1))</f>
        <v>1</v>
      </c>
      <c r="D1416" s="185">
        <f ca="1">OFFSET('IWP28'!Std9dot1OutstandingChecks, 2, 6, 1, 1)</f>
        <v>0</v>
      </c>
    </row>
    <row r="1417" spans="1:4">
      <c r="A1417" s="206" t="s">
        <v>1331</v>
      </c>
      <c r="B1417" s="13">
        <f ca="1">OFFSET('IWP28'!Std9dot1OutstandingChecks, 3, 4, 1, 1)</f>
        <v>0</v>
      </c>
      <c r="C1417" s="157">
        <f ca="1">IF(OFFSET('IWP28'!Std9dot1OutstandingChecks, 3, 5, 1, 1) = DATE(1900,1,0),DATE(1900,1,1),OFFSET('IWP28'!Std9dot1OutstandingChecks, 3, 5, 1, 1))</f>
        <v>1</v>
      </c>
      <c r="D1417" s="185">
        <f ca="1">OFFSET('IWP28'!Std9dot1OutstandingChecks, 3, 6, 1, 1)</f>
        <v>0</v>
      </c>
    </row>
    <row r="1418" spans="1:4">
      <c r="A1418" s="206" t="s">
        <v>1331</v>
      </c>
      <c r="B1418" s="13">
        <f ca="1">OFFSET('IWP28'!Std9dot1OutstandingChecks, 4, 4, 1, 1)</f>
        <v>0</v>
      </c>
      <c r="C1418" s="157">
        <f ca="1">IF(OFFSET('IWP28'!Std9dot1OutstandingChecks, 4, 5, 1, 1) = DATE(1900,1,0),DATE(1900,1,1),OFFSET('IWP28'!Std9dot1OutstandingChecks, 4, 5, 1, 1))</f>
        <v>1</v>
      </c>
      <c r="D1418" s="185">
        <f ca="1">OFFSET('IWP28'!Std9dot1OutstandingChecks, 4, 6, 1, 1)</f>
        <v>0</v>
      </c>
    </row>
    <row r="1419" spans="1:4">
      <c r="A1419" s="206" t="s">
        <v>1331</v>
      </c>
      <c r="B1419" s="13">
        <f ca="1">OFFSET('IWP28'!Std9dot1OutstandingChecks, 5, 4, 1, 1)</f>
        <v>0</v>
      </c>
      <c r="C1419" s="157">
        <f ca="1">IF(OFFSET('IWP28'!Std9dot1OutstandingChecks, 5, 5, 1, 1) = DATE(1900,1,0),DATE(1900,1,1),OFFSET('IWP28'!Std9dot1OutstandingChecks, 5, 5, 1, 1))</f>
        <v>1</v>
      </c>
      <c r="D1419" s="185">
        <f ca="1">OFFSET('IWP28'!Std9dot1OutstandingChecks, 5, 6, 1, 1)</f>
        <v>0</v>
      </c>
    </row>
    <row r="1420" spans="1:4">
      <c r="A1420" s="206" t="s">
        <v>1331</v>
      </c>
      <c r="B1420" s="13">
        <f ca="1">OFFSET('IWP28'!Std9dot1OutstandingChecks, 6, 4, 1, 1)</f>
        <v>0</v>
      </c>
      <c r="C1420" s="157">
        <f ca="1">IF(OFFSET('IWP28'!Std9dot1OutstandingChecks, 6, 5, 1, 1) = DATE(1900,1,0),DATE(1900,1,1),OFFSET('IWP28'!Std9dot1OutstandingChecks, 6, 5, 1, 1))</f>
        <v>1</v>
      </c>
      <c r="D1420" s="185">
        <f ca="1">OFFSET('IWP28'!Std9dot1OutstandingChecks, 6, 6, 1, 1)</f>
        <v>0</v>
      </c>
    </row>
    <row r="1421" spans="1:4">
      <c r="A1421" s="206" t="s">
        <v>1331</v>
      </c>
      <c r="B1421" s="13">
        <f ca="1">OFFSET('IWP28'!Std9dot1OutstandingChecks, 7, 4, 1, 1)</f>
        <v>0</v>
      </c>
      <c r="C1421" s="157">
        <f ca="1">IF(OFFSET('IWP28'!Std9dot1OutstandingChecks, 7, 5, 1, 1) = DATE(1900,1,0),DATE(1900,1,1),OFFSET('IWP28'!Std9dot1OutstandingChecks, 7, 5, 1, 1))</f>
        <v>1</v>
      </c>
      <c r="D1421" s="185">
        <f ca="1">OFFSET('IWP28'!Std9dot1OutstandingChecks, 7, 6, 1, 1)</f>
        <v>0</v>
      </c>
    </row>
    <row r="1422" spans="1:4">
      <c r="A1422" s="206" t="s">
        <v>1331</v>
      </c>
      <c r="B1422" s="13">
        <f ca="1">OFFSET('IWP28'!Std9dot1OutstandingChecks, 8, 4, 1, 1)</f>
        <v>0</v>
      </c>
      <c r="C1422" s="157">
        <f ca="1">IF(OFFSET('IWP28'!Std9dot1OutstandingChecks, 8, 5, 1, 1) = DATE(1900,1,0),DATE(1900,1,1),OFFSET('IWP28'!Std9dot1OutstandingChecks, 8, 5, 1, 1))</f>
        <v>1</v>
      </c>
      <c r="D1422" s="185">
        <f ca="1">OFFSET('IWP28'!Std9dot1OutstandingChecks, 8, 6, 1, 1)</f>
        <v>0</v>
      </c>
    </row>
    <row r="1423" spans="1:4">
      <c r="A1423" s="206" t="s">
        <v>1331</v>
      </c>
      <c r="B1423" s="13">
        <f ca="1">OFFSET('IWP28'!Std9dot1OutstandingChecks, 9, 4, 1, 1)</f>
        <v>0</v>
      </c>
      <c r="C1423" s="157">
        <f ca="1">IF(OFFSET('IWP28'!Std9dot1OutstandingChecks, 9, 5, 1, 1) = DATE(1900,1,0),DATE(1900,1,1),OFFSET('IWP28'!Std9dot1OutstandingChecks, 9, 5, 1, 1))</f>
        <v>1</v>
      </c>
      <c r="D1423" s="185">
        <f ca="1">OFFSET('IWP28'!Std9dot1OutstandingChecks, 9, 6, 1, 1)</f>
        <v>0</v>
      </c>
    </row>
    <row r="1424" spans="1:4">
      <c r="A1424" s="206" t="s">
        <v>1332</v>
      </c>
      <c r="B1424" s="13">
        <f ca="1">OFFSET('IWP29'!Std9dot1OutstandingChecks, 0, 0, 1, 1)</f>
        <v>0</v>
      </c>
      <c r="C1424" s="157">
        <f ca="1">IF(OFFSET('IWP29'!Std9dot1OutstandingChecks, 0, 1, 1, 1) = DATE(1900,1,0),DATE(1900,1,1),OFFSET('IWP29'!Std9dot1OutstandingChecks, 0, 1, 1, 1))</f>
        <v>1</v>
      </c>
      <c r="D1424" s="185">
        <f ca="1">OFFSET('IWP29'!Std9dot1OutstandingChecks, 0, 2, 1, 1)</f>
        <v>0</v>
      </c>
    </row>
    <row r="1425" spans="1:4">
      <c r="A1425" s="206" t="s">
        <v>1332</v>
      </c>
      <c r="B1425" s="13">
        <f ca="1">OFFSET('IWP29'!Std9dot1OutstandingChecks, 1, 0, 1, 1)</f>
        <v>0</v>
      </c>
      <c r="C1425" s="157">
        <f ca="1">IF(OFFSET('IWP29'!Std9dot1OutstandingChecks, 1, 1, 1, 1) = DATE(1900,1,0),DATE(1900,1,1),OFFSET('IWP29'!Std9dot1OutstandingChecks, 1, 1, 1, 1))</f>
        <v>1</v>
      </c>
      <c r="D1425" s="185">
        <f ca="1">OFFSET('IWP29'!Std9dot1OutstandingChecks, 1, 2, 1, 1)</f>
        <v>0</v>
      </c>
    </row>
    <row r="1426" spans="1:4">
      <c r="A1426" s="206" t="s">
        <v>1332</v>
      </c>
      <c r="B1426" s="13">
        <f ca="1">OFFSET('IWP29'!Std9dot1OutstandingChecks, 2, 0, 1, 1)</f>
        <v>0</v>
      </c>
      <c r="C1426" s="157">
        <f ca="1">IF(OFFSET('IWP29'!Std9dot1OutstandingChecks, 2, 1, 1, 1) = DATE(1900,1,0),DATE(1900,1,1),OFFSET('IWP29'!Std9dot1OutstandingChecks, 2, 1, 1, 1))</f>
        <v>1</v>
      </c>
      <c r="D1426" s="185">
        <f ca="1">OFFSET('IWP29'!Std9dot1OutstandingChecks, 2, 2, 1, 1)</f>
        <v>0</v>
      </c>
    </row>
    <row r="1427" spans="1:4">
      <c r="A1427" s="206" t="s">
        <v>1332</v>
      </c>
      <c r="B1427" s="13">
        <f ca="1">OFFSET('IWP29'!Std9dot1OutstandingChecks, 3, 0, 1, 1)</f>
        <v>0</v>
      </c>
      <c r="C1427" s="157">
        <f ca="1">IF(OFFSET('IWP29'!Std9dot1OutstandingChecks, 3, 1, 1, 1) = DATE(1900,1,0),DATE(1900,1,1),OFFSET('IWP29'!Std9dot1OutstandingChecks, 3, 1, 1, 1))</f>
        <v>1</v>
      </c>
      <c r="D1427" s="185">
        <f ca="1">OFFSET('IWP29'!Std9dot1OutstandingChecks, 3, 2, 1, 1)</f>
        <v>0</v>
      </c>
    </row>
    <row r="1428" spans="1:4">
      <c r="A1428" s="206" t="s">
        <v>1332</v>
      </c>
      <c r="B1428" s="13">
        <f ca="1">OFFSET('IWP29'!Std9dot1OutstandingChecks, 4, 0, 1, 1)</f>
        <v>0</v>
      </c>
      <c r="C1428" s="157">
        <f ca="1">IF(OFFSET('IWP29'!Std9dot1OutstandingChecks, 4, 1, 1, 1) = DATE(1900,1,0),DATE(1900,1,1),OFFSET('IWP29'!Std9dot1OutstandingChecks, 4, 1, 1, 1))</f>
        <v>1</v>
      </c>
      <c r="D1428" s="185">
        <f ca="1">OFFSET('IWP29'!Std9dot1OutstandingChecks, 4, 2, 1, 1)</f>
        <v>0</v>
      </c>
    </row>
    <row r="1429" spans="1:4">
      <c r="A1429" s="206" t="s">
        <v>1332</v>
      </c>
      <c r="B1429" s="13">
        <f ca="1">OFFSET('IWP29'!Std9dot1OutstandingChecks, 5, 0, 1, 1)</f>
        <v>0</v>
      </c>
      <c r="C1429" s="157">
        <f ca="1">IF(OFFSET('IWP29'!Std9dot1OutstandingChecks, 5, 1, 1, 1) = DATE(1900,1,0),DATE(1900,1,1),OFFSET('IWP29'!Std9dot1OutstandingChecks, 5, 1, 1, 1))</f>
        <v>1</v>
      </c>
      <c r="D1429" s="185">
        <f ca="1">OFFSET('IWP29'!Std9dot1OutstandingChecks, 5, 2, 1, 1)</f>
        <v>0</v>
      </c>
    </row>
    <row r="1430" spans="1:4">
      <c r="A1430" s="206" t="s">
        <v>1332</v>
      </c>
      <c r="B1430" s="13">
        <f ca="1">OFFSET('IWP29'!Std9dot1OutstandingChecks, 6, 0, 1, 1)</f>
        <v>0</v>
      </c>
      <c r="C1430" s="157">
        <f ca="1">IF(OFFSET('IWP29'!Std9dot1OutstandingChecks, 6, 1, 1, 1) = DATE(1900,1,0),DATE(1900,1,1),OFFSET('IWP29'!Std9dot1OutstandingChecks, 6, 1, 1, 1))</f>
        <v>1</v>
      </c>
      <c r="D1430" s="185">
        <f ca="1">OFFSET('IWP29'!Std9dot1OutstandingChecks, 6, 2, 1, 1)</f>
        <v>0</v>
      </c>
    </row>
    <row r="1431" spans="1:4">
      <c r="A1431" s="206" t="s">
        <v>1332</v>
      </c>
      <c r="B1431" s="13">
        <f ca="1">OFFSET('IWP29'!Std9dot1OutstandingChecks, 7, 0, 1, 1)</f>
        <v>0</v>
      </c>
      <c r="C1431" s="157">
        <f ca="1">IF(OFFSET('IWP29'!Std9dot1OutstandingChecks, 7, 1, 1, 1) = DATE(1900,1,0),DATE(1900,1,1),OFFSET('IWP29'!Std9dot1OutstandingChecks, 7, 1, 1, 1))</f>
        <v>1</v>
      </c>
      <c r="D1431" s="185">
        <f ca="1">OFFSET('IWP29'!Std9dot1OutstandingChecks, 7, 2, 1, 1)</f>
        <v>0</v>
      </c>
    </row>
    <row r="1432" spans="1:4">
      <c r="A1432" s="206" t="s">
        <v>1332</v>
      </c>
      <c r="B1432" s="13">
        <f ca="1">OFFSET('IWP29'!Std9dot1OutstandingChecks, 8, 0, 1, 1)</f>
        <v>0</v>
      </c>
      <c r="C1432" s="157">
        <f ca="1">IF(OFFSET('IWP29'!Std9dot1OutstandingChecks, 8, 1, 1, 1) = DATE(1900,1,0),DATE(1900,1,1),OFFSET('IWP29'!Std9dot1OutstandingChecks, 8, 1, 1, 1))</f>
        <v>1</v>
      </c>
      <c r="D1432" s="185">
        <f ca="1">OFFSET('IWP29'!Std9dot1OutstandingChecks, 8, 2, 1, 1)</f>
        <v>0</v>
      </c>
    </row>
    <row r="1433" spans="1:4">
      <c r="A1433" s="206" t="s">
        <v>1332</v>
      </c>
      <c r="B1433" s="13">
        <f ca="1">OFFSET('IWP29'!Std9dot1OutstandingChecks, 9, 0, 1, 1)</f>
        <v>0</v>
      </c>
      <c r="C1433" s="157">
        <f ca="1">IF(OFFSET('IWP29'!Std9dot1OutstandingChecks, 9, 1, 1, 1) = DATE(1900,1,0),DATE(1900,1,1),OFFSET('IWP29'!Std9dot1OutstandingChecks, 9, 1, 1, 1))</f>
        <v>1</v>
      </c>
      <c r="D1433" s="185">
        <f ca="1">OFFSET('IWP29'!Std9dot1OutstandingChecks, 9, 2, 1, 1)</f>
        <v>0</v>
      </c>
    </row>
    <row r="1434" spans="1:4">
      <c r="A1434" s="206" t="s">
        <v>1332</v>
      </c>
      <c r="B1434" s="13">
        <f ca="1">OFFSET('IWP29'!Std9dot1OutstandingChecks, 0, 4, 1, 1)</f>
        <v>0</v>
      </c>
      <c r="C1434" s="157">
        <f ca="1">IF(OFFSET('IWP29'!Std9dot1OutstandingChecks, 0, 5, 1, 1) = DATE(1900,1,0),DATE(1900,1,1),OFFSET('IWP29'!Std9dot1OutstandingChecks, 0, 5, 1, 1))</f>
        <v>1</v>
      </c>
      <c r="D1434" s="185">
        <f ca="1">OFFSET('IWP29'!Std9dot1OutstandingChecks, 0, 6, 1, 1)</f>
        <v>0</v>
      </c>
    </row>
    <row r="1435" spans="1:4">
      <c r="A1435" s="206" t="s">
        <v>1332</v>
      </c>
      <c r="B1435" s="13">
        <f ca="1">OFFSET('IWP29'!Std9dot1OutstandingChecks, 1, 4, 1, 1)</f>
        <v>0</v>
      </c>
      <c r="C1435" s="157">
        <f ca="1">IF(OFFSET('IWP29'!Std9dot1OutstandingChecks, 1, 5, 1, 1) = DATE(1900,1,0),DATE(1900,1,1),OFFSET('IWP29'!Std9dot1OutstandingChecks, 1, 5, 1, 1))</f>
        <v>1</v>
      </c>
      <c r="D1435" s="185">
        <f ca="1">OFFSET('IWP29'!Std9dot1OutstandingChecks, 1, 6, 1, 1)</f>
        <v>0</v>
      </c>
    </row>
    <row r="1436" spans="1:4">
      <c r="A1436" s="206" t="s">
        <v>1332</v>
      </c>
      <c r="B1436" s="13">
        <f ca="1">OFFSET('IWP29'!Std9dot1OutstandingChecks, 2, 4, 1, 1)</f>
        <v>0</v>
      </c>
      <c r="C1436" s="157">
        <f ca="1">IF(OFFSET('IWP29'!Std9dot1OutstandingChecks, 2, 5, 1, 1) = DATE(1900,1,0),DATE(1900,1,1),OFFSET('IWP29'!Std9dot1OutstandingChecks, 2, 5, 1, 1))</f>
        <v>1</v>
      </c>
      <c r="D1436" s="185">
        <f ca="1">OFFSET('IWP29'!Std9dot1OutstandingChecks, 2, 6, 1, 1)</f>
        <v>0</v>
      </c>
    </row>
    <row r="1437" spans="1:4">
      <c r="A1437" s="206" t="s">
        <v>1332</v>
      </c>
      <c r="B1437" s="13">
        <f ca="1">OFFSET('IWP29'!Std9dot1OutstandingChecks, 3, 4, 1, 1)</f>
        <v>0</v>
      </c>
      <c r="C1437" s="157">
        <f ca="1">IF(OFFSET('IWP29'!Std9dot1OutstandingChecks, 3, 5, 1, 1) = DATE(1900,1,0),DATE(1900,1,1),OFFSET('IWP29'!Std9dot1OutstandingChecks, 3, 5, 1, 1))</f>
        <v>1</v>
      </c>
      <c r="D1437" s="185">
        <f ca="1">OFFSET('IWP29'!Std9dot1OutstandingChecks, 3, 6, 1, 1)</f>
        <v>0</v>
      </c>
    </row>
    <row r="1438" spans="1:4">
      <c r="A1438" s="206" t="s">
        <v>1332</v>
      </c>
      <c r="B1438" s="13">
        <f ca="1">OFFSET('IWP29'!Std9dot1OutstandingChecks, 4, 4, 1, 1)</f>
        <v>0</v>
      </c>
      <c r="C1438" s="157">
        <f ca="1">IF(OFFSET('IWP29'!Std9dot1OutstandingChecks, 4, 5, 1, 1) = DATE(1900,1,0),DATE(1900,1,1),OFFSET('IWP29'!Std9dot1OutstandingChecks, 4, 5, 1, 1))</f>
        <v>1</v>
      </c>
      <c r="D1438" s="185">
        <f ca="1">OFFSET('IWP29'!Std9dot1OutstandingChecks, 4, 6, 1, 1)</f>
        <v>0</v>
      </c>
    </row>
    <row r="1439" spans="1:4">
      <c r="A1439" s="206" t="s">
        <v>1332</v>
      </c>
      <c r="B1439" s="13">
        <f ca="1">OFFSET('IWP29'!Std9dot1OutstandingChecks, 5, 4, 1, 1)</f>
        <v>0</v>
      </c>
      <c r="C1439" s="157">
        <f ca="1">IF(OFFSET('IWP29'!Std9dot1OutstandingChecks, 5, 5, 1, 1) = DATE(1900,1,0),DATE(1900,1,1),OFFSET('IWP29'!Std9dot1OutstandingChecks, 5, 5, 1, 1))</f>
        <v>1</v>
      </c>
      <c r="D1439" s="185">
        <f ca="1">OFFSET('IWP29'!Std9dot1OutstandingChecks, 5, 6, 1, 1)</f>
        <v>0</v>
      </c>
    </row>
    <row r="1440" spans="1:4">
      <c r="A1440" s="206" t="s">
        <v>1332</v>
      </c>
      <c r="B1440" s="13">
        <f ca="1">OFFSET('IWP29'!Std9dot1OutstandingChecks, 6, 4, 1, 1)</f>
        <v>0</v>
      </c>
      <c r="C1440" s="157">
        <f ca="1">IF(OFFSET('IWP29'!Std9dot1OutstandingChecks, 6, 5, 1, 1) = DATE(1900,1,0),DATE(1900,1,1),OFFSET('IWP29'!Std9dot1OutstandingChecks, 6, 5, 1, 1))</f>
        <v>1</v>
      </c>
      <c r="D1440" s="185">
        <f ca="1">OFFSET('IWP29'!Std9dot1OutstandingChecks, 6, 6, 1, 1)</f>
        <v>0</v>
      </c>
    </row>
    <row r="1441" spans="1:4">
      <c r="A1441" s="206" t="s">
        <v>1332</v>
      </c>
      <c r="B1441" s="13">
        <f ca="1">OFFSET('IWP29'!Std9dot1OutstandingChecks, 7, 4, 1, 1)</f>
        <v>0</v>
      </c>
      <c r="C1441" s="157">
        <f ca="1">IF(OFFSET('IWP29'!Std9dot1OutstandingChecks, 7, 5, 1, 1) = DATE(1900,1,0),DATE(1900,1,1),OFFSET('IWP29'!Std9dot1OutstandingChecks, 7, 5, 1, 1))</f>
        <v>1</v>
      </c>
      <c r="D1441" s="185">
        <f ca="1">OFFSET('IWP29'!Std9dot1OutstandingChecks, 7, 6, 1, 1)</f>
        <v>0</v>
      </c>
    </row>
    <row r="1442" spans="1:4">
      <c r="A1442" s="206" t="s">
        <v>1332</v>
      </c>
      <c r="B1442" s="13">
        <f ca="1">OFFSET('IWP29'!Std9dot1OutstandingChecks, 8, 4, 1, 1)</f>
        <v>0</v>
      </c>
      <c r="C1442" s="157">
        <f ca="1">IF(OFFSET('IWP29'!Std9dot1OutstandingChecks, 8, 5, 1, 1) = DATE(1900,1,0),DATE(1900,1,1),OFFSET('IWP29'!Std9dot1OutstandingChecks, 8, 5, 1, 1))</f>
        <v>1</v>
      </c>
      <c r="D1442" s="185">
        <f ca="1">OFFSET('IWP29'!Std9dot1OutstandingChecks, 8, 6, 1, 1)</f>
        <v>0</v>
      </c>
    </row>
    <row r="1443" spans="1:4">
      <c r="A1443" s="206" t="s">
        <v>1332</v>
      </c>
      <c r="B1443" s="13">
        <f ca="1">OFFSET('IWP29'!Std9dot1OutstandingChecks, 9, 4, 1, 1)</f>
        <v>0</v>
      </c>
      <c r="C1443" s="157">
        <f ca="1">IF(OFFSET('IWP29'!Std9dot1OutstandingChecks, 9, 5, 1, 1) = DATE(1900,1,0),DATE(1900,1,1),OFFSET('IWP29'!Std9dot1OutstandingChecks, 9, 5, 1, 1))</f>
        <v>1</v>
      </c>
      <c r="D1443" s="185">
        <f ca="1">OFFSET('IWP29'!Std9dot1OutstandingChecks, 9, 6, 1, 1)</f>
        <v>0</v>
      </c>
    </row>
    <row r="1444" spans="1:4">
      <c r="A1444" s="206" t="s">
        <v>1333</v>
      </c>
      <c r="B1444" s="13">
        <f ca="1">OFFSET('IWP30'!Std9dot1OutstandingChecks, 0, 0, 1, 1)</f>
        <v>0</v>
      </c>
      <c r="C1444" s="157">
        <f ca="1">IF(OFFSET('IWP30'!Std9dot1OutstandingChecks, 0, 1, 1, 1) = DATE(1900,1,0),DATE(1900,1,1),OFFSET('IWP30'!Std9dot1OutstandingChecks, 0, 1, 1, 1))</f>
        <v>1</v>
      </c>
      <c r="D1444" s="185">
        <f ca="1">OFFSET('IWP30'!Std9dot1OutstandingChecks, 0, 2, 1, 1)</f>
        <v>0</v>
      </c>
    </row>
    <row r="1445" spans="1:4">
      <c r="A1445" s="206" t="s">
        <v>1333</v>
      </c>
      <c r="B1445" s="13">
        <f ca="1">OFFSET('IWP30'!Std9dot1OutstandingChecks, 1, 0, 1, 1)</f>
        <v>0</v>
      </c>
      <c r="C1445" s="157">
        <f ca="1">IF(OFFSET('IWP30'!Std9dot1OutstandingChecks, 1, 1, 1, 1) = DATE(1900,1,0),DATE(1900,1,1),OFFSET('IWP30'!Std9dot1OutstandingChecks, 1, 1, 1, 1))</f>
        <v>1</v>
      </c>
      <c r="D1445" s="185">
        <f ca="1">OFFSET('IWP30'!Std9dot1OutstandingChecks, 1, 2, 1, 1)</f>
        <v>0</v>
      </c>
    </row>
    <row r="1446" spans="1:4">
      <c r="A1446" s="206" t="s">
        <v>1333</v>
      </c>
      <c r="B1446" s="13">
        <f ca="1">OFFSET('IWP30'!Std9dot1OutstandingChecks, 2, 0, 1, 1)</f>
        <v>0</v>
      </c>
      <c r="C1446" s="157">
        <f ca="1">IF(OFFSET('IWP30'!Std9dot1OutstandingChecks, 2, 1, 1, 1) = DATE(1900,1,0),DATE(1900,1,1),OFFSET('IWP30'!Std9dot1OutstandingChecks, 2, 1, 1, 1))</f>
        <v>1</v>
      </c>
      <c r="D1446" s="185">
        <f ca="1">OFFSET('IWP30'!Std9dot1OutstandingChecks, 2, 2, 1, 1)</f>
        <v>0</v>
      </c>
    </row>
    <row r="1447" spans="1:4">
      <c r="A1447" s="206" t="s">
        <v>1333</v>
      </c>
      <c r="B1447" s="13">
        <f ca="1">OFFSET('IWP30'!Std9dot1OutstandingChecks, 3, 0, 1, 1)</f>
        <v>0</v>
      </c>
      <c r="C1447" s="157">
        <f ca="1">IF(OFFSET('IWP30'!Std9dot1OutstandingChecks, 3, 1, 1, 1) = DATE(1900,1,0),DATE(1900,1,1),OFFSET('IWP30'!Std9dot1OutstandingChecks, 3, 1, 1, 1))</f>
        <v>1</v>
      </c>
      <c r="D1447" s="185">
        <f ca="1">OFFSET('IWP30'!Std9dot1OutstandingChecks, 3, 2, 1, 1)</f>
        <v>0</v>
      </c>
    </row>
    <row r="1448" spans="1:4">
      <c r="A1448" s="206" t="s">
        <v>1333</v>
      </c>
      <c r="B1448" s="13">
        <f ca="1">OFFSET('IWP30'!Std9dot1OutstandingChecks, 4, 0, 1, 1)</f>
        <v>0</v>
      </c>
      <c r="C1448" s="157">
        <f ca="1">IF(OFFSET('IWP30'!Std9dot1OutstandingChecks, 4, 1, 1, 1) = DATE(1900,1,0),DATE(1900,1,1),OFFSET('IWP30'!Std9dot1OutstandingChecks, 4, 1, 1, 1))</f>
        <v>1</v>
      </c>
      <c r="D1448" s="185">
        <f ca="1">OFFSET('IWP30'!Std9dot1OutstandingChecks, 4, 2, 1, 1)</f>
        <v>0</v>
      </c>
    </row>
    <row r="1449" spans="1:4">
      <c r="A1449" s="206" t="s">
        <v>1333</v>
      </c>
      <c r="B1449" s="13">
        <f ca="1">OFFSET('IWP30'!Std9dot1OutstandingChecks, 5, 0, 1, 1)</f>
        <v>0</v>
      </c>
      <c r="C1449" s="157">
        <f ca="1">IF(OFFSET('IWP30'!Std9dot1OutstandingChecks, 5, 1, 1, 1) = DATE(1900,1,0),DATE(1900,1,1),OFFSET('IWP30'!Std9dot1OutstandingChecks, 5, 1, 1, 1))</f>
        <v>1</v>
      </c>
      <c r="D1449" s="185">
        <f ca="1">OFFSET('IWP30'!Std9dot1OutstandingChecks, 5, 2, 1, 1)</f>
        <v>0</v>
      </c>
    </row>
    <row r="1450" spans="1:4">
      <c r="A1450" s="206" t="s">
        <v>1333</v>
      </c>
      <c r="B1450" s="13">
        <f ca="1">OFFSET('IWP30'!Std9dot1OutstandingChecks, 6, 0, 1, 1)</f>
        <v>0</v>
      </c>
      <c r="C1450" s="157">
        <f ca="1">IF(OFFSET('IWP30'!Std9dot1OutstandingChecks, 6, 1, 1, 1) = DATE(1900,1,0),DATE(1900,1,1),OFFSET('IWP30'!Std9dot1OutstandingChecks, 6, 1, 1, 1))</f>
        <v>1</v>
      </c>
      <c r="D1450" s="185">
        <f ca="1">OFFSET('IWP30'!Std9dot1OutstandingChecks, 6, 2, 1, 1)</f>
        <v>0</v>
      </c>
    </row>
    <row r="1451" spans="1:4">
      <c r="A1451" s="206" t="s">
        <v>1333</v>
      </c>
      <c r="B1451" s="13">
        <f ca="1">OFFSET('IWP30'!Std9dot1OutstandingChecks, 7, 0, 1, 1)</f>
        <v>0</v>
      </c>
      <c r="C1451" s="157">
        <f ca="1">IF(OFFSET('IWP30'!Std9dot1OutstandingChecks, 7, 1, 1, 1) = DATE(1900,1,0),DATE(1900,1,1),OFFSET('IWP30'!Std9dot1OutstandingChecks, 7, 1, 1, 1))</f>
        <v>1</v>
      </c>
      <c r="D1451" s="185">
        <f ca="1">OFFSET('IWP30'!Std9dot1OutstandingChecks, 7, 2, 1, 1)</f>
        <v>0</v>
      </c>
    </row>
    <row r="1452" spans="1:4">
      <c r="A1452" s="206" t="s">
        <v>1333</v>
      </c>
      <c r="B1452" s="13">
        <f ca="1">OFFSET('IWP30'!Std9dot1OutstandingChecks, 8, 0, 1, 1)</f>
        <v>0</v>
      </c>
      <c r="C1452" s="157">
        <f ca="1">IF(OFFSET('IWP30'!Std9dot1OutstandingChecks, 8, 1, 1, 1) = DATE(1900,1,0),DATE(1900,1,1),OFFSET('IWP30'!Std9dot1OutstandingChecks, 8, 1, 1, 1))</f>
        <v>1</v>
      </c>
      <c r="D1452" s="185">
        <f ca="1">OFFSET('IWP30'!Std9dot1OutstandingChecks, 8, 2, 1, 1)</f>
        <v>0</v>
      </c>
    </row>
    <row r="1453" spans="1:4">
      <c r="A1453" s="206" t="s">
        <v>1333</v>
      </c>
      <c r="B1453" s="13">
        <f ca="1">OFFSET('IWP30'!Std9dot1OutstandingChecks, 9, 0, 1, 1)</f>
        <v>0</v>
      </c>
      <c r="C1453" s="157">
        <f ca="1">IF(OFFSET('IWP30'!Std9dot1OutstandingChecks, 9, 1, 1, 1) = DATE(1900,1,0),DATE(1900,1,1),OFFSET('IWP30'!Std9dot1OutstandingChecks, 9, 1, 1, 1))</f>
        <v>1</v>
      </c>
      <c r="D1453" s="185">
        <f ca="1">OFFSET('IWP30'!Std9dot1OutstandingChecks, 9, 2, 1, 1)</f>
        <v>0</v>
      </c>
    </row>
    <row r="1454" spans="1:4">
      <c r="A1454" s="206" t="s">
        <v>1333</v>
      </c>
      <c r="B1454" s="13">
        <f ca="1">OFFSET('IWP30'!Std9dot1OutstandingChecks, 0, 4, 1, 1)</f>
        <v>0</v>
      </c>
      <c r="C1454" s="157">
        <f ca="1">IF(OFFSET('IWP30'!Std9dot1OutstandingChecks, 0, 5, 1, 1) = DATE(1900,1,0),DATE(1900,1,1),OFFSET('IWP30'!Std9dot1OutstandingChecks, 0, 5, 1, 1))</f>
        <v>1</v>
      </c>
      <c r="D1454" s="185">
        <f ca="1">OFFSET('IWP30'!Std9dot1OutstandingChecks, 0, 6, 1, 1)</f>
        <v>0</v>
      </c>
    </row>
    <row r="1455" spans="1:4">
      <c r="A1455" s="206" t="s">
        <v>1333</v>
      </c>
      <c r="B1455" s="13">
        <f ca="1">OFFSET('IWP30'!Std9dot1OutstandingChecks, 1, 4, 1, 1)</f>
        <v>0</v>
      </c>
      <c r="C1455" s="157">
        <f ca="1">IF(OFFSET('IWP30'!Std9dot1OutstandingChecks, 1, 5, 1, 1) = DATE(1900,1,0),DATE(1900,1,1),OFFSET('IWP30'!Std9dot1OutstandingChecks, 1, 5, 1, 1))</f>
        <v>1</v>
      </c>
      <c r="D1455" s="185">
        <f ca="1">OFFSET('IWP30'!Std9dot1OutstandingChecks, 1, 6, 1, 1)</f>
        <v>0</v>
      </c>
    </row>
    <row r="1456" spans="1:4">
      <c r="A1456" s="206" t="s">
        <v>1333</v>
      </c>
      <c r="B1456" s="13">
        <f ca="1">OFFSET('IWP30'!Std9dot1OutstandingChecks, 2, 4, 1, 1)</f>
        <v>0</v>
      </c>
      <c r="C1456" s="157">
        <f ca="1">IF(OFFSET('IWP30'!Std9dot1OutstandingChecks, 2, 5, 1, 1) = DATE(1900,1,0),DATE(1900,1,1),OFFSET('IWP30'!Std9dot1OutstandingChecks, 2, 5, 1, 1))</f>
        <v>1</v>
      </c>
      <c r="D1456" s="185">
        <f ca="1">OFFSET('IWP30'!Std9dot1OutstandingChecks, 2, 6, 1, 1)</f>
        <v>0</v>
      </c>
    </row>
    <row r="1457" spans="1:4">
      <c r="A1457" s="206" t="s">
        <v>1333</v>
      </c>
      <c r="B1457" s="13">
        <f ca="1">OFFSET('IWP30'!Std9dot1OutstandingChecks, 3, 4, 1, 1)</f>
        <v>0</v>
      </c>
      <c r="C1457" s="157">
        <f ca="1">IF(OFFSET('IWP30'!Std9dot1OutstandingChecks, 3, 5, 1, 1) = DATE(1900,1,0),DATE(1900,1,1),OFFSET('IWP30'!Std9dot1OutstandingChecks, 3, 5, 1, 1))</f>
        <v>1</v>
      </c>
      <c r="D1457" s="185">
        <f ca="1">OFFSET('IWP30'!Std9dot1OutstandingChecks, 3, 6, 1, 1)</f>
        <v>0</v>
      </c>
    </row>
    <row r="1458" spans="1:4">
      <c r="A1458" s="206" t="s">
        <v>1333</v>
      </c>
      <c r="B1458" s="13">
        <f ca="1">OFFSET('IWP30'!Std9dot1OutstandingChecks, 4, 4, 1, 1)</f>
        <v>0</v>
      </c>
      <c r="C1458" s="157">
        <f ca="1">IF(OFFSET('IWP30'!Std9dot1OutstandingChecks, 4, 5, 1, 1) = DATE(1900,1,0),DATE(1900,1,1),OFFSET('IWP30'!Std9dot1OutstandingChecks, 4, 5, 1, 1))</f>
        <v>1</v>
      </c>
      <c r="D1458" s="185">
        <f ca="1">OFFSET('IWP30'!Std9dot1OutstandingChecks, 4, 6, 1, 1)</f>
        <v>0</v>
      </c>
    </row>
    <row r="1459" spans="1:4">
      <c r="A1459" s="206" t="s">
        <v>1333</v>
      </c>
      <c r="B1459" s="13">
        <f ca="1">OFFSET('IWP30'!Std9dot1OutstandingChecks, 5, 4, 1, 1)</f>
        <v>0</v>
      </c>
      <c r="C1459" s="157">
        <f ca="1">IF(OFFSET('IWP30'!Std9dot1OutstandingChecks, 5, 5, 1, 1) = DATE(1900,1,0),DATE(1900,1,1),OFFSET('IWP30'!Std9dot1OutstandingChecks, 5, 5, 1, 1))</f>
        <v>1</v>
      </c>
      <c r="D1459" s="185">
        <f ca="1">OFFSET('IWP30'!Std9dot1OutstandingChecks, 5, 6, 1, 1)</f>
        <v>0</v>
      </c>
    </row>
    <row r="1460" spans="1:4">
      <c r="A1460" s="206" t="s">
        <v>1333</v>
      </c>
      <c r="B1460" s="13">
        <f ca="1">OFFSET('IWP30'!Std9dot1OutstandingChecks, 6, 4, 1, 1)</f>
        <v>0</v>
      </c>
      <c r="C1460" s="157">
        <f ca="1">IF(OFFSET('IWP30'!Std9dot1OutstandingChecks, 6, 5, 1, 1) = DATE(1900,1,0),DATE(1900,1,1),OFFSET('IWP30'!Std9dot1OutstandingChecks, 6, 5, 1, 1))</f>
        <v>1</v>
      </c>
      <c r="D1460" s="185">
        <f ca="1">OFFSET('IWP30'!Std9dot1OutstandingChecks, 6, 6, 1, 1)</f>
        <v>0</v>
      </c>
    </row>
    <row r="1461" spans="1:4">
      <c r="A1461" s="206" t="s">
        <v>1333</v>
      </c>
      <c r="B1461" s="13">
        <f ca="1">OFFSET('IWP30'!Std9dot1OutstandingChecks, 7, 4, 1, 1)</f>
        <v>0</v>
      </c>
      <c r="C1461" s="157">
        <f ca="1">IF(OFFSET('IWP30'!Std9dot1OutstandingChecks, 7, 5, 1, 1) = DATE(1900,1,0),DATE(1900,1,1),OFFSET('IWP30'!Std9dot1OutstandingChecks, 7, 5, 1, 1))</f>
        <v>1</v>
      </c>
      <c r="D1461" s="185">
        <f ca="1">OFFSET('IWP30'!Std9dot1OutstandingChecks, 7, 6, 1, 1)</f>
        <v>0</v>
      </c>
    </row>
    <row r="1462" spans="1:4">
      <c r="A1462" s="206" t="s">
        <v>1333</v>
      </c>
      <c r="B1462" s="13">
        <f ca="1">OFFSET('IWP30'!Std9dot1OutstandingChecks, 8, 4, 1, 1)</f>
        <v>0</v>
      </c>
      <c r="C1462" s="157">
        <f ca="1">IF(OFFSET('IWP30'!Std9dot1OutstandingChecks, 8, 5, 1, 1) = DATE(1900,1,0),DATE(1900,1,1),OFFSET('IWP30'!Std9dot1OutstandingChecks, 8, 5, 1, 1))</f>
        <v>1</v>
      </c>
      <c r="D1462" s="185">
        <f ca="1">OFFSET('IWP30'!Std9dot1OutstandingChecks, 8, 6, 1, 1)</f>
        <v>0</v>
      </c>
    </row>
    <row r="1463" spans="1:4" ht="15" thickBot="1">
      <c r="A1463" s="156" t="s">
        <v>1333</v>
      </c>
      <c r="B1463" s="172">
        <f ca="1">OFFSET('IWP30'!Std9dot1OutstandingChecks, 9, 4, 1, 1)</f>
        <v>0</v>
      </c>
      <c r="C1463" s="194">
        <f ca="1">IF(OFFSET('IWP30'!Std9dot1OutstandingChecks, 9, 5, 1, 1) = DATE(1900,1,0),DATE(1900,1,1),OFFSET('IWP30'!Std9dot1OutstandingChecks, 9, 5, 1, 1))</f>
        <v>1</v>
      </c>
      <c r="D1463" s="186">
        <f ca="1">OFFSET('IWP30'!Std9dot1OutstandingChecks, 9, 6, 1, 1)</f>
        <v>0</v>
      </c>
    </row>
    <row r="1465" spans="1:4" ht="15" thickBot="1">
      <c r="A1465" t="s">
        <v>1266</v>
      </c>
    </row>
    <row r="1466" spans="1:4" s="62" customFormat="1">
      <c r="A1466" s="153" t="s">
        <v>1057</v>
      </c>
      <c r="B1466" s="312" t="s">
        <v>1015</v>
      </c>
      <c r="C1466" s="311" t="s">
        <v>187</v>
      </c>
    </row>
    <row r="1467" spans="1:4">
      <c r="A1467" s="206" t="s">
        <v>1060</v>
      </c>
      <c r="B1467" s="157">
        <f ca="1">IF(OFFSET('IWP01'!Std9dot1DepositsInTransit, 0, 0, 1, 1) = DATE(1900,1,0),DATE(1900,1,1),OFFSET('IWP01'!Std9dot1DepositsInTransit, 0, 0, 1, 1))</f>
        <v>1</v>
      </c>
      <c r="C1467" s="185">
        <f ca="1">OFFSET('IWP01'!Std9dot1DepositsInTransit, 0, 1, 1, 1)</f>
        <v>0</v>
      </c>
    </row>
    <row r="1468" spans="1:4">
      <c r="A1468" s="206" t="s">
        <v>1060</v>
      </c>
      <c r="B1468" s="157">
        <f ca="1">IF(OFFSET('IWP01'!Std9dot1DepositsInTransit, 1, 0, 1, 1) = DATE(1900,1,0),DATE(1900,1,1),OFFSET('IWP01'!Std9dot1DepositsInTransit, 1, 0, 1, 1))</f>
        <v>1</v>
      </c>
      <c r="C1468" s="185">
        <f ca="1">OFFSET('IWP01'!Std9dot1DepositsInTransit, 1, 1, 1, 1)</f>
        <v>0</v>
      </c>
    </row>
    <row r="1469" spans="1:4">
      <c r="A1469" s="206" t="s">
        <v>1060</v>
      </c>
      <c r="B1469" s="157">
        <f ca="1">IF(OFFSET('IWP01'!Std9dot1DepositsInTransit, 2, 0, 1, 1) = DATE(1900,1,0),DATE(1900,1,1),OFFSET('IWP01'!Std9dot1DepositsInTransit, 2, 0, 1, 1))</f>
        <v>1</v>
      </c>
      <c r="C1469" s="185">
        <f ca="1">OFFSET('IWP01'!Std9dot1DepositsInTransit, 2, 1, 1, 1)</f>
        <v>0</v>
      </c>
    </row>
    <row r="1470" spans="1:4">
      <c r="A1470" s="206" t="s">
        <v>1060</v>
      </c>
      <c r="B1470" s="157">
        <f ca="1">IF(OFFSET('IWP01'!Std9dot1DepositsInTransit, 3, 0, 1, 1) = DATE(1900,1,0),DATE(1900,1,1),OFFSET('IWP01'!Std9dot1DepositsInTransit, 3, 0, 1, 1))</f>
        <v>1</v>
      </c>
      <c r="C1470" s="185">
        <f ca="1">OFFSET('IWP01'!Std9dot1DepositsInTransit, 3, 1, 1, 1)</f>
        <v>0</v>
      </c>
    </row>
    <row r="1471" spans="1:4">
      <c r="A1471" s="206" t="s">
        <v>1060</v>
      </c>
      <c r="B1471" s="157">
        <f ca="1">IF(OFFSET('IWP01'!Std9dot1DepositsInTransit, 4, 0, 1, 1) = DATE(1900,1,0),DATE(1900,1,1),OFFSET('IWP01'!Std9dot1DepositsInTransit, 4, 0, 1, 1))</f>
        <v>1</v>
      </c>
      <c r="C1471" s="185">
        <f ca="1">OFFSET('IWP01'!Std9dot1DepositsInTransit, 4, 1, 1, 1)</f>
        <v>0</v>
      </c>
    </row>
    <row r="1472" spans="1:4">
      <c r="A1472" s="206" t="s">
        <v>1060</v>
      </c>
      <c r="B1472" s="157">
        <f ca="1">IF(OFFSET('IWP01'!Std9dot1DepositsInTransit, 5, 0, 1, 1) = DATE(1900,1,0),DATE(1900,1,1),OFFSET('IWP01'!Std9dot1DepositsInTransit, 5, 0, 1, 1))</f>
        <v>1</v>
      </c>
      <c r="C1472" s="185">
        <f ca="1">OFFSET('IWP01'!Std9dot1DepositsInTransit, 5, 1, 1, 1)</f>
        <v>0</v>
      </c>
    </row>
    <row r="1473" spans="1:3">
      <c r="A1473" s="206" t="s">
        <v>1060</v>
      </c>
      <c r="B1473" s="157">
        <f ca="1">IF(OFFSET('IWP01'!Std9dot1DepositsInTransit, 6, 0, 1, 1) = DATE(1900,1,0),DATE(1900,1,1),OFFSET('IWP01'!Std9dot1DepositsInTransit, 6, 0, 1, 1))</f>
        <v>1</v>
      </c>
      <c r="C1473" s="185">
        <f ca="1">OFFSET('IWP01'!Std9dot1DepositsInTransit, 6, 1, 1, 1)</f>
        <v>0</v>
      </c>
    </row>
    <row r="1474" spans="1:3">
      <c r="A1474" s="206" t="s">
        <v>1060</v>
      </c>
      <c r="B1474" s="157">
        <f ca="1">IF(OFFSET('IWP01'!Std9dot1DepositsInTransit, 7, 0, 1, 1) = DATE(1900,1,0),DATE(1900,1,1),OFFSET('IWP01'!Std9dot1DepositsInTransit, 7, 0, 1, 1))</f>
        <v>1</v>
      </c>
      <c r="C1474" s="185">
        <f ca="1">OFFSET('IWP01'!Std9dot1DepositsInTransit, 7, 1, 1, 1)</f>
        <v>0</v>
      </c>
    </row>
    <row r="1475" spans="1:3">
      <c r="A1475" s="206" t="s">
        <v>1060</v>
      </c>
      <c r="B1475" s="157">
        <f ca="1">IF(OFFSET('IWP01'!Std9dot1DepositsInTransit, 8, 0, 1, 1) = DATE(1900,1,0),DATE(1900,1,1),OFFSET('IWP01'!Std9dot1DepositsInTransit, 8, 0, 1, 1))</f>
        <v>1</v>
      </c>
      <c r="C1475" s="185">
        <f ca="1">OFFSET('IWP01'!Std9dot1DepositsInTransit, 8, 1, 1, 1)</f>
        <v>0</v>
      </c>
    </row>
    <row r="1476" spans="1:3">
      <c r="A1476" s="206" t="s">
        <v>1060</v>
      </c>
      <c r="B1476" s="157">
        <f ca="1">IF(OFFSET('IWP01'!Std9dot1DepositsInTransit, 9, 0, 1, 1) = DATE(1900,1,0),DATE(1900,1,1),OFFSET('IWP01'!Std9dot1DepositsInTransit, 9, 0, 1, 1))</f>
        <v>1</v>
      </c>
      <c r="C1476" s="185">
        <f ca="1">OFFSET('IWP01'!Std9dot1DepositsInTransit, 9, 1, 1, 1)</f>
        <v>0</v>
      </c>
    </row>
    <row r="1477" spans="1:3">
      <c r="A1477" s="206" t="s">
        <v>1193</v>
      </c>
      <c r="B1477" s="157">
        <f ca="1">IF(OFFSET('IWP02'!Std9dot1DepositsInTransit, 0, 0, 1, 1) = DATE(1900,1,0),DATE(1900,1,1),OFFSET('IWP02'!Std9dot1DepositsInTransit, 0, 0, 1, 1))</f>
        <v>1</v>
      </c>
      <c r="C1477" s="185">
        <f ca="1">OFFSET('IWP02'!Std9dot1DepositsInTransit, 0, 1, 1, 1)</f>
        <v>0</v>
      </c>
    </row>
    <row r="1478" spans="1:3">
      <c r="A1478" s="206" t="s">
        <v>1193</v>
      </c>
      <c r="B1478" s="157">
        <f ca="1">IF(OFFSET('IWP02'!Std9dot1DepositsInTransit, 1, 0, 1, 1) = DATE(1900,1,0),DATE(1900,1,1),OFFSET('IWP02'!Std9dot1DepositsInTransit, 1, 0, 1, 1))</f>
        <v>1</v>
      </c>
      <c r="C1478" s="185">
        <f ca="1">OFFSET('IWP02'!Std9dot1DepositsInTransit, 1, 1, 1, 1)</f>
        <v>0</v>
      </c>
    </row>
    <row r="1479" spans="1:3">
      <c r="A1479" s="206" t="s">
        <v>1193</v>
      </c>
      <c r="B1479" s="157">
        <f ca="1">IF(OFFSET('IWP02'!Std9dot1DepositsInTransit, 2, 0, 1, 1) = DATE(1900,1,0),DATE(1900,1,1),OFFSET('IWP02'!Std9dot1DepositsInTransit, 2, 0, 1, 1))</f>
        <v>1</v>
      </c>
      <c r="C1479" s="185">
        <f ca="1">OFFSET('IWP02'!Std9dot1DepositsInTransit, 2, 1, 1, 1)</f>
        <v>0</v>
      </c>
    </row>
    <row r="1480" spans="1:3">
      <c r="A1480" s="206" t="s">
        <v>1193</v>
      </c>
      <c r="B1480" s="157">
        <f ca="1">IF(OFFSET('IWP02'!Std9dot1DepositsInTransit, 3, 0, 1, 1) = DATE(1900,1,0),DATE(1900,1,1),OFFSET('IWP02'!Std9dot1DepositsInTransit, 3, 0, 1, 1))</f>
        <v>1</v>
      </c>
      <c r="C1480" s="185">
        <f ca="1">OFFSET('IWP02'!Std9dot1DepositsInTransit, 3, 1, 1, 1)</f>
        <v>0</v>
      </c>
    </row>
    <row r="1481" spans="1:3">
      <c r="A1481" s="206" t="s">
        <v>1193</v>
      </c>
      <c r="B1481" s="157">
        <f ca="1">IF(OFFSET('IWP02'!Std9dot1DepositsInTransit, 4, 0, 1, 1) = DATE(1900,1,0),DATE(1900,1,1),OFFSET('IWP02'!Std9dot1DepositsInTransit, 4, 0, 1, 1))</f>
        <v>1</v>
      </c>
      <c r="C1481" s="185">
        <f ca="1">OFFSET('IWP02'!Std9dot1DepositsInTransit, 4, 1, 1, 1)</f>
        <v>0</v>
      </c>
    </row>
    <row r="1482" spans="1:3">
      <c r="A1482" s="206" t="s">
        <v>1193</v>
      </c>
      <c r="B1482" s="157">
        <f ca="1">IF(OFFSET('IWP02'!Std9dot1DepositsInTransit, 5, 0, 1, 1) = DATE(1900,1,0),DATE(1900,1,1),OFFSET('IWP02'!Std9dot1DepositsInTransit, 5, 0, 1, 1))</f>
        <v>1</v>
      </c>
      <c r="C1482" s="185">
        <f ca="1">OFFSET('IWP02'!Std9dot1DepositsInTransit, 5, 1, 1, 1)</f>
        <v>0</v>
      </c>
    </row>
    <row r="1483" spans="1:3">
      <c r="A1483" s="206" t="s">
        <v>1193</v>
      </c>
      <c r="B1483" s="157">
        <f ca="1">IF(OFFSET('IWP02'!Std9dot1DepositsInTransit, 6, 0, 1, 1) = DATE(1900,1,0),DATE(1900,1,1),OFFSET('IWP02'!Std9dot1DepositsInTransit, 6, 0, 1, 1))</f>
        <v>1</v>
      </c>
      <c r="C1483" s="185">
        <f ca="1">OFFSET('IWP02'!Std9dot1DepositsInTransit, 6, 1, 1, 1)</f>
        <v>0</v>
      </c>
    </row>
    <row r="1484" spans="1:3">
      <c r="A1484" s="206" t="s">
        <v>1193</v>
      </c>
      <c r="B1484" s="157">
        <f ca="1">IF(OFFSET('IWP02'!Std9dot1DepositsInTransit, 7, 0, 1, 1) = DATE(1900,1,0),DATE(1900,1,1),OFFSET('IWP02'!Std9dot1DepositsInTransit, 7, 0, 1, 1))</f>
        <v>1</v>
      </c>
      <c r="C1484" s="185">
        <f ca="1">OFFSET('IWP02'!Std9dot1DepositsInTransit, 7, 1, 1, 1)</f>
        <v>0</v>
      </c>
    </row>
    <row r="1485" spans="1:3">
      <c r="A1485" s="206" t="s">
        <v>1193</v>
      </c>
      <c r="B1485" s="157">
        <f ca="1">IF(OFFSET('IWP02'!Std9dot1DepositsInTransit, 8, 0, 1, 1) = DATE(1900,1,0),DATE(1900,1,1),OFFSET('IWP02'!Std9dot1DepositsInTransit, 8, 0, 1, 1))</f>
        <v>1</v>
      </c>
      <c r="C1485" s="185">
        <f ca="1">OFFSET('IWP02'!Std9dot1DepositsInTransit, 8, 1, 1, 1)</f>
        <v>0</v>
      </c>
    </row>
    <row r="1486" spans="1:3">
      <c r="A1486" s="206" t="s">
        <v>1193</v>
      </c>
      <c r="B1486" s="157">
        <f ca="1">IF(OFFSET('IWP02'!Std9dot1DepositsInTransit, 9, 0, 1, 1) = DATE(1900,1,0),DATE(1900,1,1),OFFSET('IWP02'!Std9dot1DepositsInTransit, 9, 0, 1, 1))</f>
        <v>1</v>
      </c>
      <c r="C1486" s="185">
        <f ca="1">OFFSET('IWP02'!Std9dot1DepositsInTransit, 9, 1, 1, 1)</f>
        <v>0</v>
      </c>
    </row>
    <row r="1487" spans="1:3">
      <c r="A1487" s="206" t="s">
        <v>1194</v>
      </c>
      <c r="B1487" s="157">
        <f ca="1">IF(OFFSET('IWP03'!Std9dot1DepositsInTransit, 0, 0, 1, 1) = DATE(1900,1,0),DATE(1900,1,1),OFFSET('IWP03'!Std9dot1DepositsInTransit, 0, 0, 1, 1))</f>
        <v>1</v>
      </c>
      <c r="C1487" s="185">
        <f ca="1">OFFSET('IWP03'!Std9dot1DepositsInTransit, 0, 1, 1, 1)</f>
        <v>0</v>
      </c>
    </row>
    <row r="1488" spans="1:3">
      <c r="A1488" s="206" t="s">
        <v>1194</v>
      </c>
      <c r="B1488" s="157">
        <f ca="1">IF(OFFSET('IWP03'!Std9dot1DepositsInTransit, 1, 0, 1, 1) = DATE(1900,1,0),DATE(1900,1,1),OFFSET('IWP03'!Std9dot1DepositsInTransit, 1, 0, 1, 1))</f>
        <v>1</v>
      </c>
      <c r="C1488" s="185">
        <f ca="1">OFFSET('IWP03'!Std9dot1DepositsInTransit, 1, 1, 1, 1)</f>
        <v>0</v>
      </c>
    </row>
    <row r="1489" spans="1:3">
      <c r="A1489" s="206" t="s">
        <v>1194</v>
      </c>
      <c r="B1489" s="157">
        <f ca="1">IF(OFFSET('IWP03'!Std9dot1DepositsInTransit, 2, 0, 1, 1) = DATE(1900,1,0),DATE(1900,1,1),OFFSET('IWP03'!Std9dot1DepositsInTransit, 2, 0, 1, 1))</f>
        <v>1</v>
      </c>
      <c r="C1489" s="185">
        <f ca="1">OFFSET('IWP03'!Std9dot1DepositsInTransit, 2, 1, 1, 1)</f>
        <v>0</v>
      </c>
    </row>
    <row r="1490" spans="1:3">
      <c r="A1490" s="206" t="s">
        <v>1194</v>
      </c>
      <c r="B1490" s="157">
        <f ca="1">IF(OFFSET('IWP03'!Std9dot1DepositsInTransit, 3, 0, 1, 1) = DATE(1900,1,0),DATE(1900,1,1),OFFSET('IWP03'!Std9dot1DepositsInTransit, 3, 0, 1, 1))</f>
        <v>1</v>
      </c>
      <c r="C1490" s="185">
        <f ca="1">OFFSET('IWP03'!Std9dot1DepositsInTransit, 3, 1, 1, 1)</f>
        <v>0</v>
      </c>
    </row>
    <row r="1491" spans="1:3">
      <c r="A1491" s="206" t="s">
        <v>1194</v>
      </c>
      <c r="B1491" s="157">
        <f ca="1">IF(OFFSET('IWP03'!Std9dot1DepositsInTransit, 4, 0, 1, 1) = DATE(1900,1,0),DATE(1900,1,1),OFFSET('IWP03'!Std9dot1DepositsInTransit, 4, 0, 1, 1))</f>
        <v>1</v>
      </c>
      <c r="C1491" s="185">
        <f ca="1">OFFSET('IWP03'!Std9dot1DepositsInTransit, 4, 1, 1, 1)</f>
        <v>0</v>
      </c>
    </row>
    <row r="1492" spans="1:3">
      <c r="A1492" s="206" t="s">
        <v>1194</v>
      </c>
      <c r="B1492" s="157">
        <f ca="1">IF(OFFSET('IWP03'!Std9dot1DepositsInTransit, 5, 0, 1, 1) = DATE(1900,1,0),DATE(1900,1,1),OFFSET('IWP03'!Std9dot1DepositsInTransit, 5, 0, 1, 1))</f>
        <v>1</v>
      </c>
      <c r="C1492" s="185">
        <f ca="1">OFFSET('IWP03'!Std9dot1DepositsInTransit, 5, 1, 1, 1)</f>
        <v>0</v>
      </c>
    </row>
    <row r="1493" spans="1:3">
      <c r="A1493" s="206" t="s">
        <v>1194</v>
      </c>
      <c r="B1493" s="157">
        <f ca="1">IF(OFFSET('IWP03'!Std9dot1DepositsInTransit, 6, 0, 1, 1) = DATE(1900,1,0),DATE(1900,1,1),OFFSET('IWP03'!Std9dot1DepositsInTransit, 6, 0, 1, 1))</f>
        <v>1</v>
      </c>
      <c r="C1493" s="185">
        <f ca="1">OFFSET('IWP03'!Std9dot1DepositsInTransit, 6, 1, 1, 1)</f>
        <v>0</v>
      </c>
    </row>
    <row r="1494" spans="1:3">
      <c r="A1494" s="206" t="s">
        <v>1194</v>
      </c>
      <c r="B1494" s="157">
        <f ca="1">IF(OFFSET('IWP03'!Std9dot1DepositsInTransit, 7, 0, 1, 1) = DATE(1900,1,0),DATE(1900,1,1),OFFSET('IWP03'!Std9dot1DepositsInTransit, 7, 0, 1, 1))</f>
        <v>1</v>
      </c>
      <c r="C1494" s="185">
        <f ca="1">OFFSET('IWP03'!Std9dot1DepositsInTransit, 7, 1, 1, 1)</f>
        <v>0</v>
      </c>
    </row>
    <row r="1495" spans="1:3">
      <c r="A1495" s="206" t="s">
        <v>1194</v>
      </c>
      <c r="B1495" s="157">
        <f ca="1">IF(OFFSET('IWP03'!Std9dot1DepositsInTransit, 8, 0, 1, 1) = DATE(1900,1,0),DATE(1900,1,1),OFFSET('IWP03'!Std9dot1DepositsInTransit, 8, 0, 1, 1))</f>
        <v>1</v>
      </c>
      <c r="C1495" s="185">
        <f ca="1">OFFSET('IWP03'!Std9dot1DepositsInTransit, 8, 1, 1, 1)</f>
        <v>0</v>
      </c>
    </row>
    <row r="1496" spans="1:3">
      <c r="A1496" s="206" t="s">
        <v>1194</v>
      </c>
      <c r="B1496" s="157">
        <f ca="1">IF(OFFSET('IWP03'!Std9dot1DepositsInTransit, 9, 0, 1, 1) = DATE(1900,1,0),DATE(1900,1,1),OFFSET('IWP03'!Std9dot1DepositsInTransit, 9, 0, 1, 1))</f>
        <v>1</v>
      </c>
      <c r="C1496" s="185">
        <f ca="1">OFFSET('IWP03'!Std9dot1DepositsInTransit, 9, 1, 1, 1)</f>
        <v>0</v>
      </c>
    </row>
    <row r="1497" spans="1:3">
      <c r="A1497" s="206" t="s">
        <v>1307</v>
      </c>
      <c r="B1497" s="157">
        <f ca="1">IF(OFFSET('IWP04'!Std9dot1DepositsInTransit, 0, 0, 1, 1) = DATE(1900,1,0),DATE(1900,1,1),OFFSET('IWP04'!Std9dot1DepositsInTransit, 0, 0, 1, 1))</f>
        <v>1</v>
      </c>
      <c r="C1497" s="185">
        <f ca="1">OFFSET('IWP04'!Std9dot1DepositsInTransit, 0, 1, 1, 1)</f>
        <v>0</v>
      </c>
    </row>
    <row r="1498" spans="1:3">
      <c r="A1498" s="206" t="s">
        <v>1307</v>
      </c>
      <c r="B1498" s="157">
        <f ca="1">IF(OFFSET('IWP04'!Std9dot1DepositsInTransit, 1, 0, 1, 1) = DATE(1900,1,0),DATE(1900,1,1),OFFSET('IWP04'!Std9dot1DepositsInTransit, 1, 0, 1, 1))</f>
        <v>1</v>
      </c>
      <c r="C1498" s="185">
        <f ca="1">OFFSET('IWP04'!Std9dot1DepositsInTransit, 1, 1, 1, 1)</f>
        <v>0</v>
      </c>
    </row>
    <row r="1499" spans="1:3">
      <c r="A1499" s="206" t="s">
        <v>1307</v>
      </c>
      <c r="B1499" s="157">
        <f ca="1">IF(OFFSET('IWP04'!Std9dot1DepositsInTransit, 2, 0, 1, 1) = DATE(1900,1,0),DATE(1900,1,1),OFFSET('IWP04'!Std9dot1DepositsInTransit, 2, 0, 1, 1))</f>
        <v>1</v>
      </c>
      <c r="C1499" s="185">
        <f ca="1">OFFSET('IWP04'!Std9dot1DepositsInTransit, 2, 1, 1, 1)</f>
        <v>0</v>
      </c>
    </row>
    <row r="1500" spans="1:3">
      <c r="A1500" s="206" t="s">
        <v>1307</v>
      </c>
      <c r="B1500" s="157">
        <f ca="1">IF(OFFSET('IWP04'!Std9dot1DepositsInTransit, 3, 0, 1, 1) = DATE(1900,1,0),DATE(1900,1,1),OFFSET('IWP04'!Std9dot1DepositsInTransit, 3, 0, 1, 1))</f>
        <v>1</v>
      </c>
      <c r="C1500" s="185">
        <f ca="1">OFFSET('IWP04'!Std9dot1DepositsInTransit, 3, 1, 1, 1)</f>
        <v>0</v>
      </c>
    </row>
    <row r="1501" spans="1:3">
      <c r="A1501" s="206" t="s">
        <v>1307</v>
      </c>
      <c r="B1501" s="157">
        <f ca="1">IF(OFFSET('IWP04'!Std9dot1DepositsInTransit, 4, 0, 1, 1) = DATE(1900,1,0),DATE(1900,1,1),OFFSET('IWP04'!Std9dot1DepositsInTransit, 4, 0, 1, 1))</f>
        <v>1</v>
      </c>
      <c r="C1501" s="185">
        <f ca="1">OFFSET('IWP04'!Std9dot1DepositsInTransit, 4, 1, 1, 1)</f>
        <v>0</v>
      </c>
    </row>
    <row r="1502" spans="1:3">
      <c r="A1502" s="206" t="s">
        <v>1307</v>
      </c>
      <c r="B1502" s="157">
        <f ca="1">IF(OFFSET('IWP04'!Std9dot1DepositsInTransit, 5, 0, 1, 1) = DATE(1900,1,0),DATE(1900,1,1),OFFSET('IWP04'!Std9dot1DepositsInTransit, 5, 0, 1, 1))</f>
        <v>1</v>
      </c>
      <c r="C1502" s="185">
        <f ca="1">OFFSET('IWP04'!Std9dot1DepositsInTransit, 5, 1, 1, 1)</f>
        <v>0</v>
      </c>
    </row>
    <row r="1503" spans="1:3">
      <c r="A1503" s="206" t="s">
        <v>1307</v>
      </c>
      <c r="B1503" s="157">
        <f ca="1">IF(OFFSET('IWP04'!Std9dot1DepositsInTransit, 6, 0, 1, 1) = DATE(1900,1,0),DATE(1900,1,1),OFFSET('IWP04'!Std9dot1DepositsInTransit, 6, 0, 1, 1))</f>
        <v>1</v>
      </c>
      <c r="C1503" s="185">
        <f ca="1">OFFSET('IWP04'!Std9dot1DepositsInTransit, 6, 1, 1, 1)</f>
        <v>0</v>
      </c>
    </row>
    <row r="1504" spans="1:3">
      <c r="A1504" s="206" t="s">
        <v>1307</v>
      </c>
      <c r="B1504" s="157">
        <f ca="1">IF(OFFSET('IWP04'!Std9dot1DepositsInTransit, 7, 0, 1, 1) = DATE(1900,1,0),DATE(1900,1,1),OFFSET('IWP04'!Std9dot1DepositsInTransit, 7, 0, 1, 1))</f>
        <v>1</v>
      </c>
      <c r="C1504" s="185">
        <f ca="1">OFFSET('IWP04'!Std9dot1DepositsInTransit, 7, 1, 1, 1)</f>
        <v>0</v>
      </c>
    </row>
    <row r="1505" spans="1:3">
      <c r="A1505" s="206" t="s">
        <v>1307</v>
      </c>
      <c r="B1505" s="157">
        <f ca="1">IF(OFFSET('IWP04'!Std9dot1DepositsInTransit, 8, 0, 1, 1) = DATE(1900,1,0),DATE(1900,1,1),OFFSET('IWP04'!Std9dot1DepositsInTransit, 8, 0, 1, 1))</f>
        <v>1</v>
      </c>
      <c r="C1505" s="185">
        <f ca="1">OFFSET('IWP04'!Std9dot1DepositsInTransit, 8, 1, 1, 1)</f>
        <v>0</v>
      </c>
    </row>
    <row r="1506" spans="1:3">
      <c r="A1506" s="206" t="s">
        <v>1307</v>
      </c>
      <c r="B1506" s="157">
        <f ca="1">IF(OFFSET('IWP04'!Std9dot1DepositsInTransit, 9, 0, 1, 1) = DATE(1900,1,0),DATE(1900,1,1),OFFSET('IWP04'!Std9dot1DepositsInTransit, 9, 0, 1, 1))</f>
        <v>1</v>
      </c>
      <c r="C1506" s="185">
        <f ca="1">OFFSET('IWP04'!Std9dot1DepositsInTransit, 9, 1, 1, 1)</f>
        <v>0</v>
      </c>
    </row>
    <row r="1507" spans="1:3">
      <c r="A1507" s="206" t="s">
        <v>1308</v>
      </c>
      <c r="B1507" s="157">
        <f ca="1">IF(OFFSET('IWP05'!Std9dot1DepositsInTransit, 0, 0, 1, 1) = DATE(1900,1,0),DATE(1900,1,1),OFFSET('IWP05'!Std9dot1DepositsInTransit, 0, 0, 1, 1))</f>
        <v>1</v>
      </c>
      <c r="C1507" s="185">
        <f ca="1">OFFSET('IWP05'!Std9dot1DepositsInTransit, 0, 1, 1, 1)</f>
        <v>0</v>
      </c>
    </row>
    <row r="1508" spans="1:3">
      <c r="A1508" s="206" t="s">
        <v>1308</v>
      </c>
      <c r="B1508" s="157">
        <f ca="1">IF(OFFSET('IWP05'!Std9dot1DepositsInTransit, 1, 0, 1, 1) = DATE(1900,1,0),DATE(1900,1,1),OFFSET('IWP05'!Std9dot1DepositsInTransit, 1, 0, 1, 1))</f>
        <v>1</v>
      </c>
      <c r="C1508" s="185">
        <f ca="1">OFFSET('IWP05'!Std9dot1DepositsInTransit, 1, 1, 1, 1)</f>
        <v>0</v>
      </c>
    </row>
    <row r="1509" spans="1:3">
      <c r="A1509" s="206" t="s">
        <v>1308</v>
      </c>
      <c r="B1509" s="157">
        <f ca="1">IF(OFFSET('IWP05'!Std9dot1DepositsInTransit, 2, 0, 1, 1) = DATE(1900,1,0),DATE(1900,1,1),OFFSET('IWP05'!Std9dot1DepositsInTransit, 2, 0, 1, 1))</f>
        <v>1</v>
      </c>
      <c r="C1509" s="185">
        <f ca="1">OFFSET('IWP05'!Std9dot1DepositsInTransit, 2, 1, 1, 1)</f>
        <v>0</v>
      </c>
    </row>
    <row r="1510" spans="1:3">
      <c r="A1510" s="206" t="s">
        <v>1308</v>
      </c>
      <c r="B1510" s="157">
        <f ca="1">IF(OFFSET('IWP05'!Std9dot1DepositsInTransit, 3, 0, 1, 1) = DATE(1900,1,0),DATE(1900,1,1),OFFSET('IWP05'!Std9dot1DepositsInTransit, 3, 0, 1, 1))</f>
        <v>1</v>
      </c>
      <c r="C1510" s="185">
        <f ca="1">OFFSET('IWP05'!Std9dot1DepositsInTransit, 3, 1, 1, 1)</f>
        <v>0</v>
      </c>
    </row>
    <row r="1511" spans="1:3">
      <c r="A1511" s="206" t="s">
        <v>1308</v>
      </c>
      <c r="B1511" s="157">
        <f ca="1">IF(OFFSET('IWP05'!Std9dot1DepositsInTransit, 4, 0, 1, 1) = DATE(1900,1,0),DATE(1900,1,1),OFFSET('IWP05'!Std9dot1DepositsInTransit, 4, 0, 1, 1))</f>
        <v>1</v>
      </c>
      <c r="C1511" s="185">
        <f ca="1">OFFSET('IWP05'!Std9dot1DepositsInTransit, 4, 1, 1, 1)</f>
        <v>0</v>
      </c>
    </row>
    <row r="1512" spans="1:3">
      <c r="A1512" s="206" t="s">
        <v>1308</v>
      </c>
      <c r="B1512" s="157">
        <f ca="1">IF(OFFSET('IWP05'!Std9dot1DepositsInTransit, 5, 0, 1, 1) = DATE(1900,1,0),DATE(1900,1,1),OFFSET('IWP05'!Std9dot1DepositsInTransit, 5, 0, 1, 1))</f>
        <v>1</v>
      </c>
      <c r="C1512" s="185">
        <f ca="1">OFFSET('IWP05'!Std9dot1DepositsInTransit, 5, 1, 1, 1)</f>
        <v>0</v>
      </c>
    </row>
    <row r="1513" spans="1:3">
      <c r="A1513" s="206" t="s">
        <v>1308</v>
      </c>
      <c r="B1513" s="157">
        <f ca="1">IF(OFFSET('IWP05'!Std9dot1DepositsInTransit, 6, 0, 1, 1) = DATE(1900,1,0),DATE(1900,1,1),OFFSET('IWP05'!Std9dot1DepositsInTransit, 6, 0, 1, 1))</f>
        <v>1</v>
      </c>
      <c r="C1513" s="185">
        <f ca="1">OFFSET('IWP05'!Std9dot1DepositsInTransit, 6, 1, 1, 1)</f>
        <v>0</v>
      </c>
    </row>
    <row r="1514" spans="1:3">
      <c r="A1514" s="206" t="s">
        <v>1308</v>
      </c>
      <c r="B1514" s="157">
        <f ca="1">IF(OFFSET('IWP05'!Std9dot1DepositsInTransit, 7, 0, 1, 1) = DATE(1900,1,0),DATE(1900,1,1),OFFSET('IWP05'!Std9dot1DepositsInTransit, 7, 0, 1, 1))</f>
        <v>1</v>
      </c>
      <c r="C1514" s="185">
        <f ca="1">OFFSET('IWP05'!Std9dot1DepositsInTransit, 7, 1, 1, 1)</f>
        <v>0</v>
      </c>
    </row>
    <row r="1515" spans="1:3">
      <c r="A1515" s="206" t="s">
        <v>1308</v>
      </c>
      <c r="B1515" s="157">
        <f ca="1">IF(OFFSET('IWP05'!Std9dot1DepositsInTransit, 8, 0, 1, 1) = DATE(1900,1,0),DATE(1900,1,1),OFFSET('IWP05'!Std9dot1DepositsInTransit, 8, 0, 1, 1))</f>
        <v>1</v>
      </c>
      <c r="C1515" s="185">
        <f ca="1">OFFSET('IWP05'!Std9dot1DepositsInTransit, 8, 1, 1, 1)</f>
        <v>0</v>
      </c>
    </row>
    <row r="1516" spans="1:3">
      <c r="A1516" s="206" t="s">
        <v>1308</v>
      </c>
      <c r="B1516" s="157">
        <f ca="1">IF(OFFSET('IWP05'!Std9dot1DepositsInTransit, 9, 0, 1, 1) = DATE(1900,1,0),DATE(1900,1,1),OFFSET('IWP05'!Std9dot1DepositsInTransit, 9, 0, 1, 1))</f>
        <v>1</v>
      </c>
      <c r="C1516" s="185">
        <f ca="1">OFFSET('IWP05'!Std9dot1DepositsInTransit, 9, 1, 1, 1)</f>
        <v>0</v>
      </c>
    </row>
    <row r="1517" spans="1:3">
      <c r="A1517" s="206" t="s">
        <v>1309</v>
      </c>
      <c r="B1517" s="157">
        <f ca="1">IF(OFFSET('IWP06'!Std9dot1DepositsInTransit, 0, 0, 1, 1) = DATE(1900,1,0),DATE(1900,1,1),OFFSET('IWP06'!Std9dot1DepositsInTransit, 0, 0, 1, 1))</f>
        <v>1</v>
      </c>
      <c r="C1517" s="185">
        <f ca="1">OFFSET('IWP06'!Std9dot1DepositsInTransit, 0, 1, 1, 1)</f>
        <v>0</v>
      </c>
    </row>
    <row r="1518" spans="1:3">
      <c r="A1518" s="206" t="s">
        <v>1309</v>
      </c>
      <c r="B1518" s="157">
        <f ca="1">IF(OFFSET('IWP06'!Std9dot1DepositsInTransit, 1, 0, 1, 1) = DATE(1900,1,0),DATE(1900,1,1),OFFSET('IWP06'!Std9dot1DepositsInTransit, 1, 0, 1, 1))</f>
        <v>1</v>
      </c>
      <c r="C1518" s="185">
        <f ca="1">OFFSET('IWP06'!Std9dot1DepositsInTransit, 1, 1, 1, 1)</f>
        <v>0</v>
      </c>
    </row>
    <row r="1519" spans="1:3">
      <c r="A1519" s="206" t="s">
        <v>1309</v>
      </c>
      <c r="B1519" s="157">
        <f ca="1">IF(OFFSET('IWP06'!Std9dot1DepositsInTransit, 2, 0, 1, 1) = DATE(1900,1,0),DATE(1900,1,1),OFFSET('IWP06'!Std9dot1DepositsInTransit, 2, 0, 1, 1))</f>
        <v>1</v>
      </c>
      <c r="C1519" s="185">
        <f ca="1">OFFSET('IWP06'!Std9dot1DepositsInTransit, 2, 1, 1, 1)</f>
        <v>0</v>
      </c>
    </row>
    <row r="1520" spans="1:3">
      <c r="A1520" s="206" t="s">
        <v>1309</v>
      </c>
      <c r="B1520" s="157">
        <f ca="1">IF(OFFSET('IWP06'!Std9dot1DepositsInTransit, 3, 0, 1, 1) = DATE(1900,1,0),DATE(1900,1,1),OFFSET('IWP06'!Std9dot1DepositsInTransit, 3, 0, 1, 1))</f>
        <v>1</v>
      </c>
      <c r="C1520" s="185">
        <f ca="1">OFFSET('IWP06'!Std9dot1DepositsInTransit, 3, 1, 1, 1)</f>
        <v>0</v>
      </c>
    </row>
    <row r="1521" spans="1:3">
      <c r="A1521" s="206" t="s">
        <v>1309</v>
      </c>
      <c r="B1521" s="157">
        <f ca="1">IF(OFFSET('IWP06'!Std9dot1DepositsInTransit, 4, 0, 1, 1) = DATE(1900,1,0),DATE(1900,1,1),OFFSET('IWP06'!Std9dot1DepositsInTransit, 4, 0, 1, 1))</f>
        <v>1</v>
      </c>
      <c r="C1521" s="185">
        <f ca="1">OFFSET('IWP06'!Std9dot1DepositsInTransit, 4, 1, 1, 1)</f>
        <v>0</v>
      </c>
    </row>
    <row r="1522" spans="1:3">
      <c r="A1522" s="206" t="s">
        <v>1309</v>
      </c>
      <c r="B1522" s="157">
        <f ca="1">IF(OFFSET('IWP06'!Std9dot1DepositsInTransit, 5, 0, 1, 1) = DATE(1900,1,0),DATE(1900,1,1),OFFSET('IWP06'!Std9dot1DepositsInTransit, 5, 0, 1, 1))</f>
        <v>1</v>
      </c>
      <c r="C1522" s="185">
        <f ca="1">OFFSET('IWP06'!Std9dot1DepositsInTransit, 5, 1, 1, 1)</f>
        <v>0</v>
      </c>
    </row>
    <row r="1523" spans="1:3">
      <c r="A1523" s="206" t="s">
        <v>1309</v>
      </c>
      <c r="B1523" s="157">
        <f ca="1">IF(OFFSET('IWP06'!Std9dot1DepositsInTransit, 6, 0, 1, 1) = DATE(1900,1,0),DATE(1900,1,1),OFFSET('IWP06'!Std9dot1DepositsInTransit, 6, 0, 1, 1))</f>
        <v>1</v>
      </c>
      <c r="C1523" s="185">
        <f ca="1">OFFSET('IWP06'!Std9dot1DepositsInTransit, 6, 1, 1, 1)</f>
        <v>0</v>
      </c>
    </row>
    <row r="1524" spans="1:3">
      <c r="A1524" s="206" t="s">
        <v>1309</v>
      </c>
      <c r="B1524" s="157">
        <f ca="1">IF(OFFSET('IWP06'!Std9dot1DepositsInTransit, 7, 0, 1, 1) = DATE(1900,1,0),DATE(1900,1,1),OFFSET('IWP06'!Std9dot1DepositsInTransit, 7, 0, 1, 1))</f>
        <v>1</v>
      </c>
      <c r="C1524" s="185">
        <f ca="1">OFFSET('IWP06'!Std9dot1DepositsInTransit, 7, 1, 1, 1)</f>
        <v>0</v>
      </c>
    </row>
    <row r="1525" spans="1:3">
      <c r="A1525" s="206" t="s">
        <v>1309</v>
      </c>
      <c r="B1525" s="157">
        <f ca="1">IF(OFFSET('IWP06'!Std9dot1DepositsInTransit, 8, 0, 1, 1) = DATE(1900,1,0),DATE(1900,1,1),OFFSET('IWP06'!Std9dot1DepositsInTransit, 8, 0, 1, 1))</f>
        <v>1</v>
      </c>
      <c r="C1525" s="185">
        <f ca="1">OFFSET('IWP06'!Std9dot1DepositsInTransit, 8, 1, 1, 1)</f>
        <v>0</v>
      </c>
    </row>
    <row r="1526" spans="1:3">
      <c r="A1526" s="206" t="s">
        <v>1309</v>
      </c>
      <c r="B1526" s="157">
        <f ca="1">IF(OFFSET('IWP06'!Std9dot1DepositsInTransit, 9, 0, 1, 1) = DATE(1900,1,0),DATE(1900,1,1),OFFSET('IWP06'!Std9dot1DepositsInTransit, 9, 0, 1, 1))</f>
        <v>1</v>
      </c>
      <c r="C1526" s="185">
        <f ca="1">OFFSET('IWP06'!Std9dot1DepositsInTransit, 9, 1, 1, 1)</f>
        <v>0</v>
      </c>
    </row>
    <row r="1527" spans="1:3">
      <c r="A1527" s="206" t="s">
        <v>1310</v>
      </c>
      <c r="B1527" s="157">
        <f ca="1">IF(OFFSET('IWP07'!Std9dot1DepositsInTransit, 0, 0, 1, 1) = DATE(1900,1,0),DATE(1900,1,1),OFFSET('IWP07'!Std9dot1DepositsInTransit, 0, 0, 1, 1))</f>
        <v>1</v>
      </c>
      <c r="C1527" s="185">
        <f ca="1">OFFSET('IWP07'!Std9dot1DepositsInTransit, 0, 1, 1, 1)</f>
        <v>0</v>
      </c>
    </row>
    <row r="1528" spans="1:3">
      <c r="A1528" s="206" t="s">
        <v>1310</v>
      </c>
      <c r="B1528" s="157">
        <f ca="1">IF(OFFSET('IWP07'!Std9dot1DepositsInTransit, 1, 0, 1, 1) = DATE(1900,1,0),DATE(1900,1,1),OFFSET('IWP07'!Std9dot1DepositsInTransit, 1, 0, 1, 1))</f>
        <v>1</v>
      </c>
      <c r="C1528" s="185">
        <f ca="1">OFFSET('IWP07'!Std9dot1DepositsInTransit, 1, 1, 1, 1)</f>
        <v>0</v>
      </c>
    </row>
    <row r="1529" spans="1:3">
      <c r="A1529" s="206" t="s">
        <v>1310</v>
      </c>
      <c r="B1529" s="157">
        <f ca="1">IF(OFFSET('IWP07'!Std9dot1DepositsInTransit, 2, 0, 1, 1) = DATE(1900,1,0),DATE(1900,1,1),OFFSET('IWP07'!Std9dot1DepositsInTransit, 2, 0, 1, 1))</f>
        <v>1</v>
      </c>
      <c r="C1529" s="185">
        <f ca="1">OFFSET('IWP07'!Std9dot1DepositsInTransit, 2, 1, 1, 1)</f>
        <v>0</v>
      </c>
    </row>
    <row r="1530" spans="1:3">
      <c r="A1530" s="206" t="s">
        <v>1310</v>
      </c>
      <c r="B1530" s="157">
        <f ca="1">IF(OFFSET('IWP07'!Std9dot1DepositsInTransit, 3, 0, 1, 1) = DATE(1900,1,0),DATE(1900,1,1),OFFSET('IWP07'!Std9dot1DepositsInTransit, 3, 0, 1, 1))</f>
        <v>1</v>
      </c>
      <c r="C1530" s="185">
        <f ca="1">OFFSET('IWP07'!Std9dot1DepositsInTransit, 3, 1, 1, 1)</f>
        <v>0</v>
      </c>
    </row>
    <row r="1531" spans="1:3">
      <c r="A1531" s="206" t="s">
        <v>1310</v>
      </c>
      <c r="B1531" s="157">
        <f ca="1">IF(OFFSET('IWP07'!Std9dot1DepositsInTransit, 4, 0, 1, 1) = DATE(1900,1,0),DATE(1900,1,1),OFFSET('IWP07'!Std9dot1DepositsInTransit, 4, 0, 1, 1))</f>
        <v>1</v>
      </c>
      <c r="C1531" s="185">
        <f ca="1">OFFSET('IWP07'!Std9dot1DepositsInTransit, 4, 1, 1, 1)</f>
        <v>0</v>
      </c>
    </row>
    <row r="1532" spans="1:3">
      <c r="A1532" s="206" t="s">
        <v>1310</v>
      </c>
      <c r="B1532" s="157">
        <f ca="1">IF(OFFSET('IWP07'!Std9dot1DepositsInTransit, 5, 0, 1, 1) = DATE(1900,1,0),DATE(1900,1,1),OFFSET('IWP07'!Std9dot1DepositsInTransit, 5, 0, 1, 1))</f>
        <v>1</v>
      </c>
      <c r="C1532" s="185">
        <f ca="1">OFFSET('IWP07'!Std9dot1DepositsInTransit, 5, 1, 1, 1)</f>
        <v>0</v>
      </c>
    </row>
    <row r="1533" spans="1:3">
      <c r="A1533" s="206" t="s">
        <v>1310</v>
      </c>
      <c r="B1533" s="157">
        <f ca="1">IF(OFFSET('IWP07'!Std9dot1DepositsInTransit, 6, 0, 1, 1) = DATE(1900,1,0),DATE(1900,1,1),OFFSET('IWP07'!Std9dot1DepositsInTransit, 6, 0, 1, 1))</f>
        <v>1</v>
      </c>
      <c r="C1533" s="185">
        <f ca="1">OFFSET('IWP07'!Std9dot1DepositsInTransit, 6, 1, 1, 1)</f>
        <v>0</v>
      </c>
    </row>
    <row r="1534" spans="1:3">
      <c r="A1534" s="206" t="s">
        <v>1310</v>
      </c>
      <c r="B1534" s="157">
        <f ca="1">IF(OFFSET('IWP07'!Std9dot1DepositsInTransit, 7, 0, 1, 1) = DATE(1900,1,0),DATE(1900,1,1),OFFSET('IWP07'!Std9dot1DepositsInTransit, 7, 0, 1, 1))</f>
        <v>1</v>
      </c>
      <c r="C1534" s="185">
        <f ca="1">OFFSET('IWP07'!Std9dot1DepositsInTransit, 7, 1, 1, 1)</f>
        <v>0</v>
      </c>
    </row>
    <row r="1535" spans="1:3">
      <c r="A1535" s="206" t="s">
        <v>1310</v>
      </c>
      <c r="B1535" s="157">
        <f ca="1">IF(OFFSET('IWP07'!Std9dot1DepositsInTransit, 8, 0, 1, 1) = DATE(1900,1,0),DATE(1900,1,1),OFFSET('IWP07'!Std9dot1DepositsInTransit, 8, 0, 1, 1))</f>
        <v>1</v>
      </c>
      <c r="C1535" s="185">
        <f ca="1">OFFSET('IWP07'!Std9dot1DepositsInTransit, 8, 1, 1, 1)</f>
        <v>0</v>
      </c>
    </row>
    <row r="1536" spans="1:3">
      <c r="A1536" s="206" t="s">
        <v>1310</v>
      </c>
      <c r="B1536" s="157">
        <f ca="1">IF(OFFSET('IWP07'!Std9dot1DepositsInTransit, 9, 0, 1, 1) = DATE(1900,1,0),DATE(1900,1,1),OFFSET('IWP07'!Std9dot1DepositsInTransit, 9, 0, 1, 1))</f>
        <v>1</v>
      </c>
      <c r="C1536" s="185">
        <f ca="1">OFFSET('IWP07'!Std9dot1DepositsInTransit, 9, 1, 1, 1)</f>
        <v>0</v>
      </c>
    </row>
    <row r="1537" spans="1:3">
      <c r="A1537" s="206" t="s">
        <v>1311</v>
      </c>
      <c r="B1537" s="157">
        <f ca="1">IF(OFFSET('IWP08'!Std9dot1DepositsInTransit, 0, 0, 1, 1) = DATE(1900,1,0),DATE(1900,1,1),OFFSET('IWP08'!Std9dot1DepositsInTransit, 0, 0, 1, 1))</f>
        <v>1</v>
      </c>
      <c r="C1537" s="185">
        <f ca="1">OFFSET('IWP08'!Std9dot1DepositsInTransit, 0, 1, 1, 1)</f>
        <v>0</v>
      </c>
    </row>
    <row r="1538" spans="1:3">
      <c r="A1538" s="206" t="s">
        <v>1311</v>
      </c>
      <c r="B1538" s="157">
        <f ca="1">IF(OFFSET('IWP08'!Std9dot1DepositsInTransit, 1, 0, 1, 1) = DATE(1900,1,0),DATE(1900,1,1),OFFSET('IWP08'!Std9dot1DepositsInTransit, 1, 0, 1, 1))</f>
        <v>1</v>
      </c>
      <c r="C1538" s="185">
        <f ca="1">OFFSET('IWP08'!Std9dot1DepositsInTransit, 1, 1, 1, 1)</f>
        <v>0</v>
      </c>
    </row>
    <row r="1539" spans="1:3">
      <c r="A1539" s="206" t="s">
        <v>1311</v>
      </c>
      <c r="B1539" s="157">
        <f ca="1">IF(OFFSET('IWP08'!Std9dot1DepositsInTransit, 2, 0, 1, 1) = DATE(1900,1,0),DATE(1900,1,1),OFFSET('IWP08'!Std9dot1DepositsInTransit, 2, 0, 1, 1))</f>
        <v>1</v>
      </c>
      <c r="C1539" s="185">
        <f ca="1">OFFSET('IWP08'!Std9dot1DepositsInTransit, 2, 1, 1, 1)</f>
        <v>0</v>
      </c>
    </row>
    <row r="1540" spans="1:3">
      <c r="A1540" s="206" t="s">
        <v>1311</v>
      </c>
      <c r="B1540" s="157">
        <f ca="1">IF(OFFSET('IWP08'!Std9dot1DepositsInTransit, 3, 0, 1, 1) = DATE(1900,1,0),DATE(1900,1,1),OFFSET('IWP08'!Std9dot1DepositsInTransit, 3, 0, 1, 1))</f>
        <v>1</v>
      </c>
      <c r="C1540" s="185">
        <f ca="1">OFFSET('IWP08'!Std9dot1DepositsInTransit, 3, 1, 1, 1)</f>
        <v>0</v>
      </c>
    </row>
    <row r="1541" spans="1:3">
      <c r="A1541" s="206" t="s">
        <v>1311</v>
      </c>
      <c r="B1541" s="157">
        <f ca="1">IF(OFFSET('IWP08'!Std9dot1DepositsInTransit, 4, 0, 1, 1) = DATE(1900,1,0),DATE(1900,1,1),OFFSET('IWP08'!Std9dot1DepositsInTransit, 4, 0, 1, 1))</f>
        <v>1</v>
      </c>
      <c r="C1541" s="185">
        <f ca="1">OFFSET('IWP08'!Std9dot1DepositsInTransit, 4, 1, 1, 1)</f>
        <v>0</v>
      </c>
    </row>
    <row r="1542" spans="1:3">
      <c r="A1542" s="206" t="s">
        <v>1311</v>
      </c>
      <c r="B1542" s="157">
        <f ca="1">IF(OFFSET('IWP08'!Std9dot1DepositsInTransit, 5, 0, 1, 1) = DATE(1900,1,0),DATE(1900,1,1),OFFSET('IWP08'!Std9dot1DepositsInTransit, 5, 0, 1, 1))</f>
        <v>1</v>
      </c>
      <c r="C1542" s="185">
        <f ca="1">OFFSET('IWP08'!Std9dot1DepositsInTransit, 5, 1, 1, 1)</f>
        <v>0</v>
      </c>
    </row>
    <row r="1543" spans="1:3">
      <c r="A1543" s="206" t="s">
        <v>1311</v>
      </c>
      <c r="B1543" s="157">
        <f ca="1">IF(OFFSET('IWP08'!Std9dot1DepositsInTransit, 6, 0, 1, 1) = DATE(1900,1,0),DATE(1900,1,1),OFFSET('IWP08'!Std9dot1DepositsInTransit, 6, 0, 1, 1))</f>
        <v>1</v>
      </c>
      <c r="C1543" s="185">
        <f ca="1">OFFSET('IWP08'!Std9dot1DepositsInTransit, 6, 1, 1, 1)</f>
        <v>0</v>
      </c>
    </row>
    <row r="1544" spans="1:3">
      <c r="A1544" s="206" t="s">
        <v>1311</v>
      </c>
      <c r="B1544" s="157">
        <f ca="1">IF(OFFSET('IWP08'!Std9dot1DepositsInTransit, 7, 0, 1, 1) = DATE(1900,1,0),DATE(1900,1,1),OFFSET('IWP08'!Std9dot1DepositsInTransit, 7, 0, 1, 1))</f>
        <v>1</v>
      </c>
      <c r="C1544" s="185">
        <f ca="1">OFFSET('IWP08'!Std9dot1DepositsInTransit, 7, 1, 1, 1)</f>
        <v>0</v>
      </c>
    </row>
    <row r="1545" spans="1:3">
      <c r="A1545" s="206" t="s">
        <v>1311</v>
      </c>
      <c r="B1545" s="157">
        <f ca="1">IF(OFFSET('IWP08'!Std9dot1DepositsInTransit, 8, 0, 1, 1) = DATE(1900,1,0),DATE(1900,1,1),OFFSET('IWP08'!Std9dot1DepositsInTransit, 8, 0, 1, 1))</f>
        <v>1</v>
      </c>
      <c r="C1545" s="185">
        <f ca="1">OFFSET('IWP08'!Std9dot1DepositsInTransit, 8, 1, 1, 1)</f>
        <v>0</v>
      </c>
    </row>
    <row r="1546" spans="1:3">
      <c r="A1546" s="206" t="s">
        <v>1311</v>
      </c>
      <c r="B1546" s="157">
        <f ca="1">IF(OFFSET('IWP08'!Std9dot1DepositsInTransit, 9, 0, 1, 1) = DATE(1900,1,0),DATE(1900,1,1),OFFSET('IWP08'!Std9dot1DepositsInTransit, 9, 0, 1, 1))</f>
        <v>1</v>
      </c>
      <c r="C1546" s="185">
        <f ca="1">OFFSET('IWP08'!Std9dot1DepositsInTransit, 9, 1, 1, 1)</f>
        <v>0</v>
      </c>
    </row>
    <row r="1547" spans="1:3">
      <c r="A1547" s="206" t="s">
        <v>1312</v>
      </c>
      <c r="B1547" s="157">
        <f ca="1">IF(OFFSET('IWP09'!Std9dot1DepositsInTransit, 0, 0, 1, 1) = DATE(1900,1,0),DATE(1900,1,1),OFFSET('IWP09'!Std9dot1DepositsInTransit, 0, 0, 1, 1))</f>
        <v>1</v>
      </c>
      <c r="C1547" s="185">
        <f ca="1">OFFSET('IWP09'!Std9dot1DepositsInTransit, 0, 1, 1, 1)</f>
        <v>0</v>
      </c>
    </row>
    <row r="1548" spans="1:3">
      <c r="A1548" s="206" t="s">
        <v>1312</v>
      </c>
      <c r="B1548" s="157">
        <f ca="1">IF(OFFSET('IWP09'!Std9dot1DepositsInTransit, 1, 0, 1, 1) = DATE(1900,1,0),DATE(1900,1,1),OFFSET('IWP09'!Std9dot1DepositsInTransit, 1, 0, 1, 1))</f>
        <v>1</v>
      </c>
      <c r="C1548" s="185">
        <f ca="1">OFFSET('IWP09'!Std9dot1DepositsInTransit, 1, 1, 1, 1)</f>
        <v>0</v>
      </c>
    </row>
    <row r="1549" spans="1:3">
      <c r="A1549" s="206" t="s">
        <v>1312</v>
      </c>
      <c r="B1549" s="157">
        <f ca="1">IF(OFFSET('IWP09'!Std9dot1DepositsInTransit, 2, 0, 1, 1) = DATE(1900,1,0),DATE(1900,1,1),OFFSET('IWP09'!Std9dot1DepositsInTransit, 2, 0, 1, 1))</f>
        <v>1</v>
      </c>
      <c r="C1549" s="185">
        <f ca="1">OFFSET('IWP09'!Std9dot1DepositsInTransit, 2, 1, 1, 1)</f>
        <v>0</v>
      </c>
    </row>
    <row r="1550" spans="1:3">
      <c r="A1550" s="206" t="s">
        <v>1312</v>
      </c>
      <c r="B1550" s="157">
        <f ca="1">IF(OFFSET('IWP09'!Std9dot1DepositsInTransit, 3, 0, 1, 1) = DATE(1900,1,0),DATE(1900,1,1),OFFSET('IWP09'!Std9dot1DepositsInTransit, 3, 0, 1, 1))</f>
        <v>1</v>
      </c>
      <c r="C1550" s="185">
        <f ca="1">OFFSET('IWP09'!Std9dot1DepositsInTransit, 3, 1, 1, 1)</f>
        <v>0</v>
      </c>
    </row>
    <row r="1551" spans="1:3">
      <c r="A1551" s="206" t="s">
        <v>1312</v>
      </c>
      <c r="B1551" s="157">
        <f ca="1">IF(OFFSET('IWP09'!Std9dot1DepositsInTransit, 4, 0, 1, 1) = DATE(1900,1,0),DATE(1900,1,1),OFFSET('IWP09'!Std9dot1DepositsInTransit, 4, 0, 1, 1))</f>
        <v>1</v>
      </c>
      <c r="C1551" s="185">
        <f ca="1">OFFSET('IWP09'!Std9dot1DepositsInTransit, 4, 1, 1, 1)</f>
        <v>0</v>
      </c>
    </row>
    <row r="1552" spans="1:3">
      <c r="A1552" s="206" t="s">
        <v>1312</v>
      </c>
      <c r="B1552" s="157">
        <f ca="1">IF(OFFSET('IWP09'!Std9dot1DepositsInTransit, 5, 0, 1, 1) = DATE(1900,1,0),DATE(1900,1,1),OFFSET('IWP09'!Std9dot1DepositsInTransit, 5, 0, 1, 1))</f>
        <v>1</v>
      </c>
      <c r="C1552" s="185">
        <f ca="1">OFFSET('IWP09'!Std9dot1DepositsInTransit, 5, 1, 1, 1)</f>
        <v>0</v>
      </c>
    </row>
    <row r="1553" spans="1:3">
      <c r="A1553" s="206" t="s">
        <v>1312</v>
      </c>
      <c r="B1553" s="157">
        <f ca="1">IF(OFFSET('IWP09'!Std9dot1DepositsInTransit, 6, 0, 1, 1) = DATE(1900,1,0),DATE(1900,1,1),OFFSET('IWP09'!Std9dot1DepositsInTransit, 6, 0, 1, 1))</f>
        <v>1</v>
      </c>
      <c r="C1553" s="185">
        <f ca="1">OFFSET('IWP09'!Std9dot1DepositsInTransit, 6, 1, 1, 1)</f>
        <v>0</v>
      </c>
    </row>
    <row r="1554" spans="1:3">
      <c r="A1554" s="206" t="s">
        <v>1312</v>
      </c>
      <c r="B1554" s="157">
        <f ca="1">IF(OFFSET('IWP09'!Std9dot1DepositsInTransit, 7, 0, 1, 1) = DATE(1900,1,0),DATE(1900,1,1),OFFSET('IWP09'!Std9dot1DepositsInTransit, 7, 0, 1, 1))</f>
        <v>1</v>
      </c>
      <c r="C1554" s="185">
        <f ca="1">OFFSET('IWP09'!Std9dot1DepositsInTransit, 7, 1, 1, 1)</f>
        <v>0</v>
      </c>
    </row>
    <row r="1555" spans="1:3">
      <c r="A1555" s="206" t="s">
        <v>1312</v>
      </c>
      <c r="B1555" s="157">
        <f ca="1">IF(OFFSET('IWP09'!Std9dot1DepositsInTransit, 8, 0, 1, 1) = DATE(1900,1,0),DATE(1900,1,1),OFFSET('IWP09'!Std9dot1DepositsInTransit, 8, 0, 1, 1))</f>
        <v>1</v>
      </c>
      <c r="C1555" s="185">
        <f ca="1">OFFSET('IWP09'!Std9dot1DepositsInTransit, 8, 1, 1, 1)</f>
        <v>0</v>
      </c>
    </row>
    <row r="1556" spans="1:3">
      <c r="A1556" s="206" t="s">
        <v>1312</v>
      </c>
      <c r="B1556" s="157">
        <f ca="1">IF(OFFSET('IWP09'!Std9dot1DepositsInTransit, 9, 0, 1, 1) = DATE(1900,1,0),DATE(1900,1,1),OFFSET('IWP09'!Std9dot1DepositsInTransit, 9, 0, 1, 1))</f>
        <v>1</v>
      </c>
      <c r="C1556" s="185">
        <f ca="1">OFFSET('IWP09'!Std9dot1DepositsInTransit, 9, 1, 1, 1)</f>
        <v>0</v>
      </c>
    </row>
    <row r="1557" spans="1:3">
      <c r="A1557" s="206" t="s">
        <v>1313</v>
      </c>
      <c r="B1557" s="157">
        <f ca="1">IF(OFFSET('IWP10'!Std9dot1DepositsInTransit, 0, 0, 1, 1) = DATE(1900,1,0),DATE(1900,1,1),OFFSET('IWP10'!Std9dot1DepositsInTransit, 0, 0, 1, 1))</f>
        <v>1</v>
      </c>
      <c r="C1557" s="185">
        <f ca="1">OFFSET('IWP10'!Std9dot1DepositsInTransit, 0, 1, 1, 1)</f>
        <v>0</v>
      </c>
    </row>
    <row r="1558" spans="1:3">
      <c r="A1558" s="206" t="s">
        <v>1313</v>
      </c>
      <c r="B1558" s="157">
        <f ca="1">IF(OFFSET('IWP10'!Std9dot1DepositsInTransit, 1, 0, 1, 1) = DATE(1900,1,0),DATE(1900,1,1),OFFSET('IWP10'!Std9dot1DepositsInTransit, 1, 0, 1, 1))</f>
        <v>1</v>
      </c>
      <c r="C1558" s="185">
        <f ca="1">OFFSET('IWP10'!Std9dot1DepositsInTransit, 1, 1, 1, 1)</f>
        <v>0</v>
      </c>
    </row>
    <row r="1559" spans="1:3">
      <c r="A1559" s="206" t="s">
        <v>1313</v>
      </c>
      <c r="B1559" s="157">
        <f ca="1">IF(OFFSET('IWP10'!Std9dot1DepositsInTransit, 2, 0, 1, 1) = DATE(1900,1,0),DATE(1900,1,1),OFFSET('IWP10'!Std9dot1DepositsInTransit, 2, 0, 1, 1))</f>
        <v>1</v>
      </c>
      <c r="C1559" s="185">
        <f ca="1">OFFSET('IWP10'!Std9dot1DepositsInTransit, 2, 1, 1, 1)</f>
        <v>0</v>
      </c>
    </row>
    <row r="1560" spans="1:3">
      <c r="A1560" s="206" t="s">
        <v>1313</v>
      </c>
      <c r="B1560" s="157">
        <f ca="1">IF(OFFSET('IWP10'!Std9dot1DepositsInTransit, 3, 0, 1, 1) = DATE(1900,1,0),DATE(1900,1,1),OFFSET('IWP10'!Std9dot1DepositsInTransit, 3, 0, 1, 1))</f>
        <v>1</v>
      </c>
      <c r="C1560" s="185">
        <f ca="1">OFFSET('IWP10'!Std9dot1DepositsInTransit, 3, 1, 1, 1)</f>
        <v>0</v>
      </c>
    </row>
    <row r="1561" spans="1:3">
      <c r="A1561" s="206" t="s">
        <v>1313</v>
      </c>
      <c r="B1561" s="157">
        <f ca="1">IF(OFFSET('IWP10'!Std9dot1DepositsInTransit, 4, 0, 1, 1) = DATE(1900,1,0),DATE(1900,1,1),OFFSET('IWP10'!Std9dot1DepositsInTransit, 4, 0, 1, 1))</f>
        <v>1</v>
      </c>
      <c r="C1561" s="185">
        <f ca="1">OFFSET('IWP10'!Std9dot1DepositsInTransit, 4, 1, 1, 1)</f>
        <v>0</v>
      </c>
    </row>
    <row r="1562" spans="1:3">
      <c r="A1562" s="206" t="s">
        <v>1313</v>
      </c>
      <c r="B1562" s="157">
        <f ca="1">IF(OFFSET('IWP10'!Std9dot1DepositsInTransit, 5, 0, 1, 1) = DATE(1900,1,0),DATE(1900,1,1),OFFSET('IWP10'!Std9dot1DepositsInTransit, 5, 0, 1, 1))</f>
        <v>1</v>
      </c>
      <c r="C1562" s="185">
        <f ca="1">OFFSET('IWP10'!Std9dot1DepositsInTransit, 5, 1, 1, 1)</f>
        <v>0</v>
      </c>
    </row>
    <row r="1563" spans="1:3">
      <c r="A1563" s="206" t="s">
        <v>1313</v>
      </c>
      <c r="B1563" s="157">
        <f ca="1">IF(OFFSET('IWP10'!Std9dot1DepositsInTransit, 6, 0, 1, 1) = DATE(1900,1,0),DATE(1900,1,1),OFFSET('IWP10'!Std9dot1DepositsInTransit, 6, 0, 1, 1))</f>
        <v>1</v>
      </c>
      <c r="C1563" s="185">
        <f ca="1">OFFSET('IWP10'!Std9dot1DepositsInTransit, 6, 1, 1, 1)</f>
        <v>0</v>
      </c>
    </row>
    <row r="1564" spans="1:3">
      <c r="A1564" s="206" t="s">
        <v>1313</v>
      </c>
      <c r="B1564" s="157">
        <f ca="1">IF(OFFSET('IWP10'!Std9dot1DepositsInTransit, 7, 0, 1, 1) = DATE(1900,1,0),DATE(1900,1,1),OFFSET('IWP10'!Std9dot1DepositsInTransit, 7, 0, 1, 1))</f>
        <v>1</v>
      </c>
      <c r="C1564" s="185">
        <f ca="1">OFFSET('IWP10'!Std9dot1DepositsInTransit, 7, 1, 1, 1)</f>
        <v>0</v>
      </c>
    </row>
    <row r="1565" spans="1:3">
      <c r="A1565" s="206" t="s">
        <v>1313</v>
      </c>
      <c r="B1565" s="157">
        <f ca="1">IF(OFFSET('IWP10'!Std9dot1DepositsInTransit, 8, 0, 1, 1) = DATE(1900,1,0),DATE(1900,1,1),OFFSET('IWP10'!Std9dot1DepositsInTransit, 8, 0, 1, 1))</f>
        <v>1</v>
      </c>
      <c r="C1565" s="185">
        <f ca="1">OFFSET('IWP10'!Std9dot1DepositsInTransit, 8, 1, 1, 1)</f>
        <v>0</v>
      </c>
    </row>
    <row r="1566" spans="1:3">
      <c r="A1566" s="206" t="s">
        <v>1313</v>
      </c>
      <c r="B1566" s="157">
        <f ca="1">IF(OFFSET('IWP10'!Std9dot1DepositsInTransit, 9, 0, 1, 1) = DATE(1900,1,0),DATE(1900,1,1),OFFSET('IWP10'!Std9dot1DepositsInTransit, 9, 0, 1, 1))</f>
        <v>1</v>
      </c>
      <c r="C1566" s="185">
        <f ca="1">OFFSET('IWP10'!Std9dot1DepositsInTransit, 9, 1, 1, 1)</f>
        <v>0</v>
      </c>
    </row>
    <row r="1567" spans="1:3">
      <c r="A1567" s="206" t="s">
        <v>1314</v>
      </c>
      <c r="B1567" s="157">
        <f ca="1">IF(OFFSET('IWP11'!Std9dot1DepositsInTransit, 0, 0, 1, 1) = DATE(1900,1,0),DATE(1900,1,1),OFFSET('IWP11'!Std9dot1DepositsInTransit, 0, 0, 1, 1))</f>
        <v>1</v>
      </c>
      <c r="C1567" s="185">
        <f ca="1">OFFSET('IWP11'!Std9dot1DepositsInTransit, 0, 1, 1, 1)</f>
        <v>0</v>
      </c>
    </row>
    <row r="1568" spans="1:3">
      <c r="A1568" s="206" t="s">
        <v>1314</v>
      </c>
      <c r="B1568" s="157">
        <f ca="1">IF(OFFSET('IWP11'!Std9dot1DepositsInTransit, 1, 0, 1, 1) = DATE(1900,1,0),DATE(1900,1,1),OFFSET('IWP11'!Std9dot1DepositsInTransit, 1, 0, 1, 1))</f>
        <v>1</v>
      </c>
      <c r="C1568" s="185">
        <f ca="1">OFFSET('IWP11'!Std9dot1DepositsInTransit, 1, 1, 1, 1)</f>
        <v>0</v>
      </c>
    </row>
    <row r="1569" spans="1:3">
      <c r="A1569" s="206" t="s">
        <v>1314</v>
      </c>
      <c r="B1569" s="157">
        <f ca="1">IF(OFFSET('IWP11'!Std9dot1DepositsInTransit, 2, 0, 1, 1) = DATE(1900,1,0),DATE(1900,1,1),OFFSET('IWP11'!Std9dot1DepositsInTransit, 2, 0, 1, 1))</f>
        <v>1</v>
      </c>
      <c r="C1569" s="185">
        <f ca="1">OFFSET('IWP11'!Std9dot1DepositsInTransit, 2, 1, 1, 1)</f>
        <v>0</v>
      </c>
    </row>
    <row r="1570" spans="1:3">
      <c r="A1570" s="206" t="s">
        <v>1314</v>
      </c>
      <c r="B1570" s="157">
        <f ca="1">IF(OFFSET('IWP11'!Std9dot1DepositsInTransit, 3, 0, 1, 1) = DATE(1900,1,0),DATE(1900,1,1),OFFSET('IWP11'!Std9dot1DepositsInTransit, 3, 0, 1, 1))</f>
        <v>1</v>
      </c>
      <c r="C1570" s="185">
        <f ca="1">OFFSET('IWP11'!Std9dot1DepositsInTransit, 3, 1, 1, 1)</f>
        <v>0</v>
      </c>
    </row>
    <row r="1571" spans="1:3">
      <c r="A1571" s="206" t="s">
        <v>1314</v>
      </c>
      <c r="B1571" s="157">
        <f ca="1">IF(OFFSET('IWP11'!Std9dot1DepositsInTransit, 4, 0, 1, 1) = DATE(1900,1,0),DATE(1900,1,1),OFFSET('IWP11'!Std9dot1DepositsInTransit, 4, 0, 1, 1))</f>
        <v>1</v>
      </c>
      <c r="C1571" s="185">
        <f ca="1">OFFSET('IWP11'!Std9dot1DepositsInTransit, 4, 1, 1, 1)</f>
        <v>0</v>
      </c>
    </row>
    <row r="1572" spans="1:3">
      <c r="A1572" s="206" t="s">
        <v>1314</v>
      </c>
      <c r="B1572" s="157">
        <f ca="1">IF(OFFSET('IWP11'!Std9dot1DepositsInTransit, 5, 0, 1, 1) = DATE(1900,1,0),DATE(1900,1,1),OFFSET('IWP11'!Std9dot1DepositsInTransit, 5, 0, 1, 1))</f>
        <v>1</v>
      </c>
      <c r="C1572" s="185">
        <f ca="1">OFFSET('IWP11'!Std9dot1DepositsInTransit, 5, 1, 1, 1)</f>
        <v>0</v>
      </c>
    </row>
    <row r="1573" spans="1:3">
      <c r="A1573" s="206" t="s">
        <v>1314</v>
      </c>
      <c r="B1573" s="157">
        <f ca="1">IF(OFFSET('IWP11'!Std9dot1DepositsInTransit, 6, 0, 1, 1) = DATE(1900,1,0),DATE(1900,1,1),OFFSET('IWP11'!Std9dot1DepositsInTransit, 6, 0, 1, 1))</f>
        <v>1</v>
      </c>
      <c r="C1573" s="185">
        <f ca="1">OFFSET('IWP11'!Std9dot1DepositsInTransit, 6, 1, 1, 1)</f>
        <v>0</v>
      </c>
    </row>
    <row r="1574" spans="1:3">
      <c r="A1574" s="206" t="s">
        <v>1314</v>
      </c>
      <c r="B1574" s="157">
        <f ca="1">IF(OFFSET('IWP11'!Std9dot1DepositsInTransit, 7, 0, 1, 1) = DATE(1900,1,0),DATE(1900,1,1),OFFSET('IWP11'!Std9dot1DepositsInTransit, 7, 0, 1, 1))</f>
        <v>1</v>
      </c>
      <c r="C1574" s="185">
        <f ca="1">OFFSET('IWP11'!Std9dot1DepositsInTransit, 7, 1, 1, 1)</f>
        <v>0</v>
      </c>
    </row>
    <row r="1575" spans="1:3">
      <c r="A1575" s="206" t="s">
        <v>1314</v>
      </c>
      <c r="B1575" s="157">
        <f ca="1">IF(OFFSET('IWP11'!Std9dot1DepositsInTransit, 8, 0, 1, 1) = DATE(1900,1,0),DATE(1900,1,1),OFFSET('IWP11'!Std9dot1DepositsInTransit, 8, 0, 1, 1))</f>
        <v>1</v>
      </c>
      <c r="C1575" s="185">
        <f ca="1">OFFSET('IWP11'!Std9dot1DepositsInTransit, 8, 1, 1, 1)</f>
        <v>0</v>
      </c>
    </row>
    <row r="1576" spans="1:3">
      <c r="A1576" s="206" t="s">
        <v>1314</v>
      </c>
      <c r="B1576" s="157">
        <f ca="1">IF(OFFSET('IWP11'!Std9dot1DepositsInTransit, 9, 0, 1, 1) = DATE(1900,1,0),DATE(1900,1,1),OFFSET('IWP11'!Std9dot1DepositsInTransit, 9, 0, 1, 1))</f>
        <v>1</v>
      </c>
      <c r="C1576" s="185">
        <f ca="1">OFFSET('IWP11'!Std9dot1DepositsInTransit, 9, 1, 1, 1)</f>
        <v>0</v>
      </c>
    </row>
    <row r="1577" spans="1:3">
      <c r="A1577" s="206" t="s">
        <v>1315</v>
      </c>
      <c r="B1577" s="157">
        <f ca="1">IF(OFFSET('IWP12'!Std9dot1DepositsInTransit, 0, 0, 1, 1) = DATE(1900,1,0),DATE(1900,1,1),OFFSET('IWP12'!Std9dot1DepositsInTransit, 0, 0, 1, 1))</f>
        <v>1</v>
      </c>
      <c r="C1577" s="185">
        <f ca="1">OFFSET('IWP12'!Std9dot1DepositsInTransit, 0, 1, 1, 1)</f>
        <v>0</v>
      </c>
    </row>
    <row r="1578" spans="1:3">
      <c r="A1578" s="206" t="s">
        <v>1315</v>
      </c>
      <c r="B1578" s="157">
        <f ca="1">IF(OFFSET('IWP12'!Std9dot1DepositsInTransit, 1, 0, 1, 1) = DATE(1900,1,0),DATE(1900,1,1),OFFSET('IWP12'!Std9dot1DepositsInTransit, 1, 0, 1, 1))</f>
        <v>1</v>
      </c>
      <c r="C1578" s="185">
        <f ca="1">OFFSET('IWP12'!Std9dot1DepositsInTransit, 1, 1, 1, 1)</f>
        <v>0</v>
      </c>
    </row>
    <row r="1579" spans="1:3">
      <c r="A1579" s="206" t="s">
        <v>1315</v>
      </c>
      <c r="B1579" s="157">
        <f ca="1">IF(OFFSET('IWP12'!Std9dot1DepositsInTransit, 2, 0, 1, 1) = DATE(1900,1,0),DATE(1900,1,1),OFFSET('IWP12'!Std9dot1DepositsInTransit, 2, 0, 1, 1))</f>
        <v>1</v>
      </c>
      <c r="C1579" s="185">
        <f ca="1">OFFSET('IWP12'!Std9dot1DepositsInTransit, 2, 1, 1, 1)</f>
        <v>0</v>
      </c>
    </row>
    <row r="1580" spans="1:3">
      <c r="A1580" s="206" t="s">
        <v>1315</v>
      </c>
      <c r="B1580" s="157">
        <f ca="1">IF(OFFSET('IWP12'!Std9dot1DepositsInTransit, 3, 0, 1, 1) = DATE(1900,1,0),DATE(1900,1,1),OFFSET('IWP12'!Std9dot1DepositsInTransit, 3, 0, 1, 1))</f>
        <v>1</v>
      </c>
      <c r="C1580" s="185">
        <f ca="1">OFFSET('IWP12'!Std9dot1DepositsInTransit, 3, 1, 1, 1)</f>
        <v>0</v>
      </c>
    </row>
    <row r="1581" spans="1:3">
      <c r="A1581" s="206" t="s">
        <v>1315</v>
      </c>
      <c r="B1581" s="157">
        <f ca="1">IF(OFFSET('IWP12'!Std9dot1DepositsInTransit, 4, 0, 1, 1) = DATE(1900,1,0),DATE(1900,1,1),OFFSET('IWP12'!Std9dot1DepositsInTransit, 4, 0, 1, 1))</f>
        <v>1</v>
      </c>
      <c r="C1581" s="185">
        <f ca="1">OFFSET('IWP12'!Std9dot1DepositsInTransit, 4, 1, 1, 1)</f>
        <v>0</v>
      </c>
    </row>
    <row r="1582" spans="1:3">
      <c r="A1582" s="206" t="s">
        <v>1315</v>
      </c>
      <c r="B1582" s="157">
        <f ca="1">IF(OFFSET('IWP12'!Std9dot1DepositsInTransit, 5, 0, 1, 1) = DATE(1900,1,0),DATE(1900,1,1),OFFSET('IWP12'!Std9dot1DepositsInTransit, 5, 0, 1, 1))</f>
        <v>1</v>
      </c>
      <c r="C1582" s="185">
        <f ca="1">OFFSET('IWP12'!Std9dot1DepositsInTransit, 5, 1, 1, 1)</f>
        <v>0</v>
      </c>
    </row>
    <row r="1583" spans="1:3">
      <c r="A1583" s="206" t="s">
        <v>1315</v>
      </c>
      <c r="B1583" s="157">
        <f ca="1">IF(OFFSET('IWP12'!Std9dot1DepositsInTransit, 6, 0, 1, 1) = DATE(1900,1,0),DATE(1900,1,1),OFFSET('IWP12'!Std9dot1DepositsInTransit, 6, 0, 1, 1))</f>
        <v>1</v>
      </c>
      <c r="C1583" s="185">
        <f ca="1">OFFSET('IWP12'!Std9dot1DepositsInTransit, 6, 1, 1, 1)</f>
        <v>0</v>
      </c>
    </row>
    <row r="1584" spans="1:3">
      <c r="A1584" s="206" t="s">
        <v>1315</v>
      </c>
      <c r="B1584" s="157">
        <f ca="1">IF(OFFSET('IWP12'!Std9dot1DepositsInTransit, 7, 0, 1, 1) = DATE(1900,1,0),DATE(1900,1,1),OFFSET('IWP12'!Std9dot1DepositsInTransit, 7, 0, 1, 1))</f>
        <v>1</v>
      </c>
      <c r="C1584" s="185">
        <f ca="1">OFFSET('IWP12'!Std9dot1DepositsInTransit, 7, 1, 1, 1)</f>
        <v>0</v>
      </c>
    </row>
    <row r="1585" spans="1:3">
      <c r="A1585" s="206" t="s">
        <v>1315</v>
      </c>
      <c r="B1585" s="157">
        <f ca="1">IF(OFFSET('IWP12'!Std9dot1DepositsInTransit, 8, 0, 1, 1) = DATE(1900,1,0),DATE(1900,1,1),OFFSET('IWP12'!Std9dot1DepositsInTransit, 8, 0, 1, 1))</f>
        <v>1</v>
      </c>
      <c r="C1585" s="185">
        <f ca="1">OFFSET('IWP12'!Std9dot1DepositsInTransit, 8, 1, 1, 1)</f>
        <v>0</v>
      </c>
    </row>
    <row r="1586" spans="1:3">
      <c r="A1586" s="206" t="s">
        <v>1315</v>
      </c>
      <c r="B1586" s="157">
        <f ca="1">IF(OFFSET('IWP12'!Std9dot1DepositsInTransit, 9, 0, 1, 1) = DATE(1900,1,0),DATE(1900,1,1),OFFSET('IWP12'!Std9dot1DepositsInTransit, 9, 0, 1, 1))</f>
        <v>1</v>
      </c>
      <c r="C1586" s="185">
        <f ca="1">OFFSET('IWP12'!Std9dot1DepositsInTransit, 9, 1, 1, 1)</f>
        <v>0</v>
      </c>
    </row>
    <row r="1587" spans="1:3">
      <c r="A1587" s="206" t="s">
        <v>1316</v>
      </c>
      <c r="B1587" s="157">
        <f ca="1">IF(OFFSET('IWP13'!Std9dot1DepositsInTransit, 0, 0, 1, 1) = DATE(1900,1,0),DATE(1900,1,1),OFFSET('IWP13'!Std9dot1DepositsInTransit, 0, 0, 1, 1))</f>
        <v>1</v>
      </c>
      <c r="C1587" s="185">
        <f ca="1">OFFSET('IWP13'!Std9dot1DepositsInTransit, 0, 1, 1, 1)</f>
        <v>0</v>
      </c>
    </row>
    <row r="1588" spans="1:3">
      <c r="A1588" s="206" t="s">
        <v>1316</v>
      </c>
      <c r="B1588" s="157">
        <f ca="1">IF(OFFSET('IWP13'!Std9dot1DepositsInTransit, 1, 0, 1, 1) = DATE(1900,1,0),DATE(1900,1,1),OFFSET('IWP13'!Std9dot1DepositsInTransit, 1, 0, 1, 1))</f>
        <v>1</v>
      </c>
      <c r="C1588" s="185">
        <f ca="1">OFFSET('IWP13'!Std9dot1DepositsInTransit, 1, 1, 1, 1)</f>
        <v>0</v>
      </c>
    </row>
    <row r="1589" spans="1:3">
      <c r="A1589" s="206" t="s">
        <v>1316</v>
      </c>
      <c r="B1589" s="157">
        <f ca="1">IF(OFFSET('IWP13'!Std9dot1DepositsInTransit, 2, 0, 1, 1) = DATE(1900,1,0),DATE(1900,1,1),OFFSET('IWP13'!Std9dot1DepositsInTransit, 2, 0, 1, 1))</f>
        <v>1</v>
      </c>
      <c r="C1589" s="185">
        <f ca="1">OFFSET('IWP13'!Std9dot1DepositsInTransit, 2, 1, 1, 1)</f>
        <v>0</v>
      </c>
    </row>
    <row r="1590" spans="1:3">
      <c r="A1590" s="206" t="s">
        <v>1316</v>
      </c>
      <c r="B1590" s="157">
        <f ca="1">IF(OFFSET('IWP13'!Std9dot1DepositsInTransit, 3, 0, 1, 1) = DATE(1900,1,0),DATE(1900,1,1),OFFSET('IWP13'!Std9dot1DepositsInTransit, 3, 0, 1, 1))</f>
        <v>1</v>
      </c>
      <c r="C1590" s="185">
        <f ca="1">OFFSET('IWP13'!Std9dot1DepositsInTransit, 3, 1, 1, 1)</f>
        <v>0</v>
      </c>
    </row>
    <row r="1591" spans="1:3">
      <c r="A1591" s="206" t="s">
        <v>1316</v>
      </c>
      <c r="B1591" s="157">
        <f ca="1">IF(OFFSET('IWP13'!Std9dot1DepositsInTransit, 4, 0, 1, 1) = DATE(1900,1,0),DATE(1900,1,1),OFFSET('IWP13'!Std9dot1DepositsInTransit, 4, 0, 1, 1))</f>
        <v>1</v>
      </c>
      <c r="C1591" s="185">
        <f ca="1">OFFSET('IWP13'!Std9dot1DepositsInTransit, 4, 1, 1, 1)</f>
        <v>0</v>
      </c>
    </row>
    <row r="1592" spans="1:3">
      <c r="A1592" s="206" t="s">
        <v>1316</v>
      </c>
      <c r="B1592" s="157">
        <f ca="1">IF(OFFSET('IWP13'!Std9dot1DepositsInTransit, 5, 0, 1, 1) = DATE(1900,1,0),DATE(1900,1,1),OFFSET('IWP13'!Std9dot1DepositsInTransit, 5, 0, 1, 1))</f>
        <v>1</v>
      </c>
      <c r="C1592" s="185">
        <f ca="1">OFFSET('IWP13'!Std9dot1DepositsInTransit, 5, 1, 1, 1)</f>
        <v>0</v>
      </c>
    </row>
    <row r="1593" spans="1:3">
      <c r="A1593" s="206" t="s">
        <v>1316</v>
      </c>
      <c r="B1593" s="157">
        <f ca="1">IF(OFFSET('IWP13'!Std9dot1DepositsInTransit, 6, 0, 1, 1) = DATE(1900,1,0),DATE(1900,1,1),OFFSET('IWP13'!Std9dot1DepositsInTransit, 6, 0, 1, 1))</f>
        <v>1</v>
      </c>
      <c r="C1593" s="185">
        <f ca="1">OFFSET('IWP13'!Std9dot1DepositsInTransit, 6, 1, 1, 1)</f>
        <v>0</v>
      </c>
    </row>
    <row r="1594" spans="1:3">
      <c r="A1594" s="206" t="s">
        <v>1316</v>
      </c>
      <c r="B1594" s="157">
        <f ca="1">IF(OFFSET('IWP13'!Std9dot1DepositsInTransit, 7, 0, 1, 1) = DATE(1900,1,0),DATE(1900,1,1),OFFSET('IWP13'!Std9dot1DepositsInTransit, 7, 0, 1, 1))</f>
        <v>1</v>
      </c>
      <c r="C1594" s="185">
        <f ca="1">OFFSET('IWP13'!Std9dot1DepositsInTransit, 7, 1, 1, 1)</f>
        <v>0</v>
      </c>
    </row>
    <row r="1595" spans="1:3">
      <c r="A1595" s="206" t="s">
        <v>1316</v>
      </c>
      <c r="B1595" s="157">
        <f ca="1">IF(OFFSET('IWP13'!Std9dot1DepositsInTransit, 8, 0, 1, 1) = DATE(1900,1,0),DATE(1900,1,1),OFFSET('IWP13'!Std9dot1DepositsInTransit, 8, 0, 1, 1))</f>
        <v>1</v>
      </c>
      <c r="C1595" s="185">
        <f ca="1">OFFSET('IWP13'!Std9dot1DepositsInTransit, 8, 1, 1, 1)</f>
        <v>0</v>
      </c>
    </row>
    <row r="1596" spans="1:3">
      <c r="A1596" s="206" t="s">
        <v>1316</v>
      </c>
      <c r="B1596" s="157">
        <f ca="1">IF(OFFSET('IWP13'!Std9dot1DepositsInTransit, 9, 0, 1, 1) = DATE(1900,1,0),DATE(1900,1,1),OFFSET('IWP13'!Std9dot1DepositsInTransit, 9, 0, 1, 1))</f>
        <v>1</v>
      </c>
      <c r="C1596" s="185">
        <f ca="1">OFFSET('IWP13'!Std9dot1DepositsInTransit, 9, 1, 1, 1)</f>
        <v>0</v>
      </c>
    </row>
    <row r="1597" spans="1:3">
      <c r="A1597" s="206" t="s">
        <v>1317</v>
      </c>
      <c r="B1597" s="157">
        <f ca="1">IF(OFFSET('IWP14'!Std9dot1DepositsInTransit, 0, 0, 1, 1) = DATE(1900,1,0),DATE(1900,1,1),OFFSET('IWP14'!Std9dot1DepositsInTransit, 0, 0, 1, 1))</f>
        <v>1</v>
      </c>
      <c r="C1597" s="185">
        <f ca="1">OFFSET('IWP14'!Std9dot1DepositsInTransit, 0, 1, 1, 1)</f>
        <v>0</v>
      </c>
    </row>
    <row r="1598" spans="1:3">
      <c r="A1598" s="206" t="s">
        <v>1317</v>
      </c>
      <c r="B1598" s="157">
        <f ca="1">IF(OFFSET('IWP14'!Std9dot1DepositsInTransit, 1, 0, 1, 1) = DATE(1900,1,0),DATE(1900,1,1),OFFSET('IWP14'!Std9dot1DepositsInTransit, 1, 0, 1, 1))</f>
        <v>1</v>
      </c>
      <c r="C1598" s="185">
        <f ca="1">OFFSET('IWP14'!Std9dot1DepositsInTransit, 1, 1, 1, 1)</f>
        <v>0</v>
      </c>
    </row>
    <row r="1599" spans="1:3">
      <c r="A1599" s="206" t="s">
        <v>1317</v>
      </c>
      <c r="B1599" s="157">
        <f ca="1">IF(OFFSET('IWP14'!Std9dot1DepositsInTransit, 2, 0, 1, 1) = DATE(1900,1,0),DATE(1900,1,1),OFFSET('IWP14'!Std9dot1DepositsInTransit, 2, 0, 1, 1))</f>
        <v>1</v>
      </c>
      <c r="C1599" s="185">
        <f ca="1">OFFSET('IWP14'!Std9dot1DepositsInTransit, 2, 1, 1, 1)</f>
        <v>0</v>
      </c>
    </row>
    <row r="1600" spans="1:3">
      <c r="A1600" s="206" t="s">
        <v>1317</v>
      </c>
      <c r="B1600" s="157">
        <f ca="1">IF(OFFSET('IWP14'!Std9dot1DepositsInTransit, 3, 0, 1, 1) = DATE(1900,1,0),DATE(1900,1,1),OFFSET('IWP14'!Std9dot1DepositsInTransit, 3, 0, 1, 1))</f>
        <v>1</v>
      </c>
      <c r="C1600" s="185">
        <f ca="1">OFFSET('IWP14'!Std9dot1DepositsInTransit, 3, 1, 1, 1)</f>
        <v>0</v>
      </c>
    </row>
    <row r="1601" spans="1:3">
      <c r="A1601" s="206" t="s">
        <v>1317</v>
      </c>
      <c r="B1601" s="157">
        <f ca="1">IF(OFFSET('IWP14'!Std9dot1DepositsInTransit, 4, 0, 1, 1) = DATE(1900,1,0),DATE(1900,1,1),OFFSET('IWP14'!Std9dot1DepositsInTransit, 4, 0, 1, 1))</f>
        <v>1</v>
      </c>
      <c r="C1601" s="185">
        <f ca="1">OFFSET('IWP14'!Std9dot1DepositsInTransit, 4, 1, 1, 1)</f>
        <v>0</v>
      </c>
    </row>
    <row r="1602" spans="1:3">
      <c r="A1602" s="206" t="s">
        <v>1317</v>
      </c>
      <c r="B1602" s="157">
        <f ca="1">IF(OFFSET('IWP14'!Std9dot1DepositsInTransit, 5, 0, 1, 1) = DATE(1900,1,0),DATE(1900,1,1),OFFSET('IWP14'!Std9dot1DepositsInTransit, 5, 0, 1, 1))</f>
        <v>1</v>
      </c>
      <c r="C1602" s="185">
        <f ca="1">OFFSET('IWP14'!Std9dot1DepositsInTransit, 5, 1, 1, 1)</f>
        <v>0</v>
      </c>
    </row>
    <row r="1603" spans="1:3">
      <c r="A1603" s="206" t="s">
        <v>1317</v>
      </c>
      <c r="B1603" s="157">
        <f ca="1">IF(OFFSET('IWP14'!Std9dot1DepositsInTransit, 6, 0, 1, 1) = DATE(1900,1,0),DATE(1900,1,1),OFFSET('IWP14'!Std9dot1DepositsInTransit, 6, 0, 1, 1))</f>
        <v>1</v>
      </c>
      <c r="C1603" s="185">
        <f ca="1">OFFSET('IWP14'!Std9dot1DepositsInTransit, 6, 1, 1, 1)</f>
        <v>0</v>
      </c>
    </row>
    <row r="1604" spans="1:3">
      <c r="A1604" s="206" t="s">
        <v>1317</v>
      </c>
      <c r="B1604" s="157">
        <f ca="1">IF(OFFSET('IWP14'!Std9dot1DepositsInTransit, 7, 0, 1, 1) = DATE(1900,1,0),DATE(1900,1,1),OFFSET('IWP14'!Std9dot1DepositsInTransit, 7, 0, 1, 1))</f>
        <v>1</v>
      </c>
      <c r="C1604" s="185">
        <f ca="1">OFFSET('IWP14'!Std9dot1DepositsInTransit, 7, 1, 1, 1)</f>
        <v>0</v>
      </c>
    </row>
    <row r="1605" spans="1:3">
      <c r="A1605" s="206" t="s">
        <v>1317</v>
      </c>
      <c r="B1605" s="157">
        <f ca="1">IF(OFFSET('IWP14'!Std9dot1DepositsInTransit, 8, 0, 1, 1) = DATE(1900,1,0),DATE(1900,1,1),OFFSET('IWP14'!Std9dot1DepositsInTransit, 8, 0, 1, 1))</f>
        <v>1</v>
      </c>
      <c r="C1605" s="185">
        <f ca="1">OFFSET('IWP14'!Std9dot1DepositsInTransit, 8, 1, 1, 1)</f>
        <v>0</v>
      </c>
    </row>
    <row r="1606" spans="1:3">
      <c r="A1606" s="206" t="s">
        <v>1317</v>
      </c>
      <c r="B1606" s="157">
        <f ca="1">IF(OFFSET('IWP14'!Std9dot1DepositsInTransit, 9, 0, 1, 1) = DATE(1900,1,0),DATE(1900,1,1),OFFSET('IWP14'!Std9dot1DepositsInTransit, 9, 0, 1, 1))</f>
        <v>1</v>
      </c>
      <c r="C1606" s="185">
        <f ca="1">OFFSET('IWP14'!Std9dot1DepositsInTransit, 9, 1, 1, 1)</f>
        <v>0</v>
      </c>
    </row>
    <row r="1607" spans="1:3">
      <c r="A1607" s="206" t="s">
        <v>1318</v>
      </c>
      <c r="B1607" s="157">
        <f ca="1">IF(OFFSET('IWP15'!Std9dot1DepositsInTransit, 0, 0, 1, 1) = DATE(1900,1,0),DATE(1900,1,1),OFFSET('IWP15'!Std9dot1DepositsInTransit, 0, 0, 1, 1))</f>
        <v>1</v>
      </c>
      <c r="C1607" s="185">
        <f ca="1">OFFSET('IWP15'!Std9dot1DepositsInTransit, 0, 1, 1, 1)</f>
        <v>0</v>
      </c>
    </row>
    <row r="1608" spans="1:3">
      <c r="A1608" s="206" t="s">
        <v>1318</v>
      </c>
      <c r="B1608" s="157">
        <f ca="1">IF(OFFSET('IWP15'!Std9dot1DepositsInTransit, 1, 0, 1, 1) = DATE(1900,1,0),DATE(1900,1,1),OFFSET('IWP15'!Std9dot1DepositsInTransit, 1, 0, 1, 1))</f>
        <v>1</v>
      </c>
      <c r="C1608" s="185">
        <f ca="1">OFFSET('IWP15'!Std9dot1DepositsInTransit, 1, 1, 1, 1)</f>
        <v>0</v>
      </c>
    </row>
    <row r="1609" spans="1:3">
      <c r="A1609" s="206" t="s">
        <v>1318</v>
      </c>
      <c r="B1609" s="157">
        <f ca="1">IF(OFFSET('IWP15'!Std9dot1DepositsInTransit, 2, 0, 1, 1) = DATE(1900,1,0),DATE(1900,1,1),OFFSET('IWP15'!Std9dot1DepositsInTransit, 2, 0, 1, 1))</f>
        <v>1</v>
      </c>
      <c r="C1609" s="185">
        <f ca="1">OFFSET('IWP15'!Std9dot1DepositsInTransit, 2, 1, 1, 1)</f>
        <v>0</v>
      </c>
    </row>
    <row r="1610" spans="1:3">
      <c r="A1610" s="206" t="s">
        <v>1318</v>
      </c>
      <c r="B1610" s="157">
        <f ca="1">IF(OFFSET('IWP15'!Std9dot1DepositsInTransit, 3, 0, 1, 1) = DATE(1900,1,0),DATE(1900,1,1),OFFSET('IWP15'!Std9dot1DepositsInTransit, 3, 0, 1, 1))</f>
        <v>1</v>
      </c>
      <c r="C1610" s="185">
        <f ca="1">OFFSET('IWP15'!Std9dot1DepositsInTransit, 3, 1, 1, 1)</f>
        <v>0</v>
      </c>
    </row>
    <row r="1611" spans="1:3">
      <c r="A1611" s="206" t="s">
        <v>1318</v>
      </c>
      <c r="B1611" s="157">
        <f ca="1">IF(OFFSET('IWP15'!Std9dot1DepositsInTransit, 4, 0, 1, 1) = DATE(1900,1,0),DATE(1900,1,1),OFFSET('IWP15'!Std9dot1DepositsInTransit, 4, 0, 1, 1))</f>
        <v>1</v>
      </c>
      <c r="C1611" s="185">
        <f ca="1">OFFSET('IWP15'!Std9dot1DepositsInTransit, 4, 1, 1, 1)</f>
        <v>0</v>
      </c>
    </row>
    <row r="1612" spans="1:3">
      <c r="A1612" s="206" t="s">
        <v>1318</v>
      </c>
      <c r="B1612" s="157">
        <f ca="1">IF(OFFSET('IWP15'!Std9dot1DepositsInTransit, 5, 0, 1, 1) = DATE(1900,1,0),DATE(1900,1,1),OFFSET('IWP15'!Std9dot1DepositsInTransit, 5, 0, 1, 1))</f>
        <v>1</v>
      </c>
      <c r="C1612" s="185">
        <f ca="1">OFFSET('IWP15'!Std9dot1DepositsInTransit, 5, 1, 1, 1)</f>
        <v>0</v>
      </c>
    </row>
    <row r="1613" spans="1:3">
      <c r="A1613" s="206" t="s">
        <v>1318</v>
      </c>
      <c r="B1613" s="157">
        <f ca="1">IF(OFFSET('IWP15'!Std9dot1DepositsInTransit, 6, 0, 1, 1) = DATE(1900,1,0),DATE(1900,1,1),OFFSET('IWP15'!Std9dot1DepositsInTransit, 6, 0, 1, 1))</f>
        <v>1</v>
      </c>
      <c r="C1613" s="185">
        <f ca="1">OFFSET('IWP15'!Std9dot1DepositsInTransit, 6, 1, 1, 1)</f>
        <v>0</v>
      </c>
    </row>
    <row r="1614" spans="1:3">
      <c r="A1614" s="206" t="s">
        <v>1318</v>
      </c>
      <c r="B1614" s="157">
        <f ca="1">IF(OFFSET('IWP15'!Std9dot1DepositsInTransit, 7, 0, 1, 1) = DATE(1900,1,0),DATE(1900,1,1),OFFSET('IWP15'!Std9dot1DepositsInTransit, 7, 0, 1, 1))</f>
        <v>1</v>
      </c>
      <c r="C1614" s="185">
        <f ca="1">OFFSET('IWP15'!Std9dot1DepositsInTransit, 7, 1, 1, 1)</f>
        <v>0</v>
      </c>
    </row>
    <row r="1615" spans="1:3">
      <c r="A1615" s="206" t="s">
        <v>1318</v>
      </c>
      <c r="B1615" s="157">
        <f ca="1">IF(OFFSET('IWP15'!Std9dot1DepositsInTransit, 8, 0, 1, 1) = DATE(1900,1,0),DATE(1900,1,1),OFFSET('IWP15'!Std9dot1DepositsInTransit, 8, 0, 1, 1))</f>
        <v>1</v>
      </c>
      <c r="C1615" s="185">
        <f ca="1">OFFSET('IWP15'!Std9dot1DepositsInTransit, 8, 1, 1, 1)</f>
        <v>0</v>
      </c>
    </row>
    <row r="1616" spans="1:3">
      <c r="A1616" s="206" t="s">
        <v>1318</v>
      </c>
      <c r="B1616" s="157">
        <f ca="1">IF(OFFSET('IWP15'!Std9dot1DepositsInTransit, 9, 0, 1, 1) = DATE(1900,1,0),DATE(1900,1,1),OFFSET('IWP15'!Std9dot1DepositsInTransit, 9, 0, 1, 1))</f>
        <v>1</v>
      </c>
      <c r="C1616" s="185">
        <f ca="1">OFFSET('IWP15'!Std9dot1DepositsInTransit, 9, 1, 1, 1)</f>
        <v>0</v>
      </c>
    </row>
    <row r="1617" spans="1:3">
      <c r="A1617" s="206" t="s">
        <v>1319</v>
      </c>
      <c r="B1617" s="157">
        <f ca="1">IF(OFFSET('IWP16'!Std9dot1DepositsInTransit, 0, 0, 1, 1) = DATE(1900,1,0),DATE(1900,1,1),OFFSET('IWP16'!Std9dot1DepositsInTransit, 0, 0, 1, 1))</f>
        <v>1</v>
      </c>
      <c r="C1617" s="185">
        <f ca="1">OFFSET('IWP16'!Std9dot1DepositsInTransit, 0, 1, 1, 1)</f>
        <v>0</v>
      </c>
    </row>
    <row r="1618" spans="1:3">
      <c r="A1618" s="206" t="s">
        <v>1319</v>
      </c>
      <c r="B1618" s="157">
        <f ca="1">IF(OFFSET('IWP16'!Std9dot1DepositsInTransit, 1, 0, 1, 1) = DATE(1900,1,0),DATE(1900,1,1),OFFSET('IWP16'!Std9dot1DepositsInTransit, 1, 0, 1, 1))</f>
        <v>1</v>
      </c>
      <c r="C1618" s="185">
        <f ca="1">OFFSET('IWP16'!Std9dot1DepositsInTransit, 1, 1, 1, 1)</f>
        <v>0</v>
      </c>
    </row>
    <row r="1619" spans="1:3">
      <c r="A1619" s="206" t="s">
        <v>1319</v>
      </c>
      <c r="B1619" s="157">
        <f ca="1">IF(OFFSET('IWP16'!Std9dot1DepositsInTransit, 2, 0, 1, 1) = DATE(1900,1,0),DATE(1900,1,1),OFFSET('IWP16'!Std9dot1DepositsInTransit, 2, 0, 1, 1))</f>
        <v>1</v>
      </c>
      <c r="C1619" s="185">
        <f ca="1">OFFSET('IWP16'!Std9dot1DepositsInTransit, 2, 1, 1, 1)</f>
        <v>0</v>
      </c>
    </row>
    <row r="1620" spans="1:3">
      <c r="A1620" s="206" t="s">
        <v>1319</v>
      </c>
      <c r="B1620" s="157">
        <f ca="1">IF(OFFSET('IWP16'!Std9dot1DepositsInTransit, 3, 0, 1, 1) = DATE(1900,1,0),DATE(1900,1,1),OFFSET('IWP16'!Std9dot1DepositsInTransit, 3, 0, 1, 1))</f>
        <v>1</v>
      </c>
      <c r="C1620" s="185">
        <f ca="1">OFFSET('IWP16'!Std9dot1DepositsInTransit, 3, 1, 1, 1)</f>
        <v>0</v>
      </c>
    </row>
    <row r="1621" spans="1:3">
      <c r="A1621" s="206" t="s">
        <v>1319</v>
      </c>
      <c r="B1621" s="157">
        <f ca="1">IF(OFFSET('IWP16'!Std9dot1DepositsInTransit, 4, 0, 1, 1) = DATE(1900,1,0),DATE(1900,1,1),OFFSET('IWP16'!Std9dot1DepositsInTransit, 4, 0, 1, 1))</f>
        <v>1</v>
      </c>
      <c r="C1621" s="185">
        <f ca="1">OFFSET('IWP16'!Std9dot1DepositsInTransit, 4, 1, 1, 1)</f>
        <v>0</v>
      </c>
    </row>
    <row r="1622" spans="1:3">
      <c r="A1622" s="206" t="s">
        <v>1319</v>
      </c>
      <c r="B1622" s="157">
        <f ca="1">IF(OFFSET('IWP16'!Std9dot1DepositsInTransit, 5, 0, 1, 1) = DATE(1900,1,0),DATE(1900,1,1),OFFSET('IWP16'!Std9dot1DepositsInTransit, 5, 0, 1, 1))</f>
        <v>1</v>
      </c>
      <c r="C1622" s="185">
        <f ca="1">OFFSET('IWP16'!Std9dot1DepositsInTransit, 5, 1, 1, 1)</f>
        <v>0</v>
      </c>
    </row>
    <row r="1623" spans="1:3">
      <c r="A1623" s="206" t="s">
        <v>1319</v>
      </c>
      <c r="B1623" s="157">
        <f ca="1">IF(OFFSET('IWP16'!Std9dot1DepositsInTransit, 6, 0, 1, 1) = DATE(1900,1,0),DATE(1900,1,1),OFFSET('IWP16'!Std9dot1DepositsInTransit, 6, 0, 1, 1))</f>
        <v>1</v>
      </c>
      <c r="C1623" s="185">
        <f ca="1">OFFSET('IWP16'!Std9dot1DepositsInTransit, 6, 1, 1, 1)</f>
        <v>0</v>
      </c>
    </row>
    <row r="1624" spans="1:3">
      <c r="A1624" s="206" t="s">
        <v>1319</v>
      </c>
      <c r="B1624" s="157">
        <f ca="1">IF(OFFSET('IWP16'!Std9dot1DepositsInTransit, 7, 0, 1, 1) = DATE(1900,1,0),DATE(1900,1,1),OFFSET('IWP16'!Std9dot1DepositsInTransit, 7, 0, 1, 1))</f>
        <v>1</v>
      </c>
      <c r="C1624" s="185">
        <f ca="1">OFFSET('IWP16'!Std9dot1DepositsInTransit, 7, 1, 1, 1)</f>
        <v>0</v>
      </c>
    </row>
    <row r="1625" spans="1:3">
      <c r="A1625" s="206" t="s">
        <v>1319</v>
      </c>
      <c r="B1625" s="157">
        <f ca="1">IF(OFFSET('IWP16'!Std9dot1DepositsInTransit, 8, 0, 1, 1) = DATE(1900,1,0),DATE(1900,1,1),OFFSET('IWP16'!Std9dot1DepositsInTransit, 8, 0, 1, 1))</f>
        <v>1</v>
      </c>
      <c r="C1625" s="185">
        <f ca="1">OFFSET('IWP16'!Std9dot1DepositsInTransit, 8, 1, 1, 1)</f>
        <v>0</v>
      </c>
    </row>
    <row r="1626" spans="1:3">
      <c r="A1626" s="206" t="s">
        <v>1319</v>
      </c>
      <c r="B1626" s="157">
        <f ca="1">IF(OFFSET('IWP16'!Std9dot1DepositsInTransit, 9, 0, 1, 1) = DATE(1900,1,0),DATE(1900,1,1),OFFSET('IWP16'!Std9dot1DepositsInTransit, 9, 0, 1, 1))</f>
        <v>1</v>
      </c>
      <c r="C1626" s="185">
        <f ca="1">OFFSET('IWP16'!Std9dot1DepositsInTransit, 9, 1, 1, 1)</f>
        <v>0</v>
      </c>
    </row>
    <row r="1627" spans="1:3">
      <c r="A1627" s="206" t="s">
        <v>1320</v>
      </c>
      <c r="B1627" s="157">
        <f ca="1">IF(OFFSET('IWP17'!Std9dot1DepositsInTransit, 0, 0, 1, 1) = DATE(1900,1,0),DATE(1900,1,1),OFFSET('IWP17'!Std9dot1DepositsInTransit, 0, 0, 1, 1))</f>
        <v>1</v>
      </c>
      <c r="C1627" s="185">
        <f ca="1">OFFSET('IWP17'!Std9dot1DepositsInTransit, 0, 1, 1, 1)</f>
        <v>0</v>
      </c>
    </row>
    <row r="1628" spans="1:3">
      <c r="A1628" s="206" t="s">
        <v>1320</v>
      </c>
      <c r="B1628" s="157">
        <f ca="1">IF(OFFSET('IWP17'!Std9dot1DepositsInTransit, 1, 0, 1, 1) = DATE(1900,1,0),DATE(1900,1,1),OFFSET('IWP17'!Std9dot1DepositsInTransit, 1, 0, 1, 1))</f>
        <v>1</v>
      </c>
      <c r="C1628" s="185">
        <f ca="1">OFFSET('IWP17'!Std9dot1DepositsInTransit, 1, 1, 1, 1)</f>
        <v>0</v>
      </c>
    </row>
    <row r="1629" spans="1:3">
      <c r="A1629" s="206" t="s">
        <v>1320</v>
      </c>
      <c r="B1629" s="157">
        <f ca="1">IF(OFFSET('IWP17'!Std9dot1DepositsInTransit, 2, 0, 1, 1) = DATE(1900,1,0),DATE(1900,1,1),OFFSET('IWP17'!Std9dot1DepositsInTransit, 2, 0, 1, 1))</f>
        <v>1</v>
      </c>
      <c r="C1629" s="185">
        <f ca="1">OFFSET('IWP17'!Std9dot1DepositsInTransit, 2, 1, 1, 1)</f>
        <v>0</v>
      </c>
    </row>
    <row r="1630" spans="1:3">
      <c r="A1630" s="206" t="s">
        <v>1320</v>
      </c>
      <c r="B1630" s="157">
        <f ca="1">IF(OFFSET('IWP17'!Std9dot1DepositsInTransit, 3, 0, 1, 1) = DATE(1900,1,0),DATE(1900,1,1),OFFSET('IWP17'!Std9dot1DepositsInTransit, 3, 0, 1, 1))</f>
        <v>1</v>
      </c>
      <c r="C1630" s="185">
        <f ca="1">OFFSET('IWP17'!Std9dot1DepositsInTransit, 3, 1, 1, 1)</f>
        <v>0</v>
      </c>
    </row>
    <row r="1631" spans="1:3">
      <c r="A1631" s="206" t="s">
        <v>1320</v>
      </c>
      <c r="B1631" s="157">
        <f ca="1">IF(OFFSET('IWP17'!Std9dot1DepositsInTransit, 4, 0, 1, 1) = DATE(1900,1,0),DATE(1900,1,1),OFFSET('IWP17'!Std9dot1DepositsInTransit, 4, 0, 1, 1))</f>
        <v>1</v>
      </c>
      <c r="C1631" s="185">
        <f ca="1">OFFSET('IWP17'!Std9dot1DepositsInTransit, 4, 1, 1, 1)</f>
        <v>0</v>
      </c>
    </row>
    <row r="1632" spans="1:3">
      <c r="A1632" s="206" t="s">
        <v>1320</v>
      </c>
      <c r="B1632" s="157">
        <f ca="1">IF(OFFSET('IWP17'!Std9dot1DepositsInTransit, 5, 0, 1, 1) = DATE(1900,1,0),DATE(1900,1,1),OFFSET('IWP17'!Std9dot1DepositsInTransit, 5, 0, 1, 1))</f>
        <v>1</v>
      </c>
      <c r="C1632" s="185">
        <f ca="1">OFFSET('IWP17'!Std9dot1DepositsInTransit, 5, 1, 1, 1)</f>
        <v>0</v>
      </c>
    </row>
    <row r="1633" spans="1:3">
      <c r="A1633" s="206" t="s">
        <v>1320</v>
      </c>
      <c r="B1633" s="157">
        <f ca="1">IF(OFFSET('IWP17'!Std9dot1DepositsInTransit, 6, 0, 1, 1) = DATE(1900,1,0),DATE(1900,1,1),OFFSET('IWP17'!Std9dot1DepositsInTransit, 6, 0, 1, 1))</f>
        <v>1</v>
      </c>
      <c r="C1633" s="185">
        <f ca="1">OFFSET('IWP17'!Std9dot1DepositsInTransit, 6, 1, 1, 1)</f>
        <v>0</v>
      </c>
    </row>
    <row r="1634" spans="1:3">
      <c r="A1634" s="206" t="s">
        <v>1320</v>
      </c>
      <c r="B1634" s="157">
        <f ca="1">IF(OFFSET('IWP17'!Std9dot1DepositsInTransit, 7, 0, 1, 1) = DATE(1900,1,0),DATE(1900,1,1),OFFSET('IWP17'!Std9dot1DepositsInTransit, 7, 0, 1, 1))</f>
        <v>1</v>
      </c>
      <c r="C1634" s="185">
        <f ca="1">OFFSET('IWP17'!Std9dot1DepositsInTransit, 7, 1, 1, 1)</f>
        <v>0</v>
      </c>
    </row>
    <row r="1635" spans="1:3">
      <c r="A1635" s="206" t="s">
        <v>1320</v>
      </c>
      <c r="B1635" s="157">
        <f ca="1">IF(OFFSET('IWP17'!Std9dot1DepositsInTransit, 8, 0, 1, 1) = DATE(1900,1,0),DATE(1900,1,1),OFFSET('IWP17'!Std9dot1DepositsInTransit, 8, 0, 1, 1))</f>
        <v>1</v>
      </c>
      <c r="C1635" s="185">
        <f ca="1">OFFSET('IWP17'!Std9dot1DepositsInTransit, 8, 1, 1, 1)</f>
        <v>0</v>
      </c>
    </row>
    <row r="1636" spans="1:3">
      <c r="A1636" s="206" t="s">
        <v>1320</v>
      </c>
      <c r="B1636" s="157">
        <f ca="1">IF(OFFSET('IWP17'!Std9dot1DepositsInTransit, 9, 0, 1, 1) = DATE(1900,1,0),DATE(1900,1,1),OFFSET('IWP17'!Std9dot1DepositsInTransit, 9, 0, 1, 1))</f>
        <v>1</v>
      </c>
      <c r="C1636" s="185">
        <f ca="1">OFFSET('IWP17'!Std9dot1DepositsInTransit, 9, 1, 1, 1)</f>
        <v>0</v>
      </c>
    </row>
    <row r="1637" spans="1:3">
      <c r="A1637" s="206" t="s">
        <v>1321</v>
      </c>
      <c r="B1637" s="157">
        <f ca="1">IF(OFFSET('IWP18'!Std9dot1DepositsInTransit, 0, 0, 1, 1) = DATE(1900,1,0),DATE(1900,1,1),OFFSET('IWP18'!Std9dot1DepositsInTransit, 0, 0, 1, 1))</f>
        <v>1</v>
      </c>
      <c r="C1637" s="185">
        <f ca="1">OFFSET('IWP18'!Std9dot1DepositsInTransit, 0, 1, 1, 1)</f>
        <v>0</v>
      </c>
    </row>
    <row r="1638" spans="1:3">
      <c r="A1638" s="206" t="s">
        <v>1321</v>
      </c>
      <c r="B1638" s="157">
        <f ca="1">IF(OFFSET('IWP18'!Std9dot1DepositsInTransit, 1, 0, 1, 1) = DATE(1900,1,0),DATE(1900,1,1),OFFSET('IWP18'!Std9dot1DepositsInTransit, 1, 0, 1, 1))</f>
        <v>1</v>
      </c>
      <c r="C1638" s="185">
        <f ca="1">OFFSET('IWP18'!Std9dot1DepositsInTransit, 1, 1, 1, 1)</f>
        <v>0</v>
      </c>
    </row>
    <row r="1639" spans="1:3">
      <c r="A1639" s="206" t="s">
        <v>1321</v>
      </c>
      <c r="B1639" s="157">
        <f ca="1">IF(OFFSET('IWP18'!Std9dot1DepositsInTransit, 2, 0, 1, 1) = DATE(1900,1,0),DATE(1900,1,1),OFFSET('IWP18'!Std9dot1DepositsInTransit, 2, 0, 1, 1))</f>
        <v>1</v>
      </c>
      <c r="C1639" s="185">
        <f ca="1">OFFSET('IWP18'!Std9dot1DepositsInTransit, 2, 1, 1, 1)</f>
        <v>0</v>
      </c>
    </row>
    <row r="1640" spans="1:3">
      <c r="A1640" s="206" t="s">
        <v>1321</v>
      </c>
      <c r="B1640" s="157">
        <f ca="1">IF(OFFSET('IWP18'!Std9dot1DepositsInTransit, 3, 0, 1, 1) = DATE(1900,1,0),DATE(1900,1,1),OFFSET('IWP18'!Std9dot1DepositsInTransit, 3, 0, 1, 1))</f>
        <v>1</v>
      </c>
      <c r="C1640" s="185">
        <f ca="1">OFFSET('IWP18'!Std9dot1DepositsInTransit, 3, 1, 1, 1)</f>
        <v>0</v>
      </c>
    </row>
    <row r="1641" spans="1:3">
      <c r="A1641" s="206" t="s">
        <v>1321</v>
      </c>
      <c r="B1641" s="157">
        <f ca="1">IF(OFFSET('IWP18'!Std9dot1DepositsInTransit, 4, 0, 1, 1) = DATE(1900,1,0),DATE(1900,1,1),OFFSET('IWP18'!Std9dot1DepositsInTransit, 4, 0, 1, 1))</f>
        <v>1</v>
      </c>
      <c r="C1641" s="185">
        <f ca="1">OFFSET('IWP18'!Std9dot1DepositsInTransit, 4, 1, 1, 1)</f>
        <v>0</v>
      </c>
    </row>
    <row r="1642" spans="1:3">
      <c r="A1642" s="206" t="s">
        <v>1321</v>
      </c>
      <c r="B1642" s="157">
        <f ca="1">IF(OFFSET('IWP18'!Std9dot1DepositsInTransit, 5, 0, 1, 1) = DATE(1900,1,0),DATE(1900,1,1),OFFSET('IWP18'!Std9dot1DepositsInTransit, 5, 0, 1, 1))</f>
        <v>1</v>
      </c>
      <c r="C1642" s="185">
        <f ca="1">OFFSET('IWP18'!Std9dot1DepositsInTransit, 5, 1, 1, 1)</f>
        <v>0</v>
      </c>
    </row>
    <row r="1643" spans="1:3">
      <c r="A1643" s="206" t="s">
        <v>1321</v>
      </c>
      <c r="B1643" s="157">
        <f ca="1">IF(OFFSET('IWP18'!Std9dot1DepositsInTransit, 6, 0, 1, 1) = DATE(1900,1,0),DATE(1900,1,1),OFFSET('IWP18'!Std9dot1DepositsInTransit, 6, 0, 1, 1))</f>
        <v>1</v>
      </c>
      <c r="C1643" s="185">
        <f ca="1">OFFSET('IWP18'!Std9dot1DepositsInTransit, 6, 1, 1, 1)</f>
        <v>0</v>
      </c>
    </row>
    <row r="1644" spans="1:3">
      <c r="A1644" s="206" t="s">
        <v>1321</v>
      </c>
      <c r="B1644" s="157">
        <f ca="1">IF(OFFSET('IWP18'!Std9dot1DepositsInTransit, 7, 0, 1, 1) = DATE(1900,1,0),DATE(1900,1,1),OFFSET('IWP18'!Std9dot1DepositsInTransit, 7, 0, 1, 1))</f>
        <v>1</v>
      </c>
      <c r="C1644" s="185">
        <f ca="1">OFFSET('IWP18'!Std9dot1DepositsInTransit, 7, 1, 1, 1)</f>
        <v>0</v>
      </c>
    </row>
    <row r="1645" spans="1:3">
      <c r="A1645" s="206" t="s">
        <v>1321</v>
      </c>
      <c r="B1645" s="157">
        <f ca="1">IF(OFFSET('IWP18'!Std9dot1DepositsInTransit, 8, 0, 1, 1) = DATE(1900,1,0),DATE(1900,1,1),OFFSET('IWP18'!Std9dot1DepositsInTransit, 8, 0, 1, 1))</f>
        <v>1</v>
      </c>
      <c r="C1645" s="185">
        <f ca="1">OFFSET('IWP18'!Std9dot1DepositsInTransit, 8, 1, 1, 1)</f>
        <v>0</v>
      </c>
    </row>
    <row r="1646" spans="1:3">
      <c r="A1646" s="206" t="s">
        <v>1321</v>
      </c>
      <c r="B1646" s="157">
        <f ca="1">IF(OFFSET('IWP18'!Std9dot1DepositsInTransit, 9, 0, 1, 1) = DATE(1900,1,0),DATE(1900,1,1),OFFSET('IWP18'!Std9dot1DepositsInTransit, 9, 0, 1, 1))</f>
        <v>1</v>
      </c>
      <c r="C1646" s="185">
        <f ca="1">OFFSET('IWP18'!Std9dot1DepositsInTransit, 9, 1, 1, 1)</f>
        <v>0</v>
      </c>
    </row>
    <row r="1647" spans="1:3">
      <c r="A1647" s="206" t="s">
        <v>1322</v>
      </c>
      <c r="B1647" s="157">
        <f ca="1">IF(OFFSET('IWP19'!Std9dot1DepositsInTransit, 0, 0, 1, 1) = DATE(1900,1,0),DATE(1900,1,1),OFFSET('IWP19'!Std9dot1DepositsInTransit, 0, 0, 1, 1))</f>
        <v>1</v>
      </c>
      <c r="C1647" s="185">
        <f ca="1">OFFSET('IWP19'!Std9dot1DepositsInTransit, 0, 1, 1, 1)</f>
        <v>0</v>
      </c>
    </row>
    <row r="1648" spans="1:3">
      <c r="A1648" s="206" t="s">
        <v>1322</v>
      </c>
      <c r="B1648" s="157">
        <f ca="1">IF(OFFSET('IWP19'!Std9dot1DepositsInTransit, 1, 0, 1, 1) = DATE(1900,1,0),DATE(1900,1,1),OFFSET('IWP19'!Std9dot1DepositsInTransit, 1, 0, 1, 1))</f>
        <v>1</v>
      </c>
      <c r="C1648" s="185">
        <f ca="1">OFFSET('IWP19'!Std9dot1DepositsInTransit, 1, 1, 1, 1)</f>
        <v>0</v>
      </c>
    </row>
    <row r="1649" spans="1:3">
      <c r="A1649" s="206" t="s">
        <v>1322</v>
      </c>
      <c r="B1649" s="157">
        <f ca="1">IF(OFFSET('IWP19'!Std9dot1DepositsInTransit, 2, 0, 1, 1) = DATE(1900,1,0),DATE(1900,1,1),OFFSET('IWP19'!Std9dot1DepositsInTransit, 2, 0, 1, 1))</f>
        <v>1</v>
      </c>
      <c r="C1649" s="185">
        <f ca="1">OFFSET('IWP19'!Std9dot1DepositsInTransit, 2, 1, 1, 1)</f>
        <v>0</v>
      </c>
    </row>
    <row r="1650" spans="1:3">
      <c r="A1650" s="206" t="s">
        <v>1322</v>
      </c>
      <c r="B1650" s="157">
        <f ca="1">IF(OFFSET('IWP19'!Std9dot1DepositsInTransit, 3, 0, 1, 1) = DATE(1900,1,0),DATE(1900,1,1),OFFSET('IWP19'!Std9dot1DepositsInTransit, 3, 0, 1, 1))</f>
        <v>1</v>
      </c>
      <c r="C1650" s="185">
        <f ca="1">OFFSET('IWP19'!Std9dot1DepositsInTransit, 3, 1, 1, 1)</f>
        <v>0</v>
      </c>
    </row>
    <row r="1651" spans="1:3">
      <c r="A1651" s="206" t="s">
        <v>1322</v>
      </c>
      <c r="B1651" s="157">
        <f ca="1">IF(OFFSET('IWP19'!Std9dot1DepositsInTransit, 4, 0, 1, 1) = DATE(1900,1,0),DATE(1900,1,1),OFFSET('IWP19'!Std9dot1DepositsInTransit, 4, 0, 1, 1))</f>
        <v>1</v>
      </c>
      <c r="C1651" s="185">
        <f ca="1">OFFSET('IWP19'!Std9dot1DepositsInTransit, 4, 1, 1, 1)</f>
        <v>0</v>
      </c>
    </row>
    <row r="1652" spans="1:3">
      <c r="A1652" s="206" t="s">
        <v>1322</v>
      </c>
      <c r="B1652" s="157">
        <f ca="1">IF(OFFSET('IWP19'!Std9dot1DepositsInTransit, 5, 0, 1, 1) = DATE(1900,1,0),DATE(1900,1,1),OFFSET('IWP19'!Std9dot1DepositsInTransit, 5, 0, 1, 1))</f>
        <v>1</v>
      </c>
      <c r="C1652" s="185">
        <f ca="1">OFFSET('IWP19'!Std9dot1DepositsInTransit, 5, 1, 1, 1)</f>
        <v>0</v>
      </c>
    </row>
    <row r="1653" spans="1:3">
      <c r="A1653" s="206" t="s">
        <v>1322</v>
      </c>
      <c r="B1653" s="157">
        <f ca="1">IF(OFFSET('IWP19'!Std9dot1DepositsInTransit, 6, 0, 1, 1) = DATE(1900,1,0),DATE(1900,1,1),OFFSET('IWP19'!Std9dot1DepositsInTransit, 6, 0, 1, 1))</f>
        <v>1</v>
      </c>
      <c r="C1653" s="185">
        <f ca="1">OFFSET('IWP19'!Std9dot1DepositsInTransit, 6, 1, 1, 1)</f>
        <v>0</v>
      </c>
    </row>
    <row r="1654" spans="1:3">
      <c r="A1654" s="206" t="s">
        <v>1322</v>
      </c>
      <c r="B1654" s="157">
        <f ca="1">IF(OFFSET('IWP19'!Std9dot1DepositsInTransit, 7, 0, 1, 1) = DATE(1900,1,0),DATE(1900,1,1),OFFSET('IWP19'!Std9dot1DepositsInTransit, 7, 0, 1, 1))</f>
        <v>1</v>
      </c>
      <c r="C1654" s="185">
        <f ca="1">OFFSET('IWP19'!Std9dot1DepositsInTransit, 7, 1, 1, 1)</f>
        <v>0</v>
      </c>
    </row>
    <row r="1655" spans="1:3">
      <c r="A1655" s="206" t="s">
        <v>1322</v>
      </c>
      <c r="B1655" s="157">
        <f ca="1">IF(OFFSET('IWP19'!Std9dot1DepositsInTransit, 8, 0, 1, 1) = DATE(1900,1,0),DATE(1900,1,1),OFFSET('IWP19'!Std9dot1DepositsInTransit, 8, 0, 1, 1))</f>
        <v>1</v>
      </c>
      <c r="C1655" s="185">
        <f ca="1">OFFSET('IWP19'!Std9dot1DepositsInTransit, 8, 1, 1, 1)</f>
        <v>0</v>
      </c>
    </row>
    <row r="1656" spans="1:3">
      <c r="A1656" s="206" t="s">
        <v>1322</v>
      </c>
      <c r="B1656" s="157">
        <f ca="1">IF(OFFSET('IWP19'!Std9dot1DepositsInTransit, 9, 0, 1, 1) = DATE(1900,1,0),DATE(1900,1,1),OFFSET('IWP19'!Std9dot1DepositsInTransit, 9, 0, 1, 1))</f>
        <v>1</v>
      </c>
      <c r="C1656" s="185">
        <f ca="1">OFFSET('IWP19'!Std9dot1DepositsInTransit, 9, 1, 1, 1)</f>
        <v>0</v>
      </c>
    </row>
    <row r="1657" spans="1:3">
      <c r="A1657" s="206" t="s">
        <v>1323</v>
      </c>
      <c r="B1657" s="157">
        <f ca="1">IF(OFFSET('IWP20'!Std9dot1DepositsInTransit, 0, 0, 1, 1) = DATE(1900,1,0),DATE(1900,1,1),OFFSET('IWP20'!Std9dot1DepositsInTransit, 0, 0, 1, 1))</f>
        <v>1</v>
      </c>
      <c r="C1657" s="185">
        <f ca="1">OFFSET('IWP20'!Std9dot1DepositsInTransit, 0, 1, 1, 1)</f>
        <v>0</v>
      </c>
    </row>
    <row r="1658" spans="1:3">
      <c r="A1658" s="206" t="s">
        <v>1323</v>
      </c>
      <c r="B1658" s="157">
        <f ca="1">IF(OFFSET('IWP20'!Std9dot1DepositsInTransit, 1, 0, 1, 1) = DATE(1900,1,0),DATE(1900,1,1),OFFSET('IWP20'!Std9dot1DepositsInTransit, 1, 0, 1, 1))</f>
        <v>1</v>
      </c>
      <c r="C1658" s="185">
        <f ca="1">OFFSET('IWP20'!Std9dot1DepositsInTransit, 1, 1, 1, 1)</f>
        <v>0</v>
      </c>
    </row>
    <row r="1659" spans="1:3">
      <c r="A1659" s="206" t="s">
        <v>1323</v>
      </c>
      <c r="B1659" s="157">
        <f ca="1">IF(OFFSET('IWP20'!Std9dot1DepositsInTransit, 2, 0, 1, 1) = DATE(1900,1,0),DATE(1900,1,1),OFFSET('IWP20'!Std9dot1DepositsInTransit, 2, 0, 1, 1))</f>
        <v>1</v>
      </c>
      <c r="C1659" s="185">
        <f ca="1">OFFSET('IWP20'!Std9dot1DepositsInTransit, 2, 1, 1, 1)</f>
        <v>0</v>
      </c>
    </row>
    <row r="1660" spans="1:3">
      <c r="A1660" s="206" t="s">
        <v>1323</v>
      </c>
      <c r="B1660" s="157">
        <f ca="1">IF(OFFSET('IWP20'!Std9dot1DepositsInTransit, 3, 0, 1, 1) = DATE(1900,1,0),DATE(1900,1,1),OFFSET('IWP20'!Std9dot1DepositsInTransit, 3, 0, 1, 1))</f>
        <v>1</v>
      </c>
      <c r="C1660" s="185">
        <f ca="1">OFFSET('IWP20'!Std9dot1DepositsInTransit, 3, 1, 1, 1)</f>
        <v>0</v>
      </c>
    </row>
    <row r="1661" spans="1:3">
      <c r="A1661" s="206" t="s">
        <v>1323</v>
      </c>
      <c r="B1661" s="157">
        <f ca="1">IF(OFFSET('IWP20'!Std9dot1DepositsInTransit, 4, 0, 1, 1) = DATE(1900,1,0),DATE(1900,1,1),OFFSET('IWP20'!Std9dot1DepositsInTransit, 4, 0, 1, 1))</f>
        <v>1</v>
      </c>
      <c r="C1661" s="185">
        <f ca="1">OFFSET('IWP20'!Std9dot1DepositsInTransit, 4, 1, 1, 1)</f>
        <v>0</v>
      </c>
    </row>
    <row r="1662" spans="1:3">
      <c r="A1662" s="206" t="s">
        <v>1323</v>
      </c>
      <c r="B1662" s="157">
        <f ca="1">IF(OFFSET('IWP20'!Std9dot1DepositsInTransit, 5, 0, 1, 1) = DATE(1900,1,0),DATE(1900,1,1),OFFSET('IWP20'!Std9dot1DepositsInTransit, 5, 0, 1, 1))</f>
        <v>1</v>
      </c>
      <c r="C1662" s="185">
        <f ca="1">OFFSET('IWP20'!Std9dot1DepositsInTransit, 5, 1, 1, 1)</f>
        <v>0</v>
      </c>
    </row>
    <row r="1663" spans="1:3">
      <c r="A1663" s="206" t="s">
        <v>1323</v>
      </c>
      <c r="B1663" s="157">
        <f ca="1">IF(OFFSET('IWP20'!Std9dot1DepositsInTransit, 6, 0, 1, 1) = DATE(1900,1,0),DATE(1900,1,1),OFFSET('IWP20'!Std9dot1DepositsInTransit, 6, 0, 1, 1))</f>
        <v>1</v>
      </c>
      <c r="C1663" s="185">
        <f ca="1">OFFSET('IWP20'!Std9dot1DepositsInTransit, 6, 1, 1, 1)</f>
        <v>0</v>
      </c>
    </row>
    <row r="1664" spans="1:3">
      <c r="A1664" s="206" t="s">
        <v>1323</v>
      </c>
      <c r="B1664" s="157">
        <f ca="1">IF(OFFSET('IWP20'!Std9dot1DepositsInTransit, 7, 0, 1, 1) = DATE(1900,1,0),DATE(1900,1,1),OFFSET('IWP20'!Std9dot1DepositsInTransit, 7, 0, 1, 1))</f>
        <v>1</v>
      </c>
      <c r="C1664" s="185">
        <f ca="1">OFFSET('IWP20'!Std9dot1DepositsInTransit, 7, 1, 1, 1)</f>
        <v>0</v>
      </c>
    </row>
    <row r="1665" spans="1:3">
      <c r="A1665" s="206" t="s">
        <v>1323</v>
      </c>
      <c r="B1665" s="157">
        <f ca="1">IF(OFFSET('IWP20'!Std9dot1DepositsInTransit, 8, 0, 1, 1) = DATE(1900,1,0),DATE(1900,1,1),OFFSET('IWP20'!Std9dot1DepositsInTransit, 8, 0, 1, 1))</f>
        <v>1</v>
      </c>
      <c r="C1665" s="185">
        <f ca="1">OFFSET('IWP20'!Std9dot1DepositsInTransit, 8, 1, 1, 1)</f>
        <v>0</v>
      </c>
    </row>
    <row r="1666" spans="1:3">
      <c r="A1666" s="206" t="s">
        <v>1323</v>
      </c>
      <c r="B1666" s="157">
        <f ca="1">IF(OFFSET('IWP20'!Std9dot1DepositsInTransit, 9, 0, 1, 1) = DATE(1900,1,0),DATE(1900,1,1),OFFSET('IWP20'!Std9dot1DepositsInTransit, 9, 0, 1, 1))</f>
        <v>1</v>
      </c>
      <c r="C1666" s="185">
        <f ca="1">OFFSET('IWP20'!Std9dot1DepositsInTransit, 9, 1, 1, 1)</f>
        <v>0</v>
      </c>
    </row>
    <row r="1667" spans="1:3">
      <c r="A1667" s="206" t="s">
        <v>1324</v>
      </c>
      <c r="B1667" s="157">
        <f ca="1">IF(OFFSET('IWP21'!Std9dot1DepositsInTransit, 0, 0, 1, 1) = DATE(1900,1,0),DATE(1900,1,1),OFFSET('IWP21'!Std9dot1DepositsInTransit, 0, 0, 1, 1))</f>
        <v>1</v>
      </c>
      <c r="C1667" s="185">
        <f ca="1">OFFSET('IWP21'!Std9dot1DepositsInTransit, 0, 1, 1, 1)</f>
        <v>0</v>
      </c>
    </row>
    <row r="1668" spans="1:3">
      <c r="A1668" s="206" t="s">
        <v>1324</v>
      </c>
      <c r="B1668" s="157">
        <f ca="1">IF(OFFSET('IWP21'!Std9dot1DepositsInTransit, 1, 0, 1, 1) = DATE(1900,1,0),DATE(1900,1,1),OFFSET('IWP21'!Std9dot1DepositsInTransit, 1, 0, 1, 1))</f>
        <v>1</v>
      </c>
      <c r="C1668" s="185">
        <f ca="1">OFFSET('IWP21'!Std9dot1DepositsInTransit, 1, 1, 1, 1)</f>
        <v>0</v>
      </c>
    </row>
    <row r="1669" spans="1:3">
      <c r="A1669" s="206" t="s">
        <v>1324</v>
      </c>
      <c r="B1669" s="157">
        <f ca="1">IF(OFFSET('IWP21'!Std9dot1DepositsInTransit, 2, 0, 1, 1) = DATE(1900,1,0),DATE(1900,1,1),OFFSET('IWP21'!Std9dot1DepositsInTransit, 2, 0, 1, 1))</f>
        <v>1</v>
      </c>
      <c r="C1669" s="185">
        <f ca="1">OFFSET('IWP21'!Std9dot1DepositsInTransit, 2, 1, 1, 1)</f>
        <v>0</v>
      </c>
    </row>
    <row r="1670" spans="1:3">
      <c r="A1670" s="206" t="s">
        <v>1324</v>
      </c>
      <c r="B1670" s="157">
        <f ca="1">IF(OFFSET('IWP21'!Std9dot1DepositsInTransit, 3, 0, 1, 1) = DATE(1900,1,0),DATE(1900,1,1),OFFSET('IWP21'!Std9dot1DepositsInTransit, 3, 0, 1, 1))</f>
        <v>1</v>
      </c>
      <c r="C1670" s="185">
        <f ca="1">OFFSET('IWP21'!Std9dot1DepositsInTransit, 3, 1, 1, 1)</f>
        <v>0</v>
      </c>
    </row>
    <row r="1671" spans="1:3">
      <c r="A1671" s="206" t="s">
        <v>1324</v>
      </c>
      <c r="B1671" s="157">
        <f ca="1">IF(OFFSET('IWP21'!Std9dot1DepositsInTransit, 4, 0, 1, 1) = DATE(1900,1,0),DATE(1900,1,1),OFFSET('IWP21'!Std9dot1DepositsInTransit, 4, 0, 1, 1))</f>
        <v>1</v>
      </c>
      <c r="C1671" s="185">
        <f ca="1">OFFSET('IWP21'!Std9dot1DepositsInTransit, 4, 1, 1, 1)</f>
        <v>0</v>
      </c>
    </row>
    <row r="1672" spans="1:3">
      <c r="A1672" s="206" t="s">
        <v>1324</v>
      </c>
      <c r="B1672" s="157">
        <f ca="1">IF(OFFSET('IWP21'!Std9dot1DepositsInTransit, 5, 0, 1, 1) = DATE(1900,1,0),DATE(1900,1,1),OFFSET('IWP21'!Std9dot1DepositsInTransit, 5, 0, 1, 1))</f>
        <v>1</v>
      </c>
      <c r="C1672" s="185">
        <f ca="1">OFFSET('IWP21'!Std9dot1DepositsInTransit, 5, 1, 1, 1)</f>
        <v>0</v>
      </c>
    </row>
    <row r="1673" spans="1:3">
      <c r="A1673" s="206" t="s">
        <v>1324</v>
      </c>
      <c r="B1673" s="157">
        <f ca="1">IF(OFFSET('IWP21'!Std9dot1DepositsInTransit, 6, 0, 1, 1) = DATE(1900,1,0),DATE(1900,1,1),OFFSET('IWP21'!Std9dot1DepositsInTransit, 6, 0, 1, 1))</f>
        <v>1</v>
      </c>
      <c r="C1673" s="185">
        <f ca="1">OFFSET('IWP21'!Std9dot1DepositsInTransit, 6, 1, 1, 1)</f>
        <v>0</v>
      </c>
    </row>
    <row r="1674" spans="1:3">
      <c r="A1674" s="206" t="s">
        <v>1324</v>
      </c>
      <c r="B1674" s="157">
        <f ca="1">IF(OFFSET('IWP21'!Std9dot1DepositsInTransit, 7, 0, 1, 1) = DATE(1900,1,0),DATE(1900,1,1),OFFSET('IWP21'!Std9dot1DepositsInTransit, 7, 0, 1, 1))</f>
        <v>1</v>
      </c>
      <c r="C1674" s="185">
        <f ca="1">OFFSET('IWP21'!Std9dot1DepositsInTransit, 7, 1, 1, 1)</f>
        <v>0</v>
      </c>
    </row>
    <row r="1675" spans="1:3">
      <c r="A1675" s="206" t="s">
        <v>1324</v>
      </c>
      <c r="B1675" s="157">
        <f ca="1">IF(OFFSET('IWP21'!Std9dot1DepositsInTransit, 8, 0, 1, 1) = DATE(1900,1,0),DATE(1900,1,1),OFFSET('IWP21'!Std9dot1DepositsInTransit, 8, 0, 1, 1))</f>
        <v>1</v>
      </c>
      <c r="C1675" s="185">
        <f ca="1">OFFSET('IWP21'!Std9dot1DepositsInTransit, 8, 1, 1, 1)</f>
        <v>0</v>
      </c>
    </row>
    <row r="1676" spans="1:3">
      <c r="A1676" s="206" t="s">
        <v>1324</v>
      </c>
      <c r="B1676" s="157">
        <f ca="1">IF(OFFSET('IWP21'!Std9dot1DepositsInTransit, 9, 0, 1, 1) = DATE(1900,1,0),DATE(1900,1,1),OFFSET('IWP21'!Std9dot1DepositsInTransit, 9, 0, 1, 1))</f>
        <v>1</v>
      </c>
      <c r="C1676" s="185">
        <f ca="1">OFFSET('IWP21'!Std9dot1DepositsInTransit, 9, 1, 1, 1)</f>
        <v>0</v>
      </c>
    </row>
    <row r="1677" spans="1:3">
      <c r="A1677" s="206" t="s">
        <v>1325</v>
      </c>
      <c r="B1677" s="157">
        <f ca="1">IF(OFFSET('IWP22'!Std9dot1DepositsInTransit, 0, 0, 1, 1) = DATE(1900,1,0),DATE(1900,1,1),OFFSET('IWP22'!Std9dot1DepositsInTransit, 0, 0, 1, 1))</f>
        <v>1</v>
      </c>
      <c r="C1677" s="185">
        <f ca="1">OFFSET('IWP22'!Std9dot1DepositsInTransit, 0, 1, 1, 1)</f>
        <v>0</v>
      </c>
    </row>
    <row r="1678" spans="1:3">
      <c r="A1678" s="206" t="s">
        <v>1325</v>
      </c>
      <c r="B1678" s="157">
        <f ca="1">IF(OFFSET('IWP22'!Std9dot1DepositsInTransit, 1, 0, 1, 1) = DATE(1900,1,0),DATE(1900,1,1),OFFSET('IWP22'!Std9dot1DepositsInTransit, 1, 0, 1, 1))</f>
        <v>1</v>
      </c>
      <c r="C1678" s="185">
        <f ca="1">OFFSET('IWP22'!Std9dot1DepositsInTransit, 1, 1, 1, 1)</f>
        <v>0</v>
      </c>
    </row>
    <row r="1679" spans="1:3">
      <c r="A1679" s="206" t="s">
        <v>1325</v>
      </c>
      <c r="B1679" s="157">
        <f ca="1">IF(OFFSET('IWP22'!Std9dot1DepositsInTransit, 2, 0, 1, 1) = DATE(1900,1,0),DATE(1900,1,1),OFFSET('IWP22'!Std9dot1DepositsInTransit, 2, 0, 1, 1))</f>
        <v>1</v>
      </c>
      <c r="C1679" s="185">
        <f ca="1">OFFSET('IWP22'!Std9dot1DepositsInTransit, 2, 1, 1, 1)</f>
        <v>0</v>
      </c>
    </row>
    <row r="1680" spans="1:3">
      <c r="A1680" s="206" t="s">
        <v>1325</v>
      </c>
      <c r="B1680" s="157">
        <f ca="1">IF(OFFSET('IWP22'!Std9dot1DepositsInTransit, 3, 0, 1, 1) = DATE(1900,1,0),DATE(1900,1,1),OFFSET('IWP22'!Std9dot1DepositsInTransit, 3, 0, 1, 1))</f>
        <v>1</v>
      </c>
      <c r="C1680" s="185">
        <f ca="1">OFFSET('IWP22'!Std9dot1DepositsInTransit, 3, 1, 1, 1)</f>
        <v>0</v>
      </c>
    </row>
    <row r="1681" spans="1:3">
      <c r="A1681" s="206" t="s">
        <v>1325</v>
      </c>
      <c r="B1681" s="157">
        <f ca="1">IF(OFFSET('IWP22'!Std9dot1DepositsInTransit, 4, 0, 1, 1) = DATE(1900,1,0),DATE(1900,1,1),OFFSET('IWP22'!Std9dot1DepositsInTransit, 4, 0, 1, 1))</f>
        <v>1</v>
      </c>
      <c r="C1681" s="185">
        <f ca="1">OFFSET('IWP22'!Std9dot1DepositsInTransit, 4, 1, 1, 1)</f>
        <v>0</v>
      </c>
    </row>
    <row r="1682" spans="1:3">
      <c r="A1682" s="206" t="s">
        <v>1325</v>
      </c>
      <c r="B1682" s="157">
        <f ca="1">IF(OFFSET('IWP22'!Std9dot1DepositsInTransit, 5, 0, 1, 1) = DATE(1900,1,0),DATE(1900,1,1),OFFSET('IWP22'!Std9dot1DepositsInTransit, 5, 0, 1, 1))</f>
        <v>1</v>
      </c>
      <c r="C1682" s="185">
        <f ca="1">OFFSET('IWP22'!Std9dot1DepositsInTransit, 5, 1, 1, 1)</f>
        <v>0</v>
      </c>
    </row>
    <row r="1683" spans="1:3">
      <c r="A1683" s="206" t="s">
        <v>1325</v>
      </c>
      <c r="B1683" s="157">
        <f ca="1">IF(OFFSET('IWP22'!Std9dot1DepositsInTransit, 6, 0, 1, 1) = DATE(1900,1,0),DATE(1900,1,1),OFFSET('IWP22'!Std9dot1DepositsInTransit, 6, 0, 1, 1))</f>
        <v>1</v>
      </c>
      <c r="C1683" s="185">
        <f ca="1">OFFSET('IWP22'!Std9dot1DepositsInTransit, 6, 1, 1, 1)</f>
        <v>0</v>
      </c>
    </row>
    <row r="1684" spans="1:3">
      <c r="A1684" s="206" t="s">
        <v>1325</v>
      </c>
      <c r="B1684" s="157">
        <f ca="1">IF(OFFSET('IWP22'!Std9dot1DepositsInTransit, 7, 0, 1, 1) = DATE(1900,1,0),DATE(1900,1,1),OFFSET('IWP22'!Std9dot1DepositsInTransit, 7, 0, 1, 1))</f>
        <v>1</v>
      </c>
      <c r="C1684" s="185">
        <f ca="1">OFFSET('IWP22'!Std9dot1DepositsInTransit, 7, 1, 1, 1)</f>
        <v>0</v>
      </c>
    </row>
    <row r="1685" spans="1:3">
      <c r="A1685" s="206" t="s">
        <v>1325</v>
      </c>
      <c r="B1685" s="157">
        <f ca="1">IF(OFFSET('IWP22'!Std9dot1DepositsInTransit, 8, 0, 1, 1) = DATE(1900,1,0),DATE(1900,1,1),OFFSET('IWP22'!Std9dot1DepositsInTransit, 8, 0, 1, 1))</f>
        <v>1</v>
      </c>
      <c r="C1685" s="185">
        <f ca="1">OFFSET('IWP22'!Std9dot1DepositsInTransit, 8, 1, 1, 1)</f>
        <v>0</v>
      </c>
    </row>
    <row r="1686" spans="1:3">
      <c r="A1686" s="206" t="s">
        <v>1325</v>
      </c>
      <c r="B1686" s="157">
        <f ca="1">IF(OFFSET('IWP22'!Std9dot1DepositsInTransit, 9, 0, 1, 1) = DATE(1900,1,0),DATE(1900,1,1),OFFSET('IWP22'!Std9dot1DepositsInTransit, 9, 0, 1, 1))</f>
        <v>1</v>
      </c>
      <c r="C1686" s="185">
        <f ca="1">OFFSET('IWP22'!Std9dot1DepositsInTransit, 9, 1, 1, 1)</f>
        <v>0</v>
      </c>
    </row>
    <row r="1687" spans="1:3">
      <c r="A1687" s="206" t="s">
        <v>1326</v>
      </c>
      <c r="B1687" s="157">
        <f ca="1">IF(OFFSET('IWP23'!Std9dot1DepositsInTransit, 0, 0, 1, 1) = DATE(1900,1,0),DATE(1900,1,1),OFFSET('IWP23'!Std9dot1DepositsInTransit, 0, 0, 1, 1))</f>
        <v>1</v>
      </c>
      <c r="C1687" s="185">
        <f ca="1">OFFSET('IWP23'!Std9dot1DepositsInTransit, 0, 1, 1, 1)</f>
        <v>0</v>
      </c>
    </row>
    <row r="1688" spans="1:3">
      <c r="A1688" s="206" t="s">
        <v>1326</v>
      </c>
      <c r="B1688" s="157">
        <f ca="1">IF(OFFSET('IWP23'!Std9dot1DepositsInTransit, 1, 0, 1, 1) = DATE(1900,1,0),DATE(1900,1,1),OFFSET('IWP23'!Std9dot1DepositsInTransit, 1, 0, 1, 1))</f>
        <v>1</v>
      </c>
      <c r="C1688" s="185">
        <f ca="1">OFFSET('IWP23'!Std9dot1DepositsInTransit, 1, 1, 1, 1)</f>
        <v>0</v>
      </c>
    </row>
    <row r="1689" spans="1:3">
      <c r="A1689" s="206" t="s">
        <v>1326</v>
      </c>
      <c r="B1689" s="157">
        <f ca="1">IF(OFFSET('IWP23'!Std9dot1DepositsInTransit, 2, 0, 1, 1) = DATE(1900,1,0),DATE(1900,1,1),OFFSET('IWP23'!Std9dot1DepositsInTransit, 2, 0, 1, 1))</f>
        <v>1</v>
      </c>
      <c r="C1689" s="185">
        <f ca="1">OFFSET('IWP23'!Std9dot1DepositsInTransit, 2, 1, 1, 1)</f>
        <v>0</v>
      </c>
    </row>
    <row r="1690" spans="1:3">
      <c r="A1690" s="206" t="s">
        <v>1326</v>
      </c>
      <c r="B1690" s="157">
        <f ca="1">IF(OFFSET('IWP23'!Std9dot1DepositsInTransit, 3, 0, 1, 1) = DATE(1900,1,0),DATE(1900,1,1),OFFSET('IWP23'!Std9dot1DepositsInTransit, 3, 0, 1, 1))</f>
        <v>1</v>
      </c>
      <c r="C1690" s="185">
        <f ca="1">OFFSET('IWP23'!Std9dot1DepositsInTransit, 3, 1, 1, 1)</f>
        <v>0</v>
      </c>
    </row>
    <row r="1691" spans="1:3">
      <c r="A1691" s="206" t="s">
        <v>1326</v>
      </c>
      <c r="B1691" s="157">
        <f ca="1">IF(OFFSET('IWP23'!Std9dot1DepositsInTransit, 4, 0, 1, 1) = DATE(1900,1,0),DATE(1900,1,1),OFFSET('IWP23'!Std9dot1DepositsInTransit, 4, 0, 1, 1))</f>
        <v>1</v>
      </c>
      <c r="C1691" s="185">
        <f ca="1">OFFSET('IWP23'!Std9dot1DepositsInTransit, 4, 1, 1, 1)</f>
        <v>0</v>
      </c>
    </row>
    <row r="1692" spans="1:3">
      <c r="A1692" s="206" t="s">
        <v>1326</v>
      </c>
      <c r="B1692" s="157">
        <f ca="1">IF(OFFSET('IWP23'!Std9dot1DepositsInTransit, 5, 0, 1, 1) = DATE(1900,1,0),DATE(1900,1,1),OFFSET('IWP23'!Std9dot1DepositsInTransit, 5, 0, 1, 1))</f>
        <v>1</v>
      </c>
      <c r="C1692" s="185">
        <f ca="1">OFFSET('IWP23'!Std9dot1DepositsInTransit, 5, 1, 1, 1)</f>
        <v>0</v>
      </c>
    </row>
    <row r="1693" spans="1:3">
      <c r="A1693" s="206" t="s">
        <v>1326</v>
      </c>
      <c r="B1693" s="157">
        <f ca="1">IF(OFFSET('IWP23'!Std9dot1DepositsInTransit, 6, 0, 1, 1) = DATE(1900,1,0),DATE(1900,1,1),OFFSET('IWP23'!Std9dot1DepositsInTransit, 6, 0, 1, 1))</f>
        <v>1</v>
      </c>
      <c r="C1693" s="185">
        <f ca="1">OFFSET('IWP23'!Std9dot1DepositsInTransit, 6, 1, 1, 1)</f>
        <v>0</v>
      </c>
    </row>
    <row r="1694" spans="1:3">
      <c r="A1694" s="206" t="s">
        <v>1326</v>
      </c>
      <c r="B1694" s="157">
        <f ca="1">IF(OFFSET('IWP23'!Std9dot1DepositsInTransit, 7, 0, 1, 1) = DATE(1900,1,0),DATE(1900,1,1),OFFSET('IWP23'!Std9dot1DepositsInTransit, 7, 0, 1, 1))</f>
        <v>1</v>
      </c>
      <c r="C1694" s="185">
        <f ca="1">OFFSET('IWP23'!Std9dot1DepositsInTransit, 7, 1, 1, 1)</f>
        <v>0</v>
      </c>
    </row>
    <row r="1695" spans="1:3">
      <c r="A1695" s="206" t="s">
        <v>1326</v>
      </c>
      <c r="B1695" s="157">
        <f ca="1">IF(OFFSET('IWP23'!Std9dot1DepositsInTransit, 8, 0, 1, 1) = DATE(1900,1,0),DATE(1900,1,1),OFFSET('IWP23'!Std9dot1DepositsInTransit, 8, 0, 1, 1))</f>
        <v>1</v>
      </c>
      <c r="C1695" s="185">
        <f ca="1">OFFSET('IWP23'!Std9dot1DepositsInTransit, 8, 1, 1, 1)</f>
        <v>0</v>
      </c>
    </row>
    <row r="1696" spans="1:3">
      <c r="A1696" s="206" t="s">
        <v>1326</v>
      </c>
      <c r="B1696" s="157">
        <f ca="1">IF(OFFSET('IWP23'!Std9dot1DepositsInTransit, 9, 0, 1, 1) = DATE(1900,1,0),DATE(1900,1,1),OFFSET('IWP23'!Std9dot1DepositsInTransit, 9, 0, 1, 1))</f>
        <v>1</v>
      </c>
      <c r="C1696" s="185">
        <f ca="1">OFFSET('IWP23'!Std9dot1DepositsInTransit, 9, 1, 1, 1)</f>
        <v>0</v>
      </c>
    </row>
    <row r="1697" spans="1:3">
      <c r="A1697" s="206" t="s">
        <v>1327</v>
      </c>
      <c r="B1697" s="157">
        <f ca="1">IF(OFFSET('IWP24'!Std9dot1DepositsInTransit, 0, 0, 1, 1) = DATE(1900,1,0),DATE(1900,1,1),OFFSET('IWP24'!Std9dot1DepositsInTransit, 0, 0, 1, 1))</f>
        <v>1</v>
      </c>
      <c r="C1697" s="185">
        <f ca="1">OFFSET('IWP24'!Std9dot1DepositsInTransit, 0, 1, 1, 1)</f>
        <v>0</v>
      </c>
    </row>
    <row r="1698" spans="1:3">
      <c r="A1698" s="206" t="s">
        <v>1327</v>
      </c>
      <c r="B1698" s="157">
        <f ca="1">IF(OFFSET('IWP24'!Std9dot1DepositsInTransit, 1, 0, 1, 1) = DATE(1900,1,0),DATE(1900,1,1),OFFSET('IWP24'!Std9dot1DepositsInTransit, 1, 0, 1, 1))</f>
        <v>1</v>
      </c>
      <c r="C1698" s="185">
        <f ca="1">OFFSET('IWP24'!Std9dot1DepositsInTransit, 1, 1, 1, 1)</f>
        <v>0</v>
      </c>
    </row>
    <row r="1699" spans="1:3">
      <c r="A1699" s="206" t="s">
        <v>1327</v>
      </c>
      <c r="B1699" s="157">
        <f ca="1">IF(OFFSET('IWP24'!Std9dot1DepositsInTransit, 2, 0, 1, 1) = DATE(1900,1,0),DATE(1900,1,1),OFFSET('IWP24'!Std9dot1DepositsInTransit, 2, 0, 1, 1))</f>
        <v>1</v>
      </c>
      <c r="C1699" s="185">
        <f ca="1">OFFSET('IWP24'!Std9dot1DepositsInTransit, 2, 1, 1, 1)</f>
        <v>0</v>
      </c>
    </row>
    <row r="1700" spans="1:3">
      <c r="A1700" s="206" t="s">
        <v>1327</v>
      </c>
      <c r="B1700" s="157">
        <f ca="1">IF(OFFSET('IWP24'!Std9dot1DepositsInTransit, 3, 0, 1, 1) = DATE(1900,1,0),DATE(1900,1,1),OFFSET('IWP24'!Std9dot1DepositsInTransit, 3, 0, 1, 1))</f>
        <v>1</v>
      </c>
      <c r="C1700" s="185">
        <f ca="1">OFFSET('IWP24'!Std9dot1DepositsInTransit, 3, 1, 1, 1)</f>
        <v>0</v>
      </c>
    </row>
    <row r="1701" spans="1:3">
      <c r="A1701" s="206" t="s">
        <v>1327</v>
      </c>
      <c r="B1701" s="157">
        <f ca="1">IF(OFFSET('IWP24'!Std9dot1DepositsInTransit, 4, 0, 1, 1) = DATE(1900,1,0),DATE(1900,1,1),OFFSET('IWP24'!Std9dot1DepositsInTransit, 4, 0, 1, 1))</f>
        <v>1</v>
      </c>
      <c r="C1701" s="185">
        <f ca="1">OFFSET('IWP24'!Std9dot1DepositsInTransit, 4, 1, 1, 1)</f>
        <v>0</v>
      </c>
    </row>
    <row r="1702" spans="1:3">
      <c r="A1702" s="206" t="s">
        <v>1327</v>
      </c>
      <c r="B1702" s="157">
        <f ca="1">IF(OFFSET('IWP24'!Std9dot1DepositsInTransit, 5, 0, 1, 1) = DATE(1900,1,0),DATE(1900,1,1),OFFSET('IWP24'!Std9dot1DepositsInTransit, 5, 0, 1, 1))</f>
        <v>1</v>
      </c>
      <c r="C1702" s="185">
        <f ca="1">OFFSET('IWP24'!Std9dot1DepositsInTransit, 5, 1, 1, 1)</f>
        <v>0</v>
      </c>
    </row>
    <row r="1703" spans="1:3">
      <c r="A1703" s="206" t="s">
        <v>1327</v>
      </c>
      <c r="B1703" s="157">
        <f ca="1">IF(OFFSET('IWP24'!Std9dot1DepositsInTransit, 6, 0, 1, 1) = DATE(1900,1,0),DATE(1900,1,1),OFFSET('IWP24'!Std9dot1DepositsInTransit, 6, 0, 1, 1))</f>
        <v>1</v>
      </c>
      <c r="C1703" s="185">
        <f ca="1">OFFSET('IWP24'!Std9dot1DepositsInTransit, 6, 1, 1, 1)</f>
        <v>0</v>
      </c>
    </row>
    <row r="1704" spans="1:3">
      <c r="A1704" s="206" t="s">
        <v>1327</v>
      </c>
      <c r="B1704" s="157">
        <f ca="1">IF(OFFSET('IWP24'!Std9dot1DepositsInTransit, 7, 0, 1, 1) = DATE(1900,1,0),DATE(1900,1,1),OFFSET('IWP24'!Std9dot1DepositsInTransit, 7, 0, 1, 1))</f>
        <v>1</v>
      </c>
      <c r="C1704" s="185">
        <f ca="1">OFFSET('IWP24'!Std9dot1DepositsInTransit, 7, 1, 1, 1)</f>
        <v>0</v>
      </c>
    </row>
    <row r="1705" spans="1:3">
      <c r="A1705" s="206" t="s">
        <v>1327</v>
      </c>
      <c r="B1705" s="157">
        <f ca="1">IF(OFFSET('IWP24'!Std9dot1DepositsInTransit, 8, 0, 1, 1) = DATE(1900,1,0),DATE(1900,1,1),OFFSET('IWP24'!Std9dot1DepositsInTransit, 8, 0, 1, 1))</f>
        <v>1</v>
      </c>
      <c r="C1705" s="185">
        <f ca="1">OFFSET('IWP24'!Std9dot1DepositsInTransit, 8, 1, 1, 1)</f>
        <v>0</v>
      </c>
    </row>
    <row r="1706" spans="1:3">
      <c r="A1706" s="206" t="s">
        <v>1327</v>
      </c>
      <c r="B1706" s="157">
        <f ca="1">IF(OFFSET('IWP24'!Std9dot1DepositsInTransit, 9, 0, 1, 1) = DATE(1900,1,0),DATE(1900,1,1),OFFSET('IWP24'!Std9dot1DepositsInTransit, 9, 0, 1, 1))</f>
        <v>1</v>
      </c>
      <c r="C1706" s="185">
        <f ca="1">OFFSET('IWP24'!Std9dot1DepositsInTransit, 9, 1, 1, 1)</f>
        <v>0</v>
      </c>
    </row>
    <row r="1707" spans="1:3">
      <c r="A1707" s="206" t="s">
        <v>1328</v>
      </c>
      <c r="B1707" s="157">
        <f ca="1">IF(OFFSET('IWP25'!Std9dot1DepositsInTransit, 0, 0, 1, 1) = DATE(1900,1,0),DATE(1900,1,1),OFFSET('IWP25'!Std9dot1DepositsInTransit, 0, 0, 1, 1))</f>
        <v>1</v>
      </c>
      <c r="C1707" s="185">
        <f ca="1">OFFSET('IWP25'!Std9dot1DepositsInTransit, 0, 1, 1, 1)</f>
        <v>0</v>
      </c>
    </row>
    <row r="1708" spans="1:3">
      <c r="A1708" s="206" t="s">
        <v>1328</v>
      </c>
      <c r="B1708" s="157">
        <f ca="1">IF(OFFSET('IWP25'!Std9dot1DepositsInTransit, 1, 0, 1, 1) = DATE(1900,1,0),DATE(1900,1,1),OFFSET('IWP25'!Std9dot1DepositsInTransit, 1, 0, 1, 1))</f>
        <v>1</v>
      </c>
      <c r="C1708" s="185">
        <f ca="1">OFFSET('IWP25'!Std9dot1DepositsInTransit, 1, 1, 1, 1)</f>
        <v>0</v>
      </c>
    </row>
    <row r="1709" spans="1:3">
      <c r="A1709" s="206" t="s">
        <v>1328</v>
      </c>
      <c r="B1709" s="157">
        <f ca="1">IF(OFFSET('IWP25'!Std9dot1DepositsInTransit, 2, 0, 1, 1) = DATE(1900,1,0),DATE(1900,1,1),OFFSET('IWP25'!Std9dot1DepositsInTransit, 2, 0, 1, 1))</f>
        <v>1</v>
      </c>
      <c r="C1709" s="185">
        <f ca="1">OFFSET('IWP25'!Std9dot1DepositsInTransit, 2, 1, 1, 1)</f>
        <v>0</v>
      </c>
    </row>
    <row r="1710" spans="1:3">
      <c r="A1710" s="206" t="s">
        <v>1328</v>
      </c>
      <c r="B1710" s="157">
        <f ca="1">IF(OFFSET('IWP25'!Std9dot1DepositsInTransit, 3, 0, 1, 1) = DATE(1900,1,0),DATE(1900,1,1),OFFSET('IWP25'!Std9dot1DepositsInTransit, 3, 0, 1, 1))</f>
        <v>1</v>
      </c>
      <c r="C1710" s="185">
        <f ca="1">OFFSET('IWP25'!Std9dot1DepositsInTransit, 3, 1, 1, 1)</f>
        <v>0</v>
      </c>
    </row>
    <row r="1711" spans="1:3">
      <c r="A1711" s="206" t="s">
        <v>1328</v>
      </c>
      <c r="B1711" s="157">
        <f ca="1">IF(OFFSET('IWP25'!Std9dot1DepositsInTransit, 4, 0, 1, 1) = DATE(1900,1,0),DATE(1900,1,1),OFFSET('IWP25'!Std9dot1DepositsInTransit, 4, 0, 1, 1))</f>
        <v>1</v>
      </c>
      <c r="C1711" s="185">
        <f ca="1">OFFSET('IWP25'!Std9dot1DepositsInTransit, 4, 1, 1, 1)</f>
        <v>0</v>
      </c>
    </row>
    <row r="1712" spans="1:3">
      <c r="A1712" s="206" t="s">
        <v>1328</v>
      </c>
      <c r="B1712" s="157">
        <f ca="1">IF(OFFSET('IWP25'!Std9dot1DepositsInTransit, 5, 0, 1, 1) = DATE(1900,1,0),DATE(1900,1,1),OFFSET('IWP25'!Std9dot1DepositsInTransit, 5, 0, 1, 1))</f>
        <v>1</v>
      </c>
      <c r="C1712" s="185">
        <f ca="1">OFFSET('IWP25'!Std9dot1DepositsInTransit, 5, 1, 1, 1)</f>
        <v>0</v>
      </c>
    </row>
    <row r="1713" spans="1:3">
      <c r="A1713" s="206" t="s">
        <v>1328</v>
      </c>
      <c r="B1713" s="157">
        <f ca="1">IF(OFFSET('IWP25'!Std9dot1DepositsInTransit, 6, 0, 1, 1) = DATE(1900,1,0),DATE(1900,1,1),OFFSET('IWP25'!Std9dot1DepositsInTransit, 6, 0, 1, 1))</f>
        <v>1</v>
      </c>
      <c r="C1713" s="185">
        <f ca="1">OFFSET('IWP25'!Std9dot1DepositsInTransit, 6, 1, 1, 1)</f>
        <v>0</v>
      </c>
    </row>
    <row r="1714" spans="1:3">
      <c r="A1714" s="206" t="s">
        <v>1328</v>
      </c>
      <c r="B1714" s="157">
        <f ca="1">IF(OFFSET('IWP25'!Std9dot1DepositsInTransit, 7, 0, 1, 1) = DATE(1900,1,0),DATE(1900,1,1),OFFSET('IWP25'!Std9dot1DepositsInTransit, 7, 0, 1, 1))</f>
        <v>1</v>
      </c>
      <c r="C1714" s="185">
        <f ca="1">OFFSET('IWP25'!Std9dot1DepositsInTransit, 7, 1, 1, 1)</f>
        <v>0</v>
      </c>
    </row>
    <row r="1715" spans="1:3">
      <c r="A1715" s="206" t="s">
        <v>1328</v>
      </c>
      <c r="B1715" s="157">
        <f ca="1">IF(OFFSET('IWP25'!Std9dot1DepositsInTransit, 8, 0, 1, 1) = DATE(1900,1,0),DATE(1900,1,1),OFFSET('IWP25'!Std9dot1DepositsInTransit, 8, 0, 1, 1))</f>
        <v>1</v>
      </c>
      <c r="C1715" s="185">
        <f ca="1">OFFSET('IWP25'!Std9dot1DepositsInTransit, 8, 1, 1, 1)</f>
        <v>0</v>
      </c>
    </row>
    <row r="1716" spans="1:3">
      <c r="A1716" s="206" t="s">
        <v>1328</v>
      </c>
      <c r="B1716" s="157">
        <f ca="1">IF(OFFSET('IWP25'!Std9dot1DepositsInTransit, 9, 0, 1, 1) = DATE(1900,1,0),DATE(1900,1,1),OFFSET('IWP25'!Std9dot1DepositsInTransit, 9, 0, 1, 1))</f>
        <v>1</v>
      </c>
      <c r="C1716" s="185">
        <f ca="1">OFFSET('IWP25'!Std9dot1DepositsInTransit, 9, 1, 1, 1)</f>
        <v>0</v>
      </c>
    </row>
    <row r="1717" spans="1:3">
      <c r="A1717" s="206" t="s">
        <v>1329</v>
      </c>
      <c r="B1717" s="157">
        <f ca="1">IF(OFFSET('IWP26'!Std9dot1DepositsInTransit, 0, 0, 1, 1) = DATE(1900,1,0),DATE(1900,1,1),OFFSET('IWP26'!Std9dot1DepositsInTransit, 0, 0, 1, 1))</f>
        <v>1</v>
      </c>
      <c r="C1717" s="185">
        <f ca="1">OFFSET('IWP26'!Std9dot1DepositsInTransit, 0, 1, 1, 1)</f>
        <v>0</v>
      </c>
    </row>
    <row r="1718" spans="1:3">
      <c r="A1718" s="206" t="s">
        <v>1329</v>
      </c>
      <c r="B1718" s="157">
        <f ca="1">IF(OFFSET('IWP26'!Std9dot1DepositsInTransit, 1, 0, 1, 1) = DATE(1900,1,0),DATE(1900,1,1),OFFSET('IWP26'!Std9dot1DepositsInTransit, 1, 0, 1, 1))</f>
        <v>1</v>
      </c>
      <c r="C1718" s="185">
        <f ca="1">OFFSET('IWP26'!Std9dot1DepositsInTransit, 1, 1, 1, 1)</f>
        <v>0</v>
      </c>
    </row>
    <row r="1719" spans="1:3">
      <c r="A1719" s="206" t="s">
        <v>1329</v>
      </c>
      <c r="B1719" s="157">
        <f ca="1">IF(OFFSET('IWP26'!Std9dot1DepositsInTransit, 2, 0, 1, 1) = DATE(1900,1,0),DATE(1900,1,1),OFFSET('IWP26'!Std9dot1DepositsInTransit, 2, 0, 1, 1))</f>
        <v>1</v>
      </c>
      <c r="C1719" s="185">
        <f ca="1">OFFSET('IWP26'!Std9dot1DepositsInTransit, 2, 1, 1, 1)</f>
        <v>0</v>
      </c>
    </row>
    <row r="1720" spans="1:3">
      <c r="A1720" s="206" t="s">
        <v>1329</v>
      </c>
      <c r="B1720" s="157">
        <f ca="1">IF(OFFSET('IWP26'!Std9dot1DepositsInTransit, 3, 0, 1, 1) = DATE(1900,1,0),DATE(1900,1,1),OFFSET('IWP26'!Std9dot1DepositsInTransit, 3, 0, 1, 1))</f>
        <v>1</v>
      </c>
      <c r="C1720" s="185">
        <f ca="1">OFFSET('IWP26'!Std9dot1DepositsInTransit, 3, 1, 1, 1)</f>
        <v>0</v>
      </c>
    </row>
    <row r="1721" spans="1:3">
      <c r="A1721" s="206" t="s">
        <v>1329</v>
      </c>
      <c r="B1721" s="157">
        <f ca="1">IF(OFFSET('IWP26'!Std9dot1DepositsInTransit, 4, 0, 1, 1) = DATE(1900,1,0),DATE(1900,1,1),OFFSET('IWP26'!Std9dot1DepositsInTransit, 4, 0, 1, 1))</f>
        <v>1</v>
      </c>
      <c r="C1721" s="185">
        <f ca="1">OFFSET('IWP26'!Std9dot1DepositsInTransit, 4, 1, 1, 1)</f>
        <v>0</v>
      </c>
    </row>
    <row r="1722" spans="1:3">
      <c r="A1722" s="206" t="s">
        <v>1329</v>
      </c>
      <c r="B1722" s="157">
        <f ca="1">IF(OFFSET('IWP26'!Std9dot1DepositsInTransit, 5, 0, 1, 1) = DATE(1900,1,0),DATE(1900,1,1),OFFSET('IWP26'!Std9dot1DepositsInTransit, 5, 0, 1, 1))</f>
        <v>1</v>
      </c>
      <c r="C1722" s="185">
        <f ca="1">OFFSET('IWP26'!Std9dot1DepositsInTransit, 5, 1, 1, 1)</f>
        <v>0</v>
      </c>
    </row>
    <row r="1723" spans="1:3">
      <c r="A1723" s="206" t="s">
        <v>1329</v>
      </c>
      <c r="B1723" s="157">
        <f ca="1">IF(OFFSET('IWP26'!Std9dot1DepositsInTransit, 6, 0, 1, 1) = DATE(1900,1,0),DATE(1900,1,1),OFFSET('IWP26'!Std9dot1DepositsInTransit, 6, 0, 1, 1))</f>
        <v>1</v>
      </c>
      <c r="C1723" s="185">
        <f ca="1">OFFSET('IWP26'!Std9dot1DepositsInTransit, 6, 1, 1, 1)</f>
        <v>0</v>
      </c>
    </row>
    <row r="1724" spans="1:3">
      <c r="A1724" s="206" t="s">
        <v>1329</v>
      </c>
      <c r="B1724" s="157">
        <f ca="1">IF(OFFSET('IWP26'!Std9dot1DepositsInTransit, 7, 0, 1, 1) = DATE(1900,1,0),DATE(1900,1,1),OFFSET('IWP26'!Std9dot1DepositsInTransit, 7, 0, 1, 1))</f>
        <v>1</v>
      </c>
      <c r="C1724" s="185">
        <f ca="1">OFFSET('IWP26'!Std9dot1DepositsInTransit, 7, 1, 1, 1)</f>
        <v>0</v>
      </c>
    </row>
    <row r="1725" spans="1:3">
      <c r="A1725" s="206" t="s">
        <v>1329</v>
      </c>
      <c r="B1725" s="157">
        <f ca="1">IF(OFFSET('IWP26'!Std9dot1DepositsInTransit, 8, 0, 1, 1) = DATE(1900,1,0),DATE(1900,1,1),OFFSET('IWP26'!Std9dot1DepositsInTransit, 8, 0, 1, 1))</f>
        <v>1</v>
      </c>
      <c r="C1725" s="185">
        <f ca="1">OFFSET('IWP26'!Std9dot1DepositsInTransit, 8, 1, 1, 1)</f>
        <v>0</v>
      </c>
    </row>
    <row r="1726" spans="1:3">
      <c r="A1726" s="206" t="s">
        <v>1329</v>
      </c>
      <c r="B1726" s="157">
        <f ca="1">IF(OFFSET('IWP26'!Std9dot1DepositsInTransit, 9, 0, 1, 1) = DATE(1900,1,0),DATE(1900,1,1),OFFSET('IWP26'!Std9dot1DepositsInTransit, 9, 0, 1, 1))</f>
        <v>1</v>
      </c>
      <c r="C1726" s="185">
        <f ca="1">OFFSET('IWP26'!Std9dot1DepositsInTransit, 9, 1, 1, 1)</f>
        <v>0</v>
      </c>
    </row>
    <row r="1727" spans="1:3">
      <c r="A1727" s="206" t="s">
        <v>1330</v>
      </c>
      <c r="B1727" s="157">
        <f ca="1">IF(OFFSET('IWP27'!Std9dot1DepositsInTransit, 0, 0, 1, 1) = DATE(1900,1,0),DATE(1900,1,1),OFFSET('IWP27'!Std9dot1DepositsInTransit, 0, 0, 1, 1))</f>
        <v>1</v>
      </c>
      <c r="C1727" s="185">
        <f ca="1">OFFSET('IWP27'!Std9dot1DepositsInTransit, 0, 1, 1, 1)</f>
        <v>0</v>
      </c>
    </row>
    <row r="1728" spans="1:3">
      <c r="A1728" s="206" t="s">
        <v>1330</v>
      </c>
      <c r="B1728" s="157">
        <f ca="1">IF(OFFSET('IWP27'!Std9dot1DepositsInTransit, 1, 0, 1, 1) = DATE(1900,1,0),DATE(1900,1,1),OFFSET('IWP27'!Std9dot1DepositsInTransit, 1, 0, 1, 1))</f>
        <v>1</v>
      </c>
      <c r="C1728" s="185">
        <f ca="1">OFFSET('IWP27'!Std9dot1DepositsInTransit, 1, 1, 1, 1)</f>
        <v>0</v>
      </c>
    </row>
    <row r="1729" spans="1:3">
      <c r="A1729" s="206" t="s">
        <v>1330</v>
      </c>
      <c r="B1729" s="157">
        <f ca="1">IF(OFFSET('IWP27'!Std9dot1DepositsInTransit, 2, 0, 1, 1) = DATE(1900,1,0),DATE(1900,1,1),OFFSET('IWP27'!Std9dot1DepositsInTransit, 2, 0, 1, 1))</f>
        <v>1</v>
      </c>
      <c r="C1729" s="185">
        <f ca="1">OFFSET('IWP27'!Std9dot1DepositsInTransit, 2, 1, 1, 1)</f>
        <v>0</v>
      </c>
    </row>
    <row r="1730" spans="1:3">
      <c r="A1730" s="206" t="s">
        <v>1330</v>
      </c>
      <c r="B1730" s="157">
        <f ca="1">IF(OFFSET('IWP27'!Std9dot1DepositsInTransit, 3, 0, 1, 1) = DATE(1900,1,0),DATE(1900,1,1),OFFSET('IWP27'!Std9dot1DepositsInTransit, 3, 0, 1, 1))</f>
        <v>1</v>
      </c>
      <c r="C1730" s="185">
        <f ca="1">OFFSET('IWP27'!Std9dot1DepositsInTransit, 3, 1, 1, 1)</f>
        <v>0</v>
      </c>
    </row>
    <row r="1731" spans="1:3">
      <c r="A1731" s="206" t="s">
        <v>1330</v>
      </c>
      <c r="B1731" s="157">
        <f ca="1">IF(OFFSET('IWP27'!Std9dot1DepositsInTransit, 4, 0, 1, 1) = DATE(1900,1,0),DATE(1900,1,1),OFFSET('IWP27'!Std9dot1DepositsInTransit, 4, 0, 1, 1))</f>
        <v>1</v>
      </c>
      <c r="C1731" s="185">
        <f ca="1">OFFSET('IWP27'!Std9dot1DepositsInTransit, 4, 1, 1, 1)</f>
        <v>0</v>
      </c>
    </row>
    <row r="1732" spans="1:3">
      <c r="A1732" s="206" t="s">
        <v>1330</v>
      </c>
      <c r="B1732" s="157">
        <f ca="1">IF(OFFSET('IWP27'!Std9dot1DepositsInTransit, 5, 0, 1, 1) = DATE(1900,1,0),DATE(1900,1,1),OFFSET('IWP27'!Std9dot1DepositsInTransit, 5, 0, 1, 1))</f>
        <v>1</v>
      </c>
      <c r="C1732" s="185">
        <f ca="1">OFFSET('IWP27'!Std9dot1DepositsInTransit, 5, 1, 1, 1)</f>
        <v>0</v>
      </c>
    </row>
    <row r="1733" spans="1:3">
      <c r="A1733" s="206" t="s">
        <v>1330</v>
      </c>
      <c r="B1733" s="157">
        <f ca="1">IF(OFFSET('IWP27'!Std9dot1DepositsInTransit, 6, 0, 1, 1) = DATE(1900,1,0),DATE(1900,1,1),OFFSET('IWP27'!Std9dot1DepositsInTransit, 6, 0, 1, 1))</f>
        <v>1</v>
      </c>
      <c r="C1733" s="185">
        <f ca="1">OFFSET('IWP27'!Std9dot1DepositsInTransit, 6, 1, 1, 1)</f>
        <v>0</v>
      </c>
    </row>
    <row r="1734" spans="1:3">
      <c r="A1734" s="206" t="s">
        <v>1330</v>
      </c>
      <c r="B1734" s="157">
        <f ca="1">IF(OFFSET('IWP27'!Std9dot1DepositsInTransit, 7, 0, 1, 1) = DATE(1900,1,0),DATE(1900,1,1),OFFSET('IWP27'!Std9dot1DepositsInTransit, 7, 0, 1, 1))</f>
        <v>1</v>
      </c>
      <c r="C1734" s="185">
        <f ca="1">OFFSET('IWP27'!Std9dot1DepositsInTransit, 7, 1, 1, 1)</f>
        <v>0</v>
      </c>
    </row>
    <row r="1735" spans="1:3">
      <c r="A1735" s="206" t="s">
        <v>1330</v>
      </c>
      <c r="B1735" s="157">
        <f ca="1">IF(OFFSET('IWP27'!Std9dot1DepositsInTransit, 8, 0, 1, 1) = DATE(1900,1,0),DATE(1900,1,1),OFFSET('IWP27'!Std9dot1DepositsInTransit, 8, 0, 1, 1))</f>
        <v>1</v>
      </c>
      <c r="C1735" s="185">
        <f ca="1">OFFSET('IWP27'!Std9dot1DepositsInTransit, 8, 1, 1, 1)</f>
        <v>0</v>
      </c>
    </row>
    <row r="1736" spans="1:3">
      <c r="A1736" s="206" t="s">
        <v>1330</v>
      </c>
      <c r="B1736" s="157">
        <f ca="1">IF(OFFSET('IWP27'!Std9dot1DepositsInTransit, 9, 0, 1, 1) = DATE(1900,1,0),DATE(1900,1,1),OFFSET('IWP27'!Std9dot1DepositsInTransit, 9, 0, 1, 1))</f>
        <v>1</v>
      </c>
      <c r="C1736" s="185">
        <f ca="1">OFFSET('IWP27'!Std9dot1DepositsInTransit, 9, 1, 1, 1)</f>
        <v>0</v>
      </c>
    </row>
    <row r="1737" spans="1:3">
      <c r="A1737" s="206" t="s">
        <v>1331</v>
      </c>
      <c r="B1737" s="157">
        <f ca="1">IF(OFFSET('IWP28'!Std9dot1DepositsInTransit, 0, 0, 1, 1) = DATE(1900,1,0),DATE(1900,1,1),OFFSET('IWP28'!Std9dot1DepositsInTransit, 0, 0, 1, 1))</f>
        <v>1</v>
      </c>
      <c r="C1737" s="185">
        <f ca="1">OFFSET('IWP28'!Std9dot1DepositsInTransit, 0, 1, 1, 1)</f>
        <v>0</v>
      </c>
    </row>
    <row r="1738" spans="1:3">
      <c r="A1738" s="206" t="s">
        <v>1331</v>
      </c>
      <c r="B1738" s="157">
        <f ca="1">IF(OFFSET('IWP28'!Std9dot1DepositsInTransit, 1, 0, 1, 1) = DATE(1900,1,0),DATE(1900,1,1),OFFSET('IWP28'!Std9dot1DepositsInTransit, 1, 0, 1, 1))</f>
        <v>1</v>
      </c>
      <c r="C1738" s="185">
        <f ca="1">OFFSET('IWP28'!Std9dot1DepositsInTransit, 1, 1, 1, 1)</f>
        <v>0</v>
      </c>
    </row>
    <row r="1739" spans="1:3">
      <c r="A1739" s="206" t="s">
        <v>1331</v>
      </c>
      <c r="B1739" s="157">
        <f ca="1">IF(OFFSET('IWP28'!Std9dot1DepositsInTransit, 2, 0, 1, 1) = DATE(1900,1,0),DATE(1900,1,1),OFFSET('IWP28'!Std9dot1DepositsInTransit, 2, 0, 1, 1))</f>
        <v>1</v>
      </c>
      <c r="C1739" s="185">
        <f ca="1">OFFSET('IWP28'!Std9dot1DepositsInTransit, 2, 1, 1, 1)</f>
        <v>0</v>
      </c>
    </row>
    <row r="1740" spans="1:3">
      <c r="A1740" s="206" t="s">
        <v>1331</v>
      </c>
      <c r="B1740" s="157">
        <f ca="1">IF(OFFSET('IWP28'!Std9dot1DepositsInTransit, 3, 0, 1, 1) = DATE(1900,1,0),DATE(1900,1,1),OFFSET('IWP28'!Std9dot1DepositsInTransit, 3, 0, 1, 1))</f>
        <v>1</v>
      </c>
      <c r="C1740" s="185">
        <f ca="1">OFFSET('IWP28'!Std9dot1DepositsInTransit, 3, 1, 1, 1)</f>
        <v>0</v>
      </c>
    </row>
    <row r="1741" spans="1:3">
      <c r="A1741" s="206" t="s">
        <v>1331</v>
      </c>
      <c r="B1741" s="157">
        <f ca="1">IF(OFFSET('IWP28'!Std9dot1DepositsInTransit, 4, 0, 1, 1) = DATE(1900,1,0),DATE(1900,1,1),OFFSET('IWP28'!Std9dot1DepositsInTransit, 4, 0, 1, 1))</f>
        <v>1</v>
      </c>
      <c r="C1741" s="185">
        <f ca="1">OFFSET('IWP28'!Std9dot1DepositsInTransit, 4, 1, 1, 1)</f>
        <v>0</v>
      </c>
    </row>
    <row r="1742" spans="1:3">
      <c r="A1742" s="206" t="s">
        <v>1331</v>
      </c>
      <c r="B1742" s="157">
        <f ca="1">IF(OFFSET('IWP28'!Std9dot1DepositsInTransit, 5, 0, 1, 1) = DATE(1900,1,0),DATE(1900,1,1),OFFSET('IWP28'!Std9dot1DepositsInTransit, 5, 0, 1, 1))</f>
        <v>1</v>
      </c>
      <c r="C1742" s="185">
        <f ca="1">OFFSET('IWP28'!Std9dot1DepositsInTransit, 5, 1, 1, 1)</f>
        <v>0</v>
      </c>
    </row>
    <row r="1743" spans="1:3">
      <c r="A1743" s="206" t="s">
        <v>1331</v>
      </c>
      <c r="B1743" s="157">
        <f ca="1">IF(OFFSET('IWP28'!Std9dot1DepositsInTransit, 6, 0, 1, 1) = DATE(1900,1,0),DATE(1900,1,1),OFFSET('IWP28'!Std9dot1DepositsInTransit, 6, 0, 1, 1))</f>
        <v>1</v>
      </c>
      <c r="C1743" s="185">
        <f ca="1">OFFSET('IWP28'!Std9dot1DepositsInTransit, 6, 1, 1, 1)</f>
        <v>0</v>
      </c>
    </row>
    <row r="1744" spans="1:3">
      <c r="A1744" s="206" t="s">
        <v>1331</v>
      </c>
      <c r="B1744" s="157">
        <f ca="1">IF(OFFSET('IWP28'!Std9dot1DepositsInTransit, 7, 0, 1, 1) = DATE(1900,1,0),DATE(1900,1,1),OFFSET('IWP28'!Std9dot1DepositsInTransit, 7, 0, 1, 1))</f>
        <v>1</v>
      </c>
      <c r="C1744" s="185">
        <f ca="1">OFFSET('IWP28'!Std9dot1DepositsInTransit, 7, 1, 1, 1)</f>
        <v>0</v>
      </c>
    </row>
    <row r="1745" spans="1:3">
      <c r="A1745" s="206" t="s">
        <v>1331</v>
      </c>
      <c r="B1745" s="157">
        <f ca="1">IF(OFFSET('IWP28'!Std9dot1DepositsInTransit, 8, 0, 1, 1) = DATE(1900,1,0),DATE(1900,1,1),OFFSET('IWP28'!Std9dot1DepositsInTransit, 8, 0, 1, 1))</f>
        <v>1</v>
      </c>
      <c r="C1745" s="185">
        <f ca="1">OFFSET('IWP28'!Std9dot1DepositsInTransit, 8, 1, 1, 1)</f>
        <v>0</v>
      </c>
    </row>
    <row r="1746" spans="1:3">
      <c r="A1746" s="206" t="s">
        <v>1331</v>
      </c>
      <c r="B1746" s="157">
        <f ca="1">IF(OFFSET('IWP28'!Std9dot1DepositsInTransit, 9, 0, 1, 1) = DATE(1900,1,0),DATE(1900,1,1),OFFSET('IWP28'!Std9dot1DepositsInTransit, 9, 0, 1, 1))</f>
        <v>1</v>
      </c>
      <c r="C1746" s="185">
        <f ca="1">OFFSET('IWP28'!Std9dot1DepositsInTransit, 9, 1, 1, 1)</f>
        <v>0</v>
      </c>
    </row>
    <row r="1747" spans="1:3">
      <c r="A1747" s="206" t="s">
        <v>1332</v>
      </c>
      <c r="B1747" s="157">
        <f ca="1">IF(OFFSET('IWP29'!Std9dot1DepositsInTransit, 0, 0, 1, 1) = DATE(1900,1,0),DATE(1900,1,1),OFFSET('IWP29'!Std9dot1DepositsInTransit, 0, 0, 1, 1))</f>
        <v>1</v>
      </c>
      <c r="C1747" s="185">
        <f ca="1">OFFSET('IWP29'!Std9dot1DepositsInTransit, 0, 1, 1, 1)</f>
        <v>0</v>
      </c>
    </row>
    <row r="1748" spans="1:3">
      <c r="A1748" s="206" t="s">
        <v>1332</v>
      </c>
      <c r="B1748" s="157">
        <f ca="1">IF(OFFSET('IWP29'!Std9dot1DepositsInTransit, 1, 0, 1, 1) = DATE(1900,1,0),DATE(1900,1,1),OFFSET('IWP29'!Std9dot1DepositsInTransit, 1, 0, 1, 1))</f>
        <v>1</v>
      </c>
      <c r="C1748" s="185">
        <f ca="1">OFFSET('IWP29'!Std9dot1DepositsInTransit, 1, 1, 1, 1)</f>
        <v>0</v>
      </c>
    </row>
    <row r="1749" spans="1:3">
      <c r="A1749" s="206" t="s">
        <v>1332</v>
      </c>
      <c r="B1749" s="157">
        <f ca="1">IF(OFFSET('IWP29'!Std9dot1DepositsInTransit, 2, 0, 1, 1) = DATE(1900,1,0),DATE(1900,1,1),OFFSET('IWP29'!Std9dot1DepositsInTransit, 2, 0, 1, 1))</f>
        <v>1</v>
      </c>
      <c r="C1749" s="185">
        <f ca="1">OFFSET('IWP29'!Std9dot1DepositsInTransit, 2, 1, 1, 1)</f>
        <v>0</v>
      </c>
    </row>
    <row r="1750" spans="1:3">
      <c r="A1750" s="206" t="s">
        <v>1332</v>
      </c>
      <c r="B1750" s="157">
        <f ca="1">IF(OFFSET('IWP29'!Std9dot1DepositsInTransit, 3, 0, 1, 1) = DATE(1900,1,0),DATE(1900,1,1),OFFSET('IWP29'!Std9dot1DepositsInTransit, 3, 0, 1, 1))</f>
        <v>1</v>
      </c>
      <c r="C1750" s="185">
        <f ca="1">OFFSET('IWP29'!Std9dot1DepositsInTransit, 3, 1, 1, 1)</f>
        <v>0</v>
      </c>
    </row>
    <row r="1751" spans="1:3">
      <c r="A1751" s="206" t="s">
        <v>1332</v>
      </c>
      <c r="B1751" s="157">
        <f ca="1">IF(OFFSET('IWP29'!Std9dot1DepositsInTransit, 4, 0, 1, 1) = DATE(1900,1,0),DATE(1900,1,1),OFFSET('IWP29'!Std9dot1DepositsInTransit, 4, 0, 1, 1))</f>
        <v>1</v>
      </c>
      <c r="C1751" s="185">
        <f ca="1">OFFSET('IWP29'!Std9dot1DepositsInTransit, 4, 1, 1, 1)</f>
        <v>0</v>
      </c>
    </row>
    <row r="1752" spans="1:3">
      <c r="A1752" s="206" t="s">
        <v>1332</v>
      </c>
      <c r="B1752" s="157">
        <f ca="1">IF(OFFSET('IWP29'!Std9dot1DepositsInTransit, 5, 0, 1, 1) = DATE(1900,1,0),DATE(1900,1,1),OFFSET('IWP29'!Std9dot1DepositsInTransit, 5, 0, 1, 1))</f>
        <v>1</v>
      </c>
      <c r="C1752" s="185">
        <f ca="1">OFFSET('IWP29'!Std9dot1DepositsInTransit, 5, 1, 1, 1)</f>
        <v>0</v>
      </c>
    </row>
    <row r="1753" spans="1:3">
      <c r="A1753" s="206" t="s">
        <v>1332</v>
      </c>
      <c r="B1753" s="157">
        <f ca="1">IF(OFFSET('IWP29'!Std9dot1DepositsInTransit, 6, 0, 1, 1) = DATE(1900,1,0),DATE(1900,1,1),OFFSET('IWP29'!Std9dot1DepositsInTransit, 6, 0, 1, 1))</f>
        <v>1</v>
      </c>
      <c r="C1753" s="185">
        <f ca="1">OFFSET('IWP29'!Std9dot1DepositsInTransit, 6, 1, 1, 1)</f>
        <v>0</v>
      </c>
    </row>
    <row r="1754" spans="1:3">
      <c r="A1754" s="206" t="s">
        <v>1332</v>
      </c>
      <c r="B1754" s="157">
        <f ca="1">IF(OFFSET('IWP29'!Std9dot1DepositsInTransit, 7, 0, 1, 1) = DATE(1900,1,0),DATE(1900,1,1),OFFSET('IWP29'!Std9dot1DepositsInTransit, 7, 0, 1, 1))</f>
        <v>1</v>
      </c>
      <c r="C1754" s="185">
        <f ca="1">OFFSET('IWP29'!Std9dot1DepositsInTransit, 7, 1, 1, 1)</f>
        <v>0</v>
      </c>
    </row>
    <row r="1755" spans="1:3">
      <c r="A1755" s="206" t="s">
        <v>1332</v>
      </c>
      <c r="B1755" s="157">
        <f ca="1">IF(OFFSET('IWP29'!Std9dot1DepositsInTransit, 8, 0, 1, 1) = DATE(1900,1,0),DATE(1900,1,1),OFFSET('IWP29'!Std9dot1DepositsInTransit, 8, 0, 1, 1))</f>
        <v>1</v>
      </c>
      <c r="C1755" s="185">
        <f ca="1">OFFSET('IWP29'!Std9dot1DepositsInTransit, 8, 1, 1, 1)</f>
        <v>0</v>
      </c>
    </row>
    <row r="1756" spans="1:3">
      <c r="A1756" s="206" t="s">
        <v>1332</v>
      </c>
      <c r="B1756" s="157">
        <f ca="1">IF(OFFSET('IWP29'!Std9dot1DepositsInTransit, 9, 0, 1, 1) = DATE(1900,1,0),DATE(1900,1,1),OFFSET('IWP29'!Std9dot1DepositsInTransit, 9, 0, 1, 1))</f>
        <v>1</v>
      </c>
      <c r="C1756" s="185">
        <f ca="1">OFFSET('IWP29'!Std9dot1DepositsInTransit, 9, 1, 1, 1)</f>
        <v>0</v>
      </c>
    </row>
    <row r="1757" spans="1:3">
      <c r="A1757" s="206" t="s">
        <v>1333</v>
      </c>
      <c r="B1757" s="157">
        <f ca="1">IF(OFFSET('IWP30'!Std9dot1DepositsInTransit, 0, 0, 1, 1) = DATE(1900,1,0),DATE(1900,1,1),OFFSET('IWP30'!Std9dot1DepositsInTransit, 0, 0, 1, 1))</f>
        <v>1</v>
      </c>
      <c r="C1757" s="185">
        <f ca="1">OFFSET('IWP30'!Std9dot1DepositsInTransit, 0, 1, 1, 1)</f>
        <v>0</v>
      </c>
    </row>
    <row r="1758" spans="1:3">
      <c r="A1758" s="206" t="s">
        <v>1333</v>
      </c>
      <c r="B1758" s="157">
        <f ca="1">IF(OFFSET('IWP30'!Std9dot1DepositsInTransit, 1, 0, 1, 1) = DATE(1900,1,0),DATE(1900,1,1),OFFSET('IWP30'!Std9dot1DepositsInTransit, 1, 0, 1, 1))</f>
        <v>1</v>
      </c>
      <c r="C1758" s="185">
        <f ca="1">OFFSET('IWP30'!Std9dot1DepositsInTransit, 1, 1, 1, 1)</f>
        <v>0</v>
      </c>
    </row>
    <row r="1759" spans="1:3">
      <c r="A1759" s="206" t="s">
        <v>1333</v>
      </c>
      <c r="B1759" s="157">
        <f ca="1">IF(OFFSET('IWP30'!Std9dot1DepositsInTransit, 2, 0, 1, 1) = DATE(1900,1,0),DATE(1900,1,1),OFFSET('IWP30'!Std9dot1DepositsInTransit, 2, 0, 1, 1))</f>
        <v>1</v>
      </c>
      <c r="C1759" s="185">
        <f ca="1">OFFSET('IWP30'!Std9dot1DepositsInTransit, 2, 1, 1, 1)</f>
        <v>0</v>
      </c>
    </row>
    <row r="1760" spans="1:3">
      <c r="A1760" s="206" t="s">
        <v>1333</v>
      </c>
      <c r="B1760" s="157">
        <f ca="1">IF(OFFSET('IWP30'!Std9dot1DepositsInTransit, 3, 0, 1, 1) = DATE(1900,1,0),DATE(1900,1,1),OFFSET('IWP30'!Std9dot1DepositsInTransit, 3, 0, 1, 1))</f>
        <v>1</v>
      </c>
      <c r="C1760" s="185">
        <f ca="1">OFFSET('IWP30'!Std9dot1DepositsInTransit, 3, 1, 1, 1)</f>
        <v>0</v>
      </c>
    </row>
    <row r="1761" spans="1:11">
      <c r="A1761" s="206" t="s">
        <v>1333</v>
      </c>
      <c r="B1761" s="157">
        <f ca="1">IF(OFFSET('IWP30'!Std9dot1DepositsInTransit, 4, 0, 1, 1) = DATE(1900,1,0),DATE(1900,1,1),OFFSET('IWP30'!Std9dot1DepositsInTransit, 4, 0, 1, 1))</f>
        <v>1</v>
      </c>
      <c r="C1761" s="185">
        <f ca="1">OFFSET('IWP30'!Std9dot1DepositsInTransit, 4, 1, 1, 1)</f>
        <v>0</v>
      </c>
    </row>
    <row r="1762" spans="1:11">
      <c r="A1762" s="206" t="s">
        <v>1333</v>
      </c>
      <c r="B1762" s="157">
        <f ca="1">IF(OFFSET('IWP30'!Std9dot1DepositsInTransit, 5, 0, 1, 1) = DATE(1900,1,0),DATE(1900,1,1),OFFSET('IWP30'!Std9dot1DepositsInTransit, 5, 0, 1, 1))</f>
        <v>1</v>
      </c>
      <c r="C1762" s="185">
        <f ca="1">OFFSET('IWP30'!Std9dot1DepositsInTransit, 5, 1, 1, 1)</f>
        <v>0</v>
      </c>
    </row>
    <row r="1763" spans="1:11">
      <c r="A1763" s="206" t="s">
        <v>1333</v>
      </c>
      <c r="B1763" s="157">
        <f ca="1">IF(OFFSET('IWP30'!Std9dot1DepositsInTransit, 6, 0, 1, 1) = DATE(1900,1,0),DATE(1900,1,1),OFFSET('IWP30'!Std9dot1DepositsInTransit, 6, 0, 1, 1))</f>
        <v>1</v>
      </c>
      <c r="C1763" s="185">
        <f ca="1">OFFSET('IWP30'!Std9dot1DepositsInTransit, 6, 1, 1, 1)</f>
        <v>0</v>
      </c>
    </row>
    <row r="1764" spans="1:11">
      <c r="A1764" s="206" t="s">
        <v>1333</v>
      </c>
      <c r="B1764" s="157">
        <f ca="1">IF(OFFSET('IWP30'!Std9dot1DepositsInTransit, 7, 0, 1, 1) = DATE(1900,1,0),DATE(1900,1,1),OFFSET('IWP30'!Std9dot1DepositsInTransit, 7, 0, 1, 1))</f>
        <v>1</v>
      </c>
      <c r="C1764" s="185">
        <f ca="1">OFFSET('IWP30'!Std9dot1DepositsInTransit, 7, 1, 1, 1)</f>
        <v>0</v>
      </c>
    </row>
    <row r="1765" spans="1:11">
      <c r="A1765" s="206" t="s">
        <v>1333</v>
      </c>
      <c r="B1765" s="157">
        <f ca="1">IF(OFFSET('IWP30'!Std9dot1DepositsInTransit, 8, 0, 1, 1) = DATE(1900,1,0),DATE(1900,1,1),OFFSET('IWP30'!Std9dot1DepositsInTransit, 8, 0, 1, 1))</f>
        <v>1</v>
      </c>
      <c r="C1765" s="185">
        <f ca="1">OFFSET('IWP30'!Std9dot1DepositsInTransit, 8, 1, 1, 1)</f>
        <v>0</v>
      </c>
    </row>
    <row r="1766" spans="1:11" ht="15" thickBot="1">
      <c r="A1766" s="156" t="s">
        <v>1333</v>
      </c>
      <c r="B1766" s="194">
        <f ca="1">IF(OFFSET('IWP30'!Std9dot1DepositsInTransit, 9, 0, 1, 1) = DATE(1900,1,0),DATE(1900,1,1),OFFSET('IWP30'!Std9dot1DepositsInTransit, 9, 0, 1, 1))</f>
        <v>1</v>
      </c>
      <c r="C1766" s="186">
        <f ca="1">OFFSET('IWP30'!Std9dot1DepositsInTransit, 9, 1, 1, 1)</f>
        <v>0</v>
      </c>
    </row>
    <row r="1768" spans="1:11" ht="15" thickBot="1">
      <c r="A1768" t="s">
        <v>1262</v>
      </c>
    </row>
    <row r="1769" spans="1:11" s="62" customFormat="1">
      <c r="A1769" s="153" t="s">
        <v>1057</v>
      </c>
      <c r="B1769" s="312" t="s">
        <v>1015</v>
      </c>
      <c r="C1769" s="312" t="s">
        <v>187</v>
      </c>
      <c r="D1769" s="312" t="s">
        <v>802</v>
      </c>
      <c r="E1769" s="311" t="s">
        <v>423</v>
      </c>
      <c r="F1769"/>
      <c r="G1769"/>
      <c r="H1769"/>
      <c r="I1769"/>
      <c r="J1769"/>
      <c r="K1769"/>
    </row>
    <row r="1770" spans="1:11">
      <c r="A1770" s="206" t="s">
        <v>1060</v>
      </c>
      <c r="B1770" s="157">
        <f ca="1">IF(OFFSET('IWP01'!Std10dot3Deposits, 0, 0, 1, 1) = DATE(1900,1,0),DATE(1900,1,1),OFFSET('IWP01'!Std10dot3Deposits, 0, 0, 1, 1))</f>
        <v>1</v>
      </c>
      <c r="C1770" s="155">
        <f ca="1">OFFSET('IWP01'!Std10dot3Deposits, 0, 2, 1, 1)</f>
        <v>0</v>
      </c>
      <c r="D1770" s="151" t="str">
        <f ca="1">IF(OFFSET('IWP01'!Std10dot3Deposits, 0, 4, 1, 1) = 0, "", OFFSET('IWP01'!Std10dot3Deposits, 0, 4, 1, 1))</f>
        <v/>
      </c>
      <c r="E1770" s="207" t="str">
        <f ca="1">IF(OFFSET('IWP01'!Std10dot3Deposits, 0, 7, 1, 1) = 0, "", OFFSET('IWP01'!Std10dot3Deposits, 0, 7, 1, 1))</f>
        <v/>
      </c>
    </row>
    <row r="1771" spans="1:11">
      <c r="A1771" s="206" t="s">
        <v>1060</v>
      </c>
      <c r="B1771" s="157">
        <f ca="1">IF(OFFSET('IWP01'!Std10dot3Deposits, 1, 0, 1, 1) = DATE(1900,1,0),DATE(1900,1,1),OFFSET('IWP01'!Std10dot3Deposits, 1, 0, 1, 1))</f>
        <v>1</v>
      </c>
      <c r="C1771" s="155">
        <f ca="1">OFFSET('IWP01'!Std10dot3Deposits, 1, 2, 1, 1)</f>
        <v>0</v>
      </c>
      <c r="D1771" s="151" t="str">
        <f ca="1">IF(OFFSET('IWP01'!Std10dot3Deposits, 1, 4, 1, 1) = 0, "", OFFSET('IWP01'!Std10dot3Deposits, 1, 4, 1, 1))</f>
        <v/>
      </c>
      <c r="E1771" s="207" t="str">
        <f ca="1">IF(OFFSET('IWP01'!Std10dot3Deposits, 1, 7, 1, 1) = 0, "", OFFSET('IWP01'!Std10dot3Deposits, 1, 7, 1, 1))</f>
        <v/>
      </c>
    </row>
    <row r="1772" spans="1:11">
      <c r="A1772" s="206" t="s">
        <v>1060</v>
      </c>
      <c r="B1772" s="157">
        <f ca="1">IF(OFFSET('IWP01'!Std10dot3Deposits, 2, 0, 1, 1) = DATE(1900,1,0),DATE(1900,1,1),OFFSET('IWP01'!Std10dot3Deposits, 2, 0, 1, 1))</f>
        <v>1</v>
      </c>
      <c r="C1772" s="155">
        <f ca="1">OFFSET('IWP01'!Std10dot3Deposits, 2, 2, 1, 1)</f>
        <v>0</v>
      </c>
      <c r="D1772" s="151" t="str">
        <f ca="1">IF(OFFSET('IWP01'!Std10dot3Deposits, 2, 4, 1, 1) = 0, "", OFFSET('IWP01'!Std10dot3Deposits, 2, 4, 1, 1))</f>
        <v/>
      </c>
      <c r="E1772" s="207" t="str">
        <f ca="1">IF(OFFSET('IWP01'!Std10dot3Deposits, 2, 7, 1, 1) = 0, "", OFFSET('IWP01'!Std10dot3Deposits, 2, 7, 1, 1))</f>
        <v/>
      </c>
    </row>
    <row r="1773" spans="1:11">
      <c r="A1773" s="206" t="s">
        <v>1060</v>
      </c>
      <c r="B1773" s="157">
        <f ca="1">IF(OFFSET('IWP01'!Std10dot3Deposits, 3, 0, 1, 1) = DATE(1900,1,0),DATE(1900,1,1),OFFSET('IWP01'!Std10dot3Deposits, 3, 0, 1, 1))</f>
        <v>1</v>
      </c>
      <c r="C1773" s="155">
        <f ca="1">OFFSET('IWP01'!Std10dot3Deposits, 3, 2, 1, 1)</f>
        <v>0</v>
      </c>
      <c r="D1773" s="151" t="str">
        <f ca="1">IF(OFFSET('IWP01'!Std10dot3Deposits, 3, 4, 1, 1) = 0, "", OFFSET('IWP01'!Std10dot3Deposits, 3, 4, 1, 1))</f>
        <v/>
      </c>
      <c r="E1773" s="207" t="str">
        <f ca="1">IF(OFFSET('IWP01'!Std10dot3Deposits, 3, 7, 1, 1) = 0, "", OFFSET('IWP01'!Std10dot3Deposits, 3, 7, 1, 1))</f>
        <v/>
      </c>
    </row>
    <row r="1774" spans="1:11">
      <c r="A1774" s="206" t="s">
        <v>1060</v>
      </c>
      <c r="B1774" s="157">
        <f ca="1">IF(OFFSET('IWP01'!Std10dot3Deposits, 4, 0, 1, 1) = DATE(1900,1,0),DATE(1900,1,1),OFFSET('IWP01'!Std10dot3Deposits, 4, 0, 1, 1))</f>
        <v>1</v>
      </c>
      <c r="C1774" s="155">
        <f ca="1">OFFSET('IWP01'!Std10dot3Deposits, 4, 2, 1, 1)</f>
        <v>0</v>
      </c>
      <c r="D1774" s="151" t="str">
        <f ca="1">IF(OFFSET('IWP01'!Std10dot3Deposits, 4, 4, 1, 1) = 0, "", OFFSET('IWP01'!Std10dot3Deposits, 4, 4, 1, 1))</f>
        <v/>
      </c>
      <c r="E1774" s="207" t="str">
        <f ca="1">IF(OFFSET('IWP01'!Std10dot3Deposits, 4, 7, 1, 1) = 0, "", OFFSET('IWP01'!Std10dot3Deposits, 4, 7, 1, 1))</f>
        <v/>
      </c>
    </row>
    <row r="1775" spans="1:11">
      <c r="A1775" s="206" t="s">
        <v>1060</v>
      </c>
      <c r="B1775" s="157">
        <f ca="1">IF(OFFSET('IWP01'!Std10dot3Deposits, 5, 0, 1, 1) = DATE(1900,1,0),DATE(1900,1,1),OFFSET('IWP01'!Std10dot3Deposits, 5, 0, 1, 1))</f>
        <v>1</v>
      </c>
      <c r="C1775" s="155">
        <f ca="1">OFFSET('IWP01'!Std10dot3Deposits, 5, 2, 1, 1)</f>
        <v>0</v>
      </c>
      <c r="D1775" s="151" t="str">
        <f ca="1">IF(OFFSET('IWP01'!Std10dot3Deposits, 5, 4, 1, 1) = 0, "", OFFSET('IWP01'!Std10dot3Deposits, 5, 4, 1, 1))</f>
        <v/>
      </c>
      <c r="E1775" s="207" t="str">
        <f ca="1">IF(OFFSET('IWP01'!Std10dot3Deposits, 5, 7, 1, 1) = 0, "", OFFSET('IWP01'!Std10dot3Deposits, 5, 7, 1, 1))</f>
        <v/>
      </c>
    </row>
    <row r="1776" spans="1:11">
      <c r="A1776" s="206" t="s">
        <v>1060</v>
      </c>
      <c r="B1776" s="157">
        <f ca="1">IF(OFFSET('IWP01'!Std10dot3Deposits, 6, 0, 1, 1) = DATE(1900,1,0),DATE(1900,1,1),OFFSET('IWP01'!Std10dot3Deposits, 6, 0, 1, 1))</f>
        <v>1</v>
      </c>
      <c r="C1776" s="155">
        <f ca="1">OFFSET('IWP01'!Std10dot3Deposits, 6, 2, 1, 1)</f>
        <v>0</v>
      </c>
      <c r="D1776" s="151" t="str">
        <f ca="1">IF(OFFSET('IWP01'!Std10dot3Deposits, 6, 4, 1, 1) = 0, "", OFFSET('IWP01'!Std10dot3Deposits, 6, 4, 1, 1))</f>
        <v/>
      </c>
      <c r="E1776" s="207" t="str">
        <f ca="1">IF(OFFSET('IWP01'!Std10dot3Deposits, 6, 7, 1, 1) = 0, "", OFFSET('IWP01'!Std10dot3Deposits, 6, 7, 1, 1))</f>
        <v/>
      </c>
    </row>
    <row r="1777" spans="1:5">
      <c r="A1777" s="206" t="s">
        <v>1060</v>
      </c>
      <c r="B1777" s="157">
        <f ca="1">IF(OFFSET('IWP01'!Std10dot3Deposits, 7, 0, 1, 1) = DATE(1900,1,0),DATE(1900,1,1),OFFSET('IWP01'!Std10dot3Deposits, 7, 0, 1, 1))</f>
        <v>1</v>
      </c>
      <c r="C1777" s="155">
        <f ca="1">OFFSET('IWP01'!Std10dot3Deposits, 7, 2, 1, 1)</f>
        <v>0</v>
      </c>
      <c r="D1777" s="151" t="str">
        <f ca="1">IF(OFFSET('IWP01'!Std10dot3Deposits, 7, 4, 1, 1) = 0, "", OFFSET('IWP01'!Std10dot3Deposits, 7, 4, 1, 1))</f>
        <v/>
      </c>
      <c r="E1777" s="207" t="str">
        <f ca="1">IF(OFFSET('IWP01'!Std10dot3Deposits, 7, 7, 1, 1) = 0, "", OFFSET('IWP01'!Std10dot3Deposits, 7, 7, 1, 1))</f>
        <v/>
      </c>
    </row>
    <row r="1778" spans="1:5">
      <c r="A1778" s="206" t="s">
        <v>1060</v>
      </c>
      <c r="B1778" s="157">
        <f ca="1">IF(OFFSET('IWP01'!Std10dot3Deposits, 8, 0, 1, 1) = DATE(1900,1,0),DATE(1900,1,1),OFFSET('IWP01'!Std10dot3Deposits, 8, 0, 1, 1))</f>
        <v>1</v>
      </c>
      <c r="C1778" s="155">
        <f ca="1">OFFSET('IWP01'!Std10dot3Deposits, 8, 2, 1, 1)</f>
        <v>0</v>
      </c>
      <c r="D1778" s="151" t="str">
        <f ca="1">IF(OFFSET('IWP01'!Std10dot3Deposits, 8, 4, 1, 1) = 0, "", OFFSET('IWP01'!Std10dot3Deposits, 8, 4, 1, 1))</f>
        <v/>
      </c>
      <c r="E1778" s="207" t="str">
        <f ca="1">IF(OFFSET('IWP01'!Std10dot3Deposits, 8, 7, 1, 1) = 0, "", OFFSET('IWP01'!Std10dot3Deposits, 8, 7, 1, 1))</f>
        <v/>
      </c>
    </row>
    <row r="1779" spans="1:5">
      <c r="A1779" s="206" t="s">
        <v>1060</v>
      </c>
      <c r="B1779" s="157">
        <f ca="1">IF(OFFSET('IWP01'!Std10dot3Deposits, 9, 0, 1, 1) = DATE(1900,1,0),DATE(1900,1,1),OFFSET('IWP01'!Std10dot3Deposits, 9, 0, 1, 1))</f>
        <v>1</v>
      </c>
      <c r="C1779" s="155">
        <f ca="1">OFFSET('IWP01'!Std10dot3Deposits, 9, 2, 1, 1)</f>
        <v>0</v>
      </c>
      <c r="D1779" s="151" t="str">
        <f ca="1">IF(OFFSET('IWP01'!Std10dot3Deposits, 9, 4, 1, 1) = 0, "", OFFSET('IWP01'!Std10dot3Deposits, 9, 4, 1, 1))</f>
        <v/>
      </c>
      <c r="E1779" s="207" t="str">
        <f ca="1">IF(OFFSET('IWP01'!Std10dot3Deposits, 9, 7, 1, 1) = 0, "", OFFSET('IWP01'!Std10dot3Deposits, 9, 7, 1, 1))</f>
        <v/>
      </c>
    </row>
    <row r="1780" spans="1:5">
      <c r="A1780" s="206" t="s">
        <v>1193</v>
      </c>
      <c r="B1780" s="157">
        <f ca="1">IF(OFFSET('IWP02'!Std10dot3Deposits, 0, 0, 1, 1) = DATE(1900,1,0),DATE(1900,1,1),OFFSET('IWP02'!Std10dot3Deposits, 0, 0, 1, 1))</f>
        <v>1</v>
      </c>
      <c r="C1780" s="155">
        <f ca="1">OFFSET('IWP02'!Std10dot3Deposits, 0, 2, 1, 1)</f>
        <v>0</v>
      </c>
      <c r="D1780" s="151" t="str">
        <f ca="1">IF(OFFSET('IWP02'!Std10dot3Deposits, 0, 4, 1, 1) = 0, "", OFFSET('IWP02'!Std10dot3Deposits, 0, 4, 1, 1))</f>
        <v/>
      </c>
      <c r="E1780" s="207" t="str">
        <f ca="1">IF(OFFSET('IWP02'!Std10dot3Deposits, 0, 7, 1, 1) = 0, "", OFFSET('IWP02'!Std10dot3Deposits, 0, 7, 1, 1))</f>
        <v/>
      </c>
    </row>
    <row r="1781" spans="1:5">
      <c r="A1781" s="206" t="s">
        <v>1193</v>
      </c>
      <c r="B1781" s="157">
        <f ca="1">IF(OFFSET('IWP02'!Std10dot3Deposits, 1, 0, 1, 1) = DATE(1900,1,0),DATE(1900,1,1),OFFSET('IWP02'!Std10dot3Deposits, 1, 0, 1, 1))</f>
        <v>1</v>
      </c>
      <c r="C1781" s="155">
        <f ca="1">OFFSET('IWP02'!Std10dot3Deposits, 1, 2, 1, 1)</f>
        <v>0</v>
      </c>
      <c r="D1781" s="151" t="str">
        <f ca="1">IF(OFFSET('IWP02'!Std10dot3Deposits, 1, 4, 1, 1) = 0, "", OFFSET('IWP02'!Std10dot3Deposits, 1, 4, 1, 1))</f>
        <v/>
      </c>
      <c r="E1781" s="207" t="str">
        <f ca="1">IF(OFFSET('IWP02'!Std10dot3Deposits, 1, 7, 1, 1) = 0, "", OFFSET('IWP02'!Std10dot3Deposits, 1, 7, 1, 1))</f>
        <v/>
      </c>
    </row>
    <row r="1782" spans="1:5">
      <c r="A1782" s="206" t="s">
        <v>1193</v>
      </c>
      <c r="B1782" s="157">
        <f ca="1">IF(OFFSET('IWP02'!Std10dot3Deposits, 2, 0, 1, 1) = DATE(1900,1,0),DATE(1900,1,1),OFFSET('IWP02'!Std10dot3Deposits, 2, 0, 1, 1))</f>
        <v>1</v>
      </c>
      <c r="C1782" s="155">
        <f ca="1">OFFSET('IWP02'!Std10dot3Deposits, 2, 2, 1, 1)</f>
        <v>0</v>
      </c>
      <c r="D1782" s="151" t="str">
        <f ca="1">IF(OFFSET('IWP02'!Std10dot3Deposits, 2, 4, 1, 1) = 0, "", OFFSET('IWP02'!Std10dot3Deposits, 2, 4, 1, 1))</f>
        <v/>
      </c>
      <c r="E1782" s="207" t="str">
        <f ca="1">IF(OFFSET('IWP02'!Std10dot3Deposits, 2, 7, 1, 1) = 0, "", OFFSET('IWP02'!Std10dot3Deposits, 2, 7, 1, 1))</f>
        <v/>
      </c>
    </row>
    <row r="1783" spans="1:5">
      <c r="A1783" s="206" t="s">
        <v>1193</v>
      </c>
      <c r="B1783" s="157">
        <f ca="1">IF(OFFSET('IWP02'!Std10dot3Deposits, 3, 0, 1, 1) = DATE(1900,1,0),DATE(1900,1,1),OFFSET('IWP02'!Std10dot3Deposits, 3, 0, 1, 1))</f>
        <v>1</v>
      </c>
      <c r="C1783" s="155">
        <f ca="1">OFFSET('IWP02'!Std10dot3Deposits, 3, 2, 1, 1)</f>
        <v>0</v>
      </c>
      <c r="D1783" s="151" t="str">
        <f ca="1">IF(OFFSET('IWP02'!Std10dot3Deposits, 3, 4, 1, 1) = 0, "", OFFSET('IWP02'!Std10dot3Deposits, 3, 4, 1, 1))</f>
        <v/>
      </c>
      <c r="E1783" s="207" t="str">
        <f ca="1">IF(OFFSET('IWP02'!Std10dot3Deposits, 3, 7, 1, 1) = 0, "", OFFSET('IWP02'!Std10dot3Deposits, 3, 7, 1, 1))</f>
        <v/>
      </c>
    </row>
    <row r="1784" spans="1:5">
      <c r="A1784" s="206" t="s">
        <v>1193</v>
      </c>
      <c r="B1784" s="157">
        <f ca="1">IF(OFFSET('IWP02'!Std10dot3Deposits, 4, 0, 1, 1) = DATE(1900,1,0),DATE(1900,1,1),OFFSET('IWP02'!Std10dot3Deposits, 4, 0, 1, 1))</f>
        <v>1</v>
      </c>
      <c r="C1784" s="155">
        <f ca="1">OFFSET('IWP02'!Std10dot3Deposits, 4, 2, 1, 1)</f>
        <v>0</v>
      </c>
      <c r="D1784" s="151" t="str">
        <f ca="1">IF(OFFSET('IWP02'!Std10dot3Deposits, 4, 4, 1, 1) = 0, "", OFFSET('IWP02'!Std10dot3Deposits, 4, 4, 1, 1))</f>
        <v/>
      </c>
      <c r="E1784" s="207" t="str">
        <f ca="1">IF(OFFSET('IWP02'!Std10dot3Deposits, 4, 7, 1, 1) = 0, "", OFFSET('IWP02'!Std10dot3Deposits, 4, 7, 1, 1))</f>
        <v/>
      </c>
    </row>
    <row r="1785" spans="1:5">
      <c r="A1785" s="206" t="s">
        <v>1193</v>
      </c>
      <c r="B1785" s="157">
        <f ca="1">IF(OFFSET('IWP02'!Std10dot3Deposits, 5, 0, 1, 1) = DATE(1900,1,0),DATE(1900,1,1),OFFSET('IWP02'!Std10dot3Deposits, 5, 0, 1, 1))</f>
        <v>1</v>
      </c>
      <c r="C1785" s="155">
        <f ca="1">OFFSET('IWP02'!Std10dot3Deposits, 5, 2, 1, 1)</f>
        <v>0</v>
      </c>
      <c r="D1785" s="151" t="str">
        <f ca="1">IF(OFFSET('IWP02'!Std10dot3Deposits, 5, 4, 1, 1) = 0, "", OFFSET('IWP02'!Std10dot3Deposits, 5, 4, 1, 1))</f>
        <v/>
      </c>
      <c r="E1785" s="207" t="str">
        <f ca="1">IF(OFFSET('IWP02'!Std10dot3Deposits, 5, 7, 1, 1) = 0, "", OFFSET('IWP02'!Std10dot3Deposits, 5, 7, 1, 1))</f>
        <v/>
      </c>
    </row>
    <row r="1786" spans="1:5">
      <c r="A1786" s="206" t="s">
        <v>1193</v>
      </c>
      <c r="B1786" s="157">
        <f ca="1">IF(OFFSET('IWP02'!Std10dot3Deposits, 6, 0, 1, 1) = DATE(1900,1,0),DATE(1900,1,1),OFFSET('IWP02'!Std10dot3Deposits, 6, 0, 1, 1))</f>
        <v>1</v>
      </c>
      <c r="C1786" s="155">
        <f ca="1">OFFSET('IWP02'!Std10dot3Deposits, 6, 2, 1, 1)</f>
        <v>0</v>
      </c>
      <c r="D1786" s="151" t="str">
        <f ca="1">IF(OFFSET('IWP02'!Std10dot3Deposits, 6, 4, 1, 1) = 0, "", OFFSET('IWP02'!Std10dot3Deposits, 6, 4, 1, 1))</f>
        <v/>
      </c>
      <c r="E1786" s="207" t="str">
        <f ca="1">IF(OFFSET('IWP02'!Std10dot3Deposits, 6, 7, 1, 1) = 0, "", OFFSET('IWP02'!Std10dot3Deposits, 6, 7, 1, 1))</f>
        <v/>
      </c>
    </row>
    <row r="1787" spans="1:5">
      <c r="A1787" s="206" t="s">
        <v>1193</v>
      </c>
      <c r="B1787" s="157">
        <f ca="1">IF(OFFSET('IWP02'!Std10dot3Deposits, 7, 0, 1, 1) = DATE(1900,1,0),DATE(1900,1,1),OFFSET('IWP02'!Std10dot3Deposits, 7, 0, 1, 1))</f>
        <v>1</v>
      </c>
      <c r="C1787" s="155">
        <f ca="1">OFFSET('IWP02'!Std10dot3Deposits, 7, 2, 1, 1)</f>
        <v>0</v>
      </c>
      <c r="D1787" s="151" t="str">
        <f ca="1">IF(OFFSET('IWP02'!Std10dot3Deposits, 7, 4, 1, 1) = 0, "", OFFSET('IWP02'!Std10dot3Deposits, 7, 4, 1, 1))</f>
        <v/>
      </c>
      <c r="E1787" s="207" t="str">
        <f ca="1">IF(OFFSET('IWP02'!Std10dot3Deposits, 7, 7, 1, 1) = 0, "", OFFSET('IWP02'!Std10dot3Deposits, 7, 7, 1, 1))</f>
        <v/>
      </c>
    </row>
    <row r="1788" spans="1:5">
      <c r="A1788" s="206" t="s">
        <v>1193</v>
      </c>
      <c r="B1788" s="157">
        <f ca="1">IF(OFFSET('IWP02'!Std10dot3Deposits, 8, 0, 1, 1) = DATE(1900,1,0),DATE(1900,1,1),OFFSET('IWP02'!Std10dot3Deposits, 8, 0, 1, 1))</f>
        <v>1</v>
      </c>
      <c r="C1788" s="155">
        <f ca="1">OFFSET('IWP02'!Std10dot3Deposits, 8, 2, 1, 1)</f>
        <v>0</v>
      </c>
      <c r="D1788" s="151" t="str">
        <f ca="1">IF(OFFSET('IWP02'!Std10dot3Deposits, 8, 4, 1, 1) = 0, "", OFFSET('IWP02'!Std10dot3Deposits, 8, 4, 1, 1))</f>
        <v/>
      </c>
      <c r="E1788" s="207" t="str">
        <f ca="1">IF(OFFSET('IWP02'!Std10dot3Deposits, 8, 7, 1, 1) = 0, "", OFFSET('IWP02'!Std10dot3Deposits, 8, 7, 1, 1))</f>
        <v/>
      </c>
    </row>
    <row r="1789" spans="1:5">
      <c r="A1789" s="206" t="s">
        <v>1193</v>
      </c>
      <c r="B1789" s="157">
        <f ca="1">IF(OFFSET('IWP02'!Std10dot3Deposits, 9, 0, 1, 1) = DATE(1900,1,0),DATE(1900,1,1),OFFSET('IWP02'!Std10dot3Deposits, 9, 0, 1, 1))</f>
        <v>1</v>
      </c>
      <c r="C1789" s="155">
        <f ca="1">OFFSET('IWP02'!Std10dot3Deposits, 9, 2, 1, 1)</f>
        <v>0</v>
      </c>
      <c r="D1789" s="151" t="str">
        <f ca="1">IF(OFFSET('IWP02'!Std10dot3Deposits, 9, 4, 1, 1) = 0, "", OFFSET('IWP02'!Std10dot3Deposits, 9, 4, 1, 1))</f>
        <v/>
      </c>
      <c r="E1789" s="207" t="str">
        <f ca="1">IF(OFFSET('IWP02'!Std10dot3Deposits, 9, 7, 1, 1) = 0, "", OFFSET('IWP02'!Std10dot3Deposits, 9, 7, 1, 1))</f>
        <v/>
      </c>
    </row>
    <row r="1790" spans="1:5">
      <c r="A1790" s="206" t="s">
        <v>1194</v>
      </c>
      <c r="B1790" s="157">
        <f ca="1">IF(OFFSET('IWP03'!Std10dot3Deposits, 0, 0, 1, 1) = DATE(1900,1,0),DATE(1900,1,1),OFFSET('IWP03'!Std10dot3Deposits, 0, 0, 1, 1))</f>
        <v>1</v>
      </c>
      <c r="C1790" s="155">
        <f ca="1">OFFSET('IWP03'!Std10dot3Deposits, 0, 2, 1, 1)</f>
        <v>0</v>
      </c>
      <c r="D1790" s="151" t="str">
        <f ca="1">IF(OFFSET('IWP03'!Std10dot3Deposits, 0, 4, 1, 1) = 0, "", OFFSET('IWP03'!Std10dot3Deposits, 0, 4, 1, 1))</f>
        <v/>
      </c>
      <c r="E1790" s="207" t="str">
        <f ca="1">IF(OFFSET('IWP03'!Std10dot3Deposits, 0, 7, 1, 1) = 0, "", OFFSET('IWP03'!Std10dot3Deposits, 0, 7, 1, 1))</f>
        <v/>
      </c>
    </row>
    <row r="1791" spans="1:5">
      <c r="A1791" s="206" t="s">
        <v>1194</v>
      </c>
      <c r="B1791" s="157">
        <f ca="1">IF(OFFSET('IWP03'!Std10dot3Deposits, 1, 0, 1, 1) = DATE(1900,1,0),DATE(1900,1,1),OFFSET('IWP03'!Std10dot3Deposits, 1, 0, 1, 1))</f>
        <v>1</v>
      </c>
      <c r="C1791" s="155">
        <f ca="1">OFFSET('IWP03'!Std10dot3Deposits, 1, 2, 1, 1)</f>
        <v>0</v>
      </c>
      <c r="D1791" s="151" t="str">
        <f ca="1">IF(OFFSET('IWP03'!Std10dot3Deposits, 1, 4, 1, 1) = 0, "", OFFSET('IWP03'!Std10dot3Deposits, 1, 4, 1, 1))</f>
        <v/>
      </c>
      <c r="E1791" s="207" t="str">
        <f ca="1">IF(OFFSET('IWP03'!Std10dot3Deposits, 1, 7, 1, 1) = 0, "", OFFSET('IWP03'!Std10dot3Deposits, 1, 7, 1, 1))</f>
        <v/>
      </c>
    </row>
    <row r="1792" spans="1:5">
      <c r="A1792" s="206" t="s">
        <v>1194</v>
      </c>
      <c r="B1792" s="157">
        <f ca="1">IF(OFFSET('IWP03'!Std10dot3Deposits, 2, 0, 1, 1) = DATE(1900,1,0),DATE(1900,1,1),OFFSET('IWP03'!Std10dot3Deposits, 2, 0, 1, 1))</f>
        <v>1</v>
      </c>
      <c r="C1792" s="155">
        <f ca="1">OFFSET('IWP03'!Std10dot3Deposits, 2, 2, 1, 1)</f>
        <v>0</v>
      </c>
      <c r="D1792" s="151" t="str">
        <f ca="1">IF(OFFSET('IWP03'!Std10dot3Deposits, 2, 4, 1, 1) = 0, "", OFFSET('IWP03'!Std10dot3Deposits, 2, 4, 1, 1))</f>
        <v/>
      </c>
      <c r="E1792" s="207" t="str">
        <f ca="1">IF(OFFSET('IWP03'!Std10dot3Deposits, 2, 7, 1, 1) = 0, "", OFFSET('IWP03'!Std10dot3Deposits, 2, 7, 1, 1))</f>
        <v/>
      </c>
    </row>
    <row r="1793" spans="1:5">
      <c r="A1793" s="206" t="s">
        <v>1194</v>
      </c>
      <c r="B1793" s="157">
        <f ca="1">IF(OFFSET('IWP03'!Std10dot3Deposits, 3, 0, 1, 1) = DATE(1900,1,0),DATE(1900,1,1),OFFSET('IWP03'!Std10dot3Deposits, 3, 0, 1, 1))</f>
        <v>1</v>
      </c>
      <c r="C1793" s="155">
        <f ca="1">OFFSET('IWP03'!Std10dot3Deposits, 3, 2, 1, 1)</f>
        <v>0</v>
      </c>
      <c r="D1793" s="151" t="str">
        <f ca="1">IF(OFFSET('IWP03'!Std10dot3Deposits, 3, 4, 1, 1) = 0, "", OFFSET('IWP03'!Std10dot3Deposits, 3, 4, 1, 1))</f>
        <v/>
      </c>
      <c r="E1793" s="207" t="str">
        <f ca="1">IF(OFFSET('IWP03'!Std10dot3Deposits, 3, 7, 1, 1) = 0, "", OFFSET('IWP03'!Std10dot3Deposits, 3, 7, 1, 1))</f>
        <v/>
      </c>
    </row>
    <row r="1794" spans="1:5">
      <c r="A1794" s="206" t="s">
        <v>1194</v>
      </c>
      <c r="B1794" s="157">
        <f ca="1">IF(OFFSET('IWP03'!Std10dot3Deposits, 4, 0, 1, 1) = DATE(1900,1,0),DATE(1900,1,1),OFFSET('IWP03'!Std10dot3Deposits, 4, 0, 1, 1))</f>
        <v>1</v>
      </c>
      <c r="C1794" s="155">
        <f ca="1">OFFSET('IWP03'!Std10dot3Deposits, 4, 2, 1, 1)</f>
        <v>0</v>
      </c>
      <c r="D1794" s="151" t="str">
        <f ca="1">IF(OFFSET('IWP03'!Std10dot3Deposits, 4, 4, 1, 1) = 0, "", OFFSET('IWP03'!Std10dot3Deposits, 4, 4, 1, 1))</f>
        <v/>
      </c>
      <c r="E1794" s="207" t="str">
        <f ca="1">IF(OFFSET('IWP03'!Std10dot3Deposits, 4, 7, 1, 1) = 0, "", OFFSET('IWP03'!Std10dot3Deposits, 4, 7, 1, 1))</f>
        <v/>
      </c>
    </row>
    <row r="1795" spans="1:5">
      <c r="A1795" s="206" t="s">
        <v>1194</v>
      </c>
      <c r="B1795" s="157">
        <f ca="1">IF(OFFSET('IWP03'!Std10dot3Deposits, 5, 0, 1, 1) = DATE(1900,1,0),DATE(1900,1,1),OFFSET('IWP03'!Std10dot3Deposits, 5, 0, 1, 1))</f>
        <v>1</v>
      </c>
      <c r="C1795" s="155">
        <f ca="1">OFFSET('IWP03'!Std10dot3Deposits, 5, 2, 1, 1)</f>
        <v>0</v>
      </c>
      <c r="D1795" s="151" t="str">
        <f ca="1">IF(OFFSET('IWP03'!Std10dot3Deposits, 5, 4, 1, 1) = 0, "", OFFSET('IWP03'!Std10dot3Deposits, 5, 4, 1, 1))</f>
        <v/>
      </c>
      <c r="E1795" s="207" t="str">
        <f ca="1">IF(OFFSET('IWP03'!Std10dot3Deposits, 5, 7, 1, 1) = 0, "", OFFSET('IWP03'!Std10dot3Deposits, 5, 7, 1, 1))</f>
        <v/>
      </c>
    </row>
    <row r="1796" spans="1:5">
      <c r="A1796" s="206" t="s">
        <v>1194</v>
      </c>
      <c r="B1796" s="157">
        <f ca="1">IF(OFFSET('IWP03'!Std10dot3Deposits, 6, 0, 1, 1) = DATE(1900,1,0),DATE(1900,1,1),OFFSET('IWP03'!Std10dot3Deposits, 6, 0, 1, 1))</f>
        <v>1</v>
      </c>
      <c r="C1796" s="155">
        <f ca="1">OFFSET('IWP03'!Std10dot3Deposits, 6, 2, 1, 1)</f>
        <v>0</v>
      </c>
      <c r="D1796" s="151" t="str">
        <f ca="1">IF(OFFSET('IWP03'!Std10dot3Deposits, 6, 4, 1, 1) = 0, "", OFFSET('IWP03'!Std10dot3Deposits, 6, 4, 1, 1))</f>
        <v/>
      </c>
      <c r="E1796" s="207" t="str">
        <f ca="1">IF(OFFSET('IWP03'!Std10dot3Deposits, 6, 7, 1, 1) = 0, "", OFFSET('IWP03'!Std10dot3Deposits, 6, 7, 1, 1))</f>
        <v/>
      </c>
    </row>
    <row r="1797" spans="1:5">
      <c r="A1797" s="206" t="s">
        <v>1194</v>
      </c>
      <c r="B1797" s="157">
        <f ca="1">IF(OFFSET('IWP03'!Std10dot3Deposits, 7, 0, 1, 1) = DATE(1900,1,0),DATE(1900,1,1),OFFSET('IWP03'!Std10dot3Deposits, 7, 0, 1, 1))</f>
        <v>1</v>
      </c>
      <c r="C1797" s="155">
        <f ca="1">OFFSET('IWP03'!Std10dot3Deposits, 7, 2, 1, 1)</f>
        <v>0</v>
      </c>
      <c r="D1797" s="151" t="str">
        <f ca="1">IF(OFFSET('IWP03'!Std10dot3Deposits, 7, 4, 1, 1) = 0, "", OFFSET('IWP03'!Std10dot3Deposits, 7, 4, 1, 1))</f>
        <v/>
      </c>
      <c r="E1797" s="207" t="str">
        <f ca="1">IF(OFFSET('IWP03'!Std10dot3Deposits, 7, 7, 1, 1) = 0, "", OFFSET('IWP03'!Std10dot3Deposits, 7, 7, 1, 1))</f>
        <v/>
      </c>
    </row>
    <row r="1798" spans="1:5">
      <c r="A1798" s="206" t="s">
        <v>1194</v>
      </c>
      <c r="B1798" s="157">
        <f ca="1">IF(OFFSET('IWP03'!Std10dot3Deposits, 8, 0, 1, 1) = DATE(1900,1,0),DATE(1900,1,1),OFFSET('IWP03'!Std10dot3Deposits, 8, 0, 1, 1))</f>
        <v>1</v>
      </c>
      <c r="C1798" s="155">
        <f ca="1">OFFSET('IWP03'!Std10dot3Deposits, 8, 2, 1, 1)</f>
        <v>0</v>
      </c>
      <c r="D1798" s="151" t="str">
        <f ca="1">IF(OFFSET('IWP03'!Std10dot3Deposits, 8, 4, 1, 1) = 0, "", OFFSET('IWP03'!Std10dot3Deposits, 8, 4, 1, 1))</f>
        <v/>
      </c>
      <c r="E1798" s="207" t="str">
        <f ca="1">IF(OFFSET('IWP03'!Std10dot3Deposits, 8, 7, 1, 1) = 0, "", OFFSET('IWP03'!Std10dot3Deposits, 8, 7, 1, 1))</f>
        <v/>
      </c>
    </row>
    <row r="1799" spans="1:5">
      <c r="A1799" s="206" t="s">
        <v>1194</v>
      </c>
      <c r="B1799" s="157">
        <f ca="1">IF(OFFSET('IWP03'!Std10dot3Deposits, 9, 0, 1, 1) = DATE(1900,1,0),DATE(1900,1,1),OFFSET('IWP03'!Std10dot3Deposits, 9, 0, 1, 1))</f>
        <v>1</v>
      </c>
      <c r="C1799" s="155">
        <f ca="1">OFFSET('IWP03'!Std10dot3Deposits, 9, 2, 1, 1)</f>
        <v>0</v>
      </c>
      <c r="D1799" s="151" t="str">
        <f ca="1">IF(OFFSET('IWP03'!Std10dot3Deposits, 9, 4, 1, 1) = 0, "", OFFSET('IWP03'!Std10dot3Deposits, 9, 4, 1, 1))</f>
        <v/>
      </c>
      <c r="E1799" s="207" t="str">
        <f ca="1">IF(OFFSET('IWP03'!Std10dot3Deposits, 9, 7, 1, 1) = 0, "", OFFSET('IWP03'!Std10dot3Deposits, 9, 7, 1, 1))</f>
        <v/>
      </c>
    </row>
    <row r="1800" spans="1:5">
      <c r="A1800" s="206" t="s">
        <v>1307</v>
      </c>
      <c r="B1800" s="157">
        <f ca="1">IF(OFFSET('IWP04'!Std10dot3Deposits, 0, 0, 1, 1) = DATE(1900,1,0),DATE(1900,1,1),OFFSET('IWP04'!Std10dot3Deposits, 0, 0, 1, 1))</f>
        <v>1</v>
      </c>
      <c r="C1800" s="155">
        <f ca="1">OFFSET('IWP04'!Std10dot3Deposits, 0, 2, 1, 1)</f>
        <v>0</v>
      </c>
      <c r="D1800" s="151" t="str">
        <f ca="1">IF(OFFSET('IWP04'!Std10dot3Deposits, 0, 4, 1, 1) = 0, "", OFFSET('IWP04'!Std10dot3Deposits, 0, 4, 1, 1))</f>
        <v/>
      </c>
      <c r="E1800" s="207" t="str">
        <f ca="1">IF(OFFSET('IWP04'!Std10dot3Deposits, 0, 7, 1, 1) = 0, "", OFFSET('IWP04'!Std10dot3Deposits, 0, 7, 1, 1))</f>
        <v/>
      </c>
    </row>
    <row r="1801" spans="1:5">
      <c r="A1801" s="206" t="s">
        <v>1307</v>
      </c>
      <c r="B1801" s="157">
        <f ca="1">IF(OFFSET('IWP04'!Std10dot3Deposits, 1, 0, 1, 1) = DATE(1900,1,0),DATE(1900,1,1),OFFSET('IWP04'!Std10dot3Deposits, 1, 0, 1, 1))</f>
        <v>1</v>
      </c>
      <c r="C1801" s="155">
        <f ca="1">OFFSET('IWP04'!Std10dot3Deposits, 1, 2, 1, 1)</f>
        <v>0</v>
      </c>
      <c r="D1801" s="151" t="str">
        <f ca="1">IF(OFFSET('IWP04'!Std10dot3Deposits, 1, 4, 1, 1) = 0, "", OFFSET('IWP04'!Std10dot3Deposits, 1, 4, 1, 1))</f>
        <v/>
      </c>
      <c r="E1801" s="207" t="str">
        <f ca="1">IF(OFFSET('IWP04'!Std10dot3Deposits, 1, 7, 1, 1) = 0, "", OFFSET('IWP04'!Std10dot3Deposits, 1, 7, 1, 1))</f>
        <v/>
      </c>
    </row>
    <row r="1802" spans="1:5">
      <c r="A1802" s="206" t="s">
        <v>1307</v>
      </c>
      <c r="B1802" s="157">
        <f ca="1">IF(OFFSET('IWP04'!Std10dot3Deposits, 2, 0, 1, 1) = DATE(1900,1,0),DATE(1900,1,1),OFFSET('IWP04'!Std10dot3Deposits, 2, 0, 1, 1))</f>
        <v>1</v>
      </c>
      <c r="C1802" s="155">
        <f ca="1">OFFSET('IWP04'!Std10dot3Deposits, 2, 2, 1, 1)</f>
        <v>0</v>
      </c>
      <c r="D1802" s="151" t="str">
        <f ca="1">IF(OFFSET('IWP04'!Std10dot3Deposits, 2, 4, 1, 1) = 0, "", OFFSET('IWP04'!Std10dot3Deposits, 2, 4, 1, 1))</f>
        <v/>
      </c>
      <c r="E1802" s="207" t="str">
        <f ca="1">IF(OFFSET('IWP04'!Std10dot3Deposits, 2, 7, 1, 1) = 0, "", OFFSET('IWP04'!Std10dot3Deposits, 2, 7, 1, 1))</f>
        <v/>
      </c>
    </row>
    <row r="1803" spans="1:5">
      <c r="A1803" s="206" t="s">
        <v>1307</v>
      </c>
      <c r="B1803" s="157">
        <f ca="1">IF(OFFSET('IWP04'!Std10dot3Deposits, 3, 0, 1, 1) = DATE(1900,1,0),DATE(1900,1,1),OFFSET('IWP04'!Std10dot3Deposits, 3, 0, 1, 1))</f>
        <v>1</v>
      </c>
      <c r="C1803" s="155">
        <f ca="1">OFFSET('IWP04'!Std10dot3Deposits, 3, 2, 1, 1)</f>
        <v>0</v>
      </c>
      <c r="D1803" s="151" t="str">
        <f ca="1">IF(OFFSET('IWP04'!Std10dot3Deposits, 3, 4, 1, 1) = 0, "", OFFSET('IWP04'!Std10dot3Deposits, 3, 4, 1, 1))</f>
        <v/>
      </c>
      <c r="E1803" s="207" t="str">
        <f ca="1">IF(OFFSET('IWP04'!Std10dot3Deposits, 3, 7, 1, 1) = 0, "", OFFSET('IWP04'!Std10dot3Deposits, 3, 7, 1, 1))</f>
        <v/>
      </c>
    </row>
    <row r="1804" spans="1:5">
      <c r="A1804" s="206" t="s">
        <v>1307</v>
      </c>
      <c r="B1804" s="157">
        <f ca="1">IF(OFFSET('IWP04'!Std10dot3Deposits, 4, 0, 1, 1) = DATE(1900,1,0),DATE(1900,1,1),OFFSET('IWP04'!Std10dot3Deposits, 4, 0, 1, 1))</f>
        <v>1</v>
      </c>
      <c r="C1804" s="155">
        <f ca="1">OFFSET('IWP04'!Std10dot3Deposits, 4, 2, 1, 1)</f>
        <v>0</v>
      </c>
      <c r="D1804" s="151" t="str">
        <f ca="1">IF(OFFSET('IWP04'!Std10dot3Deposits, 4, 4, 1, 1) = 0, "", OFFSET('IWP04'!Std10dot3Deposits, 4, 4, 1, 1))</f>
        <v/>
      </c>
      <c r="E1804" s="207" t="str">
        <f ca="1">IF(OFFSET('IWP04'!Std10dot3Deposits, 4, 7, 1, 1) = 0, "", OFFSET('IWP04'!Std10dot3Deposits, 4, 7, 1, 1))</f>
        <v/>
      </c>
    </row>
    <row r="1805" spans="1:5">
      <c r="A1805" s="206" t="s">
        <v>1307</v>
      </c>
      <c r="B1805" s="157">
        <f ca="1">IF(OFFSET('IWP04'!Std10dot3Deposits, 5, 0, 1, 1) = DATE(1900,1,0),DATE(1900,1,1),OFFSET('IWP04'!Std10dot3Deposits, 5, 0, 1, 1))</f>
        <v>1</v>
      </c>
      <c r="C1805" s="155">
        <f ca="1">OFFSET('IWP04'!Std10dot3Deposits, 5, 2, 1, 1)</f>
        <v>0</v>
      </c>
      <c r="D1805" s="151" t="str">
        <f ca="1">IF(OFFSET('IWP04'!Std10dot3Deposits, 5, 4, 1, 1) = 0, "", OFFSET('IWP04'!Std10dot3Deposits, 5, 4, 1, 1))</f>
        <v/>
      </c>
      <c r="E1805" s="207" t="str">
        <f ca="1">IF(OFFSET('IWP04'!Std10dot3Deposits, 5, 7, 1, 1) = 0, "", OFFSET('IWP04'!Std10dot3Deposits, 5, 7, 1, 1))</f>
        <v/>
      </c>
    </row>
    <row r="1806" spans="1:5">
      <c r="A1806" s="206" t="s">
        <v>1307</v>
      </c>
      <c r="B1806" s="157">
        <f ca="1">IF(OFFSET('IWP04'!Std10dot3Deposits, 6, 0, 1, 1) = DATE(1900,1,0),DATE(1900,1,1),OFFSET('IWP04'!Std10dot3Deposits, 6, 0, 1, 1))</f>
        <v>1</v>
      </c>
      <c r="C1806" s="155">
        <f ca="1">OFFSET('IWP04'!Std10dot3Deposits, 6, 2, 1, 1)</f>
        <v>0</v>
      </c>
      <c r="D1806" s="151" t="str">
        <f ca="1">IF(OFFSET('IWP04'!Std10dot3Deposits, 6, 4, 1, 1) = 0, "", OFFSET('IWP04'!Std10dot3Deposits, 6, 4, 1, 1))</f>
        <v/>
      </c>
      <c r="E1806" s="207" t="str">
        <f ca="1">IF(OFFSET('IWP04'!Std10dot3Deposits, 6, 7, 1, 1) = 0, "", OFFSET('IWP04'!Std10dot3Deposits, 6, 7, 1, 1))</f>
        <v/>
      </c>
    </row>
    <row r="1807" spans="1:5">
      <c r="A1807" s="206" t="s">
        <v>1307</v>
      </c>
      <c r="B1807" s="157">
        <f ca="1">IF(OFFSET('IWP04'!Std10dot3Deposits, 7, 0, 1, 1) = DATE(1900,1,0),DATE(1900,1,1),OFFSET('IWP04'!Std10dot3Deposits, 7, 0, 1, 1))</f>
        <v>1</v>
      </c>
      <c r="C1807" s="155">
        <f ca="1">OFFSET('IWP04'!Std10dot3Deposits, 7, 2, 1, 1)</f>
        <v>0</v>
      </c>
      <c r="D1807" s="151" t="str">
        <f ca="1">IF(OFFSET('IWP04'!Std10dot3Deposits, 7, 4, 1, 1) = 0, "", OFFSET('IWP04'!Std10dot3Deposits, 7, 4, 1, 1))</f>
        <v/>
      </c>
      <c r="E1807" s="207" t="str">
        <f ca="1">IF(OFFSET('IWP04'!Std10dot3Deposits, 7, 7, 1, 1) = 0, "", OFFSET('IWP04'!Std10dot3Deposits, 7, 7, 1, 1))</f>
        <v/>
      </c>
    </row>
    <row r="1808" spans="1:5">
      <c r="A1808" s="206" t="s">
        <v>1307</v>
      </c>
      <c r="B1808" s="157">
        <f ca="1">IF(OFFSET('IWP04'!Std10dot3Deposits, 8, 0, 1, 1) = DATE(1900,1,0),DATE(1900,1,1),OFFSET('IWP04'!Std10dot3Deposits, 8, 0, 1, 1))</f>
        <v>1</v>
      </c>
      <c r="C1808" s="155">
        <f ca="1">OFFSET('IWP04'!Std10dot3Deposits, 8, 2, 1, 1)</f>
        <v>0</v>
      </c>
      <c r="D1808" s="151" t="str">
        <f ca="1">IF(OFFSET('IWP04'!Std10dot3Deposits, 8, 4, 1, 1) = 0, "", OFFSET('IWP04'!Std10dot3Deposits, 8, 4, 1, 1))</f>
        <v/>
      </c>
      <c r="E1808" s="207" t="str">
        <f ca="1">IF(OFFSET('IWP04'!Std10dot3Deposits, 8, 7, 1, 1) = 0, "", OFFSET('IWP04'!Std10dot3Deposits, 8, 7, 1, 1))</f>
        <v/>
      </c>
    </row>
    <row r="1809" spans="1:5">
      <c r="A1809" s="206" t="s">
        <v>1307</v>
      </c>
      <c r="B1809" s="157">
        <f ca="1">IF(OFFSET('IWP04'!Std10dot3Deposits, 9, 0, 1, 1) = DATE(1900,1,0),DATE(1900,1,1),OFFSET('IWP04'!Std10dot3Deposits, 9, 0, 1, 1))</f>
        <v>1</v>
      </c>
      <c r="C1809" s="155">
        <f ca="1">OFFSET('IWP04'!Std10dot3Deposits, 9, 2, 1, 1)</f>
        <v>0</v>
      </c>
      <c r="D1809" s="151" t="str">
        <f ca="1">IF(OFFSET('IWP04'!Std10dot3Deposits, 9, 4, 1, 1) = 0, "", OFFSET('IWP04'!Std10dot3Deposits, 9, 4, 1, 1))</f>
        <v/>
      </c>
      <c r="E1809" s="207" t="str">
        <f ca="1">IF(OFFSET('IWP04'!Std10dot3Deposits, 9, 7, 1, 1) = 0, "", OFFSET('IWP04'!Std10dot3Deposits, 9, 7, 1, 1))</f>
        <v/>
      </c>
    </row>
    <row r="1810" spans="1:5">
      <c r="A1810" s="206" t="s">
        <v>1308</v>
      </c>
      <c r="B1810" s="157">
        <f ca="1">IF(OFFSET('IWP05'!Std10dot3Deposits, 0, 0, 1, 1) = DATE(1900,1,0),DATE(1900,1,1),OFFSET('IWP05'!Std10dot3Deposits, 0, 0, 1, 1))</f>
        <v>1</v>
      </c>
      <c r="C1810" s="155">
        <f ca="1">OFFSET('IWP05'!Std10dot3Deposits, 0, 2, 1, 1)</f>
        <v>0</v>
      </c>
      <c r="D1810" s="151" t="str">
        <f ca="1">IF(OFFSET('IWP05'!Std10dot3Deposits, 0, 4, 1, 1) = 0, "", OFFSET('IWP05'!Std10dot3Deposits, 0, 4, 1, 1))</f>
        <v/>
      </c>
      <c r="E1810" s="207" t="str">
        <f ca="1">IF(OFFSET('IWP05'!Std10dot3Deposits, 0, 7, 1, 1) = 0, "", OFFSET('IWP05'!Std10dot3Deposits, 0, 7, 1, 1))</f>
        <v/>
      </c>
    </row>
    <row r="1811" spans="1:5">
      <c r="A1811" s="206" t="s">
        <v>1308</v>
      </c>
      <c r="B1811" s="157">
        <f ca="1">IF(OFFSET('IWP05'!Std10dot3Deposits, 1, 0, 1, 1) = DATE(1900,1,0),DATE(1900,1,1),OFFSET('IWP05'!Std10dot3Deposits, 1, 0, 1, 1))</f>
        <v>1</v>
      </c>
      <c r="C1811" s="155">
        <f ca="1">OFFSET('IWP05'!Std10dot3Deposits, 1, 2, 1, 1)</f>
        <v>0</v>
      </c>
      <c r="D1811" s="151" t="str">
        <f ca="1">IF(OFFSET('IWP05'!Std10dot3Deposits, 1, 4, 1, 1) = 0, "", OFFSET('IWP05'!Std10dot3Deposits, 1, 4, 1, 1))</f>
        <v/>
      </c>
      <c r="E1811" s="207" t="str">
        <f ca="1">IF(OFFSET('IWP05'!Std10dot3Deposits, 1, 7, 1, 1) = 0, "", OFFSET('IWP05'!Std10dot3Deposits, 1, 7, 1, 1))</f>
        <v/>
      </c>
    </row>
    <row r="1812" spans="1:5">
      <c r="A1812" s="206" t="s">
        <v>1308</v>
      </c>
      <c r="B1812" s="157">
        <f ca="1">IF(OFFSET('IWP05'!Std10dot3Deposits, 2, 0, 1, 1) = DATE(1900,1,0),DATE(1900,1,1),OFFSET('IWP05'!Std10dot3Deposits, 2, 0, 1, 1))</f>
        <v>1</v>
      </c>
      <c r="C1812" s="155">
        <f ca="1">OFFSET('IWP05'!Std10dot3Deposits, 2, 2, 1, 1)</f>
        <v>0</v>
      </c>
      <c r="D1812" s="151" t="str">
        <f ca="1">IF(OFFSET('IWP05'!Std10dot3Deposits, 2, 4, 1, 1) = 0, "", OFFSET('IWP05'!Std10dot3Deposits, 2, 4, 1, 1))</f>
        <v/>
      </c>
      <c r="E1812" s="207" t="str">
        <f ca="1">IF(OFFSET('IWP05'!Std10dot3Deposits, 2, 7, 1, 1) = 0, "", OFFSET('IWP05'!Std10dot3Deposits, 2, 7, 1, 1))</f>
        <v/>
      </c>
    </row>
    <row r="1813" spans="1:5">
      <c r="A1813" s="206" t="s">
        <v>1308</v>
      </c>
      <c r="B1813" s="157">
        <f ca="1">IF(OFFSET('IWP05'!Std10dot3Deposits, 3, 0, 1, 1) = DATE(1900,1,0),DATE(1900,1,1),OFFSET('IWP05'!Std10dot3Deposits, 3, 0, 1, 1))</f>
        <v>1</v>
      </c>
      <c r="C1813" s="155">
        <f ca="1">OFFSET('IWP05'!Std10dot3Deposits, 3, 2, 1, 1)</f>
        <v>0</v>
      </c>
      <c r="D1813" s="151" t="str">
        <f ca="1">IF(OFFSET('IWP05'!Std10dot3Deposits, 3, 4, 1, 1) = 0, "", OFFSET('IWP05'!Std10dot3Deposits, 3, 4, 1, 1))</f>
        <v/>
      </c>
      <c r="E1813" s="207" t="str">
        <f ca="1">IF(OFFSET('IWP05'!Std10dot3Deposits, 3, 7, 1, 1) = 0, "", OFFSET('IWP05'!Std10dot3Deposits, 3, 7, 1, 1))</f>
        <v/>
      </c>
    </row>
    <row r="1814" spans="1:5">
      <c r="A1814" s="206" t="s">
        <v>1308</v>
      </c>
      <c r="B1814" s="157">
        <f ca="1">IF(OFFSET('IWP05'!Std10dot3Deposits, 4, 0, 1, 1) = DATE(1900,1,0),DATE(1900,1,1),OFFSET('IWP05'!Std10dot3Deposits, 4, 0, 1, 1))</f>
        <v>1</v>
      </c>
      <c r="C1814" s="155">
        <f ca="1">OFFSET('IWP05'!Std10dot3Deposits, 4, 2, 1, 1)</f>
        <v>0</v>
      </c>
      <c r="D1814" s="151" t="str">
        <f ca="1">IF(OFFSET('IWP05'!Std10dot3Deposits, 4, 4, 1, 1) = 0, "", OFFSET('IWP05'!Std10dot3Deposits, 4, 4, 1, 1))</f>
        <v/>
      </c>
      <c r="E1814" s="207" t="str">
        <f ca="1">IF(OFFSET('IWP05'!Std10dot3Deposits, 4, 7, 1, 1) = 0, "", OFFSET('IWP05'!Std10dot3Deposits, 4, 7, 1, 1))</f>
        <v/>
      </c>
    </row>
    <row r="1815" spans="1:5">
      <c r="A1815" s="206" t="s">
        <v>1308</v>
      </c>
      <c r="B1815" s="157">
        <f ca="1">IF(OFFSET('IWP05'!Std10dot3Deposits, 5, 0, 1, 1) = DATE(1900,1,0),DATE(1900,1,1),OFFSET('IWP05'!Std10dot3Deposits, 5, 0, 1, 1))</f>
        <v>1</v>
      </c>
      <c r="C1815" s="155">
        <f ca="1">OFFSET('IWP05'!Std10dot3Deposits, 5, 2, 1, 1)</f>
        <v>0</v>
      </c>
      <c r="D1815" s="151" t="str">
        <f ca="1">IF(OFFSET('IWP05'!Std10dot3Deposits, 5, 4, 1, 1) = 0, "", OFFSET('IWP05'!Std10dot3Deposits, 5, 4, 1, 1))</f>
        <v/>
      </c>
      <c r="E1815" s="207" t="str">
        <f ca="1">IF(OFFSET('IWP05'!Std10dot3Deposits, 5, 7, 1, 1) = 0, "", OFFSET('IWP05'!Std10dot3Deposits, 5, 7, 1, 1))</f>
        <v/>
      </c>
    </row>
    <row r="1816" spans="1:5">
      <c r="A1816" s="206" t="s">
        <v>1308</v>
      </c>
      <c r="B1816" s="157">
        <f ca="1">IF(OFFSET('IWP05'!Std10dot3Deposits, 6, 0, 1, 1) = DATE(1900,1,0),DATE(1900,1,1),OFFSET('IWP05'!Std10dot3Deposits, 6, 0, 1, 1))</f>
        <v>1</v>
      </c>
      <c r="C1816" s="155">
        <f ca="1">OFFSET('IWP05'!Std10dot3Deposits, 6, 2, 1, 1)</f>
        <v>0</v>
      </c>
      <c r="D1816" s="151" t="str">
        <f ca="1">IF(OFFSET('IWP05'!Std10dot3Deposits, 6, 4, 1, 1) = 0, "", OFFSET('IWP05'!Std10dot3Deposits, 6, 4, 1, 1))</f>
        <v/>
      </c>
      <c r="E1816" s="207" t="str">
        <f ca="1">IF(OFFSET('IWP05'!Std10dot3Deposits, 6, 7, 1, 1) = 0, "", OFFSET('IWP05'!Std10dot3Deposits, 6, 7, 1, 1))</f>
        <v/>
      </c>
    </row>
    <row r="1817" spans="1:5">
      <c r="A1817" s="206" t="s">
        <v>1308</v>
      </c>
      <c r="B1817" s="157">
        <f ca="1">IF(OFFSET('IWP05'!Std10dot3Deposits, 7, 0, 1, 1) = DATE(1900,1,0),DATE(1900,1,1),OFFSET('IWP05'!Std10dot3Deposits, 7, 0, 1, 1))</f>
        <v>1</v>
      </c>
      <c r="C1817" s="155">
        <f ca="1">OFFSET('IWP05'!Std10dot3Deposits, 7, 2, 1, 1)</f>
        <v>0</v>
      </c>
      <c r="D1817" s="151" t="str">
        <f ca="1">IF(OFFSET('IWP05'!Std10dot3Deposits, 7, 4, 1, 1) = 0, "", OFFSET('IWP05'!Std10dot3Deposits, 7, 4, 1, 1))</f>
        <v/>
      </c>
      <c r="E1817" s="207" t="str">
        <f ca="1">IF(OFFSET('IWP05'!Std10dot3Deposits, 7, 7, 1, 1) = 0, "", OFFSET('IWP05'!Std10dot3Deposits, 7, 7, 1, 1))</f>
        <v/>
      </c>
    </row>
    <row r="1818" spans="1:5">
      <c r="A1818" s="206" t="s">
        <v>1308</v>
      </c>
      <c r="B1818" s="157">
        <f ca="1">IF(OFFSET('IWP05'!Std10dot3Deposits, 8, 0, 1, 1) = DATE(1900,1,0),DATE(1900,1,1),OFFSET('IWP05'!Std10dot3Deposits, 8, 0, 1, 1))</f>
        <v>1</v>
      </c>
      <c r="C1818" s="155">
        <f ca="1">OFFSET('IWP05'!Std10dot3Deposits, 8, 2, 1, 1)</f>
        <v>0</v>
      </c>
      <c r="D1818" s="151" t="str">
        <f ca="1">IF(OFFSET('IWP05'!Std10dot3Deposits, 8, 4, 1, 1) = 0, "", OFFSET('IWP05'!Std10dot3Deposits, 8, 4, 1, 1))</f>
        <v/>
      </c>
      <c r="E1818" s="207" t="str">
        <f ca="1">IF(OFFSET('IWP05'!Std10dot3Deposits, 8, 7, 1, 1) = 0, "", OFFSET('IWP05'!Std10dot3Deposits, 8, 7, 1, 1))</f>
        <v/>
      </c>
    </row>
    <row r="1819" spans="1:5">
      <c r="A1819" s="206" t="s">
        <v>1308</v>
      </c>
      <c r="B1819" s="157">
        <f ca="1">IF(OFFSET('IWP05'!Std10dot3Deposits, 9, 0, 1, 1) = DATE(1900,1,0),DATE(1900,1,1),OFFSET('IWP05'!Std10dot3Deposits, 9, 0, 1, 1))</f>
        <v>1</v>
      </c>
      <c r="C1819" s="155">
        <f ca="1">OFFSET('IWP05'!Std10dot3Deposits, 9, 2, 1, 1)</f>
        <v>0</v>
      </c>
      <c r="D1819" s="151" t="str">
        <f ca="1">IF(OFFSET('IWP05'!Std10dot3Deposits, 9, 4, 1, 1) = 0, "", OFFSET('IWP05'!Std10dot3Deposits, 9, 4, 1, 1))</f>
        <v/>
      </c>
      <c r="E1819" s="207" t="str">
        <f ca="1">IF(OFFSET('IWP05'!Std10dot3Deposits, 9, 7, 1, 1) = 0, "", OFFSET('IWP05'!Std10dot3Deposits, 9, 7, 1, 1))</f>
        <v/>
      </c>
    </row>
    <row r="1820" spans="1:5">
      <c r="A1820" s="206" t="s">
        <v>1309</v>
      </c>
      <c r="B1820" s="157">
        <f ca="1">IF(OFFSET('IWP06'!Std10dot3Deposits, 0, 0, 1, 1) = DATE(1900,1,0),DATE(1900,1,1),OFFSET('IWP06'!Std10dot3Deposits, 0, 0, 1, 1))</f>
        <v>1</v>
      </c>
      <c r="C1820" s="155">
        <f ca="1">OFFSET('IWP06'!Std10dot3Deposits, 0, 2, 1, 1)</f>
        <v>0</v>
      </c>
      <c r="D1820" s="151" t="str">
        <f ca="1">IF(OFFSET('IWP06'!Std10dot3Deposits, 0, 4, 1, 1) = 0, "", OFFSET('IWP06'!Std10dot3Deposits, 0, 4, 1, 1))</f>
        <v/>
      </c>
      <c r="E1820" s="207" t="str">
        <f ca="1">IF(OFFSET('IWP06'!Std10dot3Deposits, 0, 7, 1, 1) = 0, "", OFFSET('IWP06'!Std10dot3Deposits, 0, 7, 1, 1))</f>
        <v/>
      </c>
    </row>
    <row r="1821" spans="1:5">
      <c r="A1821" s="206" t="s">
        <v>1309</v>
      </c>
      <c r="B1821" s="157">
        <f ca="1">IF(OFFSET('IWP06'!Std10dot3Deposits, 1, 0, 1, 1) = DATE(1900,1,0),DATE(1900,1,1),OFFSET('IWP06'!Std10dot3Deposits, 1, 0, 1, 1))</f>
        <v>1</v>
      </c>
      <c r="C1821" s="155">
        <f ca="1">OFFSET('IWP06'!Std10dot3Deposits, 1, 2, 1, 1)</f>
        <v>0</v>
      </c>
      <c r="D1821" s="151" t="str">
        <f ca="1">IF(OFFSET('IWP06'!Std10dot3Deposits, 1, 4, 1, 1) = 0, "", OFFSET('IWP06'!Std10dot3Deposits, 1, 4, 1, 1))</f>
        <v/>
      </c>
      <c r="E1821" s="207" t="str">
        <f ca="1">IF(OFFSET('IWP06'!Std10dot3Deposits, 1, 7, 1, 1) = 0, "", OFFSET('IWP06'!Std10dot3Deposits, 1, 7, 1, 1))</f>
        <v/>
      </c>
    </row>
    <row r="1822" spans="1:5">
      <c r="A1822" s="206" t="s">
        <v>1309</v>
      </c>
      <c r="B1822" s="157">
        <f ca="1">IF(OFFSET('IWP06'!Std10dot3Deposits, 2, 0, 1, 1) = DATE(1900,1,0),DATE(1900,1,1),OFFSET('IWP06'!Std10dot3Deposits, 2, 0, 1, 1))</f>
        <v>1</v>
      </c>
      <c r="C1822" s="155">
        <f ca="1">OFFSET('IWP06'!Std10dot3Deposits, 2, 2, 1, 1)</f>
        <v>0</v>
      </c>
      <c r="D1822" s="151" t="str">
        <f ca="1">IF(OFFSET('IWP06'!Std10dot3Deposits, 2, 4, 1, 1) = 0, "", OFFSET('IWP06'!Std10dot3Deposits, 2, 4, 1, 1))</f>
        <v/>
      </c>
      <c r="E1822" s="207" t="str">
        <f ca="1">IF(OFFSET('IWP06'!Std10dot3Deposits, 2, 7, 1, 1) = 0, "", OFFSET('IWP06'!Std10dot3Deposits, 2, 7, 1, 1))</f>
        <v/>
      </c>
    </row>
    <row r="1823" spans="1:5">
      <c r="A1823" s="206" t="s">
        <v>1309</v>
      </c>
      <c r="B1823" s="157">
        <f ca="1">IF(OFFSET('IWP06'!Std10dot3Deposits, 3, 0, 1, 1) = DATE(1900,1,0),DATE(1900,1,1),OFFSET('IWP06'!Std10dot3Deposits, 3, 0, 1, 1))</f>
        <v>1</v>
      </c>
      <c r="C1823" s="155">
        <f ca="1">OFFSET('IWP06'!Std10dot3Deposits, 3, 2, 1, 1)</f>
        <v>0</v>
      </c>
      <c r="D1823" s="151" t="str">
        <f ca="1">IF(OFFSET('IWP06'!Std10dot3Deposits, 3, 4, 1, 1) = 0, "", OFFSET('IWP06'!Std10dot3Deposits, 3, 4, 1, 1))</f>
        <v/>
      </c>
      <c r="E1823" s="207" t="str">
        <f ca="1">IF(OFFSET('IWP06'!Std10dot3Deposits, 3, 7, 1, 1) = 0, "", OFFSET('IWP06'!Std10dot3Deposits, 3, 7, 1, 1))</f>
        <v/>
      </c>
    </row>
    <row r="1824" spans="1:5">
      <c r="A1824" s="206" t="s">
        <v>1309</v>
      </c>
      <c r="B1824" s="157">
        <f ca="1">IF(OFFSET('IWP06'!Std10dot3Deposits, 4, 0, 1, 1) = DATE(1900,1,0),DATE(1900,1,1),OFFSET('IWP06'!Std10dot3Deposits, 4, 0, 1, 1))</f>
        <v>1</v>
      </c>
      <c r="C1824" s="155">
        <f ca="1">OFFSET('IWP06'!Std10dot3Deposits, 4, 2, 1, 1)</f>
        <v>0</v>
      </c>
      <c r="D1824" s="151" t="str">
        <f ca="1">IF(OFFSET('IWP06'!Std10dot3Deposits, 4, 4, 1, 1) = 0, "", OFFSET('IWP06'!Std10dot3Deposits, 4, 4, 1, 1))</f>
        <v/>
      </c>
      <c r="E1824" s="207" t="str">
        <f ca="1">IF(OFFSET('IWP06'!Std10dot3Deposits, 4, 7, 1, 1) = 0, "", OFFSET('IWP06'!Std10dot3Deposits, 4, 7, 1, 1))</f>
        <v/>
      </c>
    </row>
    <row r="1825" spans="1:5">
      <c r="A1825" s="206" t="s">
        <v>1309</v>
      </c>
      <c r="B1825" s="157">
        <f ca="1">IF(OFFSET('IWP06'!Std10dot3Deposits, 5, 0, 1, 1) = DATE(1900,1,0),DATE(1900,1,1),OFFSET('IWP06'!Std10dot3Deposits, 5, 0, 1, 1))</f>
        <v>1</v>
      </c>
      <c r="C1825" s="155">
        <f ca="1">OFFSET('IWP06'!Std10dot3Deposits, 5, 2, 1, 1)</f>
        <v>0</v>
      </c>
      <c r="D1825" s="151" t="str">
        <f ca="1">IF(OFFSET('IWP06'!Std10dot3Deposits, 5, 4, 1, 1) = 0, "", OFFSET('IWP06'!Std10dot3Deposits, 5, 4, 1, 1))</f>
        <v/>
      </c>
      <c r="E1825" s="207" t="str">
        <f ca="1">IF(OFFSET('IWP06'!Std10dot3Deposits, 5, 7, 1, 1) = 0, "", OFFSET('IWP06'!Std10dot3Deposits, 5, 7, 1, 1))</f>
        <v/>
      </c>
    </row>
    <row r="1826" spans="1:5">
      <c r="A1826" s="206" t="s">
        <v>1309</v>
      </c>
      <c r="B1826" s="157">
        <f ca="1">IF(OFFSET('IWP06'!Std10dot3Deposits, 6, 0, 1, 1) = DATE(1900,1,0),DATE(1900,1,1),OFFSET('IWP06'!Std10dot3Deposits, 6, 0, 1, 1))</f>
        <v>1</v>
      </c>
      <c r="C1826" s="155">
        <f ca="1">OFFSET('IWP06'!Std10dot3Deposits, 6, 2, 1, 1)</f>
        <v>0</v>
      </c>
      <c r="D1826" s="151" t="str">
        <f ca="1">IF(OFFSET('IWP06'!Std10dot3Deposits, 6, 4, 1, 1) = 0, "", OFFSET('IWP06'!Std10dot3Deposits, 6, 4, 1, 1))</f>
        <v/>
      </c>
      <c r="E1826" s="207" t="str">
        <f ca="1">IF(OFFSET('IWP06'!Std10dot3Deposits, 6, 7, 1, 1) = 0, "", OFFSET('IWP06'!Std10dot3Deposits, 6, 7, 1, 1))</f>
        <v/>
      </c>
    </row>
    <row r="1827" spans="1:5">
      <c r="A1827" s="206" t="s">
        <v>1309</v>
      </c>
      <c r="B1827" s="157">
        <f ca="1">IF(OFFSET('IWP06'!Std10dot3Deposits, 7, 0, 1, 1) = DATE(1900,1,0),DATE(1900,1,1),OFFSET('IWP06'!Std10dot3Deposits, 7, 0, 1, 1))</f>
        <v>1</v>
      </c>
      <c r="C1827" s="155">
        <f ca="1">OFFSET('IWP06'!Std10dot3Deposits, 7, 2, 1, 1)</f>
        <v>0</v>
      </c>
      <c r="D1827" s="151" t="str">
        <f ca="1">IF(OFFSET('IWP06'!Std10dot3Deposits, 7, 4, 1, 1) = 0, "", OFFSET('IWP06'!Std10dot3Deposits, 7, 4, 1, 1))</f>
        <v/>
      </c>
      <c r="E1827" s="207" t="str">
        <f ca="1">IF(OFFSET('IWP06'!Std10dot3Deposits, 7, 7, 1, 1) = 0, "", OFFSET('IWP06'!Std10dot3Deposits, 7, 7, 1, 1))</f>
        <v/>
      </c>
    </row>
    <row r="1828" spans="1:5">
      <c r="A1828" s="206" t="s">
        <v>1309</v>
      </c>
      <c r="B1828" s="157">
        <f ca="1">IF(OFFSET('IWP06'!Std10dot3Deposits, 8, 0, 1, 1) = DATE(1900,1,0),DATE(1900,1,1),OFFSET('IWP06'!Std10dot3Deposits, 8, 0, 1, 1))</f>
        <v>1</v>
      </c>
      <c r="C1828" s="155">
        <f ca="1">OFFSET('IWP06'!Std10dot3Deposits, 8, 2, 1, 1)</f>
        <v>0</v>
      </c>
      <c r="D1828" s="151" t="str">
        <f ca="1">IF(OFFSET('IWP06'!Std10dot3Deposits, 8, 4, 1, 1) = 0, "", OFFSET('IWP06'!Std10dot3Deposits, 8, 4, 1, 1))</f>
        <v/>
      </c>
      <c r="E1828" s="207" t="str">
        <f ca="1">IF(OFFSET('IWP06'!Std10dot3Deposits, 8, 7, 1, 1) = 0, "", OFFSET('IWP06'!Std10dot3Deposits, 8, 7, 1, 1))</f>
        <v/>
      </c>
    </row>
    <row r="1829" spans="1:5">
      <c r="A1829" s="206" t="s">
        <v>1309</v>
      </c>
      <c r="B1829" s="157">
        <f ca="1">IF(OFFSET('IWP06'!Std10dot3Deposits, 9, 0, 1, 1) = DATE(1900,1,0),DATE(1900,1,1),OFFSET('IWP06'!Std10dot3Deposits, 9, 0, 1, 1))</f>
        <v>1</v>
      </c>
      <c r="C1829" s="155">
        <f ca="1">OFFSET('IWP06'!Std10dot3Deposits, 9, 2, 1, 1)</f>
        <v>0</v>
      </c>
      <c r="D1829" s="151" t="str">
        <f ca="1">IF(OFFSET('IWP06'!Std10dot3Deposits, 9, 4, 1, 1) = 0, "", OFFSET('IWP06'!Std10dot3Deposits, 9, 4, 1, 1))</f>
        <v/>
      </c>
      <c r="E1829" s="207" t="str">
        <f ca="1">IF(OFFSET('IWP06'!Std10dot3Deposits, 9, 7, 1, 1) = 0, "", OFFSET('IWP06'!Std10dot3Deposits, 9, 7, 1, 1))</f>
        <v/>
      </c>
    </row>
    <row r="1830" spans="1:5">
      <c r="A1830" s="206" t="s">
        <v>1310</v>
      </c>
      <c r="B1830" s="157">
        <f ca="1">IF(OFFSET('IWP07'!Std10dot3Deposits, 0, 0, 1, 1) = DATE(1900,1,0),DATE(1900,1,1),OFFSET('IWP07'!Std10dot3Deposits, 0, 0, 1, 1))</f>
        <v>1</v>
      </c>
      <c r="C1830" s="155">
        <f ca="1">OFFSET('IWP07'!Std10dot3Deposits, 0, 2, 1, 1)</f>
        <v>0</v>
      </c>
      <c r="D1830" s="151" t="str">
        <f ca="1">IF(OFFSET('IWP07'!Std10dot3Deposits, 0, 4, 1, 1) = 0, "", OFFSET('IWP07'!Std10dot3Deposits, 0, 4, 1, 1))</f>
        <v/>
      </c>
      <c r="E1830" s="207" t="str">
        <f ca="1">IF(OFFSET('IWP07'!Std10dot3Deposits, 0, 7, 1, 1) = 0, "", OFFSET('IWP07'!Std10dot3Deposits, 0, 7, 1, 1))</f>
        <v/>
      </c>
    </row>
    <row r="1831" spans="1:5">
      <c r="A1831" s="206" t="s">
        <v>1310</v>
      </c>
      <c r="B1831" s="157">
        <f ca="1">IF(OFFSET('IWP07'!Std10dot3Deposits, 1, 0, 1, 1) = DATE(1900,1,0),DATE(1900,1,1),OFFSET('IWP07'!Std10dot3Deposits, 1, 0, 1, 1))</f>
        <v>1</v>
      </c>
      <c r="C1831" s="155">
        <f ca="1">OFFSET('IWP07'!Std10dot3Deposits, 1, 2, 1, 1)</f>
        <v>0</v>
      </c>
      <c r="D1831" s="151" t="str">
        <f ca="1">IF(OFFSET('IWP07'!Std10dot3Deposits, 1, 4, 1, 1) = 0, "", OFFSET('IWP07'!Std10dot3Deposits, 1, 4, 1, 1))</f>
        <v/>
      </c>
      <c r="E1831" s="207" t="str">
        <f ca="1">IF(OFFSET('IWP07'!Std10dot3Deposits, 1, 7, 1, 1) = 0, "", OFFSET('IWP07'!Std10dot3Deposits, 1, 7, 1, 1))</f>
        <v/>
      </c>
    </row>
    <row r="1832" spans="1:5">
      <c r="A1832" s="206" t="s">
        <v>1310</v>
      </c>
      <c r="B1832" s="157">
        <f ca="1">IF(OFFSET('IWP07'!Std10dot3Deposits, 2, 0, 1, 1) = DATE(1900,1,0),DATE(1900,1,1),OFFSET('IWP07'!Std10dot3Deposits, 2, 0, 1, 1))</f>
        <v>1</v>
      </c>
      <c r="C1832" s="155">
        <f ca="1">OFFSET('IWP07'!Std10dot3Deposits, 2, 2, 1, 1)</f>
        <v>0</v>
      </c>
      <c r="D1832" s="151" t="str">
        <f ca="1">IF(OFFSET('IWP07'!Std10dot3Deposits, 2, 4, 1, 1) = 0, "", OFFSET('IWP07'!Std10dot3Deposits, 2, 4, 1, 1))</f>
        <v/>
      </c>
      <c r="E1832" s="207" t="str">
        <f ca="1">IF(OFFSET('IWP07'!Std10dot3Deposits, 2, 7, 1, 1) = 0, "", OFFSET('IWP07'!Std10dot3Deposits, 2, 7, 1, 1))</f>
        <v/>
      </c>
    </row>
    <row r="1833" spans="1:5">
      <c r="A1833" s="206" t="s">
        <v>1310</v>
      </c>
      <c r="B1833" s="157">
        <f ca="1">IF(OFFSET('IWP07'!Std10dot3Deposits, 3, 0, 1, 1) = DATE(1900,1,0),DATE(1900,1,1),OFFSET('IWP07'!Std10dot3Deposits, 3, 0, 1, 1))</f>
        <v>1</v>
      </c>
      <c r="C1833" s="155">
        <f ca="1">OFFSET('IWP07'!Std10dot3Deposits, 3, 2, 1, 1)</f>
        <v>0</v>
      </c>
      <c r="D1833" s="151" t="str">
        <f ca="1">IF(OFFSET('IWP07'!Std10dot3Deposits, 3, 4, 1, 1) = 0, "", OFFSET('IWP07'!Std10dot3Deposits, 3, 4, 1, 1))</f>
        <v/>
      </c>
      <c r="E1833" s="207" t="str">
        <f ca="1">IF(OFFSET('IWP07'!Std10dot3Deposits, 3, 7, 1, 1) = 0, "", OFFSET('IWP07'!Std10dot3Deposits, 3, 7, 1, 1))</f>
        <v/>
      </c>
    </row>
    <row r="1834" spans="1:5">
      <c r="A1834" s="206" t="s">
        <v>1310</v>
      </c>
      <c r="B1834" s="157">
        <f ca="1">IF(OFFSET('IWP07'!Std10dot3Deposits, 4, 0, 1, 1) = DATE(1900,1,0),DATE(1900,1,1),OFFSET('IWP07'!Std10dot3Deposits, 4, 0, 1, 1))</f>
        <v>1</v>
      </c>
      <c r="C1834" s="155">
        <f ca="1">OFFSET('IWP07'!Std10dot3Deposits, 4, 2, 1, 1)</f>
        <v>0</v>
      </c>
      <c r="D1834" s="151" t="str">
        <f ca="1">IF(OFFSET('IWP07'!Std10dot3Deposits, 4, 4, 1, 1) = 0, "", OFFSET('IWP07'!Std10dot3Deposits, 4, 4, 1, 1))</f>
        <v/>
      </c>
      <c r="E1834" s="207" t="str">
        <f ca="1">IF(OFFSET('IWP07'!Std10dot3Deposits, 4, 7, 1, 1) = 0, "", OFFSET('IWP07'!Std10dot3Deposits, 4, 7, 1, 1))</f>
        <v/>
      </c>
    </row>
    <row r="1835" spans="1:5">
      <c r="A1835" s="206" t="s">
        <v>1310</v>
      </c>
      <c r="B1835" s="157">
        <f ca="1">IF(OFFSET('IWP07'!Std10dot3Deposits, 5, 0, 1, 1) = DATE(1900,1,0),DATE(1900,1,1),OFFSET('IWP07'!Std10dot3Deposits, 5, 0, 1, 1))</f>
        <v>1</v>
      </c>
      <c r="C1835" s="155">
        <f ca="1">OFFSET('IWP07'!Std10dot3Deposits, 5, 2, 1, 1)</f>
        <v>0</v>
      </c>
      <c r="D1835" s="151" t="str">
        <f ca="1">IF(OFFSET('IWP07'!Std10dot3Deposits, 5, 4, 1, 1) = 0, "", OFFSET('IWP07'!Std10dot3Deposits, 5, 4, 1, 1))</f>
        <v/>
      </c>
      <c r="E1835" s="207" t="str">
        <f ca="1">IF(OFFSET('IWP07'!Std10dot3Deposits, 5, 7, 1, 1) = 0, "", OFFSET('IWP07'!Std10dot3Deposits, 5, 7, 1, 1))</f>
        <v/>
      </c>
    </row>
    <row r="1836" spans="1:5">
      <c r="A1836" s="206" t="s">
        <v>1310</v>
      </c>
      <c r="B1836" s="157">
        <f ca="1">IF(OFFSET('IWP07'!Std10dot3Deposits, 6, 0, 1, 1) = DATE(1900,1,0),DATE(1900,1,1),OFFSET('IWP07'!Std10dot3Deposits, 6, 0, 1, 1))</f>
        <v>1</v>
      </c>
      <c r="C1836" s="155">
        <f ca="1">OFFSET('IWP07'!Std10dot3Deposits, 6, 2, 1, 1)</f>
        <v>0</v>
      </c>
      <c r="D1836" s="151" t="str">
        <f ca="1">IF(OFFSET('IWP07'!Std10dot3Deposits, 6, 4, 1, 1) = 0, "", OFFSET('IWP07'!Std10dot3Deposits, 6, 4, 1, 1))</f>
        <v/>
      </c>
      <c r="E1836" s="207" t="str">
        <f ca="1">IF(OFFSET('IWP07'!Std10dot3Deposits, 6, 7, 1, 1) = 0, "", OFFSET('IWP07'!Std10dot3Deposits, 6, 7, 1, 1))</f>
        <v/>
      </c>
    </row>
    <row r="1837" spans="1:5">
      <c r="A1837" s="206" t="s">
        <v>1310</v>
      </c>
      <c r="B1837" s="157">
        <f ca="1">IF(OFFSET('IWP07'!Std10dot3Deposits, 7, 0, 1, 1) = DATE(1900,1,0),DATE(1900,1,1),OFFSET('IWP07'!Std10dot3Deposits, 7, 0, 1, 1))</f>
        <v>1</v>
      </c>
      <c r="C1837" s="155">
        <f ca="1">OFFSET('IWP07'!Std10dot3Deposits, 7, 2, 1, 1)</f>
        <v>0</v>
      </c>
      <c r="D1837" s="151" t="str">
        <f ca="1">IF(OFFSET('IWP07'!Std10dot3Deposits, 7, 4, 1, 1) = 0, "", OFFSET('IWP07'!Std10dot3Deposits, 7, 4, 1, 1))</f>
        <v/>
      </c>
      <c r="E1837" s="207" t="str">
        <f ca="1">IF(OFFSET('IWP07'!Std10dot3Deposits, 7, 7, 1, 1) = 0, "", OFFSET('IWP07'!Std10dot3Deposits, 7, 7, 1, 1))</f>
        <v/>
      </c>
    </row>
    <row r="1838" spans="1:5">
      <c r="A1838" s="206" t="s">
        <v>1310</v>
      </c>
      <c r="B1838" s="157">
        <f ca="1">IF(OFFSET('IWP07'!Std10dot3Deposits, 8, 0, 1, 1) = DATE(1900,1,0),DATE(1900,1,1),OFFSET('IWP07'!Std10dot3Deposits, 8, 0, 1, 1))</f>
        <v>1</v>
      </c>
      <c r="C1838" s="155">
        <f ca="1">OFFSET('IWP07'!Std10dot3Deposits, 8, 2, 1, 1)</f>
        <v>0</v>
      </c>
      <c r="D1838" s="151" t="str">
        <f ca="1">IF(OFFSET('IWP07'!Std10dot3Deposits, 8, 4, 1, 1) = 0, "", OFFSET('IWP07'!Std10dot3Deposits, 8, 4, 1, 1))</f>
        <v/>
      </c>
      <c r="E1838" s="207" t="str">
        <f ca="1">IF(OFFSET('IWP07'!Std10dot3Deposits, 8, 7, 1, 1) = 0, "", OFFSET('IWP07'!Std10dot3Deposits, 8, 7, 1, 1))</f>
        <v/>
      </c>
    </row>
    <row r="1839" spans="1:5">
      <c r="A1839" s="206" t="s">
        <v>1310</v>
      </c>
      <c r="B1839" s="157">
        <f ca="1">IF(OFFSET('IWP07'!Std10dot3Deposits, 9, 0, 1, 1) = DATE(1900,1,0),DATE(1900,1,1),OFFSET('IWP07'!Std10dot3Deposits, 9, 0, 1, 1))</f>
        <v>1</v>
      </c>
      <c r="C1839" s="155">
        <f ca="1">OFFSET('IWP07'!Std10dot3Deposits, 9, 2, 1, 1)</f>
        <v>0</v>
      </c>
      <c r="D1839" s="151" t="str">
        <f ca="1">IF(OFFSET('IWP07'!Std10dot3Deposits, 9, 4, 1, 1) = 0, "", OFFSET('IWP07'!Std10dot3Deposits, 9, 4, 1, 1))</f>
        <v/>
      </c>
      <c r="E1839" s="207" t="str">
        <f ca="1">IF(OFFSET('IWP07'!Std10dot3Deposits, 9, 7, 1, 1) = 0, "", OFFSET('IWP07'!Std10dot3Deposits, 9, 7, 1, 1))</f>
        <v/>
      </c>
    </row>
    <row r="1840" spans="1:5">
      <c r="A1840" s="206" t="s">
        <v>1311</v>
      </c>
      <c r="B1840" s="157">
        <f ca="1">IF(OFFSET('IWP08'!Std10dot3Deposits, 0, 0, 1, 1) = DATE(1900,1,0),DATE(1900,1,1),OFFSET('IWP08'!Std10dot3Deposits, 0, 0, 1, 1))</f>
        <v>1</v>
      </c>
      <c r="C1840" s="155">
        <f ca="1">OFFSET('IWP08'!Std10dot3Deposits, 0, 2, 1, 1)</f>
        <v>0</v>
      </c>
      <c r="D1840" s="151" t="str">
        <f ca="1">IF(OFFSET('IWP08'!Std10dot3Deposits, 0, 4, 1, 1) = 0, "", OFFSET('IWP08'!Std10dot3Deposits, 0, 4, 1, 1))</f>
        <v/>
      </c>
      <c r="E1840" s="207" t="str">
        <f ca="1">IF(OFFSET('IWP08'!Std10dot3Deposits, 0, 7, 1, 1) = 0, "", OFFSET('IWP08'!Std10dot3Deposits, 0, 7, 1, 1))</f>
        <v/>
      </c>
    </row>
    <row r="1841" spans="1:5">
      <c r="A1841" s="206" t="s">
        <v>1311</v>
      </c>
      <c r="B1841" s="157">
        <f ca="1">IF(OFFSET('IWP08'!Std10dot3Deposits, 1, 0, 1, 1) = DATE(1900,1,0),DATE(1900,1,1),OFFSET('IWP08'!Std10dot3Deposits, 1, 0, 1, 1))</f>
        <v>1</v>
      </c>
      <c r="C1841" s="155">
        <f ca="1">OFFSET('IWP08'!Std10dot3Deposits, 1, 2, 1, 1)</f>
        <v>0</v>
      </c>
      <c r="D1841" s="151" t="str">
        <f ca="1">IF(OFFSET('IWP08'!Std10dot3Deposits, 1, 4, 1, 1) = 0, "", OFFSET('IWP08'!Std10dot3Deposits, 1, 4, 1, 1))</f>
        <v/>
      </c>
      <c r="E1841" s="207" t="str">
        <f ca="1">IF(OFFSET('IWP08'!Std10dot3Deposits, 1, 7, 1, 1) = 0, "", OFFSET('IWP08'!Std10dot3Deposits, 1, 7, 1, 1))</f>
        <v/>
      </c>
    </row>
    <row r="1842" spans="1:5">
      <c r="A1842" s="206" t="s">
        <v>1311</v>
      </c>
      <c r="B1842" s="157">
        <f ca="1">IF(OFFSET('IWP08'!Std10dot3Deposits, 2, 0, 1, 1) = DATE(1900,1,0),DATE(1900,1,1),OFFSET('IWP08'!Std10dot3Deposits, 2, 0, 1, 1))</f>
        <v>1</v>
      </c>
      <c r="C1842" s="155">
        <f ca="1">OFFSET('IWP08'!Std10dot3Deposits, 2, 2, 1, 1)</f>
        <v>0</v>
      </c>
      <c r="D1842" s="151" t="str">
        <f ca="1">IF(OFFSET('IWP08'!Std10dot3Deposits, 2, 4, 1, 1) = 0, "", OFFSET('IWP08'!Std10dot3Deposits, 2, 4, 1, 1))</f>
        <v/>
      </c>
      <c r="E1842" s="207" t="str">
        <f ca="1">IF(OFFSET('IWP08'!Std10dot3Deposits, 2, 7, 1, 1) = 0, "", OFFSET('IWP08'!Std10dot3Deposits, 2, 7, 1, 1))</f>
        <v/>
      </c>
    </row>
    <row r="1843" spans="1:5">
      <c r="A1843" s="206" t="s">
        <v>1311</v>
      </c>
      <c r="B1843" s="157">
        <f ca="1">IF(OFFSET('IWP08'!Std10dot3Deposits, 3, 0, 1, 1) = DATE(1900,1,0),DATE(1900,1,1),OFFSET('IWP08'!Std10dot3Deposits, 3, 0, 1, 1))</f>
        <v>1</v>
      </c>
      <c r="C1843" s="155">
        <f ca="1">OFFSET('IWP08'!Std10dot3Deposits, 3, 2, 1, 1)</f>
        <v>0</v>
      </c>
      <c r="D1843" s="151" t="str">
        <f ca="1">IF(OFFSET('IWP08'!Std10dot3Deposits, 3, 4, 1, 1) = 0, "", OFFSET('IWP08'!Std10dot3Deposits, 3, 4, 1, 1))</f>
        <v/>
      </c>
      <c r="E1843" s="207" t="str">
        <f ca="1">IF(OFFSET('IWP08'!Std10dot3Deposits, 3, 7, 1, 1) = 0, "", OFFSET('IWP08'!Std10dot3Deposits, 3, 7, 1, 1))</f>
        <v/>
      </c>
    </row>
    <row r="1844" spans="1:5">
      <c r="A1844" s="206" t="s">
        <v>1311</v>
      </c>
      <c r="B1844" s="157">
        <f ca="1">IF(OFFSET('IWP08'!Std10dot3Deposits, 4, 0, 1, 1) = DATE(1900,1,0),DATE(1900,1,1),OFFSET('IWP08'!Std10dot3Deposits, 4, 0, 1, 1))</f>
        <v>1</v>
      </c>
      <c r="C1844" s="155">
        <f ca="1">OFFSET('IWP08'!Std10dot3Deposits, 4, 2, 1, 1)</f>
        <v>0</v>
      </c>
      <c r="D1844" s="151" t="str">
        <f ca="1">IF(OFFSET('IWP08'!Std10dot3Deposits, 4, 4, 1, 1) = 0, "", OFFSET('IWP08'!Std10dot3Deposits, 4, 4, 1, 1))</f>
        <v/>
      </c>
      <c r="E1844" s="207" t="str">
        <f ca="1">IF(OFFSET('IWP08'!Std10dot3Deposits, 4, 7, 1, 1) = 0, "", OFFSET('IWP08'!Std10dot3Deposits, 4, 7, 1, 1))</f>
        <v/>
      </c>
    </row>
    <row r="1845" spans="1:5">
      <c r="A1845" s="206" t="s">
        <v>1311</v>
      </c>
      <c r="B1845" s="157">
        <f ca="1">IF(OFFSET('IWP08'!Std10dot3Deposits, 5, 0, 1, 1) = DATE(1900,1,0),DATE(1900,1,1),OFFSET('IWP08'!Std10dot3Deposits, 5, 0, 1, 1))</f>
        <v>1</v>
      </c>
      <c r="C1845" s="155">
        <f ca="1">OFFSET('IWP08'!Std10dot3Deposits, 5, 2, 1, 1)</f>
        <v>0</v>
      </c>
      <c r="D1845" s="151" t="str">
        <f ca="1">IF(OFFSET('IWP08'!Std10dot3Deposits, 5, 4, 1, 1) = 0, "", OFFSET('IWP08'!Std10dot3Deposits, 5, 4, 1, 1))</f>
        <v/>
      </c>
      <c r="E1845" s="207" t="str">
        <f ca="1">IF(OFFSET('IWP08'!Std10dot3Deposits, 5, 7, 1, 1) = 0, "", OFFSET('IWP08'!Std10dot3Deposits, 5, 7, 1, 1))</f>
        <v/>
      </c>
    </row>
    <row r="1846" spans="1:5">
      <c r="A1846" s="206" t="s">
        <v>1311</v>
      </c>
      <c r="B1846" s="157">
        <f ca="1">IF(OFFSET('IWP08'!Std10dot3Deposits, 6, 0, 1, 1) = DATE(1900,1,0),DATE(1900,1,1),OFFSET('IWP08'!Std10dot3Deposits, 6, 0, 1, 1))</f>
        <v>1</v>
      </c>
      <c r="C1846" s="155">
        <f ca="1">OFFSET('IWP08'!Std10dot3Deposits, 6, 2, 1, 1)</f>
        <v>0</v>
      </c>
      <c r="D1846" s="151" t="str">
        <f ca="1">IF(OFFSET('IWP08'!Std10dot3Deposits, 6, 4, 1, 1) = 0, "", OFFSET('IWP08'!Std10dot3Deposits, 6, 4, 1, 1))</f>
        <v/>
      </c>
      <c r="E1846" s="207" t="str">
        <f ca="1">IF(OFFSET('IWP08'!Std10dot3Deposits, 6, 7, 1, 1) = 0, "", OFFSET('IWP08'!Std10dot3Deposits, 6, 7, 1, 1))</f>
        <v/>
      </c>
    </row>
    <row r="1847" spans="1:5">
      <c r="A1847" s="206" t="s">
        <v>1311</v>
      </c>
      <c r="B1847" s="157">
        <f ca="1">IF(OFFSET('IWP08'!Std10dot3Deposits, 7, 0, 1, 1) = DATE(1900,1,0),DATE(1900,1,1),OFFSET('IWP08'!Std10dot3Deposits, 7, 0, 1, 1))</f>
        <v>1</v>
      </c>
      <c r="C1847" s="155">
        <f ca="1">OFFSET('IWP08'!Std10dot3Deposits, 7, 2, 1, 1)</f>
        <v>0</v>
      </c>
      <c r="D1847" s="151" t="str">
        <f ca="1">IF(OFFSET('IWP08'!Std10dot3Deposits, 7, 4, 1, 1) = 0, "", OFFSET('IWP08'!Std10dot3Deposits, 7, 4, 1, 1))</f>
        <v/>
      </c>
      <c r="E1847" s="207" t="str">
        <f ca="1">IF(OFFSET('IWP08'!Std10dot3Deposits, 7, 7, 1, 1) = 0, "", OFFSET('IWP08'!Std10dot3Deposits, 7, 7, 1, 1))</f>
        <v/>
      </c>
    </row>
    <row r="1848" spans="1:5">
      <c r="A1848" s="206" t="s">
        <v>1311</v>
      </c>
      <c r="B1848" s="157">
        <f ca="1">IF(OFFSET('IWP08'!Std10dot3Deposits, 8, 0, 1, 1) = DATE(1900,1,0),DATE(1900,1,1),OFFSET('IWP08'!Std10dot3Deposits, 8, 0, 1, 1))</f>
        <v>1</v>
      </c>
      <c r="C1848" s="155">
        <f ca="1">OFFSET('IWP08'!Std10dot3Deposits, 8, 2, 1, 1)</f>
        <v>0</v>
      </c>
      <c r="D1848" s="151" t="str">
        <f ca="1">IF(OFFSET('IWP08'!Std10dot3Deposits, 8, 4, 1, 1) = 0, "", OFFSET('IWP08'!Std10dot3Deposits, 8, 4, 1, 1))</f>
        <v/>
      </c>
      <c r="E1848" s="207" t="str">
        <f ca="1">IF(OFFSET('IWP08'!Std10dot3Deposits, 8, 7, 1, 1) = 0, "", OFFSET('IWP08'!Std10dot3Deposits, 8, 7, 1, 1))</f>
        <v/>
      </c>
    </row>
    <row r="1849" spans="1:5">
      <c r="A1849" s="206" t="s">
        <v>1311</v>
      </c>
      <c r="B1849" s="157">
        <f ca="1">IF(OFFSET('IWP08'!Std10dot3Deposits, 9, 0, 1, 1) = DATE(1900,1,0),DATE(1900,1,1),OFFSET('IWP08'!Std10dot3Deposits, 9, 0, 1, 1))</f>
        <v>1</v>
      </c>
      <c r="C1849" s="155">
        <f ca="1">OFFSET('IWP08'!Std10dot3Deposits, 9, 2, 1, 1)</f>
        <v>0</v>
      </c>
      <c r="D1849" s="151" t="str">
        <f ca="1">IF(OFFSET('IWP08'!Std10dot3Deposits, 9, 4, 1, 1) = 0, "", OFFSET('IWP08'!Std10dot3Deposits, 9, 4, 1, 1))</f>
        <v/>
      </c>
      <c r="E1849" s="207" t="str">
        <f ca="1">IF(OFFSET('IWP08'!Std10dot3Deposits, 9, 7, 1, 1) = 0, "", OFFSET('IWP08'!Std10dot3Deposits, 9, 7, 1, 1))</f>
        <v/>
      </c>
    </row>
    <row r="1850" spans="1:5">
      <c r="A1850" s="206" t="s">
        <v>1312</v>
      </c>
      <c r="B1850" s="157">
        <f ca="1">IF(OFFSET('IWP09'!Std10dot3Deposits, 0, 0, 1, 1) = DATE(1900,1,0),DATE(1900,1,1),OFFSET('IWP09'!Std10dot3Deposits, 0, 0, 1, 1))</f>
        <v>1</v>
      </c>
      <c r="C1850" s="155">
        <f ca="1">OFFSET('IWP09'!Std10dot3Deposits, 0, 2, 1, 1)</f>
        <v>0</v>
      </c>
      <c r="D1850" s="151" t="str">
        <f ca="1">IF(OFFSET('IWP09'!Std10dot3Deposits, 0, 4, 1, 1) = 0, "", OFFSET('IWP09'!Std10dot3Deposits, 0, 4, 1, 1))</f>
        <v/>
      </c>
      <c r="E1850" s="207" t="str">
        <f ca="1">IF(OFFSET('IWP09'!Std10dot3Deposits, 0, 7, 1, 1) = 0, "", OFFSET('IWP09'!Std10dot3Deposits, 0, 7, 1, 1))</f>
        <v/>
      </c>
    </row>
    <row r="1851" spans="1:5">
      <c r="A1851" s="206" t="s">
        <v>1312</v>
      </c>
      <c r="B1851" s="157">
        <f ca="1">IF(OFFSET('IWP09'!Std10dot3Deposits, 1, 0, 1, 1) = DATE(1900,1,0),DATE(1900,1,1),OFFSET('IWP09'!Std10dot3Deposits, 1, 0, 1, 1))</f>
        <v>1</v>
      </c>
      <c r="C1851" s="155">
        <f ca="1">OFFSET('IWP09'!Std10dot3Deposits, 1, 2, 1, 1)</f>
        <v>0</v>
      </c>
      <c r="D1851" s="151" t="str">
        <f ca="1">IF(OFFSET('IWP09'!Std10dot3Deposits, 1, 4, 1, 1) = 0, "", OFFSET('IWP09'!Std10dot3Deposits, 1, 4, 1, 1))</f>
        <v/>
      </c>
      <c r="E1851" s="207" t="str">
        <f ca="1">IF(OFFSET('IWP09'!Std10dot3Deposits, 1, 7, 1, 1) = 0, "", OFFSET('IWP09'!Std10dot3Deposits, 1, 7, 1, 1))</f>
        <v/>
      </c>
    </row>
    <row r="1852" spans="1:5">
      <c r="A1852" s="206" t="s">
        <v>1312</v>
      </c>
      <c r="B1852" s="157">
        <f ca="1">IF(OFFSET('IWP09'!Std10dot3Deposits, 2, 0, 1, 1) = DATE(1900,1,0),DATE(1900,1,1),OFFSET('IWP09'!Std10dot3Deposits, 2, 0, 1, 1))</f>
        <v>1</v>
      </c>
      <c r="C1852" s="155">
        <f ca="1">OFFSET('IWP09'!Std10dot3Deposits, 2, 2, 1, 1)</f>
        <v>0</v>
      </c>
      <c r="D1852" s="151" t="str">
        <f ca="1">IF(OFFSET('IWP09'!Std10dot3Deposits, 2, 4, 1, 1) = 0, "", OFFSET('IWP09'!Std10dot3Deposits, 2, 4, 1, 1))</f>
        <v/>
      </c>
      <c r="E1852" s="207" t="str">
        <f ca="1">IF(OFFSET('IWP09'!Std10dot3Deposits, 2, 7, 1, 1) = 0, "", OFFSET('IWP09'!Std10dot3Deposits, 2, 7, 1, 1))</f>
        <v/>
      </c>
    </row>
    <row r="1853" spans="1:5">
      <c r="A1853" s="206" t="s">
        <v>1312</v>
      </c>
      <c r="B1853" s="157">
        <f ca="1">IF(OFFSET('IWP09'!Std10dot3Deposits, 3, 0, 1, 1) = DATE(1900,1,0),DATE(1900,1,1),OFFSET('IWP09'!Std10dot3Deposits, 3, 0, 1, 1))</f>
        <v>1</v>
      </c>
      <c r="C1853" s="155">
        <f ca="1">OFFSET('IWP09'!Std10dot3Deposits, 3, 2, 1, 1)</f>
        <v>0</v>
      </c>
      <c r="D1853" s="151" t="str">
        <f ca="1">IF(OFFSET('IWP09'!Std10dot3Deposits, 3, 4, 1, 1) = 0, "", OFFSET('IWP09'!Std10dot3Deposits, 3, 4, 1, 1))</f>
        <v/>
      </c>
      <c r="E1853" s="207" t="str">
        <f ca="1">IF(OFFSET('IWP09'!Std10dot3Deposits, 3, 7, 1, 1) = 0, "", OFFSET('IWP09'!Std10dot3Deposits, 3, 7, 1, 1))</f>
        <v/>
      </c>
    </row>
    <row r="1854" spans="1:5">
      <c r="A1854" s="206" t="s">
        <v>1312</v>
      </c>
      <c r="B1854" s="157">
        <f ca="1">IF(OFFSET('IWP09'!Std10dot3Deposits, 4, 0, 1, 1) = DATE(1900,1,0),DATE(1900,1,1),OFFSET('IWP09'!Std10dot3Deposits, 4, 0, 1, 1))</f>
        <v>1</v>
      </c>
      <c r="C1854" s="155">
        <f ca="1">OFFSET('IWP09'!Std10dot3Deposits, 4, 2, 1, 1)</f>
        <v>0</v>
      </c>
      <c r="D1854" s="151" t="str">
        <f ca="1">IF(OFFSET('IWP09'!Std10dot3Deposits, 4, 4, 1, 1) = 0, "", OFFSET('IWP09'!Std10dot3Deposits, 4, 4, 1, 1))</f>
        <v/>
      </c>
      <c r="E1854" s="207" t="str">
        <f ca="1">IF(OFFSET('IWP09'!Std10dot3Deposits, 4, 7, 1, 1) = 0, "", OFFSET('IWP09'!Std10dot3Deposits, 4, 7, 1, 1))</f>
        <v/>
      </c>
    </row>
    <row r="1855" spans="1:5">
      <c r="A1855" s="206" t="s">
        <v>1312</v>
      </c>
      <c r="B1855" s="157">
        <f ca="1">IF(OFFSET('IWP09'!Std10dot3Deposits, 5, 0, 1, 1) = DATE(1900,1,0),DATE(1900,1,1),OFFSET('IWP09'!Std10dot3Deposits, 5, 0, 1, 1))</f>
        <v>1</v>
      </c>
      <c r="C1855" s="155">
        <f ca="1">OFFSET('IWP09'!Std10dot3Deposits, 5, 2, 1, 1)</f>
        <v>0</v>
      </c>
      <c r="D1855" s="151" t="str">
        <f ca="1">IF(OFFSET('IWP09'!Std10dot3Deposits, 5, 4, 1, 1) = 0, "", OFFSET('IWP09'!Std10dot3Deposits, 5, 4, 1, 1))</f>
        <v/>
      </c>
      <c r="E1855" s="207" t="str">
        <f ca="1">IF(OFFSET('IWP09'!Std10dot3Deposits, 5, 7, 1, 1) = 0, "", OFFSET('IWP09'!Std10dot3Deposits, 5, 7, 1, 1))</f>
        <v/>
      </c>
    </row>
    <row r="1856" spans="1:5">
      <c r="A1856" s="206" t="s">
        <v>1312</v>
      </c>
      <c r="B1856" s="157">
        <f ca="1">IF(OFFSET('IWP09'!Std10dot3Deposits, 6, 0, 1, 1) = DATE(1900,1,0),DATE(1900,1,1),OFFSET('IWP09'!Std10dot3Deposits, 6, 0, 1, 1))</f>
        <v>1</v>
      </c>
      <c r="C1856" s="155">
        <f ca="1">OFFSET('IWP09'!Std10dot3Deposits, 6, 2, 1, 1)</f>
        <v>0</v>
      </c>
      <c r="D1856" s="151" t="str">
        <f ca="1">IF(OFFSET('IWP09'!Std10dot3Deposits, 6, 4, 1, 1) = 0, "", OFFSET('IWP09'!Std10dot3Deposits, 6, 4, 1, 1))</f>
        <v/>
      </c>
      <c r="E1856" s="207" t="str">
        <f ca="1">IF(OFFSET('IWP09'!Std10dot3Deposits, 6, 7, 1, 1) = 0, "", OFFSET('IWP09'!Std10dot3Deposits, 6, 7, 1, 1))</f>
        <v/>
      </c>
    </row>
    <row r="1857" spans="1:5">
      <c r="A1857" s="206" t="s">
        <v>1312</v>
      </c>
      <c r="B1857" s="157">
        <f ca="1">IF(OFFSET('IWP09'!Std10dot3Deposits, 7, 0, 1, 1) = DATE(1900,1,0),DATE(1900,1,1),OFFSET('IWP09'!Std10dot3Deposits, 7, 0, 1, 1))</f>
        <v>1</v>
      </c>
      <c r="C1857" s="155">
        <f ca="1">OFFSET('IWP09'!Std10dot3Deposits, 7, 2, 1, 1)</f>
        <v>0</v>
      </c>
      <c r="D1857" s="151" t="str">
        <f ca="1">IF(OFFSET('IWP09'!Std10dot3Deposits, 7, 4, 1, 1) = 0, "", OFFSET('IWP09'!Std10dot3Deposits, 7, 4, 1, 1))</f>
        <v/>
      </c>
      <c r="E1857" s="207" t="str">
        <f ca="1">IF(OFFSET('IWP09'!Std10dot3Deposits, 7, 7, 1, 1) = 0, "", OFFSET('IWP09'!Std10dot3Deposits, 7, 7, 1, 1))</f>
        <v/>
      </c>
    </row>
    <row r="1858" spans="1:5">
      <c r="A1858" s="206" t="s">
        <v>1312</v>
      </c>
      <c r="B1858" s="157">
        <f ca="1">IF(OFFSET('IWP09'!Std10dot3Deposits, 8, 0, 1, 1) = DATE(1900,1,0),DATE(1900,1,1),OFFSET('IWP09'!Std10dot3Deposits, 8, 0, 1, 1))</f>
        <v>1</v>
      </c>
      <c r="C1858" s="155">
        <f ca="1">OFFSET('IWP09'!Std10dot3Deposits, 8, 2, 1, 1)</f>
        <v>0</v>
      </c>
      <c r="D1858" s="151" t="str">
        <f ca="1">IF(OFFSET('IWP09'!Std10dot3Deposits, 8, 4, 1, 1) = 0, "", OFFSET('IWP09'!Std10dot3Deposits, 8, 4, 1, 1))</f>
        <v/>
      </c>
      <c r="E1858" s="207" t="str">
        <f ca="1">IF(OFFSET('IWP09'!Std10dot3Deposits, 8, 7, 1, 1) = 0, "", OFFSET('IWP09'!Std10dot3Deposits, 8, 7, 1, 1))</f>
        <v/>
      </c>
    </row>
    <row r="1859" spans="1:5">
      <c r="A1859" s="206" t="s">
        <v>1312</v>
      </c>
      <c r="B1859" s="157">
        <f ca="1">IF(OFFSET('IWP09'!Std10dot3Deposits, 9, 0, 1, 1) = DATE(1900,1,0),DATE(1900,1,1),OFFSET('IWP09'!Std10dot3Deposits, 9, 0, 1, 1))</f>
        <v>1</v>
      </c>
      <c r="C1859" s="155">
        <f ca="1">OFFSET('IWP09'!Std10dot3Deposits, 9, 2, 1, 1)</f>
        <v>0</v>
      </c>
      <c r="D1859" s="151" t="str">
        <f ca="1">IF(OFFSET('IWP09'!Std10dot3Deposits, 9, 4, 1, 1) = 0, "", OFFSET('IWP09'!Std10dot3Deposits, 9, 4, 1, 1))</f>
        <v/>
      </c>
      <c r="E1859" s="207" t="str">
        <f ca="1">IF(OFFSET('IWP09'!Std10dot3Deposits, 9, 7, 1, 1) = 0, "", OFFSET('IWP09'!Std10dot3Deposits, 9, 7, 1, 1))</f>
        <v/>
      </c>
    </row>
    <row r="1860" spans="1:5">
      <c r="A1860" s="206" t="s">
        <v>1313</v>
      </c>
      <c r="B1860" s="157">
        <f ca="1">IF(OFFSET('IWP10'!Std10dot3Deposits, 0, 0, 1, 1) = DATE(1900,1,0),DATE(1900,1,1),OFFSET('IWP10'!Std10dot3Deposits, 0, 0, 1, 1))</f>
        <v>1</v>
      </c>
      <c r="C1860" s="155">
        <f ca="1">OFFSET('IWP10'!Std10dot3Deposits, 0, 2, 1, 1)</f>
        <v>0</v>
      </c>
      <c r="D1860" s="151" t="str">
        <f ca="1">IF(OFFSET('IWP10'!Std10dot3Deposits, 0, 4, 1, 1) = 0, "", OFFSET('IWP10'!Std10dot3Deposits, 0, 4, 1, 1))</f>
        <v/>
      </c>
      <c r="E1860" s="207" t="str">
        <f ca="1">IF(OFFSET('IWP10'!Std10dot3Deposits, 0, 7, 1, 1) = 0, "", OFFSET('IWP10'!Std10dot3Deposits, 0, 7, 1, 1))</f>
        <v/>
      </c>
    </row>
    <row r="1861" spans="1:5">
      <c r="A1861" s="206" t="s">
        <v>1313</v>
      </c>
      <c r="B1861" s="157">
        <f ca="1">IF(OFFSET('IWP10'!Std10dot3Deposits, 1, 0, 1, 1) = DATE(1900,1,0),DATE(1900,1,1),OFFSET('IWP10'!Std10dot3Deposits, 1, 0, 1, 1))</f>
        <v>1</v>
      </c>
      <c r="C1861" s="155">
        <f ca="1">OFFSET('IWP10'!Std10dot3Deposits, 1, 2, 1, 1)</f>
        <v>0</v>
      </c>
      <c r="D1861" s="151" t="str">
        <f ca="1">IF(OFFSET('IWP10'!Std10dot3Deposits, 1, 4, 1, 1) = 0, "", OFFSET('IWP10'!Std10dot3Deposits, 1, 4, 1, 1))</f>
        <v/>
      </c>
      <c r="E1861" s="207" t="str">
        <f ca="1">IF(OFFSET('IWP10'!Std10dot3Deposits, 1, 7, 1, 1) = 0, "", OFFSET('IWP10'!Std10dot3Deposits, 1, 7, 1, 1))</f>
        <v/>
      </c>
    </row>
    <row r="1862" spans="1:5">
      <c r="A1862" s="206" t="s">
        <v>1313</v>
      </c>
      <c r="B1862" s="157">
        <f ca="1">IF(OFFSET('IWP10'!Std10dot3Deposits, 2, 0, 1, 1) = DATE(1900,1,0),DATE(1900,1,1),OFFSET('IWP10'!Std10dot3Deposits, 2, 0, 1, 1))</f>
        <v>1</v>
      </c>
      <c r="C1862" s="155">
        <f ca="1">OFFSET('IWP10'!Std10dot3Deposits, 2, 2, 1, 1)</f>
        <v>0</v>
      </c>
      <c r="D1862" s="151" t="str">
        <f ca="1">IF(OFFSET('IWP10'!Std10dot3Deposits, 2, 4, 1, 1) = 0, "", OFFSET('IWP10'!Std10dot3Deposits, 2, 4, 1, 1))</f>
        <v/>
      </c>
      <c r="E1862" s="207" t="str">
        <f ca="1">IF(OFFSET('IWP10'!Std10dot3Deposits, 2, 7, 1, 1) = 0, "", OFFSET('IWP10'!Std10dot3Deposits, 2, 7, 1, 1))</f>
        <v/>
      </c>
    </row>
    <row r="1863" spans="1:5">
      <c r="A1863" s="206" t="s">
        <v>1313</v>
      </c>
      <c r="B1863" s="157">
        <f ca="1">IF(OFFSET('IWP10'!Std10dot3Deposits, 3, 0, 1, 1) = DATE(1900,1,0),DATE(1900,1,1),OFFSET('IWP10'!Std10dot3Deposits, 3, 0, 1, 1))</f>
        <v>1</v>
      </c>
      <c r="C1863" s="155">
        <f ca="1">OFFSET('IWP10'!Std10dot3Deposits, 3, 2, 1, 1)</f>
        <v>0</v>
      </c>
      <c r="D1863" s="151" t="str">
        <f ca="1">IF(OFFSET('IWP10'!Std10dot3Deposits, 3, 4, 1, 1) = 0, "", OFFSET('IWP10'!Std10dot3Deposits, 3, 4, 1, 1))</f>
        <v/>
      </c>
      <c r="E1863" s="207" t="str">
        <f ca="1">IF(OFFSET('IWP10'!Std10dot3Deposits, 3, 7, 1, 1) = 0, "", OFFSET('IWP10'!Std10dot3Deposits, 3, 7, 1, 1))</f>
        <v/>
      </c>
    </row>
    <row r="1864" spans="1:5">
      <c r="A1864" s="206" t="s">
        <v>1313</v>
      </c>
      <c r="B1864" s="157">
        <f ca="1">IF(OFFSET('IWP10'!Std10dot3Deposits, 4, 0, 1, 1) = DATE(1900,1,0),DATE(1900,1,1),OFFSET('IWP10'!Std10dot3Deposits, 4, 0, 1, 1))</f>
        <v>1</v>
      </c>
      <c r="C1864" s="155">
        <f ca="1">OFFSET('IWP10'!Std10dot3Deposits, 4, 2, 1, 1)</f>
        <v>0</v>
      </c>
      <c r="D1864" s="151" t="str">
        <f ca="1">IF(OFFSET('IWP10'!Std10dot3Deposits, 4, 4, 1, 1) = 0, "", OFFSET('IWP10'!Std10dot3Deposits, 4, 4, 1, 1))</f>
        <v/>
      </c>
      <c r="E1864" s="207" t="str">
        <f ca="1">IF(OFFSET('IWP10'!Std10dot3Deposits, 4, 7, 1, 1) = 0, "", OFFSET('IWP10'!Std10dot3Deposits, 4, 7, 1, 1))</f>
        <v/>
      </c>
    </row>
    <row r="1865" spans="1:5">
      <c r="A1865" s="206" t="s">
        <v>1313</v>
      </c>
      <c r="B1865" s="157">
        <f ca="1">IF(OFFSET('IWP10'!Std10dot3Deposits, 5, 0, 1, 1) = DATE(1900,1,0),DATE(1900,1,1),OFFSET('IWP10'!Std10dot3Deposits, 5, 0, 1, 1))</f>
        <v>1</v>
      </c>
      <c r="C1865" s="155">
        <f ca="1">OFFSET('IWP10'!Std10dot3Deposits, 5, 2, 1, 1)</f>
        <v>0</v>
      </c>
      <c r="D1865" s="151" t="str">
        <f ca="1">IF(OFFSET('IWP10'!Std10dot3Deposits, 5, 4, 1, 1) = 0, "", OFFSET('IWP10'!Std10dot3Deposits, 5, 4, 1, 1))</f>
        <v/>
      </c>
      <c r="E1865" s="207" t="str">
        <f ca="1">IF(OFFSET('IWP10'!Std10dot3Deposits, 5, 7, 1, 1) = 0, "", OFFSET('IWP10'!Std10dot3Deposits, 5, 7, 1, 1))</f>
        <v/>
      </c>
    </row>
    <row r="1866" spans="1:5">
      <c r="A1866" s="206" t="s">
        <v>1313</v>
      </c>
      <c r="B1866" s="157">
        <f ca="1">IF(OFFSET('IWP10'!Std10dot3Deposits, 6, 0, 1, 1) = DATE(1900,1,0),DATE(1900,1,1),OFFSET('IWP10'!Std10dot3Deposits, 6, 0, 1, 1))</f>
        <v>1</v>
      </c>
      <c r="C1866" s="155">
        <f ca="1">OFFSET('IWP10'!Std10dot3Deposits, 6, 2, 1, 1)</f>
        <v>0</v>
      </c>
      <c r="D1866" s="151" t="str">
        <f ca="1">IF(OFFSET('IWP10'!Std10dot3Deposits, 6, 4, 1, 1) = 0, "", OFFSET('IWP10'!Std10dot3Deposits, 6, 4, 1, 1))</f>
        <v/>
      </c>
      <c r="E1866" s="207" t="str">
        <f ca="1">IF(OFFSET('IWP10'!Std10dot3Deposits, 6, 7, 1, 1) = 0, "", OFFSET('IWP10'!Std10dot3Deposits, 6, 7, 1, 1))</f>
        <v/>
      </c>
    </row>
    <row r="1867" spans="1:5">
      <c r="A1867" s="206" t="s">
        <v>1313</v>
      </c>
      <c r="B1867" s="157">
        <f ca="1">IF(OFFSET('IWP10'!Std10dot3Deposits, 7, 0, 1, 1) = DATE(1900,1,0),DATE(1900,1,1),OFFSET('IWP10'!Std10dot3Deposits, 7, 0, 1, 1))</f>
        <v>1</v>
      </c>
      <c r="C1867" s="155">
        <f ca="1">OFFSET('IWP10'!Std10dot3Deposits, 7, 2, 1, 1)</f>
        <v>0</v>
      </c>
      <c r="D1867" s="151" t="str">
        <f ca="1">IF(OFFSET('IWP10'!Std10dot3Deposits, 7, 4, 1, 1) = 0, "", OFFSET('IWP10'!Std10dot3Deposits, 7, 4, 1, 1))</f>
        <v/>
      </c>
      <c r="E1867" s="207" t="str">
        <f ca="1">IF(OFFSET('IWP10'!Std10dot3Deposits, 7, 7, 1, 1) = 0, "", OFFSET('IWP10'!Std10dot3Deposits, 7, 7, 1, 1))</f>
        <v/>
      </c>
    </row>
    <row r="1868" spans="1:5">
      <c r="A1868" s="206" t="s">
        <v>1313</v>
      </c>
      <c r="B1868" s="157">
        <f ca="1">IF(OFFSET('IWP10'!Std10dot3Deposits, 8, 0, 1, 1) = DATE(1900,1,0),DATE(1900,1,1),OFFSET('IWP10'!Std10dot3Deposits, 8, 0, 1, 1))</f>
        <v>1</v>
      </c>
      <c r="C1868" s="155">
        <f ca="1">OFFSET('IWP10'!Std10dot3Deposits, 8, 2, 1, 1)</f>
        <v>0</v>
      </c>
      <c r="D1868" s="151" t="str">
        <f ca="1">IF(OFFSET('IWP10'!Std10dot3Deposits, 8, 4, 1, 1) = 0, "", OFFSET('IWP10'!Std10dot3Deposits, 8, 4, 1, 1))</f>
        <v/>
      </c>
      <c r="E1868" s="207" t="str">
        <f ca="1">IF(OFFSET('IWP10'!Std10dot3Deposits, 8, 7, 1, 1) = 0, "", OFFSET('IWP10'!Std10dot3Deposits, 8, 7, 1, 1))</f>
        <v/>
      </c>
    </row>
    <row r="1869" spans="1:5">
      <c r="A1869" s="206" t="s">
        <v>1313</v>
      </c>
      <c r="B1869" s="157">
        <f ca="1">IF(OFFSET('IWP10'!Std10dot3Deposits, 9, 0, 1, 1) = DATE(1900,1,0),DATE(1900,1,1),OFFSET('IWP10'!Std10dot3Deposits, 9, 0, 1, 1))</f>
        <v>1</v>
      </c>
      <c r="C1869" s="155">
        <f ca="1">OFFSET('IWP10'!Std10dot3Deposits, 9, 2, 1, 1)</f>
        <v>0</v>
      </c>
      <c r="D1869" s="151" t="str">
        <f ca="1">IF(OFFSET('IWP10'!Std10dot3Deposits, 9, 4, 1, 1) = 0, "", OFFSET('IWP10'!Std10dot3Deposits, 9, 4, 1, 1))</f>
        <v/>
      </c>
      <c r="E1869" s="207" t="str">
        <f ca="1">IF(OFFSET('IWP10'!Std10dot3Deposits, 9, 7, 1, 1) = 0, "", OFFSET('IWP10'!Std10dot3Deposits, 9, 7, 1, 1))</f>
        <v/>
      </c>
    </row>
    <row r="1870" spans="1:5">
      <c r="A1870" s="206" t="s">
        <v>1314</v>
      </c>
      <c r="B1870" s="157">
        <f ca="1">IF(OFFSET('IWP11'!Std10dot3Deposits, 0, 0, 1, 1) = DATE(1900,1,0),DATE(1900,1,1),OFFSET('IWP11'!Std10dot3Deposits, 0, 0, 1, 1))</f>
        <v>1</v>
      </c>
      <c r="C1870" s="155">
        <f ca="1">OFFSET('IWP11'!Std10dot3Deposits, 0, 2, 1, 1)</f>
        <v>0</v>
      </c>
      <c r="D1870" s="151" t="str">
        <f ca="1">IF(OFFSET('IWP11'!Std10dot3Deposits, 0, 4, 1, 1) = 0, "", OFFSET('IWP11'!Std10dot3Deposits, 0, 4, 1, 1))</f>
        <v/>
      </c>
      <c r="E1870" s="207" t="str">
        <f ca="1">IF(OFFSET('IWP11'!Std10dot3Deposits, 0, 7, 1, 1) = 0, "", OFFSET('IWP11'!Std10dot3Deposits, 0, 7, 1, 1))</f>
        <v/>
      </c>
    </row>
    <row r="1871" spans="1:5">
      <c r="A1871" s="206" t="s">
        <v>1314</v>
      </c>
      <c r="B1871" s="157">
        <f ca="1">IF(OFFSET('IWP11'!Std10dot3Deposits, 1, 0, 1, 1) = DATE(1900,1,0),DATE(1900,1,1),OFFSET('IWP11'!Std10dot3Deposits, 1, 0, 1, 1))</f>
        <v>1</v>
      </c>
      <c r="C1871" s="155">
        <f ca="1">OFFSET('IWP11'!Std10dot3Deposits, 1, 2, 1, 1)</f>
        <v>0</v>
      </c>
      <c r="D1871" s="151" t="str">
        <f ca="1">IF(OFFSET('IWP11'!Std10dot3Deposits, 1, 4, 1, 1) = 0, "", OFFSET('IWP11'!Std10dot3Deposits, 1, 4, 1, 1))</f>
        <v/>
      </c>
      <c r="E1871" s="207" t="str">
        <f ca="1">IF(OFFSET('IWP11'!Std10dot3Deposits, 1, 7, 1, 1) = 0, "", OFFSET('IWP11'!Std10dot3Deposits, 1, 7, 1, 1))</f>
        <v/>
      </c>
    </row>
    <row r="1872" spans="1:5">
      <c r="A1872" s="206" t="s">
        <v>1314</v>
      </c>
      <c r="B1872" s="157">
        <f ca="1">IF(OFFSET('IWP11'!Std10dot3Deposits, 2, 0, 1, 1) = DATE(1900,1,0),DATE(1900,1,1),OFFSET('IWP11'!Std10dot3Deposits, 2, 0, 1, 1))</f>
        <v>1</v>
      </c>
      <c r="C1872" s="155">
        <f ca="1">OFFSET('IWP11'!Std10dot3Deposits, 2, 2, 1, 1)</f>
        <v>0</v>
      </c>
      <c r="D1872" s="151" t="str">
        <f ca="1">IF(OFFSET('IWP11'!Std10dot3Deposits, 2, 4, 1, 1) = 0, "", OFFSET('IWP11'!Std10dot3Deposits, 2, 4, 1, 1))</f>
        <v/>
      </c>
      <c r="E1872" s="207" t="str">
        <f ca="1">IF(OFFSET('IWP11'!Std10dot3Deposits, 2, 7, 1, 1) = 0, "", OFFSET('IWP11'!Std10dot3Deposits, 2, 7, 1, 1))</f>
        <v/>
      </c>
    </row>
    <row r="1873" spans="1:5">
      <c r="A1873" s="206" t="s">
        <v>1314</v>
      </c>
      <c r="B1873" s="157">
        <f ca="1">IF(OFFSET('IWP11'!Std10dot3Deposits, 3, 0, 1, 1) = DATE(1900,1,0),DATE(1900,1,1),OFFSET('IWP11'!Std10dot3Deposits, 3, 0, 1, 1))</f>
        <v>1</v>
      </c>
      <c r="C1873" s="155">
        <f ca="1">OFFSET('IWP11'!Std10dot3Deposits, 3, 2, 1, 1)</f>
        <v>0</v>
      </c>
      <c r="D1873" s="151" t="str">
        <f ca="1">IF(OFFSET('IWP11'!Std10dot3Deposits, 3, 4, 1, 1) = 0, "", OFFSET('IWP11'!Std10dot3Deposits, 3, 4, 1, 1))</f>
        <v/>
      </c>
      <c r="E1873" s="207" t="str">
        <f ca="1">IF(OFFSET('IWP11'!Std10dot3Deposits, 3, 7, 1, 1) = 0, "", OFFSET('IWP11'!Std10dot3Deposits, 3, 7, 1, 1))</f>
        <v/>
      </c>
    </row>
    <row r="1874" spans="1:5">
      <c r="A1874" s="206" t="s">
        <v>1314</v>
      </c>
      <c r="B1874" s="157">
        <f ca="1">IF(OFFSET('IWP11'!Std10dot3Deposits, 4, 0, 1, 1) = DATE(1900,1,0),DATE(1900,1,1),OFFSET('IWP11'!Std10dot3Deposits, 4, 0, 1, 1))</f>
        <v>1</v>
      </c>
      <c r="C1874" s="155">
        <f ca="1">OFFSET('IWP11'!Std10dot3Deposits, 4, 2, 1, 1)</f>
        <v>0</v>
      </c>
      <c r="D1874" s="151" t="str">
        <f ca="1">IF(OFFSET('IWP11'!Std10dot3Deposits, 4, 4, 1, 1) = 0, "", OFFSET('IWP11'!Std10dot3Deposits, 4, 4, 1, 1))</f>
        <v/>
      </c>
      <c r="E1874" s="207" t="str">
        <f ca="1">IF(OFFSET('IWP11'!Std10dot3Deposits, 4, 7, 1, 1) = 0, "", OFFSET('IWP11'!Std10dot3Deposits, 4, 7, 1, 1))</f>
        <v/>
      </c>
    </row>
    <row r="1875" spans="1:5">
      <c r="A1875" s="206" t="s">
        <v>1314</v>
      </c>
      <c r="B1875" s="157">
        <f ca="1">IF(OFFSET('IWP11'!Std10dot3Deposits, 5, 0, 1, 1) = DATE(1900,1,0),DATE(1900,1,1),OFFSET('IWP11'!Std10dot3Deposits, 5, 0, 1, 1))</f>
        <v>1</v>
      </c>
      <c r="C1875" s="155">
        <f ca="1">OFFSET('IWP11'!Std10dot3Deposits, 5, 2, 1, 1)</f>
        <v>0</v>
      </c>
      <c r="D1875" s="151" t="str">
        <f ca="1">IF(OFFSET('IWP11'!Std10dot3Deposits, 5, 4, 1, 1) = 0, "", OFFSET('IWP11'!Std10dot3Deposits, 5, 4, 1, 1))</f>
        <v/>
      </c>
      <c r="E1875" s="207" t="str">
        <f ca="1">IF(OFFSET('IWP11'!Std10dot3Deposits, 5, 7, 1, 1) = 0, "", OFFSET('IWP11'!Std10dot3Deposits, 5, 7, 1, 1))</f>
        <v/>
      </c>
    </row>
    <row r="1876" spans="1:5">
      <c r="A1876" s="206" t="s">
        <v>1314</v>
      </c>
      <c r="B1876" s="157">
        <f ca="1">IF(OFFSET('IWP11'!Std10dot3Deposits, 6, 0, 1, 1) = DATE(1900,1,0),DATE(1900,1,1),OFFSET('IWP11'!Std10dot3Deposits, 6, 0, 1, 1))</f>
        <v>1</v>
      </c>
      <c r="C1876" s="155">
        <f ca="1">OFFSET('IWP11'!Std10dot3Deposits, 6, 2, 1, 1)</f>
        <v>0</v>
      </c>
      <c r="D1876" s="151" t="str">
        <f ca="1">IF(OFFSET('IWP11'!Std10dot3Deposits, 6, 4, 1, 1) = 0, "", OFFSET('IWP11'!Std10dot3Deposits, 6, 4, 1, 1))</f>
        <v/>
      </c>
      <c r="E1876" s="207" t="str">
        <f ca="1">IF(OFFSET('IWP11'!Std10dot3Deposits, 6, 7, 1, 1) = 0, "", OFFSET('IWP11'!Std10dot3Deposits, 6, 7, 1, 1))</f>
        <v/>
      </c>
    </row>
    <row r="1877" spans="1:5">
      <c r="A1877" s="206" t="s">
        <v>1314</v>
      </c>
      <c r="B1877" s="157">
        <f ca="1">IF(OFFSET('IWP11'!Std10dot3Deposits, 7, 0, 1, 1) = DATE(1900,1,0),DATE(1900,1,1),OFFSET('IWP11'!Std10dot3Deposits, 7, 0, 1, 1))</f>
        <v>1</v>
      </c>
      <c r="C1877" s="155">
        <f ca="1">OFFSET('IWP11'!Std10dot3Deposits, 7, 2, 1, 1)</f>
        <v>0</v>
      </c>
      <c r="D1877" s="151" t="str">
        <f ca="1">IF(OFFSET('IWP11'!Std10dot3Deposits, 7, 4, 1, 1) = 0, "", OFFSET('IWP11'!Std10dot3Deposits, 7, 4, 1, 1))</f>
        <v/>
      </c>
      <c r="E1877" s="207" t="str">
        <f ca="1">IF(OFFSET('IWP11'!Std10dot3Deposits, 7, 7, 1, 1) = 0, "", OFFSET('IWP11'!Std10dot3Deposits, 7, 7, 1, 1))</f>
        <v/>
      </c>
    </row>
    <row r="1878" spans="1:5">
      <c r="A1878" s="206" t="s">
        <v>1314</v>
      </c>
      <c r="B1878" s="157">
        <f ca="1">IF(OFFSET('IWP11'!Std10dot3Deposits, 8, 0, 1, 1) = DATE(1900,1,0),DATE(1900,1,1),OFFSET('IWP11'!Std10dot3Deposits, 8, 0, 1, 1))</f>
        <v>1</v>
      </c>
      <c r="C1878" s="155">
        <f ca="1">OFFSET('IWP11'!Std10dot3Deposits, 8, 2, 1, 1)</f>
        <v>0</v>
      </c>
      <c r="D1878" s="151" t="str">
        <f ca="1">IF(OFFSET('IWP11'!Std10dot3Deposits, 8, 4, 1, 1) = 0, "", OFFSET('IWP11'!Std10dot3Deposits, 8, 4, 1, 1))</f>
        <v/>
      </c>
      <c r="E1878" s="207" t="str">
        <f ca="1">IF(OFFSET('IWP11'!Std10dot3Deposits, 8, 7, 1, 1) = 0, "", OFFSET('IWP11'!Std10dot3Deposits, 8, 7, 1, 1))</f>
        <v/>
      </c>
    </row>
    <row r="1879" spans="1:5">
      <c r="A1879" s="206" t="s">
        <v>1314</v>
      </c>
      <c r="B1879" s="157">
        <f ca="1">IF(OFFSET('IWP11'!Std10dot3Deposits, 9, 0, 1, 1) = DATE(1900,1,0),DATE(1900,1,1),OFFSET('IWP11'!Std10dot3Deposits, 9, 0, 1, 1))</f>
        <v>1</v>
      </c>
      <c r="C1879" s="155">
        <f ca="1">OFFSET('IWP11'!Std10dot3Deposits, 9, 2, 1, 1)</f>
        <v>0</v>
      </c>
      <c r="D1879" s="151" t="str">
        <f ca="1">IF(OFFSET('IWP11'!Std10dot3Deposits, 9, 4, 1, 1) = 0, "", OFFSET('IWP11'!Std10dot3Deposits, 9, 4, 1, 1))</f>
        <v/>
      </c>
      <c r="E1879" s="207" t="str">
        <f ca="1">IF(OFFSET('IWP11'!Std10dot3Deposits, 9, 7, 1, 1) = 0, "", OFFSET('IWP11'!Std10dot3Deposits, 9, 7, 1, 1))</f>
        <v/>
      </c>
    </row>
    <row r="1880" spans="1:5">
      <c r="A1880" s="206" t="s">
        <v>1315</v>
      </c>
      <c r="B1880" s="157">
        <f ca="1">IF(OFFSET('IWP12'!Std10dot3Deposits, 0, 0, 1, 1) = DATE(1900,1,0),DATE(1900,1,1),OFFSET('IWP12'!Std10dot3Deposits, 0, 0, 1, 1))</f>
        <v>1</v>
      </c>
      <c r="C1880" s="155">
        <f ca="1">OFFSET('IWP12'!Std10dot3Deposits, 0, 2, 1, 1)</f>
        <v>0</v>
      </c>
      <c r="D1880" s="151" t="str">
        <f ca="1">IF(OFFSET('IWP12'!Std10dot3Deposits, 0, 4, 1, 1) = 0, "", OFFSET('IWP12'!Std10dot3Deposits, 0, 4, 1, 1))</f>
        <v/>
      </c>
      <c r="E1880" s="207" t="str">
        <f ca="1">IF(OFFSET('IWP12'!Std10dot3Deposits, 0, 7, 1, 1) = 0, "", OFFSET('IWP12'!Std10dot3Deposits, 0, 7, 1, 1))</f>
        <v/>
      </c>
    </row>
    <row r="1881" spans="1:5">
      <c r="A1881" s="206" t="s">
        <v>1315</v>
      </c>
      <c r="B1881" s="157">
        <f ca="1">IF(OFFSET('IWP12'!Std10dot3Deposits, 1, 0, 1, 1) = DATE(1900,1,0),DATE(1900,1,1),OFFSET('IWP12'!Std10dot3Deposits, 1, 0, 1, 1))</f>
        <v>1</v>
      </c>
      <c r="C1881" s="155">
        <f ca="1">OFFSET('IWP12'!Std10dot3Deposits, 1, 2, 1, 1)</f>
        <v>0</v>
      </c>
      <c r="D1881" s="151" t="str">
        <f ca="1">IF(OFFSET('IWP12'!Std10dot3Deposits, 1, 4, 1, 1) = 0, "", OFFSET('IWP12'!Std10dot3Deposits, 1, 4, 1, 1))</f>
        <v/>
      </c>
      <c r="E1881" s="207" t="str">
        <f ca="1">IF(OFFSET('IWP12'!Std10dot3Deposits, 1, 7, 1, 1) = 0, "", OFFSET('IWP12'!Std10dot3Deposits, 1, 7, 1, 1))</f>
        <v/>
      </c>
    </row>
    <row r="1882" spans="1:5">
      <c r="A1882" s="206" t="s">
        <v>1315</v>
      </c>
      <c r="B1882" s="157">
        <f ca="1">IF(OFFSET('IWP12'!Std10dot3Deposits, 2, 0, 1, 1) = DATE(1900,1,0),DATE(1900,1,1),OFFSET('IWP12'!Std10dot3Deposits, 2, 0, 1, 1))</f>
        <v>1</v>
      </c>
      <c r="C1882" s="155">
        <f ca="1">OFFSET('IWP12'!Std10dot3Deposits, 2, 2, 1, 1)</f>
        <v>0</v>
      </c>
      <c r="D1882" s="151" t="str">
        <f ca="1">IF(OFFSET('IWP12'!Std10dot3Deposits, 2, 4, 1, 1) = 0, "", OFFSET('IWP12'!Std10dot3Deposits, 2, 4, 1, 1))</f>
        <v/>
      </c>
      <c r="E1882" s="207" t="str">
        <f ca="1">IF(OFFSET('IWP12'!Std10dot3Deposits, 2, 7, 1, 1) = 0, "", OFFSET('IWP12'!Std10dot3Deposits, 2, 7, 1, 1))</f>
        <v/>
      </c>
    </row>
    <row r="1883" spans="1:5">
      <c r="A1883" s="206" t="s">
        <v>1315</v>
      </c>
      <c r="B1883" s="157">
        <f ca="1">IF(OFFSET('IWP12'!Std10dot3Deposits, 3, 0, 1, 1) = DATE(1900,1,0),DATE(1900,1,1),OFFSET('IWP12'!Std10dot3Deposits, 3, 0, 1, 1))</f>
        <v>1</v>
      </c>
      <c r="C1883" s="155">
        <f ca="1">OFFSET('IWP12'!Std10dot3Deposits, 3, 2, 1, 1)</f>
        <v>0</v>
      </c>
      <c r="D1883" s="151" t="str">
        <f ca="1">IF(OFFSET('IWP12'!Std10dot3Deposits, 3, 4, 1, 1) = 0, "", OFFSET('IWP12'!Std10dot3Deposits, 3, 4, 1, 1))</f>
        <v/>
      </c>
      <c r="E1883" s="207" t="str">
        <f ca="1">IF(OFFSET('IWP12'!Std10dot3Deposits, 3, 7, 1, 1) = 0, "", OFFSET('IWP12'!Std10dot3Deposits, 3, 7, 1, 1))</f>
        <v/>
      </c>
    </row>
    <row r="1884" spans="1:5">
      <c r="A1884" s="206" t="s">
        <v>1315</v>
      </c>
      <c r="B1884" s="157">
        <f ca="1">IF(OFFSET('IWP12'!Std10dot3Deposits, 4, 0, 1, 1) = DATE(1900,1,0),DATE(1900,1,1),OFFSET('IWP12'!Std10dot3Deposits, 4, 0, 1, 1))</f>
        <v>1</v>
      </c>
      <c r="C1884" s="155">
        <f ca="1">OFFSET('IWP12'!Std10dot3Deposits, 4, 2, 1, 1)</f>
        <v>0</v>
      </c>
      <c r="D1884" s="151" t="str">
        <f ca="1">IF(OFFSET('IWP12'!Std10dot3Deposits, 4, 4, 1, 1) = 0, "", OFFSET('IWP12'!Std10dot3Deposits, 4, 4, 1, 1))</f>
        <v/>
      </c>
      <c r="E1884" s="207" t="str">
        <f ca="1">IF(OFFSET('IWP12'!Std10dot3Deposits, 4, 7, 1, 1) = 0, "", OFFSET('IWP12'!Std10dot3Deposits, 4, 7, 1, 1))</f>
        <v/>
      </c>
    </row>
    <row r="1885" spans="1:5">
      <c r="A1885" s="206" t="s">
        <v>1315</v>
      </c>
      <c r="B1885" s="157">
        <f ca="1">IF(OFFSET('IWP12'!Std10dot3Deposits, 5, 0, 1, 1) = DATE(1900,1,0),DATE(1900,1,1),OFFSET('IWP12'!Std10dot3Deposits, 5, 0, 1, 1))</f>
        <v>1</v>
      </c>
      <c r="C1885" s="155">
        <f ca="1">OFFSET('IWP12'!Std10dot3Deposits, 5, 2, 1, 1)</f>
        <v>0</v>
      </c>
      <c r="D1885" s="151" t="str">
        <f ca="1">IF(OFFSET('IWP12'!Std10dot3Deposits, 5, 4, 1, 1) = 0, "", OFFSET('IWP12'!Std10dot3Deposits, 5, 4, 1, 1))</f>
        <v/>
      </c>
      <c r="E1885" s="207" t="str">
        <f ca="1">IF(OFFSET('IWP12'!Std10dot3Deposits, 5, 7, 1, 1) = 0, "", OFFSET('IWP12'!Std10dot3Deposits, 5, 7, 1, 1))</f>
        <v/>
      </c>
    </row>
    <row r="1886" spans="1:5">
      <c r="A1886" s="206" t="s">
        <v>1315</v>
      </c>
      <c r="B1886" s="157">
        <f ca="1">IF(OFFSET('IWP12'!Std10dot3Deposits, 6, 0, 1, 1) = DATE(1900,1,0),DATE(1900,1,1),OFFSET('IWP12'!Std10dot3Deposits, 6, 0, 1, 1))</f>
        <v>1</v>
      </c>
      <c r="C1886" s="155">
        <f ca="1">OFFSET('IWP12'!Std10dot3Deposits, 6, 2, 1, 1)</f>
        <v>0</v>
      </c>
      <c r="D1886" s="151" t="str">
        <f ca="1">IF(OFFSET('IWP12'!Std10dot3Deposits, 6, 4, 1, 1) = 0, "", OFFSET('IWP12'!Std10dot3Deposits, 6, 4, 1, 1))</f>
        <v/>
      </c>
      <c r="E1886" s="207" t="str">
        <f ca="1">IF(OFFSET('IWP12'!Std10dot3Deposits, 6, 7, 1, 1) = 0, "", OFFSET('IWP12'!Std10dot3Deposits, 6, 7, 1, 1))</f>
        <v/>
      </c>
    </row>
    <row r="1887" spans="1:5">
      <c r="A1887" s="206" t="s">
        <v>1315</v>
      </c>
      <c r="B1887" s="157">
        <f ca="1">IF(OFFSET('IWP12'!Std10dot3Deposits, 7, 0, 1, 1) = DATE(1900,1,0),DATE(1900,1,1),OFFSET('IWP12'!Std10dot3Deposits, 7, 0, 1, 1))</f>
        <v>1</v>
      </c>
      <c r="C1887" s="155">
        <f ca="1">OFFSET('IWP12'!Std10dot3Deposits, 7, 2, 1, 1)</f>
        <v>0</v>
      </c>
      <c r="D1887" s="151" t="str">
        <f ca="1">IF(OFFSET('IWP12'!Std10dot3Deposits, 7, 4, 1, 1) = 0, "", OFFSET('IWP12'!Std10dot3Deposits, 7, 4, 1, 1))</f>
        <v/>
      </c>
      <c r="E1887" s="207" t="str">
        <f ca="1">IF(OFFSET('IWP12'!Std10dot3Deposits, 7, 7, 1, 1) = 0, "", OFFSET('IWP12'!Std10dot3Deposits, 7, 7, 1, 1))</f>
        <v/>
      </c>
    </row>
    <row r="1888" spans="1:5">
      <c r="A1888" s="206" t="s">
        <v>1315</v>
      </c>
      <c r="B1888" s="157">
        <f ca="1">IF(OFFSET('IWP12'!Std10dot3Deposits, 8, 0, 1, 1) = DATE(1900,1,0),DATE(1900,1,1),OFFSET('IWP12'!Std10dot3Deposits, 8, 0, 1, 1))</f>
        <v>1</v>
      </c>
      <c r="C1888" s="155">
        <f ca="1">OFFSET('IWP12'!Std10dot3Deposits, 8, 2, 1, 1)</f>
        <v>0</v>
      </c>
      <c r="D1888" s="151" t="str">
        <f ca="1">IF(OFFSET('IWP12'!Std10dot3Deposits, 8, 4, 1, 1) = 0, "", OFFSET('IWP12'!Std10dot3Deposits, 8, 4, 1, 1))</f>
        <v/>
      </c>
      <c r="E1888" s="207" t="str">
        <f ca="1">IF(OFFSET('IWP12'!Std10dot3Deposits, 8, 7, 1, 1) = 0, "", OFFSET('IWP12'!Std10dot3Deposits, 8, 7, 1, 1))</f>
        <v/>
      </c>
    </row>
    <row r="1889" spans="1:5">
      <c r="A1889" s="206" t="s">
        <v>1315</v>
      </c>
      <c r="B1889" s="157">
        <f ca="1">IF(OFFSET('IWP12'!Std10dot3Deposits, 9, 0, 1, 1) = DATE(1900,1,0),DATE(1900,1,1),OFFSET('IWP12'!Std10dot3Deposits, 9, 0, 1, 1))</f>
        <v>1</v>
      </c>
      <c r="C1889" s="155">
        <f ca="1">OFFSET('IWP12'!Std10dot3Deposits, 9, 2, 1, 1)</f>
        <v>0</v>
      </c>
      <c r="D1889" s="151" t="str">
        <f ca="1">IF(OFFSET('IWP12'!Std10dot3Deposits, 9, 4, 1, 1) = 0, "", OFFSET('IWP12'!Std10dot3Deposits, 9, 4, 1, 1))</f>
        <v/>
      </c>
      <c r="E1889" s="207" t="str">
        <f ca="1">IF(OFFSET('IWP12'!Std10dot3Deposits, 9, 7, 1, 1) = 0, "", OFFSET('IWP12'!Std10dot3Deposits, 9, 7, 1, 1))</f>
        <v/>
      </c>
    </row>
    <row r="1890" spans="1:5">
      <c r="A1890" s="206" t="s">
        <v>1316</v>
      </c>
      <c r="B1890" s="157">
        <f ca="1">IF(OFFSET('IWP13'!Std10dot3Deposits, 0, 0, 1, 1) = DATE(1900,1,0),DATE(1900,1,1),OFFSET('IWP13'!Std10dot3Deposits, 0, 0, 1, 1))</f>
        <v>1</v>
      </c>
      <c r="C1890" s="155">
        <f ca="1">OFFSET('IWP13'!Std10dot3Deposits, 0, 2, 1, 1)</f>
        <v>0</v>
      </c>
      <c r="D1890" s="151" t="str">
        <f ca="1">IF(OFFSET('IWP13'!Std10dot3Deposits, 0, 4, 1, 1) = 0, "", OFFSET('IWP13'!Std10dot3Deposits, 0, 4, 1, 1))</f>
        <v/>
      </c>
      <c r="E1890" s="207" t="str">
        <f ca="1">IF(OFFSET('IWP13'!Std10dot3Deposits, 0, 7, 1, 1) = 0, "", OFFSET('IWP13'!Std10dot3Deposits, 0, 7, 1, 1))</f>
        <v/>
      </c>
    </row>
    <row r="1891" spans="1:5">
      <c r="A1891" s="206" t="s">
        <v>1316</v>
      </c>
      <c r="B1891" s="157">
        <f ca="1">IF(OFFSET('IWP13'!Std10dot3Deposits, 1, 0, 1, 1) = DATE(1900,1,0),DATE(1900,1,1),OFFSET('IWP13'!Std10dot3Deposits, 1, 0, 1, 1))</f>
        <v>1</v>
      </c>
      <c r="C1891" s="155">
        <f ca="1">OFFSET('IWP13'!Std10dot3Deposits, 1, 2, 1, 1)</f>
        <v>0</v>
      </c>
      <c r="D1891" s="151" t="str">
        <f ca="1">IF(OFFSET('IWP13'!Std10dot3Deposits, 1, 4, 1, 1) = 0, "", OFFSET('IWP13'!Std10dot3Deposits, 1, 4, 1, 1))</f>
        <v/>
      </c>
      <c r="E1891" s="207" t="str">
        <f ca="1">IF(OFFSET('IWP13'!Std10dot3Deposits, 1, 7, 1, 1) = 0, "", OFFSET('IWP13'!Std10dot3Deposits, 1, 7, 1, 1))</f>
        <v/>
      </c>
    </row>
    <row r="1892" spans="1:5">
      <c r="A1892" s="206" t="s">
        <v>1316</v>
      </c>
      <c r="B1892" s="157">
        <f ca="1">IF(OFFSET('IWP13'!Std10dot3Deposits, 2, 0, 1, 1) = DATE(1900,1,0),DATE(1900,1,1),OFFSET('IWP13'!Std10dot3Deposits, 2, 0, 1, 1))</f>
        <v>1</v>
      </c>
      <c r="C1892" s="155">
        <f ca="1">OFFSET('IWP13'!Std10dot3Deposits, 2, 2, 1, 1)</f>
        <v>0</v>
      </c>
      <c r="D1892" s="151" t="str">
        <f ca="1">IF(OFFSET('IWP13'!Std10dot3Deposits, 2, 4, 1, 1) = 0, "", OFFSET('IWP13'!Std10dot3Deposits, 2, 4, 1, 1))</f>
        <v/>
      </c>
      <c r="E1892" s="207" t="str">
        <f ca="1">IF(OFFSET('IWP13'!Std10dot3Deposits, 2, 7, 1, 1) = 0, "", OFFSET('IWP13'!Std10dot3Deposits, 2, 7, 1, 1))</f>
        <v/>
      </c>
    </row>
    <row r="1893" spans="1:5">
      <c r="A1893" s="206" t="s">
        <v>1316</v>
      </c>
      <c r="B1893" s="157">
        <f ca="1">IF(OFFSET('IWP13'!Std10dot3Deposits, 3, 0, 1, 1) = DATE(1900,1,0),DATE(1900,1,1),OFFSET('IWP13'!Std10dot3Deposits, 3, 0, 1, 1))</f>
        <v>1</v>
      </c>
      <c r="C1893" s="155">
        <f ca="1">OFFSET('IWP13'!Std10dot3Deposits, 3, 2, 1, 1)</f>
        <v>0</v>
      </c>
      <c r="D1893" s="151" t="str">
        <f ca="1">IF(OFFSET('IWP13'!Std10dot3Deposits, 3, 4, 1, 1) = 0, "", OFFSET('IWP13'!Std10dot3Deposits, 3, 4, 1, 1))</f>
        <v/>
      </c>
      <c r="E1893" s="207" t="str">
        <f ca="1">IF(OFFSET('IWP13'!Std10dot3Deposits, 3, 7, 1, 1) = 0, "", OFFSET('IWP13'!Std10dot3Deposits, 3, 7, 1, 1))</f>
        <v/>
      </c>
    </row>
    <row r="1894" spans="1:5">
      <c r="A1894" s="206" t="s">
        <v>1316</v>
      </c>
      <c r="B1894" s="157">
        <f ca="1">IF(OFFSET('IWP13'!Std10dot3Deposits, 4, 0, 1, 1) = DATE(1900,1,0),DATE(1900,1,1),OFFSET('IWP13'!Std10dot3Deposits, 4, 0, 1, 1))</f>
        <v>1</v>
      </c>
      <c r="C1894" s="155">
        <f ca="1">OFFSET('IWP13'!Std10dot3Deposits, 4, 2, 1, 1)</f>
        <v>0</v>
      </c>
      <c r="D1894" s="151" t="str">
        <f ca="1">IF(OFFSET('IWP13'!Std10dot3Deposits, 4, 4, 1, 1) = 0, "", OFFSET('IWP13'!Std10dot3Deposits, 4, 4, 1, 1))</f>
        <v/>
      </c>
      <c r="E1894" s="207" t="str">
        <f ca="1">IF(OFFSET('IWP13'!Std10dot3Deposits, 4, 7, 1, 1) = 0, "", OFFSET('IWP13'!Std10dot3Deposits, 4, 7, 1, 1))</f>
        <v/>
      </c>
    </row>
    <row r="1895" spans="1:5">
      <c r="A1895" s="206" t="s">
        <v>1316</v>
      </c>
      <c r="B1895" s="157">
        <f ca="1">IF(OFFSET('IWP13'!Std10dot3Deposits, 5, 0, 1, 1) = DATE(1900,1,0),DATE(1900,1,1),OFFSET('IWP13'!Std10dot3Deposits, 5, 0, 1, 1))</f>
        <v>1</v>
      </c>
      <c r="C1895" s="155">
        <f ca="1">OFFSET('IWP13'!Std10dot3Deposits, 5, 2, 1, 1)</f>
        <v>0</v>
      </c>
      <c r="D1895" s="151" t="str">
        <f ca="1">IF(OFFSET('IWP13'!Std10dot3Deposits, 5, 4, 1, 1) = 0, "", OFFSET('IWP13'!Std10dot3Deposits, 5, 4, 1, 1))</f>
        <v/>
      </c>
      <c r="E1895" s="207" t="str">
        <f ca="1">IF(OFFSET('IWP13'!Std10dot3Deposits, 5, 7, 1, 1) = 0, "", OFFSET('IWP13'!Std10dot3Deposits, 5, 7, 1, 1))</f>
        <v/>
      </c>
    </row>
    <row r="1896" spans="1:5">
      <c r="A1896" s="206" t="s">
        <v>1316</v>
      </c>
      <c r="B1896" s="157">
        <f ca="1">IF(OFFSET('IWP13'!Std10dot3Deposits, 6, 0, 1, 1) = DATE(1900,1,0),DATE(1900,1,1),OFFSET('IWP13'!Std10dot3Deposits, 6, 0, 1, 1))</f>
        <v>1</v>
      </c>
      <c r="C1896" s="155">
        <f ca="1">OFFSET('IWP13'!Std10dot3Deposits, 6, 2, 1, 1)</f>
        <v>0</v>
      </c>
      <c r="D1896" s="151" t="str">
        <f ca="1">IF(OFFSET('IWP13'!Std10dot3Deposits, 6, 4, 1, 1) = 0, "", OFFSET('IWP13'!Std10dot3Deposits, 6, 4, 1, 1))</f>
        <v/>
      </c>
      <c r="E1896" s="207" t="str">
        <f ca="1">IF(OFFSET('IWP13'!Std10dot3Deposits, 6, 7, 1, 1) = 0, "", OFFSET('IWP13'!Std10dot3Deposits, 6, 7, 1, 1))</f>
        <v/>
      </c>
    </row>
    <row r="1897" spans="1:5">
      <c r="A1897" s="206" t="s">
        <v>1316</v>
      </c>
      <c r="B1897" s="157">
        <f ca="1">IF(OFFSET('IWP13'!Std10dot3Deposits, 7, 0, 1, 1) = DATE(1900,1,0),DATE(1900,1,1),OFFSET('IWP13'!Std10dot3Deposits, 7, 0, 1, 1))</f>
        <v>1</v>
      </c>
      <c r="C1897" s="155">
        <f ca="1">OFFSET('IWP13'!Std10dot3Deposits, 7, 2, 1, 1)</f>
        <v>0</v>
      </c>
      <c r="D1897" s="151" t="str">
        <f ca="1">IF(OFFSET('IWP13'!Std10dot3Deposits, 7, 4, 1, 1) = 0, "", OFFSET('IWP13'!Std10dot3Deposits, 7, 4, 1, 1))</f>
        <v/>
      </c>
      <c r="E1897" s="207" t="str">
        <f ca="1">IF(OFFSET('IWP13'!Std10dot3Deposits, 7, 7, 1, 1) = 0, "", OFFSET('IWP13'!Std10dot3Deposits, 7, 7, 1, 1))</f>
        <v/>
      </c>
    </row>
    <row r="1898" spans="1:5">
      <c r="A1898" s="206" t="s">
        <v>1316</v>
      </c>
      <c r="B1898" s="157">
        <f ca="1">IF(OFFSET('IWP13'!Std10dot3Deposits, 8, 0, 1, 1) = DATE(1900,1,0),DATE(1900,1,1),OFFSET('IWP13'!Std10dot3Deposits, 8, 0, 1, 1))</f>
        <v>1</v>
      </c>
      <c r="C1898" s="155">
        <f ca="1">OFFSET('IWP13'!Std10dot3Deposits, 8, 2, 1, 1)</f>
        <v>0</v>
      </c>
      <c r="D1898" s="151" t="str">
        <f ca="1">IF(OFFSET('IWP13'!Std10dot3Deposits, 8, 4, 1, 1) = 0, "", OFFSET('IWP13'!Std10dot3Deposits, 8, 4, 1, 1))</f>
        <v/>
      </c>
      <c r="E1898" s="207" t="str">
        <f ca="1">IF(OFFSET('IWP13'!Std10dot3Deposits, 8, 7, 1, 1) = 0, "", OFFSET('IWP13'!Std10dot3Deposits, 8, 7, 1, 1))</f>
        <v/>
      </c>
    </row>
    <row r="1899" spans="1:5">
      <c r="A1899" s="206" t="s">
        <v>1316</v>
      </c>
      <c r="B1899" s="157">
        <f ca="1">IF(OFFSET('IWP13'!Std10dot3Deposits, 9, 0, 1, 1) = DATE(1900,1,0),DATE(1900,1,1),OFFSET('IWP13'!Std10dot3Deposits, 9, 0, 1, 1))</f>
        <v>1</v>
      </c>
      <c r="C1899" s="155">
        <f ca="1">OFFSET('IWP13'!Std10dot3Deposits, 9, 2, 1, 1)</f>
        <v>0</v>
      </c>
      <c r="D1899" s="151" t="str">
        <f ca="1">IF(OFFSET('IWP13'!Std10dot3Deposits, 9, 4, 1, 1) = 0, "", OFFSET('IWP13'!Std10dot3Deposits, 9, 4, 1, 1))</f>
        <v/>
      </c>
      <c r="E1899" s="207" t="str">
        <f ca="1">IF(OFFSET('IWP13'!Std10dot3Deposits, 9, 7, 1, 1) = 0, "", OFFSET('IWP13'!Std10dot3Deposits, 9, 7, 1, 1))</f>
        <v/>
      </c>
    </row>
    <row r="1900" spans="1:5">
      <c r="A1900" s="206" t="s">
        <v>1317</v>
      </c>
      <c r="B1900" s="157">
        <f ca="1">IF(OFFSET('IWP14'!Std10dot3Deposits, 0, 0, 1, 1) = DATE(1900,1,0),DATE(1900,1,1),OFFSET('IWP14'!Std10dot3Deposits, 0, 0, 1, 1))</f>
        <v>1</v>
      </c>
      <c r="C1900" s="155">
        <f ca="1">OFFSET('IWP14'!Std10dot3Deposits, 0, 2, 1, 1)</f>
        <v>0</v>
      </c>
      <c r="D1900" s="151" t="str">
        <f ca="1">IF(OFFSET('IWP14'!Std10dot3Deposits, 0, 4, 1, 1) = 0, "", OFFSET('IWP14'!Std10dot3Deposits, 0, 4, 1, 1))</f>
        <v/>
      </c>
      <c r="E1900" s="207" t="str">
        <f ca="1">IF(OFFSET('IWP14'!Std10dot3Deposits, 0, 7, 1, 1) = 0, "", OFFSET('IWP14'!Std10dot3Deposits, 0, 7, 1, 1))</f>
        <v/>
      </c>
    </row>
    <row r="1901" spans="1:5">
      <c r="A1901" s="206" t="s">
        <v>1317</v>
      </c>
      <c r="B1901" s="157">
        <f ca="1">IF(OFFSET('IWP14'!Std10dot3Deposits, 1, 0, 1, 1) = DATE(1900,1,0),DATE(1900,1,1),OFFSET('IWP14'!Std10dot3Deposits, 1, 0, 1, 1))</f>
        <v>1</v>
      </c>
      <c r="C1901" s="155">
        <f ca="1">OFFSET('IWP14'!Std10dot3Deposits, 1, 2, 1, 1)</f>
        <v>0</v>
      </c>
      <c r="D1901" s="151" t="str">
        <f ca="1">IF(OFFSET('IWP14'!Std10dot3Deposits, 1, 4, 1, 1) = 0, "", OFFSET('IWP14'!Std10dot3Deposits, 1, 4, 1, 1))</f>
        <v/>
      </c>
      <c r="E1901" s="207" t="str">
        <f ca="1">IF(OFFSET('IWP14'!Std10dot3Deposits, 1, 7, 1, 1) = 0, "", OFFSET('IWP14'!Std10dot3Deposits, 1, 7, 1, 1))</f>
        <v/>
      </c>
    </row>
    <row r="1902" spans="1:5">
      <c r="A1902" s="206" t="s">
        <v>1317</v>
      </c>
      <c r="B1902" s="157">
        <f ca="1">IF(OFFSET('IWP14'!Std10dot3Deposits, 2, 0, 1, 1) = DATE(1900,1,0),DATE(1900,1,1),OFFSET('IWP14'!Std10dot3Deposits, 2, 0, 1, 1))</f>
        <v>1</v>
      </c>
      <c r="C1902" s="155">
        <f ca="1">OFFSET('IWP14'!Std10dot3Deposits, 2, 2, 1, 1)</f>
        <v>0</v>
      </c>
      <c r="D1902" s="151" t="str">
        <f ca="1">IF(OFFSET('IWP14'!Std10dot3Deposits, 2, 4, 1, 1) = 0, "", OFFSET('IWP14'!Std10dot3Deposits, 2, 4, 1, 1))</f>
        <v/>
      </c>
      <c r="E1902" s="207" t="str">
        <f ca="1">IF(OFFSET('IWP14'!Std10dot3Deposits, 2, 7, 1, 1) = 0, "", OFFSET('IWP14'!Std10dot3Deposits, 2, 7, 1, 1))</f>
        <v/>
      </c>
    </row>
    <row r="1903" spans="1:5">
      <c r="A1903" s="206" t="s">
        <v>1317</v>
      </c>
      <c r="B1903" s="157">
        <f ca="1">IF(OFFSET('IWP14'!Std10dot3Deposits, 3, 0, 1, 1) = DATE(1900,1,0),DATE(1900,1,1),OFFSET('IWP14'!Std10dot3Deposits, 3, 0, 1, 1))</f>
        <v>1</v>
      </c>
      <c r="C1903" s="155">
        <f ca="1">OFFSET('IWP14'!Std10dot3Deposits, 3, 2, 1, 1)</f>
        <v>0</v>
      </c>
      <c r="D1903" s="151" t="str">
        <f ca="1">IF(OFFSET('IWP14'!Std10dot3Deposits, 3, 4, 1, 1) = 0, "", OFFSET('IWP14'!Std10dot3Deposits, 3, 4, 1, 1))</f>
        <v/>
      </c>
      <c r="E1903" s="207" t="str">
        <f ca="1">IF(OFFSET('IWP14'!Std10dot3Deposits, 3, 7, 1, 1) = 0, "", OFFSET('IWP14'!Std10dot3Deposits, 3, 7, 1, 1))</f>
        <v/>
      </c>
    </row>
    <row r="1904" spans="1:5">
      <c r="A1904" s="206" t="s">
        <v>1317</v>
      </c>
      <c r="B1904" s="157">
        <f ca="1">IF(OFFSET('IWP14'!Std10dot3Deposits, 4, 0, 1, 1) = DATE(1900,1,0),DATE(1900,1,1),OFFSET('IWP14'!Std10dot3Deposits, 4, 0, 1, 1))</f>
        <v>1</v>
      </c>
      <c r="C1904" s="155">
        <f ca="1">OFFSET('IWP14'!Std10dot3Deposits, 4, 2, 1, 1)</f>
        <v>0</v>
      </c>
      <c r="D1904" s="151" t="str">
        <f ca="1">IF(OFFSET('IWP14'!Std10dot3Deposits, 4, 4, 1, 1) = 0, "", OFFSET('IWP14'!Std10dot3Deposits, 4, 4, 1, 1))</f>
        <v/>
      </c>
      <c r="E1904" s="207" t="str">
        <f ca="1">IF(OFFSET('IWP14'!Std10dot3Deposits, 4, 7, 1, 1) = 0, "", OFFSET('IWP14'!Std10dot3Deposits, 4, 7, 1, 1))</f>
        <v/>
      </c>
    </row>
    <row r="1905" spans="1:5">
      <c r="A1905" s="206" t="s">
        <v>1317</v>
      </c>
      <c r="B1905" s="157">
        <f ca="1">IF(OFFSET('IWP14'!Std10dot3Deposits, 5, 0, 1, 1) = DATE(1900,1,0),DATE(1900,1,1),OFFSET('IWP14'!Std10dot3Deposits, 5, 0, 1, 1))</f>
        <v>1</v>
      </c>
      <c r="C1905" s="155">
        <f ca="1">OFFSET('IWP14'!Std10dot3Deposits, 5, 2, 1, 1)</f>
        <v>0</v>
      </c>
      <c r="D1905" s="151" t="str">
        <f ca="1">IF(OFFSET('IWP14'!Std10dot3Deposits, 5, 4, 1, 1) = 0, "", OFFSET('IWP14'!Std10dot3Deposits, 5, 4, 1, 1))</f>
        <v/>
      </c>
      <c r="E1905" s="207" t="str">
        <f ca="1">IF(OFFSET('IWP14'!Std10dot3Deposits, 5, 7, 1, 1) = 0, "", OFFSET('IWP14'!Std10dot3Deposits, 5, 7, 1, 1))</f>
        <v/>
      </c>
    </row>
    <row r="1906" spans="1:5">
      <c r="A1906" s="206" t="s">
        <v>1317</v>
      </c>
      <c r="B1906" s="157">
        <f ca="1">IF(OFFSET('IWP14'!Std10dot3Deposits, 6, 0, 1, 1) = DATE(1900,1,0),DATE(1900,1,1),OFFSET('IWP14'!Std10dot3Deposits, 6, 0, 1, 1))</f>
        <v>1</v>
      </c>
      <c r="C1906" s="155">
        <f ca="1">OFFSET('IWP14'!Std10dot3Deposits, 6, 2, 1, 1)</f>
        <v>0</v>
      </c>
      <c r="D1906" s="151" t="str">
        <f ca="1">IF(OFFSET('IWP14'!Std10dot3Deposits, 6, 4, 1, 1) = 0, "", OFFSET('IWP14'!Std10dot3Deposits, 6, 4, 1, 1))</f>
        <v/>
      </c>
      <c r="E1906" s="207" t="str">
        <f ca="1">IF(OFFSET('IWP14'!Std10dot3Deposits, 6, 7, 1, 1) = 0, "", OFFSET('IWP14'!Std10dot3Deposits, 6, 7, 1, 1))</f>
        <v/>
      </c>
    </row>
    <row r="1907" spans="1:5">
      <c r="A1907" s="206" t="s">
        <v>1317</v>
      </c>
      <c r="B1907" s="157">
        <f ca="1">IF(OFFSET('IWP14'!Std10dot3Deposits, 7, 0, 1, 1) = DATE(1900,1,0),DATE(1900,1,1),OFFSET('IWP14'!Std10dot3Deposits, 7, 0, 1, 1))</f>
        <v>1</v>
      </c>
      <c r="C1907" s="155">
        <f ca="1">OFFSET('IWP14'!Std10dot3Deposits, 7, 2, 1, 1)</f>
        <v>0</v>
      </c>
      <c r="D1907" s="151" t="str">
        <f ca="1">IF(OFFSET('IWP14'!Std10dot3Deposits, 7, 4, 1, 1) = 0, "", OFFSET('IWP14'!Std10dot3Deposits, 7, 4, 1, 1))</f>
        <v/>
      </c>
      <c r="E1907" s="207" t="str">
        <f ca="1">IF(OFFSET('IWP14'!Std10dot3Deposits, 7, 7, 1, 1) = 0, "", OFFSET('IWP14'!Std10dot3Deposits, 7, 7, 1, 1))</f>
        <v/>
      </c>
    </row>
    <row r="1908" spans="1:5">
      <c r="A1908" s="206" t="s">
        <v>1317</v>
      </c>
      <c r="B1908" s="157">
        <f ca="1">IF(OFFSET('IWP14'!Std10dot3Deposits, 8, 0, 1, 1) = DATE(1900,1,0),DATE(1900,1,1),OFFSET('IWP14'!Std10dot3Deposits, 8, 0, 1, 1))</f>
        <v>1</v>
      </c>
      <c r="C1908" s="155">
        <f ca="1">OFFSET('IWP14'!Std10dot3Deposits, 8, 2, 1, 1)</f>
        <v>0</v>
      </c>
      <c r="D1908" s="151" t="str">
        <f ca="1">IF(OFFSET('IWP14'!Std10dot3Deposits, 8, 4, 1, 1) = 0, "", OFFSET('IWP14'!Std10dot3Deposits, 8, 4, 1, 1))</f>
        <v/>
      </c>
      <c r="E1908" s="207" t="str">
        <f ca="1">IF(OFFSET('IWP14'!Std10dot3Deposits, 8, 7, 1, 1) = 0, "", OFFSET('IWP14'!Std10dot3Deposits, 8, 7, 1, 1))</f>
        <v/>
      </c>
    </row>
    <row r="1909" spans="1:5">
      <c r="A1909" s="206" t="s">
        <v>1317</v>
      </c>
      <c r="B1909" s="157">
        <f ca="1">IF(OFFSET('IWP14'!Std10dot3Deposits, 9, 0, 1, 1) = DATE(1900,1,0),DATE(1900,1,1),OFFSET('IWP14'!Std10dot3Deposits, 9, 0, 1, 1))</f>
        <v>1</v>
      </c>
      <c r="C1909" s="155">
        <f ca="1">OFFSET('IWP14'!Std10dot3Deposits, 9, 2, 1, 1)</f>
        <v>0</v>
      </c>
      <c r="D1909" s="151" t="str">
        <f ca="1">IF(OFFSET('IWP14'!Std10dot3Deposits, 9, 4, 1, 1) = 0, "", OFFSET('IWP14'!Std10dot3Deposits, 9, 4, 1, 1))</f>
        <v/>
      </c>
      <c r="E1909" s="207" t="str">
        <f ca="1">IF(OFFSET('IWP14'!Std10dot3Deposits, 9, 7, 1, 1) = 0, "", OFFSET('IWP14'!Std10dot3Deposits, 9, 7, 1, 1))</f>
        <v/>
      </c>
    </row>
    <row r="1910" spans="1:5">
      <c r="A1910" s="206" t="s">
        <v>1318</v>
      </c>
      <c r="B1910" s="157">
        <f ca="1">IF(OFFSET('IWP15'!Std10dot3Deposits, 0, 0, 1, 1) = DATE(1900,1,0),DATE(1900,1,1),OFFSET('IWP15'!Std10dot3Deposits, 0, 0, 1, 1))</f>
        <v>1</v>
      </c>
      <c r="C1910" s="155">
        <f ca="1">OFFSET('IWP15'!Std10dot3Deposits, 0, 2, 1, 1)</f>
        <v>0</v>
      </c>
      <c r="D1910" s="151" t="str">
        <f ca="1">IF(OFFSET('IWP15'!Std10dot3Deposits, 0, 4, 1, 1) = 0, "", OFFSET('IWP15'!Std10dot3Deposits, 0, 4, 1, 1))</f>
        <v/>
      </c>
      <c r="E1910" s="207" t="str">
        <f ca="1">IF(OFFSET('IWP15'!Std10dot3Deposits, 0, 7, 1, 1) = 0, "", OFFSET('IWP15'!Std10dot3Deposits, 0, 7, 1, 1))</f>
        <v/>
      </c>
    </row>
    <row r="1911" spans="1:5">
      <c r="A1911" s="206" t="s">
        <v>1318</v>
      </c>
      <c r="B1911" s="157">
        <f ca="1">IF(OFFSET('IWP15'!Std10dot3Deposits, 1, 0, 1, 1) = DATE(1900,1,0),DATE(1900,1,1),OFFSET('IWP15'!Std10dot3Deposits, 1, 0, 1, 1))</f>
        <v>1</v>
      </c>
      <c r="C1911" s="155">
        <f ca="1">OFFSET('IWP15'!Std10dot3Deposits, 1, 2, 1, 1)</f>
        <v>0</v>
      </c>
      <c r="D1911" s="151" t="str">
        <f ca="1">IF(OFFSET('IWP15'!Std10dot3Deposits, 1, 4, 1, 1) = 0, "", OFFSET('IWP15'!Std10dot3Deposits, 1, 4, 1, 1))</f>
        <v/>
      </c>
      <c r="E1911" s="207" t="str">
        <f ca="1">IF(OFFSET('IWP15'!Std10dot3Deposits, 1, 7, 1, 1) = 0, "", OFFSET('IWP15'!Std10dot3Deposits, 1, 7, 1, 1))</f>
        <v/>
      </c>
    </row>
    <row r="1912" spans="1:5">
      <c r="A1912" s="206" t="s">
        <v>1318</v>
      </c>
      <c r="B1912" s="157">
        <f ca="1">IF(OFFSET('IWP15'!Std10dot3Deposits, 2, 0, 1, 1) = DATE(1900,1,0),DATE(1900,1,1),OFFSET('IWP15'!Std10dot3Deposits, 2, 0, 1, 1))</f>
        <v>1</v>
      </c>
      <c r="C1912" s="155">
        <f ca="1">OFFSET('IWP15'!Std10dot3Deposits, 2, 2, 1, 1)</f>
        <v>0</v>
      </c>
      <c r="D1912" s="151" t="str">
        <f ca="1">IF(OFFSET('IWP15'!Std10dot3Deposits, 2, 4, 1, 1) = 0, "", OFFSET('IWP15'!Std10dot3Deposits, 2, 4, 1, 1))</f>
        <v/>
      </c>
      <c r="E1912" s="207" t="str">
        <f ca="1">IF(OFFSET('IWP15'!Std10dot3Deposits, 2, 7, 1, 1) = 0, "", OFFSET('IWP15'!Std10dot3Deposits, 2, 7, 1, 1))</f>
        <v/>
      </c>
    </row>
    <row r="1913" spans="1:5">
      <c r="A1913" s="206" t="s">
        <v>1318</v>
      </c>
      <c r="B1913" s="157">
        <f ca="1">IF(OFFSET('IWP15'!Std10dot3Deposits, 3, 0, 1, 1) = DATE(1900,1,0),DATE(1900,1,1),OFFSET('IWP15'!Std10dot3Deposits, 3, 0, 1, 1))</f>
        <v>1</v>
      </c>
      <c r="C1913" s="155">
        <f ca="1">OFFSET('IWP15'!Std10dot3Deposits, 3, 2, 1, 1)</f>
        <v>0</v>
      </c>
      <c r="D1913" s="151" t="str">
        <f ca="1">IF(OFFSET('IWP15'!Std10dot3Deposits, 3, 4, 1, 1) = 0, "", OFFSET('IWP15'!Std10dot3Deposits, 3, 4, 1, 1))</f>
        <v/>
      </c>
      <c r="E1913" s="207" t="str">
        <f ca="1">IF(OFFSET('IWP15'!Std10dot3Deposits, 3, 7, 1, 1) = 0, "", OFFSET('IWP15'!Std10dot3Deposits, 3, 7, 1, 1))</f>
        <v/>
      </c>
    </row>
    <row r="1914" spans="1:5">
      <c r="A1914" s="206" t="s">
        <v>1318</v>
      </c>
      <c r="B1914" s="157">
        <f ca="1">IF(OFFSET('IWP15'!Std10dot3Deposits, 4, 0, 1, 1) = DATE(1900,1,0),DATE(1900,1,1),OFFSET('IWP15'!Std10dot3Deposits, 4, 0, 1, 1))</f>
        <v>1</v>
      </c>
      <c r="C1914" s="155">
        <f ca="1">OFFSET('IWP15'!Std10dot3Deposits, 4, 2, 1, 1)</f>
        <v>0</v>
      </c>
      <c r="D1914" s="151" t="str">
        <f ca="1">IF(OFFSET('IWP15'!Std10dot3Deposits, 4, 4, 1, 1) = 0, "", OFFSET('IWP15'!Std10dot3Deposits, 4, 4, 1, 1))</f>
        <v/>
      </c>
      <c r="E1914" s="207" t="str">
        <f ca="1">IF(OFFSET('IWP15'!Std10dot3Deposits, 4, 7, 1, 1) = 0, "", OFFSET('IWP15'!Std10dot3Deposits, 4, 7, 1, 1))</f>
        <v/>
      </c>
    </row>
    <row r="1915" spans="1:5">
      <c r="A1915" s="206" t="s">
        <v>1318</v>
      </c>
      <c r="B1915" s="157">
        <f ca="1">IF(OFFSET('IWP15'!Std10dot3Deposits, 5, 0, 1, 1) = DATE(1900,1,0),DATE(1900,1,1),OFFSET('IWP15'!Std10dot3Deposits, 5, 0, 1, 1))</f>
        <v>1</v>
      </c>
      <c r="C1915" s="155">
        <f ca="1">OFFSET('IWP15'!Std10dot3Deposits, 5, 2, 1, 1)</f>
        <v>0</v>
      </c>
      <c r="D1915" s="151" t="str">
        <f ca="1">IF(OFFSET('IWP15'!Std10dot3Deposits, 5, 4, 1, 1) = 0, "", OFFSET('IWP15'!Std10dot3Deposits, 5, 4, 1, 1))</f>
        <v/>
      </c>
      <c r="E1915" s="207" t="str">
        <f ca="1">IF(OFFSET('IWP15'!Std10dot3Deposits, 5, 7, 1, 1) = 0, "", OFFSET('IWP15'!Std10dot3Deposits, 5, 7, 1, 1))</f>
        <v/>
      </c>
    </row>
    <row r="1916" spans="1:5">
      <c r="A1916" s="206" t="s">
        <v>1318</v>
      </c>
      <c r="B1916" s="157">
        <f ca="1">IF(OFFSET('IWP15'!Std10dot3Deposits, 6, 0, 1, 1) = DATE(1900,1,0),DATE(1900,1,1),OFFSET('IWP15'!Std10dot3Deposits, 6, 0, 1, 1))</f>
        <v>1</v>
      </c>
      <c r="C1916" s="155">
        <f ca="1">OFFSET('IWP15'!Std10dot3Deposits, 6, 2, 1, 1)</f>
        <v>0</v>
      </c>
      <c r="D1916" s="151" t="str">
        <f ca="1">IF(OFFSET('IWP15'!Std10dot3Deposits, 6, 4, 1, 1) = 0, "", OFFSET('IWP15'!Std10dot3Deposits, 6, 4, 1, 1))</f>
        <v/>
      </c>
      <c r="E1916" s="207" t="str">
        <f ca="1">IF(OFFSET('IWP15'!Std10dot3Deposits, 6, 7, 1, 1) = 0, "", OFFSET('IWP15'!Std10dot3Deposits, 6, 7, 1, 1))</f>
        <v/>
      </c>
    </row>
    <row r="1917" spans="1:5">
      <c r="A1917" s="206" t="s">
        <v>1318</v>
      </c>
      <c r="B1917" s="157">
        <f ca="1">IF(OFFSET('IWP15'!Std10dot3Deposits, 7, 0, 1, 1) = DATE(1900,1,0),DATE(1900,1,1),OFFSET('IWP15'!Std10dot3Deposits, 7, 0, 1, 1))</f>
        <v>1</v>
      </c>
      <c r="C1917" s="155">
        <f ca="1">OFFSET('IWP15'!Std10dot3Deposits, 7, 2, 1, 1)</f>
        <v>0</v>
      </c>
      <c r="D1917" s="151" t="str">
        <f ca="1">IF(OFFSET('IWP15'!Std10dot3Deposits, 7, 4, 1, 1) = 0, "", OFFSET('IWP15'!Std10dot3Deposits, 7, 4, 1, 1))</f>
        <v/>
      </c>
      <c r="E1917" s="207" t="str">
        <f ca="1">IF(OFFSET('IWP15'!Std10dot3Deposits, 7, 7, 1, 1) = 0, "", OFFSET('IWP15'!Std10dot3Deposits, 7, 7, 1, 1))</f>
        <v/>
      </c>
    </row>
    <row r="1918" spans="1:5">
      <c r="A1918" s="206" t="s">
        <v>1318</v>
      </c>
      <c r="B1918" s="157">
        <f ca="1">IF(OFFSET('IWP15'!Std10dot3Deposits, 8, 0, 1, 1) = DATE(1900,1,0),DATE(1900,1,1),OFFSET('IWP15'!Std10dot3Deposits, 8, 0, 1, 1))</f>
        <v>1</v>
      </c>
      <c r="C1918" s="155">
        <f ca="1">OFFSET('IWP15'!Std10dot3Deposits, 8, 2, 1, 1)</f>
        <v>0</v>
      </c>
      <c r="D1918" s="151" t="str">
        <f ca="1">IF(OFFSET('IWP15'!Std10dot3Deposits, 8, 4, 1, 1) = 0, "", OFFSET('IWP15'!Std10dot3Deposits, 8, 4, 1, 1))</f>
        <v/>
      </c>
      <c r="E1918" s="207" t="str">
        <f ca="1">IF(OFFSET('IWP15'!Std10dot3Deposits, 8, 7, 1, 1) = 0, "", OFFSET('IWP15'!Std10dot3Deposits, 8, 7, 1, 1))</f>
        <v/>
      </c>
    </row>
    <row r="1919" spans="1:5">
      <c r="A1919" s="206" t="s">
        <v>1318</v>
      </c>
      <c r="B1919" s="157">
        <f ca="1">IF(OFFSET('IWP15'!Std10dot3Deposits, 9, 0, 1, 1) = DATE(1900,1,0),DATE(1900,1,1),OFFSET('IWP15'!Std10dot3Deposits, 9, 0, 1, 1))</f>
        <v>1</v>
      </c>
      <c r="C1919" s="155">
        <f ca="1">OFFSET('IWP15'!Std10dot3Deposits, 9, 2, 1, 1)</f>
        <v>0</v>
      </c>
      <c r="D1919" s="151" t="str">
        <f ca="1">IF(OFFSET('IWP15'!Std10dot3Deposits, 9, 4, 1, 1) = 0, "", OFFSET('IWP15'!Std10dot3Deposits, 9, 4, 1, 1))</f>
        <v/>
      </c>
      <c r="E1919" s="207" t="str">
        <f ca="1">IF(OFFSET('IWP15'!Std10dot3Deposits, 9, 7, 1, 1) = 0, "", OFFSET('IWP15'!Std10dot3Deposits, 9, 7, 1, 1))</f>
        <v/>
      </c>
    </row>
    <row r="1920" spans="1:5">
      <c r="A1920" s="206" t="s">
        <v>1319</v>
      </c>
      <c r="B1920" s="157">
        <f ca="1">IF(OFFSET('IWP16'!Std10dot3Deposits, 0, 0, 1, 1) = DATE(1900,1,0),DATE(1900,1,1),OFFSET('IWP16'!Std10dot3Deposits, 0, 0, 1, 1))</f>
        <v>1</v>
      </c>
      <c r="C1920" s="155">
        <f ca="1">OFFSET('IWP16'!Std10dot3Deposits, 0, 2, 1, 1)</f>
        <v>0</v>
      </c>
      <c r="D1920" s="151" t="str">
        <f ca="1">IF(OFFSET('IWP16'!Std10dot3Deposits, 0, 4, 1, 1) = 0, "", OFFSET('IWP16'!Std10dot3Deposits, 0, 4, 1, 1))</f>
        <v/>
      </c>
      <c r="E1920" s="207" t="str">
        <f ca="1">IF(OFFSET('IWP16'!Std10dot3Deposits, 0, 7, 1, 1) = 0, "", OFFSET('IWP16'!Std10dot3Deposits, 0, 7, 1, 1))</f>
        <v/>
      </c>
    </row>
    <row r="1921" spans="1:5">
      <c r="A1921" s="206" t="s">
        <v>1319</v>
      </c>
      <c r="B1921" s="157">
        <f ca="1">IF(OFFSET('IWP16'!Std10dot3Deposits, 1, 0, 1, 1) = DATE(1900,1,0),DATE(1900,1,1),OFFSET('IWP16'!Std10dot3Deposits, 1, 0, 1, 1))</f>
        <v>1</v>
      </c>
      <c r="C1921" s="155">
        <f ca="1">OFFSET('IWP16'!Std10dot3Deposits, 1, 2, 1, 1)</f>
        <v>0</v>
      </c>
      <c r="D1921" s="151" t="str">
        <f ca="1">IF(OFFSET('IWP16'!Std10dot3Deposits, 1, 4, 1, 1) = 0, "", OFFSET('IWP16'!Std10dot3Deposits, 1, 4, 1, 1))</f>
        <v/>
      </c>
      <c r="E1921" s="207" t="str">
        <f ca="1">IF(OFFSET('IWP16'!Std10dot3Deposits, 1, 7, 1, 1) = 0, "", OFFSET('IWP16'!Std10dot3Deposits, 1, 7, 1, 1))</f>
        <v/>
      </c>
    </row>
    <row r="1922" spans="1:5">
      <c r="A1922" s="206" t="s">
        <v>1319</v>
      </c>
      <c r="B1922" s="157">
        <f ca="1">IF(OFFSET('IWP16'!Std10dot3Deposits, 2, 0, 1, 1) = DATE(1900,1,0),DATE(1900,1,1),OFFSET('IWP16'!Std10dot3Deposits, 2, 0, 1, 1))</f>
        <v>1</v>
      </c>
      <c r="C1922" s="155">
        <f ca="1">OFFSET('IWP16'!Std10dot3Deposits, 2, 2, 1, 1)</f>
        <v>0</v>
      </c>
      <c r="D1922" s="151" t="str">
        <f ca="1">IF(OFFSET('IWP16'!Std10dot3Deposits, 2, 4, 1, 1) = 0, "", OFFSET('IWP16'!Std10dot3Deposits, 2, 4, 1, 1))</f>
        <v/>
      </c>
      <c r="E1922" s="207" t="str">
        <f ca="1">IF(OFFSET('IWP16'!Std10dot3Deposits, 2, 7, 1, 1) = 0, "", OFFSET('IWP16'!Std10dot3Deposits, 2, 7, 1, 1))</f>
        <v/>
      </c>
    </row>
    <row r="1923" spans="1:5">
      <c r="A1923" s="206" t="s">
        <v>1319</v>
      </c>
      <c r="B1923" s="157">
        <f ca="1">IF(OFFSET('IWP16'!Std10dot3Deposits, 3, 0, 1, 1) = DATE(1900,1,0),DATE(1900,1,1),OFFSET('IWP16'!Std10dot3Deposits, 3, 0, 1, 1))</f>
        <v>1</v>
      </c>
      <c r="C1923" s="155">
        <f ca="1">OFFSET('IWP16'!Std10dot3Deposits, 3, 2, 1, 1)</f>
        <v>0</v>
      </c>
      <c r="D1923" s="151" t="str">
        <f ca="1">IF(OFFSET('IWP16'!Std10dot3Deposits, 3, 4, 1, 1) = 0, "", OFFSET('IWP16'!Std10dot3Deposits, 3, 4, 1, 1))</f>
        <v/>
      </c>
      <c r="E1923" s="207" t="str">
        <f ca="1">IF(OFFSET('IWP16'!Std10dot3Deposits, 3, 7, 1, 1) = 0, "", OFFSET('IWP16'!Std10dot3Deposits, 3, 7, 1, 1))</f>
        <v/>
      </c>
    </row>
    <row r="1924" spans="1:5">
      <c r="A1924" s="206" t="s">
        <v>1319</v>
      </c>
      <c r="B1924" s="157">
        <f ca="1">IF(OFFSET('IWP16'!Std10dot3Deposits, 4, 0, 1, 1) = DATE(1900,1,0),DATE(1900,1,1),OFFSET('IWP16'!Std10dot3Deposits, 4, 0, 1, 1))</f>
        <v>1</v>
      </c>
      <c r="C1924" s="155">
        <f ca="1">OFFSET('IWP16'!Std10dot3Deposits, 4, 2, 1, 1)</f>
        <v>0</v>
      </c>
      <c r="D1924" s="151" t="str">
        <f ca="1">IF(OFFSET('IWP16'!Std10dot3Deposits, 4, 4, 1, 1) = 0, "", OFFSET('IWP16'!Std10dot3Deposits, 4, 4, 1, 1))</f>
        <v/>
      </c>
      <c r="E1924" s="207" t="str">
        <f ca="1">IF(OFFSET('IWP16'!Std10dot3Deposits, 4, 7, 1, 1) = 0, "", OFFSET('IWP16'!Std10dot3Deposits, 4, 7, 1, 1))</f>
        <v/>
      </c>
    </row>
    <row r="1925" spans="1:5">
      <c r="A1925" s="206" t="s">
        <v>1319</v>
      </c>
      <c r="B1925" s="157">
        <f ca="1">IF(OFFSET('IWP16'!Std10dot3Deposits, 5, 0, 1, 1) = DATE(1900,1,0),DATE(1900,1,1),OFFSET('IWP16'!Std10dot3Deposits, 5, 0, 1, 1))</f>
        <v>1</v>
      </c>
      <c r="C1925" s="155">
        <f ca="1">OFFSET('IWP16'!Std10dot3Deposits, 5, 2, 1, 1)</f>
        <v>0</v>
      </c>
      <c r="D1925" s="151" t="str">
        <f ca="1">IF(OFFSET('IWP16'!Std10dot3Deposits, 5, 4, 1, 1) = 0, "", OFFSET('IWP16'!Std10dot3Deposits, 5, 4, 1, 1))</f>
        <v/>
      </c>
      <c r="E1925" s="207" t="str">
        <f ca="1">IF(OFFSET('IWP16'!Std10dot3Deposits, 5, 7, 1, 1) = 0, "", OFFSET('IWP16'!Std10dot3Deposits, 5, 7, 1, 1))</f>
        <v/>
      </c>
    </row>
    <row r="1926" spans="1:5">
      <c r="A1926" s="206" t="s">
        <v>1319</v>
      </c>
      <c r="B1926" s="157">
        <f ca="1">IF(OFFSET('IWP16'!Std10dot3Deposits, 6, 0, 1, 1) = DATE(1900,1,0),DATE(1900,1,1),OFFSET('IWP16'!Std10dot3Deposits, 6, 0, 1, 1))</f>
        <v>1</v>
      </c>
      <c r="C1926" s="155">
        <f ca="1">OFFSET('IWP16'!Std10dot3Deposits, 6, 2, 1, 1)</f>
        <v>0</v>
      </c>
      <c r="D1926" s="151" t="str">
        <f ca="1">IF(OFFSET('IWP16'!Std10dot3Deposits, 6, 4, 1, 1) = 0, "", OFFSET('IWP16'!Std10dot3Deposits, 6, 4, 1, 1))</f>
        <v/>
      </c>
      <c r="E1926" s="207" t="str">
        <f ca="1">IF(OFFSET('IWP16'!Std10dot3Deposits, 6, 7, 1, 1) = 0, "", OFFSET('IWP16'!Std10dot3Deposits, 6, 7, 1, 1))</f>
        <v/>
      </c>
    </row>
    <row r="1927" spans="1:5">
      <c r="A1927" s="206" t="s">
        <v>1319</v>
      </c>
      <c r="B1927" s="157">
        <f ca="1">IF(OFFSET('IWP16'!Std10dot3Deposits, 7, 0, 1, 1) = DATE(1900,1,0),DATE(1900,1,1),OFFSET('IWP16'!Std10dot3Deposits, 7, 0, 1, 1))</f>
        <v>1</v>
      </c>
      <c r="C1927" s="155">
        <f ca="1">OFFSET('IWP16'!Std10dot3Deposits, 7, 2, 1, 1)</f>
        <v>0</v>
      </c>
      <c r="D1927" s="151" t="str">
        <f ca="1">IF(OFFSET('IWP16'!Std10dot3Deposits, 7, 4, 1, 1) = 0, "", OFFSET('IWP16'!Std10dot3Deposits, 7, 4, 1, 1))</f>
        <v/>
      </c>
      <c r="E1927" s="207" t="str">
        <f ca="1">IF(OFFSET('IWP16'!Std10dot3Deposits, 7, 7, 1, 1) = 0, "", OFFSET('IWP16'!Std10dot3Deposits, 7, 7, 1, 1))</f>
        <v/>
      </c>
    </row>
    <row r="1928" spans="1:5">
      <c r="A1928" s="206" t="s">
        <v>1319</v>
      </c>
      <c r="B1928" s="157">
        <f ca="1">IF(OFFSET('IWP16'!Std10dot3Deposits, 8, 0, 1, 1) = DATE(1900,1,0),DATE(1900,1,1),OFFSET('IWP16'!Std10dot3Deposits, 8, 0, 1, 1))</f>
        <v>1</v>
      </c>
      <c r="C1928" s="155">
        <f ca="1">OFFSET('IWP16'!Std10dot3Deposits, 8, 2, 1, 1)</f>
        <v>0</v>
      </c>
      <c r="D1928" s="151" t="str">
        <f ca="1">IF(OFFSET('IWP16'!Std10dot3Deposits, 8, 4, 1, 1) = 0, "", OFFSET('IWP16'!Std10dot3Deposits, 8, 4, 1, 1))</f>
        <v/>
      </c>
      <c r="E1928" s="207" t="str">
        <f ca="1">IF(OFFSET('IWP16'!Std10dot3Deposits, 8, 7, 1, 1) = 0, "", OFFSET('IWP16'!Std10dot3Deposits, 8, 7, 1, 1))</f>
        <v/>
      </c>
    </row>
    <row r="1929" spans="1:5">
      <c r="A1929" s="206" t="s">
        <v>1319</v>
      </c>
      <c r="B1929" s="157">
        <f ca="1">IF(OFFSET('IWP16'!Std10dot3Deposits, 9, 0, 1, 1) = DATE(1900,1,0),DATE(1900,1,1),OFFSET('IWP16'!Std10dot3Deposits, 9, 0, 1, 1))</f>
        <v>1</v>
      </c>
      <c r="C1929" s="155">
        <f ca="1">OFFSET('IWP16'!Std10dot3Deposits, 9, 2, 1, 1)</f>
        <v>0</v>
      </c>
      <c r="D1929" s="151" t="str">
        <f ca="1">IF(OFFSET('IWP16'!Std10dot3Deposits, 9, 4, 1, 1) = 0, "", OFFSET('IWP16'!Std10dot3Deposits, 9, 4, 1, 1))</f>
        <v/>
      </c>
      <c r="E1929" s="207" t="str">
        <f ca="1">IF(OFFSET('IWP16'!Std10dot3Deposits, 9, 7, 1, 1) = 0, "", OFFSET('IWP16'!Std10dot3Deposits, 9, 7, 1, 1))</f>
        <v/>
      </c>
    </row>
    <row r="1930" spans="1:5">
      <c r="A1930" s="206" t="s">
        <v>1320</v>
      </c>
      <c r="B1930" s="157">
        <f ca="1">IF(OFFSET('IWP17'!Std10dot3Deposits, 0, 0, 1, 1) = DATE(1900,1,0),DATE(1900,1,1),OFFSET('IWP17'!Std10dot3Deposits, 0, 0, 1, 1))</f>
        <v>1</v>
      </c>
      <c r="C1930" s="155">
        <f ca="1">OFFSET('IWP17'!Std10dot3Deposits, 0, 2, 1, 1)</f>
        <v>0</v>
      </c>
      <c r="D1930" s="151" t="str">
        <f ca="1">IF(OFFSET('IWP17'!Std10dot3Deposits, 0, 4, 1, 1) = 0, "", OFFSET('IWP17'!Std10dot3Deposits, 0, 4, 1, 1))</f>
        <v/>
      </c>
      <c r="E1930" s="207" t="str">
        <f ca="1">IF(OFFSET('IWP17'!Std10dot3Deposits, 0, 7, 1, 1) = 0, "", OFFSET('IWP17'!Std10dot3Deposits, 0, 7, 1, 1))</f>
        <v/>
      </c>
    </row>
    <row r="1931" spans="1:5">
      <c r="A1931" s="206" t="s">
        <v>1320</v>
      </c>
      <c r="B1931" s="157">
        <f ca="1">IF(OFFSET('IWP17'!Std10dot3Deposits, 1, 0, 1, 1) = DATE(1900,1,0),DATE(1900,1,1),OFFSET('IWP17'!Std10dot3Deposits, 1, 0, 1, 1))</f>
        <v>1</v>
      </c>
      <c r="C1931" s="155">
        <f ca="1">OFFSET('IWP17'!Std10dot3Deposits, 1, 2, 1, 1)</f>
        <v>0</v>
      </c>
      <c r="D1931" s="151" t="str">
        <f ca="1">IF(OFFSET('IWP17'!Std10dot3Deposits, 1, 4, 1, 1) = 0, "", OFFSET('IWP17'!Std10dot3Deposits, 1, 4, 1, 1))</f>
        <v/>
      </c>
      <c r="E1931" s="207" t="str">
        <f ca="1">IF(OFFSET('IWP17'!Std10dot3Deposits, 1, 7, 1, 1) = 0, "", OFFSET('IWP17'!Std10dot3Deposits, 1, 7, 1, 1))</f>
        <v/>
      </c>
    </row>
    <row r="1932" spans="1:5">
      <c r="A1932" s="206" t="s">
        <v>1320</v>
      </c>
      <c r="B1932" s="157">
        <f ca="1">IF(OFFSET('IWP17'!Std10dot3Deposits, 2, 0, 1, 1) = DATE(1900,1,0),DATE(1900,1,1),OFFSET('IWP17'!Std10dot3Deposits, 2, 0, 1, 1))</f>
        <v>1</v>
      </c>
      <c r="C1932" s="155">
        <f ca="1">OFFSET('IWP17'!Std10dot3Deposits, 2, 2, 1, 1)</f>
        <v>0</v>
      </c>
      <c r="D1932" s="151" t="str">
        <f ca="1">IF(OFFSET('IWP17'!Std10dot3Deposits, 2, 4, 1, 1) = 0, "", OFFSET('IWP17'!Std10dot3Deposits, 2, 4, 1, 1))</f>
        <v/>
      </c>
      <c r="E1932" s="207" t="str">
        <f ca="1">IF(OFFSET('IWP17'!Std10dot3Deposits, 2, 7, 1, 1) = 0, "", OFFSET('IWP17'!Std10dot3Deposits, 2, 7, 1, 1))</f>
        <v/>
      </c>
    </row>
    <row r="1933" spans="1:5">
      <c r="A1933" s="206" t="s">
        <v>1320</v>
      </c>
      <c r="B1933" s="157">
        <f ca="1">IF(OFFSET('IWP17'!Std10dot3Deposits, 3, 0, 1, 1) = DATE(1900,1,0),DATE(1900,1,1),OFFSET('IWP17'!Std10dot3Deposits, 3, 0, 1, 1))</f>
        <v>1</v>
      </c>
      <c r="C1933" s="155">
        <f ca="1">OFFSET('IWP17'!Std10dot3Deposits, 3, 2, 1, 1)</f>
        <v>0</v>
      </c>
      <c r="D1933" s="151" t="str">
        <f ca="1">IF(OFFSET('IWP17'!Std10dot3Deposits, 3, 4, 1, 1) = 0, "", OFFSET('IWP17'!Std10dot3Deposits, 3, 4, 1, 1))</f>
        <v/>
      </c>
      <c r="E1933" s="207" t="str">
        <f ca="1">IF(OFFSET('IWP17'!Std10dot3Deposits, 3, 7, 1, 1) = 0, "", OFFSET('IWP17'!Std10dot3Deposits, 3, 7, 1, 1))</f>
        <v/>
      </c>
    </row>
    <row r="1934" spans="1:5">
      <c r="A1934" s="206" t="s">
        <v>1320</v>
      </c>
      <c r="B1934" s="157">
        <f ca="1">IF(OFFSET('IWP17'!Std10dot3Deposits, 4, 0, 1, 1) = DATE(1900,1,0),DATE(1900,1,1),OFFSET('IWP17'!Std10dot3Deposits, 4, 0, 1, 1))</f>
        <v>1</v>
      </c>
      <c r="C1934" s="155">
        <f ca="1">OFFSET('IWP17'!Std10dot3Deposits, 4, 2, 1, 1)</f>
        <v>0</v>
      </c>
      <c r="D1934" s="151" t="str">
        <f ca="1">IF(OFFSET('IWP17'!Std10dot3Deposits, 4, 4, 1, 1) = 0, "", OFFSET('IWP17'!Std10dot3Deposits, 4, 4, 1, 1))</f>
        <v/>
      </c>
      <c r="E1934" s="207" t="str">
        <f ca="1">IF(OFFSET('IWP17'!Std10dot3Deposits, 4, 7, 1, 1) = 0, "", OFFSET('IWP17'!Std10dot3Deposits, 4, 7, 1, 1))</f>
        <v/>
      </c>
    </row>
    <row r="1935" spans="1:5">
      <c r="A1935" s="206" t="s">
        <v>1320</v>
      </c>
      <c r="B1935" s="157">
        <f ca="1">IF(OFFSET('IWP17'!Std10dot3Deposits, 5, 0, 1, 1) = DATE(1900,1,0),DATE(1900,1,1),OFFSET('IWP17'!Std10dot3Deposits, 5, 0, 1, 1))</f>
        <v>1</v>
      </c>
      <c r="C1935" s="155">
        <f ca="1">OFFSET('IWP17'!Std10dot3Deposits, 5, 2, 1, 1)</f>
        <v>0</v>
      </c>
      <c r="D1935" s="151" t="str">
        <f ca="1">IF(OFFSET('IWP17'!Std10dot3Deposits, 5, 4, 1, 1) = 0, "", OFFSET('IWP17'!Std10dot3Deposits, 5, 4, 1, 1))</f>
        <v/>
      </c>
      <c r="E1935" s="207" t="str">
        <f ca="1">IF(OFFSET('IWP17'!Std10dot3Deposits, 5, 7, 1, 1) = 0, "", OFFSET('IWP17'!Std10dot3Deposits, 5, 7, 1, 1))</f>
        <v/>
      </c>
    </row>
    <row r="1936" spans="1:5">
      <c r="A1936" s="206" t="s">
        <v>1320</v>
      </c>
      <c r="B1936" s="157">
        <f ca="1">IF(OFFSET('IWP17'!Std10dot3Deposits, 6, 0, 1, 1) = DATE(1900,1,0),DATE(1900,1,1),OFFSET('IWP17'!Std10dot3Deposits, 6, 0, 1, 1))</f>
        <v>1</v>
      </c>
      <c r="C1936" s="155">
        <f ca="1">OFFSET('IWP17'!Std10dot3Deposits, 6, 2, 1, 1)</f>
        <v>0</v>
      </c>
      <c r="D1936" s="151" t="str">
        <f ca="1">IF(OFFSET('IWP17'!Std10dot3Deposits, 6, 4, 1, 1) = 0, "", OFFSET('IWP17'!Std10dot3Deposits, 6, 4, 1, 1))</f>
        <v/>
      </c>
      <c r="E1936" s="207" t="str">
        <f ca="1">IF(OFFSET('IWP17'!Std10dot3Deposits, 6, 7, 1, 1) = 0, "", OFFSET('IWP17'!Std10dot3Deposits, 6, 7, 1, 1))</f>
        <v/>
      </c>
    </row>
    <row r="1937" spans="1:5">
      <c r="A1937" s="206" t="s">
        <v>1320</v>
      </c>
      <c r="B1937" s="157">
        <f ca="1">IF(OFFSET('IWP17'!Std10dot3Deposits, 7, 0, 1, 1) = DATE(1900,1,0),DATE(1900,1,1),OFFSET('IWP17'!Std10dot3Deposits, 7, 0, 1, 1))</f>
        <v>1</v>
      </c>
      <c r="C1937" s="155">
        <f ca="1">OFFSET('IWP17'!Std10dot3Deposits, 7, 2, 1, 1)</f>
        <v>0</v>
      </c>
      <c r="D1937" s="151" t="str">
        <f ca="1">IF(OFFSET('IWP17'!Std10dot3Deposits, 7, 4, 1, 1) = 0, "", OFFSET('IWP17'!Std10dot3Deposits, 7, 4, 1, 1))</f>
        <v/>
      </c>
      <c r="E1937" s="207" t="str">
        <f ca="1">IF(OFFSET('IWP17'!Std10dot3Deposits, 7, 7, 1, 1) = 0, "", OFFSET('IWP17'!Std10dot3Deposits, 7, 7, 1, 1))</f>
        <v/>
      </c>
    </row>
    <row r="1938" spans="1:5">
      <c r="A1938" s="206" t="s">
        <v>1320</v>
      </c>
      <c r="B1938" s="157">
        <f ca="1">IF(OFFSET('IWP17'!Std10dot3Deposits, 8, 0, 1, 1) = DATE(1900,1,0),DATE(1900,1,1),OFFSET('IWP17'!Std10dot3Deposits, 8, 0, 1, 1))</f>
        <v>1</v>
      </c>
      <c r="C1938" s="155">
        <f ca="1">OFFSET('IWP17'!Std10dot3Deposits, 8, 2, 1, 1)</f>
        <v>0</v>
      </c>
      <c r="D1938" s="151" t="str">
        <f ca="1">IF(OFFSET('IWP17'!Std10dot3Deposits, 8, 4, 1, 1) = 0, "", OFFSET('IWP17'!Std10dot3Deposits, 8, 4, 1, 1))</f>
        <v/>
      </c>
      <c r="E1938" s="207" t="str">
        <f ca="1">IF(OFFSET('IWP17'!Std10dot3Deposits, 8, 7, 1, 1) = 0, "", OFFSET('IWP17'!Std10dot3Deposits, 8, 7, 1, 1))</f>
        <v/>
      </c>
    </row>
    <row r="1939" spans="1:5">
      <c r="A1939" s="206" t="s">
        <v>1320</v>
      </c>
      <c r="B1939" s="157">
        <f ca="1">IF(OFFSET('IWP17'!Std10dot3Deposits, 9, 0, 1, 1) = DATE(1900,1,0),DATE(1900,1,1),OFFSET('IWP17'!Std10dot3Deposits, 9, 0, 1, 1))</f>
        <v>1</v>
      </c>
      <c r="C1939" s="155">
        <f ca="1">OFFSET('IWP17'!Std10dot3Deposits, 9, 2, 1, 1)</f>
        <v>0</v>
      </c>
      <c r="D1939" s="151" t="str">
        <f ca="1">IF(OFFSET('IWP17'!Std10dot3Deposits, 9, 4, 1, 1) = 0, "", OFFSET('IWP17'!Std10dot3Deposits, 9, 4, 1, 1))</f>
        <v/>
      </c>
      <c r="E1939" s="207" t="str">
        <f ca="1">IF(OFFSET('IWP17'!Std10dot3Deposits, 9, 7, 1, 1) = 0, "", OFFSET('IWP17'!Std10dot3Deposits, 9, 7, 1, 1))</f>
        <v/>
      </c>
    </row>
    <row r="1940" spans="1:5">
      <c r="A1940" s="206" t="s">
        <v>1321</v>
      </c>
      <c r="B1940" s="157">
        <f ca="1">IF(OFFSET('IWP18'!Std10dot3Deposits, 0, 0, 1, 1) = DATE(1900,1,0),DATE(1900,1,1),OFFSET('IWP18'!Std10dot3Deposits, 0, 0, 1, 1))</f>
        <v>1</v>
      </c>
      <c r="C1940" s="155">
        <f ca="1">OFFSET('IWP18'!Std10dot3Deposits, 0, 2, 1, 1)</f>
        <v>0</v>
      </c>
      <c r="D1940" s="151" t="str">
        <f ca="1">IF(OFFSET('IWP18'!Std10dot3Deposits, 0, 4, 1, 1) = 0, "", OFFSET('IWP18'!Std10dot3Deposits, 0, 4, 1, 1))</f>
        <v/>
      </c>
      <c r="E1940" s="207" t="str">
        <f ca="1">IF(OFFSET('IWP18'!Std10dot3Deposits, 0, 7, 1, 1) = 0, "", OFFSET('IWP18'!Std10dot3Deposits, 0, 7, 1, 1))</f>
        <v/>
      </c>
    </row>
    <row r="1941" spans="1:5">
      <c r="A1941" s="206" t="s">
        <v>1321</v>
      </c>
      <c r="B1941" s="157">
        <f ca="1">IF(OFFSET('IWP18'!Std10dot3Deposits, 1, 0, 1, 1) = DATE(1900,1,0),DATE(1900,1,1),OFFSET('IWP18'!Std10dot3Deposits, 1, 0, 1, 1))</f>
        <v>1</v>
      </c>
      <c r="C1941" s="155">
        <f ca="1">OFFSET('IWP18'!Std10dot3Deposits, 1, 2, 1, 1)</f>
        <v>0</v>
      </c>
      <c r="D1941" s="151" t="str">
        <f ca="1">IF(OFFSET('IWP18'!Std10dot3Deposits, 1, 4, 1, 1) = 0, "", OFFSET('IWP18'!Std10dot3Deposits, 1, 4, 1, 1))</f>
        <v/>
      </c>
      <c r="E1941" s="207" t="str">
        <f ca="1">IF(OFFSET('IWP18'!Std10dot3Deposits, 1, 7, 1, 1) = 0, "", OFFSET('IWP18'!Std10dot3Deposits, 1, 7, 1, 1))</f>
        <v/>
      </c>
    </row>
    <row r="1942" spans="1:5">
      <c r="A1942" s="206" t="s">
        <v>1321</v>
      </c>
      <c r="B1942" s="157">
        <f ca="1">IF(OFFSET('IWP18'!Std10dot3Deposits, 2, 0, 1, 1) = DATE(1900,1,0),DATE(1900,1,1),OFFSET('IWP18'!Std10dot3Deposits, 2, 0, 1, 1))</f>
        <v>1</v>
      </c>
      <c r="C1942" s="155">
        <f ca="1">OFFSET('IWP18'!Std10dot3Deposits, 2, 2, 1, 1)</f>
        <v>0</v>
      </c>
      <c r="D1942" s="151" t="str">
        <f ca="1">IF(OFFSET('IWP18'!Std10dot3Deposits, 2, 4, 1, 1) = 0, "", OFFSET('IWP18'!Std10dot3Deposits, 2, 4, 1, 1))</f>
        <v/>
      </c>
      <c r="E1942" s="207" t="str">
        <f ca="1">IF(OFFSET('IWP18'!Std10dot3Deposits, 2, 7, 1, 1) = 0, "", OFFSET('IWP18'!Std10dot3Deposits, 2, 7, 1, 1))</f>
        <v/>
      </c>
    </row>
    <row r="1943" spans="1:5">
      <c r="A1943" s="206" t="s">
        <v>1321</v>
      </c>
      <c r="B1943" s="157">
        <f ca="1">IF(OFFSET('IWP18'!Std10dot3Deposits, 3, 0, 1, 1) = DATE(1900,1,0),DATE(1900,1,1),OFFSET('IWP18'!Std10dot3Deposits, 3, 0, 1, 1))</f>
        <v>1</v>
      </c>
      <c r="C1943" s="155">
        <f ca="1">OFFSET('IWP18'!Std10dot3Deposits, 3, 2, 1, 1)</f>
        <v>0</v>
      </c>
      <c r="D1943" s="151" t="str">
        <f ca="1">IF(OFFSET('IWP18'!Std10dot3Deposits, 3, 4, 1, 1) = 0, "", OFFSET('IWP18'!Std10dot3Deposits, 3, 4, 1, 1))</f>
        <v/>
      </c>
      <c r="E1943" s="207" t="str">
        <f ca="1">IF(OFFSET('IWP18'!Std10dot3Deposits, 3, 7, 1, 1) = 0, "", OFFSET('IWP18'!Std10dot3Deposits, 3, 7, 1, 1))</f>
        <v/>
      </c>
    </row>
    <row r="1944" spans="1:5">
      <c r="A1944" s="206" t="s">
        <v>1321</v>
      </c>
      <c r="B1944" s="157">
        <f ca="1">IF(OFFSET('IWP18'!Std10dot3Deposits, 4, 0, 1, 1) = DATE(1900,1,0),DATE(1900,1,1),OFFSET('IWP18'!Std10dot3Deposits, 4, 0, 1, 1))</f>
        <v>1</v>
      </c>
      <c r="C1944" s="155">
        <f ca="1">OFFSET('IWP18'!Std10dot3Deposits, 4, 2, 1, 1)</f>
        <v>0</v>
      </c>
      <c r="D1944" s="151" t="str">
        <f ca="1">IF(OFFSET('IWP18'!Std10dot3Deposits, 4, 4, 1, 1) = 0, "", OFFSET('IWP18'!Std10dot3Deposits, 4, 4, 1, 1))</f>
        <v/>
      </c>
      <c r="E1944" s="207" t="str">
        <f ca="1">IF(OFFSET('IWP18'!Std10dot3Deposits, 4, 7, 1, 1) = 0, "", OFFSET('IWP18'!Std10dot3Deposits, 4, 7, 1, 1))</f>
        <v/>
      </c>
    </row>
    <row r="1945" spans="1:5">
      <c r="A1945" s="206" t="s">
        <v>1321</v>
      </c>
      <c r="B1945" s="157">
        <f ca="1">IF(OFFSET('IWP18'!Std10dot3Deposits, 5, 0, 1, 1) = DATE(1900,1,0),DATE(1900,1,1),OFFSET('IWP18'!Std10dot3Deposits, 5, 0, 1, 1))</f>
        <v>1</v>
      </c>
      <c r="C1945" s="155">
        <f ca="1">OFFSET('IWP18'!Std10dot3Deposits, 5, 2, 1, 1)</f>
        <v>0</v>
      </c>
      <c r="D1945" s="151" t="str">
        <f ca="1">IF(OFFSET('IWP18'!Std10dot3Deposits, 5, 4, 1, 1) = 0, "", OFFSET('IWP18'!Std10dot3Deposits, 5, 4, 1, 1))</f>
        <v/>
      </c>
      <c r="E1945" s="207" t="str">
        <f ca="1">IF(OFFSET('IWP18'!Std10dot3Deposits, 5, 7, 1, 1) = 0, "", OFFSET('IWP18'!Std10dot3Deposits, 5, 7, 1, 1))</f>
        <v/>
      </c>
    </row>
    <row r="1946" spans="1:5">
      <c r="A1946" s="206" t="s">
        <v>1321</v>
      </c>
      <c r="B1946" s="157">
        <f ca="1">IF(OFFSET('IWP18'!Std10dot3Deposits, 6, 0, 1, 1) = DATE(1900,1,0),DATE(1900,1,1),OFFSET('IWP18'!Std10dot3Deposits, 6, 0, 1, 1))</f>
        <v>1</v>
      </c>
      <c r="C1946" s="155">
        <f ca="1">OFFSET('IWP18'!Std10dot3Deposits, 6, 2, 1, 1)</f>
        <v>0</v>
      </c>
      <c r="D1946" s="151" t="str">
        <f ca="1">IF(OFFSET('IWP18'!Std10dot3Deposits, 6, 4, 1, 1) = 0, "", OFFSET('IWP18'!Std10dot3Deposits, 6, 4, 1, 1))</f>
        <v/>
      </c>
      <c r="E1946" s="207" t="str">
        <f ca="1">IF(OFFSET('IWP18'!Std10dot3Deposits, 6, 7, 1, 1) = 0, "", OFFSET('IWP18'!Std10dot3Deposits, 6, 7, 1, 1))</f>
        <v/>
      </c>
    </row>
    <row r="1947" spans="1:5">
      <c r="A1947" s="206" t="s">
        <v>1321</v>
      </c>
      <c r="B1947" s="157">
        <f ca="1">IF(OFFSET('IWP18'!Std10dot3Deposits, 7, 0, 1, 1) = DATE(1900,1,0),DATE(1900,1,1),OFFSET('IWP18'!Std10dot3Deposits, 7, 0, 1, 1))</f>
        <v>1</v>
      </c>
      <c r="C1947" s="155">
        <f ca="1">OFFSET('IWP18'!Std10dot3Deposits, 7, 2, 1, 1)</f>
        <v>0</v>
      </c>
      <c r="D1947" s="151" t="str">
        <f ca="1">IF(OFFSET('IWP18'!Std10dot3Deposits, 7, 4, 1, 1) = 0, "", OFFSET('IWP18'!Std10dot3Deposits, 7, 4, 1, 1))</f>
        <v/>
      </c>
      <c r="E1947" s="207" t="str">
        <f ca="1">IF(OFFSET('IWP18'!Std10dot3Deposits, 7, 7, 1, 1) = 0, "", OFFSET('IWP18'!Std10dot3Deposits, 7, 7, 1, 1))</f>
        <v/>
      </c>
    </row>
    <row r="1948" spans="1:5">
      <c r="A1948" s="206" t="s">
        <v>1321</v>
      </c>
      <c r="B1948" s="157">
        <f ca="1">IF(OFFSET('IWP18'!Std10dot3Deposits, 8, 0, 1, 1) = DATE(1900,1,0),DATE(1900,1,1),OFFSET('IWP18'!Std10dot3Deposits, 8, 0, 1, 1))</f>
        <v>1</v>
      </c>
      <c r="C1948" s="155">
        <f ca="1">OFFSET('IWP18'!Std10dot3Deposits, 8, 2, 1, 1)</f>
        <v>0</v>
      </c>
      <c r="D1948" s="151" t="str">
        <f ca="1">IF(OFFSET('IWP18'!Std10dot3Deposits, 8, 4, 1, 1) = 0, "", OFFSET('IWP18'!Std10dot3Deposits, 8, 4, 1, 1))</f>
        <v/>
      </c>
      <c r="E1948" s="207" t="str">
        <f ca="1">IF(OFFSET('IWP18'!Std10dot3Deposits, 8, 7, 1, 1) = 0, "", OFFSET('IWP18'!Std10dot3Deposits, 8, 7, 1, 1))</f>
        <v/>
      </c>
    </row>
    <row r="1949" spans="1:5">
      <c r="A1949" s="206" t="s">
        <v>1321</v>
      </c>
      <c r="B1949" s="157">
        <f ca="1">IF(OFFSET('IWP18'!Std10dot3Deposits, 9, 0, 1, 1) = DATE(1900,1,0),DATE(1900,1,1),OFFSET('IWP18'!Std10dot3Deposits, 9, 0, 1, 1))</f>
        <v>1</v>
      </c>
      <c r="C1949" s="155">
        <f ca="1">OFFSET('IWP18'!Std10dot3Deposits, 9, 2, 1, 1)</f>
        <v>0</v>
      </c>
      <c r="D1949" s="151" t="str">
        <f ca="1">IF(OFFSET('IWP18'!Std10dot3Deposits, 9, 4, 1, 1) = 0, "", OFFSET('IWP18'!Std10dot3Deposits, 9, 4, 1, 1))</f>
        <v/>
      </c>
      <c r="E1949" s="207" t="str">
        <f ca="1">IF(OFFSET('IWP18'!Std10dot3Deposits, 9, 7, 1, 1) = 0, "", OFFSET('IWP18'!Std10dot3Deposits, 9, 7, 1, 1))</f>
        <v/>
      </c>
    </row>
    <row r="1950" spans="1:5">
      <c r="A1950" s="206" t="s">
        <v>1322</v>
      </c>
      <c r="B1950" s="157">
        <f ca="1">IF(OFFSET('IWP19'!Std10dot3Deposits, 0, 0, 1, 1) = DATE(1900,1,0),DATE(1900,1,1),OFFSET('IWP19'!Std10dot3Deposits, 0, 0, 1, 1))</f>
        <v>1</v>
      </c>
      <c r="C1950" s="155">
        <f ca="1">OFFSET('IWP19'!Std10dot3Deposits, 0, 2, 1, 1)</f>
        <v>0</v>
      </c>
      <c r="D1950" s="151" t="str">
        <f ca="1">IF(OFFSET('IWP19'!Std10dot3Deposits, 0, 4, 1, 1) = 0, "", OFFSET('IWP19'!Std10dot3Deposits, 0, 4, 1, 1))</f>
        <v/>
      </c>
      <c r="E1950" s="207" t="str">
        <f ca="1">IF(OFFSET('IWP19'!Std10dot3Deposits, 0, 7, 1, 1) = 0, "", OFFSET('IWP19'!Std10dot3Deposits, 0, 7, 1, 1))</f>
        <v/>
      </c>
    </row>
    <row r="1951" spans="1:5">
      <c r="A1951" s="206" t="s">
        <v>1322</v>
      </c>
      <c r="B1951" s="157">
        <f ca="1">IF(OFFSET('IWP19'!Std10dot3Deposits, 1, 0, 1, 1) = DATE(1900,1,0),DATE(1900,1,1),OFFSET('IWP19'!Std10dot3Deposits, 1, 0, 1, 1))</f>
        <v>1</v>
      </c>
      <c r="C1951" s="155">
        <f ca="1">OFFSET('IWP19'!Std10dot3Deposits, 1, 2, 1, 1)</f>
        <v>0</v>
      </c>
      <c r="D1951" s="151" t="str">
        <f ca="1">IF(OFFSET('IWP19'!Std10dot3Deposits, 1, 4, 1, 1) = 0, "", OFFSET('IWP19'!Std10dot3Deposits, 1, 4, 1, 1))</f>
        <v/>
      </c>
      <c r="E1951" s="207" t="str">
        <f ca="1">IF(OFFSET('IWP19'!Std10dot3Deposits, 1, 7, 1, 1) = 0, "", OFFSET('IWP19'!Std10dot3Deposits, 1, 7, 1, 1))</f>
        <v/>
      </c>
    </row>
    <row r="1952" spans="1:5">
      <c r="A1952" s="206" t="s">
        <v>1322</v>
      </c>
      <c r="B1952" s="157">
        <f ca="1">IF(OFFSET('IWP19'!Std10dot3Deposits, 2, 0, 1, 1) = DATE(1900,1,0),DATE(1900,1,1),OFFSET('IWP19'!Std10dot3Deposits, 2, 0, 1, 1))</f>
        <v>1</v>
      </c>
      <c r="C1952" s="155">
        <f ca="1">OFFSET('IWP19'!Std10dot3Deposits, 2, 2, 1, 1)</f>
        <v>0</v>
      </c>
      <c r="D1952" s="151" t="str">
        <f ca="1">IF(OFFSET('IWP19'!Std10dot3Deposits, 2, 4, 1, 1) = 0, "", OFFSET('IWP19'!Std10dot3Deposits, 2, 4, 1, 1))</f>
        <v/>
      </c>
      <c r="E1952" s="207" t="str">
        <f ca="1">IF(OFFSET('IWP19'!Std10dot3Deposits, 2, 7, 1, 1) = 0, "", OFFSET('IWP19'!Std10dot3Deposits, 2, 7, 1, 1))</f>
        <v/>
      </c>
    </row>
    <row r="1953" spans="1:5">
      <c r="A1953" s="206" t="s">
        <v>1322</v>
      </c>
      <c r="B1953" s="157">
        <f ca="1">IF(OFFSET('IWP19'!Std10dot3Deposits, 3, 0, 1, 1) = DATE(1900,1,0),DATE(1900,1,1),OFFSET('IWP19'!Std10dot3Deposits, 3, 0, 1, 1))</f>
        <v>1</v>
      </c>
      <c r="C1953" s="155">
        <f ca="1">OFFSET('IWP19'!Std10dot3Deposits, 3, 2, 1, 1)</f>
        <v>0</v>
      </c>
      <c r="D1953" s="151" t="str">
        <f ca="1">IF(OFFSET('IWP19'!Std10dot3Deposits, 3, 4, 1, 1) = 0, "", OFFSET('IWP19'!Std10dot3Deposits, 3, 4, 1, 1))</f>
        <v/>
      </c>
      <c r="E1953" s="207" t="str">
        <f ca="1">IF(OFFSET('IWP19'!Std10dot3Deposits, 3, 7, 1, 1) = 0, "", OFFSET('IWP19'!Std10dot3Deposits, 3, 7, 1, 1))</f>
        <v/>
      </c>
    </row>
    <row r="1954" spans="1:5">
      <c r="A1954" s="206" t="s">
        <v>1322</v>
      </c>
      <c r="B1954" s="157">
        <f ca="1">IF(OFFSET('IWP19'!Std10dot3Deposits, 4, 0, 1, 1) = DATE(1900,1,0),DATE(1900,1,1),OFFSET('IWP19'!Std10dot3Deposits, 4, 0, 1, 1))</f>
        <v>1</v>
      </c>
      <c r="C1954" s="155">
        <f ca="1">OFFSET('IWP19'!Std10dot3Deposits, 4, 2, 1, 1)</f>
        <v>0</v>
      </c>
      <c r="D1954" s="151" t="str">
        <f ca="1">IF(OFFSET('IWP19'!Std10dot3Deposits, 4, 4, 1, 1) = 0, "", OFFSET('IWP19'!Std10dot3Deposits, 4, 4, 1, 1))</f>
        <v/>
      </c>
      <c r="E1954" s="207" t="str">
        <f ca="1">IF(OFFSET('IWP19'!Std10dot3Deposits, 4, 7, 1, 1) = 0, "", OFFSET('IWP19'!Std10dot3Deposits, 4, 7, 1, 1))</f>
        <v/>
      </c>
    </row>
    <row r="1955" spans="1:5">
      <c r="A1955" s="206" t="s">
        <v>1322</v>
      </c>
      <c r="B1955" s="157">
        <f ca="1">IF(OFFSET('IWP19'!Std10dot3Deposits, 5, 0, 1, 1) = DATE(1900,1,0),DATE(1900,1,1),OFFSET('IWP19'!Std10dot3Deposits, 5, 0, 1, 1))</f>
        <v>1</v>
      </c>
      <c r="C1955" s="155">
        <f ca="1">OFFSET('IWP19'!Std10dot3Deposits, 5, 2, 1, 1)</f>
        <v>0</v>
      </c>
      <c r="D1955" s="151" t="str">
        <f ca="1">IF(OFFSET('IWP19'!Std10dot3Deposits, 5, 4, 1, 1) = 0, "", OFFSET('IWP19'!Std10dot3Deposits, 5, 4, 1, 1))</f>
        <v/>
      </c>
      <c r="E1955" s="207" t="str">
        <f ca="1">IF(OFFSET('IWP19'!Std10dot3Deposits, 5, 7, 1, 1) = 0, "", OFFSET('IWP19'!Std10dot3Deposits, 5, 7, 1, 1))</f>
        <v/>
      </c>
    </row>
    <row r="1956" spans="1:5">
      <c r="A1956" s="206" t="s">
        <v>1322</v>
      </c>
      <c r="B1956" s="157">
        <f ca="1">IF(OFFSET('IWP19'!Std10dot3Deposits, 6, 0, 1, 1) = DATE(1900,1,0),DATE(1900,1,1),OFFSET('IWP19'!Std10dot3Deposits, 6, 0, 1, 1))</f>
        <v>1</v>
      </c>
      <c r="C1956" s="155">
        <f ca="1">OFFSET('IWP19'!Std10dot3Deposits, 6, 2, 1, 1)</f>
        <v>0</v>
      </c>
      <c r="D1956" s="151" t="str">
        <f ca="1">IF(OFFSET('IWP19'!Std10dot3Deposits, 6, 4, 1, 1) = 0, "", OFFSET('IWP19'!Std10dot3Deposits, 6, 4, 1, 1))</f>
        <v/>
      </c>
      <c r="E1956" s="207" t="str">
        <f ca="1">IF(OFFSET('IWP19'!Std10dot3Deposits, 6, 7, 1, 1) = 0, "", OFFSET('IWP19'!Std10dot3Deposits, 6, 7, 1, 1))</f>
        <v/>
      </c>
    </row>
    <row r="1957" spans="1:5">
      <c r="A1957" s="206" t="s">
        <v>1322</v>
      </c>
      <c r="B1957" s="157">
        <f ca="1">IF(OFFSET('IWP19'!Std10dot3Deposits, 7, 0, 1, 1) = DATE(1900,1,0),DATE(1900,1,1),OFFSET('IWP19'!Std10dot3Deposits, 7, 0, 1, 1))</f>
        <v>1</v>
      </c>
      <c r="C1957" s="155">
        <f ca="1">OFFSET('IWP19'!Std10dot3Deposits, 7, 2, 1, 1)</f>
        <v>0</v>
      </c>
      <c r="D1957" s="151" t="str">
        <f ca="1">IF(OFFSET('IWP19'!Std10dot3Deposits, 7, 4, 1, 1) = 0, "", OFFSET('IWP19'!Std10dot3Deposits, 7, 4, 1, 1))</f>
        <v/>
      </c>
      <c r="E1957" s="207" t="str">
        <f ca="1">IF(OFFSET('IWP19'!Std10dot3Deposits, 7, 7, 1, 1) = 0, "", OFFSET('IWP19'!Std10dot3Deposits, 7, 7, 1, 1))</f>
        <v/>
      </c>
    </row>
    <row r="1958" spans="1:5">
      <c r="A1958" s="206" t="s">
        <v>1322</v>
      </c>
      <c r="B1958" s="157">
        <f ca="1">IF(OFFSET('IWP19'!Std10dot3Deposits, 8, 0, 1, 1) = DATE(1900,1,0),DATE(1900,1,1),OFFSET('IWP19'!Std10dot3Deposits, 8, 0, 1, 1))</f>
        <v>1</v>
      </c>
      <c r="C1958" s="155">
        <f ca="1">OFFSET('IWP19'!Std10dot3Deposits, 8, 2, 1, 1)</f>
        <v>0</v>
      </c>
      <c r="D1958" s="151" t="str">
        <f ca="1">IF(OFFSET('IWP19'!Std10dot3Deposits, 8, 4, 1, 1) = 0, "", OFFSET('IWP19'!Std10dot3Deposits, 8, 4, 1, 1))</f>
        <v/>
      </c>
      <c r="E1958" s="207" t="str">
        <f ca="1">IF(OFFSET('IWP19'!Std10dot3Deposits, 8, 7, 1, 1) = 0, "", OFFSET('IWP19'!Std10dot3Deposits, 8, 7, 1, 1))</f>
        <v/>
      </c>
    </row>
    <row r="1959" spans="1:5">
      <c r="A1959" s="206" t="s">
        <v>1322</v>
      </c>
      <c r="B1959" s="157">
        <f ca="1">IF(OFFSET('IWP19'!Std10dot3Deposits, 9, 0, 1, 1) = DATE(1900,1,0),DATE(1900,1,1),OFFSET('IWP19'!Std10dot3Deposits, 9, 0, 1, 1))</f>
        <v>1</v>
      </c>
      <c r="C1959" s="155">
        <f ca="1">OFFSET('IWP19'!Std10dot3Deposits, 9, 2, 1, 1)</f>
        <v>0</v>
      </c>
      <c r="D1959" s="151" t="str">
        <f ca="1">IF(OFFSET('IWP19'!Std10dot3Deposits, 9, 4, 1, 1) = 0, "", OFFSET('IWP19'!Std10dot3Deposits, 9, 4, 1, 1))</f>
        <v/>
      </c>
      <c r="E1959" s="207" t="str">
        <f ca="1">IF(OFFSET('IWP19'!Std10dot3Deposits, 9, 7, 1, 1) = 0, "", OFFSET('IWP19'!Std10dot3Deposits, 9, 7, 1, 1))</f>
        <v/>
      </c>
    </row>
    <row r="1960" spans="1:5">
      <c r="A1960" s="206" t="s">
        <v>1323</v>
      </c>
      <c r="B1960" s="157">
        <f ca="1">IF(OFFSET('IWP20'!Std10dot3Deposits, 0, 0, 1, 1) = DATE(1900,1,0),DATE(1900,1,1),OFFSET('IWP20'!Std10dot3Deposits, 0, 0, 1, 1))</f>
        <v>1</v>
      </c>
      <c r="C1960" s="155">
        <f ca="1">OFFSET('IWP20'!Std10dot3Deposits, 0, 2, 1, 1)</f>
        <v>0</v>
      </c>
      <c r="D1960" s="151" t="str">
        <f ca="1">IF(OFFSET('IWP20'!Std10dot3Deposits, 0, 4, 1, 1) = 0, "", OFFSET('IWP20'!Std10dot3Deposits, 0, 4, 1, 1))</f>
        <v/>
      </c>
      <c r="E1960" s="207" t="str">
        <f ca="1">IF(OFFSET('IWP20'!Std10dot3Deposits, 0, 7, 1, 1) = 0, "", OFFSET('IWP20'!Std10dot3Deposits, 0, 7, 1, 1))</f>
        <v/>
      </c>
    </row>
    <row r="1961" spans="1:5">
      <c r="A1961" s="206" t="s">
        <v>1323</v>
      </c>
      <c r="B1961" s="157">
        <f ca="1">IF(OFFSET('IWP20'!Std10dot3Deposits, 1, 0, 1, 1) = DATE(1900,1,0),DATE(1900,1,1),OFFSET('IWP20'!Std10dot3Deposits, 1, 0, 1, 1))</f>
        <v>1</v>
      </c>
      <c r="C1961" s="155">
        <f ca="1">OFFSET('IWP20'!Std10dot3Deposits, 1, 2, 1, 1)</f>
        <v>0</v>
      </c>
      <c r="D1961" s="151" t="str">
        <f ca="1">IF(OFFSET('IWP20'!Std10dot3Deposits, 1, 4, 1, 1) = 0, "", OFFSET('IWP20'!Std10dot3Deposits, 1, 4, 1, 1))</f>
        <v/>
      </c>
      <c r="E1961" s="207" t="str">
        <f ca="1">IF(OFFSET('IWP20'!Std10dot3Deposits, 1, 7, 1, 1) = 0, "", OFFSET('IWP20'!Std10dot3Deposits, 1, 7, 1, 1))</f>
        <v/>
      </c>
    </row>
    <row r="1962" spans="1:5">
      <c r="A1962" s="206" t="s">
        <v>1323</v>
      </c>
      <c r="B1962" s="157">
        <f ca="1">IF(OFFSET('IWP20'!Std10dot3Deposits, 2, 0, 1, 1) = DATE(1900,1,0),DATE(1900,1,1),OFFSET('IWP20'!Std10dot3Deposits, 2, 0, 1, 1))</f>
        <v>1</v>
      </c>
      <c r="C1962" s="155">
        <f ca="1">OFFSET('IWP20'!Std10dot3Deposits, 2, 2, 1, 1)</f>
        <v>0</v>
      </c>
      <c r="D1962" s="151" t="str">
        <f ca="1">IF(OFFSET('IWP20'!Std10dot3Deposits, 2, 4, 1, 1) = 0, "", OFFSET('IWP20'!Std10dot3Deposits, 2, 4, 1, 1))</f>
        <v/>
      </c>
      <c r="E1962" s="207" t="str">
        <f ca="1">IF(OFFSET('IWP20'!Std10dot3Deposits, 2, 7, 1, 1) = 0, "", OFFSET('IWP20'!Std10dot3Deposits, 2, 7, 1, 1))</f>
        <v/>
      </c>
    </row>
    <row r="1963" spans="1:5">
      <c r="A1963" s="206" t="s">
        <v>1323</v>
      </c>
      <c r="B1963" s="157">
        <f ca="1">IF(OFFSET('IWP20'!Std10dot3Deposits, 3, 0, 1, 1) = DATE(1900,1,0),DATE(1900,1,1),OFFSET('IWP20'!Std10dot3Deposits, 3, 0, 1, 1))</f>
        <v>1</v>
      </c>
      <c r="C1963" s="155">
        <f ca="1">OFFSET('IWP20'!Std10dot3Deposits, 3, 2, 1, 1)</f>
        <v>0</v>
      </c>
      <c r="D1963" s="151" t="str">
        <f ca="1">IF(OFFSET('IWP20'!Std10dot3Deposits, 3, 4, 1, 1) = 0, "", OFFSET('IWP20'!Std10dot3Deposits, 3, 4, 1, 1))</f>
        <v/>
      </c>
      <c r="E1963" s="207" t="str">
        <f ca="1">IF(OFFSET('IWP20'!Std10dot3Deposits, 3, 7, 1, 1) = 0, "", OFFSET('IWP20'!Std10dot3Deposits, 3, 7, 1, 1))</f>
        <v/>
      </c>
    </row>
    <row r="1964" spans="1:5">
      <c r="A1964" s="206" t="s">
        <v>1323</v>
      </c>
      <c r="B1964" s="157">
        <f ca="1">IF(OFFSET('IWP20'!Std10dot3Deposits, 4, 0, 1, 1) = DATE(1900,1,0),DATE(1900,1,1),OFFSET('IWP20'!Std10dot3Deposits, 4, 0, 1, 1))</f>
        <v>1</v>
      </c>
      <c r="C1964" s="155">
        <f ca="1">OFFSET('IWP20'!Std10dot3Deposits, 4, 2, 1, 1)</f>
        <v>0</v>
      </c>
      <c r="D1964" s="151" t="str">
        <f ca="1">IF(OFFSET('IWP20'!Std10dot3Deposits, 4, 4, 1, 1) = 0, "", OFFSET('IWP20'!Std10dot3Deposits, 4, 4, 1, 1))</f>
        <v/>
      </c>
      <c r="E1964" s="207" t="str">
        <f ca="1">IF(OFFSET('IWP20'!Std10dot3Deposits, 4, 7, 1, 1) = 0, "", OFFSET('IWP20'!Std10dot3Deposits, 4, 7, 1, 1))</f>
        <v/>
      </c>
    </row>
    <row r="1965" spans="1:5">
      <c r="A1965" s="206" t="s">
        <v>1323</v>
      </c>
      <c r="B1965" s="157">
        <f ca="1">IF(OFFSET('IWP20'!Std10dot3Deposits, 5, 0, 1, 1) = DATE(1900,1,0),DATE(1900,1,1),OFFSET('IWP20'!Std10dot3Deposits, 5, 0, 1, 1))</f>
        <v>1</v>
      </c>
      <c r="C1965" s="155">
        <f ca="1">OFFSET('IWP20'!Std10dot3Deposits, 5, 2, 1, 1)</f>
        <v>0</v>
      </c>
      <c r="D1965" s="151" t="str">
        <f ca="1">IF(OFFSET('IWP20'!Std10dot3Deposits, 5, 4, 1, 1) = 0, "", OFFSET('IWP20'!Std10dot3Deposits, 5, 4, 1, 1))</f>
        <v/>
      </c>
      <c r="E1965" s="207" t="str">
        <f ca="1">IF(OFFSET('IWP20'!Std10dot3Deposits, 5, 7, 1, 1) = 0, "", OFFSET('IWP20'!Std10dot3Deposits, 5, 7, 1, 1))</f>
        <v/>
      </c>
    </row>
    <row r="1966" spans="1:5">
      <c r="A1966" s="206" t="s">
        <v>1323</v>
      </c>
      <c r="B1966" s="157">
        <f ca="1">IF(OFFSET('IWP20'!Std10dot3Deposits, 6, 0, 1, 1) = DATE(1900,1,0),DATE(1900,1,1),OFFSET('IWP20'!Std10dot3Deposits, 6, 0, 1, 1))</f>
        <v>1</v>
      </c>
      <c r="C1966" s="155">
        <f ca="1">OFFSET('IWP20'!Std10dot3Deposits, 6, 2, 1, 1)</f>
        <v>0</v>
      </c>
      <c r="D1966" s="151" t="str">
        <f ca="1">IF(OFFSET('IWP20'!Std10dot3Deposits, 6, 4, 1, 1) = 0, "", OFFSET('IWP20'!Std10dot3Deposits, 6, 4, 1, 1))</f>
        <v/>
      </c>
      <c r="E1966" s="207" t="str">
        <f ca="1">IF(OFFSET('IWP20'!Std10dot3Deposits, 6, 7, 1, 1) = 0, "", OFFSET('IWP20'!Std10dot3Deposits, 6, 7, 1, 1))</f>
        <v/>
      </c>
    </row>
    <row r="1967" spans="1:5">
      <c r="A1967" s="206" t="s">
        <v>1323</v>
      </c>
      <c r="B1967" s="157">
        <f ca="1">IF(OFFSET('IWP20'!Std10dot3Deposits, 7, 0, 1, 1) = DATE(1900,1,0),DATE(1900,1,1),OFFSET('IWP20'!Std10dot3Deposits, 7, 0, 1, 1))</f>
        <v>1</v>
      </c>
      <c r="C1967" s="155">
        <f ca="1">OFFSET('IWP20'!Std10dot3Deposits, 7, 2, 1, 1)</f>
        <v>0</v>
      </c>
      <c r="D1967" s="151" t="str">
        <f ca="1">IF(OFFSET('IWP20'!Std10dot3Deposits, 7, 4, 1, 1) = 0, "", OFFSET('IWP20'!Std10dot3Deposits, 7, 4, 1, 1))</f>
        <v/>
      </c>
      <c r="E1967" s="207" t="str">
        <f ca="1">IF(OFFSET('IWP20'!Std10dot3Deposits, 7, 7, 1, 1) = 0, "", OFFSET('IWP20'!Std10dot3Deposits, 7, 7, 1, 1))</f>
        <v/>
      </c>
    </row>
    <row r="1968" spans="1:5">
      <c r="A1968" s="206" t="s">
        <v>1323</v>
      </c>
      <c r="B1968" s="157">
        <f ca="1">IF(OFFSET('IWP20'!Std10dot3Deposits, 8, 0, 1, 1) = DATE(1900,1,0),DATE(1900,1,1),OFFSET('IWP20'!Std10dot3Deposits, 8, 0, 1, 1))</f>
        <v>1</v>
      </c>
      <c r="C1968" s="155">
        <f ca="1">OFFSET('IWP20'!Std10dot3Deposits, 8, 2, 1, 1)</f>
        <v>0</v>
      </c>
      <c r="D1968" s="151" t="str">
        <f ca="1">IF(OFFSET('IWP20'!Std10dot3Deposits, 8, 4, 1, 1) = 0, "", OFFSET('IWP20'!Std10dot3Deposits, 8, 4, 1, 1))</f>
        <v/>
      </c>
      <c r="E1968" s="207" t="str">
        <f ca="1">IF(OFFSET('IWP20'!Std10dot3Deposits, 8, 7, 1, 1) = 0, "", OFFSET('IWP20'!Std10dot3Deposits, 8, 7, 1, 1))</f>
        <v/>
      </c>
    </row>
    <row r="1969" spans="1:5">
      <c r="A1969" s="206" t="s">
        <v>1323</v>
      </c>
      <c r="B1969" s="157">
        <f ca="1">IF(OFFSET('IWP20'!Std10dot3Deposits, 9, 0, 1, 1) = DATE(1900,1,0),DATE(1900,1,1),OFFSET('IWP20'!Std10dot3Deposits, 9, 0, 1, 1))</f>
        <v>1</v>
      </c>
      <c r="C1969" s="155">
        <f ca="1">OFFSET('IWP20'!Std10dot3Deposits, 9, 2, 1, 1)</f>
        <v>0</v>
      </c>
      <c r="D1969" s="151" t="str">
        <f ca="1">IF(OFFSET('IWP20'!Std10dot3Deposits, 9, 4, 1, 1) = 0, "", OFFSET('IWP20'!Std10dot3Deposits, 9, 4, 1, 1))</f>
        <v/>
      </c>
      <c r="E1969" s="207" t="str">
        <f ca="1">IF(OFFSET('IWP20'!Std10dot3Deposits, 9, 7, 1, 1) = 0, "", OFFSET('IWP20'!Std10dot3Deposits, 9, 7, 1, 1))</f>
        <v/>
      </c>
    </row>
    <row r="1970" spans="1:5">
      <c r="A1970" s="206" t="s">
        <v>1324</v>
      </c>
      <c r="B1970" s="157">
        <f ca="1">IF(OFFSET('IWP21'!Std10dot3Deposits, 0, 0, 1, 1) = DATE(1900,1,0),DATE(1900,1,1),OFFSET('IWP21'!Std10dot3Deposits, 0, 0, 1, 1))</f>
        <v>1</v>
      </c>
      <c r="C1970" s="155">
        <f ca="1">OFFSET('IWP21'!Std10dot3Deposits, 0, 2, 1, 1)</f>
        <v>0</v>
      </c>
      <c r="D1970" s="151" t="str">
        <f ca="1">IF(OFFSET('IWP21'!Std10dot3Deposits, 0, 4, 1, 1) = 0, "", OFFSET('IWP21'!Std10dot3Deposits, 0, 4, 1, 1))</f>
        <v/>
      </c>
      <c r="E1970" s="207" t="str">
        <f ca="1">IF(OFFSET('IWP21'!Std10dot3Deposits, 0, 7, 1, 1) = 0, "", OFFSET('IWP21'!Std10dot3Deposits, 0, 7, 1, 1))</f>
        <v/>
      </c>
    </row>
    <row r="1971" spans="1:5">
      <c r="A1971" s="206" t="s">
        <v>1324</v>
      </c>
      <c r="B1971" s="157">
        <f ca="1">IF(OFFSET('IWP21'!Std10dot3Deposits, 1, 0, 1, 1) = DATE(1900,1,0),DATE(1900,1,1),OFFSET('IWP21'!Std10dot3Deposits, 1, 0, 1, 1))</f>
        <v>1</v>
      </c>
      <c r="C1971" s="155">
        <f ca="1">OFFSET('IWP21'!Std10dot3Deposits, 1, 2, 1, 1)</f>
        <v>0</v>
      </c>
      <c r="D1971" s="151" t="str">
        <f ca="1">IF(OFFSET('IWP21'!Std10dot3Deposits, 1, 4, 1, 1) = 0, "", OFFSET('IWP21'!Std10dot3Deposits, 1, 4, 1, 1))</f>
        <v/>
      </c>
      <c r="E1971" s="207" t="str">
        <f ca="1">IF(OFFSET('IWP21'!Std10dot3Deposits, 1, 7, 1, 1) = 0, "", OFFSET('IWP21'!Std10dot3Deposits, 1, 7, 1, 1))</f>
        <v/>
      </c>
    </row>
    <row r="1972" spans="1:5">
      <c r="A1972" s="206" t="s">
        <v>1324</v>
      </c>
      <c r="B1972" s="157">
        <f ca="1">IF(OFFSET('IWP21'!Std10dot3Deposits, 2, 0, 1, 1) = DATE(1900,1,0),DATE(1900,1,1),OFFSET('IWP21'!Std10dot3Deposits, 2, 0, 1, 1))</f>
        <v>1</v>
      </c>
      <c r="C1972" s="155">
        <f ca="1">OFFSET('IWP21'!Std10dot3Deposits, 2, 2, 1, 1)</f>
        <v>0</v>
      </c>
      <c r="D1972" s="151" t="str">
        <f ca="1">IF(OFFSET('IWP21'!Std10dot3Deposits, 2, 4, 1, 1) = 0, "", OFFSET('IWP21'!Std10dot3Deposits, 2, 4, 1, 1))</f>
        <v/>
      </c>
      <c r="E1972" s="207" t="str">
        <f ca="1">IF(OFFSET('IWP21'!Std10dot3Deposits, 2, 7, 1, 1) = 0, "", OFFSET('IWP21'!Std10dot3Deposits, 2, 7, 1, 1))</f>
        <v/>
      </c>
    </row>
    <row r="1973" spans="1:5">
      <c r="A1973" s="206" t="s">
        <v>1324</v>
      </c>
      <c r="B1973" s="157">
        <f ca="1">IF(OFFSET('IWP21'!Std10dot3Deposits, 3, 0, 1, 1) = DATE(1900,1,0),DATE(1900,1,1),OFFSET('IWP21'!Std10dot3Deposits, 3, 0, 1, 1))</f>
        <v>1</v>
      </c>
      <c r="C1973" s="155">
        <f ca="1">OFFSET('IWP21'!Std10dot3Deposits, 3, 2, 1, 1)</f>
        <v>0</v>
      </c>
      <c r="D1973" s="151" t="str">
        <f ca="1">IF(OFFSET('IWP21'!Std10dot3Deposits, 3, 4, 1, 1) = 0, "", OFFSET('IWP21'!Std10dot3Deposits, 3, 4, 1, 1))</f>
        <v/>
      </c>
      <c r="E1973" s="207" t="str">
        <f ca="1">IF(OFFSET('IWP21'!Std10dot3Deposits, 3, 7, 1, 1) = 0, "", OFFSET('IWP21'!Std10dot3Deposits, 3, 7, 1, 1))</f>
        <v/>
      </c>
    </row>
    <row r="1974" spans="1:5">
      <c r="A1974" s="206" t="s">
        <v>1324</v>
      </c>
      <c r="B1974" s="157">
        <f ca="1">IF(OFFSET('IWP21'!Std10dot3Deposits, 4, 0, 1, 1) = DATE(1900,1,0),DATE(1900,1,1),OFFSET('IWP21'!Std10dot3Deposits, 4, 0, 1, 1))</f>
        <v>1</v>
      </c>
      <c r="C1974" s="155">
        <f ca="1">OFFSET('IWP21'!Std10dot3Deposits, 4, 2, 1, 1)</f>
        <v>0</v>
      </c>
      <c r="D1974" s="151" t="str">
        <f ca="1">IF(OFFSET('IWP21'!Std10dot3Deposits, 4, 4, 1, 1) = 0, "", OFFSET('IWP21'!Std10dot3Deposits, 4, 4, 1, 1))</f>
        <v/>
      </c>
      <c r="E1974" s="207" t="str">
        <f ca="1">IF(OFFSET('IWP21'!Std10dot3Deposits, 4, 7, 1, 1) = 0, "", OFFSET('IWP21'!Std10dot3Deposits, 4, 7, 1, 1))</f>
        <v/>
      </c>
    </row>
    <row r="1975" spans="1:5">
      <c r="A1975" s="206" t="s">
        <v>1324</v>
      </c>
      <c r="B1975" s="157">
        <f ca="1">IF(OFFSET('IWP21'!Std10dot3Deposits, 5, 0, 1, 1) = DATE(1900,1,0),DATE(1900,1,1),OFFSET('IWP21'!Std10dot3Deposits, 5, 0, 1, 1))</f>
        <v>1</v>
      </c>
      <c r="C1975" s="155">
        <f ca="1">OFFSET('IWP21'!Std10dot3Deposits, 5, 2, 1, 1)</f>
        <v>0</v>
      </c>
      <c r="D1975" s="151" t="str">
        <f ca="1">IF(OFFSET('IWP21'!Std10dot3Deposits, 5, 4, 1, 1) = 0, "", OFFSET('IWP21'!Std10dot3Deposits, 5, 4, 1, 1))</f>
        <v/>
      </c>
      <c r="E1975" s="207" t="str">
        <f ca="1">IF(OFFSET('IWP21'!Std10dot3Deposits, 5, 7, 1, 1) = 0, "", OFFSET('IWP21'!Std10dot3Deposits, 5, 7, 1, 1))</f>
        <v/>
      </c>
    </row>
    <row r="1976" spans="1:5">
      <c r="A1976" s="206" t="s">
        <v>1324</v>
      </c>
      <c r="B1976" s="157">
        <f ca="1">IF(OFFSET('IWP21'!Std10dot3Deposits, 6, 0, 1, 1) = DATE(1900,1,0),DATE(1900,1,1),OFFSET('IWP21'!Std10dot3Deposits, 6, 0, 1, 1))</f>
        <v>1</v>
      </c>
      <c r="C1976" s="155">
        <f ca="1">OFFSET('IWP21'!Std10dot3Deposits, 6, 2, 1, 1)</f>
        <v>0</v>
      </c>
      <c r="D1976" s="151" t="str">
        <f ca="1">IF(OFFSET('IWP21'!Std10dot3Deposits, 6, 4, 1, 1) = 0, "", OFFSET('IWP21'!Std10dot3Deposits, 6, 4, 1, 1))</f>
        <v/>
      </c>
      <c r="E1976" s="207" t="str">
        <f ca="1">IF(OFFSET('IWP21'!Std10dot3Deposits, 6, 7, 1, 1) = 0, "", OFFSET('IWP21'!Std10dot3Deposits, 6, 7, 1, 1))</f>
        <v/>
      </c>
    </row>
    <row r="1977" spans="1:5">
      <c r="A1977" s="206" t="s">
        <v>1324</v>
      </c>
      <c r="B1977" s="157">
        <f ca="1">IF(OFFSET('IWP21'!Std10dot3Deposits, 7, 0, 1, 1) = DATE(1900,1,0),DATE(1900,1,1),OFFSET('IWP21'!Std10dot3Deposits, 7, 0, 1, 1))</f>
        <v>1</v>
      </c>
      <c r="C1977" s="155">
        <f ca="1">OFFSET('IWP21'!Std10dot3Deposits, 7, 2, 1, 1)</f>
        <v>0</v>
      </c>
      <c r="D1977" s="151" t="str">
        <f ca="1">IF(OFFSET('IWP21'!Std10dot3Deposits, 7, 4, 1, 1) = 0, "", OFFSET('IWP21'!Std10dot3Deposits, 7, 4, 1, 1))</f>
        <v/>
      </c>
      <c r="E1977" s="207" t="str">
        <f ca="1">IF(OFFSET('IWP21'!Std10dot3Deposits, 7, 7, 1, 1) = 0, "", OFFSET('IWP21'!Std10dot3Deposits, 7, 7, 1, 1))</f>
        <v/>
      </c>
    </row>
    <row r="1978" spans="1:5">
      <c r="A1978" s="206" t="s">
        <v>1324</v>
      </c>
      <c r="B1978" s="157">
        <f ca="1">IF(OFFSET('IWP21'!Std10dot3Deposits, 8, 0, 1, 1) = DATE(1900,1,0),DATE(1900,1,1),OFFSET('IWP21'!Std10dot3Deposits, 8, 0, 1, 1))</f>
        <v>1</v>
      </c>
      <c r="C1978" s="155">
        <f ca="1">OFFSET('IWP21'!Std10dot3Deposits, 8, 2, 1, 1)</f>
        <v>0</v>
      </c>
      <c r="D1978" s="151" t="str">
        <f ca="1">IF(OFFSET('IWP21'!Std10dot3Deposits, 8, 4, 1, 1) = 0, "", OFFSET('IWP21'!Std10dot3Deposits, 8, 4, 1, 1))</f>
        <v/>
      </c>
      <c r="E1978" s="207" t="str">
        <f ca="1">IF(OFFSET('IWP21'!Std10dot3Deposits, 8, 7, 1, 1) = 0, "", OFFSET('IWP21'!Std10dot3Deposits, 8, 7, 1, 1))</f>
        <v/>
      </c>
    </row>
    <row r="1979" spans="1:5">
      <c r="A1979" s="206" t="s">
        <v>1324</v>
      </c>
      <c r="B1979" s="157">
        <f ca="1">IF(OFFSET('IWP21'!Std10dot3Deposits, 9, 0, 1, 1) = DATE(1900,1,0),DATE(1900,1,1),OFFSET('IWP21'!Std10dot3Deposits, 9, 0, 1, 1))</f>
        <v>1</v>
      </c>
      <c r="C1979" s="155">
        <f ca="1">OFFSET('IWP21'!Std10dot3Deposits, 9, 2, 1, 1)</f>
        <v>0</v>
      </c>
      <c r="D1979" s="151" t="str">
        <f ca="1">IF(OFFSET('IWP21'!Std10dot3Deposits, 9, 4, 1, 1) = 0, "", OFFSET('IWP21'!Std10dot3Deposits, 9, 4, 1, 1))</f>
        <v/>
      </c>
      <c r="E1979" s="207" t="str">
        <f ca="1">IF(OFFSET('IWP21'!Std10dot3Deposits, 9, 7, 1, 1) = 0, "", OFFSET('IWP21'!Std10dot3Deposits, 9, 7, 1, 1))</f>
        <v/>
      </c>
    </row>
    <row r="1980" spans="1:5">
      <c r="A1980" s="206" t="s">
        <v>1325</v>
      </c>
      <c r="B1980" s="157">
        <f ca="1">IF(OFFSET('IWP22'!Std10dot3Deposits, 0, 0, 1, 1) = DATE(1900,1,0),DATE(1900,1,1),OFFSET('IWP22'!Std10dot3Deposits, 0, 0, 1, 1))</f>
        <v>1</v>
      </c>
      <c r="C1980" s="155">
        <f ca="1">OFFSET('IWP22'!Std10dot3Deposits, 0, 2, 1, 1)</f>
        <v>0</v>
      </c>
      <c r="D1980" s="151" t="str">
        <f ca="1">IF(OFFSET('IWP22'!Std10dot3Deposits, 0, 4, 1, 1) = 0, "", OFFSET('IWP22'!Std10dot3Deposits, 0, 4, 1, 1))</f>
        <v/>
      </c>
      <c r="E1980" s="207" t="str">
        <f ca="1">IF(OFFSET('IWP22'!Std10dot3Deposits, 0, 7, 1, 1) = 0, "", OFFSET('IWP22'!Std10dot3Deposits, 0, 7, 1, 1))</f>
        <v/>
      </c>
    </row>
    <row r="1981" spans="1:5">
      <c r="A1981" s="206" t="s">
        <v>1325</v>
      </c>
      <c r="B1981" s="157">
        <f ca="1">IF(OFFSET('IWP22'!Std10dot3Deposits, 1, 0, 1, 1) = DATE(1900,1,0),DATE(1900,1,1),OFFSET('IWP22'!Std10dot3Deposits, 1, 0, 1, 1))</f>
        <v>1</v>
      </c>
      <c r="C1981" s="155">
        <f ca="1">OFFSET('IWP22'!Std10dot3Deposits, 1, 2, 1, 1)</f>
        <v>0</v>
      </c>
      <c r="D1981" s="151" t="str">
        <f ca="1">IF(OFFSET('IWP22'!Std10dot3Deposits, 1, 4, 1, 1) = 0, "", OFFSET('IWP22'!Std10dot3Deposits, 1, 4, 1, 1))</f>
        <v/>
      </c>
      <c r="E1981" s="207" t="str">
        <f ca="1">IF(OFFSET('IWP22'!Std10dot3Deposits, 1, 7, 1, 1) = 0, "", OFFSET('IWP22'!Std10dot3Deposits, 1, 7, 1, 1))</f>
        <v/>
      </c>
    </row>
    <row r="1982" spans="1:5">
      <c r="A1982" s="206" t="s">
        <v>1325</v>
      </c>
      <c r="B1982" s="157">
        <f ca="1">IF(OFFSET('IWP22'!Std10dot3Deposits, 2, 0, 1, 1) = DATE(1900,1,0),DATE(1900,1,1),OFFSET('IWP22'!Std10dot3Deposits, 2, 0, 1, 1))</f>
        <v>1</v>
      </c>
      <c r="C1982" s="155">
        <f ca="1">OFFSET('IWP22'!Std10dot3Deposits, 2, 2, 1, 1)</f>
        <v>0</v>
      </c>
      <c r="D1982" s="151" t="str">
        <f ca="1">IF(OFFSET('IWP22'!Std10dot3Deposits, 2, 4, 1, 1) = 0, "", OFFSET('IWP22'!Std10dot3Deposits, 2, 4, 1, 1))</f>
        <v/>
      </c>
      <c r="E1982" s="207" t="str">
        <f ca="1">IF(OFFSET('IWP22'!Std10dot3Deposits, 2, 7, 1, 1) = 0, "", OFFSET('IWP22'!Std10dot3Deposits, 2, 7, 1, 1))</f>
        <v/>
      </c>
    </row>
    <row r="1983" spans="1:5">
      <c r="A1983" s="206" t="s">
        <v>1325</v>
      </c>
      <c r="B1983" s="157">
        <f ca="1">IF(OFFSET('IWP22'!Std10dot3Deposits, 3, 0, 1, 1) = DATE(1900,1,0),DATE(1900,1,1),OFFSET('IWP22'!Std10dot3Deposits, 3, 0, 1, 1))</f>
        <v>1</v>
      </c>
      <c r="C1983" s="155">
        <f ca="1">OFFSET('IWP22'!Std10dot3Deposits, 3, 2, 1, 1)</f>
        <v>0</v>
      </c>
      <c r="D1983" s="151" t="str">
        <f ca="1">IF(OFFSET('IWP22'!Std10dot3Deposits, 3, 4, 1, 1) = 0, "", OFFSET('IWP22'!Std10dot3Deposits, 3, 4, 1, 1))</f>
        <v/>
      </c>
      <c r="E1983" s="207" t="str">
        <f ca="1">IF(OFFSET('IWP22'!Std10dot3Deposits, 3, 7, 1, 1) = 0, "", OFFSET('IWP22'!Std10dot3Deposits, 3, 7, 1, 1))</f>
        <v/>
      </c>
    </row>
    <row r="1984" spans="1:5">
      <c r="A1984" s="206" t="s">
        <v>1325</v>
      </c>
      <c r="B1984" s="157">
        <f ca="1">IF(OFFSET('IWP22'!Std10dot3Deposits, 4, 0, 1, 1) = DATE(1900,1,0),DATE(1900,1,1),OFFSET('IWP22'!Std10dot3Deposits, 4, 0, 1, 1))</f>
        <v>1</v>
      </c>
      <c r="C1984" s="155">
        <f ca="1">OFFSET('IWP22'!Std10dot3Deposits, 4, 2, 1, 1)</f>
        <v>0</v>
      </c>
      <c r="D1984" s="151" t="str">
        <f ca="1">IF(OFFSET('IWP22'!Std10dot3Deposits, 4, 4, 1, 1) = 0, "", OFFSET('IWP22'!Std10dot3Deposits, 4, 4, 1, 1))</f>
        <v/>
      </c>
      <c r="E1984" s="207" t="str">
        <f ca="1">IF(OFFSET('IWP22'!Std10dot3Deposits, 4, 7, 1, 1) = 0, "", OFFSET('IWP22'!Std10dot3Deposits, 4, 7, 1, 1))</f>
        <v/>
      </c>
    </row>
    <row r="1985" spans="1:5">
      <c r="A1985" s="206" t="s">
        <v>1325</v>
      </c>
      <c r="B1985" s="157">
        <f ca="1">IF(OFFSET('IWP22'!Std10dot3Deposits, 5, 0, 1, 1) = DATE(1900,1,0),DATE(1900,1,1),OFFSET('IWP22'!Std10dot3Deposits, 5, 0, 1, 1))</f>
        <v>1</v>
      </c>
      <c r="C1985" s="155">
        <f ca="1">OFFSET('IWP22'!Std10dot3Deposits, 5, 2, 1, 1)</f>
        <v>0</v>
      </c>
      <c r="D1985" s="151" t="str">
        <f ca="1">IF(OFFSET('IWP22'!Std10dot3Deposits, 5, 4, 1, 1) = 0, "", OFFSET('IWP22'!Std10dot3Deposits, 5, 4, 1, 1))</f>
        <v/>
      </c>
      <c r="E1985" s="207" t="str">
        <f ca="1">IF(OFFSET('IWP22'!Std10dot3Deposits, 5, 7, 1, 1) = 0, "", OFFSET('IWP22'!Std10dot3Deposits, 5, 7, 1, 1))</f>
        <v/>
      </c>
    </row>
    <row r="1986" spans="1:5">
      <c r="A1986" s="206" t="s">
        <v>1325</v>
      </c>
      <c r="B1986" s="157">
        <f ca="1">IF(OFFSET('IWP22'!Std10dot3Deposits, 6, 0, 1, 1) = DATE(1900,1,0),DATE(1900,1,1),OFFSET('IWP22'!Std10dot3Deposits, 6, 0, 1, 1))</f>
        <v>1</v>
      </c>
      <c r="C1986" s="155">
        <f ca="1">OFFSET('IWP22'!Std10dot3Deposits, 6, 2, 1, 1)</f>
        <v>0</v>
      </c>
      <c r="D1986" s="151" t="str">
        <f ca="1">IF(OFFSET('IWP22'!Std10dot3Deposits, 6, 4, 1, 1) = 0, "", OFFSET('IWP22'!Std10dot3Deposits, 6, 4, 1, 1))</f>
        <v/>
      </c>
      <c r="E1986" s="207" t="str">
        <f ca="1">IF(OFFSET('IWP22'!Std10dot3Deposits, 6, 7, 1, 1) = 0, "", OFFSET('IWP22'!Std10dot3Deposits, 6, 7, 1, 1))</f>
        <v/>
      </c>
    </row>
    <row r="1987" spans="1:5">
      <c r="A1987" s="206" t="s">
        <v>1325</v>
      </c>
      <c r="B1987" s="157">
        <f ca="1">IF(OFFSET('IWP22'!Std10dot3Deposits, 7, 0, 1, 1) = DATE(1900,1,0),DATE(1900,1,1),OFFSET('IWP22'!Std10dot3Deposits, 7, 0, 1, 1))</f>
        <v>1</v>
      </c>
      <c r="C1987" s="155">
        <f ca="1">OFFSET('IWP22'!Std10dot3Deposits, 7, 2, 1, 1)</f>
        <v>0</v>
      </c>
      <c r="D1987" s="151" t="str">
        <f ca="1">IF(OFFSET('IWP22'!Std10dot3Deposits, 7, 4, 1, 1) = 0, "", OFFSET('IWP22'!Std10dot3Deposits, 7, 4, 1, 1))</f>
        <v/>
      </c>
      <c r="E1987" s="207" t="str">
        <f ca="1">IF(OFFSET('IWP22'!Std10dot3Deposits, 7, 7, 1, 1) = 0, "", OFFSET('IWP22'!Std10dot3Deposits, 7, 7, 1, 1))</f>
        <v/>
      </c>
    </row>
    <row r="1988" spans="1:5">
      <c r="A1988" s="206" t="s">
        <v>1325</v>
      </c>
      <c r="B1988" s="157">
        <f ca="1">IF(OFFSET('IWP22'!Std10dot3Deposits, 8, 0, 1, 1) = DATE(1900,1,0),DATE(1900,1,1),OFFSET('IWP22'!Std10dot3Deposits, 8, 0, 1, 1))</f>
        <v>1</v>
      </c>
      <c r="C1988" s="155">
        <f ca="1">OFFSET('IWP22'!Std10dot3Deposits, 8, 2, 1, 1)</f>
        <v>0</v>
      </c>
      <c r="D1988" s="151" t="str">
        <f ca="1">IF(OFFSET('IWP22'!Std10dot3Deposits, 8, 4, 1, 1) = 0, "", OFFSET('IWP22'!Std10dot3Deposits, 8, 4, 1, 1))</f>
        <v/>
      </c>
      <c r="E1988" s="207" t="str">
        <f ca="1">IF(OFFSET('IWP22'!Std10dot3Deposits, 8, 7, 1, 1) = 0, "", OFFSET('IWP22'!Std10dot3Deposits, 8, 7, 1, 1))</f>
        <v/>
      </c>
    </row>
    <row r="1989" spans="1:5">
      <c r="A1989" s="206" t="s">
        <v>1325</v>
      </c>
      <c r="B1989" s="157">
        <f ca="1">IF(OFFSET('IWP22'!Std10dot3Deposits, 9, 0, 1, 1) = DATE(1900,1,0),DATE(1900,1,1),OFFSET('IWP22'!Std10dot3Deposits, 9, 0, 1, 1))</f>
        <v>1</v>
      </c>
      <c r="C1989" s="155">
        <f ca="1">OFFSET('IWP22'!Std10dot3Deposits, 9, 2, 1, 1)</f>
        <v>0</v>
      </c>
      <c r="D1989" s="151" t="str">
        <f ca="1">IF(OFFSET('IWP22'!Std10dot3Deposits, 9, 4, 1, 1) = 0, "", OFFSET('IWP22'!Std10dot3Deposits, 9, 4, 1, 1))</f>
        <v/>
      </c>
      <c r="E1989" s="207" t="str">
        <f ca="1">IF(OFFSET('IWP22'!Std10dot3Deposits, 9, 7, 1, 1) = 0, "", OFFSET('IWP22'!Std10dot3Deposits, 9, 7, 1, 1))</f>
        <v/>
      </c>
    </row>
    <row r="1990" spans="1:5">
      <c r="A1990" s="206" t="s">
        <v>1326</v>
      </c>
      <c r="B1990" s="157">
        <f ca="1">IF(OFFSET('IWP23'!Std10dot3Deposits, 0, 0, 1, 1) = DATE(1900,1,0),DATE(1900,1,1),OFFSET('IWP23'!Std10dot3Deposits, 0, 0, 1, 1))</f>
        <v>1</v>
      </c>
      <c r="C1990" s="155">
        <f ca="1">OFFSET('IWP23'!Std10dot3Deposits, 0, 2, 1, 1)</f>
        <v>0</v>
      </c>
      <c r="D1990" s="151" t="str">
        <f ca="1">IF(OFFSET('IWP23'!Std10dot3Deposits, 0, 4, 1, 1) = 0, "", OFFSET('IWP23'!Std10dot3Deposits, 0, 4, 1, 1))</f>
        <v/>
      </c>
      <c r="E1990" s="207" t="str">
        <f ca="1">IF(OFFSET('IWP23'!Std10dot3Deposits, 0, 7, 1, 1) = 0, "", OFFSET('IWP23'!Std10dot3Deposits, 0, 7, 1, 1))</f>
        <v/>
      </c>
    </row>
    <row r="1991" spans="1:5">
      <c r="A1991" s="206" t="s">
        <v>1326</v>
      </c>
      <c r="B1991" s="157">
        <f ca="1">IF(OFFSET('IWP23'!Std10dot3Deposits, 1, 0, 1, 1) = DATE(1900,1,0),DATE(1900,1,1),OFFSET('IWP23'!Std10dot3Deposits, 1, 0, 1, 1))</f>
        <v>1</v>
      </c>
      <c r="C1991" s="155">
        <f ca="1">OFFSET('IWP23'!Std10dot3Deposits, 1, 2, 1, 1)</f>
        <v>0</v>
      </c>
      <c r="D1991" s="151" t="str">
        <f ca="1">IF(OFFSET('IWP23'!Std10dot3Deposits, 1, 4, 1, 1) = 0, "", OFFSET('IWP23'!Std10dot3Deposits, 1, 4, 1, 1))</f>
        <v/>
      </c>
      <c r="E1991" s="207" t="str">
        <f ca="1">IF(OFFSET('IWP23'!Std10dot3Deposits, 1, 7, 1, 1) = 0, "", OFFSET('IWP23'!Std10dot3Deposits, 1, 7, 1, 1))</f>
        <v/>
      </c>
    </row>
    <row r="1992" spans="1:5">
      <c r="A1992" s="206" t="s">
        <v>1326</v>
      </c>
      <c r="B1992" s="157">
        <f ca="1">IF(OFFSET('IWP23'!Std10dot3Deposits, 2, 0, 1, 1) = DATE(1900,1,0),DATE(1900,1,1),OFFSET('IWP23'!Std10dot3Deposits, 2, 0, 1, 1))</f>
        <v>1</v>
      </c>
      <c r="C1992" s="155">
        <f ca="1">OFFSET('IWP23'!Std10dot3Deposits, 2, 2, 1, 1)</f>
        <v>0</v>
      </c>
      <c r="D1992" s="151" t="str">
        <f ca="1">IF(OFFSET('IWP23'!Std10dot3Deposits, 2, 4, 1, 1) = 0, "", OFFSET('IWP23'!Std10dot3Deposits, 2, 4, 1, 1))</f>
        <v/>
      </c>
      <c r="E1992" s="207" t="str">
        <f ca="1">IF(OFFSET('IWP23'!Std10dot3Deposits, 2, 7, 1, 1) = 0, "", OFFSET('IWP23'!Std10dot3Deposits, 2, 7, 1, 1))</f>
        <v/>
      </c>
    </row>
    <row r="1993" spans="1:5">
      <c r="A1993" s="206" t="s">
        <v>1326</v>
      </c>
      <c r="B1993" s="157">
        <f ca="1">IF(OFFSET('IWP23'!Std10dot3Deposits, 3, 0, 1, 1) = DATE(1900,1,0),DATE(1900,1,1),OFFSET('IWP23'!Std10dot3Deposits, 3, 0, 1, 1))</f>
        <v>1</v>
      </c>
      <c r="C1993" s="155">
        <f ca="1">OFFSET('IWP23'!Std10dot3Deposits, 3, 2, 1, 1)</f>
        <v>0</v>
      </c>
      <c r="D1993" s="151" t="str">
        <f ca="1">IF(OFFSET('IWP23'!Std10dot3Deposits, 3, 4, 1, 1) = 0, "", OFFSET('IWP23'!Std10dot3Deposits, 3, 4, 1, 1))</f>
        <v/>
      </c>
      <c r="E1993" s="207" t="str">
        <f ca="1">IF(OFFSET('IWP23'!Std10dot3Deposits, 3, 7, 1, 1) = 0, "", OFFSET('IWP23'!Std10dot3Deposits, 3, 7, 1, 1))</f>
        <v/>
      </c>
    </row>
    <row r="1994" spans="1:5">
      <c r="A1994" s="206" t="s">
        <v>1326</v>
      </c>
      <c r="B1994" s="157">
        <f ca="1">IF(OFFSET('IWP23'!Std10dot3Deposits, 4, 0, 1, 1) = DATE(1900,1,0),DATE(1900,1,1),OFFSET('IWP23'!Std10dot3Deposits, 4, 0, 1, 1))</f>
        <v>1</v>
      </c>
      <c r="C1994" s="155">
        <f ca="1">OFFSET('IWP23'!Std10dot3Deposits, 4, 2, 1, 1)</f>
        <v>0</v>
      </c>
      <c r="D1994" s="151" t="str">
        <f ca="1">IF(OFFSET('IWP23'!Std10dot3Deposits, 4, 4, 1, 1) = 0, "", OFFSET('IWP23'!Std10dot3Deposits, 4, 4, 1, 1))</f>
        <v/>
      </c>
      <c r="E1994" s="207" t="str">
        <f ca="1">IF(OFFSET('IWP23'!Std10dot3Deposits, 4, 7, 1, 1) = 0, "", OFFSET('IWP23'!Std10dot3Deposits, 4, 7, 1, 1))</f>
        <v/>
      </c>
    </row>
    <row r="1995" spans="1:5">
      <c r="A1995" s="206" t="s">
        <v>1326</v>
      </c>
      <c r="B1995" s="157">
        <f ca="1">IF(OFFSET('IWP23'!Std10dot3Deposits, 5, 0, 1, 1) = DATE(1900,1,0),DATE(1900,1,1),OFFSET('IWP23'!Std10dot3Deposits, 5, 0, 1, 1))</f>
        <v>1</v>
      </c>
      <c r="C1995" s="155">
        <f ca="1">OFFSET('IWP23'!Std10dot3Deposits, 5, 2, 1, 1)</f>
        <v>0</v>
      </c>
      <c r="D1995" s="151" t="str">
        <f ca="1">IF(OFFSET('IWP23'!Std10dot3Deposits, 5, 4, 1, 1) = 0, "", OFFSET('IWP23'!Std10dot3Deposits, 5, 4, 1, 1))</f>
        <v/>
      </c>
      <c r="E1995" s="207" t="str">
        <f ca="1">IF(OFFSET('IWP23'!Std10dot3Deposits, 5, 7, 1, 1) = 0, "", OFFSET('IWP23'!Std10dot3Deposits, 5, 7, 1, 1))</f>
        <v/>
      </c>
    </row>
    <row r="1996" spans="1:5">
      <c r="A1996" s="206" t="s">
        <v>1326</v>
      </c>
      <c r="B1996" s="157">
        <f ca="1">IF(OFFSET('IWP23'!Std10dot3Deposits, 6, 0, 1, 1) = DATE(1900,1,0),DATE(1900,1,1),OFFSET('IWP23'!Std10dot3Deposits, 6, 0, 1, 1))</f>
        <v>1</v>
      </c>
      <c r="C1996" s="155">
        <f ca="1">OFFSET('IWP23'!Std10dot3Deposits, 6, 2, 1, 1)</f>
        <v>0</v>
      </c>
      <c r="D1996" s="151" t="str">
        <f ca="1">IF(OFFSET('IWP23'!Std10dot3Deposits, 6, 4, 1, 1) = 0, "", OFFSET('IWP23'!Std10dot3Deposits, 6, 4, 1, 1))</f>
        <v/>
      </c>
      <c r="E1996" s="207" t="str">
        <f ca="1">IF(OFFSET('IWP23'!Std10dot3Deposits, 6, 7, 1, 1) = 0, "", OFFSET('IWP23'!Std10dot3Deposits, 6, 7, 1, 1))</f>
        <v/>
      </c>
    </row>
    <row r="1997" spans="1:5">
      <c r="A1997" s="206" t="s">
        <v>1326</v>
      </c>
      <c r="B1997" s="157">
        <f ca="1">IF(OFFSET('IWP23'!Std10dot3Deposits, 7, 0, 1, 1) = DATE(1900,1,0),DATE(1900,1,1),OFFSET('IWP23'!Std10dot3Deposits, 7, 0, 1, 1))</f>
        <v>1</v>
      </c>
      <c r="C1997" s="155">
        <f ca="1">OFFSET('IWP23'!Std10dot3Deposits, 7, 2, 1, 1)</f>
        <v>0</v>
      </c>
      <c r="D1997" s="151" t="str">
        <f ca="1">IF(OFFSET('IWP23'!Std10dot3Deposits, 7, 4, 1, 1) = 0, "", OFFSET('IWP23'!Std10dot3Deposits, 7, 4, 1, 1))</f>
        <v/>
      </c>
      <c r="E1997" s="207" t="str">
        <f ca="1">IF(OFFSET('IWP23'!Std10dot3Deposits, 7, 7, 1, 1) = 0, "", OFFSET('IWP23'!Std10dot3Deposits, 7, 7, 1, 1))</f>
        <v/>
      </c>
    </row>
    <row r="1998" spans="1:5">
      <c r="A1998" s="206" t="s">
        <v>1326</v>
      </c>
      <c r="B1998" s="157">
        <f ca="1">IF(OFFSET('IWP23'!Std10dot3Deposits, 8, 0, 1, 1) = DATE(1900,1,0),DATE(1900,1,1),OFFSET('IWP23'!Std10dot3Deposits, 8, 0, 1, 1))</f>
        <v>1</v>
      </c>
      <c r="C1998" s="155">
        <f ca="1">OFFSET('IWP23'!Std10dot3Deposits, 8, 2, 1, 1)</f>
        <v>0</v>
      </c>
      <c r="D1998" s="151" t="str">
        <f ca="1">IF(OFFSET('IWP23'!Std10dot3Deposits, 8, 4, 1, 1) = 0, "", OFFSET('IWP23'!Std10dot3Deposits, 8, 4, 1, 1))</f>
        <v/>
      </c>
      <c r="E1998" s="207" t="str">
        <f ca="1">IF(OFFSET('IWP23'!Std10dot3Deposits, 8, 7, 1, 1) = 0, "", OFFSET('IWP23'!Std10dot3Deposits, 8, 7, 1, 1))</f>
        <v/>
      </c>
    </row>
    <row r="1999" spans="1:5">
      <c r="A1999" s="206" t="s">
        <v>1326</v>
      </c>
      <c r="B1999" s="157">
        <f ca="1">IF(OFFSET('IWP23'!Std10dot3Deposits, 9, 0, 1, 1) = DATE(1900,1,0),DATE(1900,1,1),OFFSET('IWP23'!Std10dot3Deposits, 9, 0, 1, 1))</f>
        <v>1</v>
      </c>
      <c r="C1999" s="155">
        <f ca="1">OFFSET('IWP23'!Std10dot3Deposits, 9, 2, 1, 1)</f>
        <v>0</v>
      </c>
      <c r="D1999" s="151" t="str">
        <f ca="1">IF(OFFSET('IWP23'!Std10dot3Deposits, 9, 4, 1, 1) = 0, "", OFFSET('IWP23'!Std10dot3Deposits, 9, 4, 1, 1))</f>
        <v/>
      </c>
      <c r="E1999" s="207" t="str">
        <f ca="1">IF(OFFSET('IWP23'!Std10dot3Deposits, 9, 7, 1, 1) = 0, "", OFFSET('IWP23'!Std10dot3Deposits, 9, 7, 1, 1))</f>
        <v/>
      </c>
    </row>
    <row r="2000" spans="1:5">
      <c r="A2000" s="206" t="s">
        <v>1327</v>
      </c>
      <c r="B2000" s="157">
        <f ca="1">IF(OFFSET('IWP24'!Std10dot3Deposits, 0, 0, 1, 1) = DATE(1900,1,0),DATE(1900,1,1),OFFSET('IWP24'!Std10dot3Deposits, 0, 0, 1, 1))</f>
        <v>1</v>
      </c>
      <c r="C2000" s="155">
        <f ca="1">OFFSET('IWP24'!Std10dot3Deposits, 0, 2, 1, 1)</f>
        <v>0</v>
      </c>
      <c r="D2000" s="151" t="str">
        <f ca="1">IF(OFFSET('IWP24'!Std10dot3Deposits, 0, 4, 1, 1) = 0, "", OFFSET('IWP24'!Std10dot3Deposits, 0, 4, 1, 1))</f>
        <v/>
      </c>
      <c r="E2000" s="207" t="str">
        <f ca="1">IF(OFFSET('IWP24'!Std10dot3Deposits, 0, 7, 1, 1) = 0, "", OFFSET('IWP24'!Std10dot3Deposits, 0, 7, 1, 1))</f>
        <v/>
      </c>
    </row>
    <row r="2001" spans="1:5">
      <c r="A2001" s="206" t="s">
        <v>1327</v>
      </c>
      <c r="B2001" s="157">
        <f ca="1">IF(OFFSET('IWP24'!Std10dot3Deposits, 1, 0, 1, 1) = DATE(1900,1,0),DATE(1900,1,1),OFFSET('IWP24'!Std10dot3Deposits, 1, 0, 1, 1))</f>
        <v>1</v>
      </c>
      <c r="C2001" s="155">
        <f ca="1">OFFSET('IWP24'!Std10dot3Deposits, 1, 2, 1, 1)</f>
        <v>0</v>
      </c>
      <c r="D2001" s="151" t="str">
        <f ca="1">IF(OFFSET('IWP24'!Std10dot3Deposits, 1, 4, 1, 1) = 0, "", OFFSET('IWP24'!Std10dot3Deposits, 1, 4, 1, 1))</f>
        <v/>
      </c>
      <c r="E2001" s="207" t="str">
        <f ca="1">IF(OFFSET('IWP24'!Std10dot3Deposits, 1, 7, 1, 1) = 0, "", OFFSET('IWP24'!Std10dot3Deposits, 1, 7, 1, 1))</f>
        <v/>
      </c>
    </row>
    <row r="2002" spans="1:5">
      <c r="A2002" s="206" t="s">
        <v>1327</v>
      </c>
      <c r="B2002" s="157">
        <f ca="1">IF(OFFSET('IWP24'!Std10dot3Deposits, 2, 0, 1, 1) = DATE(1900,1,0),DATE(1900,1,1),OFFSET('IWP24'!Std10dot3Deposits, 2, 0, 1, 1))</f>
        <v>1</v>
      </c>
      <c r="C2002" s="155">
        <f ca="1">OFFSET('IWP24'!Std10dot3Deposits, 2, 2, 1, 1)</f>
        <v>0</v>
      </c>
      <c r="D2002" s="151" t="str">
        <f ca="1">IF(OFFSET('IWP24'!Std10dot3Deposits, 2, 4, 1, 1) = 0, "", OFFSET('IWP24'!Std10dot3Deposits, 2, 4, 1, 1))</f>
        <v/>
      </c>
      <c r="E2002" s="207" t="str">
        <f ca="1">IF(OFFSET('IWP24'!Std10dot3Deposits, 2, 7, 1, 1) = 0, "", OFFSET('IWP24'!Std10dot3Deposits, 2, 7, 1, 1))</f>
        <v/>
      </c>
    </row>
    <row r="2003" spans="1:5">
      <c r="A2003" s="206" t="s">
        <v>1327</v>
      </c>
      <c r="B2003" s="157">
        <f ca="1">IF(OFFSET('IWP24'!Std10dot3Deposits, 3, 0, 1, 1) = DATE(1900,1,0),DATE(1900,1,1),OFFSET('IWP24'!Std10dot3Deposits, 3, 0, 1, 1))</f>
        <v>1</v>
      </c>
      <c r="C2003" s="155">
        <f ca="1">OFFSET('IWP24'!Std10dot3Deposits, 3, 2, 1, 1)</f>
        <v>0</v>
      </c>
      <c r="D2003" s="151" t="str">
        <f ca="1">IF(OFFSET('IWP24'!Std10dot3Deposits, 3, 4, 1, 1) = 0, "", OFFSET('IWP24'!Std10dot3Deposits, 3, 4, 1, 1))</f>
        <v/>
      </c>
      <c r="E2003" s="207" t="str">
        <f ca="1">IF(OFFSET('IWP24'!Std10dot3Deposits, 3, 7, 1, 1) = 0, "", OFFSET('IWP24'!Std10dot3Deposits, 3, 7, 1, 1))</f>
        <v/>
      </c>
    </row>
    <row r="2004" spans="1:5">
      <c r="A2004" s="206" t="s">
        <v>1327</v>
      </c>
      <c r="B2004" s="157">
        <f ca="1">IF(OFFSET('IWP24'!Std10dot3Deposits, 4, 0, 1, 1) = DATE(1900,1,0),DATE(1900,1,1),OFFSET('IWP24'!Std10dot3Deposits, 4, 0, 1, 1))</f>
        <v>1</v>
      </c>
      <c r="C2004" s="155">
        <f ca="1">OFFSET('IWP24'!Std10dot3Deposits, 4, 2, 1, 1)</f>
        <v>0</v>
      </c>
      <c r="D2004" s="151" t="str">
        <f ca="1">IF(OFFSET('IWP24'!Std10dot3Deposits, 4, 4, 1, 1) = 0, "", OFFSET('IWP24'!Std10dot3Deposits, 4, 4, 1, 1))</f>
        <v/>
      </c>
      <c r="E2004" s="207" t="str">
        <f ca="1">IF(OFFSET('IWP24'!Std10dot3Deposits, 4, 7, 1, 1) = 0, "", OFFSET('IWP24'!Std10dot3Deposits, 4, 7, 1, 1))</f>
        <v/>
      </c>
    </row>
    <row r="2005" spans="1:5">
      <c r="A2005" s="206" t="s">
        <v>1327</v>
      </c>
      <c r="B2005" s="157">
        <f ca="1">IF(OFFSET('IWP24'!Std10dot3Deposits, 5, 0, 1, 1) = DATE(1900,1,0),DATE(1900,1,1),OFFSET('IWP24'!Std10dot3Deposits, 5, 0, 1, 1))</f>
        <v>1</v>
      </c>
      <c r="C2005" s="155">
        <f ca="1">OFFSET('IWP24'!Std10dot3Deposits, 5, 2, 1, 1)</f>
        <v>0</v>
      </c>
      <c r="D2005" s="151" t="str">
        <f ca="1">IF(OFFSET('IWP24'!Std10dot3Deposits, 5, 4, 1, 1) = 0, "", OFFSET('IWP24'!Std10dot3Deposits, 5, 4, 1, 1))</f>
        <v/>
      </c>
      <c r="E2005" s="207" t="str">
        <f ca="1">IF(OFFSET('IWP24'!Std10dot3Deposits, 5, 7, 1, 1) = 0, "", OFFSET('IWP24'!Std10dot3Deposits, 5, 7, 1, 1))</f>
        <v/>
      </c>
    </row>
    <row r="2006" spans="1:5">
      <c r="A2006" s="206" t="s">
        <v>1327</v>
      </c>
      <c r="B2006" s="157">
        <f ca="1">IF(OFFSET('IWP24'!Std10dot3Deposits, 6, 0, 1, 1) = DATE(1900,1,0),DATE(1900,1,1),OFFSET('IWP24'!Std10dot3Deposits, 6, 0, 1, 1))</f>
        <v>1</v>
      </c>
      <c r="C2006" s="155">
        <f ca="1">OFFSET('IWP24'!Std10dot3Deposits, 6, 2, 1, 1)</f>
        <v>0</v>
      </c>
      <c r="D2006" s="151" t="str">
        <f ca="1">IF(OFFSET('IWP24'!Std10dot3Deposits, 6, 4, 1, 1) = 0, "", OFFSET('IWP24'!Std10dot3Deposits, 6, 4, 1, 1))</f>
        <v/>
      </c>
      <c r="E2006" s="207" t="str">
        <f ca="1">IF(OFFSET('IWP24'!Std10dot3Deposits, 6, 7, 1, 1) = 0, "", OFFSET('IWP24'!Std10dot3Deposits, 6, 7, 1, 1))</f>
        <v/>
      </c>
    </row>
    <row r="2007" spans="1:5">
      <c r="A2007" s="206" t="s">
        <v>1327</v>
      </c>
      <c r="B2007" s="157">
        <f ca="1">IF(OFFSET('IWP24'!Std10dot3Deposits, 7, 0, 1, 1) = DATE(1900,1,0),DATE(1900,1,1),OFFSET('IWP24'!Std10dot3Deposits, 7, 0, 1, 1))</f>
        <v>1</v>
      </c>
      <c r="C2007" s="155">
        <f ca="1">OFFSET('IWP24'!Std10dot3Deposits, 7, 2, 1, 1)</f>
        <v>0</v>
      </c>
      <c r="D2007" s="151" t="str">
        <f ca="1">IF(OFFSET('IWP24'!Std10dot3Deposits, 7, 4, 1, 1) = 0, "", OFFSET('IWP24'!Std10dot3Deposits, 7, 4, 1, 1))</f>
        <v/>
      </c>
      <c r="E2007" s="207" t="str">
        <f ca="1">IF(OFFSET('IWP24'!Std10dot3Deposits, 7, 7, 1, 1) = 0, "", OFFSET('IWP24'!Std10dot3Deposits, 7, 7, 1, 1))</f>
        <v/>
      </c>
    </row>
    <row r="2008" spans="1:5">
      <c r="A2008" s="206" t="s">
        <v>1327</v>
      </c>
      <c r="B2008" s="157">
        <f ca="1">IF(OFFSET('IWP24'!Std10dot3Deposits, 8, 0, 1, 1) = DATE(1900,1,0),DATE(1900,1,1),OFFSET('IWP24'!Std10dot3Deposits, 8, 0, 1, 1))</f>
        <v>1</v>
      </c>
      <c r="C2008" s="155">
        <f ca="1">OFFSET('IWP24'!Std10dot3Deposits, 8, 2, 1, 1)</f>
        <v>0</v>
      </c>
      <c r="D2008" s="151" t="str">
        <f ca="1">IF(OFFSET('IWP24'!Std10dot3Deposits, 8, 4, 1, 1) = 0, "", OFFSET('IWP24'!Std10dot3Deposits, 8, 4, 1, 1))</f>
        <v/>
      </c>
      <c r="E2008" s="207" t="str">
        <f ca="1">IF(OFFSET('IWP24'!Std10dot3Deposits, 8, 7, 1, 1) = 0, "", OFFSET('IWP24'!Std10dot3Deposits, 8, 7, 1, 1))</f>
        <v/>
      </c>
    </row>
    <row r="2009" spans="1:5">
      <c r="A2009" s="206" t="s">
        <v>1327</v>
      </c>
      <c r="B2009" s="157">
        <f ca="1">IF(OFFSET('IWP24'!Std10dot3Deposits, 9, 0, 1, 1) = DATE(1900,1,0),DATE(1900,1,1),OFFSET('IWP24'!Std10dot3Deposits, 9, 0, 1, 1))</f>
        <v>1</v>
      </c>
      <c r="C2009" s="155">
        <f ca="1">OFFSET('IWP24'!Std10dot3Deposits, 9, 2, 1, 1)</f>
        <v>0</v>
      </c>
      <c r="D2009" s="151" t="str">
        <f ca="1">IF(OFFSET('IWP24'!Std10dot3Deposits, 9, 4, 1, 1) = 0, "", OFFSET('IWP24'!Std10dot3Deposits, 9, 4, 1, 1))</f>
        <v/>
      </c>
      <c r="E2009" s="207" t="str">
        <f ca="1">IF(OFFSET('IWP24'!Std10dot3Deposits, 9, 7, 1, 1) = 0, "", OFFSET('IWP24'!Std10dot3Deposits, 9, 7, 1, 1))</f>
        <v/>
      </c>
    </row>
    <row r="2010" spans="1:5">
      <c r="A2010" s="206" t="s">
        <v>1328</v>
      </c>
      <c r="B2010" s="157">
        <f ca="1">IF(OFFSET('IWP25'!Std10dot3Deposits, 0, 0, 1, 1) = DATE(1900,1,0),DATE(1900,1,1),OFFSET('IWP25'!Std10dot3Deposits, 0, 0, 1, 1))</f>
        <v>1</v>
      </c>
      <c r="C2010" s="155">
        <f ca="1">OFFSET('IWP25'!Std10dot3Deposits, 0, 2, 1, 1)</f>
        <v>0</v>
      </c>
      <c r="D2010" s="151" t="str">
        <f ca="1">IF(OFFSET('IWP25'!Std10dot3Deposits, 0, 4, 1, 1) = 0, "", OFFSET('IWP25'!Std10dot3Deposits, 0, 4, 1, 1))</f>
        <v/>
      </c>
      <c r="E2010" s="207" t="str">
        <f ca="1">IF(OFFSET('IWP25'!Std10dot3Deposits, 0, 7, 1, 1) = 0, "", OFFSET('IWP25'!Std10dot3Deposits, 0, 7, 1, 1))</f>
        <v/>
      </c>
    </row>
    <row r="2011" spans="1:5">
      <c r="A2011" s="206" t="s">
        <v>1328</v>
      </c>
      <c r="B2011" s="157">
        <f ca="1">IF(OFFSET('IWP25'!Std10dot3Deposits, 1, 0, 1, 1) = DATE(1900,1,0),DATE(1900,1,1),OFFSET('IWP25'!Std10dot3Deposits, 1, 0, 1, 1))</f>
        <v>1</v>
      </c>
      <c r="C2011" s="155">
        <f ca="1">OFFSET('IWP25'!Std10dot3Deposits, 1, 2, 1, 1)</f>
        <v>0</v>
      </c>
      <c r="D2011" s="151" t="str">
        <f ca="1">IF(OFFSET('IWP25'!Std10dot3Deposits, 1, 4, 1, 1) = 0, "", OFFSET('IWP25'!Std10dot3Deposits, 1, 4, 1, 1))</f>
        <v/>
      </c>
      <c r="E2011" s="207" t="str">
        <f ca="1">IF(OFFSET('IWP25'!Std10dot3Deposits, 1, 7, 1, 1) = 0, "", OFFSET('IWP25'!Std10dot3Deposits, 1, 7, 1, 1))</f>
        <v/>
      </c>
    </row>
    <row r="2012" spans="1:5">
      <c r="A2012" s="206" t="s">
        <v>1328</v>
      </c>
      <c r="B2012" s="157">
        <f ca="1">IF(OFFSET('IWP25'!Std10dot3Deposits, 2, 0, 1, 1) = DATE(1900,1,0),DATE(1900,1,1),OFFSET('IWP25'!Std10dot3Deposits, 2, 0, 1, 1))</f>
        <v>1</v>
      </c>
      <c r="C2012" s="155">
        <f ca="1">OFFSET('IWP25'!Std10dot3Deposits, 2, 2, 1, 1)</f>
        <v>0</v>
      </c>
      <c r="D2012" s="151" t="str">
        <f ca="1">IF(OFFSET('IWP25'!Std10dot3Deposits, 2, 4, 1, 1) = 0, "", OFFSET('IWP25'!Std10dot3Deposits, 2, 4, 1, 1))</f>
        <v/>
      </c>
      <c r="E2012" s="207" t="str">
        <f ca="1">IF(OFFSET('IWP25'!Std10dot3Deposits, 2, 7, 1, 1) = 0, "", OFFSET('IWP25'!Std10dot3Deposits, 2, 7, 1, 1))</f>
        <v/>
      </c>
    </row>
    <row r="2013" spans="1:5">
      <c r="A2013" s="206" t="s">
        <v>1328</v>
      </c>
      <c r="B2013" s="157">
        <f ca="1">IF(OFFSET('IWP25'!Std10dot3Deposits, 3, 0, 1, 1) = DATE(1900,1,0),DATE(1900,1,1),OFFSET('IWP25'!Std10dot3Deposits, 3, 0, 1, 1))</f>
        <v>1</v>
      </c>
      <c r="C2013" s="155">
        <f ca="1">OFFSET('IWP25'!Std10dot3Deposits, 3, 2, 1, 1)</f>
        <v>0</v>
      </c>
      <c r="D2013" s="151" t="str">
        <f ca="1">IF(OFFSET('IWP25'!Std10dot3Deposits, 3, 4, 1, 1) = 0, "", OFFSET('IWP25'!Std10dot3Deposits, 3, 4, 1, 1))</f>
        <v/>
      </c>
      <c r="E2013" s="207" t="str">
        <f ca="1">IF(OFFSET('IWP25'!Std10dot3Deposits, 3, 7, 1, 1) = 0, "", OFFSET('IWP25'!Std10dot3Deposits, 3, 7, 1, 1))</f>
        <v/>
      </c>
    </row>
    <row r="2014" spans="1:5">
      <c r="A2014" s="206" t="s">
        <v>1328</v>
      </c>
      <c r="B2014" s="157">
        <f ca="1">IF(OFFSET('IWP25'!Std10dot3Deposits, 4, 0, 1, 1) = DATE(1900,1,0),DATE(1900,1,1),OFFSET('IWP25'!Std10dot3Deposits, 4, 0, 1, 1))</f>
        <v>1</v>
      </c>
      <c r="C2014" s="155">
        <f ca="1">OFFSET('IWP25'!Std10dot3Deposits, 4, 2, 1, 1)</f>
        <v>0</v>
      </c>
      <c r="D2014" s="151" t="str">
        <f ca="1">IF(OFFSET('IWP25'!Std10dot3Deposits, 4, 4, 1, 1) = 0, "", OFFSET('IWP25'!Std10dot3Deposits, 4, 4, 1, 1))</f>
        <v/>
      </c>
      <c r="E2014" s="207" t="str">
        <f ca="1">IF(OFFSET('IWP25'!Std10dot3Deposits, 4, 7, 1, 1) = 0, "", OFFSET('IWP25'!Std10dot3Deposits, 4, 7, 1, 1))</f>
        <v/>
      </c>
    </row>
    <row r="2015" spans="1:5">
      <c r="A2015" s="206" t="s">
        <v>1328</v>
      </c>
      <c r="B2015" s="157">
        <f ca="1">IF(OFFSET('IWP25'!Std10dot3Deposits, 5, 0, 1, 1) = DATE(1900,1,0),DATE(1900,1,1),OFFSET('IWP25'!Std10dot3Deposits, 5, 0, 1, 1))</f>
        <v>1</v>
      </c>
      <c r="C2015" s="155">
        <f ca="1">OFFSET('IWP25'!Std10dot3Deposits, 5, 2, 1, 1)</f>
        <v>0</v>
      </c>
      <c r="D2015" s="151" t="str">
        <f ca="1">IF(OFFSET('IWP25'!Std10dot3Deposits, 5, 4, 1, 1) = 0, "", OFFSET('IWP25'!Std10dot3Deposits, 5, 4, 1, 1))</f>
        <v/>
      </c>
      <c r="E2015" s="207" t="str">
        <f ca="1">IF(OFFSET('IWP25'!Std10dot3Deposits, 5, 7, 1, 1) = 0, "", OFFSET('IWP25'!Std10dot3Deposits, 5, 7, 1, 1))</f>
        <v/>
      </c>
    </row>
    <row r="2016" spans="1:5">
      <c r="A2016" s="206" t="s">
        <v>1328</v>
      </c>
      <c r="B2016" s="157">
        <f ca="1">IF(OFFSET('IWP25'!Std10dot3Deposits, 6, 0, 1, 1) = DATE(1900,1,0),DATE(1900,1,1),OFFSET('IWP25'!Std10dot3Deposits, 6, 0, 1, 1))</f>
        <v>1</v>
      </c>
      <c r="C2016" s="155">
        <f ca="1">OFFSET('IWP25'!Std10dot3Deposits, 6, 2, 1, 1)</f>
        <v>0</v>
      </c>
      <c r="D2016" s="151" t="str">
        <f ca="1">IF(OFFSET('IWP25'!Std10dot3Deposits, 6, 4, 1, 1) = 0, "", OFFSET('IWP25'!Std10dot3Deposits, 6, 4, 1, 1))</f>
        <v/>
      </c>
      <c r="E2016" s="207" t="str">
        <f ca="1">IF(OFFSET('IWP25'!Std10dot3Deposits, 6, 7, 1, 1) = 0, "", OFFSET('IWP25'!Std10dot3Deposits, 6, 7, 1, 1))</f>
        <v/>
      </c>
    </row>
    <row r="2017" spans="1:5">
      <c r="A2017" s="206" t="s">
        <v>1328</v>
      </c>
      <c r="B2017" s="157">
        <f ca="1">IF(OFFSET('IWP25'!Std10dot3Deposits, 7, 0, 1, 1) = DATE(1900,1,0),DATE(1900,1,1),OFFSET('IWP25'!Std10dot3Deposits, 7, 0, 1, 1))</f>
        <v>1</v>
      </c>
      <c r="C2017" s="155">
        <f ca="1">OFFSET('IWP25'!Std10dot3Deposits, 7, 2, 1, 1)</f>
        <v>0</v>
      </c>
      <c r="D2017" s="151" t="str">
        <f ca="1">IF(OFFSET('IWP25'!Std10dot3Deposits, 7, 4, 1, 1) = 0, "", OFFSET('IWP25'!Std10dot3Deposits, 7, 4, 1, 1))</f>
        <v/>
      </c>
      <c r="E2017" s="207" t="str">
        <f ca="1">IF(OFFSET('IWP25'!Std10dot3Deposits, 7, 7, 1, 1) = 0, "", OFFSET('IWP25'!Std10dot3Deposits, 7, 7, 1, 1))</f>
        <v/>
      </c>
    </row>
    <row r="2018" spans="1:5">
      <c r="A2018" s="206" t="s">
        <v>1328</v>
      </c>
      <c r="B2018" s="157">
        <f ca="1">IF(OFFSET('IWP25'!Std10dot3Deposits, 8, 0, 1, 1) = DATE(1900,1,0),DATE(1900,1,1),OFFSET('IWP25'!Std10dot3Deposits, 8, 0, 1, 1))</f>
        <v>1</v>
      </c>
      <c r="C2018" s="155">
        <f ca="1">OFFSET('IWP25'!Std10dot3Deposits, 8, 2, 1, 1)</f>
        <v>0</v>
      </c>
      <c r="D2018" s="151" t="str">
        <f ca="1">IF(OFFSET('IWP25'!Std10dot3Deposits, 8, 4, 1, 1) = 0, "", OFFSET('IWP25'!Std10dot3Deposits, 8, 4, 1, 1))</f>
        <v/>
      </c>
      <c r="E2018" s="207" t="str">
        <f ca="1">IF(OFFSET('IWP25'!Std10dot3Deposits, 8, 7, 1, 1) = 0, "", OFFSET('IWP25'!Std10dot3Deposits, 8, 7, 1, 1))</f>
        <v/>
      </c>
    </row>
    <row r="2019" spans="1:5">
      <c r="A2019" s="206" t="s">
        <v>1328</v>
      </c>
      <c r="B2019" s="157">
        <f ca="1">IF(OFFSET('IWP25'!Std10dot3Deposits, 9, 0, 1, 1) = DATE(1900,1,0),DATE(1900,1,1),OFFSET('IWP25'!Std10dot3Deposits, 9, 0, 1, 1))</f>
        <v>1</v>
      </c>
      <c r="C2019" s="155">
        <f ca="1">OFFSET('IWP25'!Std10dot3Deposits, 9, 2, 1, 1)</f>
        <v>0</v>
      </c>
      <c r="D2019" s="151" t="str">
        <f ca="1">IF(OFFSET('IWP25'!Std10dot3Deposits, 9, 4, 1, 1) = 0, "", OFFSET('IWP25'!Std10dot3Deposits, 9, 4, 1, 1))</f>
        <v/>
      </c>
      <c r="E2019" s="207" t="str">
        <f ca="1">IF(OFFSET('IWP25'!Std10dot3Deposits, 9, 7, 1, 1) = 0, "", OFFSET('IWP25'!Std10dot3Deposits, 9, 7, 1, 1))</f>
        <v/>
      </c>
    </row>
    <row r="2020" spans="1:5">
      <c r="A2020" s="206" t="s">
        <v>1329</v>
      </c>
      <c r="B2020" s="157">
        <f ca="1">IF(OFFSET('IWP26'!Std10dot3Deposits, 0, 0, 1, 1) = DATE(1900,1,0),DATE(1900,1,1),OFFSET('IWP26'!Std10dot3Deposits, 0, 0, 1, 1))</f>
        <v>1</v>
      </c>
      <c r="C2020" s="155">
        <f ca="1">OFFSET('IWP26'!Std10dot3Deposits, 0, 2, 1, 1)</f>
        <v>0</v>
      </c>
      <c r="D2020" s="151" t="str">
        <f ca="1">IF(OFFSET('IWP26'!Std10dot3Deposits, 0, 4, 1, 1) = 0, "", OFFSET('IWP26'!Std10dot3Deposits, 0, 4, 1, 1))</f>
        <v/>
      </c>
      <c r="E2020" s="207" t="str">
        <f ca="1">IF(OFFSET('IWP26'!Std10dot3Deposits, 0, 7, 1, 1) = 0, "", OFFSET('IWP26'!Std10dot3Deposits, 0, 7, 1, 1))</f>
        <v/>
      </c>
    </row>
    <row r="2021" spans="1:5">
      <c r="A2021" s="206" t="s">
        <v>1329</v>
      </c>
      <c r="B2021" s="157">
        <f ca="1">IF(OFFSET('IWP26'!Std10dot3Deposits, 1, 0, 1, 1) = DATE(1900,1,0),DATE(1900,1,1),OFFSET('IWP26'!Std10dot3Deposits, 1, 0, 1, 1))</f>
        <v>1</v>
      </c>
      <c r="C2021" s="155">
        <f ca="1">OFFSET('IWP26'!Std10dot3Deposits, 1, 2, 1, 1)</f>
        <v>0</v>
      </c>
      <c r="D2021" s="151" t="str">
        <f ca="1">IF(OFFSET('IWP26'!Std10dot3Deposits, 1, 4, 1, 1) = 0, "", OFFSET('IWP26'!Std10dot3Deposits, 1, 4, 1, 1))</f>
        <v/>
      </c>
      <c r="E2021" s="207" t="str">
        <f ca="1">IF(OFFSET('IWP26'!Std10dot3Deposits, 1, 7, 1, 1) = 0, "", OFFSET('IWP26'!Std10dot3Deposits, 1, 7, 1, 1))</f>
        <v/>
      </c>
    </row>
    <row r="2022" spans="1:5">
      <c r="A2022" s="206" t="s">
        <v>1329</v>
      </c>
      <c r="B2022" s="157">
        <f ca="1">IF(OFFSET('IWP26'!Std10dot3Deposits, 2, 0, 1, 1) = DATE(1900,1,0),DATE(1900,1,1),OFFSET('IWP26'!Std10dot3Deposits, 2, 0, 1, 1))</f>
        <v>1</v>
      </c>
      <c r="C2022" s="155">
        <f ca="1">OFFSET('IWP26'!Std10dot3Deposits, 2, 2, 1, 1)</f>
        <v>0</v>
      </c>
      <c r="D2022" s="151" t="str">
        <f ca="1">IF(OFFSET('IWP26'!Std10dot3Deposits, 2, 4, 1, 1) = 0, "", OFFSET('IWP26'!Std10dot3Deposits, 2, 4, 1, 1))</f>
        <v/>
      </c>
      <c r="E2022" s="207" t="str">
        <f ca="1">IF(OFFSET('IWP26'!Std10dot3Deposits, 2, 7, 1, 1) = 0, "", OFFSET('IWP26'!Std10dot3Deposits, 2, 7, 1, 1))</f>
        <v/>
      </c>
    </row>
    <row r="2023" spans="1:5">
      <c r="A2023" s="206" t="s">
        <v>1329</v>
      </c>
      <c r="B2023" s="157">
        <f ca="1">IF(OFFSET('IWP26'!Std10dot3Deposits, 3, 0, 1, 1) = DATE(1900,1,0),DATE(1900,1,1),OFFSET('IWP26'!Std10dot3Deposits, 3, 0, 1, 1))</f>
        <v>1</v>
      </c>
      <c r="C2023" s="155">
        <f ca="1">OFFSET('IWP26'!Std10dot3Deposits, 3, 2, 1, 1)</f>
        <v>0</v>
      </c>
      <c r="D2023" s="151" t="str">
        <f ca="1">IF(OFFSET('IWP26'!Std10dot3Deposits, 3, 4, 1, 1) = 0, "", OFFSET('IWP26'!Std10dot3Deposits, 3, 4, 1, 1))</f>
        <v/>
      </c>
      <c r="E2023" s="207" t="str">
        <f ca="1">IF(OFFSET('IWP26'!Std10dot3Deposits, 3, 7, 1, 1) = 0, "", OFFSET('IWP26'!Std10dot3Deposits, 3, 7, 1, 1))</f>
        <v/>
      </c>
    </row>
    <row r="2024" spans="1:5">
      <c r="A2024" s="206" t="s">
        <v>1329</v>
      </c>
      <c r="B2024" s="157">
        <f ca="1">IF(OFFSET('IWP26'!Std10dot3Deposits, 4, 0, 1, 1) = DATE(1900,1,0),DATE(1900,1,1),OFFSET('IWP26'!Std10dot3Deposits, 4, 0, 1, 1))</f>
        <v>1</v>
      </c>
      <c r="C2024" s="155">
        <f ca="1">OFFSET('IWP26'!Std10dot3Deposits, 4, 2, 1, 1)</f>
        <v>0</v>
      </c>
      <c r="D2024" s="151" t="str">
        <f ca="1">IF(OFFSET('IWP26'!Std10dot3Deposits, 4, 4, 1, 1) = 0, "", OFFSET('IWP26'!Std10dot3Deposits, 4, 4, 1, 1))</f>
        <v/>
      </c>
      <c r="E2024" s="207" t="str">
        <f ca="1">IF(OFFSET('IWP26'!Std10dot3Deposits, 4, 7, 1, 1) = 0, "", OFFSET('IWP26'!Std10dot3Deposits, 4, 7, 1, 1))</f>
        <v/>
      </c>
    </row>
    <row r="2025" spans="1:5">
      <c r="A2025" s="206" t="s">
        <v>1329</v>
      </c>
      <c r="B2025" s="157">
        <f ca="1">IF(OFFSET('IWP26'!Std10dot3Deposits, 5, 0, 1, 1) = DATE(1900,1,0),DATE(1900,1,1),OFFSET('IWP26'!Std10dot3Deposits, 5, 0, 1, 1))</f>
        <v>1</v>
      </c>
      <c r="C2025" s="155">
        <f ca="1">OFFSET('IWP26'!Std10dot3Deposits, 5, 2, 1, 1)</f>
        <v>0</v>
      </c>
      <c r="D2025" s="151" t="str">
        <f ca="1">IF(OFFSET('IWP26'!Std10dot3Deposits, 5, 4, 1, 1) = 0, "", OFFSET('IWP26'!Std10dot3Deposits, 5, 4, 1, 1))</f>
        <v/>
      </c>
      <c r="E2025" s="207" t="str">
        <f ca="1">IF(OFFSET('IWP26'!Std10dot3Deposits, 5, 7, 1, 1) = 0, "", OFFSET('IWP26'!Std10dot3Deposits, 5, 7, 1, 1))</f>
        <v/>
      </c>
    </row>
    <row r="2026" spans="1:5">
      <c r="A2026" s="206" t="s">
        <v>1329</v>
      </c>
      <c r="B2026" s="157">
        <f ca="1">IF(OFFSET('IWP26'!Std10dot3Deposits, 6, 0, 1, 1) = DATE(1900,1,0),DATE(1900,1,1),OFFSET('IWP26'!Std10dot3Deposits, 6, 0, 1, 1))</f>
        <v>1</v>
      </c>
      <c r="C2026" s="155">
        <f ca="1">OFFSET('IWP26'!Std10dot3Deposits, 6, 2, 1, 1)</f>
        <v>0</v>
      </c>
      <c r="D2026" s="151" t="str">
        <f ca="1">IF(OFFSET('IWP26'!Std10dot3Deposits, 6, 4, 1, 1) = 0, "", OFFSET('IWP26'!Std10dot3Deposits, 6, 4, 1, 1))</f>
        <v/>
      </c>
      <c r="E2026" s="207" t="str">
        <f ca="1">IF(OFFSET('IWP26'!Std10dot3Deposits, 6, 7, 1, 1) = 0, "", OFFSET('IWP26'!Std10dot3Deposits, 6, 7, 1, 1))</f>
        <v/>
      </c>
    </row>
    <row r="2027" spans="1:5">
      <c r="A2027" s="206" t="s">
        <v>1329</v>
      </c>
      <c r="B2027" s="157">
        <f ca="1">IF(OFFSET('IWP26'!Std10dot3Deposits, 7, 0, 1, 1) = DATE(1900,1,0),DATE(1900,1,1),OFFSET('IWP26'!Std10dot3Deposits, 7, 0, 1, 1))</f>
        <v>1</v>
      </c>
      <c r="C2027" s="155">
        <f ca="1">OFFSET('IWP26'!Std10dot3Deposits, 7, 2, 1, 1)</f>
        <v>0</v>
      </c>
      <c r="D2027" s="151" t="str">
        <f ca="1">IF(OFFSET('IWP26'!Std10dot3Deposits, 7, 4, 1, 1) = 0, "", OFFSET('IWP26'!Std10dot3Deposits, 7, 4, 1, 1))</f>
        <v/>
      </c>
      <c r="E2027" s="207" t="str">
        <f ca="1">IF(OFFSET('IWP26'!Std10dot3Deposits, 7, 7, 1, 1) = 0, "", OFFSET('IWP26'!Std10dot3Deposits, 7, 7, 1, 1))</f>
        <v/>
      </c>
    </row>
    <row r="2028" spans="1:5">
      <c r="A2028" s="206" t="s">
        <v>1329</v>
      </c>
      <c r="B2028" s="157">
        <f ca="1">IF(OFFSET('IWP26'!Std10dot3Deposits, 8, 0, 1, 1) = DATE(1900,1,0),DATE(1900,1,1),OFFSET('IWP26'!Std10dot3Deposits, 8, 0, 1, 1))</f>
        <v>1</v>
      </c>
      <c r="C2028" s="155">
        <f ca="1">OFFSET('IWP26'!Std10dot3Deposits, 8, 2, 1, 1)</f>
        <v>0</v>
      </c>
      <c r="D2028" s="151" t="str">
        <f ca="1">IF(OFFSET('IWP26'!Std10dot3Deposits, 8, 4, 1, 1) = 0, "", OFFSET('IWP26'!Std10dot3Deposits, 8, 4, 1, 1))</f>
        <v/>
      </c>
      <c r="E2028" s="207" t="str">
        <f ca="1">IF(OFFSET('IWP26'!Std10dot3Deposits, 8, 7, 1, 1) = 0, "", OFFSET('IWP26'!Std10dot3Deposits, 8, 7, 1, 1))</f>
        <v/>
      </c>
    </row>
    <row r="2029" spans="1:5">
      <c r="A2029" s="206" t="s">
        <v>1329</v>
      </c>
      <c r="B2029" s="157">
        <f ca="1">IF(OFFSET('IWP26'!Std10dot3Deposits, 9, 0, 1, 1) = DATE(1900,1,0),DATE(1900,1,1),OFFSET('IWP26'!Std10dot3Deposits, 9, 0, 1, 1))</f>
        <v>1</v>
      </c>
      <c r="C2029" s="155">
        <f ca="1">OFFSET('IWP26'!Std10dot3Deposits, 9, 2, 1, 1)</f>
        <v>0</v>
      </c>
      <c r="D2029" s="151" t="str">
        <f ca="1">IF(OFFSET('IWP26'!Std10dot3Deposits, 9, 4, 1, 1) = 0, "", OFFSET('IWP26'!Std10dot3Deposits, 9, 4, 1, 1))</f>
        <v/>
      </c>
      <c r="E2029" s="207" t="str">
        <f ca="1">IF(OFFSET('IWP26'!Std10dot3Deposits, 9, 7, 1, 1) = 0, "", OFFSET('IWP26'!Std10dot3Deposits, 9, 7, 1, 1))</f>
        <v/>
      </c>
    </row>
    <row r="2030" spans="1:5">
      <c r="A2030" s="206" t="s">
        <v>1330</v>
      </c>
      <c r="B2030" s="157">
        <f ca="1">IF(OFFSET('IWP27'!Std10dot3Deposits, 0, 0, 1, 1) = DATE(1900,1,0),DATE(1900,1,1),OFFSET('IWP27'!Std10dot3Deposits, 0, 0, 1, 1))</f>
        <v>1</v>
      </c>
      <c r="C2030" s="155">
        <f ca="1">OFFSET('IWP27'!Std10dot3Deposits, 0, 2, 1, 1)</f>
        <v>0</v>
      </c>
      <c r="D2030" s="151" t="str">
        <f ca="1">IF(OFFSET('IWP27'!Std10dot3Deposits, 0, 4, 1, 1) = 0, "", OFFSET('IWP27'!Std10dot3Deposits, 0, 4, 1, 1))</f>
        <v/>
      </c>
      <c r="E2030" s="207" t="str">
        <f ca="1">IF(OFFSET('IWP27'!Std10dot3Deposits, 0, 7, 1, 1) = 0, "", OFFSET('IWP27'!Std10dot3Deposits, 0, 7, 1, 1))</f>
        <v/>
      </c>
    </row>
    <row r="2031" spans="1:5">
      <c r="A2031" s="206" t="s">
        <v>1330</v>
      </c>
      <c r="B2031" s="157">
        <f ca="1">IF(OFFSET('IWP27'!Std10dot3Deposits, 1, 0, 1, 1) = DATE(1900,1,0),DATE(1900,1,1),OFFSET('IWP27'!Std10dot3Deposits, 1, 0, 1, 1))</f>
        <v>1</v>
      </c>
      <c r="C2031" s="155">
        <f ca="1">OFFSET('IWP27'!Std10dot3Deposits, 1, 2, 1, 1)</f>
        <v>0</v>
      </c>
      <c r="D2031" s="151" t="str">
        <f ca="1">IF(OFFSET('IWP27'!Std10dot3Deposits, 1, 4, 1, 1) = 0, "", OFFSET('IWP27'!Std10dot3Deposits, 1, 4, 1, 1))</f>
        <v/>
      </c>
      <c r="E2031" s="207" t="str">
        <f ca="1">IF(OFFSET('IWP27'!Std10dot3Deposits, 1, 7, 1, 1) = 0, "", OFFSET('IWP27'!Std10dot3Deposits, 1, 7, 1, 1))</f>
        <v/>
      </c>
    </row>
    <row r="2032" spans="1:5">
      <c r="A2032" s="206" t="s">
        <v>1330</v>
      </c>
      <c r="B2032" s="157">
        <f ca="1">IF(OFFSET('IWP27'!Std10dot3Deposits, 2, 0, 1, 1) = DATE(1900,1,0),DATE(1900,1,1),OFFSET('IWP27'!Std10dot3Deposits, 2, 0, 1, 1))</f>
        <v>1</v>
      </c>
      <c r="C2032" s="155">
        <f ca="1">OFFSET('IWP27'!Std10dot3Deposits, 2, 2, 1, 1)</f>
        <v>0</v>
      </c>
      <c r="D2032" s="151" t="str">
        <f ca="1">IF(OFFSET('IWP27'!Std10dot3Deposits, 2, 4, 1, 1) = 0, "", OFFSET('IWP27'!Std10dot3Deposits, 2, 4, 1, 1))</f>
        <v/>
      </c>
      <c r="E2032" s="207" t="str">
        <f ca="1">IF(OFFSET('IWP27'!Std10dot3Deposits, 2, 7, 1, 1) = 0, "", OFFSET('IWP27'!Std10dot3Deposits, 2, 7, 1, 1))</f>
        <v/>
      </c>
    </row>
    <row r="2033" spans="1:5">
      <c r="A2033" s="206" t="s">
        <v>1330</v>
      </c>
      <c r="B2033" s="157">
        <f ca="1">IF(OFFSET('IWP27'!Std10dot3Deposits, 3, 0, 1, 1) = DATE(1900,1,0),DATE(1900,1,1),OFFSET('IWP27'!Std10dot3Deposits, 3, 0, 1, 1))</f>
        <v>1</v>
      </c>
      <c r="C2033" s="155">
        <f ca="1">OFFSET('IWP27'!Std10dot3Deposits, 3, 2, 1, 1)</f>
        <v>0</v>
      </c>
      <c r="D2033" s="151" t="str">
        <f ca="1">IF(OFFSET('IWP27'!Std10dot3Deposits, 3, 4, 1, 1) = 0, "", OFFSET('IWP27'!Std10dot3Deposits, 3, 4, 1, 1))</f>
        <v/>
      </c>
      <c r="E2033" s="207" t="str">
        <f ca="1">IF(OFFSET('IWP27'!Std10dot3Deposits, 3, 7, 1, 1) = 0, "", OFFSET('IWP27'!Std10dot3Deposits, 3, 7, 1, 1))</f>
        <v/>
      </c>
    </row>
    <row r="2034" spans="1:5">
      <c r="A2034" s="206" t="s">
        <v>1330</v>
      </c>
      <c r="B2034" s="157">
        <f ca="1">IF(OFFSET('IWP27'!Std10dot3Deposits, 4, 0, 1, 1) = DATE(1900,1,0),DATE(1900,1,1),OFFSET('IWP27'!Std10dot3Deposits, 4, 0, 1, 1))</f>
        <v>1</v>
      </c>
      <c r="C2034" s="155">
        <f ca="1">OFFSET('IWP27'!Std10dot3Deposits, 4, 2, 1, 1)</f>
        <v>0</v>
      </c>
      <c r="D2034" s="151" t="str">
        <f ca="1">IF(OFFSET('IWP27'!Std10dot3Deposits, 4, 4, 1, 1) = 0, "", OFFSET('IWP27'!Std10dot3Deposits, 4, 4, 1, 1))</f>
        <v/>
      </c>
      <c r="E2034" s="207" t="str">
        <f ca="1">IF(OFFSET('IWP27'!Std10dot3Deposits, 4, 7, 1, 1) = 0, "", OFFSET('IWP27'!Std10dot3Deposits, 4, 7, 1, 1))</f>
        <v/>
      </c>
    </row>
    <row r="2035" spans="1:5">
      <c r="A2035" s="206" t="s">
        <v>1330</v>
      </c>
      <c r="B2035" s="157">
        <f ca="1">IF(OFFSET('IWP27'!Std10dot3Deposits, 5, 0, 1, 1) = DATE(1900,1,0),DATE(1900,1,1),OFFSET('IWP27'!Std10dot3Deposits, 5, 0, 1, 1))</f>
        <v>1</v>
      </c>
      <c r="C2035" s="155">
        <f ca="1">OFFSET('IWP27'!Std10dot3Deposits, 5, 2, 1, 1)</f>
        <v>0</v>
      </c>
      <c r="D2035" s="151" t="str">
        <f ca="1">IF(OFFSET('IWP27'!Std10dot3Deposits, 5, 4, 1, 1) = 0, "", OFFSET('IWP27'!Std10dot3Deposits, 5, 4, 1, 1))</f>
        <v/>
      </c>
      <c r="E2035" s="207" t="str">
        <f ca="1">IF(OFFSET('IWP27'!Std10dot3Deposits, 5, 7, 1, 1) = 0, "", OFFSET('IWP27'!Std10dot3Deposits, 5, 7, 1, 1))</f>
        <v/>
      </c>
    </row>
    <row r="2036" spans="1:5">
      <c r="A2036" s="206" t="s">
        <v>1330</v>
      </c>
      <c r="B2036" s="157">
        <f ca="1">IF(OFFSET('IWP27'!Std10dot3Deposits, 6, 0, 1, 1) = DATE(1900,1,0),DATE(1900,1,1),OFFSET('IWP27'!Std10dot3Deposits, 6, 0, 1, 1))</f>
        <v>1</v>
      </c>
      <c r="C2036" s="155">
        <f ca="1">OFFSET('IWP27'!Std10dot3Deposits, 6, 2, 1, 1)</f>
        <v>0</v>
      </c>
      <c r="D2036" s="151" t="str">
        <f ca="1">IF(OFFSET('IWP27'!Std10dot3Deposits, 6, 4, 1, 1) = 0, "", OFFSET('IWP27'!Std10dot3Deposits, 6, 4, 1, 1))</f>
        <v/>
      </c>
      <c r="E2036" s="207" t="str">
        <f ca="1">IF(OFFSET('IWP27'!Std10dot3Deposits, 6, 7, 1, 1) = 0, "", OFFSET('IWP27'!Std10dot3Deposits, 6, 7, 1, 1))</f>
        <v/>
      </c>
    </row>
    <row r="2037" spans="1:5">
      <c r="A2037" s="206" t="s">
        <v>1330</v>
      </c>
      <c r="B2037" s="157">
        <f ca="1">IF(OFFSET('IWP27'!Std10dot3Deposits, 7, 0, 1, 1) = DATE(1900,1,0),DATE(1900,1,1),OFFSET('IWP27'!Std10dot3Deposits, 7, 0, 1, 1))</f>
        <v>1</v>
      </c>
      <c r="C2037" s="155">
        <f ca="1">OFFSET('IWP27'!Std10dot3Deposits, 7, 2, 1, 1)</f>
        <v>0</v>
      </c>
      <c r="D2037" s="151" t="str">
        <f ca="1">IF(OFFSET('IWP27'!Std10dot3Deposits, 7, 4, 1, 1) = 0, "", OFFSET('IWP27'!Std10dot3Deposits, 7, 4, 1, 1))</f>
        <v/>
      </c>
      <c r="E2037" s="207" t="str">
        <f ca="1">IF(OFFSET('IWP27'!Std10dot3Deposits, 7, 7, 1, 1) = 0, "", OFFSET('IWP27'!Std10dot3Deposits, 7, 7, 1, 1))</f>
        <v/>
      </c>
    </row>
    <row r="2038" spans="1:5">
      <c r="A2038" s="206" t="s">
        <v>1330</v>
      </c>
      <c r="B2038" s="157">
        <f ca="1">IF(OFFSET('IWP27'!Std10dot3Deposits, 8, 0, 1, 1) = DATE(1900,1,0),DATE(1900,1,1),OFFSET('IWP27'!Std10dot3Deposits, 8, 0, 1, 1))</f>
        <v>1</v>
      </c>
      <c r="C2038" s="155">
        <f ca="1">OFFSET('IWP27'!Std10dot3Deposits, 8, 2, 1, 1)</f>
        <v>0</v>
      </c>
      <c r="D2038" s="151" t="str">
        <f ca="1">IF(OFFSET('IWP27'!Std10dot3Deposits, 8, 4, 1, 1) = 0, "", OFFSET('IWP27'!Std10dot3Deposits, 8, 4, 1, 1))</f>
        <v/>
      </c>
      <c r="E2038" s="207" t="str">
        <f ca="1">IF(OFFSET('IWP27'!Std10dot3Deposits, 8, 7, 1, 1) = 0, "", OFFSET('IWP27'!Std10dot3Deposits, 8, 7, 1, 1))</f>
        <v/>
      </c>
    </row>
    <row r="2039" spans="1:5">
      <c r="A2039" s="206" t="s">
        <v>1330</v>
      </c>
      <c r="B2039" s="157">
        <f ca="1">IF(OFFSET('IWP27'!Std10dot3Deposits, 9, 0, 1, 1) = DATE(1900,1,0),DATE(1900,1,1),OFFSET('IWP27'!Std10dot3Deposits, 9, 0, 1, 1))</f>
        <v>1</v>
      </c>
      <c r="C2039" s="155">
        <f ca="1">OFFSET('IWP27'!Std10dot3Deposits, 9, 2, 1, 1)</f>
        <v>0</v>
      </c>
      <c r="D2039" s="151" t="str">
        <f ca="1">IF(OFFSET('IWP27'!Std10dot3Deposits, 9, 4, 1, 1) = 0, "", OFFSET('IWP27'!Std10dot3Deposits, 9, 4, 1, 1))</f>
        <v/>
      </c>
      <c r="E2039" s="207" t="str">
        <f ca="1">IF(OFFSET('IWP27'!Std10dot3Deposits, 9, 7, 1, 1) = 0, "", OFFSET('IWP27'!Std10dot3Deposits, 9, 7, 1, 1))</f>
        <v/>
      </c>
    </row>
    <row r="2040" spans="1:5">
      <c r="A2040" s="206" t="s">
        <v>1331</v>
      </c>
      <c r="B2040" s="157">
        <f ca="1">IF(OFFSET('IWP28'!Std10dot3Deposits, 0, 0, 1, 1) = DATE(1900,1,0),DATE(1900,1,1),OFFSET('IWP28'!Std10dot3Deposits, 0, 0, 1, 1))</f>
        <v>1</v>
      </c>
      <c r="C2040" s="155">
        <f ca="1">OFFSET('IWP28'!Std10dot3Deposits, 0, 2, 1, 1)</f>
        <v>0</v>
      </c>
      <c r="D2040" s="151" t="str">
        <f ca="1">IF(OFFSET('IWP28'!Std10dot3Deposits, 0, 4, 1, 1) = 0, "", OFFSET('IWP28'!Std10dot3Deposits, 0, 4, 1, 1))</f>
        <v/>
      </c>
      <c r="E2040" s="207" t="str">
        <f ca="1">IF(OFFSET('IWP28'!Std10dot3Deposits, 0, 7, 1, 1) = 0, "", OFFSET('IWP28'!Std10dot3Deposits, 0, 7, 1, 1))</f>
        <v/>
      </c>
    </row>
    <row r="2041" spans="1:5">
      <c r="A2041" s="206" t="s">
        <v>1331</v>
      </c>
      <c r="B2041" s="157">
        <f ca="1">IF(OFFSET('IWP28'!Std10dot3Deposits, 1, 0, 1, 1) = DATE(1900,1,0),DATE(1900,1,1),OFFSET('IWP28'!Std10dot3Deposits, 1, 0, 1, 1))</f>
        <v>1</v>
      </c>
      <c r="C2041" s="155">
        <f ca="1">OFFSET('IWP28'!Std10dot3Deposits, 1, 2, 1, 1)</f>
        <v>0</v>
      </c>
      <c r="D2041" s="151" t="str">
        <f ca="1">IF(OFFSET('IWP28'!Std10dot3Deposits, 1, 4, 1, 1) = 0, "", OFFSET('IWP28'!Std10dot3Deposits, 1, 4, 1, 1))</f>
        <v/>
      </c>
      <c r="E2041" s="207" t="str">
        <f ca="1">IF(OFFSET('IWP28'!Std10dot3Deposits, 1, 7, 1, 1) = 0, "", OFFSET('IWP28'!Std10dot3Deposits, 1, 7, 1, 1))</f>
        <v/>
      </c>
    </row>
    <row r="2042" spans="1:5">
      <c r="A2042" s="206" t="s">
        <v>1331</v>
      </c>
      <c r="B2042" s="157">
        <f ca="1">IF(OFFSET('IWP28'!Std10dot3Deposits, 2, 0, 1, 1) = DATE(1900,1,0),DATE(1900,1,1),OFFSET('IWP28'!Std10dot3Deposits, 2, 0, 1, 1))</f>
        <v>1</v>
      </c>
      <c r="C2042" s="155">
        <f ca="1">OFFSET('IWP28'!Std10dot3Deposits, 2, 2, 1, 1)</f>
        <v>0</v>
      </c>
      <c r="D2042" s="151" t="str">
        <f ca="1">IF(OFFSET('IWP28'!Std10dot3Deposits, 2, 4, 1, 1) = 0, "", OFFSET('IWP28'!Std10dot3Deposits, 2, 4, 1, 1))</f>
        <v/>
      </c>
      <c r="E2042" s="207" t="str">
        <f ca="1">IF(OFFSET('IWP28'!Std10dot3Deposits, 2, 7, 1, 1) = 0, "", OFFSET('IWP28'!Std10dot3Deposits, 2, 7, 1, 1))</f>
        <v/>
      </c>
    </row>
    <row r="2043" spans="1:5">
      <c r="A2043" s="206" t="s">
        <v>1331</v>
      </c>
      <c r="B2043" s="157">
        <f ca="1">IF(OFFSET('IWP28'!Std10dot3Deposits, 3, 0, 1, 1) = DATE(1900,1,0),DATE(1900,1,1),OFFSET('IWP28'!Std10dot3Deposits, 3, 0, 1, 1))</f>
        <v>1</v>
      </c>
      <c r="C2043" s="155">
        <f ca="1">OFFSET('IWP28'!Std10dot3Deposits, 3, 2, 1, 1)</f>
        <v>0</v>
      </c>
      <c r="D2043" s="151" t="str">
        <f ca="1">IF(OFFSET('IWP28'!Std10dot3Deposits, 3, 4, 1, 1) = 0, "", OFFSET('IWP28'!Std10dot3Deposits, 3, 4, 1, 1))</f>
        <v/>
      </c>
      <c r="E2043" s="207" t="str">
        <f ca="1">IF(OFFSET('IWP28'!Std10dot3Deposits, 3, 7, 1, 1) = 0, "", OFFSET('IWP28'!Std10dot3Deposits, 3, 7, 1, 1))</f>
        <v/>
      </c>
    </row>
    <row r="2044" spans="1:5">
      <c r="A2044" s="206" t="s">
        <v>1331</v>
      </c>
      <c r="B2044" s="157">
        <f ca="1">IF(OFFSET('IWP28'!Std10dot3Deposits, 4, 0, 1, 1) = DATE(1900,1,0),DATE(1900,1,1),OFFSET('IWP28'!Std10dot3Deposits, 4, 0, 1, 1))</f>
        <v>1</v>
      </c>
      <c r="C2044" s="155">
        <f ca="1">OFFSET('IWP28'!Std10dot3Deposits, 4, 2, 1, 1)</f>
        <v>0</v>
      </c>
      <c r="D2044" s="151" t="str">
        <f ca="1">IF(OFFSET('IWP28'!Std10dot3Deposits, 4, 4, 1, 1) = 0, "", OFFSET('IWP28'!Std10dot3Deposits, 4, 4, 1, 1))</f>
        <v/>
      </c>
      <c r="E2044" s="207" t="str">
        <f ca="1">IF(OFFSET('IWP28'!Std10dot3Deposits, 4, 7, 1, 1) = 0, "", OFFSET('IWP28'!Std10dot3Deposits, 4, 7, 1, 1))</f>
        <v/>
      </c>
    </row>
    <row r="2045" spans="1:5">
      <c r="A2045" s="206" t="s">
        <v>1331</v>
      </c>
      <c r="B2045" s="157">
        <f ca="1">IF(OFFSET('IWP28'!Std10dot3Deposits, 5, 0, 1, 1) = DATE(1900,1,0),DATE(1900,1,1),OFFSET('IWP28'!Std10dot3Deposits, 5, 0, 1, 1))</f>
        <v>1</v>
      </c>
      <c r="C2045" s="155">
        <f ca="1">OFFSET('IWP28'!Std10dot3Deposits, 5, 2, 1, 1)</f>
        <v>0</v>
      </c>
      <c r="D2045" s="151" t="str">
        <f ca="1">IF(OFFSET('IWP28'!Std10dot3Deposits, 5, 4, 1, 1) = 0, "", OFFSET('IWP28'!Std10dot3Deposits, 5, 4, 1, 1))</f>
        <v/>
      </c>
      <c r="E2045" s="207" t="str">
        <f ca="1">IF(OFFSET('IWP28'!Std10dot3Deposits, 5, 7, 1, 1) = 0, "", OFFSET('IWP28'!Std10dot3Deposits, 5, 7, 1, 1))</f>
        <v/>
      </c>
    </row>
    <row r="2046" spans="1:5">
      <c r="A2046" s="206" t="s">
        <v>1331</v>
      </c>
      <c r="B2046" s="157">
        <f ca="1">IF(OFFSET('IWP28'!Std10dot3Deposits, 6, 0, 1, 1) = DATE(1900,1,0),DATE(1900,1,1),OFFSET('IWP28'!Std10dot3Deposits, 6, 0, 1, 1))</f>
        <v>1</v>
      </c>
      <c r="C2046" s="155">
        <f ca="1">OFFSET('IWP28'!Std10dot3Deposits, 6, 2, 1, 1)</f>
        <v>0</v>
      </c>
      <c r="D2046" s="151" t="str">
        <f ca="1">IF(OFFSET('IWP28'!Std10dot3Deposits, 6, 4, 1, 1) = 0, "", OFFSET('IWP28'!Std10dot3Deposits, 6, 4, 1, 1))</f>
        <v/>
      </c>
      <c r="E2046" s="207" t="str">
        <f ca="1">IF(OFFSET('IWP28'!Std10dot3Deposits, 6, 7, 1, 1) = 0, "", OFFSET('IWP28'!Std10dot3Deposits, 6, 7, 1, 1))</f>
        <v/>
      </c>
    </row>
    <row r="2047" spans="1:5">
      <c r="A2047" s="206" t="s">
        <v>1331</v>
      </c>
      <c r="B2047" s="157">
        <f ca="1">IF(OFFSET('IWP28'!Std10dot3Deposits, 7, 0, 1, 1) = DATE(1900,1,0),DATE(1900,1,1),OFFSET('IWP28'!Std10dot3Deposits, 7, 0, 1, 1))</f>
        <v>1</v>
      </c>
      <c r="C2047" s="155">
        <f ca="1">OFFSET('IWP28'!Std10dot3Deposits, 7, 2, 1, 1)</f>
        <v>0</v>
      </c>
      <c r="D2047" s="151" t="str">
        <f ca="1">IF(OFFSET('IWP28'!Std10dot3Deposits, 7, 4, 1, 1) = 0, "", OFFSET('IWP28'!Std10dot3Deposits, 7, 4, 1, 1))</f>
        <v/>
      </c>
      <c r="E2047" s="207" t="str">
        <f ca="1">IF(OFFSET('IWP28'!Std10dot3Deposits, 7, 7, 1, 1) = 0, "", OFFSET('IWP28'!Std10dot3Deposits, 7, 7, 1, 1))</f>
        <v/>
      </c>
    </row>
    <row r="2048" spans="1:5">
      <c r="A2048" s="206" t="s">
        <v>1331</v>
      </c>
      <c r="B2048" s="157">
        <f ca="1">IF(OFFSET('IWP28'!Std10dot3Deposits, 8, 0, 1, 1) = DATE(1900,1,0),DATE(1900,1,1),OFFSET('IWP28'!Std10dot3Deposits, 8, 0, 1, 1))</f>
        <v>1</v>
      </c>
      <c r="C2048" s="155">
        <f ca="1">OFFSET('IWP28'!Std10dot3Deposits, 8, 2, 1, 1)</f>
        <v>0</v>
      </c>
      <c r="D2048" s="151" t="str">
        <f ca="1">IF(OFFSET('IWP28'!Std10dot3Deposits, 8, 4, 1, 1) = 0, "", OFFSET('IWP28'!Std10dot3Deposits, 8, 4, 1, 1))</f>
        <v/>
      </c>
      <c r="E2048" s="207" t="str">
        <f ca="1">IF(OFFSET('IWP28'!Std10dot3Deposits, 8, 7, 1, 1) = 0, "", OFFSET('IWP28'!Std10dot3Deposits, 8, 7, 1, 1))</f>
        <v/>
      </c>
    </row>
    <row r="2049" spans="1:5">
      <c r="A2049" s="206" t="s">
        <v>1331</v>
      </c>
      <c r="B2049" s="157">
        <f ca="1">IF(OFFSET('IWP28'!Std10dot3Deposits, 9, 0, 1, 1) = DATE(1900,1,0),DATE(1900,1,1),OFFSET('IWP28'!Std10dot3Deposits, 9, 0, 1, 1))</f>
        <v>1</v>
      </c>
      <c r="C2049" s="155">
        <f ca="1">OFFSET('IWP28'!Std10dot3Deposits, 9, 2, 1, 1)</f>
        <v>0</v>
      </c>
      <c r="D2049" s="151" t="str">
        <f ca="1">IF(OFFSET('IWP28'!Std10dot3Deposits, 9, 4, 1, 1) = 0, "", OFFSET('IWP28'!Std10dot3Deposits, 9, 4, 1, 1))</f>
        <v/>
      </c>
      <c r="E2049" s="207" t="str">
        <f ca="1">IF(OFFSET('IWP28'!Std10dot3Deposits, 9, 7, 1, 1) = 0, "", OFFSET('IWP28'!Std10dot3Deposits, 9, 7, 1, 1))</f>
        <v/>
      </c>
    </row>
    <row r="2050" spans="1:5">
      <c r="A2050" s="206" t="s">
        <v>1332</v>
      </c>
      <c r="B2050" s="157">
        <f ca="1">IF(OFFSET('IWP29'!Std10dot3Deposits, 0, 0, 1, 1) = DATE(1900,1,0),DATE(1900,1,1),OFFSET('IWP29'!Std10dot3Deposits, 0, 0, 1, 1))</f>
        <v>1</v>
      </c>
      <c r="C2050" s="155">
        <f ca="1">OFFSET('IWP29'!Std10dot3Deposits, 0, 2, 1, 1)</f>
        <v>0</v>
      </c>
      <c r="D2050" s="151" t="str">
        <f ca="1">IF(OFFSET('IWP29'!Std10dot3Deposits, 0, 4, 1, 1) = 0, "", OFFSET('IWP29'!Std10dot3Deposits, 0, 4, 1, 1))</f>
        <v/>
      </c>
      <c r="E2050" s="207" t="str">
        <f ca="1">IF(OFFSET('IWP29'!Std10dot3Deposits, 0, 7, 1, 1) = 0, "", OFFSET('IWP29'!Std10dot3Deposits, 0, 7, 1, 1))</f>
        <v/>
      </c>
    </row>
    <row r="2051" spans="1:5">
      <c r="A2051" s="206" t="s">
        <v>1332</v>
      </c>
      <c r="B2051" s="157">
        <f ca="1">IF(OFFSET('IWP29'!Std10dot3Deposits, 1, 0, 1, 1) = DATE(1900,1,0),DATE(1900,1,1),OFFSET('IWP29'!Std10dot3Deposits, 1, 0, 1, 1))</f>
        <v>1</v>
      </c>
      <c r="C2051" s="155">
        <f ca="1">OFFSET('IWP29'!Std10dot3Deposits, 1, 2, 1, 1)</f>
        <v>0</v>
      </c>
      <c r="D2051" s="151" t="str">
        <f ca="1">IF(OFFSET('IWP29'!Std10dot3Deposits, 1, 4, 1, 1) = 0, "", OFFSET('IWP29'!Std10dot3Deposits, 1, 4, 1, 1))</f>
        <v/>
      </c>
      <c r="E2051" s="207" t="str">
        <f ca="1">IF(OFFSET('IWP29'!Std10dot3Deposits, 1, 7, 1, 1) = 0, "", OFFSET('IWP29'!Std10dot3Deposits, 1, 7, 1, 1))</f>
        <v/>
      </c>
    </row>
    <row r="2052" spans="1:5">
      <c r="A2052" s="206" t="s">
        <v>1332</v>
      </c>
      <c r="B2052" s="157">
        <f ca="1">IF(OFFSET('IWP29'!Std10dot3Deposits, 2, 0, 1, 1) = DATE(1900,1,0),DATE(1900,1,1),OFFSET('IWP29'!Std10dot3Deposits, 2, 0, 1, 1))</f>
        <v>1</v>
      </c>
      <c r="C2052" s="155">
        <f ca="1">OFFSET('IWP29'!Std10dot3Deposits, 2, 2, 1, 1)</f>
        <v>0</v>
      </c>
      <c r="D2052" s="151" t="str">
        <f ca="1">IF(OFFSET('IWP29'!Std10dot3Deposits, 2, 4, 1, 1) = 0, "", OFFSET('IWP29'!Std10dot3Deposits, 2, 4, 1, 1))</f>
        <v/>
      </c>
      <c r="E2052" s="207" t="str">
        <f ca="1">IF(OFFSET('IWP29'!Std10dot3Deposits, 2, 7, 1, 1) = 0, "", OFFSET('IWP29'!Std10dot3Deposits, 2, 7, 1, 1))</f>
        <v/>
      </c>
    </row>
    <row r="2053" spans="1:5">
      <c r="A2053" s="206" t="s">
        <v>1332</v>
      </c>
      <c r="B2053" s="157">
        <f ca="1">IF(OFFSET('IWP29'!Std10dot3Deposits, 3, 0, 1, 1) = DATE(1900,1,0),DATE(1900,1,1),OFFSET('IWP29'!Std10dot3Deposits, 3, 0, 1, 1))</f>
        <v>1</v>
      </c>
      <c r="C2053" s="155">
        <f ca="1">OFFSET('IWP29'!Std10dot3Deposits, 3, 2, 1, 1)</f>
        <v>0</v>
      </c>
      <c r="D2053" s="151" t="str">
        <f ca="1">IF(OFFSET('IWP29'!Std10dot3Deposits, 3, 4, 1, 1) = 0, "", OFFSET('IWP29'!Std10dot3Deposits, 3, 4, 1, 1))</f>
        <v/>
      </c>
      <c r="E2053" s="207" t="str">
        <f ca="1">IF(OFFSET('IWP29'!Std10dot3Deposits, 3, 7, 1, 1) = 0, "", OFFSET('IWP29'!Std10dot3Deposits, 3, 7, 1, 1))</f>
        <v/>
      </c>
    </row>
    <row r="2054" spans="1:5">
      <c r="A2054" s="206" t="s">
        <v>1332</v>
      </c>
      <c r="B2054" s="157">
        <f ca="1">IF(OFFSET('IWP29'!Std10dot3Deposits, 4, 0, 1, 1) = DATE(1900,1,0),DATE(1900,1,1),OFFSET('IWP29'!Std10dot3Deposits, 4, 0, 1, 1))</f>
        <v>1</v>
      </c>
      <c r="C2054" s="155">
        <f ca="1">OFFSET('IWP29'!Std10dot3Deposits, 4, 2, 1, 1)</f>
        <v>0</v>
      </c>
      <c r="D2054" s="151" t="str">
        <f ca="1">IF(OFFSET('IWP29'!Std10dot3Deposits, 4, 4, 1, 1) = 0, "", OFFSET('IWP29'!Std10dot3Deposits, 4, 4, 1, 1))</f>
        <v/>
      </c>
      <c r="E2054" s="207" t="str">
        <f ca="1">IF(OFFSET('IWP29'!Std10dot3Deposits, 4, 7, 1, 1) = 0, "", OFFSET('IWP29'!Std10dot3Deposits, 4, 7, 1, 1))</f>
        <v/>
      </c>
    </row>
    <row r="2055" spans="1:5">
      <c r="A2055" s="206" t="s">
        <v>1332</v>
      </c>
      <c r="B2055" s="157">
        <f ca="1">IF(OFFSET('IWP29'!Std10dot3Deposits, 5, 0, 1, 1) = DATE(1900,1,0),DATE(1900,1,1),OFFSET('IWP29'!Std10dot3Deposits, 5, 0, 1, 1))</f>
        <v>1</v>
      </c>
      <c r="C2055" s="155">
        <f ca="1">OFFSET('IWP29'!Std10dot3Deposits, 5, 2, 1, 1)</f>
        <v>0</v>
      </c>
      <c r="D2055" s="151" t="str">
        <f ca="1">IF(OFFSET('IWP29'!Std10dot3Deposits, 5, 4, 1, 1) = 0, "", OFFSET('IWP29'!Std10dot3Deposits, 5, 4, 1, 1))</f>
        <v/>
      </c>
      <c r="E2055" s="207" t="str">
        <f ca="1">IF(OFFSET('IWP29'!Std10dot3Deposits, 5, 7, 1, 1) = 0, "", OFFSET('IWP29'!Std10dot3Deposits, 5, 7, 1, 1))</f>
        <v/>
      </c>
    </row>
    <row r="2056" spans="1:5">
      <c r="A2056" s="206" t="s">
        <v>1332</v>
      </c>
      <c r="B2056" s="157">
        <f ca="1">IF(OFFSET('IWP29'!Std10dot3Deposits, 6, 0, 1, 1) = DATE(1900,1,0),DATE(1900,1,1),OFFSET('IWP29'!Std10dot3Deposits, 6, 0, 1, 1))</f>
        <v>1</v>
      </c>
      <c r="C2056" s="155">
        <f ca="1">OFFSET('IWP29'!Std10dot3Deposits, 6, 2, 1, 1)</f>
        <v>0</v>
      </c>
      <c r="D2056" s="151" t="str">
        <f ca="1">IF(OFFSET('IWP29'!Std10dot3Deposits, 6, 4, 1, 1) = 0, "", OFFSET('IWP29'!Std10dot3Deposits, 6, 4, 1, 1))</f>
        <v/>
      </c>
      <c r="E2056" s="207" t="str">
        <f ca="1">IF(OFFSET('IWP29'!Std10dot3Deposits, 6, 7, 1, 1) = 0, "", OFFSET('IWP29'!Std10dot3Deposits, 6, 7, 1, 1))</f>
        <v/>
      </c>
    </row>
    <row r="2057" spans="1:5">
      <c r="A2057" s="206" t="s">
        <v>1332</v>
      </c>
      <c r="B2057" s="157">
        <f ca="1">IF(OFFSET('IWP29'!Std10dot3Deposits, 7, 0, 1, 1) = DATE(1900,1,0),DATE(1900,1,1),OFFSET('IWP29'!Std10dot3Deposits, 7, 0, 1, 1))</f>
        <v>1</v>
      </c>
      <c r="C2057" s="155">
        <f ca="1">OFFSET('IWP29'!Std10dot3Deposits, 7, 2, 1, 1)</f>
        <v>0</v>
      </c>
      <c r="D2057" s="151" t="str">
        <f ca="1">IF(OFFSET('IWP29'!Std10dot3Deposits, 7, 4, 1, 1) = 0, "", OFFSET('IWP29'!Std10dot3Deposits, 7, 4, 1, 1))</f>
        <v/>
      </c>
      <c r="E2057" s="207" t="str">
        <f ca="1">IF(OFFSET('IWP29'!Std10dot3Deposits, 7, 7, 1, 1) = 0, "", OFFSET('IWP29'!Std10dot3Deposits, 7, 7, 1, 1))</f>
        <v/>
      </c>
    </row>
    <row r="2058" spans="1:5">
      <c r="A2058" s="206" t="s">
        <v>1332</v>
      </c>
      <c r="B2058" s="157">
        <f ca="1">IF(OFFSET('IWP29'!Std10dot3Deposits, 8, 0, 1, 1) = DATE(1900,1,0),DATE(1900,1,1),OFFSET('IWP29'!Std10dot3Deposits, 8, 0, 1, 1))</f>
        <v>1</v>
      </c>
      <c r="C2058" s="155">
        <f ca="1">OFFSET('IWP29'!Std10dot3Deposits, 8, 2, 1, 1)</f>
        <v>0</v>
      </c>
      <c r="D2058" s="151" t="str">
        <f ca="1">IF(OFFSET('IWP29'!Std10dot3Deposits, 8, 4, 1, 1) = 0, "", OFFSET('IWP29'!Std10dot3Deposits, 8, 4, 1, 1))</f>
        <v/>
      </c>
      <c r="E2058" s="207" t="str">
        <f ca="1">IF(OFFSET('IWP29'!Std10dot3Deposits, 8, 7, 1, 1) = 0, "", OFFSET('IWP29'!Std10dot3Deposits, 8, 7, 1, 1))</f>
        <v/>
      </c>
    </row>
    <row r="2059" spans="1:5">
      <c r="A2059" s="206" t="s">
        <v>1332</v>
      </c>
      <c r="B2059" s="157">
        <f ca="1">IF(OFFSET('IWP29'!Std10dot3Deposits, 9, 0, 1, 1) = DATE(1900,1,0),DATE(1900,1,1),OFFSET('IWP29'!Std10dot3Deposits, 9, 0, 1, 1))</f>
        <v>1</v>
      </c>
      <c r="C2059" s="155">
        <f ca="1">OFFSET('IWP29'!Std10dot3Deposits, 9, 2, 1, 1)</f>
        <v>0</v>
      </c>
      <c r="D2059" s="151" t="str">
        <f ca="1">IF(OFFSET('IWP29'!Std10dot3Deposits, 9, 4, 1, 1) = 0, "", OFFSET('IWP29'!Std10dot3Deposits, 9, 4, 1, 1))</f>
        <v/>
      </c>
      <c r="E2059" s="207" t="str">
        <f ca="1">IF(OFFSET('IWP29'!Std10dot3Deposits, 9, 7, 1, 1) = 0, "", OFFSET('IWP29'!Std10dot3Deposits, 9, 7, 1, 1))</f>
        <v/>
      </c>
    </row>
    <row r="2060" spans="1:5">
      <c r="A2060" s="206" t="s">
        <v>1333</v>
      </c>
      <c r="B2060" s="157">
        <f ca="1">IF(OFFSET('IWP30'!Std10dot3Deposits, 0, 0, 1, 1) = DATE(1900,1,0),DATE(1900,1,1),OFFSET('IWP30'!Std10dot3Deposits, 0, 0, 1, 1))</f>
        <v>1</v>
      </c>
      <c r="C2060" s="155">
        <f ca="1">OFFSET('IWP30'!Std10dot3Deposits, 0, 2, 1, 1)</f>
        <v>0</v>
      </c>
      <c r="D2060" s="151" t="str">
        <f ca="1">IF(OFFSET('IWP30'!Std10dot3Deposits, 0, 4, 1, 1) = 0, "", OFFSET('IWP30'!Std10dot3Deposits, 0, 4, 1, 1))</f>
        <v/>
      </c>
      <c r="E2060" s="207" t="str">
        <f ca="1">IF(OFFSET('IWP30'!Std10dot3Deposits, 0, 7, 1, 1) = 0, "", OFFSET('IWP30'!Std10dot3Deposits, 0, 7, 1, 1))</f>
        <v/>
      </c>
    </row>
    <row r="2061" spans="1:5">
      <c r="A2061" s="206" t="s">
        <v>1333</v>
      </c>
      <c r="B2061" s="157">
        <f ca="1">IF(OFFSET('IWP30'!Std10dot3Deposits, 1, 0, 1, 1) = DATE(1900,1,0),DATE(1900,1,1),OFFSET('IWP30'!Std10dot3Deposits, 1, 0, 1, 1))</f>
        <v>1</v>
      </c>
      <c r="C2061" s="155">
        <f ca="1">OFFSET('IWP30'!Std10dot3Deposits, 1, 2, 1, 1)</f>
        <v>0</v>
      </c>
      <c r="D2061" s="151" t="str">
        <f ca="1">IF(OFFSET('IWP30'!Std10dot3Deposits, 1, 4, 1, 1) = 0, "", OFFSET('IWP30'!Std10dot3Deposits, 1, 4, 1, 1))</f>
        <v/>
      </c>
      <c r="E2061" s="207" t="str">
        <f ca="1">IF(OFFSET('IWP30'!Std10dot3Deposits, 1, 7, 1, 1) = 0, "", OFFSET('IWP30'!Std10dot3Deposits, 1, 7, 1, 1))</f>
        <v/>
      </c>
    </row>
    <row r="2062" spans="1:5">
      <c r="A2062" s="206" t="s">
        <v>1333</v>
      </c>
      <c r="B2062" s="157">
        <f ca="1">IF(OFFSET('IWP30'!Std10dot3Deposits, 2, 0, 1, 1) = DATE(1900,1,0),DATE(1900,1,1),OFFSET('IWP30'!Std10dot3Deposits, 2, 0, 1, 1))</f>
        <v>1</v>
      </c>
      <c r="C2062" s="155">
        <f ca="1">OFFSET('IWP30'!Std10dot3Deposits, 2, 2, 1, 1)</f>
        <v>0</v>
      </c>
      <c r="D2062" s="151" t="str">
        <f ca="1">IF(OFFSET('IWP30'!Std10dot3Deposits, 2, 4, 1, 1) = 0, "", OFFSET('IWP30'!Std10dot3Deposits, 2, 4, 1, 1))</f>
        <v/>
      </c>
      <c r="E2062" s="207" t="str">
        <f ca="1">IF(OFFSET('IWP30'!Std10dot3Deposits, 2, 7, 1, 1) = 0, "", OFFSET('IWP30'!Std10dot3Deposits, 2, 7, 1, 1))</f>
        <v/>
      </c>
    </row>
    <row r="2063" spans="1:5">
      <c r="A2063" s="206" t="s">
        <v>1333</v>
      </c>
      <c r="B2063" s="157">
        <f ca="1">IF(OFFSET('IWP30'!Std10dot3Deposits, 3, 0, 1, 1) = DATE(1900,1,0),DATE(1900,1,1),OFFSET('IWP30'!Std10dot3Deposits, 3, 0, 1, 1))</f>
        <v>1</v>
      </c>
      <c r="C2063" s="155">
        <f ca="1">OFFSET('IWP30'!Std10dot3Deposits, 3, 2, 1, 1)</f>
        <v>0</v>
      </c>
      <c r="D2063" s="151" t="str">
        <f ca="1">IF(OFFSET('IWP30'!Std10dot3Deposits, 3, 4, 1, 1) = 0, "", OFFSET('IWP30'!Std10dot3Deposits, 3, 4, 1, 1))</f>
        <v/>
      </c>
      <c r="E2063" s="207" t="str">
        <f ca="1">IF(OFFSET('IWP30'!Std10dot3Deposits, 3, 7, 1, 1) = 0, "", OFFSET('IWP30'!Std10dot3Deposits, 3, 7, 1, 1))</f>
        <v/>
      </c>
    </row>
    <row r="2064" spans="1:5">
      <c r="A2064" s="206" t="s">
        <v>1333</v>
      </c>
      <c r="B2064" s="157">
        <f ca="1">IF(OFFSET('IWP30'!Std10dot3Deposits, 4, 0, 1, 1) = DATE(1900,1,0),DATE(1900,1,1),OFFSET('IWP30'!Std10dot3Deposits, 4, 0, 1, 1))</f>
        <v>1</v>
      </c>
      <c r="C2064" s="155">
        <f ca="1">OFFSET('IWP30'!Std10dot3Deposits, 4, 2, 1, 1)</f>
        <v>0</v>
      </c>
      <c r="D2064" s="151" t="str">
        <f ca="1">IF(OFFSET('IWP30'!Std10dot3Deposits, 4, 4, 1, 1) = 0, "", OFFSET('IWP30'!Std10dot3Deposits, 4, 4, 1, 1))</f>
        <v/>
      </c>
      <c r="E2064" s="207" t="str">
        <f ca="1">IF(OFFSET('IWP30'!Std10dot3Deposits, 4, 7, 1, 1) = 0, "", OFFSET('IWP30'!Std10dot3Deposits, 4, 7, 1, 1))</f>
        <v/>
      </c>
    </row>
    <row r="2065" spans="1:5">
      <c r="A2065" s="206" t="s">
        <v>1333</v>
      </c>
      <c r="B2065" s="157">
        <f ca="1">IF(OFFSET('IWP30'!Std10dot3Deposits, 5, 0, 1, 1) = DATE(1900,1,0),DATE(1900,1,1),OFFSET('IWP30'!Std10dot3Deposits, 5, 0, 1, 1))</f>
        <v>1</v>
      </c>
      <c r="C2065" s="155">
        <f ca="1">OFFSET('IWP30'!Std10dot3Deposits, 5, 2, 1, 1)</f>
        <v>0</v>
      </c>
      <c r="D2065" s="151" t="str">
        <f ca="1">IF(OFFSET('IWP30'!Std10dot3Deposits, 5, 4, 1, 1) = 0, "", OFFSET('IWP30'!Std10dot3Deposits, 5, 4, 1, 1))</f>
        <v/>
      </c>
      <c r="E2065" s="207" t="str">
        <f ca="1">IF(OFFSET('IWP30'!Std10dot3Deposits, 5, 7, 1, 1) = 0, "", OFFSET('IWP30'!Std10dot3Deposits, 5, 7, 1, 1))</f>
        <v/>
      </c>
    </row>
    <row r="2066" spans="1:5">
      <c r="A2066" s="206" t="s">
        <v>1333</v>
      </c>
      <c r="B2066" s="157">
        <f ca="1">IF(OFFSET('IWP30'!Std10dot3Deposits, 6, 0, 1, 1) = DATE(1900,1,0),DATE(1900,1,1),OFFSET('IWP30'!Std10dot3Deposits, 6, 0, 1, 1))</f>
        <v>1</v>
      </c>
      <c r="C2066" s="155">
        <f ca="1">OFFSET('IWP30'!Std10dot3Deposits, 6, 2, 1, 1)</f>
        <v>0</v>
      </c>
      <c r="D2066" s="151" t="str">
        <f ca="1">IF(OFFSET('IWP30'!Std10dot3Deposits, 6, 4, 1, 1) = 0, "", OFFSET('IWP30'!Std10dot3Deposits, 6, 4, 1, 1))</f>
        <v/>
      </c>
      <c r="E2066" s="207" t="str">
        <f ca="1">IF(OFFSET('IWP30'!Std10dot3Deposits, 6, 7, 1, 1) = 0, "", OFFSET('IWP30'!Std10dot3Deposits, 6, 7, 1, 1))</f>
        <v/>
      </c>
    </row>
    <row r="2067" spans="1:5">
      <c r="A2067" s="206" t="s">
        <v>1333</v>
      </c>
      <c r="B2067" s="157">
        <f ca="1">IF(OFFSET('IWP30'!Std10dot3Deposits, 7, 0, 1, 1) = DATE(1900,1,0),DATE(1900,1,1),OFFSET('IWP30'!Std10dot3Deposits, 7, 0, 1, 1))</f>
        <v>1</v>
      </c>
      <c r="C2067" s="155">
        <f ca="1">OFFSET('IWP30'!Std10dot3Deposits, 7, 2, 1, 1)</f>
        <v>0</v>
      </c>
      <c r="D2067" s="151" t="str">
        <f ca="1">IF(OFFSET('IWP30'!Std10dot3Deposits, 7, 4, 1, 1) = 0, "", OFFSET('IWP30'!Std10dot3Deposits, 7, 4, 1, 1))</f>
        <v/>
      </c>
      <c r="E2067" s="207" t="str">
        <f ca="1">IF(OFFSET('IWP30'!Std10dot3Deposits, 7, 7, 1, 1) = 0, "", OFFSET('IWP30'!Std10dot3Deposits, 7, 7, 1, 1))</f>
        <v/>
      </c>
    </row>
    <row r="2068" spans="1:5">
      <c r="A2068" s="206" t="s">
        <v>1333</v>
      </c>
      <c r="B2068" s="157">
        <f ca="1">IF(OFFSET('IWP30'!Std10dot3Deposits, 8, 0, 1, 1) = DATE(1900,1,0),DATE(1900,1,1),OFFSET('IWP30'!Std10dot3Deposits, 8, 0, 1, 1))</f>
        <v>1</v>
      </c>
      <c r="C2068" s="155">
        <f ca="1">OFFSET('IWP30'!Std10dot3Deposits, 8, 2, 1, 1)</f>
        <v>0</v>
      </c>
      <c r="D2068" s="151" t="str">
        <f ca="1">IF(OFFSET('IWP30'!Std10dot3Deposits, 8, 4, 1, 1) = 0, "", OFFSET('IWP30'!Std10dot3Deposits, 8, 4, 1, 1))</f>
        <v/>
      </c>
      <c r="E2068" s="207" t="str">
        <f ca="1">IF(OFFSET('IWP30'!Std10dot3Deposits, 8, 7, 1, 1) = 0, "", OFFSET('IWP30'!Std10dot3Deposits, 8, 7, 1, 1))</f>
        <v/>
      </c>
    </row>
    <row r="2069" spans="1:5" ht="15" thickBot="1">
      <c r="A2069" s="156" t="s">
        <v>1333</v>
      </c>
      <c r="B2069" s="194">
        <f ca="1">IF(OFFSET('IWP30'!Std10dot3Deposits, 9, 0, 1, 1) = DATE(1900,1,0),DATE(1900,1,1),OFFSET('IWP30'!Std10dot3Deposits, 9, 0, 1, 1))</f>
        <v>1</v>
      </c>
      <c r="C2069" s="174">
        <f ca="1">OFFSET('IWP30'!Std10dot3Deposits, 9, 2, 1, 1)</f>
        <v>0</v>
      </c>
      <c r="D2069" s="171" t="str">
        <f ca="1">IF(OFFSET('IWP30'!Std10dot3Deposits, 9, 4, 1, 1) = 0, "", OFFSET('IWP30'!Std10dot3Deposits, 9, 4, 1, 1))</f>
        <v/>
      </c>
      <c r="E2069" s="208" t="str">
        <f ca="1">IF(OFFSET('IWP30'!Std10dot3Deposits, 9, 7, 1, 1) = 0, "", OFFSET('IWP30'!Std10dot3Deposits, 9, 7, 1, 1))</f>
        <v/>
      </c>
    </row>
    <row r="2071" spans="1:5" ht="15" thickBot="1">
      <c r="A2071" t="s">
        <v>1282</v>
      </c>
    </row>
    <row r="2072" spans="1:5">
      <c r="A2072" s="153" t="s">
        <v>1057</v>
      </c>
      <c r="B2072" s="312" t="s">
        <v>1197</v>
      </c>
      <c r="C2072" s="312" t="s">
        <v>187</v>
      </c>
      <c r="D2072" s="312" t="s">
        <v>802</v>
      </c>
      <c r="E2072" s="311" t="s">
        <v>423</v>
      </c>
    </row>
    <row r="2073" spans="1:5">
      <c r="A2073" s="206" t="s">
        <v>1060</v>
      </c>
      <c r="B2073" s="157">
        <f ca="1">IF(OFFSET('IWP01'!Std10dot4Withdrawals, 0, 0, 1, 1) = DATE(1900,1,0),DATE(1900,1,1),OFFSET('IWP01'!Std10dot4Withdrawals, 0, 0, 1, 1))</f>
        <v>1</v>
      </c>
      <c r="C2073" s="155">
        <f ca="1">OFFSET('IWP01'!Std10dot4Withdrawals, 0, 2, 1, 1)</f>
        <v>0</v>
      </c>
      <c r="D2073" s="151" t="str">
        <f ca="1">IF(OFFSET('IWP01'!Std10dot4Withdrawals, 0, 4, 1, 1) = 0, "", OFFSET('IWP01'!Std10dot4Withdrawals, 0, 4, 1, 1))</f>
        <v/>
      </c>
      <c r="E2073" s="207" t="str">
        <f ca="1">IF(OFFSET('IWP01'!Std10dot4Withdrawals, 0, 7, 1, 1) = 0, "", OFFSET('IWP01'!Std10dot4Withdrawals, 0, 7, 1, 1))</f>
        <v/>
      </c>
    </row>
    <row r="2074" spans="1:5">
      <c r="A2074" s="206" t="s">
        <v>1060</v>
      </c>
      <c r="B2074" s="157">
        <f ca="1">IF(OFFSET('IWP01'!Std10dot4Withdrawals, 1, 0, 1, 1) = DATE(1900,1,0),DATE(1900,1,1),OFFSET('IWP01'!Std10dot4Withdrawals, 1, 0, 1, 1))</f>
        <v>1</v>
      </c>
      <c r="C2074" s="155">
        <f ca="1">OFFSET('IWP01'!Std10dot4Withdrawals, 1, 2, 1, 1)</f>
        <v>0</v>
      </c>
      <c r="D2074" s="151" t="str">
        <f ca="1">IF(OFFSET('IWP01'!Std10dot4Withdrawals, 1, 4, 1, 1) = 0, "", OFFSET('IWP01'!Std10dot4Withdrawals, 1, 4, 1, 1))</f>
        <v/>
      </c>
      <c r="E2074" s="207" t="str">
        <f ca="1">IF(OFFSET('IWP01'!Std10dot4Withdrawals, 1, 7, 1, 1) = 0, "", OFFSET('IWP01'!Std10dot4Withdrawals, 1, 7, 1, 1))</f>
        <v/>
      </c>
    </row>
    <row r="2075" spans="1:5">
      <c r="A2075" s="206" t="s">
        <v>1060</v>
      </c>
      <c r="B2075" s="157">
        <f ca="1">IF(OFFSET('IWP01'!Std10dot4Withdrawals, 2, 0, 1, 1) = DATE(1900,1,0),DATE(1900,1,1),OFFSET('IWP01'!Std10dot4Withdrawals, 2, 0, 1, 1))</f>
        <v>1</v>
      </c>
      <c r="C2075" s="155">
        <f ca="1">OFFSET('IWP01'!Std10dot4Withdrawals, 2, 2, 1, 1)</f>
        <v>0</v>
      </c>
      <c r="D2075" s="151" t="str">
        <f ca="1">IF(OFFSET('IWP01'!Std10dot4Withdrawals, 2, 4, 1, 1) = 0, "", OFFSET('IWP01'!Std10dot4Withdrawals, 2, 4, 1, 1))</f>
        <v/>
      </c>
      <c r="E2075" s="207" t="str">
        <f ca="1">IF(OFFSET('IWP01'!Std10dot4Withdrawals, 2, 7, 1, 1) = 0, "", OFFSET('IWP01'!Std10dot4Withdrawals, 2, 7, 1, 1))</f>
        <v/>
      </c>
    </row>
    <row r="2076" spans="1:5">
      <c r="A2076" s="206" t="s">
        <v>1060</v>
      </c>
      <c r="B2076" s="157">
        <f ca="1">IF(OFFSET('IWP01'!Std10dot4Withdrawals, 3, 0, 1, 1) = DATE(1900,1,0),DATE(1900,1,1),OFFSET('IWP01'!Std10dot4Withdrawals, 3, 0, 1, 1))</f>
        <v>1</v>
      </c>
      <c r="C2076" s="155">
        <f ca="1">OFFSET('IWP01'!Std10dot4Withdrawals, 3, 2, 1, 1)</f>
        <v>0</v>
      </c>
      <c r="D2076" s="151" t="str">
        <f ca="1">IF(OFFSET('IWP01'!Std10dot4Withdrawals, 3, 4, 1, 1) = 0, "", OFFSET('IWP01'!Std10dot4Withdrawals, 3, 4, 1, 1))</f>
        <v/>
      </c>
      <c r="E2076" s="207" t="str">
        <f ca="1">IF(OFFSET('IWP01'!Std10dot4Withdrawals, 3, 7, 1, 1) = 0, "", OFFSET('IWP01'!Std10dot4Withdrawals, 3, 7, 1, 1))</f>
        <v/>
      </c>
    </row>
    <row r="2077" spans="1:5">
      <c r="A2077" s="206" t="s">
        <v>1060</v>
      </c>
      <c r="B2077" s="157">
        <f ca="1">IF(OFFSET('IWP01'!Std10dot4Withdrawals, 4, 0, 1, 1) = DATE(1900,1,0),DATE(1900,1,1),OFFSET('IWP01'!Std10dot4Withdrawals, 4, 0, 1, 1))</f>
        <v>1</v>
      </c>
      <c r="C2077" s="155">
        <f ca="1">OFFSET('IWP01'!Std10dot4Withdrawals, 4, 2, 1, 1)</f>
        <v>0</v>
      </c>
      <c r="D2077" s="151" t="str">
        <f ca="1">IF(OFFSET('IWP01'!Std10dot4Withdrawals, 4, 4, 1, 1) = 0, "", OFFSET('IWP01'!Std10dot4Withdrawals, 4, 4, 1, 1))</f>
        <v/>
      </c>
      <c r="E2077" s="207" t="str">
        <f ca="1">IF(OFFSET('IWP01'!Std10dot4Withdrawals, 4, 7, 1, 1) = 0, "", OFFSET('IWP01'!Std10dot4Withdrawals, 4, 7, 1, 1))</f>
        <v/>
      </c>
    </row>
    <row r="2078" spans="1:5">
      <c r="A2078" s="206" t="s">
        <v>1060</v>
      </c>
      <c r="B2078" s="157">
        <f ca="1">IF(OFFSET('IWP01'!Std10dot4Withdrawals, 5, 0, 1, 1) = DATE(1900,1,0),DATE(1900,1,1),OFFSET('IWP01'!Std10dot4Withdrawals, 5, 0, 1, 1))</f>
        <v>1</v>
      </c>
      <c r="C2078" s="155">
        <f ca="1">OFFSET('IWP01'!Std10dot4Withdrawals, 5, 2, 1, 1)</f>
        <v>0</v>
      </c>
      <c r="D2078" s="151" t="str">
        <f ca="1">IF(OFFSET('IWP01'!Std10dot4Withdrawals, 5, 4, 1, 1) = 0, "", OFFSET('IWP01'!Std10dot4Withdrawals, 5, 4, 1, 1))</f>
        <v/>
      </c>
      <c r="E2078" s="207" t="str">
        <f ca="1">IF(OFFSET('IWP01'!Std10dot4Withdrawals, 5, 7, 1, 1) = 0, "", OFFSET('IWP01'!Std10dot4Withdrawals, 5, 7, 1, 1))</f>
        <v/>
      </c>
    </row>
    <row r="2079" spans="1:5">
      <c r="A2079" s="206" t="s">
        <v>1060</v>
      </c>
      <c r="B2079" s="157">
        <f ca="1">IF(OFFSET('IWP01'!Std10dot4Withdrawals, 6, 0, 1, 1) = DATE(1900,1,0),DATE(1900,1,1),OFFSET('IWP01'!Std10dot4Withdrawals, 6, 0, 1, 1))</f>
        <v>1</v>
      </c>
      <c r="C2079" s="155">
        <f ca="1">OFFSET('IWP01'!Std10dot4Withdrawals, 6, 2, 1, 1)</f>
        <v>0</v>
      </c>
      <c r="D2079" s="151" t="str">
        <f ca="1">IF(OFFSET('IWP01'!Std10dot4Withdrawals, 6, 4, 1, 1) = 0, "", OFFSET('IWP01'!Std10dot4Withdrawals, 6, 4, 1, 1))</f>
        <v/>
      </c>
      <c r="E2079" s="207" t="str">
        <f ca="1">IF(OFFSET('IWP01'!Std10dot4Withdrawals, 6, 7, 1, 1) = 0, "", OFFSET('IWP01'!Std10dot4Withdrawals, 6, 7, 1, 1))</f>
        <v/>
      </c>
    </row>
    <row r="2080" spans="1:5">
      <c r="A2080" s="206" t="s">
        <v>1060</v>
      </c>
      <c r="B2080" s="157">
        <f ca="1">IF(OFFSET('IWP01'!Std10dot4Withdrawals, 7, 0, 1, 1) = DATE(1900,1,0),DATE(1900,1,1),OFFSET('IWP01'!Std10dot4Withdrawals, 7, 0, 1, 1))</f>
        <v>1</v>
      </c>
      <c r="C2080" s="155">
        <f ca="1">OFFSET('IWP01'!Std10dot4Withdrawals, 7, 2, 1, 1)</f>
        <v>0</v>
      </c>
      <c r="D2080" s="151" t="str">
        <f ca="1">IF(OFFSET('IWP01'!Std10dot4Withdrawals, 7, 4, 1, 1) = 0, "", OFFSET('IWP01'!Std10dot4Withdrawals, 7, 4, 1, 1))</f>
        <v/>
      </c>
      <c r="E2080" s="207" t="str">
        <f ca="1">IF(OFFSET('IWP01'!Std10dot4Withdrawals, 7, 7, 1, 1) = 0, "", OFFSET('IWP01'!Std10dot4Withdrawals, 7, 7, 1, 1))</f>
        <v/>
      </c>
    </row>
    <row r="2081" spans="1:5">
      <c r="A2081" s="206" t="s">
        <v>1060</v>
      </c>
      <c r="B2081" s="157">
        <f ca="1">IF(OFFSET('IWP01'!Std10dot4Withdrawals, 8, 0, 1, 1) = DATE(1900,1,0),DATE(1900,1,1),OFFSET('IWP01'!Std10dot4Withdrawals, 8, 0, 1, 1))</f>
        <v>1</v>
      </c>
      <c r="C2081" s="155">
        <f ca="1">OFFSET('IWP01'!Std10dot4Withdrawals, 8, 2, 1, 1)</f>
        <v>0</v>
      </c>
      <c r="D2081" s="151" t="str">
        <f ca="1">IF(OFFSET('IWP01'!Std10dot4Withdrawals, 8, 4, 1, 1) = 0, "", OFFSET('IWP01'!Std10dot4Withdrawals, 8, 4, 1, 1))</f>
        <v/>
      </c>
      <c r="E2081" s="207" t="str">
        <f ca="1">IF(OFFSET('IWP01'!Std10dot4Withdrawals, 8, 7, 1, 1) = 0, "", OFFSET('IWP01'!Std10dot4Withdrawals, 8, 7, 1, 1))</f>
        <v/>
      </c>
    </row>
    <row r="2082" spans="1:5">
      <c r="A2082" s="206" t="s">
        <v>1060</v>
      </c>
      <c r="B2082" s="157">
        <f ca="1">IF(OFFSET('IWP01'!Std10dot4Withdrawals, 9, 0, 1, 1) = DATE(1900,1,0),DATE(1900,1,1),OFFSET('IWP01'!Std10dot4Withdrawals, 9, 0, 1, 1))</f>
        <v>1</v>
      </c>
      <c r="C2082" s="155">
        <f ca="1">OFFSET('IWP01'!Std10dot4Withdrawals, 9, 2, 1, 1)</f>
        <v>0</v>
      </c>
      <c r="D2082" s="151" t="str">
        <f ca="1">IF(OFFSET('IWP01'!Std10dot4Withdrawals, 9, 4, 1, 1) = 0, "", OFFSET('IWP01'!Std10dot4Withdrawals, 9, 4, 1, 1))</f>
        <v/>
      </c>
      <c r="E2082" s="207" t="str">
        <f ca="1">IF(OFFSET('IWP01'!Std10dot4Withdrawals, 9, 7, 1, 1) = 0, "", OFFSET('IWP01'!Std10dot4Withdrawals, 9, 7, 1, 1))</f>
        <v/>
      </c>
    </row>
    <row r="2083" spans="1:5">
      <c r="A2083" s="206" t="s">
        <v>1060</v>
      </c>
      <c r="B2083" s="157">
        <f ca="1">IF(OFFSET('IWP01'!Std10dot4Withdrawals, 10, 0, 1, 1) = DATE(1900,1,0),DATE(1900,1,1),OFFSET('IWP01'!Std10dot4Withdrawals, 10, 0, 1, 1))</f>
        <v>1</v>
      </c>
      <c r="C2083" s="155">
        <f ca="1">OFFSET('IWP01'!Std10dot4Withdrawals, 10, 2, 1, 1)</f>
        <v>0</v>
      </c>
      <c r="D2083" s="151" t="str">
        <f ca="1">IF(OFFSET('IWP01'!Std10dot4Withdrawals, 10, 4, 1, 1) = 0, "", OFFSET('IWP01'!Std10dot4Withdrawals, 10, 4, 1, 1))</f>
        <v/>
      </c>
      <c r="E2083" s="207" t="str">
        <f ca="1">IF(OFFSET('IWP01'!Std10dot4Withdrawals, 10, 7, 1, 1) = 0, "", OFFSET('IWP01'!Std10dot4Withdrawals, 10, 7, 1, 1))</f>
        <v/>
      </c>
    </row>
    <row r="2084" spans="1:5">
      <c r="A2084" s="206" t="s">
        <v>1060</v>
      </c>
      <c r="B2084" s="157">
        <f ca="1">IF(OFFSET('IWP01'!Std10dot4Withdrawals, 11, 0, 1, 1) = DATE(1900,1,0),DATE(1900,1,1),OFFSET('IWP01'!Std10dot4Withdrawals, 11, 0, 1, 1))</f>
        <v>1</v>
      </c>
      <c r="C2084" s="155">
        <f ca="1">OFFSET('IWP01'!Std10dot4Withdrawals, 11, 2, 1, 1)</f>
        <v>0</v>
      </c>
      <c r="D2084" s="151" t="str">
        <f ca="1">IF(OFFSET('IWP01'!Std10dot4Withdrawals, 11, 4, 1, 1) = 0, "", OFFSET('IWP01'!Std10dot4Withdrawals, 11, 4, 1, 1))</f>
        <v/>
      </c>
      <c r="E2084" s="207" t="str">
        <f ca="1">IF(OFFSET('IWP01'!Std10dot4Withdrawals, 11, 7, 1, 1) = 0, "", OFFSET('IWP01'!Std10dot4Withdrawals, 11, 7, 1, 1))</f>
        <v/>
      </c>
    </row>
    <row r="2085" spans="1:5">
      <c r="A2085" s="206" t="s">
        <v>1060</v>
      </c>
      <c r="B2085" s="157">
        <f ca="1">IF(OFFSET('IWP01'!Std10dot4Withdrawals, 12, 0, 1, 1) = DATE(1900,1,0),DATE(1900,1,1),OFFSET('IWP01'!Std10dot4Withdrawals, 12, 0, 1, 1))</f>
        <v>1</v>
      </c>
      <c r="C2085" s="155">
        <f ca="1">OFFSET('IWP01'!Std10dot4Withdrawals, 12, 2, 1, 1)</f>
        <v>0</v>
      </c>
      <c r="D2085" s="151" t="str">
        <f ca="1">IF(OFFSET('IWP01'!Std10dot4Withdrawals, 12, 4, 1, 1) = 0, "", OFFSET('IWP01'!Std10dot4Withdrawals, 12, 4, 1, 1))</f>
        <v/>
      </c>
      <c r="E2085" s="207" t="str">
        <f ca="1">IF(OFFSET('IWP01'!Std10dot4Withdrawals, 12, 7, 1, 1) = 0, "", OFFSET('IWP01'!Std10dot4Withdrawals, 12, 7, 1, 1))</f>
        <v/>
      </c>
    </row>
    <row r="2086" spans="1:5">
      <c r="A2086" s="206" t="s">
        <v>1060</v>
      </c>
      <c r="B2086" s="157">
        <f ca="1">IF(OFFSET('IWP01'!Std10dot4Withdrawals, 13, 0, 1, 1) = DATE(1900,1,0),DATE(1900,1,1),OFFSET('IWP01'!Std10dot4Withdrawals, 13, 0, 1, 1))</f>
        <v>1</v>
      </c>
      <c r="C2086" s="155">
        <f ca="1">OFFSET('IWP01'!Std10dot4Withdrawals, 13, 2, 1, 1)</f>
        <v>0</v>
      </c>
      <c r="D2086" s="151" t="str">
        <f ca="1">IF(OFFSET('IWP01'!Std10dot4Withdrawals, 13, 4, 1, 1) = 0, "", OFFSET('IWP01'!Std10dot4Withdrawals, 13, 4, 1, 1))</f>
        <v/>
      </c>
      <c r="E2086" s="207" t="str">
        <f ca="1">IF(OFFSET('IWP01'!Std10dot4Withdrawals, 13, 7, 1, 1) = 0, "", OFFSET('IWP01'!Std10dot4Withdrawals, 13, 7, 1, 1))</f>
        <v/>
      </c>
    </row>
    <row r="2087" spans="1:5">
      <c r="A2087" s="206" t="s">
        <v>1060</v>
      </c>
      <c r="B2087" s="157">
        <f ca="1">IF(OFFSET('IWP01'!Std10dot4Withdrawals, 14, 0, 1, 1) = DATE(1900,1,0),DATE(1900,1,1),OFFSET('IWP01'!Std10dot4Withdrawals, 14, 0, 1, 1))</f>
        <v>1</v>
      </c>
      <c r="C2087" s="155">
        <f ca="1">OFFSET('IWP01'!Std10dot4Withdrawals, 14, 2, 1, 1)</f>
        <v>0</v>
      </c>
      <c r="D2087" s="151" t="str">
        <f ca="1">IF(OFFSET('IWP01'!Std10dot4Withdrawals, 14, 4, 1, 1) = 0, "", OFFSET('IWP01'!Std10dot4Withdrawals, 14, 4, 1, 1))</f>
        <v/>
      </c>
      <c r="E2087" s="207" t="str">
        <f ca="1">IF(OFFSET('IWP01'!Std10dot4Withdrawals, 14, 7, 1, 1) = 0, "", OFFSET('IWP01'!Std10dot4Withdrawals, 14, 7, 1, 1))</f>
        <v/>
      </c>
    </row>
    <row r="2088" spans="1:5">
      <c r="A2088" s="206" t="s">
        <v>1060</v>
      </c>
      <c r="B2088" s="157">
        <f ca="1">IF(OFFSET('IWP01'!Std10dot4Withdrawals, 15, 0, 1, 1) = DATE(1900,1,0),DATE(1900,1,1),OFFSET('IWP01'!Std10dot4Withdrawals, 15, 0, 1, 1))</f>
        <v>1</v>
      </c>
      <c r="C2088" s="155">
        <f ca="1">OFFSET('IWP01'!Std10dot4Withdrawals, 15, 2, 1, 1)</f>
        <v>0</v>
      </c>
      <c r="D2088" s="151" t="str">
        <f ca="1">IF(OFFSET('IWP01'!Std10dot4Withdrawals, 15, 4, 1, 1) = 0, "", OFFSET('IWP01'!Std10dot4Withdrawals, 15, 4, 1, 1))</f>
        <v/>
      </c>
      <c r="E2088" s="207" t="str">
        <f ca="1">IF(OFFSET('IWP01'!Std10dot4Withdrawals, 15, 7, 1, 1) = 0, "", OFFSET('IWP01'!Std10dot4Withdrawals, 15, 7, 1, 1))</f>
        <v/>
      </c>
    </row>
    <row r="2089" spans="1:5">
      <c r="A2089" s="206" t="s">
        <v>1060</v>
      </c>
      <c r="B2089" s="157">
        <f ca="1">IF(OFFSET('IWP01'!Std10dot4Withdrawals, 16, 0, 1, 1) = DATE(1900,1,0),DATE(1900,1,1),OFFSET('IWP01'!Std10dot4Withdrawals, 16, 0, 1, 1))</f>
        <v>1</v>
      </c>
      <c r="C2089" s="155">
        <f ca="1">OFFSET('IWP01'!Std10dot4Withdrawals, 16, 2, 1, 1)</f>
        <v>0</v>
      </c>
      <c r="D2089" s="151" t="str">
        <f ca="1">IF(OFFSET('IWP01'!Std10dot4Withdrawals, 16, 4, 1, 1) = 0, "", OFFSET('IWP01'!Std10dot4Withdrawals, 16, 4, 1, 1))</f>
        <v/>
      </c>
      <c r="E2089" s="207" t="str">
        <f ca="1">IF(OFFSET('IWP01'!Std10dot4Withdrawals, 16, 7, 1, 1) = 0, "", OFFSET('IWP01'!Std10dot4Withdrawals, 16, 7, 1, 1))</f>
        <v/>
      </c>
    </row>
    <row r="2090" spans="1:5">
      <c r="A2090" s="206" t="s">
        <v>1060</v>
      </c>
      <c r="B2090" s="157">
        <f ca="1">IF(OFFSET('IWP01'!Std10dot4Withdrawals, 17, 0, 1, 1) = DATE(1900,1,0),DATE(1900,1,1),OFFSET('IWP01'!Std10dot4Withdrawals, 17, 0, 1, 1))</f>
        <v>1</v>
      </c>
      <c r="C2090" s="155">
        <f ca="1">OFFSET('IWP01'!Std10dot4Withdrawals, 17, 2, 1, 1)</f>
        <v>0</v>
      </c>
      <c r="D2090" s="151" t="str">
        <f ca="1">IF(OFFSET('IWP01'!Std10dot4Withdrawals, 17, 4, 1, 1) = 0, "", OFFSET('IWP01'!Std10dot4Withdrawals, 17, 4, 1, 1))</f>
        <v/>
      </c>
      <c r="E2090" s="207" t="str">
        <f ca="1">IF(OFFSET('IWP01'!Std10dot4Withdrawals, 17, 7, 1, 1) = 0, "", OFFSET('IWP01'!Std10dot4Withdrawals, 17, 7, 1, 1))</f>
        <v/>
      </c>
    </row>
    <row r="2091" spans="1:5">
      <c r="A2091" s="206" t="s">
        <v>1060</v>
      </c>
      <c r="B2091" s="157">
        <f ca="1">IF(OFFSET('IWP01'!Std10dot4Withdrawals, 18, 0, 1, 1) = DATE(1900,1,0),DATE(1900,1,1),OFFSET('IWP01'!Std10dot4Withdrawals, 18, 0, 1, 1))</f>
        <v>1</v>
      </c>
      <c r="C2091" s="155">
        <f ca="1">OFFSET('IWP01'!Std10dot4Withdrawals, 18, 2, 1, 1)</f>
        <v>0</v>
      </c>
      <c r="D2091" s="151" t="str">
        <f ca="1">IF(OFFSET('IWP01'!Std10dot4Withdrawals, 18, 4, 1, 1) = 0, "", OFFSET('IWP01'!Std10dot4Withdrawals, 18, 4, 1, 1))</f>
        <v/>
      </c>
      <c r="E2091" s="207" t="str">
        <f ca="1">IF(OFFSET('IWP01'!Std10dot4Withdrawals, 18, 7, 1, 1) = 0, "", OFFSET('IWP01'!Std10dot4Withdrawals, 18, 7, 1, 1))</f>
        <v/>
      </c>
    </row>
    <row r="2092" spans="1:5">
      <c r="A2092" s="206" t="s">
        <v>1060</v>
      </c>
      <c r="B2092" s="157">
        <f ca="1">IF(OFFSET('IWP01'!Std10dot4Withdrawals, 19, 0, 1, 1) = DATE(1900,1,0),DATE(1900,1,1),OFFSET('IWP01'!Std10dot4Withdrawals, 19, 0, 1, 1))</f>
        <v>1</v>
      </c>
      <c r="C2092" s="155">
        <f ca="1">OFFSET('IWP01'!Std10dot4Withdrawals, 19, 2, 1, 1)</f>
        <v>0</v>
      </c>
      <c r="D2092" s="151" t="str">
        <f ca="1">IF(OFFSET('IWP01'!Std10dot4Withdrawals, 19, 4, 1, 1) = 0, "", OFFSET('IWP01'!Std10dot4Withdrawals, 19, 4, 1, 1))</f>
        <v/>
      </c>
      <c r="E2092" s="207" t="str">
        <f ca="1">IF(OFFSET('IWP01'!Std10dot4Withdrawals, 19, 7, 1, 1) = 0, "", OFFSET('IWP01'!Std10dot4Withdrawals, 19, 7, 1, 1))</f>
        <v/>
      </c>
    </row>
    <row r="2093" spans="1:5">
      <c r="A2093" s="206" t="s">
        <v>1193</v>
      </c>
      <c r="B2093" s="157">
        <f ca="1">IF(OFFSET('IWP02'!Std10dot4Withdrawals, 0, 0, 1, 1) = DATE(1900,1,0),DATE(1900,1,1),OFFSET('IWP02'!Std10dot4Withdrawals, 0, 0, 1, 1))</f>
        <v>1</v>
      </c>
      <c r="C2093" s="155">
        <f ca="1">OFFSET('IWP02'!Std10dot4Withdrawals, 0, 2, 1, 1)</f>
        <v>0</v>
      </c>
      <c r="D2093" s="151" t="str">
        <f ca="1">IF(OFFSET('IWP02'!Std10dot4Withdrawals, 0, 4, 1, 1) = 0, "", OFFSET('IWP02'!Std10dot4Withdrawals, 0, 4, 1, 1))</f>
        <v/>
      </c>
      <c r="E2093" s="207" t="str">
        <f ca="1">IF(OFFSET('IWP02'!Std10dot4Withdrawals, 0, 7, 1, 1) = 0, "", OFFSET('IWP02'!Std10dot4Withdrawals, 0, 7, 1, 1))</f>
        <v/>
      </c>
    </row>
    <row r="2094" spans="1:5">
      <c r="A2094" s="206" t="s">
        <v>1193</v>
      </c>
      <c r="B2094" s="157">
        <f ca="1">IF(OFFSET('IWP02'!Std10dot4Withdrawals, 1, 0, 1, 1) = DATE(1900,1,0),DATE(1900,1,1),OFFSET('IWP02'!Std10dot4Withdrawals, 1, 0, 1, 1))</f>
        <v>1</v>
      </c>
      <c r="C2094" s="155">
        <f ca="1">OFFSET('IWP02'!Std10dot4Withdrawals, 1, 2, 1, 1)</f>
        <v>0</v>
      </c>
      <c r="D2094" s="151" t="str">
        <f ca="1">IF(OFFSET('IWP02'!Std10dot4Withdrawals, 1, 4, 1, 1) = 0, "", OFFSET('IWP02'!Std10dot4Withdrawals, 1, 4, 1, 1))</f>
        <v/>
      </c>
      <c r="E2094" s="207" t="str">
        <f ca="1">IF(OFFSET('IWP02'!Std10dot4Withdrawals, 1, 7, 1, 1) = 0, "", OFFSET('IWP02'!Std10dot4Withdrawals, 1, 7, 1, 1))</f>
        <v/>
      </c>
    </row>
    <row r="2095" spans="1:5">
      <c r="A2095" s="206" t="s">
        <v>1193</v>
      </c>
      <c r="B2095" s="157">
        <f ca="1">IF(OFFSET('IWP02'!Std10dot4Withdrawals, 2, 0, 1, 1) = DATE(1900,1,0),DATE(1900,1,1),OFFSET('IWP02'!Std10dot4Withdrawals, 2, 0, 1, 1))</f>
        <v>1</v>
      </c>
      <c r="C2095" s="155">
        <f ca="1">OFFSET('IWP02'!Std10dot4Withdrawals, 2, 2, 1, 1)</f>
        <v>0</v>
      </c>
      <c r="D2095" s="151" t="str">
        <f ca="1">IF(OFFSET('IWP02'!Std10dot4Withdrawals, 2, 4, 1, 1) = 0, "", OFFSET('IWP02'!Std10dot4Withdrawals, 2, 4, 1, 1))</f>
        <v/>
      </c>
      <c r="E2095" s="207" t="str">
        <f ca="1">IF(OFFSET('IWP02'!Std10dot4Withdrawals, 2, 7, 1, 1) = 0, "", OFFSET('IWP02'!Std10dot4Withdrawals, 2, 7, 1, 1))</f>
        <v/>
      </c>
    </row>
    <row r="2096" spans="1:5">
      <c r="A2096" s="206" t="s">
        <v>1193</v>
      </c>
      <c r="B2096" s="157">
        <f ca="1">IF(OFFSET('IWP02'!Std10dot4Withdrawals, 3, 0, 1, 1) = DATE(1900,1,0),DATE(1900,1,1),OFFSET('IWP02'!Std10dot4Withdrawals, 3, 0, 1, 1))</f>
        <v>1</v>
      </c>
      <c r="C2096" s="155">
        <f ca="1">OFFSET('IWP02'!Std10dot4Withdrawals, 3, 2, 1, 1)</f>
        <v>0</v>
      </c>
      <c r="D2096" s="151" t="str">
        <f ca="1">IF(OFFSET('IWP02'!Std10dot4Withdrawals, 3, 4, 1, 1) = 0, "", OFFSET('IWP02'!Std10dot4Withdrawals, 3, 4, 1, 1))</f>
        <v/>
      </c>
      <c r="E2096" s="207" t="str">
        <f ca="1">IF(OFFSET('IWP02'!Std10dot4Withdrawals, 3, 7, 1, 1) = 0, "", OFFSET('IWP02'!Std10dot4Withdrawals, 3, 7, 1, 1))</f>
        <v/>
      </c>
    </row>
    <row r="2097" spans="1:5">
      <c r="A2097" s="206" t="s">
        <v>1193</v>
      </c>
      <c r="B2097" s="157">
        <f ca="1">IF(OFFSET('IWP02'!Std10dot4Withdrawals, 4, 0, 1, 1) = DATE(1900,1,0),DATE(1900,1,1),OFFSET('IWP02'!Std10dot4Withdrawals, 4, 0, 1, 1))</f>
        <v>1</v>
      </c>
      <c r="C2097" s="155">
        <f ca="1">OFFSET('IWP02'!Std10dot4Withdrawals, 4, 2, 1, 1)</f>
        <v>0</v>
      </c>
      <c r="D2097" s="151" t="str">
        <f ca="1">IF(OFFSET('IWP02'!Std10dot4Withdrawals, 4, 4, 1, 1) = 0, "", OFFSET('IWP02'!Std10dot4Withdrawals, 4, 4, 1, 1))</f>
        <v/>
      </c>
      <c r="E2097" s="207" t="str">
        <f ca="1">IF(OFFSET('IWP02'!Std10dot4Withdrawals, 4, 7, 1, 1) = 0, "", OFFSET('IWP02'!Std10dot4Withdrawals, 4, 7, 1, 1))</f>
        <v/>
      </c>
    </row>
    <row r="2098" spans="1:5">
      <c r="A2098" s="206" t="s">
        <v>1193</v>
      </c>
      <c r="B2098" s="157">
        <f ca="1">IF(OFFSET('IWP02'!Std10dot4Withdrawals, 5, 0, 1, 1) = DATE(1900,1,0),DATE(1900,1,1),OFFSET('IWP02'!Std10dot4Withdrawals, 5, 0, 1, 1))</f>
        <v>1</v>
      </c>
      <c r="C2098" s="155">
        <f ca="1">OFFSET('IWP02'!Std10dot4Withdrawals, 5, 2, 1, 1)</f>
        <v>0</v>
      </c>
      <c r="D2098" s="151" t="str">
        <f ca="1">IF(OFFSET('IWP02'!Std10dot4Withdrawals, 5, 4, 1, 1) = 0, "", OFFSET('IWP02'!Std10dot4Withdrawals, 5, 4, 1, 1))</f>
        <v/>
      </c>
      <c r="E2098" s="207" t="str">
        <f ca="1">IF(OFFSET('IWP02'!Std10dot4Withdrawals, 5, 7, 1, 1) = 0, "", OFFSET('IWP02'!Std10dot4Withdrawals, 5, 7, 1, 1))</f>
        <v/>
      </c>
    </row>
    <row r="2099" spans="1:5">
      <c r="A2099" s="206" t="s">
        <v>1193</v>
      </c>
      <c r="B2099" s="157">
        <f ca="1">IF(OFFSET('IWP02'!Std10dot4Withdrawals, 6, 0, 1, 1) = DATE(1900,1,0),DATE(1900,1,1),OFFSET('IWP02'!Std10dot4Withdrawals, 6, 0, 1, 1))</f>
        <v>1</v>
      </c>
      <c r="C2099" s="155">
        <f ca="1">OFFSET('IWP02'!Std10dot4Withdrawals, 6, 2, 1, 1)</f>
        <v>0</v>
      </c>
      <c r="D2099" s="151" t="str">
        <f ca="1">IF(OFFSET('IWP02'!Std10dot4Withdrawals, 6, 4, 1, 1) = 0, "", OFFSET('IWP02'!Std10dot4Withdrawals, 6, 4, 1, 1))</f>
        <v/>
      </c>
      <c r="E2099" s="207" t="str">
        <f ca="1">IF(OFFSET('IWP02'!Std10dot4Withdrawals, 6, 7, 1, 1) = 0, "", OFFSET('IWP02'!Std10dot4Withdrawals, 6, 7, 1, 1))</f>
        <v/>
      </c>
    </row>
    <row r="2100" spans="1:5">
      <c r="A2100" s="206" t="s">
        <v>1193</v>
      </c>
      <c r="B2100" s="157">
        <f ca="1">IF(OFFSET('IWP02'!Std10dot4Withdrawals, 7, 0, 1, 1) = DATE(1900,1,0),DATE(1900,1,1),OFFSET('IWP02'!Std10dot4Withdrawals, 7, 0, 1, 1))</f>
        <v>1</v>
      </c>
      <c r="C2100" s="155">
        <f ca="1">OFFSET('IWP02'!Std10dot4Withdrawals, 7, 2, 1, 1)</f>
        <v>0</v>
      </c>
      <c r="D2100" s="151" t="str">
        <f ca="1">IF(OFFSET('IWP02'!Std10dot4Withdrawals, 7, 4, 1, 1) = 0, "", OFFSET('IWP02'!Std10dot4Withdrawals, 7, 4, 1, 1))</f>
        <v/>
      </c>
      <c r="E2100" s="207" t="str">
        <f ca="1">IF(OFFSET('IWP02'!Std10dot4Withdrawals, 7, 7, 1, 1) = 0, "", OFFSET('IWP02'!Std10dot4Withdrawals, 7, 7, 1, 1))</f>
        <v/>
      </c>
    </row>
    <row r="2101" spans="1:5">
      <c r="A2101" s="206" t="s">
        <v>1193</v>
      </c>
      <c r="B2101" s="157">
        <f ca="1">IF(OFFSET('IWP02'!Std10dot4Withdrawals, 8, 0, 1, 1) = DATE(1900,1,0),DATE(1900,1,1),OFFSET('IWP02'!Std10dot4Withdrawals, 8, 0, 1, 1))</f>
        <v>1</v>
      </c>
      <c r="C2101" s="155">
        <f ca="1">OFFSET('IWP02'!Std10dot4Withdrawals, 8, 2, 1, 1)</f>
        <v>0</v>
      </c>
      <c r="D2101" s="151" t="str">
        <f ca="1">IF(OFFSET('IWP02'!Std10dot4Withdrawals, 8, 4, 1, 1) = 0, "", OFFSET('IWP02'!Std10dot4Withdrawals, 8, 4, 1, 1))</f>
        <v/>
      </c>
      <c r="E2101" s="207" t="str">
        <f ca="1">IF(OFFSET('IWP02'!Std10dot4Withdrawals, 8, 7, 1, 1) = 0, "", OFFSET('IWP02'!Std10dot4Withdrawals, 8, 7, 1, 1))</f>
        <v/>
      </c>
    </row>
    <row r="2102" spans="1:5">
      <c r="A2102" s="206" t="s">
        <v>1193</v>
      </c>
      <c r="B2102" s="157">
        <f ca="1">IF(OFFSET('IWP02'!Std10dot4Withdrawals, 9, 0, 1, 1) = DATE(1900,1,0),DATE(1900,1,1),OFFSET('IWP02'!Std10dot4Withdrawals, 9, 0, 1, 1))</f>
        <v>1</v>
      </c>
      <c r="C2102" s="155">
        <f ca="1">OFFSET('IWP02'!Std10dot4Withdrawals, 9, 2, 1, 1)</f>
        <v>0</v>
      </c>
      <c r="D2102" s="151" t="str">
        <f ca="1">IF(OFFSET('IWP02'!Std10dot4Withdrawals, 9, 4, 1, 1) = 0, "", OFFSET('IWP02'!Std10dot4Withdrawals, 9, 4, 1, 1))</f>
        <v/>
      </c>
      <c r="E2102" s="207" t="str">
        <f ca="1">IF(OFFSET('IWP02'!Std10dot4Withdrawals, 9, 7, 1, 1) = 0, "", OFFSET('IWP02'!Std10dot4Withdrawals, 9, 7, 1, 1))</f>
        <v/>
      </c>
    </row>
    <row r="2103" spans="1:5">
      <c r="A2103" s="206" t="s">
        <v>1193</v>
      </c>
      <c r="B2103" s="157">
        <f ca="1">IF(OFFSET('IWP02'!Std10dot4Withdrawals, 10, 0, 1, 1) = DATE(1900,1,0),DATE(1900,1,1),OFFSET('IWP02'!Std10dot4Withdrawals, 10, 0, 1, 1))</f>
        <v>1</v>
      </c>
      <c r="C2103" s="155">
        <f ca="1">OFFSET('IWP02'!Std10dot4Withdrawals, 10, 2, 1, 1)</f>
        <v>0</v>
      </c>
      <c r="D2103" s="151" t="str">
        <f ca="1">IF(OFFSET('IWP02'!Std10dot4Withdrawals, 10, 4, 1, 1) = 0, "", OFFSET('IWP02'!Std10dot4Withdrawals, 10, 4, 1, 1))</f>
        <v/>
      </c>
      <c r="E2103" s="207" t="str">
        <f ca="1">IF(OFFSET('IWP02'!Std10dot4Withdrawals, 10, 7, 1, 1) = 0, "", OFFSET('IWP02'!Std10dot4Withdrawals, 10, 7, 1, 1))</f>
        <v/>
      </c>
    </row>
    <row r="2104" spans="1:5">
      <c r="A2104" s="206" t="s">
        <v>1193</v>
      </c>
      <c r="B2104" s="157">
        <f ca="1">IF(OFFSET('IWP02'!Std10dot4Withdrawals, 11, 0, 1, 1) = DATE(1900,1,0),DATE(1900,1,1),OFFSET('IWP02'!Std10dot4Withdrawals, 11, 0, 1, 1))</f>
        <v>1</v>
      </c>
      <c r="C2104" s="155">
        <f ca="1">OFFSET('IWP02'!Std10dot4Withdrawals, 11, 2, 1, 1)</f>
        <v>0</v>
      </c>
      <c r="D2104" s="151" t="str">
        <f ca="1">IF(OFFSET('IWP02'!Std10dot4Withdrawals, 11, 4, 1, 1) = 0, "", OFFSET('IWP02'!Std10dot4Withdrawals, 11, 4, 1, 1))</f>
        <v/>
      </c>
      <c r="E2104" s="207" t="str">
        <f ca="1">IF(OFFSET('IWP02'!Std10dot4Withdrawals, 11, 7, 1, 1) = 0, "", OFFSET('IWP02'!Std10dot4Withdrawals, 11, 7, 1, 1))</f>
        <v/>
      </c>
    </row>
    <row r="2105" spans="1:5">
      <c r="A2105" s="206" t="s">
        <v>1193</v>
      </c>
      <c r="B2105" s="157">
        <f ca="1">IF(OFFSET('IWP02'!Std10dot4Withdrawals, 12, 0, 1, 1) = DATE(1900,1,0),DATE(1900,1,1),OFFSET('IWP02'!Std10dot4Withdrawals, 12, 0, 1, 1))</f>
        <v>1</v>
      </c>
      <c r="C2105" s="155">
        <f ca="1">OFFSET('IWP02'!Std10dot4Withdrawals, 12, 2, 1, 1)</f>
        <v>0</v>
      </c>
      <c r="D2105" s="151" t="str">
        <f ca="1">IF(OFFSET('IWP02'!Std10dot4Withdrawals, 12, 4, 1, 1) = 0, "", OFFSET('IWP02'!Std10dot4Withdrawals, 12, 4, 1, 1))</f>
        <v/>
      </c>
      <c r="E2105" s="207" t="str">
        <f ca="1">IF(OFFSET('IWP02'!Std10dot4Withdrawals, 12, 7, 1, 1) = 0, "", OFFSET('IWP02'!Std10dot4Withdrawals, 12, 7, 1, 1))</f>
        <v/>
      </c>
    </row>
    <row r="2106" spans="1:5">
      <c r="A2106" s="206" t="s">
        <v>1193</v>
      </c>
      <c r="B2106" s="157">
        <f ca="1">IF(OFFSET('IWP02'!Std10dot4Withdrawals, 13, 0, 1, 1) = DATE(1900,1,0),DATE(1900,1,1),OFFSET('IWP02'!Std10dot4Withdrawals, 13, 0, 1, 1))</f>
        <v>1</v>
      </c>
      <c r="C2106" s="155">
        <f ca="1">OFFSET('IWP02'!Std10dot4Withdrawals, 13, 2, 1, 1)</f>
        <v>0</v>
      </c>
      <c r="D2106" s="151" t="str">
        <f ca="1">IF(OFFSET('IWP02'!Std10dot4Withdrawals, 13, 4, 1, 1) = 0, "", OFFSET('IWP02'!Std10dot4Withdrawals, 13, 4, 1, 1))</f>
        <v/>
      </c>
      <c r="E2106" s="207" t="str">
        <f ca="1">IF(OFFSET('IWP02'!Std10dot4Withdrawals, 13, 7, 1, 1) = 0, "", OFFSET('IWP02'!Std10dot4Withdrawals, 13, 7, 1, 1))</f>
        <v/>
      </c>
    </row>
    <row r="2107" spans="1:5">
      <c r="A2107" s="206" t="s">
        <v>1193</v>
      </c>
      <c r="B2107" s="157">
        <f ca="1">IF(OFFSET('IWP02'!Std10dot4Withdrawals, 14, 0, 1, 1) = DATE(1900,1,0),DATE(1900,1,1),OFFSET('IWP02'!Std10dot4Withdrawals, 14, 0, 1, 1))</f>
        <v>1</v>
      </c>
      <c r="C2107" s="155">
        <f ca="1">OFFSET('IWP02'!Std10dot4Withdrawals, 14, 2, 1, 1)</f>
        <v>0</v>
      </c>
      <c r="D2107" s="151" t="str">
        <f ca="1">IF(OFFSET('IWP02'!Std10dot4Withdrawals, 14, 4, 1, 1) = 0, "", OFFSET('IWP02'!Std10dot4Withdrawals, 14, 4, 1, 1))</f>
        <v/>
      </c>
      <c r="E2107" s="207" t="str">
        <f ca="1">IF(OFFSET('IWP02'!Std10dot4Withdrawals, 14, 7, 1, 1) = 0, "", OFFSET('IWP02'!Std10dot4Withdrawals, 14, 7, 1, 1))</f>
        <v/>
      </c>
    </row>
    <row r="2108" spans="1:5">
      <c r="A2108" s="206" t="s">
        <v>1193</v>
      </c>
      <c r="B2108" s="157">
        <f ca="1">IF(OFFSET('IWP02'!Std10dot4Withdrawals, 15, 0, 1, 1) = DATE(1900,1,0),DATE(1900,1,1),OFFSET('IWP02'!Std10dot4Withdrawals, 15, 0, 1, 1))</f>
        <v>1</v>
      </c>
      <c r="C2108" s="155">
        <f ca="1">OFFSET('IWP02'!Std10dot4Withdrawals, 15, 2, 1, 1)</f>
        <v>0</v>
      </c>
      <c r="D2108" s="151" t="str">
        <f ca="1">IF(OFFSET('IWP02'!Std10dot4Withdrawals, 15, 4, 1, 1) = 0, "", OFFSET('IWP02'!Std10dot4Withdrawals, 15, 4, 1, 1))</f>
        <v/>
      </c>
      <c r="E2108" s="207" t="str">
        <f ca="1">IF(OFFSET('IWP02'!Std10dot4Withdrawals, 15, 7, 1, 1) = 0, "", OFFSET('IWP02'!Std10dot4Withdrawals, 15, 7, 1, 1))</f>
        <v/>
      </c>
    </row>
    <row r="2109" spans="1:5">
      <c r="A2109" s="206" t="s">
        <v>1193</v>
      </c>
      <c r="B2109" s="157">
        <f ca="1">IF(OFFSET('IWP02'!Std10dot4Withdrawals, 16, 0, 1, 1) = DATE(1900,1,0),DATE(1900,1,1),OFFSET('IWP02'!Std10dot4Withdrawals, 16, 0, 1, 1))</f>
        <v>1</v>
      </c>
      <c r="C2109" s="155">
        <f ca="1">OFFSET('IWP02'!Std10dot4Withdrawals, 16, 2, 1, 1)</f>
        <v>0</v>
      </c>
      <c r="D2109" s="151" t="str">
        <f ca="1">IF(OFFSET('IWP02'!Std10dot4Withdrawals, 16, 4, 1, 1) = 0, "", OFFSET('IWP02'!Std10dot4Withdrawals, 16, 4, 1, 1))</f>
        <v/>
      </c>
      <c r="E2109" s="207" t="str">
        <f ca="1">IF(OFFSET('IWP02'!Std10dot4Withdrawals, 16, 7, 1, 1) = 0, "", OFFSET('IWP02'!Std10dot4Withdrawals, 16, 7, 1, 1))</f>
        <v/>
      </c>
    </row>
    <row r="2110" spans="1:5">
      <c r="A2110" s="206" t="s">
        <v>1193</v>
      </c>
      <c r="B2110" s="157">
        <f ca="1">IF(OFFSET('IWP02'!Std10dot4Withdrawals, 17, 0, 1, 1) = DATE(1900,1,0),DATE(1900,1,1),OFFSET('IWP02'!Std10dot4Withdrawals, 17, 0, 1, 1))</f>
        <v>1</v>
      </c>
      <c r="C2110" s="155">
        <f ca="1">OFFSET('IWP02'!Std10dot4Withdrawals, 17, 2, 1, 1)</f>
        <v>0</v>
      </c>
      <c r="D2110" s="151" t="str">
        <f ca="1">IF(OFFSET('IWP02'!Std10dot4Withdrawals, 17, 4, 1, 1) = 0, "", OFFSET('IWP02'!Std10dot4Withdrawals, 17, 4, 1, 1))</f>
        <v/>
      </c>
      <c r="E2110" s="207" t="str">
        <f ca="1">IF(OFFSET('IWP02'!Std10dot4Withdrawals, 17, 7, 1, 1) = 0, "", OFFSET('IWP02'!Std10dot4Withdrawals, 17, 7, 1, 1))</f>
        <v/>
      </c>
    </row>
    <row r="2111" spans="1:5">
      <c r="A2111" s="206" t="s">
        <v>1193</v>
      </c>
      <c r="B2111" s="157">
        <f ca="1">IF(OFFSET('IWP02'!Std10dot4Withdrawals, 18, 0, 1, 1) = DATE(1900,1,0),DATE(1900,1,1),OFFSET('IWP02'!Std10dot4Withdrawals, 18, 0, 1, 1))</f>
        <v>1</v>
      </c>
      <c r="C2111" s="155">
        <f ca="1">OFFSET('IWP02'!Std10dot4Withdrawals, 18, 2, 1, 1)</f>
        <v>0</v>
      </c>
      <c r="D2111" s="151" t="str">
        <f ca="1">IF(OFFSET('IWP02'!Std10dot4Withdrawals, 18, 4, 1, 1) = 0, "", OFFSET('IWP02'!Std10dot4Withdrawals, 18, 4, 1, 1))</f>
        <v/>
      </c>
      <c r="E2111" s="207" t="str">
        <f ca="1">IF(OFFSET('IWP02'!Std10dot4Withdrawals, 18, 7, 1, 1) = 0, "", OFFSET('IWP02'!Std10dot4Withdrawals, 18, 7, 1, 1))</f>
        <v/>
      </c>
    </row>
    <row r="2112" spans="1:5">
      <c r="A2112" s="206" t="s">
        <v>1193</v>
      </c>
      <c r="B2112" s="157">
        <f ca="1">IF(OFFSET('IWP02'!Std10dot4Withdrawals, 19, 0, 1, 1) = DATE(1900,1,0),DATE(1900,1,1),OFFSET('IWP02'!Std10dot4Withdrawals, 19, 0, 1, 1))</f>
        <v>1</v>
      </c>
      <c r="C2112" s="155">
        <f ca="1">OFFSET('IWP02'!Std10dot4Withdrawals, 19, 2, 1, 1)</f>
        <v>0</v>
      </c>
      <c r="D2112" s="151" t="str">
        <f ca="1">IF(OFFSET('IWP02'!Std10dot4Withdrawals, 19, 4, 1, 1) = 0, "", OFFSET('IWP02'!Std10dot4Withdrawals, 19, 4, 1, 1))</f>
        <v/>
      </c>
      <c r="E2112" s="207" t="str">
        <f ca="1">IF(OFFSET('IWP02'!Std10dot4Withdrawals, 19, 7, 1, 1) = 0, "", OFFSET('IWP02'!Std10dot4Withdrawals, 19, 7, 1, 1))</f>
        <v/>
      </c>
    </row>
    <row r="2113" spans="1:5">
      <c r="A2113" s="206" t="s">
        <v>1194</v>
      </c>
      <c r="B2113" s="157">
        <f ca="1">IF(OFFSET('IWP03'!Std10dot4Withdrawals, 0, 0, 1, 1) = DATE(1900,1,0),DATE(1900,1,1),OFFSET('IWP03'!Std10dot4Withdrawals, 0, 0, 1, 1))</f>
        <v>1</v>
      </c>
      <c r="C2113" s="155">
        <f ca="1">OFFSET('IWP03'!Std10dot4Withdrawals, 0, 2, 1, 1)</f>
        <v>0</v>
      </c>
      <c r="D2113" s="151" t="str">
        <f ca="1">IF(OFFSET('IWP03'!Std10dot4Withdrawals, 0, 4, 1, 1) = 0, "", OFFSET('IWP03'!Std10dot4Withdrawals, 0, 4, 1, 1))</f>
        <v/>
      </c>
      <c r="E2113" s="207" t="str">
        <f ca="1">IF(OFFSET('IWP03'!Std10dot4Withdrawals, 0, 7, 1, 1) = 0, "", OFFSET('IWP03'!Std10dot4Withdrawals, 0, 7, 1, 1))</f>
        <v/>
      </c>
    </row>
    <row r="2114" spans="1:5">
      <c r="A2114" s="206" t="s">
        <v>1194</v>
      </c>
      <c r="B2114" s="157">
        <f ca="1">IF(OFFSET('IWP03'!Std10dot4Withdrawals, 1, 0, 1, 1) = DATE(1900,1,0),DATE(1900,1,1),OFFSET('IWP03'!Std10dot4Withdrawals, 1, 0, 1, 1))</f>
        <v>1</v>
      </c>
      <c r="C2114" s="155">
        <f ca="1">OFFSET('IWP03'!Std10dot4Withdrawals, 1, 2, 1, 1)</f>
        <v>0</v>
      </c>
      <c r="D2114" s="151" t="str">
        <f ca="1">IF(OFFSET('IWP03'!Std10dot4Withdrawals, 1, 4, 1, 1) = 0, "", OFFSET('IWP03'!Std10dot4Withdrawals, 1, 4, 1, 1))</f>
        <v/>
      </c>
      <c r="E2114" s="207" t="str">
        <f ca="1">IF(OFFSET('IWP03'!Std10dot4Withdrawals, 1, 7, 1, 1) = 0, "", OFFSET('IWP03'!Std10dot4Withdrawals, 1, 7, 1, 1))</f>
        <v/>
      </c>
    </row>
    <row r="2115" spans="1:5">
      <c r="A2115" s="206" t="s">
        <v>1194</v>
      </c>
      <c r="B2115" s="157">
        <f ca="1">IF(OFFSET('IWP03'!Std10dot4Withdrawals, 2, 0, 1, 1) = DATE(1900,1,0),DATE(1900,1,1),OFFSET('IWP03'!Std10dot4Withdrawals, 2, 0, 1, 1))</f>
        <v>1</v>
      </c>
      <c r="C2115" s="155">
        <f ca="1">OFFSET('IWP03'!Std10dot4Withdrawals, 2, 2, 1, 1)</f>
        <v>0</v>
      </c>
      <c r="D2115" s="151" t="str">
        <f ca="1">IF(OFFSET('IWP03'!Std10dot4Withdrawals, 2, 4, 1, 1) = 0, "", OFFSET('IWP03'!Std10dot4Withdrawals, 2, 4, 1, 1))</f>
        <v/>
      </c>
      <c r="E2115" s="207" t="str">
        <f ca="1">IF(OFFSET('IWP03'!Std10dot4Withdrawals, 2, 7, 1, 1) = 0, "", OFFSET('IWP03'!Std10dot4Withdrawals, 2, 7, 1, 1))</f>
        <v/>
      </c>
    </row>
    <row r="2116" spans="1:5">
      <c r="A2116" s="206" t="s">
        <v>1194</v>
      </c>
      <c r="B2116" s="157">
        <f ca="1">IF(OFFSET('IWP03'!Std10dot4Withdrawals, 3, 0, 1, 1) = DATE(1900,1,0),DATE(1900,1,1),OFFSET('IWP03'!Std10dot4Withdrawals, 3, 0, 1, 1))</f>
        <v>1</v>
      </c>
      <c r="C2116" s="155">
        <f ca="1">OFFSET('IWP03'!Std10dot4Withdrawals, 3, 2, 1, 1)</f>
        <v>0</v>
      </c>
      <c r="D2116" s="151" t="str">
        <f ca="1">IF(OFFSET('IWP03'!Std10dot4Withdrawals, 3, 4, 1, 1) = 0, "", OFFSET('IWP03'!Std10dot4Withdrawals, 3, 4, 1, 1))</f>
        <v/>
      </c>
      <c r="E2116" s="207" t="str">
        <f ca="1">IF(OFFSET('IWP03'!Std10dot4Withdrawals, 3, 7, 1, 1) = 0, "", OFFSET('IWP03'!Std10dot4Withdrawals, 3, 7, 1, 1))</f>
        <v/>
      </c>
    </row>
    <row r="2117" spans="1:5">
      <c r="A2117" s="206" t="s">
        <v>1194</v>
      </c>
      <c r="B2117" s="157">
        <f ca="1">IF(OFFSET('IWP03'!Std10dot4Withdrawals, 4, 0, 1, 1) = DATE(1900,1,0),DATE(1900,1,1),OFFSET('IWP03'!Std10dot4Withdrawals, 4, 0, 1, 1))</f>
        <v>1</v>
      </c>
      <c r="C2117" s="155">
        <f ca="1">OFFSET('IWP03'!Std10dot4Withdrawals, 4, 2, 1, 1)</f>
        <v>0</v>
      </c>
      <c r="D2117" s="151" t="str">
        <f ca="1">IF(OFFSET('IWP03'!Std10dot4Withdrawals, 4, 4, 1, 1) = 0, "", OFFSET('IWP03'!Std10dot4Withdrawals, 4, 4, 1, 1))</f>
        <v/>
      </c>
      <c r="E2117" s="207" t="str">
        <f ca="1">IF(OFFSET('IWP03'!Std10dot4Withdrawals, 4, 7, 1, 1) = 0, "", OFFSET('IWP03'!Std10dot4Withdrawals, 4, 7, 1, 1))</f>
        <v/>
      </c>
    </row>
    <row r="2118" spans="1:5">
      <c r="A2118" s="206" t="s">
        <v>1194</v>
      </c>
      <c r="B2118" s="157">
        <f ca="1">IF(OFFSET('IWP03'!Std10dot4Withdrawals, 5, 0, 1, 1) = DATE(1900,1,0),DATE(1900,1,1),OFFSET('IWP03'!Std10dot4Withdrawals, 5, 0, 1, 1))</f>
        <v>1</v>
      </c>
      <c r="C2118" s="155">
        <f ca="1">OFFSET('IWP03'!Std10dot4Withdrawals, 5, 2, 1, 1)</f>
        <v>0</v>
      </c>
      <c r="D2118" s="151" t="str">
        <f ca="1">IF(OFFSET('IWP03'!Std10dot4Withdrawals, 5, 4, 1, 1) = 0, "", OFFSET('IWP03'!Std10dot4Withdrawals, 5, 4, 1, 1))</f>
        <v/>
      </c>
      <c r="E2118" s="207" t="str">
        <f ca="1">IF(OFFSET('IWP03'!Std10dot4Withdrawals, 5, 7, 1, 1) = 0, "", OFFSET('IWP03'!Std10dot4Withdrawals, 5, 7, 1, 1))</f>
        <v/>
      </c>
    </row>
    <row r="2119" spans="1:5">
      <c r="A2119" s="206" t="s">
        <v>1194</v>
      </c>
      <c r="B2119" s="157">
        <f ca="1">IF(OFFSET('IWP03'!Std10dot4Withdrawals, 6, 0, 1, 1) = DATE(1900,1,0),DATE(1900,1,1),OFFSET('IWP03'!Std10dot4Withdrawals, 6, 0, 1, 1))</f>
        <v>1</v>
      </c>
      <c r="C2119" s="155">
        <f ca="1">OFFSET('IWP03'!Std10dot4Withdrawals, 6, 2, 1, 1)</f>
        <v>0</v>
      </c>
      <c r="D2119" s="151" t="str">
        <f ca="1">IF(OFFSET('IWP03'!Std10dot4Withdrawals, 6, 4, 1, 1) = 0, "", OFFSET('IWP03'!Std10dot4Withdrawals, 6, 4, 1, 1))</f>
        <v/>
      </c>
      <c r="E2119" s="207" t="str">
        <f ca="1">IF(OFFSET('IWP03'!Std10dot4Withdrawals, 6, 7, 1, 1) = 0, "", OFFSET('IWP03'!Std10dot4Withdrawals, 6, 7, 1, 1))</f>
        <v/>
      </c>
    </row>
    <row r="2120" spans="1:5">
      <c r="A2120" s="206" t="s">
        <v>1194</v>
      </c>
      <c r="B2120" s="157">
        <f ca="1">IF(OFFSET('IWP03'!Std10dot4Withdrawals, 7, 0, 1, 1) = DATE(1900,1,0),DATE(1900,1,1),OFFSET('IWP03'!Std10dot4Withdrawals, 7, 0, 1, 1))</f>
        <v>1</v>
      </c>
      <c r="C2120" s="155">
        <f ca="1">OFFSET('IWP03'!Std10dot4Withdrawals, 7, 2, 1, 1)</f>
        <v>0</v>
      </c>
      <c r="D2120" s="151" t="str">
        <f ca="1">IF(OFFSET('IWP03'!Std10dot4Withdrawals, 7, 4, 1, 1) = 0, "", OFFSET('IWP03'!Std10dot4Withdrawals, 7, 4, 1, 1))</f>
        <v/>
      </c>
      <c r="E2120" s="207" t="str">
        <f ca="1">IF(OFFSET('IWP03'!Std10dot4Withdrawals, 7, 7, 1, 1) = 0, "", OFFSET('IWP03'!Std10dot4Withdrawals, 7, 7, 1, 1))</f>
        <v/>
      </c>
    </row>
    <row r="2121" spans="1:5">
      <c r="A2121" s="206" t="s">
        <v>1194</v>
      </c>
      <c r="B2121" s="157">
        <f ca="1">IF(OFFSET('IWP03'!Std10dot4Withdrawals, 8, 0, 1, 1) = DATE(1900,1,0),DATE(1900,1,1),OFFSET('IWP03'!Std10dot4Withdrawals, 8, 0, 1, 1))</f>
        <v>1</v>
      </c>
      <c r="C2121" s="155">
        <f ca="1">OFFSET('IWP03'!Std10dot4Withdrawals, 8, 2, 1, 1)</f>
        <v>0</v>
      </c>
      <c r="D2121" s="151" t="str">
        <f ca="1">IF(OFFSET('IWP03'!Std10dot4Withdrawals, 8, 4, 1, 1) = 0, "", OFFSET('IWP03'!Std10dot4Withdrawals, 8, 4, 1, 1))</f>
        <v/>
      </c>
      <c r="E2121" s="207" t="str">
        <f ca="1">IF(OFFSET('IWP03'!Std10dot4Withdrawals, 8, 7, 1, 1) = 0, "", OFFSET('IWP03'!Std10dot4Withdrawals, 8, 7, 1, 1))</f>
        <v/>
      </c>
    </row>
    <row r="2122" spans="1:5">
      <c r="A2122" s="206" t="s">
        <v>1194</v>
      </c>
      <c r="B2122" s="157">
        <f ca="1">IF(OFFSET('IWP03'!Std10dot4Withdrawals, 9, 0, 1, 1) = DATE(1900,1,0),DATE(1900,1,1),OFFSET('IWP03'!Std10dot4Withdrawals, 9, 0, 1, 1))</f>
        <v>1</v>
      </c>
      <c r="C2122" s="155">
        <f ca="1">OFFSET('IWP03'!Std10dot4Withdrawals, 9, 2, 1, 1)</f>
        <v>0</v>
      </c>
      <c r="D2122" s="151" t="str">
        <f ca="1">IF(OFFSET('IWP03'!Std10dot4Withdrawals, 9, 4, 1, 1) = 0, "", OFFSET('IWP03'!Std10dot4Withdrawals, 9, 4, 1, 1))</f>
        <v/>
      </c>
      <c r="E2122" s="207" t="str">
        <f ca="1">IF(OFFSET('IWP03'!Std10dot4Withdrawals, 9, 7, 1, 1) = 0, "", OFFSET('IWP03'!Std10dot4Withdrawals, 9, 7, 1, 1))</f>
        <v/>
      </c>
    </row>
    <row r="2123" spans="1:5">
      <c r="A2123" s="206" t="s">
        <v>1194</v>
      </c>
      <c r="B2123" s="157">
        <f ca="1">IF(OFFSET('IWP03'!Std10dot4Withdrawals, 10, 0, 1, 1) = DATE(1900,1,0),DATE(1900,1,1),OFFSET('IWP03'!Std10dot4Withdrawals, 10, 0, 1, 1))</f>
        <v>1</v>
      </c>
      <c r="C2123" s="155">
        <f ca="1">OFFSET('IWP03'!Std10dot4Withdrawals, 10, 2, 1, 1)</f>
        <v>0</v>
      </c>
      <c r="D2123" s="151" t="str">
        <f ca="1">IF(OFFSET('IWP03'!Std10dot4Withdrawals, 10, 4, 1, 1) = 0, "", OFFSET('IWP03'!Std10dot4Withdrawals, 10, 4, 1, 1))</f>
        <v/>
      </c>
      <c r="E2123" s="207" t="str">
        <f ca="1">IF(OFFSET('IWP03'!Std10dot4Withdrawals, 10, 7, 1, 1) = 0, "", OFFSET('IWP03'!Std10dot4Withdrawals, 10, 7, 1, 1))</f>
        <v/>
      </c>
    </row>
    <row r="2124" spans="1:5">
      <c r="A2124" s="206" t="s">
        <v>1194</v>
      </c>
      <c r="B2124" s="157">
        <f ca="1">IF(OFFSET('IWP03'!Std10dot4Withdrawals, 11, 0, 1, 1) = DATE(1900,1,0),DATE(1900,1,1),OFFSET('IWP03'!Std10dot4Withdrawals, 11, 0, 1, 1))</f>
        <v>1</v>
      </c>
      <c r="C2124" s="155">
        <f ca="1">OFFSET('IWP03'!Std10dot4Withdrawals, 11, 2, 1, 1)</f>
        <v>0</v>
      </c>
      <c r="D2124" s="151" t="str">
        <f ca="1">IF(OFFSET('IWP03'!Std10dot4Withdrawals, 11, 4, 1, 1) = 0, "", OFFSET('IWP03'!Std10dot4Withdrawals, 11, 4, 1, 1))</f>
        <v/>
      </c>
      <c r="E2124" s="207" t="str">
        <f ca="1">IF(OFFSET('IWP03'!Std10dot4Withdrawals, 11, 7, 1, 1) = 0, "", OFFSET('IWP03'!Std10dot4Withdrawals, 11, 7, 1, 1))</f>
        <v/>
      </c>
    </row>
    <row r="2125" spans="1:5">
      <c r="A2125" s="206" t="s">
        <v>1194</v>
      </c>
      <c r="B2125" s="157">
        <f ca="1">IF(OFFSET('IWP03'!Std10dot4Withdrawals, 12, 0, 1, 1) = DATE(1900,1,0),DATE(1900,1,1),OFFSET('IWP03'!Std10dot4Withdrawals, 12, 0, 1, 1))</f>
        <v>1</v>
      </c>
      <c r="C2125" s="155">
        <f ca="1">OFFSET('IWP03'!Std10dot4Withdrawals, 12, 2, 1, 1)</f>
        <v>0</v>
      </c>
      <c r="D2125" s="151" t="str">
        <f ca="1">IF(OFFSET('IWP03'!Std10dot4Withdrawals, 12, 4, 1, 1) = 0, "", OFFSET('IWP03'!Std10dot4Withdrawals, 12, 4, 1, 1))</f>
        <v/>
      </c>
      <c r="E2125" s="207" t="str">
        <f ca="1">IF(OFFSET('IWP03'!Std10dot4Withdrawals, 12, 7, 1, 1) = 0, "", OFFSET('IWP03'!Std10dot4Withdrawals, 12, 7, 1, 1))</f>
        <v/>
      </c>
    </row>
    <row r="2126" spans="1:5">
      <c r="A2126" s="206" t="s">
        <v>1194</v>
      </c>
      <c r="B2126" s="157">
        <f ca="1">IF(OFFSET('IWP03'!Std10dot4Withdrawals, 13, 0, 1, 1) = DATE(1900,1,0),DATE(1900,1,1),OFFSET('IWP03'!Std10dot4Withdrawals, 13, 0, 1, 1))</f>
        <v>1</v>
      </c>
      <c r="C2126" s="155">
        <f ca="1">OFFSET('IWP03'!Std10dot4Withdrawals, 13, 2, 1, 1)</f>
        <v>0</v>
      </c>
      <c r="D2126" s="151" t="str">
        <f ca="1">IF(OFFSET('IWP03'!Std10dot4Withdrawals, 13, 4, 1, 1) = 0, "", OFFSET('IWP03'!Std10dot4Withdrawals, 13, 4, 1, 1))</f>
        <v/>
      </c>
      <c r="E2126" s="207" t="str">
        <f ca="1">IF(OFFSET('IWP03'!Std10dot4Withdrawals, 13, 7, 1, 1) = 0, "", OFFSET('IWP03'!Std10dot4Withdrawals, 13, 7, 1, 1))</f>
        <v/>
      </c>
    </row>
    <row r="2127" spans="1:5">
      <c r="A2127" s="206" t="s">
        <v>1194</v>
      </c>
      <c r="B2127" s="157">
        <f ca="1">IF(OFFSET('IWP03'!Std10dot4Withdrawals, 14, 0, 1, 1) = DATE(1900,1,0),DATE(1900,1,1),OFFSET('IWP03'!Std10dot4Withdrawals, 14, 0, 1, 1))</f>
        <v>1</v>
      </c>
      <c r="C2127" s="155">
        <f ca="1">OFFSET('IWP03'!Std10dot4Withdrawals, 14, 2, 1, 1)</f>
        <v>0</v>
      </c>
      <c r="D2127" s="151" t="str">
        <f ca="1">IF(OFFSET('IWP03'!Std10dot4Withdrawals, 14, 4, 1, 1) = 0, "", OFFSET('IWP03'!Std10dot4Withdrawals, 14, 4, 1, 1))</f>
        <v/>
      </c>
      <c r="E2127" s="207" t="str">
        <f ca="1">IF(OFFSET('IWP03'!Std10dot4Withdrawals, 14, 7, 1, 1) = 0, "", OFFSET('IWP03'!Std10dot4Withdrawals, 14, 7, 1, 1))</f>
        <v/>
      </c>
    </row>
    <row r="2128" spans="1:5">
      <c r="A2128" s="206" t="s">
        <v>1194</v>
      </c>
      <c r="B2128" s="157">
        <f ca="1">IF(OFFSET('IWP03'!Std10dot4Withdrawals, 15, 0, 1, 1) = DATE(1900,1,0),DATE(1900,1,1),OFFSET('IWP03'!Std10dot4Withdrawals, 15, 0, 1, 1))</f>
        <v>1</v>
      </c>
      <c r="C2128" s="155">
        <f ca="1">OFFSET('IWP03'!Std10dot4Withdrawals, 15, 2, 1, 1)</f>
        <v>0</v>
      </c>
      <c r="D2128" s="151" t="str">
        <f ca="1">IF(OFFSET('IWP03'!Std10dot4Withdrawals, 15, 4, 1, 1) = 0, "", OFFSET('IWP03'!Std10dot4Withdrawals, 15, 4, 1, 1))</f>
        <v/>
      </c>
      <c r="E2128" s="207" t="str">
        <f ca="1">IF(OFFSET('IWP03'!Std10dot4Withdrawals, 15, 7, 1, 1) = 0, "", OFFSET('IWP03'!Std10dot4Withdrawals, 15, 7, 1, 1))</f>
        <v/>
      </c>
    </row>
    <row r="2129" spans="1:5">
      <c r="A2129" s="206" t="s">
        <v>1194</v>
      </c>
      <c r="B2129" s="157">
        <f ca="1">IF(OFFSET('IWP03'!Std10dot4Withdrawals, 16, 0, 1, 1) = DATE(1900,1,0),DATE(1900,1,1),OFFSET('IWP03'!Std10dot4Withdrawals, 16, 0, 1, 1))</f>
        <v>1</v>
      </c>
      <c r="C2129" s="155">
        <f ca="1">OFFSET('IWP03'!Std10dot4Withdrawals, 16, 2, 1, 1)</f>
        <v>0</v>
      </c>
      <c r="D2129" s="151" t="str">
        <f ca="1">IF(OFFSET('IWP03'!Std10dot4Withdrawals, 16, 4, 1, 1) = 0, "", OFFSET('IWP03'!Std10dot4Withdrawals, 16, 4, 1, 1))</f>
        <v/>
      </c>
      <c r="E2129" s="207" t="str">
        <f ca="1">IF(OFFSET('IWP03'!Std10dot4Withdrawals, 16, 7, 1, 1) = 0, "", OFFSET('IWP03'!Std10dot4Withdrawals, 16, 7, 1, 1))</f>
        <v/>
      </c>
    </row>
    <row r="2130" spans="1:5">
      <c r="A2130" s="206" t="s">
        <v>1194</v>
      </c>
      <c r="B2130" s="157">
        <f ca="1">IF(OFFSET('IWP03'!Std10dot4Withdrawals, 17, 0, 1, 1) = DATE(1900,1,0),DATE(1900,1,1),OFFSET('IWP03'!Std10dot4Withdrawals, 17, 0, 1, 1))</f>
        <v>1</v>
      </c>
      <c r="C2130" s="155">
        <f ca="1">OFFSET('IWP03'!Std10dot4Withdrawals, 17, 2, 1, 1)</f>
        <v>0</v>
      </c>
      <c r="D2130" s="151" t="str">
        <f ca="1">IF(OFFSET('IWP03'!Std10dot4Withdrawals, 17, 4, 1, 1) = 0, "", OFFSET('IWP03'!Std10dot4Withdrawals, 17, 4, 1, 1))</f>
        <v/>
      </c>
      <c r="E2130" s="207" t="str">
        <f ca="1">IF(OFFSET('IWP03'!Std10dot4Withdrawals, 17, 7, 1, 1) = 0, "", OFFSET('IWP03'!Std10dot4Withdrawals, 17, 7, 1, 1))</f>
        <v/>
      </c>
    </row>
    <row r="2131" spans="1:5">
      <c r="A2131" s="206" t="s">
        <v>1194</v>
      </c>
      <c r="B2131" s="157">
        <f ca="1">IF(OFFSET('IWP03'!Std10dot4Withdrawals, 18, 0, 1, 1) = DATE(1900,1,0),DATE(1900,1,1),OFFSET('IWP03'!Std10dot4Withdrawals, 18, 0, 1, 1))</f>
        <v>1</v>
      </c>
      <c r="C2131" s="155">
        <f ca="1">OFFSET('IWP03'!Std10dot4Withdrawals, 18, 2, 1, 1)</f>
        <v>0</v>
      </c>
      <c r="D2131" s="151" t="str">
        <f ca="1">IF(OFFSET('IWP03'!Std10dot4Withdrawals, 18, 4, 1, 1) = 0, "", OFFSET('IWP03'!Std10dot4Withdrawals, 18, 4, 1, 1))</f>
        <v/>
      </c>
      <c r="E2131" s="207" t="str">
        <f ca="1">IF(OFFSET('IWP03'!Std10dot4Withdrawals, 18, 7, 1, 1) = 0, "", OFFSET('IWP03'!Std10dot4Withdrawals, 18, 7, 1, 1))</f>
        <v/>
      </c>
    </row>
    <row r="2132" spans="1:5">
      <c r="A2132" s="206" t="s">
        <v>1194</v>
      </c>
      <c r="B2132" s="157">
        <f ca="1">IF(OFFSET('IWP03'!Std10dot4Withdrawals, 19, 0, 1, 1) = DATE(1900,1,0),DATE(1900,1,1),OFFSET('IWP03'!Std10dot4Withdrawals, 19, 0, 1, 1))</f>
        <v>1</v>
      </c>
      <c r="C2132" s="155">
        <f ca="1">OFFSET('IWP03'!Std10dot4Withdrawals, 19, 2, 1, 1)</f>
        <v>0</v>
      </c>
      <c r="D2132" s="151" t="str">
        <f ca="1">IF(OFFSET('IWP03'!Std10dot4Withdrawals, 19, 4, 1, 1) = 0, "", OFFSET('IWP03'!Std10dot4Withdrawals, 19, 4, 1, 1))</f>
        <v/>
      </c>
      <c r="E2132" s="207" t="str">
        <f ca="1">IF(OFFSET('IWP03'!Std10dot4Withdrawals, 19, 7, 1, 1) = 0, "", OFFSET('IWP03'!Std10dot4Withdrawals, 19, 7, 1, 1))</f>
        <v/>
      </c>
    </row>
    <row r="2133" spans="1:5">
      <c r="A2133" s="206" t="s">
        <v>1307</v>
      </c>
      <c r="B2133" s="157">
        <f ca="1">IF(OFFSET('IWP04'!Std10dot4Withdrawals, 0, 0, 1, 1) = DATE(1900,1,0),DATE(1900,1,1),OFFSET('IWP04'!Std10dot4Withdrawals, 0, 0, 1, 1))</f>
        <v>1</v>
      </c>
      <c r="C2133" s="155">
        <f ca="1">OFFSET('IWP04'!Std10dot4Withdrawals, 0, 2, 1, 1)</f>
        <v>0</v>
      </c>
      <c r="D2133" s="151" t="str">
        <f ca="1">IF(OFFSET('IWP04'!Std10dot4Withdrawals, 0, 4, 1, 1) = 0, "", OFFSET('IWP04'!Std10dot4Withdrawals, 0, 4, 1, 1))</f>
        <v/>
      </c>
      <c r="E2133" s="207" t="str">
        <f ca="1">IF(OFFSET('IWP04'!Std10dot4Withdrawals, 0, 7, 1, 1) = 0, "", OFFSET('IWP04'!Std10dot4Withdrawals, 0, 7, 1, 1))</f>
        <v/>
      </c>
    </row>
    <row r="2134" spans="1:5">
      <c r="A2134" s="206" t="s">
        <v>1307</v>
      </c>
      <c r="B2134" s="157">
        <f ca="1">IF(OFFSET('IWP04'!Std10dot4Withdrawals, 1, 0, 1, 1) = DATE(1900,1,0),DATE(1900,1,1),OFFSET('IWP04'!Std10dot4Withdrawals, 1, 0, 1, 1))</f>
        <v>1</v>
      </c>
      <c r="C2134" s="155">
        <f ca="1">OFFSET('IWP04'!Std10dot4Withdrawals, 1, 2, 1, 1)</f>
        <v>0</v>
      </c>
      <c r="D2134" s="151" t="str">
        <f ca="1">IF(OFFSET('IWP04'!Std10dot4Withdrawals, 1, 4, 1, 1) = 0, "", OFFSET('IWP04'!Std10dot4Withdrawals, 1, 4, 1, 1))</f>
        <v/>
      </c>
      <c r="E2134" s="207" t="str">
        <f ca="1">IF(OFFSET('IWP04'!Std10dot4Withdrawals, 1, 7, 1, 1) = 0, "", OFFSET('IWP04'!Std10dot4Withdrawals, 1, 7, 1, 1))</f>
        <v/>
      </c>
    </row>
    <row r="2135" spans="1:5">
      <c r="A2135" s="206" t="s">
        <v>1307</v>
      </c>
      <c r="B2135" s="157">
        <f ca="1">IF(OFFSET('IWP04'!Std10dot4Withdrawals, 2, 0, 1, 1) = DATE(1900,1,0),DATE(1900,1,1),OFFSET('IWP04'!Std10dot4Withdrawals, 2, 0, 1, 1))</f>
        <v>1</v>
      </c>
      <c r="C2135" s="155">
        <f ca="1">OFFSET('IWP04'!Std10dot4Withdrawals, 2, 2, 1, 1)</f>
        <v>0</v>
      </c>
      <c r="D2135" s="151" t="str">
        <f ca="1">IF(OFFSET('IWP04'!Std10dot4Withdrawals, 2, 4, 1, 1) = 0, "", OFFSET('IWP04'!Std10dot4Withdrawals, 2, 4, 1, 1))</f>
        <v/>
      </c>
      <c r="E2135" s="207" t="str">
        <f ca="1">IF(OFFSET('IWP04'!Std10dot4Withdrawals, 2, 7, 1, 1) = 0, "", OFFSET('IWP04'!Std10dot4Withdrawals, 2, 7, 1, 1))</f>
        <v/>
      </c>
    </row>
    <row r="2136" spans="1:5">
      <c r="A2136" s="206" t="s">
        <v>1307</v>
      </c>
      <c r="B2136" s="157">
        <f ca="1">IF(OFFSET('IWP04'!Std10dot4Withdrawals, 3, 0, 1, 1) = DATE(1900,1,0),DATE(1900,1,1),OFFSET('IWP04'!Std10dot4Withdrawals, 3, 0, 1, 1))</f>
        <v>1</v>
      </c>
      <c r="C2136" s="155">
        <f ca="1">OFFSET('IWP04'!Std10dot4Withdrawals, 3, 2, 1, 1)</f>
        <v>0</v>
      </c>
      <c r="D2136" s="151" t="str">
        <f ca="1">IF(OFFSET('IWP04'!Std10dot4Withdrawals, 3, 4, 1, 1) = 0, "", OFFSET('IWP04'!Std10dot4Withdrawals, 3, 4, 1, 1))</f>
        <v/>
      </c>
      <c r="E2136" s="207" t="str">
        <f ca="1">IF(OFFSET('IWP04'!Std10dot4Withdrawals, 3, 7, 1, 1) = 0, "", OFFSET('IWP04'!Std10dot4Withdrawals, 3, 7, 1, 1))</f>
        <v/>
      </c>
    </row>
    <row r="2137" spans="1:5">
      <c r="A2137" s="206" t="s">
        <v>1307</v>
      </c>
      <c r="B2137" s="157">
        <f ca="1">IF(OFFSET('IWP04'!Std10dot4Withdrawals, 4, 0, 1, 1) = DATE(1900,1,0),DATE(1900,1,1),OFFSET('IWP04'!Std10dot4Withdrawals, 4, 0, 1, 1))</f>
        <v>1</v>
      </c>
      <c r="C2137" s="155">
        <f ca="1">OFFSET('IWP04'!Std10dot4Withdrawals, 4, 2, 1, 1)</f>
        <v>0</v>
      </c>
      <c r="D2137" s="151" t="str">
        <f ca="1">IF(OFFSET('IWP04'!Std10dot4Withdrawals, 4, 4, 1, 1) = 0, "", OFFSET('IWP04'!Std10dot4Withdrawals, 4, 4, 1, 1))</f>
        <v/>
      </c>
      <c r="E2137" s="207" t="str">
        <f ca="1">IF(OFFSET('IWP04'!Std10dot4Withdrawals, 4, 7, 1, 1) = 0, "", OFFSET('IWP04'!Std10dot4Withdrawals, 4, 7, 1, 1))</f>
        <v/>
      </c>
    </row>
    <row r="2138" spans="1:5">
      <c r="A2138" s="206" t="s">
        <v>1307</v>
      </c>
      <c r="B2138" s="157">
        <f ca="1">IF(OFFSET('IWP04'!Std10dot4Withdrawals, 5, 0, 1, 1) = DATE(1900,1,0),DATE(1900,1,1),OFFSET('IWP04'!Std10dot4Withdrawals, 5, 0, 1, 1))</f>
        <v>1</v>
      </c>
      <c r="C2138" s="155">
        <f ca="1">OFFSET('IWP04'!Std10dot4Withdrawals, 5, 2, 1, 1)</f>
        <v>0</v>
      </c>
      <c r="D2138" s="151" t="str">
        <f ca="1">IF(OFFSET('IWP04'!Std10dot4Withdrawals, 5, 4, 1, 1) = 0, "", OFFSET('IWP04'!Std10dot4Withdrawals, 5, 4, 1, 1))</f>
        <v/>
      </c>
      <c r="E2138" s="207" t="str">
        <f ca="1">IF(OFFSET('IWP04'!Std10dot4Withdrawals, 5, 7, 1, 1) = 0, "", OFFSET('IWP04'!Std10dot4Withdrawals, 5, 7, 1, 1))</f>
        <v/>
      </c>
    </row>
    <row r="2139" spans="1:5">
      <c r="A2139" s="206" t="s">
        <v>1307</v>
      </c>
      <c r="B2139" s="157">
        <f ca="1">IF(OFFSET('IWP04'!Std10dot4Withdrawals, 6, 0, 1, 1) = DATE(1900,1,0),DATE(1900,1,1),OFFSET('IWP04'!Std10dot4Withdrawals, 6, 0, 1, 1))</f>
        <v>1</v>
      </c>
      <c r="C2139" s="155">
        <f ca="1">OFFSET('IWP04'!Std10dot4Withdrawals, 6, 2, 1, 1)</f>
        <v>0</v>
      </c>
      <c r="D2139" s="151" t="str">
        <f ca="1">IF(OFFSET('IWP04'!Std10dot4Withdrawals, 6, 4, 1, 1) = 0, "", OFFSET('IWP04'!Std10dot4Withdrawals, 6, 4, 1, 1))</f>
        <v/>
      </c>
      <c r="E2139" s="207" t="str">
        <f ca="1">IF(OFFSET('IWP04'!Std10dot4Withdrawals, 6, 7, 1, 1) = 0, "", OFFSET('IWP04'!Std10dot4Withdrawals, 6, 7, 1, 1))</f>
        <v/>
      </c>
    </row>
    <row r="2140" spans="1:5">
      <c r="A2140" s="206" t="s">
        <v>1307</v>
      </c>
      <c r="B2140" s="157">
        <f ca="1">IF(OFFSET('IWP04'!Std10dot4Withdrawals, 7, 0, 1, 1) = DATE(1900,1,0),DATE(1900,1,1),OFFSET('IWP04'!Std10dot4Withdrawals, 7, 0, 1, 1))</f>
        <v>1</v>
      </c>
      <c r="C2140" s="155">
        <f ca="1">OFFSET('IWP04'!Std10dot4Withdrawals, 7, 2, 1, 1)</f>
        <v>0</v>
      </c>
      <c r="D2140" s="151" t="str">
        <f ca="1">IF(OFFSET('IWP04'!Std10dot4Withdrawals, 7, 4, 1, 1) = 0, "", OFFSET('IWP04'!Std10dot4Withdrawals, 7, 4, 1, 1))</f>
        <v/>
      </c>
      <c r="E2140" s="207" t="str">
        <f ca="1">IF(OFFSET('IWP04'!Std10dot4Withdrawals, 7, 7, 1, 1) = 0, "", OFFSET('IWP04'!Std10dot4Withdrawals, 7, 7, 1, 1))</f>
        <v/>
      </c>
    </row>
    <row r="2141" spans="1:5">
      <c r="A2141" s="206" t="s">
        <v>1307</v>
      </c>
      <c r="B2141" s="157">
        <f ca="1">IF(OFFSET('IWP04'!Std10dot4Withdrawals, 8, 0, 1, 1) = DATE(1900,1,0),DATE(1900,1,1),OFFSET('IWP04'!Std10dot4Withdrawals, 8, 0, 1, 1))</f>
        <v>1</v>
      </c>
      <c r="C2141" s="155">
        <f ca="1">OFFSET('IWP04'!Std10dot4Withdrawals, 8, 2, 1, 1)</f>
        <v>0</v>
      </c>
      <c r="D2141" s="151" t="str">
        <f ca="1">IF(OFFSET('IWP04'!Std10dot4Withdrawals, 8, 4, 1, 1) = 0, "", OFFSET('IWP04'!Std10dot4Withdrawals, 8, 4, 1, 1))</f>
        <v/>
      </c>
      <c r="E2141" s="207" t="str">
        <f ca="1">IF(OFFSET('IWP04'!Std10dot4Withdrawals, 8, 7, 1, 1) = 0, "", OFFSET('IWP04'!Std10dot4Withdrawals, 8, 7, 1, 1))</f>
        <v/>
      </c>
    </row>
    <row r="2142" spans="1:5">
      <c r="A2142" s="206" t="s">
        <v>1307</v>
      </c>
      <c r="B2142" s="157">
        <f ca="1">IF(OFFSET('IWP04'!Std10dot4Withdrawals, 9, 0, 1, 1) = DATE(1900,1,0),DATE(1900,1,1),OFFSET('IWP04'!Std10dot4Withdrawals, 9, 0, 1, 1))</f>
        <v>1</v>
      </c>
      <c r="C2142" s="155">
        <f ca="1">OFFSET('IWP04'!Std10dot4Withdrawals, 9, 2, 1, 1)</f>
        <v>0</v>
      </c>
      <c r="D2142" s="151" t="str">
        <f ca="1">IF(OFFSET('IWP04'!Std10dot4Withdrawals, 9, 4, 1, 1) = 0, "", OFFSET('IWP04'!Std10dot4Withdrawals, 9, 4, 1, 1))</f>
        <v/>
      </c>
      <c r="E2142" s="207" t="str">
        <f ca="1">IF(OFFSET('IWP04'!Std10dot4Withdrawals, 9, 7, 1, 1) = 0, "", OFFSET('IWP04'!Std10dot4Withdrawals, 9, 7, 1, 1))</f>
        <v/>
      </c>
    </row>
    <row r="2143" spans="1:5">
      <c r="A2143" s="206" t="s">
        <v>1307</v>
      </c>
      <c r="B2143" s="157">
        <f ca="1">IF(OFFSET('IWP04'!Std10dot4Withdrawals, 10, 0, 1, 1) = DATE(1900,1,0),DATE(1900,1,1),OFFSET('IWP04'!Std10dot4Withdrawals, 10, 0, 1, 1))</f>
        <v>1</v>
      </c>
      <c r="C2143" s="155">
        <f ca="1">OFFSET('IWP04'!Std10dot4Withdrawals, 10, 2, 1, 1)</f>
        <v>0</v>
      </c>
      <c r="D2143" s="151" t="str">
        <f ca="1">IF(OFFSET('IWP04'!Std10dot4Withdrawals, 10, 4, 1, 1) = 0, "", OFFSET('IWP04'!Std10dot4Withdrawals, 10, 4, 1, 1))</f>
        <v/>
      </c>
      <c r="E2143" s="207" t="str">
        <f ca="1">IF(OFFSET('IWP04'!Std10dot4Withdrawals, 10, 7, 1, 1) = 0, "", OFFSET('IWP04'!Std10dot4Withdrawals, 10, 7, 1, 1))</f>
        <v/>
      </c>
    </row>
    <row r="2144" spans="1:5">
      <c r="A2144" s="206" t="s">
        <v>1307</v>
      </c>
      <c r="B2144" s="157">
        <f ca="1">IF(OFFSET('IWP04'!Std10dot4Withdrawals, 11, 0, 1, 1) = DATE(1900,1,0),DATE(1900,1,1),OFFSET('IWP04'!Std10dot4Withdrawals, 11, 0, 1, 1))</f>
        <v>1</v>
      </c>
      <c r="C2144" s="155">
        <f ca="1">OFFSET('IWP04'!Std10dot4Withdrawals, 11, 2, 1, 1)</f>
        <v>0</v>
      </c>
      <c r="D2144" s="151" t="str">
        <f ca="1">IF(OFFSET('IWP04'!Std10dot4Withdrawals, 11, 4, 1, 1) = 0, "", OFFSET('IWP04'!Std10dot4Withdrawals, 11, 4, 1, 1))</f>
        <v/>
      </c>
      <c r="E2144" s="207" t="str">
        <f ca="1">IF(OFFSET('IWP04'!Std10dot4Withdrawals, 11, 7, 1, 1) = 0, "", OFFSET('IWP04'!Std10dot4Withdrawals, 11, 7, 1, 1))</f>
        <v/>
      </c>
    </row>
    <row r="2145" spans="1:5">
      <c r="A2145" s="206" t="s">
        <v>1307</v>
      </c>
      <c r="B2145" s="157">
        <f ca="1">IF(OFFSET('IWP04'!Std10dot4Withdrawals, 12, 0, 1, 1) = DATE(1900,1,0),DATE(1900,1,1),OFFSET('IWP04'!Std10dot4Withdrawals, 12, 0, 1, 1))</f>
        <v>1</v>
      </c>
      <c r="C2145" s="155">
        <f ca="1">OFFSET('IWP04'!Std10dot4Withdrawals, 12, 2, 1, 1)</f>
        <v>0</v>
      </c>
      <c r="D2145" s="151" t="str">
        <f ca="1">IF(OFFSET('IWP04'!Std10dot4Withdrawals, 12, 4, 1, 1) = 0, "", OFFSET('IWP04'!Std10dot4Withdrawals, 12, 4, 1, 1))</f>
        <v/>
      </c>
      <c r="E2145" s="207" t="str">
        <f ca="1">IF(OFFSET('IWP04'!Std10dot4Withdrawals, 12, 7, 1, 1) = 0, "", OFFSET('IWP04'!Std10dot4Withdrawals, 12, 7, 1, 1))</f>
        <v/>
      </c>
    </row>
    <row r="2146" spans="1:5">
      <c r="A2146" s="206" t="s">
        <v>1307</v>
      </c>
      <c r="B2146" s="157">
        <f ca="1">IF(OFFSET('IWP04'!Std10dot4Withdrawals, 13, 0, 1, 1) = DATE(1900,1,0),DATE(1900,1,1),OFFSET('IWP04'!Std10dot4Withdrawals, 13, 0, 1, 1))</f>
        <v>1</v>
      </c>
      <c r="C2146" s="155">
        <f ca="1">OFFSET('IWP04'!Std10dot4Withdrawals, 13, 2, 1, 1)</f>
        <v>0</v>
      </c>
      <c r="D2146" s="151" t="str">
        <f ca="1">IF(OFFSET('IWP04'!Std10dot4Withdrawals, 13, 4, 1, 1) = 0, "", OFFSET('IWP04'!Std10dot4Withdrawals, 13, 4, 1, 1))</f>
        <v/>
      </c>
      <c r="E2146" s="207" t="str">
        <f ca="1">IF(OFFSET('IWP04'!Std10dot4Withdrawals, 13, 7, 1, 1) = 0, "", OFFSET('IWP04'!Std10dot4Withdrawals, 13, 7, 1, 1))</f>
        <v/>
      </c>
    </row>
    <row r="2147" spans="1:5">
      <c r="A2147" s="206" t="s">
        <v>1307</v>
      </c>
      <c r="B2147" s="157">
        <f ca="1">IF(OFFSET('IWP04'!Std10dot4Withdrawals, 14, 0, 1, 1) = DATE(1900,1,0),DATE(1900,1,1),OFFSET('IWP04'!Std10dot4Withdrawals, 14, 0, 1, 1))</f>
        <v>1</v>
      </c>
      <c r="C2147" s="155">
        <f ca="1">OFFSET('IWP04'!Std10dot4Withdrawals, 14, 2, 1, 1)</f>
        <v>0</v>
      </c>
      <c r="D2147" s="151" t="str">
        <f ca="1">IF(OFFSET('IWP04'!Std10dot4Withdrawals, 14, 4, 1, 1) = 0, "", OFFSET('IWP04'!Std10dot4Withdrawals, 14, 4, 1, 1))</f>
        <v/>
      </c>
      <c r="E2147" s="207" t="str">
        <f ca="1">IF(OFFSET('IWP04'!Std10dot4Withdrawals, 14, 7, 1, 1) = 0, "", OFFSET('IWP04'!Std10dot4Withdrawals, 14, 7, 1, 1))</f>
        <v/>
      </c>
    </row>
    <row r="2148" spans="1:5">
      <c r="A2148" s="206" t="s">
        <v>1307</v>
      </c>
      <c r="B2148" s="157">
        <f ca="1">IF(OFFSET('IWP04'!Std10dot4Withdrawals, 15, 0, 1, 1) = DATE(1900,1,0),DATE(1900,1,1),OFFSET('IWP04'!Std10dot4Withdrawals, 15, 0, 1, 1))</f>
        <v>1</v>
      </c>
      <c r="C2148" s="155">
        <f ca="1">OFFSET('IWP04'!Std10dot4Withdrawals, 15, 2, 1, 1)</f>
        <v>0</v>
      </c>
      <c r="D2148" s="151" t="str">
        <f ca="1">IF(OFFSET('IWP04'!Std10dot4Withdrawals, 15, 4, 1, 1) = 0, "", OFFSET('IWP04'!Std10dot4Withdrawals, 15, 4, 1, 1))</f>
        <v/>
      </c>
      <c r="E2148" s="207" t="str">
        <f ca="1">IF(OFFSET('IWP04'!Std10dot4Withdrawals, 15, 7, 1, 1) = 0, "", OFFSET('IWP04'!Std10dot4Withdrawals, 15, 7, 1, 1))</f>
        <v/>
      </c>
    </row>
    <row r="2149" spans="1:5">
      <c r="A2149" s="206" t="s">
        <v>1307</v>
      </c>
      <c r="B2149" s="157">
        <f ca="1">IF(OFFSET('IWP04'!Std10dot4Withdrawals, 16, 0, 1, 1) = DATE(1900,1,0),DATE(1900,1,1),OFFSET('IWP04'!Std10dot4Withdrawals, 16, 0, 1, 1))</f>
        <v>1</v>
      </c>
      <c r="C2149" s="155">
        <f ca="1">OFFSET('IWP04'!Std10dot4Withdrawals, 16, 2, 1, 1)</f>
        <v>0</v>
      </c>
      <c r="D2149" s="151" t="str">
        <f ca="1">IF(OFFSET('IWP04'!Std10dot4Withdrawals, 16, 4, 1, 1) = 0, "", OFFSET('IWP04'!Std10dot4Withdrawals, 16, 4, 1, 1))</f>
        <v/>
      </c>
      <c r="E2149" s="207" t="str">
        <f ca="1">IF(OFFSET('IWP04'!Std10dot4Withdrawals, 16, 7, 1, 1) = 0, "", OFFSET('IWP04'!Std10dot4Withdrawals, 16, 7, 1, 1))</f>
        <v/>
      </c>
    </row>
    <row r="2150" spans="1:5">
      <c r="A2150" s="206" t="s">
        <v>1307</v>
      </c>
      <c r="B2150" s="157">
        <f ca="1">IF(OFFSET('IWP04'!Std10dot4Withdrawals, 17, 0, 1, 1) = DATE(1900,1,0),DATE(1900,1,1),OFFSET('IWP04'!Std10dot4Withdrawals, 17, 0, 1, 1))</f>
        <v>1</v>
      </c>
      <c r="C2150" s="155">
        <f ca="1">OFFSET('IWP04'!Std10dot4Withdrawals, 17, 2, 1, 1)</f>
        <v>0</v>
      </c>
      <c r="D2150" s="151" t="str">
        <f ca="1">IF(OFFSET('IWP04'!Std10dot4Withdrawals, 17, 4, 1, 1) = 0, "", OFFSET('IWP04'!Std10dot4Withdrawals, 17, 4, 1, 1))</f>
        <v/>
      </c>
      <c r="E2150" s="207" t="str">
        <f ca="1">IF(OFFSET('IWP04'!Std10dot4Withdrawals, 17, 7, 1, 1) = 0, "", OFFSET('IWP04'!Std10dot4Withdrawals, 17, 7, 1, 1))</f>
        <v/>
      </c>
    </row>
    <row r="2151" spans="1:5">
      <c r="A2151" s="206" t="s">
        <v>1307</v>
      </c>
      <c r="B2151" s="157">
        <f ca="1">IF(OFFSET('IWP04'!Std10dot4Withdrawals, 18, 0, 1, 1) = DATE(1900,1,0),DATE(1900,1,1),OFFSET('IWP04'!Std10dot4Withdrawals, 18, 0, 1, 1))</f>
        <v>1</v>
      </c>
      <c r="C2151" s="155">
        <f ca="1">OFFSET('IWP04'!Std10dot4Withdrawals, 18, 2, 1, 1)</f>
        <v>0</v>
      </c>
      <c r="D2151" s="151" t="str">
        <f ca="1">IF(OFFSET('IWP04'!Std10dot4Withdrawals, 18, 4, 1, 1) = 0, "", OFFSET('IWP04'!Std10dot4Withdrawals, 18, 4, 1, 1))</f>
        <v/>
      </c>
      <c r="E2151" s="207" t="str">
        <f ca="1">IF(OFFSET('IWP04'!Std10dot4Withdrawals, 18, 7, 1, 1) = 0, "", OFFSET('IWP04'!Std10dot4Withdrawals, 18, 7, 1, 1))</f>
        <v/>
      </c>
    </row>
    <row r="2152" spans="1:5">
      <c r="A2152" s="206" t="s">
        <v>1307</v>
      </c>
      <c r="B2152" s="157">
        <f ca="1">IF(OFFSET('IWP04'!Std10dot4Withdrawals, 19, 0, 1, 1) = DATE(1900,1,0),DATE(1900,1,1),OFFSET('IWP04'!Std10dot4Withdrawals, 19, 0, 1, 1))</f>
        <v>1</v>
      </c>
      <c r="C2152" s="155">
        <f ca="1">OFFSET('IWP04'!Std10dot4Withdrawals, 19, 2, 1, 1)</f>
        <v>0</v>
      </c>
      <c r="D2152" s="151" t="str">
        <f ca="1">IF(OFFSET('IWP04'!Std10dot4Withdrawals, 19, 4, 1, 1) = 0, "", OFFSET('IWP04'!Std10dot4Withdrawals, 19, 4, 1, 1))</f>
        <v/>
      </c>
      <c r="E2152" s="207" t="str">
        <f ca="1">IF(OFFSET('IWP04'!Std10dot4Withdrawals, 19, 7, 1, 1) = 0, "", OFFSET('IWP04'!Std10dot4Withdrawals, 19, 7, 1, 1))</f>
        <v/>
      </c>
    </row>
    <row r="2153" spans="1:5">
      <c r="A2153" s="206" t="s">
        <v>1308</v>
      </c>
      <c r="B2153" s="157">
        <f ca="1">IF(OFFSET('IWP05'!Std10dot4Withdrawals, 0, 0, 1, 1) = DATE(1900,1,0),DATE(1900,1,1),OFFSET('IWP05'!Std10dot4Withdrawals, 0, 0, 1, 1))</f>
        <v>1</v>
      </c>
      <c r="C2153" s="155">
        <f ca="1">OFFSET('IWP05'!Std10dot4Withdrawals, 0, 2, 1, 1)</f>
        <v>0</v>
      </c>
      <c r="D2153" s="151" t="str">
        <f ca="1">IF(OFFSET('IWP05'!Std10dot4Withdrawals, 0, 4, 1, 1) = 0, "", OFFSET('IWP05'!Std10dot4Withdrawals, 0, 4, 1, 1))</f>
        <v/>
      </c>
      <c r="E2153" s="207" t="str">
        <f ca="1">IF(OFFSET('IWP05'!Std10dot4Withdrawals, 0, 7, 1, 1) = 0, "", OFFSET('IWP05'!Std10dot4Withdrawals, 0, 7, 1, 1))</f>
        <v/>
      </c>
    </row>
    <row r="2154" spans="1:5">
      <c r="A2154" s="206" t="s">
        <v>1308</v>
      </c>
      <c r="B2154" s="157">
        <f ca="1">IF(OFFSET('IWP05'!Std10dot4Withdrawals, 1, 0, 1, 1) = DATE(1900,1,0),DATE(1900,1,1),OFFSET('IWP05'!Std10dot4Withdrawals, 1, 0, 1, 1))</f>
        <v>1</v>
      </c>
      <c r="C2154" s="155">
        <f ca="1">OFFSET('IWP05'!Std10dot4Withdrawals, 1, 2, 1, 1)</f>
        <v>0</v>
      </c>
      <c r="D2154" s="151" t="str">
        <f ca="1">IF(OFFSET('IWP05'!Std10dot4Withdrawals, 1, 4, 1, 1) = 0, "", OFFSET('IWP05'!Std10dot4Withdrawals, 1, 4, 1, 1))</f>
        <v/>
      </c>
      <c r="E2154" s="207" t="str">
        <f ca="1">IF(OFFSET('IWP05'!Std10dot4Withdrawals, 1, 7, 1, 1) = 0, "", OFFSET('IWP05'!Std10dot4Withdrawals, 1, 7, 1, 1))</f>
        <v/>
      </c>
    </row>
    <row r="2155" spans="1:5">
      <c r="A2155" s="206" t="s">
        <v>1308</v>
      </c>
      <c r="B2155" s="157">
        <f ca="1">IF(OFFSET('IWP05'!Std10dot4Withdrawals, 2, 0, 1, 1) = DATE(1900,1,0),DATE(1900,1,1),OFFSET('IWP05'!Std10dot4Withdrawals, 2, 0, 1, 1))</f>
        <v>1</v>
      </c>
      <c r="C2155" s="155">
        <f ca="1">OFFSET('IWP05'!Std10dot4Withdrawals, 2, 2, 1, 1)</f>
        <v>0</v>
      </c>
      <c r="D2155" s="151" t="str">
        <f ca="1">IF(OFFSET('IWP05'!Std10dot4Withdrawals, 2, 4, 1, 1) = 0, "", OFFSET('IWP05'!Std10dot4Withdrawals, 2, 4, 1, 1))</f>
        <v/>
      </c>
      <c r="E2155" s="207" t="str">
        <f ca="1">IF(OFFSET('IWP05'!Std10dot4Withdrawals, 2, 7, 1, 1) = 0, "", OFFSET('IWP05'!Std10dot4Withdrawals, 2, 7, 1, 1))</f>
        <v/>
      </c>
    </row>
    <row r="2156" spans="1:5">
      <c r="A2156" s="206" t="s">
        <v>1308</v>
      </c>
      <c r="B2156" s="157">
        <f ca="1">IF(OFFSET('IWP05'!Std10dot4Withdrawals, 3, 0, 1, 1) = DATE(1900,1,0),DATE(1900,1,1),OFFSET('IWP05'!Std10dot4Withdrawals, 3, 0, 1, 1))</f>
        <v>1</v>
      </c>
      <c r="C2156" s="155">
        <f ca="1">OFFSET('IWP05'!Std10dot4Withdrawals, 3, 2, 1, 1)</f>
        <v>0</v>
      </c>
      <c r="D2156" s="151" t="str">
        <f ca="1">IF(OFFSET('IWP05'!Std10dot4Withdrawals, 3, 4, 1, 1) = 0, "", OFFSET('IWP05'!Std10dot4Withdrawals, 3, 4, 1, 1))</f>
        <v/>
      </c>
      <c r="E2156" s="207" t="str">
        <f ca="1">IF(OFFSET('IWP05'!Std10dot4Withdrawals, 3, 7, 1, 1) = 0, "", OFFSET('IWP05'!Std10dot4Withdrawals, 3, 7, 1, 1))</f>
        <v/>
      </c>
    </row>
    <row r="2157" spans="1:5">
      <c r="A2157" s="206" t="s">
        <v>1308</v>
      </c>
      <c r="B2157" s="157">
        <f ca="1">IF(OFFSET('IWP05'!Std10dot4Withdrawals, 4, 0, 1, 1) = DATE(1900,1,0),DATE(1900,1,1),OFFSET('IWP05'!Std10dot4Withdrawals, 4, 0, 1, 1))</f>
        <v>1</v>
      </c>
      <c r="C2157" s="155">
        <f ca="1">OFFSET('IWP05'!Std10dot4Withdrawals, 4, 2, 1, 1)</f>
        <v>0</v>
      </c>
      <c r="D2157" s="151" t="str">
        <f ca="1">IF(OFFSET('IWP05'!Std10dot4Withdrawals, 4, 4, 1, 1) = 0, "", OFFSET('IWP05'!Std10dot4Withdrawals, 4, 4, 1, 1))</f>
        <v/>
      </c>
      <c r="E2157" s="207" t="str">
        <f ca="1">IF(OFFSET('IWP05'!Std10dot4Withdrawals, 4, 7, 1, 1) = 0, "", OFFSET('IWP05'!Std10dot4Withdrawals, 4, 7, 1, 1))</f>
        <v/>
      </c>
    </row>
    <row r="2158" spans="1:5">
      <c r="A2158" s="206" t="s">
        <v>1308</v>
      </c>
      <c r="B2158" s="157">
        <f ca="1">IF(OFFSET('IWP05'!Std10dot4Withdrawals, 5, 0, 1, 1) = DATE(1900,1,0),DATE(1900,1,1),OFFSET('IWP05'!Std10dot4Withdrawals, 5, 0, 1, 1))</f>
        <v>1</v>
      </c>
      <c r="C2158" s="155">
        <f ca="1">OFFSET('IWP05'!Std10dot4Withdrawals, 5, 2, 1, 1)</f>
        <v>0</v>
      </c>
      <c r="D2158" s="151" t="str">
        <f ca="1">IF(OFFSET('IWP05'!Std10dot4Withdrawals, 5, 4, 1, 1) = 0, "", OFFSET('IWP05'!Std10dot4Withdrawals, 5, 4, 1, 1))</f>
        <v/>
      </c>
      <c r="E2158" s="207" t="str">
        <f ca="1">IF(OFFSET('IWP05'!Std10dot4Withdrawals, 5, 7, 1, 1) = 0, "", OFFSET('IWP05'!Std10dot4Withdrawals, 5, 7, 1, 1))</f>
        <v/>
      </c>
    </row>
    <row r="2159" spans="1:5">
      <c r="A2159" s="206" t="s">
        <v>1308</v>
      </c>
      <c r="B2159" s="157">
        <f ca="1">IF(OFFSET('IWP05'!Std10dot4Withdrawals, 6, 0, 1, 1) = DATE(1900,1,0),DATE(1900,1,1),OFFSET('IWP05'!Std10dot4Withdrawals, 6, 0, 1, 1))</f>
        <v>1</v>
      </c>
      <c r="C2159" s="155">
        <f ca="1">OFFSET('IWP05'!Std10dot4Withdrawals, 6, 2, 1, 1)</f>
        <v>0</v>
      </c>
      <c r="D2159" s="151" t="str">
        <f ca="1">IF(OFFSET('IWP05'!Std10dot4Withdrawals, 6, 4, 1, 1) = 0, "", OFFSET('IWP05'!Std10dot4Withdrawals, 6, 4, 1, 1))</f>
        <v/>
      </c>
      <c r="E2159" s="207" t="str">
        <f ca="1">IF(OFFSET('IWP05'!Std10dot4Withdrawals, 6, 7, 1, 1) = 0, "", OFFSET('IWP05'!Std10dot4Withdrawals, 6, 7, 1, 1))</f>
        <v/>
      </c>
    </row>
    <row r="2160" spans="1:5">
      <c r="A2160" s="206" t="s">
        <v>1308</v>
      </c>
      <c r="B2160" s="157">
        <f ca="1">IF(OFFSET('IWP05'!Std10dot4Withdrawals, 7, 0, 1, 1) = DATE(1900,1,0),DATE(1900,1,1),OFFSET('IWP05'!Std10dot4Withdrawals, 7, 0, 1, 1))</f>
        <v>1</v>
      </c>
      <c r="C2160" s="155">
        <f ca="1">OFFSET('IWP05'!Std10dot4Withdrawals, 7, 2, 1, 1)</f>
        <v>0</v>
      </c>
      <c r="D2160" s="151" t="str">
        <f ca="1">IF(OFFSET('IWP05'!Std10dot4Withdrawals, 7, 4, 1, 1) = 0, "", OFFSET('IWP05'!Std10dot4Withdrawals, 7, 4, 1, 1))</f>
        <v/>
      </c>
      <c r="E2160" s="207" t="str">
        <f ca="1">IF(OFFSET('IWP05'!Std10dot4Withdrawals, 7, 7, 1, 1) = 0, "", OFFSET('IWP05'!Std10dot4Withdrawals, 7, 7, 1, 1))</f>
        <v/>
      </c>
    </row>
    <row r="2161" spans="1:5">
      <c r="A2161" s="206" t="s">
        <v>1308</v>
      </c>
      <c r="B2161" s="157">
        <f ca="1">IF(OFFSET('IWP05'!Std10dot4Withdrawals, 8, 0, 1, 1) = DATE(1900,1,0),DATE(1900,1,1),OFFSET('IWP05'!Std10dot4Withdrawals, 8, 0, 1, 1))</f>
        <v>1</v>
      </c>
      <c r="C2161" s="155">
        <f ca="1">OFFSET('IWP05'!Std10dot4Withdrawals, 8, 2, 1, 1)</f>
        <v>0</v>
      </c>
      <c r="D2161" s="151" t="str">
        <f ca="1">IF(OFFSET('IWP05'!Std10dot4Withdrawals, 8, 4, 1, 1) = 0, "", OFFSET('IWP05'!Std10dot4Withdrawals, 8, 4, 1, 1))</f>
        <v/>
      </c>
      <c r="E2161" s="207" t="str">
        <f ca="1">IF(OFFSET('IWP05'!Std10dot4Withdrawals, 8, 7, 1, 1) = 0, "", OFFSET('IWP05'!Std10dot4Withdrawals, 8, 7, 1, 1))</f>
        <v/>
      </c>
    </row>
    <row r="2162" spans="1:5">
      <c r="A2162" s="206" t="s">
        <v>1308</v>
      </c>
      <c r="B2162" s="157">
        <f ca="1">IF(OFFSET('IWP05'!Std10dot4Withdrawals, 9, 0, 1, 1) = DATE(1900,1,0),DATE(1900,1,1),OFFSET('IWP05'!Std10dot4Withdrawals, 9, 0, 1, 1))</f>
        <v>1</v>
      </c>
      <c r="C2162" s="155">
        <f ca="1">OFFSET('IWP05'!Std10dot4Withdrawals, 9, 2, 1, 1)</f>
        <v>0</v>
      </c>
      <c r="D2162" s="151" t="str">
        <f ca="1">IF(OFFSET('IWP05'!Std10dot4Withdrawals, 9, 4, 1, 1) = 0, "", OFFSET('IWP05'!Std10dot4Withdrawals, 9, 4, 1, 1))</f>
        <v/>
      </c>
      <c r="E2162" s="207" t="str">
        <f ca="1">IF(OFFSET('IWP05'!Std10dot4Withdrawals, 9, 7, 1, 1) = 0, "", OFFSET('IWP05'!Std10dot4Withdrawals, 9, 7, 1, 1))</f>
        <v/>
      </c>
    </row>
    <row r="2163" spans="1:5">
      <c r="A2163" s="206" t="s">
        <v>1308</v>
      </c>
      <c r="B2163" s="157">
        <f ca="1">IF(OFFSET('IWP05'!Std10dot4Withdrawals, 10, 0, 1, 1) = DATE(1900,1,0),DATE(1900,1,1),OFFSET('IWP05'!Std10dot4Withdrawals, 10, 0, 1, 1))</f>
        <v>1</v>
      </c>
      <c r="C2163" s="155">
        <f ca="1">OFFSET('IWP05'!Std10dot4Withdrawals, 10, 2, 1, 1)</f>
        <v>0</v>
      </c>
      <c r="D2163" s="151" t="str">
        <f ca="1">IF(OFFSET('IWP05'!Std10dot4Withdrawals, 10, 4, 1, 1) = 0, "", OFFSET('IWP05'!Std10dot4Withdrawals, 10, 4, 1, 1))</f>
        <v/>
      </c>
      <c r="E2163" s="207" t="str">
        <f ca="1">IF(OFFSET('IWP05'!Std10dot4Withdrawals, 10, 7, 1, 1) = 0, "", OFFSET('IWP05'!Std10dot4Withdrawals, 10, 7, 1, 1))</f>
        <v/>
      </c>
    </row>
    <row r="2164" spans="1:5">
      <c r="A2164" s="206" t="s">
        <v>1308</v>
      </c>
      <c r="B2164" s="157">
        <f ca="1">IF(OFFSET('IWP05'!Std10dot4Withdrawals, 11, 0, 1, 1) = DATE(1900,1,0),DATE(1900,1,1),OFFSET('IWP05'!Std10dot4Withdrawals, 11, 0, 1, 1))</f>
        <v>1</v>
      </c>
      <c r="C2164" s="155">
        <f ca="1">OFFSET('IWP05'!Std10dot4Withdrawals, 11, 2, 1, 1)</f>
        <v>0</v>
      </c>
      <c r="D2164" s="151" t="str">
        <f ca="1">IF(OFFSET('IWP05'!Std10dot4Withdrawals, 11, 4, 1, 1) = 0, "", OFFSET('IWP05'!Std10dot4Withdrawals, 11, 4, 1, 1))</f>
        <v/>
      </c>
      <c r="E2164" s="207" t="str">
        <f ca="1">IF(OFFSET('IWP05'!Std10dot4Withdrawals, 11, 7, 1, 1) = 0, "", OFFSET('IWP05'!Std10dot4Withdrawals, 11, 7, 1, 1))</f>
        <v/>
      </c>
    </row>
    <row r="2165" spans="1:5">
      <c r="A2165" s="206" t="s">
        <v>1308</v>
      </c>
      <c r="B2165" s="157">
        <f ca="1">IF(OFFSET('IWP05'!Std10dot4Withdrawals, 12, 0, 1, 1) = DATE(1900,1,0),DATE(1900,1,1),OFFSET('IWP05'!Std10dot4Withdrawals, 12, 0, 1, 1))</f>
        <v>1</v>
      </c>
      <c r="C2165" s="155">
        <f ca="1">OFFSET('IWP05'!Std10dot4Withdrawals, 12, 2, 1, 1)</f>
        <v>0</v>
      </c>
      <c r="D2165" s="151" t="str">
        <f ca="1">IF(OFFSET('IWP05'!Std10dot4Withdrawals, 12, 4, 1, 1) = 0, "", OFFSET('IWP05'!Std10dot4Withdrawals, 12, 4, 1, 1))</f>
        <v/>
      </c>
      <c r="E2165" s="207" t="str">
        <f ca="1">IF(OFFSET('IWP05'!Std10dot4Withdrawals, 12, 7, 1, 1) = 0, "", OFFSET('IWP05'!Std10dot4Withdrawals, 12, 7, 1, 1))</f>
        <v/>
      </c>
    </row>
    <row r="2166" spans="1:5">
      <c r="A2166" s="206" t="s">
        <v>1308</v>
      </c>
      <c r="B2166" s="157">
        <f ca="1">IF(OFFSET('IWP05'!Std10dot4Withdrawals, 13, 0, 1, 1) = DATE(1900,1,0),DATE(1900,1,1),OFFSET('IWP05'!Std10dot4Withdrawals, 13, 0, 1, 1))</f>
        <v>1</v>
      </c>
      <c r="C2166" s="155">
        <f ca="1">OFFSET('IWP05'!Std10dot4Withdrawals, 13, 2, 1, 1)</f>
        <v>0</v>
      </c>
      <c r="D2166" s="151" t="str">
        <f ca="1">IF(OFFSET('IWP05'!Std10dot4Withdrawals, 13, 4, 1, 1) = 0, "", OFFSET('IWP05'!Std10dot4Withdrawals, 13, 4, 1, 1))</f>
        <v/>
      </c>
      <c r="E2166" s="207" t="str">
        <f ca="1">IF(OFFSET('IWP05'!Std10dot4Withdrawals, 13, 7, 1, 1) = 0, "", OFFSET('IWP05'!Std10dot4Withdrawals, 13, 7, 1, 1))</f>
        <v/>
      </c>
    </row>
    <row r="2167" spans="1:5">
      <c r="A2167" s="206" t="s">
        <v>1308</v>
      </c>
      <c r="B2167" s="157">
        <f ca="1">IF(OFFSET('IWP05'!Std10dot4Withdrawals, 14, 0, 1, 1) = DATE(1900,1,0),DATE(1900,1,1),OFFSET('IWP05'!Std10dot4Withdrawals, 14, 0, 1, 1))</f>
        <v>1</v>
      </c>
      <c r="C2167" s="155">
        <f ca="1">OFFSET('IWP05'!Std10dot4Withdrawals, 14, 2, 1, 1)</f>
        <v>0</v>
      </c>
      <c r="D2167" s="151" t="str">
        <f ca="1">IF(OFFSET('IWP05'!Std10dot4Withdrawals, 14, 4, 1, 1) = 0, "", OFFSET('IWP05'!Std10dot4Withdrawals, 14, 4, 1, 1))</f>
        <v/>
      </c>
      <c r="E2167" s="207" t="str">
        <f ca="1">IF(OFFSET('IWP05'!Std10dot4Withdrawals, 14, 7, 1, 1) = 0, "", OFFSET('IWP05'!Std10dot4Withdrawals, 14, 7, 1, 1))</f>
        <v/>
      </c>
    </row>
    <row r="2168" spans="1:5">
      <c r="A2168" s="206" t="s">
        <v>1308</v>
      </c>
      <c r="B2168" s="157">
        <f ca="1">IF(OFFSET('IWP05'!Std10dot4Withdrawals, 15, 0, 1, 1) = DATE(1900,1,0),DATE(1900,1,1),OFFSET('IWP05'!Std10dot4Withdrawals, 15, 0, 1, 1))</f>
        <v>1</v>
      </c>
      <c r="C2168" s="155">
        <f ca="1">OFFSET('IWP05'!Std10dot4Withdrawals, 15, 2, 1, 1)</f>
        <v>0</v>
      </c>
      <c r="D2168" s="151" t="str">
        <f ca="1">IF(OFFSET('IWP05'!Std10dot4Withdrawals, 15, 4, 1, 1) = 0, "", OFFSET('IWP05'!Std10dot4Withdrawals, 15, 4, 1, 1))</f>
        <v/>
      </c>
      <c r="E2168" s="207" t="str">
        <f ca="1">IF(OFFSET('IWP05'!Std10dot4Withdrawals, 15, 7, 1, 1) = 0, "", OFFSET('IWP05'!Std10dot4Withdrawals, 15, 7, 1, 1))</f>
        <v/>
      </c>
    </row>
    <row r="2169" spans="1:5">
      <c r="A2169" s="206" t="s">
        <v>1308</v>
      </c>
      <c r="B2169" s="157">
        <f ca="1">IF(OFFSET('IWP05'!Std10dot4Withdrawals, 16, 0, 1, 1) = DATE(1900,1,0),DATE(1900,1,1),OFFSET('IWP05'!Std10dot4Withdrawals, 16, 0, 1, 1))</f>
        <v>1</v>
      </c>
      <c r="C2169" s="155">
        <f ca="1">OFFSET('IWP05'!Std10dot4Withdrawals, 16, 2, 1, 1)</f>
        <v>0</v>
      </c>
      <c r="D2169" s="151" t="str">
        <f ca="1">IF(OFFSET('IWP05'!Std10dot4Withdrawals, 16, 4, 1, 1) = 0, "", OFFSET('IWP05'!Std10dot4Withdrawals, 16, 4, 1, 1))</f>
        <v/>
      </c>
      <c r="E2169" s="207" t="str">
        <f ca="1">IF(OFFSET('IWP05'!Std10dot4Withdrawals, 16, 7, 1, 1) = 0, "", OFFSET('IWP05'!Std10dot4Withdrawals, 16, 7, 1, 1))</f>
        <v/>
      </c>
    </row>
    <row r="2170" spans="1:5">
      <c r="A2170" s="206" t="s">
        <v>1308</v>
      </c>
      <c r="B2170" s="157">
        <f ca="1">IF(OFFSET('IWP05'!Std10dot4Withdrawals, 17, 0, 1, 1) = DATE(1900,1,0),DATE(1900,1,1),OFFSET('IWP05'!Std10dot4Withdrawals, 17, 0, 1, 1))</f>
        <v>1</v>
      </c>
      <c r="C2170" s="155">
        <f ca="1">OFFSET('IWP05'!Std10dot4Withdrawals, 17, 2, 1, 1)</f>
        <v>0</v>
      </c>
      <c r="D2170" s="151" t="str">
        <f ca="1">IF(OFFSET('IWP05'!Std10dot4Withdrawals, 17, 4, 1, 1) = 0, "", OFFSET('IWP05'!Std10dot4Withdrawals, 17, 4, 1, 1))</f>
        <v/>
      </c>
      <c r="E2170" s="207" t="str">
        <f ca="1">IF(OFFSET('IWP05'!Std10dot4Withdrawals, 17, 7, 1, 1) = 0, "", OFFSET('IWP05'!Std10dot4Withdrawals, 17, 7, 1, 1))</f>
        <v/>
      </c>
    </row>
    <row r="2171" spans="1:5">
      <c r="A2171" s="206" t="s">
        <v>1308</v>
      </c>
      <c r="B2171" s="157">
        <f ca="1">IF(OFFSET('IWP05'!Std10dot4Withdrawals, 18, 0, 1, 1) = DATE(1900,1,0),DATE(1900,1,1),OFFSET('IWP05'!Std10dot4Withdrawals, 18, 0, 1, 1))</f>
        <v>1</v>
      </c>
      <c r="C2171" s="155">
        <f ca="1">OFFSET('IWP05'!Std10dot4Withdrawals, 18, 2, 1, 1)</f>
        <v>0</v>
      </c>
      <c r="D2171" s="151" t="str">
        <f ca="1">IF(OFFSET('IWP05'!Std10dot4Withdrawals, 18, 4, 1, 1) = 0, "", OFFSET('IWP05'!Std10dot4Withdrawals, 18, 4, 1, 1))</f>
        <v/>
      </c>
      <c r="E2171" s="207" t="str">
        <f ca="1">IF(OFFSET('IWP05'!Std10dot4Withdrawals, 18, 7, 1, 1) = 0, "", OFFSET('IWP05'!Std10dot4Withdrawals, 18, 7, 1, 1))</f>
        <v/>
      </c>
    </row>
    <row r="2172" spans="1:5">
      <c r="A2172" s="206" t="s">
        <v>1308</v>
      </c>
      <c r="B2172" s="157">
        <f ca="1">IF(OFFSET('IWP05'!Std10dot4Withdrawals, 19, 0, 1, 1) = DATE(1900,1,0),DATE(1900,1,1),OFFSET('IWP05'!Std10dot4Withdrawals, 19, 0, 1, 1))</f>
        <v>1</v>
      </c>
      <c r="C2172" s="155">
        <f ca="1">OFFSET('IWP05'!Std10dot4Withdrawals, 19, 2, 1, 1)</f>
        <v>0</v>
      </c>
      <c r="D2172" s="151" t="str">
        <f ca="1">IF(OFFSET('IWP05'!Std10dot4Withdrawals, 19, 4, 1, 1) = 0, "", OFFSET('IWP05'!Std10dot4Withdrawals, 19, 4, 1, 1))</f>
        <v/>
      </c>
      <c r="E2172" s="207" t="str">
        <f ca="1">IF(OFFSET('IWP05'!Std10dot4Withdrawals, 19, 7, 1, 1) = 0, "", OFFSET('IWP05'!Std10dot4Withdrawals, 19, 7, 1, 1))</f>
        <v/>
      </c>
    </row>
    <row r="2173" spans="1:5">
      <c r="A2173" s="206" t="s">
        <v>1309</v>
      </c>
      <c r="B2173" s="157">
        <f ca="1">IF(OFFSET('IWP06'!Std10dot4Withdrawals, 0, 0, 1, 1) = DATE(1900,1,0),DATE(1900,1,1),OFFSET('IWP06'!Std10dot4Withdrawals, 0, 0, 1, 1))</f>
        <v>1</v>
      </c>
      <c r="C2173" s="155">
        <f ca="1">OFFSET('IWP06'!Std10dot4Withdrawals, 0, 2, 1, 1)</f>
        <v>0</v>
      </c>
      <c r="D2173" s="151" t="str">
        <f ca="1">IF(OFFSET('IWP06'!Std10dot4Withdrawals, 0, 4, 1, 1) = 0, "", OFFSET('IWP06'!Std10dot4Withdrawals, 0, 4, 1, 1))</f>
        <v/>
      </c>
      <c r="E2173" s="207" t="str">
        <f ca="1">IF(OFFSET('IWP06'!Std10dot4Withdrawals, 0, 7, 1, 1) = 0, "", OFFSET('IWP06'!Std10dot4Withdrawals, 0, 7, 1, 1))</f>
        <v/>
      </c>
    </row>
    <row r="2174" spans="1:5">
      <c r="A2174" s="206" t="s">
        <v>1309</v>
      </c>
      <c r="B2174" s="157">
        <f ca="1">IF(OFFSET('IWP06'!Std10dot4Withdrawals, 1, 0, 1, 1) = DATE(1900,1,0),DATE(1900,1,1),OFFSET('IWP06'!Std10dot4Withdrawals, 1, 0, 1, 1))</f>
        <v>1</v>
      </c>
      <c r="C2174" s="155">
        <f ca="1">OFFSET('IWP06'!Std10dot4Withdrawals, 1, 2, 1, 1)</f>
        <v>0</v>
      </c>
      <c r="D2174" s="151" t="str">
        <f ca="1">IF(OFFSET('IWP06'!Std10dot4Withdrawals, 1, 4, 1, 1) = 0, "", OFFSET('IWP06'!Std10dot4Withdrawals, 1, 4, 1, 1))</f>
        <v/>
      </c>
      <c r="E2174" s="207" t="str">
        <f ca="1">IF(OFFSET('IWP06'!Std10dot4Withdrawals, 1, 7, 1, 1) = 0, "", OFFSET('IWP06'!Std10dot4Withdrawals, 1, 7, 1, 1))</f>
        <v/>
      </c>
    </row>
    <row r="2175" spans="1:5">
      <c r="A2175" s="206" t="s">
        <v>1309</v>
      </c>
      <c r="B2175" s="157">
        <f ca="1">IF(OFFSET('IWP06'!Std10dot4Withdrawals, 2, 0, 1, 1) = DATE(1900,1,0),DATE(1900,1,1),OFFSET('IWP06'!Std10dot4Withdrawals, 2, 0, 1, 1))</f>
        <v>1</v>
      </c>
      <c r="C2175" s="155">
        <f ca="1">OFFSET('IWP06'!Std10dot4Withdrawals, 2, 2, 1, 1)</f>
        <v>0</v>
      </c>
      <c r="D2175" s="151" t="str">
        <f ca="1">IF(OFFSET('IWP06'!Std10dot4Withdrawals, 2, 4, 1, 1) = 0, "", OFFSET('IWP06'!Std10dot4Withdrawals, 2, 4, 1, 1))</f>
        <v/>
      </c>
      <c r="E2175" s="207" t="str">
        <f ca="1">IF(OFFSET('IWP06'!Std10dot4Withdrawals, 2, 7, 1, 1) = 0, "", OFFSET('IWP06'!Std10dot4Withdrawals, 2, 7, 1, 1))</f>
        <v/>
      </c>
    </row>
    <row r="2176" spans="1:5">
      <c r="A2176" s="206" t="s">
        <v>1309</v>
      </c>
      <c r="B2176" s="157">
        <f ca="1">IF(OFFSET('IWP06'!Std10dot4Withdrawals, 3, 0, 1, 1) = DATE(1900,1,0),DATE(1900,1,1),OFFSET('IWP06'!Std10dot4Withdrawals, 3, 0, 1, 1))</f>
        <v>1</v>
      </c>
      <c r="C2176" s="155">
        <f ca="1">OFFSET('IWP06'!Std10dot4Withdrawals, 3, 2, 1, 1)</f>
        <v>0</v>
      </c>
      <c r="D2176" s="151" t="str">
        <f ca="1">IF(OFFSET('IWP06'!Std10dot4Withdrawals, 3, 4, 1, 1) = 0, "", OFFSET('IWP06'!Std10dot4Withdrawals, 3, 4, 1, 1))</f>
        <v/>
      </c>
      <c r="E2176" s="207" t="str">
        <f ca="1">IF(OFFSET('IWP06'!Std10dot4Withdrawals, 3, 7, 1, 1) = 0, "", OFFSET('IWP06'!Std10dot4Withdrawals, 3, 7, 1, 1))</f>
        <v/>
      </c>
    </row>
    <row r="2177" spans="1:5">
      <c r="A2177" s="206" t="s">
        <v>1309</v>
      </c>
      <c r="B2177" s="157">
        <f ca="1">IF(OFFSET('IWP06'!Std10dot4Withdrawals, 4, 0, 1, 1) = DATE(1900,1,0),DATE(1900,1,1),OFFSET('IWP06'!Std10dot4Withdrawals, 4, 0, 1, 1))</f>
        <v>1</v>
      </c>
      <c r="C2177" s="155">
        <f ca="1">OFFSET('IWP06'!Std10dot4Withdrawals, 4, 2, 1, 1)</f>
        <v>0</v>
      </c>
      <c r="D2177" s="151" t="str">
        <f ca="1">IF(OFFSET('IWP06'!Std10dot4Withdrawals, 4, 4, 1, 1) = 0, "", OFFSET('IWP06'!Std10dot4Withdrawals, 4, 4, 1, 1))</f>
        <v/>
      </c>
      <c r="E2177" s="207" t="str">
        <f ca="1">IF(OFFSET('IWP06'!Std10dot4Withdrawals, 4, 7, 1, 1) = 0, "", OFFSET('IWP06'!Std10dot4Withdrawals, 4, 7, 1, 1))</f>
        <v/>
      </c>
    </row>
    <row r="2178" spans="1:5">
      <c r="A2178" s="206" t="s">
        <v>1309</v>
      </c>
      <c r="B2178" s="157">
        <f ca="1">IF(OFFSET('IWP06'!Std10dot4Withdrawals, 5, 0, 1, 1) = DATE(1900,1,0),DATE(1900,1,1),OFFSET('IWP06'!Std10dot4Withdrawals, 5, 0, 1, 1))</f>
        <v>1</v>
      </c>
      <c r="C2178" s="155">
        <f ca="1">OFFSET('IWP06'!Std10dot4Withdrawals, 5, 2, 1, 1)</f>
        <v>0</v>
      </c>
      <c r="D2178" s="151" t="str">
        <f ca="1">IF(OFFSET('IWP06'!Std10dot4Withdrawals, 5, 4, 1, 1) = 0, "", OFFSET('IWP06'!Std10dot4Withdrawals, 5, 4, 1, 1))</f>
        <v/>
      </c>
      <c r="E2178" s="207" t="str">
        <f ca="1">IF(OFFSET('IWP06'!Std10dot4Withdrawals, 5, 7, 1, 1) = 0, "", OFFSET('IWP06'!Std10dot4Withdrawals, 5, 7, 1, 1))</f>
        <v/>
      </c>
    </row>
    <row r="2179" spans="1:5">
      <c r="A2179" s="206" t="s">
        <v>1309</v>
      </c>
      <c r="B2179" s="157">
        <f ca="1">IF(OFFSET('IWP06'!Std10dot4Withdrawals, 6, 0, 1, 1) = DATE(1900,1,0),DATE(1900,1,1),OFFSET('IWP06'!Std10dot4Withdrawals, 6, 0, 1, 1))</f>
        <v>1</v>
      </c>
      <c r="C2179" s="155">
        <f ca="1">OFFSET('IWP06'!Std10dot4Withdrawals, 6, 2, 1, 1)</f>
        <v>0</v>
      </c>
      <c r="D2179" s="151" t="str">
        <f ca="1">IF(OFFSET('IWP06'!Std10dot4Withdrawals, 6, 4, 1, 1) = 0, "", OFFSET('IWP06'!Std10dot4Withdrawals, 6, 4, 1, 1))</f>
        <v/>
      </c>
      <c r="E2179" s="207" t="str">
        <f ca="1">IF(OFFSET('IWP06'!Std10dot4Withdrawals, 6, 7, 1, 1) = 0, "", OFFSET('IWP06'!Std10dot4Withdrawals, 6, 7, 1, 1))</f>
        <v/>
      </c>
    </row>
    <row r="2180" spans="1:5">
      <c r="A2180" s="206" t="s">
        <v>1309</v>
      </c>
      <c r="B2180" s="157">
        <f ca="1">IF(OFFSET('IWP06'!Std10dot4Withdrawals, 7, 0, 1, 1) = DATE(1900,1,0),DATE(1900,1,1),OFFSET('IWP06'!Std10dot4Withdrawals, 7, 0, 1, 1))</f>
        <v>1</v>
      </c>
      <c r="C2180" s="155">
        <f ca="1">OFFSET('IWP06'!Std10dot4Withdrawals, 7, 2, 1, 1)</f>
        <v>0</v>
      </c>
      <c r="D2180" s="151" t="str">
        <f ca="1">IF(OFFSET('IWP06'!Std10dot4Withdrawals, 7, 4, 1, 1) = 0, "", OFFSET('IWP06'!Std10dot4Withdrawals, 7, 4, 1, 1))</f>
        <v/>
      </c>
      <c r="E2180" s="207" t="str">
        <f ca="1">IF(OFFSET('IWP06'!Std10dot4Withdrawals, 7, 7, 1, 1) = 0, "", OFFSET('IWP06'!Std10dot4Withdrawals, 7, 7, 1, 1))</f>
        <v/>
      </c>
    </row>
    <row r="2181" spans="1:5">
      <c r="A2181" s="206" t="s">
        <v>1309</v>
      </c>
      <c r="B2181" s="157">
        <f ca="1">IF(OFFSET('IWP06'!Std10dot4Withdrawals, 8, 0, 1, 1) = DATE(1900,1,0),DATE(1900,1,1),OFFSET('IWP06'!Std10dot4Withdrawals, 8, 0, 1, 1))</f>
        <v>1</v>
      </c>
      <c r="C2181" s="155">
        <f ca="1">OFFSET('IWP06'!Std10dot4Withdrawals, 8, 2, 1, 1)</f>
        <v>0</v>
      </c>
      <c r="D2181" s="151" t="str">
        <f ca="1">IF(OFFSET('IWP06'!Std10dot4Withdrawals, 8, 4, 1, 1) = 0, "", OFFSET('IWP06'!Std10dot4Withdrawals, 8, 4, 1, 1))</f>
        <v/>
      </c>
      <c r="E2181" s="207" t="str">
        <f ca="1">IF(OFFSET('IWP06'!Std10dot4Withdrawals, 8, 7, 1, 1) = 0, "", OFFSET('IWP06'!Std10dot4Withdrawals, 8, 7, 1, 1))</f>
        <v/>
      </c>
    </row>
    <row r="2182" spans="1:5">
      <c r="A2182" s="206" t="s">
        <v>1309</v>
      </c>
      <c r="B2182" s="157">
        <f ca="1">IF(OFFSET('IWP06'!Std10dot4Withdrawals, 9, 0, 1, 1) = DATE(1900,1,0),DATE(1900,1,1),OFFSET('IWP06'!Std10dot4Withdrawals, 9, 0, 1, 1))</f>
        <v>1</v>
      </c>
      <c r="C2182" s="155">
        <f ca="1">OFFSET('IWP06'!Std10dot4Withdrawals, 9, 2, 1, 1)</f>
        <v>0</v>
      </c>
      <c r="D2182" s="151" t="str">
        <f ca="1">IF(OFFSET('IWP06'!Std10dot4Withdrawals, 9, 4, 1, 1) = 0, "", OFFSET('IWP06'!Std10dot4Withdrawals, 9, 4, 1, 1))</f>
        <v/>
      </c>
      <c r="E2182" s="207" t="str">
        <f ca="1">IF(OFFSET('IWP06'!Std10dot4Withdrawals, 9, 7, 1, 1) = 0, "", OFFSET('IWP06'!Std10dot4Withdrawals, 9, 7, 1, 1))</f>
        <v/>
      </c>
    </row>
    <row r="2183" spans="1:5">
      <c r="A2183" s="206" t="s">
        <v>1309</v>
      </c>
      <c r="B2183" s="157">
        <f ca="1">IF(OFFSET('IWP06'!Std10dot4Withdrawals, 10, 0, 1, 1) = DATE(1900,1,0),DATE(1900,1,1),OFFSET('IWP06'!Std10dot4Withdrawals, 10, 0, 1, 1))</f>
        <v>1</v>
      </c>
      <c r="C2183" s="155">
        <f ca="1">OFFSET('IWP06'!Std10dot4Withdrawals, 10, 2, 1, 1)</f>
        <v>0</v>
      </c>
      <c r="D2183" s="151" t="str">
        <f ca="1">IF(OFFSET('IWP06'!Std10dot4Withdrawals, 10, 4, 1, 1) = 0, "", OFFSET('IWP06'!Std10dot4Withdrawals, 10, 4, 1, 1))</f>
        <v/>
      </c>
      <c r="E2183" s="207" t="str">
        <f ca="1">IF(OFFSET('IWP06'!Std10dot4Withdrawals, 10, 7, 1, 1) = 0, "", OFFSET('IWP06'!Std10dot4Withdrawals, 10, 7, 1, 1))</f>
        <v/>
      </c>
    </row>
    <row r="2184" spans="1:5">
      <c r="A2184" s="206" t="s">
        <v>1309</v>
      </c>
      <c r="B2184" s="157">
        <f ca="1">IF(OFFSET('IWP06'!Std10dot4Withdrawals, 11, 0, 1, 1) = DATE(1900,1,0),DATE(1900,1,1),OFFSET('IWP06'!Std10dot4Withdrawals, 11, 0, 1, 1))</f>
        <v>1</v>
      </c>
      <c r="C2184" s="155">
        <f ca="1">OFFSET('IWP06'!Std10dot4Withdrawals, 11, 2, 1, 1)</f>
        <v>0</v>
      </c>
      <c r="D2184" s="151" t="str">
        <f ca="1">IF(OFFSET('IWP06'!Std10dot4Withdrawals, 11, 4, 1, 1) = 0, "", OFFSET('IWP06'!Std10dot4Withdrawals, 11, 4, 1, 1))</f>
        <v/>
      </c>
      <c r="E2184" s="207" t="str">
        <f ca="1">IF(OFFSET('IWP06'!Std10dot4Withdrawals, 11, 7, 1, 1) = 0, "", OFFSET('IWP06'!Std10dot4Withdrawals, 11, 7, 1, 1))</f>
        <v/>
      </c>
    </row>
    <row r="2185" spans="1:5">
      <c r="A2185" s="206" t="s">
        <v>1309</v>
      </c>
      <c r="B2185" s="157">
        <f ca="1">IF(OFFSET('IWP06'!Std10dot4Withdrawals, 12, 0, 1, 1) = DATE(1900,1,0),DATE(1900,1,1),OFFSET('IWP06'!Std10dot4Withdrawals, 12, 0, 1, 1))</f>
        <v>1</v>
      </c>
      <c r="C2185" s="155">
        <f ca="1">OFFSET('IWP06'!Std10dot4Withdrawals, 12, 2, 1, 1)</f>
        <v>0</v>
      </c>
      <c r="D2185" s="151" t="str">
        <f ca="1">IF(OFFSET('IWP06'!Std10dot4Withdrawals, 12, 4, 1, 1) = 0, "", OFFSET('IWP06'!Std10dot4Withdrawals, 12, 4, 1, 1))</f>
        <v/>
      </c>
      <c r="E2185" s="207" t="str">
        <f ca="1">IF(OFFSET('IWP06'!Std10dot4Withdrawals, 12, 7, 1, 1) = 0, "", OFFSET('IWP06'!Std10dot4Withdrawals, 12, 7, 1, 1))</f>
        <v/>
      </c>
    </row>
    <row r="2186" spans="1:5">
      <c r="A2186" s="206" t="s">
        <v>1309</v>
      </c>
      <c r="B2186" s="157">
        <f ca="1">IF(OFFSET('IWP06'!Std10dot4Withdrawals, 13, 0, 1, 1) = DATE(1900,1,0),DATE(1900,1,1),OFFSET('IWP06'!Std10dot4Withdrawals, 13, 0, 1, 1))</f>
        <v>1</v>
      </c>
      <c r="C2186" s="155">
        <f ca="1">OFFSET('IWP06'!Std10dot4Withdrawals, 13, 2, 1, 1)</f>
        <v>0</v>
      </c>
      <c r="D2186" s="151" t="str">
        <f ca="1">IF(OFFSET('IWP06'!Std10dot4Withdrawals, 13, 4, 1, 1) = 0, "", OFFSET('IWP06'!Std10dot4Withdrawals, 13, 4, 1, 1))</f>
        <v/>
      </c>
      <c r="E2186" s="207" t="str">
        <f ca="1">IF(OFFSET('IWP06'!Std10dot4Withdrawals, 13, 7, 1, 1) = 0, "", OFFSET('IWP06'!Std10dot4Withdrawals, 13, 7, 1, 1))</f>
        <v/>
      </c>
    </row>
    <row r="2187" spans="1:5">
      <c r="A2187" s="206" t="s">
        <v>1309</v>
      </c>
      <c r="B2187" s="157">
        <f ca="1">IF(OFFSET('IWP06'!Std10dot4Withdrawals, 14, 0, 1, 1) = DATE(1900,1,0),DATE(1900,1,1),OFFSET('IWP06'!Std10dot4Withdrawals, 14, 0, 1, 1))</f>
        <v>1</v>
      </c>
      <c r="C2187" s="155">
        <f ca="1">OFFSET('IWP06'!Std10dot4Withdrawals, 14, 2, 1, 1)</f>
        <v>0</v>
      </c>
      <c r="D2187" s="151" t="str">
        <f ca="1">IF(OFFSET('IWP06'!Std10dot4Withdrawals, 14, 4, 1, 1) = 0, "", OFFSET('IWP06'!Std10dot4Withdrawals, 14, 4, 1, 1))</f>
        <v/>
      </c>
      <c r="E2187" s="207" t="str">
        <f ca="1">IF(OFFSET('IWP06'!Std10dot4Withdrawals, 14, 7, 1, 1) = 0, "", OFFSET('IWP06'!Std10dot4Withdrawals, 14, 7, 1, 1))</f>
        <v/>
      </c>
    </row>
    <row r="2188" spans="1:5">
      <c r="A2188" s="206" t="s">
        <v>1309</v>
      </c>
      <c r="B2188" s="157">
        <f ca="1">IF(OFFSET('IWP06'!Std10dot4Withdrawals, 15, 0, 1, 1) = DATE(1900,1,0),DATE(1900,1,1),OFFSET('IWP06'!Std10dot4Withdrawals, 15, 0, 1, 1))</f>
        <v>1</v>
      </c>
      <c r="C2188" s="155">
        <f ca="1">OFFSET('IWP06'!Std10dot4Withdrawals, 15, 2, 1, 1)</f>
        <v>0</v>
      </c>
      <c r="D2188" s="151" t="str">
        <f ca="1">IF(OFFSET('IWP06'!Std10dot4Withdrawals, 15, 4, 1, 1) = 0, "", OFFSET('IWP06'!Std10dot4Withdrawals, 15, 4, 1, 1))</f>
        <v/>
      </c>
      <c r="E2188" s="207" t="str">
        <f ca="1">IF(OFFSET('IWP06'!Std10dot4Withdrawals, 15, 7, 1, 1) = 0, "", OFFSET('IWP06'!Std10dot4Withdrawals, 15, 7, 1, 1))</f>
        <v/>
      </c>
    </row>
    <row r="2189" spans="1:5">
      <c r="A2189" s="206" t="s">
        <v>1309</v>
      </c>
      <c r="B2189" s="157">
        <f ca="1">IF(OFFSET('IWP06'!Std10dot4Withdrawals, 16, 0, 1, 1) = DATE(1900,1,0),DATE(1900,1,1),OFFSET('IWP06'!Std10dot4Withdrawals, 16, 0, 1, 1))</f>
        <v>1</v>
      </c>
      <c r="C2189" s="155">
        <f ca="1">OFFSET('IWP06'!Std10dot4Withdrawals, 16, 2, 1, 1)</f>
        <v>0</v>
      </c>
      <c r="D2189" s="151" t="str">
        <f ca="1">IF(OFFSET('IWP06'!Std10dot4Withdrawals, 16, 4, 1, 1) = 0, "", OFFSET('IWP06'!Std10dot4Withdrawals, 16, 4, 1, 1))</f>
        <v/>
      </c>
      <c r="E2189" s="207" t="str">
        <f ca="1">IF(OFFSET('IWP06'!Std10dot4Withdrawals, 16, 7, 1, 1) = 0, "", OFFSET('IWP06'!Std10dot4Withdrawals, 16, 7, 1, 1))</f>
        <v/>
      </c>
    </row>
    <row r="2190" spans="1:5">
      <c r="A2190" s="206" t="s">
        <v>1309</v>
      </c>
      <c r="B2190" s="157">
        <f ca="1">IF(OFFSET('IWP06'!Std10dot4Withdrawals, 17, 0, 1, 1) = DATE(1900,1,0),DATE(1900,1,1),OFFSET('IWP06'!Std10dot4Withdrawals, 17, 0, 1, 1))</f>
        <v>1</v>
      </c>
      <c r="C2190" s="155">
        <f ca="1">OFFSET('IWP06'!Std10dot4Withdrawals, 17, 2, 1, 1)</f>
        <v>0</v>
      </c>
      <c r="D2190" s="151" t="str">
        <f ca="1">IF(OFFSET('IWP06'!Std10dot4Withdrawals, 17, 4, 1, 1) = 0, "", OFFSET('IWP06'!Std10dot4Withdrawals, 17, 4, 1, 1))</f>
        <v/>
      </c>
      <c r="E2190" s="207" t="str">
        <f ca="1">IF(OFFSET('IWP06'!Std10dot4Withdrawals, 17, 7, 1, 1) = 0, "", OFFSET('IWP06'!Std10dot4Withdrawals, 17, 7, 1, 1))</f>
        <v/>
      </c>
    </row>
    <row r="2191" spans="1:5">
      <c r="A2191" s="206" t="s">
        <v>1309</v>
      </c>
      <c r="B2191" s="157">
        <f ca="1">IF(OFFSET('IWP06'!Std10dot4Withdrawals, 18, 0, 1, 1) = DATE(1900,1,0),DATE(1900,1,1),OFFSET('IWP06'!Std10dot4Withdrawals, 18, 0, 1, 1))</f>
        <v>1</v>
      </c>
      <c r="C2191" s="155">
        <f ca="1">OFFSET('IWP06'!Std10dot4Withdrawals, 18, 2, 1, 1)</f>
        <v>0</v>
      </c>
      <c r="D2191" s="151" t="str">
        <f ca="1">IF(OFFSET('IWP06'!Std10dot4Withdrawals, 18, 4, 1, 1) = 0, "", OFFSET('IWP06'!Std10dot4Withdrawals, 18, 4, 1, 1))</f>
        <v/>
      </c>
      <c r="E2191" s="207" t="str">
        <f ca="1">IF(OFFSET('IWP06'!Std10dot4Withdrawals, 18, 7, 1, 1) = 0, "", OFFSET('IWP06'!Std10dot4Withdrawals, 18, 7, 1, 1))</f>
        <v/>
      </c>
    </row>
    <row r="2192" spans="1:5">
      <c r="A2192" s="206" t="s">
        <v>1309</v>
      </c>
      <c r="B2192" s="157">
        <f ca="1">IF(OFFSET('IWP06'!Std10dot4Withdrawals, 19, 0, 1, 1) = DATE(1900,1,0),DATE(1900,1,1),OFFSET('IWP06'!Std10dot4Withdrawals, 19, 0, 1, 1))</f>
        <v>1</v>
      </c>
      <c r="C2192" s="155">
        <f ca="1">OFFSET('IWP06'!Std10dot4Withdrawals, 19, 2, 1, 1)</f>
        <v>0</v>
      </c>
      <c r="D2192" s="151" t="str">
        <f ca="1">IF(OFFSET('IWP06'!Std10dot4Withdrawals, 19, 4, 1, 1) = 0, "", OFFSET('IWP06'!Std10dot4Withdrawals, 19, 4, 1, 1))</f>
        <v/>
      </c>
      <c r="E2192" s="207" t="str">
        <f ca="1">IF(OFFSET('IWP06'!Std10dot4Withdrawals, 19, 7, 1, 1) = 0, "", OFFSET('IWP06'!Std10dot4Withdrawals, 19, 7, 1, 1))</f>
        <v/>
      </c>
    </row>
    <row r="2193" spans="1:5">
      <c r="A2193" s="206" t="s">
        <v>1310</v>
      </c>
      <c r="B2193" s="157">
        <f ca="1">IF(OFFSET('IWP07'!Std10dot4Withdrawals, 0, 0, 1, 1) = DATE(1900,1,0),DATE(1900,1,1),OFFSET('IWP07'!Std10dot4Withdrawals, 0, 0, 1, 1))</f>
        <v>1</v>
      </c>
      <c r="C2193" s="155">
        <f ca="1">OFFSET('IWP07'!Std10dot4Withdrawals, 0, 2, 1, 1)</f>
        <v>0</v>
      </c>
      <c r="D2193" s="151" t="str">
        <f ca="1">IF(OFFSET('IWP07'!Std10dot4Withdrawals, 0, 4, 1, 1) = 0, "", OFFSET('IWP07'!Std10dot4Withdrawals, 0, 4, 1, 1))</f>
        <v/>
      </c>
      <c r="E2193" s="207" t="str">
        <f ca="1">IF(OFFSET('IWP07'!Std10dot4Withdrawals, 0, 7, 1, 1) = 0, "", OFFSET('IWP07'!Std10dot4Withdrawals, 0, 7, 1, 1))</f>
        <v/>
      </c>
    </row>
    <row r="2194" spans="1:5">
      <c r="A2194" s="206" t="s">
        <v>1310</v>
      </c>
      <c r="B2194" s="157">
        <f ca="1">IF(OFFSET('IWP07'!Std10dot4Withdrawals, 1, 0, 1, 1) = DATE(1900,1,0),DATE(1900,1,1),OFFSET('IWP07'!Std10dot4Withdrawals, 1, 0, 1, 1))</f>
        <v>1</v>
      </c>
      <c r="C2194" s="155">
        <f ca="1">OFFSET('IWP07'!Std10dot4Withdrawals, 1, 2, 1, 1)</f>
        <v>0</v>
      </c>
      <c r="D2194" s="151" t="str">
        <f ca="1">IF(OFFSET('IWP07'!Std10dot4Withdrawals, 1, 4, 1, 1) = 0, "", OFFSET('IWP07'!Std10dot4Withdrawals, 1, 4, 1, 1))</f>
        <v/>
      </c>
      <c r="E2194" s="207" t="str">
        <f ca="1">IF(OFFSET('IWP07'!Std10dot4Withdrawals, 1, 7, 1, 1) = 0, "", OFFSET('IWP07'!Std10dot4Withdrawals, 1, 7, 1, 1))</f>
        <v/>
      </c>
    </row>
    <row r="2195" spans="1:5">
      <c r="A2195" s="206" t="s">
        <v>1310</v>
      </c>
      <c r="B2195" s="157">
        <f ca="1">IF(OFFSET('IWP07'!Std10dot4Withdrawals, 2, 0, 1, 1) = DATE(1900,1,0),DATE(1900,1,1),OFFSET('IWP07'!Std10dot4Withdrawals, 2, 0, 1, 1))</f>
        <v>1</v>
      </c>
      <c r="C2195" s="155">
        <f ca="1">OFFSET('IWP07'!Std10dot4Withdrawals, 2, 2, 1, 1)</f>
        <v>0</v>
      </c>
      <c r="D2195" s="151" t="str">
        <f ca="1">IF(OFFSET('IWP07'!Std10dot4Withdrawals, 2, 4, 1, 1) = 0, "", OFFSET('IWP07'!Std10dot4Withdrawals, 2, 4, 1, 1))</f>
        <v/>
      </c>
      <c r="E2195" s="207" t="str">
        <f ca="1">IF(OFFSET('IWP07'!Std10dot4Withdrawals, 2, 7, 1, 1) = 0, "", OFFSET('IWP07'!Std10dot4Withdrawals, 2, 7, 1, 1))</f>
        <v/>
      </c>
    </row>
    <row r="2196" spans="1:5">
      <c r="A2196" s="206" t="s">
        <v>1310</v>
      </c>
      <c r="B2196" s="157">
        <f ca="1">IF(OFFSET('IWP07'!Std10dot4Withdrawals, 3, 0, 1, 1) = DATE(1900,1,0),DATE(1900,1,1),OFFSET('IWP07'!Std10dot4Withdrawals, 3, 0, 1, 1))</f>
        <v>1</v>
      </c>
      <c r="C2196" s="155">
        <f ca="1">OFFSET('IWP07'!Std10dot4Withdrawals, 3, 2, 1, 1)</f>
        <v>0</v>
      </c>
      <c r="D2196" s="151" t="str">
        <f ca="1">IF(OFFSET('IWP07'!Std10dot4Withdrawals, 3, 4, 1, 1) = 0, "", OFFSET('IWP07'!Std10dot4Withdrawals, 3, 4, 1, 1))</f>
        <v/>
      </c>
      <c r="E2196" s="207" t="str">
        <f ca="1">IF(OFFSET('IWP07'!Std10dot4Withdrawals, 3, 7, 1, 1) = 0, "", OFFSET('IWP07'!Std10dot4Withdrawals, 3, 7, 1, 1))</f>
        <v/>
      </c>
    </row>
    <row r="2197" spans="1:5">
      <c r="A2197" s="206" t="s">
        <v>1310</v>
      </c>
      <c r="B2197" s="157">
        <f ca="1">IF(OFFSET('IWP07'!Std10dot4Withdrawals, 4, 0, 1, 1) = DATE(1900,1,0),DATE(1900,1,1),OFFSET('IWP07'!Std10dot4Withdrawals, 4, 0, 1, 1))</f>
        <v>1</v>
      </c>
      <c r="C2197" s="155">
        <f ca="1">OFFSET('IWP07'!Std10dot4Withdrawals, 4, 2, 1, 1)</f>
        <v>0</v>
      </c>
      <c r="D2197" s="151" t="str">
        <f ca="1">IF(OFFSET('IWP07'!Std10dot4Withdrawals, 4, 4, 1, 1) = 0, "", OFFSET('IWP07'!Std10dot4Withdrawals, 4, 4, 1, 1))</f>
        <v/>
      </c>
      <c r="E2197" s="207" t="str">
        <f ca="1">IF(OFFSET('IWP07'!Std10dot4Withdrawals, 4, 7, 1, 1) = 0, "", OFFSET('IWP07'!Std10dot4Withdrawals, 4, 7, 1, 1))</f>
        <v/>
      </c>
    </row>
    <row r="2198" spans="1:5">
      <c r="A2198" s="206" t="s">
        <v>1310</v>
      </c>
      <c r="B2198" s="157">
        <f ca="1">IF(OFFSET('IWP07'!Std10dot4Withdrawals, 5, 0, 1, 1) = DATE(1900,1,0),DATE(1900,1,1),OFFSET('IWP07'!Std10dot4Withdrawals, 5, 0, 1, 1))</f>
        <v>1</v>
      </c>
      <c r="C2198" s="155">
        <f ca="1">OFFSET('IWP07'!Std10dot4Withdrawals, 5, 2, 1, 1)</f>
        <v>0</v>
      </c>
      <c r="D2198" s="151" t="str">
        <f ca="1">IF(OFFSET('IWP07'!Std10dot4Withdrawals, 5, 4, 1, 1) = 0, "", OFFSET('IWP07'!Std10dot4Withdrawals, 5, 4, 1, 1))</f>
        <v/>
      </c>
      <c r="E2198" s="207" t="str">
        <f ca="1">IF(OFFSET('IWP07'!Std10dot4Withdrawals, 5, 7, 1, 1) = 0, "", OFFSET('IWP07'!Std10dot4Withdrawals, 5, 7, 1, 1))</f>
        <v/>
      </c>
    </row>
    <row r="2199" spans="1:5">
      <c r="A2199" s="206" t="s">
        <v>1310</v>
      </c>
      <c r="B2199" s="157">
        <f ca="1">IF(OFFSET('IWP07'!Std10dot4Withdrawals, 6, 0, 1, 1) = DATE(1900,1,0),DATE(1900,1,1),OFFSET('IWP07'!Std10dot4Withdrawals, 6, 0, 1, 1))</f>
        <v>1</v>
      </c>
      <c r="C2199" s="155">
        <f ca="1">OFFSET('IWP07'!Std10dot4Withdrawals, 6, 2, 1, 1)</f>
        <v>0</v>
      </c>
      <c r="D2199" s="151" t="str">
        <f ca="1">IF(OFFSET('IWP07'!Std10dot4Withdrawals, 6, 4, 1, 1) = 0, "", OFFSET('IWP07'!Std10dot4Withdrawals, 6, 4, 1, 1))</f>
        <v/>
      </c>
      <c r="E2199" s="207" t="str">
        <f ca="1">IF(OFFSET('IWP07'!Std10dot4Withdrawals, 6, 7, 1, 1) = 0, "", OFFSET('IWP07'!Std10dot4Withdrawals, 6, 7, 1, 1))</f>
        <v/>
      </c>
    </row>
    <row r="2200" spans="1:5">
      <c r="A2200" s="206" t="s">
        <v>1310</v>
      </c>
      <c r="B2200" s="157">
        <f ca="1">IF(OFFSET('IWP07'!Std10dot4Withdrawals, 7, 0, 1, 1) = DATE(1900,1,0),DATE(1900,1,1),OFFSET('IWP07'!Std10dot4Withdrawals, 7, 0, 1, 1))</f>
        <v>1</v>
      </c>
      <c r="C2200" s="155">
        <f ca="1">OFFSET('IWP07'!Std10dot4Withdrawals, 7, 2, 1, 1)</f>
        <v>0</v>
      </c>
      <c r="D2200" s="151" t="str">
        <f ca="1">IF(OFFSET('IWP07'!Std10dot4Withdrawals, 7, 4, 1, 1) = 0, "", OFFSET('IWP07'!Std10dot4Withdrawals, 7, 4, 1, 1))</f>
        <v/>
      </c>
      <c r="E2200" s="207" t="str">
        <f ca="1">IF(OFFSET('IWP07'!Std10dot4Withdrawals, 7, 7, 1, 1) = 0, "", OFFSET('IWP07'!Std10dot4Withdrawals, 7, 7, 1, 1))</f>
        <v/>
      </c>
    </row>
    <row r="2201" spans="1:5">
      <c r="A2201" s="206" t="s">
        <v>1310</v>
      </c>
      <c r="B2201" s="157">
        <f ca="1">IF(OFFSET('IWP07'!Std10dot4Withdrawals, 8, 0, 1, 1) = DATE(1900,1,0),DATE(1900,1,1),OFFSET('IWP07'!Std10dot4Withdrawals, 8, 0, 1, 1))</f>
        <v>1</v>
      </c>
      <c r="C2201" s="155">
        <f ca="1">OFFSET('IWP07'!Std10dot4Withdrawals, 8, 2, 1, 1)</f>
        <v>0</v>
      </c>
      <c r="D2201" s="151" t="str">
        <f ca="1">IF(OFFSET('IWP07'!Std10dot4Withdrawals, 8, 4, 1, 1) = 0, "", OFFSET('IWP07'!Std10dot4Withdrawals, 8, 4, 1, 1))</f>
        <v/>
      </c>
      <c r="E2201" s="207" t="str">
        <f ca="1">IF(OFFSET('IWP07'!Std10dot4Withdrawals, 8, 7, 1, 1) = 0, "", OFFSET('IWP07'!Std10dot4Withdrawals, 8, 7, 1, 1))</f>
        <v/>
      </c>
    </row>
    <row r="2202" spans="1:5">
      <c r="A2202" s="206" t="s">
        <v>1310</v>
      </c>
      <c r="B2202" s="157">
        <f ca="1">IF(OFFSET('IWP07'!Std10dot4Withdrawals, 9, 0, 1, 1) = DATE(1900,1,0),DATE(1900,1,1),OFFSET('IWP07'!Std10dot4Withdrawals, 9, 0, 1, 1))</f>
        <v>1</v>
      </c>
      <c r="C2202" s="155">
        <f ca="1">OFFSET('IWP07'!Std10dot4Withdrawals, 9, 2, 1, 1)</f>
        <v>0</v>
      </c>
      <c r="D2202" s="151" t="str">
        <f ca="1">IF(OFFSET('IWP07'!Std10dot4Withdrawals, 9, 4, 1, 1) = 0, "", OFFSET('IWP07'!Std10dot4Withdrawals, 9, 4, 1, 1))</f>
        <v/>
      </c>
      <c r="E2202" s="207" t="str">
        <f ca="1">IF(OFFSET('IWP07'!Std10dot4Withdrawals, 9, 7, 1, 1) = 0, "", OFFSET('IWP07'!Std10dot4Withdrawals, 9, 7, 1, 1))</f>
        <v/>
      </c>
    </row>
    <row r="2203" spans="1:5">
      <c r="A2203" s="206" t="s">
        <v>1310</v>
      </c>
      <c r="B2203" s="157">
        <f ca="1">IF(OFFSET('IWP07'!Std10dot4Withdrawals, 10, 0, 1, 1) = DATE(1900,1,0),DATE(1900,1,1),OFFSET('IWP07'!Std10dot4Withdrawals, 10, 0, 1, 1))</f>
        <v>1</v>
      </c>
      <c r="C2203" s="155">
        <f ca="1">OFFSET('IWP07'!Std10dot4Withdrawals, 10, 2, 1, 1)</f>
        <v>0</v>
      </c>
      <c r="D2203" s="151" t="str">
        <f ca="1">IF(OFFSET('IWP07'!Std10dot4Withdrawals, 10, 4, 1, 1) = 0, "", OFFSET('IWP07'!Std10dot4Withdrawals, 10, 4, 1, 1))</f>
        <v/>
      </c>
      <c r="E2203" s="207" t="str">
        <f ca="1">IF(OFFSET('IWP07'!Std10dot4Withdrawals, 10, 7, 1, 1) = 0, "", OFFSET('IWP07'!Std10dot4Withdrawals, 10, 7, 1, 1))</f>
        <v/>
      </c>
    </row>
    <row r="2204" spans="1:5">
      <c r="A2204" s="206" t="s">
        <v>1310</v>
      </c>
      <c r="B2204" s="157">
        <f ca="1">IF(OFFSET('IWP07'!Std10dot4Withdrawals, 11, 0, 1, 1) = DATE(1900,1,0),DATE(1900,1,1),OFFSET('IWP07'!Std10dot4Withdrawals, 11, 0, 1, 1))</f>
        <v>1</v>
      </c>
      <c r="C2204" s="155">
        <f ca="1">OFFSET('IWP07'!Std10dot4Withdrawals, 11, 2, 1, 1)</f>
        <v>0</v>
      </c>
      <c r="D2204" s="151" t="str">
        <f ca="1">IF(OFFSET('IWP07'!Std10dot4Withdrawals, 11, 4, 1, 1) = 0, "", OFFSET('IWP07'!Std10dot4Withdrawals, 11, 4, 1, 1))</f>
        <v/>
      </c>
      <c r="E2204" s="207" t="str">
        <f ca="1">IF(OFFSET('IWP07'!Std10dot4Withdrawals, 11, 7, 1, 1) = 0, "", OFFSET('IWP07'!Std10dot4Withdrawals, 11, 7, 1, 1))</f>
        <v/>
      </c>
    </row>
    <row r="2205" spans="1:5">
      <c r="A2205" s="206" t="s">
        <v>1310</v>
      </c>
      <c r="B2205" s="157">
        <f ca="1">IF(OFFSET('IWP07'!Std10dot4Withdrawals, 12, 0, 1, 1) = DATE(1900,1,0),DATE(1900,1,1),OFFSET('IWP07'!Std10dot4Withdrawals, 12, 0, 1, 1))</f>
        <v>1</v>
      </c>
      <c r="C2205" s="155">
        <f ca="1">OFFSET('IWP07'!Std10dot4Withdrawals, 12, 2, 1, 1)</f>
        <v>0</v>
      </c>
      <c r="D2205" s="151" t="str">
        <f ca="1">IF(OFFSET('IWP07'!Std10dot4Withdrawals, 12, 4, 1, 1) = 0, "", OFFSET('IWP07'!Std10dot4Withdrawals, 12, 4, 1, 1))</f>
        <v/>
      </c>
      <c r="E2205" s="207" t="str">
        <f ca="1">IF(OFFSET('IWP07'!Std10dot4Withdrawals, 12, 7, 1, 1) = 0, "", OFFSET('IWP07'!Std10dot4Withdrawals, 12, 7, 1, 1))</f>
        <v/>
      </c>
    </row>
    <row r="2206" spans="1:5">
      <c r="A2206" s="206" t="s">
        <v>1310</v>
      </c>
      <c r="B2206" s="157">
        <f ca="1">IF(OFFSET('IWP07'!Std10dot4Withdrawals, 13, 0, 1, 1) = DATE(1900,1,0),DATE(1900,1,1),OFFSET('IWP07'!Std10dot4Withdrawals, 13, 0, 1, 1))</f>
        <v>1</v>
      </c>
      <c r="C2206" s="155">
        <f ca="1">OFFSET('IWP07'!Std10dot4Withdrawals, 13, 2, 1, 1)</f>
        <v>0</v>
      </c>
      <c r="D2206" s="151" t="str">
        <f ca="1">IF(OFFSET('IWP07'!Std10dot4Withdrawals, 13, 4, 1, 1) = 0, "", OFFSET('IWP07'!Std10dot4Withdrawals, 13, 4, 1, 1))</f>
        <v/>
      </c>
      <c r="E2206" s="207" t="str">
        <f ca="1">IF(OFFSET('IWP07'!Std10dot4Withdrawals, 13, 7, 1, 1) = 0, "", OFFSET('IWP07'!Std10dot4Withdrawals, 13, 7, 1, 1))</f>
        <v/>
      </c>
    </row>
    <row r="2207" spans="1:5">
      <c r="A2207" s="206" t="s">
        <v>1310</v>
      </c>
      <c r="B2207" s="157">
        <f ca="1">IF(OFFSET('IWP07'!Std10dot4Withdrawals, 14, 0, 1, 1) = DATE(1900,1,0),DATE(1900,1,1),OFFSET('IWP07'!Std10dot4Withdrawals, 14, 0, 1, 1))</f>
        <v>1</v>
      </c>
      <c r="C2207" s="155">
        <f ca="1">OFFSET('IWP07'!Std10dot4Withdrawals, 14, 2, 1, 1)</f>
        <v>0</v>
      </c>
      <c r="D2207" s="151" t="str">
        <f ca="1">IF(OFFSET('IWP07'!Std10dot4Withdrawals, 14, 4, 1, 1) = 0, "", OFFSET('IWP07'!Std10dot4Withdrawals, 14, 4, 1, 1))</f>
        <v/>
      </c>
      <c r="E2207" s="207" t="str">
        <f ca="1">IF(OFFSET('IWP07'!Std10dot4Withdrawals, 14, 7, 1, 1) = 0, "", OFFSET('IWP07'!Std10dot4Withdrawals, 14, 7, 1, 1))</f>
        <v/>
      </c>
    </row>
    <row r="2208" spans="1:5">
      <c r="A2208" s="206" t="s">
        <v>1310</v>
      </c>
      <c r="B2208" s="157">
        <f ca="1">IF(OFFSET('IWP07'!Std10dot4Withdrawals, 15, 0, 1, 1) = DATE(1900,1,0),DATE(1900,1,1),OFFSET('IWP07'!Std10dot4Withdrawals, 15, 0, 1, 1))</f>
        <v>1</v>
      </c>
      <c r="C2208" s="155">
        <f ca="1">OFFSET('IWP07'!Std10dot4Withdrawals, 15, 2, 1, 1)</f>
        <v>0</v>
      </c>
      <c r="D2208" s="151" t="str">
        <f ca="1">IF(OFFSET('IWP07'!Std10dot4Withdrawals, 15, 4, 1, 1) = 0, "", OFFSET('IWP07'!Std10dot4Withdrawals, 15, 4, 1, 1))</f>
        <v/>
      </c>
      <c r="E2208" s="207" t="str">
        <f ca="1">IF(OFFSET('IWP07'!Std10dot4Withdrawals, 15, 7, 1, 1) = 0, "", OFFSET('IWP07'!Std10dot4Withdrawals, 15, 7, 1, 1))</f>
        <v/>
      </c>
    </row>
    <row r="2209" spans="1:5">
      <c r="A2209" s="206" t="s">
        <v>1310</v>
      </c>
      <c r="B2209" s="157">
        <f ca="1">IF(OFFSET('IWP07'!Std10dot4Withdrawals, 16, 0, 1, 1) = DATE(1900,1,0),DATE(1900,1,1),OFFSET('IWP07'!Std10dot4Withdrawals, 16, 0, 1, 1))</f>
        <v>1</v>
      </c>
      <c r="C2209" s="155">
        <f ca="1">OFFSET('IWP07'!Std10dot4Withdrawals, 16, 2, 1, 1)</f>
        <v>0</v>
      </c>
      <c r="D2209" s="151" t="str">
        <f ca="1">IF(OFFSET('IWP07'!Std10dot4Withdrawals, 16, 4, 1, 1) = 0, "", OFFSET('IWP07'!Std10dot4Withdrawals, 16, 4, 1, 1))</f>
        <v/>
      </c>
      <c r="E2209" s="207" t="str">
        <f ca="1">IF(OFFSET('IWP07'!Std10dot4Withdrawals, 16, 7, 1, 1) = 0, "", OFFSET('IWP07'!Std10dot4Withdrawals, 16, 7, 1, 1))</f>
        <v/>
      </c>
    </row>
    <row r="2210" spans="1:5">
      <c r="A2210" s="206" t="s">
        <v>1310</v>
      </c>
      <c r="B2210" s="157">
        <f ca="1">IF(OFFSET('IWP07'!Std10dot4Withdrawals, 17, 0, 1, 1) = DATE(1900,1,0),DATE(1900,1,1),OFFSET('IWP07'!Std10dot4Withdrawals, 17, 0, 1, 1))</f>
        <v>1</v>
      </c>
      <c r="C2210" s="155">
        <f ca="1">OFFSET('IWP07'!Std10dot4Withdrawals, 17, 2, 1, 1)</f>
        <v>0</v>
      </c>
      <c r="D2210" s="151" t="str">
        <f ca="1">IF(OFFSET('IWP07'!Std10dot4Withdrawals, 17, 4, 1, 1) = 0, "", OFFSET('IWP07'!Std10dot4Withdrawals, 17, 4, 1, 1))</f>
        <v/>
      </c>
      <c r="E2210" s="207" t="str">
        <f ca="1">IF(OFFSET('IWP07'!Std10dot4Withdrawals, 17, 7, 1, 1) = 0, "", OFFSET('IWP07'!Std10dot4Withdrawals, 17, 7, 1, 1))</f>
        <v/>
      </c>
    </row>
    <row r="2211" spans="1:5">
      <c r="A2211" s="206" t="s">
        <v>1310</v>
      </c>
      <c r="B2211" s="157">
        <f ca="1">IF(OFFSET('IWP07'!Std10dot4Withdrawals, 18, 0, 1, 1) = DATE(1900,1,0),DATE(1900,1,1),OFFSET('IWP07'!Std10dot4Withdrawals, 18, 0, 1, 1))</f>
        <v>1</v>
      </c>
      <c r="C2211" s="155">
        <f ca="1">OFFSET('IWP07'!Std10dot4Withdrawals, 18, 2, 1, 1)</f>
        <v>0</v>
      </c>
      <c r="D2211" s="151" t="str">
        <f ca="1">IF(OFFSET('IWP07'!Std10dot4Withdrawals, 18, 4, 1, 1) = 0, "", OFFSET('IWP07'!Std10dot4Withdrawals, 18, 4, 1, 1))</f>
        <v/>
      </c>
      <c r="E2211" s="207" t="str">
        <f ca="1">IF(OFFSET('IWP07'!Std10dot4Withdrawals, 18, 7, 1, 1) = 0, "", OFFSET('IWP07'!Std10dot4Withdrawals, 18, 7, 1, 1))</f>
        <v/>
      </c>
    </row>
    <row r="2212" spans="1:5">
      <c r="A2212" s="206" t="s">
        <v>1310</v>
      </c>
      <c r="B2212" s="157">
        <f ca="1">IF(OFFSET('IWP07'!Std10dot4Withdrawals, 19, 0, 1, 1) = DATE(1900,1,0),DATE(1900,1,1),OFFSET('IWP07'!Std10dot4Withdrawals, 19, 0, 1, 1))</f>
        <v>1</v>
      </c>
      <c r="C2212" s="155">
        <f ca="1">OFFSET('IWP07'!Std10dot4Withdrawals, 19, 2, 1, 1)</f>
        <v>0</v>
      </c>
      <c r="D2212" s="151" t="str">
        <f ca="1">IF(OFFSET('IWP07'!Std10dot4Withdrawals, 19, 4, 1, 1) = 0, "", OFFSET('IWP07'!Std10dot4Withdrawals, 19, 4, 1, 1))</f>
        <v/>
      </c>
      <c r="E2212" s="207" t="str">
        <f ca="1">IF(OFFSET('IWP07'!Std10dot4Withdrawals, 19, 7, 1, 1) = 0, "", OFFSET('IWP07'!Std10dot4Withdrawals, 19, 7, 1, 1))</f>
        <v/>
      </c>
    </row>
    <row r="2213" spans="1:5">
      <c r="A2213" s="206" t="s">
        <v>1311</v>
      </c>
      <c r="B2213" s="157">
        <f ca="1">IF(OFFSET('IWP08'!Std10dot4Withdrawals, 0, 0, 1, 1) = DATE(1900,1,0),DATE(1900,1,1),OFFSET('IWP08'!Std10dot4Withdrawals, 0, 0, 1, 1))</f>
        <v>1</v>
      </c>
      <c r="C2213" s="155">
        <f ca="1">OFFSET('IWP08'!Std10dot4Withdrawals, 0, 2, 1, 1)</f>
        <v>0</v>
      </c>
      <c r="D2213" s="151" t="str">
        <f ca="1">IF(OFFSET('IWP08'!Std10dot4Withdrawals, 0, 4, 1, 1) = 0, "", OFFSET('IWP08'!Std10dot4Withdrawals, 0, 4, 1, 1))</f>
        <v/>
      </c>
      <c r="E2213" s="207" t="str">
        <f ca="1">IF(OFFSET('IWP08'!Std10dot4Withdrawals, 0, 7, 1, 1) = 0, "", OFFSET('IWP08'!Std10dot4Withdrawals, 0, 7, 1, 1))</f>
        <v/>
      </c>
    </row>
    <row r="2214" spans="1:5">
      <c r="A2214" s="206" t="s">
        <v>1311</v>
      </c>
      <c r="B2214" s="157">
        <f ca="1">IF(OFFSET('IWP08'!Std10dot4Withdrawals, 1, 0, 1, 1) = DATE(1900,1,0),DATE(1900,1,1),OFFSET('IWP08'!Std10dot4Withdrawals, 1, 0, 1, 1))</f>
        <v>1</v>
      </c>
      <c r="C2214" s="155">
        <f ca="1">OFFSET('IWP08'!Std10dot4Withdrawals, 1, 2, 1, 1)</f>
        <v>0</v>
      </c>
      <c r="D2214" s="151" t="str">
        <f ca="1">IF(OFFSET('IWP08'!Std10dot4Withdrawals, 1, 4, 1, 1) = 0, "", OFFSET('IWP08'!Std10dot4Withdrawals, 1, 4, 1, 1))</f>
        <v/>
      </c>
      <c r="E2214" s="207" t="str">
        <f ca="1">IF(OFFSET('IWP08'!Std10dot4Withdrawals, 1, 7, 1, 1) = 0, "", OFFSET('IWP08'!Std10dot4Withdrawals, 1, 7, 1, 1))</f>
        <v/>
      </c>
    </row>
    <row r="2215" spans="1:5">
      <c r="A2215" s="206" t="s">
        <v>1311</v>
      </c>
      <c r="B2215" s="157">
        <f ca="1">IF(OFFSET('IWP08'!Std10dot4Withdrawals, 2, 0, 1, 1) = DATE(1900,1,0),DATE(1900,1,1),OFFSET('IWP08'!Std10dot4Withdrawals, 2, 0, 1, 1))</f>
        <v>1</v>
      </c>
      <c r="C2215" s="155">
        <f ca="1">OFFSET('IWP08'!Std10dot4Withdrawals, 2, 2, 1, 1)</f>
        <v>0</v>
      </c>
      <c r="D2215" s="151" t="str">
        <f ca="1">IF(OFFSET('IWP08'!Std10dot4Withdrawals, 2, 4, 1, 1) = 0, "", OFFSET('IWP08'!Std10dot4Withdrawals, 2, 4, 1, 1))</f>
        <v/>
      </c>
      <c r="E2215" s="207" t="str">
        <f ca="1">IF(OFFSET('IWP08'!Std10dot4Withdrawals, 2, 7, 1, 1) = 0, "", OFFSET('IWP08'!Std10dot4Withdrawals, 2, 7, 1, 1))</f>
        <v/>
      </c>
    </row>
    <row r="2216" spans="1:5">
      <c r="A2216" s="206" t="s">
        <v>1311</v>
      </c>
      <c r="B2216" s="157">
        <f ca="1">IF(OFFSET('IWP08'!Std10dot4Withdrawals, 3, 0, 1, 1) = DATE(1900,1,0),DATE(1900,1,1),OFFSET('IWP08'!Std10dot4Withdrawals, 3, 0, 1, 1))</f>
        <v>1</v>
      </c>
      <c r="C2216" s="155">
        <f ca="1">OFFSET('IWP08'!Std10dot4Withdrawals, 3, 2, 1, 1)</f>
        <v>0</v>
      </c>
      <c r="D2216" s="151" t="str">
        <f ca="1">IF(OFFSET('IWP08'!Std10dot4Withdrawals, 3, 4, 1, 1) = 0, "", OFFSET('IWP08'!Std10dot4Withdrawals, 3, 4, 1, 1))</f>
        <v/>
      </c>
      <c r="E2216" s="207" t="str">
        <f ca="1">IF(OFFSET('IWP08'!Std10dot4Withdrawals, 3, 7, 1, 1) = 0, "", OFFSET('IWP08'!Std10dot4Withdrawals, 3, 7, 1, 1))</f>
        <v/>
      </c>
    </row>
    <row r="2217" spans="1:5">
      <c r="A2217" s="206" t="s">
        <v>1311</v>
      </c>
      <c r="B2217" s="157">
        <f ca="1">IF(OFFSET('IWP08'!Std10dot4Withdrawals, 4, 0, 1, 1) = DATE(1900,1,0),DATE(1900,1,1),OFFSET('IWP08'!Std10dot4Withdrawals, 4, 0, 1, 1))</f>
        <v>1</v>
      </c>
      <c r="C2217" s="155">
        <f ca="1">OFFSET('IWP08'!Std10dot4Withdrawals, 4, 2, 1, 1)</f>
        <v>0</v>
      </c>
      <c r="D2217" s="151" t="str">
        <f ca="1">IF(OFFSET('IWP08'!Std10dot4Withdrawals, 4, 4, 1, 1) = 0, "", OFFSET('IWP08'!Std10dot4Withdrawals, 4, 4, 1, 1))</f>
        <v/>
      </c>
      <c r="E2217" s="207" t="str">
        <f ca="1">IF(OFFSET('IWP08'!Std10dot4Withdrawals, 4, 7, 1, 1) = 0, "", OFFSET('IWP08'!Std10dot4Withdrawals, 4, 7, 1, 1))</f>
        <v/>
      </c>
    </row>
    <row r="2218" spans="1:5">
      <c r="A2218" s="206" t="s">
        <v>1311</v>
      </c>
      <c r="B2218" s="157">
        <f ca="1">IF(OFFSET('IWP08'!Std10dot4Withdrawals, 5, 0, 1, 1) = DATE(1900,1,0),DATE(1900,1,1),OFFSET('IWP08'!Std10dot4Withdrawals, 5, 0, 1, 1))</f>
        <v>1</v>
      </c>
      <c r="C2218" s="155">
        <f ca="1">OFFSET('IWP08'!Std10dot4Withdrawals, 5, 2, 1, 1)</f>
        <v>0</v>
      </c>
      <c r="D2218" s="151" t="str">
        <f ca="1">IF(OFFSET('IWP08'!Std10dot4Withdrawals, 5, 4, 1, 1) = 0, "", OFFSET('IWP08'!Std10dot4Withdrawals, 5, 4, 1, 1))</f>
        <v/>
      </c>
      <c r="E2218" s="207" t="str">
        <f ca="1">IF(OFFSET('IWP08'!Std10dot4Withdrawals, 5, 7, 1, 1) = 0, "", OFFSET('IWP08'!Std10dot4Withdrawals, 5, 7, 1, 1))</f>
        <v/>
      </c>
    </row>
    <row r="2219" spans="1:5">
      <c r="A2219" s="206" t="s">
        <v>1311</v>
      </c>
      <c r="B2219" s="157">
        <f ca="1">IF(OFFSET('IWP08'!Std10dot4Withdrawals, 6, 0, 1, 1) = DATE(1900,1,0),DATE(1900,1,1),OFFSET('IWP08'!Std10dot4Withdrawals, 6, 0, 1, 1))</f>
        <v>1</v>
      </c>
      <c r="C2219" s="155">
        <f ca="1">OFFSET('IWP08'!Std10dot4Withdrawals, 6, 2, 1, 1)</f>
        <v>0</v>
      </c>
      <c r="D2219" s="151" t="str">
        <f ca="1">IF(OFFSET('IWP08'!Std10dot4Withdrawals, 6, 4, 1, 1) = 0, "", OFFSET('IWP08'!Std10dot4Withdrawals, 6, 4, 1, 1))</f>
        <v/>
      </c>
      <c r="E2219" s="207" t="str">
        <f ca="1">IF(OFFSET('IWP08'!Std10dot4Withdrawals, 6, 7, 1, 1) = 0, "", OFFSET('IWP08'!Std10dot4Withdrawals, 6, 7, 1, 1))</f>
        <v/>
      </c>
    </row>
    <row r="2220" spans="1:5">
      <c r="A2220" s="206" t="s">
        <v>1311</v>
      </c>
      <c r="B2220" s="157">
        <f ca="1">IF(OFFSET('IWP08'!Std10dot4Withdrawals, 7, 0, 1, 1) = DATE(1900,1,0),DATE(1900,1,1),OFFSET('IWP08'!Std10dot4Withdrawals, 7, 0, 1, 1))</f>
        <v>1</v>
      </c>
      <c r="C2220" s="155">
        <f ca="1">OFFSET('IWP08'!Std10dot4Withdrawals, 7, 2, 1, 1)</f>
        <v>0</v>
      </c>
      <c r="D2220" s="151" t="str">
        <f ca="1">IF(OFFSET('IWP08'!Std10dot4Withdrawals, 7, 4, 1, 1) = 0, "", OFFSET('IWP08'!Std10dot4Withdrawals, 7, 4, 1, 1))</f>
        <v/>
      </c>
      <c r="E2220" s="207" t="str">
        <f ca="1">IF(OFFSET('IWP08'!Std10dot4Withdrawals, 7, 7, 1, 1) = 0, "", OFFSET('IWP08'!Std10dot4Withdrawals, 7, 7, 1, 1))</f>
        <v/>
      </c>
    </row>
    <row r="2221" spans="1:5">
      <c r="A2221" s="206" t="s">
        <v>1311</v>
      </c>
      <c r="B2221" s="157">
        <f ca="1">IF(OFFSET('IWP08'!Std10dot4Withdrawals, 8, 0, 1, 1) = DATE(1900,1,0),DATE(1900,1,1),OFFSET('IWP08'!Std10dot4Withdrawals, 8, 0, 1, 1))</f>
        <v>1</v>
      </c>
      <c r="C2221" s="155">
        <f ca="1">OFFSET('IWP08'!Std10dot4Withdrawals, 8, 2, 1, 1)</f>
        <v>0</v>
      </c>
      <c r="D2221" s="151" t="str">
        <f ca="1">IF(OFFSET('IWP08'!Std10dot4Withdrawals, 8, 4, 1, 1) = 0, "", OFFSET('IWP08'!Std10dot4Withdrawals, 8, 4, 1, 1))</f>
        <v/>
      </c>
      <c r="E2221" s="207" t="str">
        <f ca="1">IF(OFFSET('IWP08'!Std10dot4Withdrawals, 8, 7, 1, 1) = 0, "", OFFSET('IWP08'!Std10dot4Withdrawals, 8, 7, 1, 1))</f>
        <v/>
      </c>
    </row>
    <row r="2222" spans="1:5">
      <c r="A2222" s="206" t="s">
        <v>1311</v>
      </c>
      <c r="B2222" s="157">
        <f ca="1">IF(OFFSET('IWP08'!Std10dot4Withdrawals, 9, 0, 1, 1) = DATE(1900,1,0),DATE(1900,1,1),OFFSET('IWP08'!Std10dot4Withdrawals, 9, 0, 1, 1))</f>
        <v>1</v>
      </c>
      <c r="C2222" s="155">
        <f ca="1">OFFSET('IWP08'!Std10dot4Withdrawals, 9, 2, 1, 1)</f>
        <v>0</v>
      </c>
      <c r="D2222" s="151" t="str">
        <f ca="1">IF(OFFSET('IWP08'!Std10dot4Withdrawals, 9, 4, 1, 1) = 0, "", OFFSET('IWP08'!Std10dot4Withdrawals, 9, 4, 1, 1))</f>
        <v/>
      </c>
      <c r="E2222" s="207" t="str">
        <f ca="1">IF(OFFSET('IWP08'!Std10dot4Withdrawals, 9, 7, 1, 1) = 0, "", OFFSET('IWP08'!Std10dot4Withdrawals, 9, 7, 1, 1))</f>
        <v/>
      </c>
    </row>
    <row r="2223" spans="1:5">
      <c r="A2223" s="206" t="s">
        <v>1311</v>
      </c>
      <c r="B2223" s="157">
        <f ca="1">IF(OFFSET('IWP08'!Std10dot4Withdrawals, 10, 0, 1, 1) = DATE(1900,1,0),DATE(1900,1,1),OFFSET('IWP08'!Std10dot4Withdrawals, 10, 0, 1, 1))</f>
        <v>1</v>
      </c>
      <c r="C2223" s="155">
        <f ca="1">OFFSET('IWP08'!Std10dot4Withdrawals, 10, 2, 1, 1)</f>
        <v>0</v>
      </c>
      <c r="D2223" s="151" t="str">
        <f ca="1">IF(OFFSET('IWP08'!Std10dot4Withdrawals, 10, 4, 1, 1) = 0, "", OFFSET('IWP08'!Std10dot4Withdrawals, 10, 4, 1, 1))</f>
        <v/>
      </c>
      <c r="E2223" s="207" t="str">
        <f ca="1">IF(OFFSET('IWP08'!Std10dot4Withdrawals, 10, 7, 1, 1) = 0, "", OFFSET('IWP08'!Std10dot4Withdrawals, 10, 7, 1, 1))</f>
        <v/>
      </c>
    </row>
    <row r="2224" spans="1:5">
      <c r="A2224" s="206" t="s">
        <v>1311</v>
      </c>
      <c r="B2224" s="157">
        <f ca="1">IF(OFFSET('IWP08'!Std10dot4Withdrawals, 11, 0, 1, 1) = DATE(1900,1,0),DATE(1900,1,1),OFFSET('IWP08'!Std10dot4Withdrawals, 11, 0, 1, 1))</f>
        <v>1</v>
      </c>
      <c r="C2224" s="155">
        <f ca="1">OFFSET('IWP08'!Std10dot4Withdrawals, 11, 2, 1, 1)</f>
        <v>0</v>
      </c>
      <c r="D2224" s="151" t="str">
        <f ca="1">IF(OFFSET('IWP08'!Std10dot4Withdrawals, 11, 4, 1, 1) = 0, "", OFFSET('IWP08'!Std10dot4Withdrawals, 11, 4, 1, 1))</f>
        <v/>
      </c>
      <c r="E2224" s="207" t="str">
        <f ca="1">IF(OFFSET('IWP08'!Std10dot4Withdrawals, 11, 7, 1, 1) = 0, "", OFFSET('IWP08'!Std10dot4Withdrawals, 11, 7, 1, 1))</f>
        <v/>
      </c>
    </row>
    <row r="2225" spans="1:5">
      <c r="A2225" s="206" t="s">
        <v>1311</v>
      </c>
      <c r="B2225" s="157">
        <f ca="1">IF(OFFSET('IWP08'!Std10dot4Withdrawals, 12, 0, 1, 1) = DATE(1900,1,0),DATE(1900,1,1),OFFSET('IWP08'!Std10dot4Withdrawals, 12, 0, 1, 1))</f>
        <v>1</v>
      </c>
      <c r="C2225" s="155">
        <f ca="1">OFFSET('IWP08'!Std10dot4Withdrawals, 12, 2, 1, 1)</f>
        <v>0</v>
      </c>
      <c r="D2225" s="151" t="str">
        <f ca="1">IF(OFFSET('IWP08'!Std10dot4Withdrawals, 12, 4, 1, 1) = 0, "", OFFSET('IWP08'!Std10dot4Withdrawals, 12, 4, 1, 1))</f>
        <v/>
      </c>
      <c r="E2225" s="207" t="str">
        <f ca="1">IF(OFFSET('IWP08'!Std10dot4Withdrawals, 12, 7, 1, 1) = 0, "", OFFSET('IWP08'!Std10dot4Withdrawals, 12, 7, 1, 1))</f>
        <v/>
      </c>
    </row>
    <row r="2226" spans="1:5">
      <c r="A2226" s="206" t="s">
        <v>1311</v>
      </c>
      <c r="B2226" s="157">
        <f ca="1">IF(OFFSET('IWP08'!Std10dot4Withdrawals, 13, 0, 1, 1) = DATE(1900,1,0),DATE(1900,1,1),OFFSET('IWP08'!Std10dot4Withdrawals, 13, 0, 1, 1))</f>
        <v>1</v>
      </c>
      <c r="C2226" s="155">
        <f ca="1">OFFSET('IWP08'!Std10dot4Withdrawals, 13, 2, 1, 1)</f>
        <v>0</v>
      </c>
      <c r="D2226" s="151" t="str">
        <f ca="1">IF(OFFSET('IWP08'!Std10dot4Withdrawals, 13, 4, 1, 1) = 0, "", OFFSET('IWP08'!Std10dot4Withdrawals, 13, 4, 1, 1))</f>
        <v/>
      </c>
      <c r="E2226" s="207" t="str">
        <f ca="1">IF(OFFSET('IWP08'!Std10dot4Withdrawals, 13, 7, 1, 1) = 0, "", OFFSET('IWP08'!Std10dot4Withdrawals, 13, 7, 1, 1))</f>
        <v/>
      </c>
    </row>
    <row r="2227" spans="1:5">
      <c r="A2227" s="206" t="s">
        <v>1311</v>
      </c>
      <c r="B2227" s="157">
        <f ca="1">IF(OFFSET('IWP08'!Std10dot4Withdrawals, 14, 0, 1, 1) = DATE(1900,1,0),DATE(1900,1,1),OFFSET('IWP08'!Std10dot4Withdrawals, 14, 0, 1, 1))</f>
        <v>1</v>
      </c>
      <c r="C2227" s="155">
        <f ca="1">OFFSET('IWP08'!Std10dot4Withdrawals, 14, 2, 1, 1)</f>
        <v>0</v>
      </c>
      <c r="D2227" s="151" t="str">
        <f ca="1">IF(OFFSET('IWP08'!Std10dot4Withdrawals, 14, 4, 1, 1) = 0, "", OFFSET('IWP08'!Std10dot4Withdrawals, 14, 4, 1, 1))</f>
        <v/>
      </c>
      <c r="E2227" s="207" t="str">
        <f ca="1">IF(OFFSET('IWP08'!Std10dot4Withdrawals, 14, 7, 1, 1) = 0, "", OFFSET('IWP08'!Std10dot4Withdrawals, 14, 7, 1, 1))</f>
        <v/>
      </c>
    </row>
    <row r="2228" spans="1:5">
      <c r="A2228" s="206" t="s">
        <v>1311</v>
      </c>
      <c r="B2228" s="157">
        <f ca="1">IF(OFFSET('IWP08'!Std10dot4Withdrawals, 15, 0, 1, 1) = DATE(1900,1,0),DATE(1900,1,1),OFFSET('IWP08'!Std10dot4Withdrawals, 15, 0, 1, 1))</f>
        <v>1</v>
      </c>
      <c r="C2228" s="155">
        <f ca="1">OFFSET('IWP08'!Std10dot4Withdrawals, 15, 2, 1, 1)</f>
        <v>0</v>
      </c>
      <c r="D2228" s="151" t="str">
        <f ca="1">IF(OFFSET('IWP08'!Std10dot4Withdrawals, 15, 4, 1, 1) = 0, "", OFFSET('IWP08'!Std10dot4Withdrawals, 15, 4, 1, 1))</f>
        <v/>
      </c>
      <c r="E2228" s="207" t="str">
        <f ca="1">IF(OFFSET('IWP08'!Std10dot4Withdrawals, 15, 7, 1, 1) = 0, "", OFFSET('IWP08'!Std10dot4Withdrawals, 15, 7, 1, 1))</f>
        <v/>
      </c>
    </row>
    <row r="2229" spans="1:5">
      <c r="A2229" s="206" t="s">
        <v>1311</v>
      </c>
      <c r="B2229" s="157">
        <f ca="1">IF(OFFSET('IWP08'!Std10dot4Withdrawals, 16, 0, 1, 1) = DATE(1900,1,0),DATE(1900,1,1),OFFSET('IWP08'!Std10dot4Withdrawals, 16, 0, 1, 1))</f>
        <v>1</v>
      </c>
      <c r="C2229" s="155">
        <f ca="1">OFFSET('IWP08'!Std10dot4Withdrawals, 16, 2, 1, 1)</f>
        <v>0</v>
      </c>
      <c r="D2229" s="151" t="str">
        <f ca="1">IF(OFFSET('IWP08'!Std10dot4Withdrawals, 16, 4, 1, 1) = 0, "", OFFSET('IWP08'!Std10dot4Withdrawals, 16, 4, 1, 1))</f>
        <v/>
      </c>
      <c r="E2229" s="207" t="str">
        <f ca="1">IF(OFFSET('IWP08'!Std10dot4Withdrawals, 16, 7, 1, 1) = 0, "", OFFSET('IWP08'!Std10dot4Withdrawals, 16, 7, 1, 1))</f>
        <v/>
      </c>
    </row>
    <row r="2230" spans="1:5">
      <c r="A2230" s="206" t="s">
        <v>1311</v>
      </c>
      <c r="B2230" s="157">
        <f ca="1">IF(OFFSET('IWP08'!Std10dot4Withdrawals, 17, 0, 1, 1) = DATE(1900,1,0),DATE(1900,1,1),OFFSET('IWP08'!Std10dot4Withdrawals, 17, 0, 1, 1))</f>
        <v>1</v>
      </c>
      <c r="C2230" s="155">
        <f ca="1">OFFSET('IWP08'!Std10dot4Withdrawals, 17, 2, 1, 1)</f>
        <v>0</v>
      </c>
      <c r="D2230" s="151" t="str">
        <f ca="1">IF(OFFSET('IWP08'!Std10dot4Withdrawals, 17, 4, 1, 1) = 0, "", OFFSET('IWP08'!Std10dot4Withdrawals, 17, 4, 1, 1))</f>
        <v/>
      </c>
      <c r="E2230" s="207" t="str">
        <f ca="1">IF(OFFSET('IWP08'!Std10dot4Withdrawals, 17, 7, 1, 1) = 0, "", OFFSET('IWP08'!Std10dot4Withdrawals, 17, 7, 1, 1))</f>
        <v/>
      </c>
    </row>
    <row r="2231" spans="1:5">
      <c r="A2231" s="206" t="s">
        <v>1311</v>
      </c>
      <c r="B2231" s="157">
        <f ca="1">IF(OFFSET('IWP08'!Std10dot4Withdrawals, 18, 0, 1, 1) = DATE(1900,1,0),DATE(1900,1,1),OFFSET('IWP08'!Std10dot4Withdrawals, 18, 0, 1, 1))</f>
        <v>1</v>
      </c>
      <c r="C2231" s="155">
        <f ca="1">OFFSET('IWP08'!Std10dot4Withdrawals, 18, 2, 1, 1)</f>
        <v>0</v>
      </c>
      <c r="D2231" s="151" t="str">
        <f ca="1">IF(OFFSET('IWP08'!Std10dot4Withdrawals, 18, 4, 1, 1) = 0, "", OFFSET('IWP08'!Std10dot4Withdrawals, 18, 4, 1, 1))</f>
        <v/>
      </c>
      <c r="E2231" s="207" t="str">
        <f ca="1">IF(OFFSET('IWP08'!Std10dot4Withdrawals, 18, 7, 1, 1) = 0, "", OFFSET('IWP08'!Std10dot4Withdrawals, 18, 7, 1, 1))</f>
        <v/>
      </c>
    </row>
    <row r="2232" spans="1:5">
      <c r="A2232" s="206" t="s">
        <v>1311</v>
      </c>
      <c r="B2232" s="157">
        <f ca="1">IF(OFFSET('IWP08'!Std10dot4Withdrawals, 19, 0, 1, 1) = DATE(1900,1,0),DATE(1900,1,1),OFFSET('IWP08'!Std10dot4Withdrawals, 19, 0, 1, 1))</f>
        <v>1</v>
      </c>
      <c r="C2232" s="155">
        <f ca="1">OFFSET('IWP08'!Std10dot4Withdrawals, 19, 2, 1, 1)</f>
        <v>0</v>
      </c>
      <c r="D2232" s="151" t="str">
        <f ca="1">IF(OFFSET('IWP08'!Std10dot4Withdrawals, 19, 4, 1, 1) = 0, "", OFFSET('IWP08'!Std10dot4Withdrawals, 19, 4, 1, 1))</f>
        <v/>
      </c>
      <c r="E2232" s="207" t="str">
        <f ca="1">IF(OFFSET('IWP08'!Std10dot4Withdrawals, 19, 7, 1, 1) = 0, "", OFFSET('IWP08'!Std10dot4Withdrawals, 19, 7, 1, 1))</f>
        <v/>
      </c>
    </row>
    <row r="2233" spans="1:5">
      <c r="A2233" s="206" t="s">
        <v>1312</v>
      </c>
      <c r="B2233" s="157">
        <f ca="1">IF(OFFSET('IWP09'!Std10dot4Withdrawals, 0, 0, 1, 1) = DATE(1900,1,0),DATE(1900,1,1),OFFSET('IWP09'!Std10dot4Withdrawals, 0, 0, 1, 1))</f>
        <v>1</v>
      </c>
      <c r="C2233" s="155">
        <f ca="1">OFFSET('IWP09'!Std10dot4Withdrawals, 0, 2, 1, 1)</f>
        <v>0</v>
      </c>
      <c r="D2233" s="151" t="str">
        <f ca="1">IF(OFFSET('IWP09'!Std10dot4Withdrawals, 0, 4, 1, 1) = 0, "", OFFSET('IWP09'!Std10dot4Withdrawals, 0, 4, 1, 1))</f>
        <v/>
      </c>
      <c r="E2233" s="207" t="str">
        <f ca="1">IF(OFFSET('IWP09'!Std10dot4Withdrawals, 0, 7, 1, 1) = 0, "", OFFSET('IWP09'!Std10dot4Withdrawals, 0, 7, 1, 1))</f>
        <v/>
      </c>
    </row>
    <row r="2234" spans="1:5">
      <c r="A2234" s="206" t="s">
        <v>1312</v>
      </c>
      <c r="B2234" s="157">
        <f ca="1">IF(OFFSET('IWP09'!Std10dot4Withdrawals, 1, 0, 1, 1) = DATE(1900,1,0),DATE(1900,1,1),OFFSET('IWP09'!Std10dot4Withdrawals, 1, 0, 1, 1))</f>
        <v>1</v>
      </c>
      <c r="C2234" s="155">
        <f ca="1">OFFSET('IWP09'!Std10dot4Withdrawals, 1, 2, 1, 1)</f>
        <v>0</v>
      </c>
      <c r="D2234" s="151" t="str">
        <f ca="1">IF(OFFSET('IWP09'!Std10dot4Withdrawals, 1, 4, 1, 1) = 0, "", OFFSET('IWP09'!Std10dot4Withdrawals, 1, 4, 1, 1))</f>
        <v/>
      </c>
      <c r="E2234" s="207" t="str">
        <f ca="1">IF(OFFSET('IWP09'!Std10dot4Withdrawals, 1, 7, 1, 1) = 0, "", OFFSET('IWP09'!Std10dot4Withdrawals, 1, 7, 1, 1))</f>
        <v/>
      </c>
    </row>
    <row r="2235" spans="1:5">
      <c r="A2235" s="206" t="s">
        <v>1312</v>
      </c>
      <c r="B2235" s="157">
        <f ca="1">IF(OFFSET('IWP09'!Std10dot4Withdrawals, 2, 0, 1, 1) = DATE(1900,1,0),DATE(1900,1,1),OFFSET('IWP09'!Std10dot4Withdrawals, 2, 0, 1, 1))</f>
        <v>1</v>
      </c>
      <c r="C2235" s="155">
        <f ca="1">OFFSET('IWP09'!Std10dot4Withdrawals, 2, 2, 1, 1)</f>
        <v>0</v>
      </c>
      <c r="D2235" s="151" t="str">
        <f ca="1">IF(OFFSET('IWP09'!Std10dot4Withdrawals, 2, 4, 1, 1) = 0, "", OFFSET('IWP09'!Std10dot4Withdrawals, 2, 4, 1, 1))</f>
        <v/>
      </c>
      <c r="E2235" s="207" t="str">
        <f ca="1">IF(OFFSET('IWP09'!Std10dot4Withdrawals, 2, 7, 1, 1) = 0, "", OFFSET('IWP09'!Std10dot4Withdrawals, 2, 7, 1, 1))</f>
        <v/>
      </c>
    </row>
    <row r="2236" spans="1:5">
      <c r="A2236" s="206" t="s">
        <v>1312</v>
      </c>
      <c r="B2236" s="157">
        <f ca="1">IF(OFFSET('IWP09'!Std10dot4Withdrawals, 3, 0, 1, 1) = DATE(1900,1,0),DATE(1900,1,1),OFFSET('IWP09'!Std10dot4Withdrawals, 3, 0, 1, 1))</f>
        <v>1</v>
      </c>
      <c r="C2236" s="155">
        <f ca="1">OFFSET('IWP09'!Std10dot4Withdrawals, 3, 2, 1, 1)</f>
        <v>0</v>
      </c>
      <c r="D2236" s="151" t="str">
        <f ca="1">IF(OFFSET('IWP09'!Std10dot4Withdrawals, 3, 4, 1, 1) = 0, "", OFFSET('IWP09'!Std10dot4Withdrawals, 3, 4, 1, 1))</f>
        <v/>
      </c>
      <c r="E2236" s="207" t="str">
        <f ca="1">IF(OFFSET('IWP09'!Std10dot4Withdrawals, 3, 7, 1, 1) = 0, "", OFFSET('IWP09'!Std10dot4Withdrawals, 3, 7, 1, 1))</f>
        <v/>
      </c>
    </row>
    <row r="2237" spans="1:5">
      <c r="A2237" s="206" t="s">
        <v>1312</v>
      </c>
      <c r="B2237" s="157">
        <f ca="1">IF(OFFSET('IWP09'!Std10dot4Withdrawals, 4, 0, 1, 1) = DATE(1900,1,0),DATE(1900,1,1),OFFSET('IWP09'!Std10dot4Withdrawals, 4, 0, 1, 1))</f>
        <v>1</v>
      </c>
      <c r="C2237" s="155">
        <f ca="1">OFFSET('IWP09'!Std10dot4Withdrawals, 4, 2, 1, 1)</f>
        <v>0</v>
      </c>
      <c r="D2237" s="151" t="str">
        <f ca="1">IF(OFFSET('IWP09'!Std10dot4Withdrawals, 4, 4, 1, 1) = 0, "", OFFSET('IWP09'!Std10dot4Withdrawals, 4, 4, 1, 1))</f>
        <v/>
      </c>
      <c r="E2237" s="207" t="str">
        <f ca="1">IF(OFFSET('IWP09'!Std10dot4Withdrawals, 4, 7, 1, 1) = 0, "", OFFSET('IWP09'!Std10dot4Withdrawals, 4, 7, 1, 1))</f>
        <v/>
      </c>
    </row>
    <row r="2238" spans="1:5">
      <c r="A2238" s="206" t="s">
        <v>1312</v>
      </c>
      <c r="B2238" s="157">
        <f ca="1">IF(OFFSET('IWP09'!Std10dot4Withdrawals, 5, 0, 1, 1) = DATE(1900,1,0),DATE(1900,1,1),OFFSET('IWP09'!Std10dot4Withdrawals, 5, 0, 1, 1))</f>
        <v>1</v>
      </c>
      <c r="C2238" s="155">
        <f ca="1">OFFSET('IWP09'!Std10dot4Withdrawals, 5, 2, 1, 1)</f>
        <v>0</v>
      </c>
      <c r="D2238" s="151" t="str">
        <f ca="1">IF(OFFSET('IWP09'!Std10dot4Withdrawals, 5, 4, 1, 1) = 0, "", OFFSET('IWP09'!Std10dot4Withdrawals, 5, 4, 1, 1))</f>
        <v/>
      </c>
      <c r="E2238" s="207" t="str">
        <f ca="1">IF(OFFSET('IWP09'!Std10dot4Withdrawals, 5, 7, 1, 1) = 0, "", OFFSET('IWP09'!Std10dot4Withdrawals, 5, 7, 1, 1))</f>
        <v/>
      </c>
    </row>
    <row r="2239" spans="1:5">
      <c r="A2239" s="206" t="s">
        <v>1312</v>
      </c>
      <c r="B2239" s="157">
        <f ca="1">IF(OFFSET('IWP09'!Std10dot4Withdrawals, 6, 0, 1, 1) = DATE(1900,1,0),DATE(1900,1,1),OFFSET('IWP09'!Std10dot4Withdrawals, 6, 0, 1, 1))</f>
        <v>1</v>
      </c>
      <c r="C2239" s="155">
        <f ca="1">OFFSET('IWP09'!Std10dot4Withdrawals, 6, 2, 1, 1)</f>
        <v>0</v>
      </c>
      <c r="D2239" s="151" t="str">
        <f ca="1">IF(OFFSET('IWP09'!Std10dot4Withdrawals, 6, 4, 1, 1) = 0, "", OFFSET('IWP09'!Std10dot4Withdrawals, 6, 4, 1, 1))</f>
        <v/>
      </c>
      <c r="E2239" s="207" t="str">
        <f ca="1">IF(OFFSET('IWP09'!Std10dot4Withdrawals, 6, 7, 1, 1) = 0, "", OFFSET('IWP09'!Std10dot4Withdrawals, 6, 7, 1, 1))</f>
        <v/>
      </c>
    </row>
    <row r="2240" spans="1:5">
      <c r="A2240" s="206" t="s">
        <v>1312</v>
      </c>
      <c r="B2240" s="157">
        <f ca="1">IF(OFFSET('IWP09'!Std10dot4Withdrawals, 7, 0, 1, 1) = DATE(1900,1,0),DATE(1900,1,1),OFFSET('IWP09'!Std10dot4Withdrawals, 7, 0, 1, 1))</f>
        <v>1</v>
      </c>
      <c r="C2240" s="155">
        <f ca="1">OFFSET('IWP09'!Std10dot4Withdrawals, 7, 2, 1, 1)</f>
        <v>0</v>
      </c>
      <c r="D2240" s="151" t="str">
        <f ca="1">IF(OFFSET('IWP09'!Std10dot4Withdrawals, 7, 4, 1, 1) = 0, "", OFFSET('IWP09'!Std10dot4Withdrawals, 7, 4, 1, 1))</f>
        <v/>
      </c>
      <c r="E2240" s="207" t="str">
        <f ca="1">IF(OFFSET('IWP09'!Std10dot4Withdrawals, 7, 7, 1, 1) = 0, "", OFFSET('IWP09'!Std10dot4Withdrawals, 7, 7, 1, 1))</f>
        <v/>
      </c>
    </row>
    <row r="2241" spans="1:5">
      <c r="A2241" s="206" t="s">
        <v>1312</v>
      </c>
      <c r="B2241" s="157">
        <f ca="1">IF(OFFSET('IWP09'!Std10dot4Withdrawals, 8, 0, 1, 1) = DATE(1900,1,0),DATE(1900,1,1),OFFSET('IWP09'!Std10dot4Withdrawals, 8, 0, 1, 1))</f>
        <v>1</v>
      </c>
      <c r="C2241" s="155">
        <f ca="1">OFFSET('IWP09'!Std10dot4Withdrawals, 8, 2, 1, 1)</f>
        <v>0</v>
      </c>
      <c r="D2241" s="151" t="str">
        <f ca="1">IF(OFFSET('IWP09'!Std10dot4Withdrawals, 8, 4, 1, 1) = 0, "", OFFSET('IWP09'!Std10dot4Withdrawals, 8, 4, 1, 1))</f>
        <v/>
      </c>
      <c r="E2241" s="207" t="str">
        <f ca="1">IF(OFFSET('IWP09'!Std10dot4Withdrawals, 8, 7, 1, 1) = 0, "", OFFSET('IWP09'!Std10dot4Withdrawals, 8, 7, 1, 1))</f>
        <v/>
      </c>
    </row>
    <row r="2242" spans="1:5">
      <c r="A2242" s="206" t="s">
        <v>1312</v>
      </c>
      <c r="B2242" s="157">
        <f ca="1">IF(OFFSET('IWP09'!Std10dot4Withdrawals, 9, 0, 1, 1) = DATE(1900,1,0),DATE(1900,1,1),OFFSET('IWP09'!Std10dot4Withdrawals, 9, 0, 1, 1))</f>
        <v>1</v>
      </c>
      <c r="C2242" s="155">
        <f ca="1">OFFSET('IWP09'!Std10dot4Withdrawals, 9, 2, 1, 1)</f>
        <v>0</v>
      </c>
      <c r="D2242" s="151" t="str">
        <f ca="1">IF(OFFSET('IWP09'!Std10dot4Withdrawals, 9, 4, 1, 1) = 0, "", OFFSET('IWP09'!Std10dot4Withdrawals, 9, 4, 1, 1))</f>
        <v/>
      </c>
      <c r="E2242" s="207" t="str">
        <f ca="1">IF(OFFSET('IWP09'!Std10dot4Withdrawals, 9, 7, 1, 1) = 0, "", OFFSET('IWP09'!Std10dot4Withdrawals, 9, 7, 1, 1))</f>
        <v/>
      </c>
    </row>
    <row r="2243" spans="1:5">
      <c r="A2243" s="206" t="s">
        <v>1312</v>
      </c>
      <c r="B2243" s="157">
        <f ca="1">IF(OFFSET('IWP09'!Std10dot4Withdrawals, 10, 0, 1, 1) = DATE(1900,1,0),DATE(1900,1,1),OFFSET('IWP09'!Std10dot4Withdrawals, 10, 0, 1, 1))</f>
        <v>1</v>
      </c>
      <c r="C2243" s="155">
        <f ca="1">OFFSET('IWP09'!Std10dot4Withdrawals, 10, 2, 1, 1)</f>
        <v>0</v>
      </c>
      <c r="D2243" s="151" t="str">
        <f ca="1">IF(OFFSET('IWP09'!Std10dot4Withdrawals, 10, 4, 1, 1) = 0, "", OFFSET('IWP09'!Std10dot4Withdrawals, 10, 4, 1, 1))</f>
        <v/>
      </c>
      <c r="E2243" s="207" t="str">
        <f ca="1">IF(OFFSET('IWP09'!Std10dot4Withdrawals, 10, 7, 1, 1) = 0, "", OFFSET('IWP09'!Std10dot4Withdrawals, 10, 7, 1, 1))</f>
        <v/>
      </c>
    </row>
    <row r="2244" spans="1:5">
      <c r="A2244" s="206" t="s">
        <v>1312</v>
      </c>
      <c r="B2244" s="157">
        <f ca="1">IF(OFFSET('IWP09'!Std10dot4Withdrawals, 11, 0, 1, 1) = DATE(1900,1,0),DATE(1900,1,1),OFFSET('IWP09'!Std10dot4Withdrawals, 11, 0, 1, 1))</f>
        <v>1</v>
      </c>
      <c r="C2244" s="155">
        <f ca="1">OFFSET('IWP09'!Std10dot4Withdrawals, 11, 2, 1, 1)</f>
        <v>0</v>
      </c>
      <c r="D2244" s="151" t="str">
        <f ca="1">IF(OFFSET('IWP09'!Std10dot4Withdrawals, 11, 4, 1, 1) = 0, "", OFFSET('IWP09'!Std10dot4Withdrawals, 11, 4, 1, 1))</f>
        <v/>
      </c>
      <c r="E2244" s="207" t="str">
        <f ca="1">IF(OFFSET('IWP09'!Std10dot4Withdrawals, 11, 7, 1, 1) = 0, "", OFFSET('IWP09'!Std10dot4Withdrawals, 11, 7, 1, 1))</f>
        <v/>
      </c>
    </row>
    <row r="2245" spans="1:5">
      <c r="A2245" s="206" t="s">
        <v>1312</v>
      </c>
      <c r="B2245" s="157">
        <f ca="1">IF(OFFSET('IWP09'!Std10dot4Withdrawals, 12, 0, 1, 1) = DATE(1900,1,0),DATE(1900,1,1),OFFSET('IWP09'!Std10dot4Withdrawals, 12, 0, 1, 1))</f>
        <v>1</v>
      </c>
      <c r="C2245" s="155">
        <f ca="1">OFFSET('IWP09'!Std10dot4Withdrawals, 12, 2, 1, 1)</f>
        <v>0</v>
      </c>
      <c r="D2245" s="151" t="str">
        <f ca="1">IF(OFFSET('IWP09'!Std10dot4Withdrawals, 12, 4, 1, 1) = 0, "", OFFSET('IWP09'!Std10dot4Withdrawals, 12, 4, 1, 1))</f>
        <v/>
      </c>
      <c r="E2245" s="207" t="str">
        <f ca="1">IF(OFFSET('IWP09'!Std10dot4Withdrawals, 12, 7, 1, 1) = 0, "", OFFSET('IWP09'!Std10dot4Withdrawals, 12, 7, 1, 1))</f>
        <v/>
      </c>
    </row>
    <row r="2246" spans="1:5">
      <c r="A2246" s="206" t="s">
        <v>1312</v>
      </c>
      <c r="B2246" s="157">
        <f ca="1">IF(OFFSET('IWP09'!Std10dot4Withdrawals, 13, 0, 1, 1) = DATE(1900,1,0),DATE(1900,1,1),OFFSET('IWP09'!Std10dot4Withdrawals, 13, 0, 1, 1))</f>
        <v>1</v>
      </c>
      <c r="C2246" s="155">
        <f ca="1">OFFSET('IWP09'!Std10dot4Withdrawals, 13, 2, 1, 1)</f>
        <v>0</v>
      </c>
      <c r="D2246" s="151" t="str">
        <f ca="1">IF(OFFSET('IWP09'!Std10dot4Withdrawals, 13, 4, 1, 1) = 0, "", OFFSET('IWP09'!Std10dot4Withdrawals, 13, 4, 1, 1))</f>
        <v/>
      </c>
      <c r="E2246" s="207" t="str">
        <f ca="1">IF(OFFSET('IWP09'!Std10dot4Withdrawals, 13, 7, 1, 1) = 0, "", OFFSET('IWP09'!Std10dot4Withdrawals, 13, 7, 1, 1))</f>
        <v/>
      </c>
    </row>
    <row r="2247" spans="1:5">
      <c r="A2247" s="206" t="s">
        <v>1312</v>
      </c>
      <c r="B2247" s="157">
        <f ca="1">IF(OFFSET('IWP09'!Std10dot4Withdrawals, 14, 0, 1, 1) = DATE(1900,1,0),DATE(1900,1,1),OFFSET('IWP09'!Std10dot4Withdrawals, 14, 0, 1, 1))</f>
        <v>1</v>
      </c>
      <c r="C2247" s="155">
        <f ca="1">OFFSET('IWP09'!Std10dot4Withdrawals, 14, 2, 1, 1)</f>
        <v>0</v>
      </c>
      <c r="D2247" s="151" t="str">
        <f ca="1">IF(OFFSET('IWP09'!Std10dot4Withdrawals, 14, 4, 1, 1) = 0, "", OFFSET('IWP09'!Std10dot4Withdrawals, 14, 4, 1, 1))</f>
        <v/>
      </c>
      <c r="E2247" s="207" t="str">
        <f ca="1">IF(OFFSET('IWP09'!Std10dot4Withdrawals, 14, 7, 1, 1) = 0, "", OFFSET('IWP09'!Std10dot4Withdrawals, 14, 7, 1, 1))</f>
        <v/>
      </c>
    </row>
    <row r="2248" spans="1:5">
      <c r="A2248" s="206" t="s">
        <v>1312</v>
      </c>
      <c r="B2248" s="157">
        <f ca="1">IF(OFFSET('IWP09'!Std10dot4Withdrawals, 15, 0, 1, 1) = DATE(1900,1,0),DATE(1900,1,1),OFFSET('IWP09'!Std10dot4Withdrawals, 15, 0, 1, 1))</f>
        <v>1</v>
      </c>
      <c r="C2248" s="155">
        <f ca="1">OFFSET('IWP09'!Std10dot4Withdrawals, 15, 2, 1, 1)</f>
        <v>0</v>
      </c>
      <c r="D2248" s="151" t="str">
        <f ca="1">IF(OFFSET('IWP09'!Std10dot4Withdrawals, 15, 4, 1, 1) = 0, "", OFFSET('IWP09'!Std10dot4Withdrawals, 15, 4, 1, 1))</f>
        <v/>
      </c>
      <c r="E2248" s="207" t="str">
        <f ca="1">IF(OFFSET('IWP09'!Std10dot4Withdrawals, 15, 7, 1, 1) = 0, "", OFFSET('IWP09'!Std10dot4Withdrawals, 15, 7, 1, 1))</f>
        <v/>
      </c>
    </row>
    <row r="2249" spans="1:5">
      <c r="A2249" s="206" t="s">
        <v>1312</v>
      </c>
      <c r="B2249" s="157">
        <f ca="1">IF(OFFSET('IWP09'!Std10dot4Withdrawals, 16, 0, 1, 1) = DATE(1900,1,0),DATE(1900,1,1),OFFSET('IWP09'!Std10dot4Withdrawals, 16, 0, 1, 1))</f>
        <v>1</v>
      </c>
      <c r="C2249" s="155">
        <f ca="1">OFFSET('IWP09'!Std10dot4Withdrawals, 16, 2, 1, 1)</f>
        <v>0</v>
      </c>
      <c r="D2249" s="151" t="str">
        <f ca="1">IF(OFFSET('IWP09'!Std10dot4Withdrawals, 16, 4, 1, 1) = 0, "", OFFSET('IWP09'!Std10dot4Withdrawals, 16, 4, 1, 1))</f>
        <v/>
      </c>
      <c r="E2249" s="207" t="str">
        <f ca="1">IF(OFFSET('IWP09'!Std10dot4Withdrawals, 16, 7, 1, 1) = 0, "", OFFSET('IWP09'!Std10dot4Withdrawals, 16, 7, 1, 1))</f>
        <v/>
      </c>
    </row>
    <row r="2250" spans="1:5">
      <c r="A2250" s="206" t="s">
        <v>1312</v>
      </c>
      <c r="B2250" s="157">
        <f ca="1">IF(OFFSET('IWP09'!Std10dot4Withdrawals, 17, 0, 1, 1) = DATE(1900,1,0),DATE(1900,1,1),OFFSET('IWP09'!Std10dot4Withdrawals, 17, 0, 1, 1))</f>
        <v>1</v>
      </c>
      <c r="C2250" s="155">
        <f ca="1">OFFSET('IWP09'!Std10dot4Withdrawals, 17, 2, 1, 1)</f>
        <v>0</v>
      </c>
      <c r="D2250" s="151" t="str">
        <f ca="1">IF(OFFSET('IWP09'!Std10dot4Withdrawals, 17, 4, 1, 1) = 0, "", OFFSET('IWP09'!Std10dot4Withdrawals, 17, 4, 1, 1))</f>
        <v/>
      </c>
      <c r="E2250" s="207" t="str">
        <f ca="1">IF(OFFSET('IWP09'!Std10dot4Withdrawals, 17, 7, 1, 1) = 0, "", OFFSET('IWP09'!Std10dot4Withdrawals, 17, 7, 1, 1))</f>
        <v/>
      </c>
    </row>
    <row r="2251" spans="1:5">
      <c r="A2251" s="206" t="s">
        <v>1312</v>
      </c>
      <c r="B2251" s="157">
        <f ca="1">IF(OFFSET('IWP09'!Std10dot4Withdrawals, 18, 0, 1, 1) = DATE(1900,1,0),DATE(1900,1,1),OFFSET('IWP09'!Std10dot4Withdrawals, 18, 0, 1, 1))</f>
        <v>1</v>
      </c>
      <c r="C2251" s="155">
        <f ca="1">OFFSET('IWP09'!Std10dot4Withdrawals, 18, 2, 1, 1)</f>
        <v>0</v>
      </c>
      <c r="D2251" s="151" t="str">
        <f ca="1">IF(OFFSET('IWP09'!Std10dot4Withdrawals, 18, 4, 1, 1) = 0, "", OFFSET('IWP09'!Std10dot4Withdrawals, 18, 4, 1, 1))</f>
        <v/>
      </c>
      <c r="E2251" s="207" t="str">
        <f ca="1">IF(OFFSET('IWP09'!Std10dot4Withdrawals, 18, 7, 1, 1) = 0, "", OFFSET('IWP09'!Std10dot4Withdrawals, 18, 7, 1, 1))</f>
        <v/>
      </c>
    </row>
    <row r="2252" spans="1:5">
      <c r="A2252" s="206" t="s">
        <v>1312</v>
      </c>
      <c r="B2252" s="157">
        <f ca="1">IF(OFFSET('IWP09'!Std10dot4Withdrawals, 19, 0, 1, 1) = DATE(1900,1,0),DATE(1900,1,1),OFFSET('IWP09'!Std10dot4Withdrawals, 19, 0, 1, 1))</f>
        <v>1</v>
      </c>
      <c r="C2252" s="155">
        <f ca="1">OFFSET('IWP09'!Std10dot4Withdrawals, 19, 2, 1, 1)</f>
        <v>0</v>
      </c>
      <c r="D2252" s="151" t="str">
        <f ca="1">IF(OFFSET('IWP09'!Std10dot4Withdrawals, 19, 4, 1, 1) = 0, "", OFFSET('IWP09'!Std10dot4Withdrawals, 19, 4, 1, 1))</f>
        <v/>
      </c>
      <c r="E2252" s="207" t="str">
        <f ca="1">IF(OFFSET('IWP09'!Std10dot4Withdrawals, 19, 7, 1, 1) = 0, "", OFFSET('IWP09'!Std10dot4Withdrawals, 19, 7, 1, 1))</f>
        <v/>
      </c>
    </row>
    <row r="2253" spans="1:5">
      <c r="A2253" s="206" t="s">
        <v>1313</v>
      </c>
      <c r="B2253" s="157">
        <f ca="1">IF(OFFSET('IWP10'!Std10dot4Withdrawals, 0, 0, 1, 1) = DATE(1900,1,0),DATE(1900,1,1),OFFSET('IWP10'!Std10dot4Withdrawals, 0, 0, 1, 1))</f>
        <v>1</v>
      </c>
      <c r="C2253" s="155">
        <f ca="1">OFFSET('IWP10'!Std10dot4Withdrawals, 0, 2, 1, 1)</f>
        <v>0</v>
      </c>
      <c r="D2253" s="151" t="str">
        <f ca="1">IF(OFFSET('IWP10'!Std10dot4Withdrawals, 0, 4, 1, 1) = 0, "", OFFSET('IWP10'!Std10dot4Withdrawals, 0, 4, 1, 1))</f>
        <v/>
      </c>
      <c r="E2253" s="207" t="str">
        <f ca="1">IF(OFFSET('IWP10'!Std10dot4Withdrawals, 0, 7, 1, 1) = 0, "", OFFSET('IWP10'!Std10dot4Withdrawals, 0, 7, 1, 1))</f>
        <v/>
      </c>
    </row>
    <row r="2254" spans="1:5">
      <c r="A2254" s="206" t="s">
        <v>1313</v>
      </c>
      <c r="B2254" s="157">
        <f ca="1">IF(OFFSET('IWP10'!Std10dot4Withdrawals, 1, 0, 1, 1) = DATE(1900,1,0),DATE(1900,1,1),OFFSET('IWP10'!Std10dot4Withdrawals, 1, 0, 1, 1))</f>
        <v>1</v>
      </c>
      <c r="C2254" s="155">
        <f ca="1">OFFSET('IWP10'!Std10dot4Withdrawals, 1, 2, 1, 1)</f>
        <v>0</v>
      </c>
      <c r="D2254" s="151" t="str">
        <f ca="1">IF(OFFSET('IWP10'!Std10dot4Withdrawals, 1, 4, 1, 1) = 0, "", OFFSET('IWP10'!Std10dot4Withdrawals, 1, 4, 1, 1))</f>
        <v/>
      </c>
      <c r="E2254" s="207" t="str">
        <f ca="1">IF(OFFSET('IWP10'!Std10dot4Withdrawals, 1, 7, 1, 1) = 0, "", OFFSET('IWP10'!Std10dot4Withdrawals, 1, 7, 1, 1))</f>
        <v/>
      </c>
    </row>
    <row r="2255" spans="1:5">
      <c r="A2255" s="206" t="s">
        <v>1313</v>
      </c>
      <c r="B2255" s="157">
        <f ca="1">IF(OFFSET('IWP10'!Std10dot4Withdrawals, 2, 0, 1, 1) = DATE(1900,1,0),DATE(1900,1,1),OFFSET('IWP10'!Std10dot4Withdrawals, 2, 0, 1, 1))</f>
        <v>1</v>
      </c>
      <c r="C2255" s="155">
        <f ca="1">OFFSET('IWP10'!Std10dot4Withdrawals, 2, 2, 1, 1)</f>
        <v>0</v>
      </c>
      <c r="D2255" s="151" t="str">
        <f ca="1">IF(OFFSET('IWP10'!Std10dot4Withdrawals, 2, 4, 1, 1) = 0, "", OFFSET('IWP10'!Std10dot4Withdrawals, 2, 4, 1, 1))</f>
        <v/>
      </c>
      <c r="E2255" s="207" t="str">
        <f ca="1">IF(OFFSET('IWP10'!Std10dot4Withdrawals, 2, 7, 1, 1) = 0, "", OFFSET('IWP10'!Std10dot4Withdrawals, 2, 7, 1, 1))</f>
        <v/>
      </c>
    </row>
    <row r="2256" spans="1:5">
      <c r="A2256" s="206" t="s">
        <v>1313</v>
      </c>
      <c r="B2256" s="157">
        <f ca="1">IF(OFFSET('IWP10'!Std10dot4Withdrawals, 3, 0, 1, 1) = DATE(1900,1,0),DATE(1900,1,1),OFFSET('IWP10'!Std10dot4Withdrawals, 3, 0, 1, 1))</f>
        <v>1</v>
      </c>
      <c r="C2256" s="155">
        <f ca="1">OFFSET('IWP10'!Std10dot4Withdrawals, 3, 2, 1, 1)</f>
        <v>0</v>
      </c>
      <c r="D2256" s="151" t="str">
        <f ca="1">IF(OFFSET('IWP10'!Std10dot4Withdrawals, 3, 4, 1, 1) = 0, "", OFFSET('IWP10'!Std10dot4Withdrawals, 3, 4, 1, 1))</f>
        <v/>
      </c>
      <c r="E2256" s="207" t="str">
        <f ca="1">IF(OFFSET('IWP10'!Std10dot4Withdrawals, 3, 7, 1, 1) = 0, "", OFFSET('IWP10'!Std10dot4Withdrawals, 3, 7, 1, 1))</f>
        <v/>
      </c>
    </row>
    <row r="2257" spans="1:5">
      <c r="A2257" s="206" t="s">
        <v>1313</v>
      </c>
      <c r="B2257" s="157">
        <f ca="1">IF(OFFSET('IWP10'!Std10dot4Withdrawals, 4, 0, 1, 1) = DATE(1900,1,0),DATE(1900,1,1),OFFSET('IWP10'!Std10dot4Withdrawals, 4, 0, 1, 1))</f>
        <v>1</v>
      </c>
      <c r="C2257" s="155">
        <f ca="1">OFFSET('IWP10'!Std10dot4Withdrawals, 4, 2, 1, 1)</f>
        <v>0</v>
      </c>
      <c r="D2257" s="151" t="str">
        <f ca="1">IF(OFFSET('IWP10'!Std10dot4Withdrawals, 4, 4, 1, 1) = 0, "", OFFSET('IWP10'!Std10dot4Withdrawals, 4, 4, 1, 1))</f>
        <v/>
      </c>
      <c r="E2257" s="207" t="str">
        <f ca="1">IF(OFFSET('IWP10'!Std10dot4Withdrawals, 4, 7, 1, 1) = 0, "", OFFSET('IWP10'!Std10dot4Withdrawals, 4, 7, 1, 1))</f>
        <v/>
      </c>
    </row>
    <row r="2258" spans="1:5">
      <c r="A2258" s="206" t="s">
        <v>1313</v>
      </c>
      <c r="B2258" s="157">
        <f ca="1">IF(OFFSET('IWP10'!Std10dot4Withdrawals, 5, 0, 1, 1) = DATE(1900,1,0),DATE(1900,1,1),OFFSET('IWP10'!Std10dot4Withdrawals, 5, 0, 1, 1))</f>
        <v>1</v>
      </c>
      <c r="C2258" s="155">
        <f ca="1">OFFSET('IWP10'!Std10dot4Withdrawals, 5, 2, 1, 1)</f>
        <v>0</v>
      </c>
      <c r="D2258" s="151" t="str">
        <f ca="1">IF(OFFSET('IWP10'!Std10dot4Withdrawals, 5, 4, 1, 1) = 0, "", OFFSET('IWP10'!Std10dot4Withdrawals, 5, 4, 1, 1))</f>
        <v/>
      </c>
      <c r="E2258" s="207" t="str">
        <f ca="1">IF(OFFSET('IWP10'!Std10dot4Withdrawals, 5, 7, 1, 1) = 0, "", OFFSET('IWP10'!Std10dot4Withdrawals, 5, 7, 1, 1))</f>
        <v/>
      </c>
    </row>
    <row r="2259" spans="1:5">
      <c r="A2259" s="206" t="s">
        <v>1313</v>
      </c>
      <c r="B2259" s="157">
        <f ca="1">IF(OFFSET('IWP10'!Std10dot4Withdrawals, 6, 0, 1, 1) = DATE(1900,1,0),DATE(1900,1,1),OFFSET('IWP10'!Std10dot4Withdrawals, 6, 0, 1, 1))</f>
        <v>1</v>
      </c>
      <c r="C2259" s="155">
        <f ca="1">OFFSET('IWP10'!Std10dot4Withdrawals, 6, 2, 1, 1)</f>
        <v>0</v>
      </c>
      <c r="D2259" s="151" t="str">
        <f ca="1">IF(OFFSET('IWP10'!Std10dot4Withdrawals, 6, 4, 1, 1) = 0, "", OFFSET('IWP10'!Std10dot4Withdrawals, 6, 4, 1, 1))</f>
        <v/>
      </c>
      <c r="E2259" s="207" t="str">
        <f ca="1">IF(OFFSET('IWP10'!Std10dot4Withdrawals, 6, 7, 1, 1) = 0, "", OFFSET('IWP10'!Std10dot4Withdrawals, 6, 7, 1, 1))</f>
        <v/>
      </c>
    </row>
    <row r="2260" spans="1:5">
      <c r="A2260" s="206" t="s">
        <v>1313</v>
      </c>
      <c r="B2260" s="157">
        <f ca="1">IF(OFFSET('IWP10'!Std10dot4Withdrawals, 7, 0, 1, 1) = DATE(1900,1,0),DATE(1900,1,1),OFFSET('IWP10'!Std10dot4Withdrawals, 7, 0, 1, 1))</f>
        <v>1</v>
      </c>
      <c r="C2260" s="155">
        <f ca="1">OFFSET('IWP10'!Std10dot4Withdrawals, 7, 2, 1, 1)</f>
        <v>0</v>
      </c>
      <c r="D2260" s="151" t="str">
        <f ca="1">IF(OFFSET('IWP10'!Std10dot4Withdrawals, 7, 4, 1, 1) = 0, "", OFFSET('IWP10'!Std10dot4Withdrawals, 7, 4, 1, 1))</f>
        <v/>
      </c>
      <c r="E2260" s="207" t="str">
        <f ca="1">IF(OFFSET('IWP10'!Std10dot4Withdrawals, 7, 7, 1, 1) = 0, "", OFFSET('IWP10'!Std10dot4Withdrawals, 7, 7, 1, 1))</f>
        <v/>
      </c>
    </row>
    <row r="2261" spans="1:5">
      <c r="A2261" s="206" t="s">
        <v>1313</v>
      </c>
      <c r="B2261" s="157">
        <f ca="1">IF(OFFSET('IWP10'!Std10dot4Withdrawals, 8, 0, 1, 1) = DATE(1900,1,0),DATE(1900,1,1),OFFSET('IWP10'!Std10dot4Withdrawals, 8, 0, 1, 1))</f>
        <v>1</v>
      </c>
      <c r="C2261" s="155">
        <f ca="1">OFFSET('IWP10'!Std10dot4Withdrawals, 8, 2, 1, 1)</f>
        <v>0</v>
      </c>
      <c r="D2261" s="151" t="str">
        <f ca="1">IF(OFFSET('IWP10'!Std10dot4Withdrawals, 8, 4, 1, 1) = 0, "", OFFSET('IWP10'!Std10dot4Withdrawals, 8, 4, 1, 1))</f>
        <v/>
      </c>
      <c r="E2261" s="207" t="str">
        <f ca="1">IF(OFFSET('IWP10'!Std10dot4Withdrawals, 8, 7, 1, 1) = 0, "", OFFSET('IWP10'!Std10dot4Withdrawals, 8, 7, 1, 1))</f>
        <v/>
      </c>
    </row>
    <row r="2262" spans="1:5">
      <c r="A2262" s="206" t="s">
        <v>1313</v>
      </c>
      <c r="B2262" s="157">
        <f ca="1">IF(OFFSET('IWP10'!Std10dot4Withdrawals, 9, 0, 1, 1) = DATE(1900,1,0),DATE(1900,1,1),OFFSET('IWP10'!Std10dot4Withdrawals, 9, 0, 1, 1))</f>
        <v>1</v>
      </c>
      <c r="C2262" s="155">
        <f ca="1">OFFSET('IWP10'!Std10dot4Withdrawals, 9, 2, 1, 1)</f>
        <v>0</v>
      </c>
      <c r="D2262" s="151" t="str">
        <f ca="1">IF(OFFSET('IWP10'!Std10dot4Withdrawals, 9, 4, 1, 1) = 0, "", OFFSET('IWP10'!Std10dot4Withdrawals, 9, 4, 1, 1))</f>
        <v/>
      </c>
      <c r="E2262" s="207" t="str">
        <f ca="1">IF(OFFSET('IWP10'!Std10dot4Withdrawals, 9, 7, 1, 1) = 0, "", OFFSET('IWP10'!Std10dot4Withdrawals, 9, 7, 1, 1))</f>
        <v/>
      </c>
    </row>
    <row r="2263" spans="1:5">
      <c r="A2263" s="206" t="s">
        <v>1313</v>
      </c>
      <c r="B2263" s="157">
        <f ca="1">IF(OFFSET('IWP10'!Std10dot4Withdrawals, 10, 0, 1, 1) = DATE(1900,1,0),DATE(1900,1,1),OFFSET('IWP10'!Std10dot4Withdrawals, 10, 0, 1, 1))</f>
        <v>1</v>
      </c>
      <c r="C2263" s="155">
        <f ca="1">OFFSET('IWP10'!Std10dot4Withdrawals, 10, 2, 1, 1)</f>
        <v>0</v>
      </c>
      <c r="D2263" s="151" t="str">
        <f ca="1">IF(OFFSET('IWP10'!Std10dot4Withdrawals, 10, 4, 1, 1) = 0, "", OFFSET('IWP10'!Std10dot4Withdrawals, 10, 4, 1, 1))</f>
        <v/>
      </c>
      <c r="E2263" s="207" t="str">
        <f ca="1">IF(OFFSET('IWP10'!Std10dot4Withdrawals, 10, 7, 1, 1) = 0, "", OFFSET('IWP10'!Std10dot4Withdrawals, 10, 7, 1, 1))</f>
        <v/>
      </c>
    </row>
    <row r="2264" spans="1:5">
      <c r="A2264" s="206" t="s">
        <v>1313</v>
      </c>
      <c r="B2264" s="157">
        <f ca="1">IF(OFFSET('IWP10'!Std10dot4Withdrawals, 11, 0, 1, 1) = DATE(1900,1,0),DATE(1900,1,1),OFFSET('IWP10'!Std10dot4Withdrawals, 11, 0, 1, 1))</f>
        <v>1</v>
      </c>
      <c r="C2264" s="155">
        <f ca="1">OFFSET('IWP10'!Std10dot4Withdrawals, 11, 2, 1, 1)</f>
        <v>0</v>
      </c>
      <c r="D2264" s="151" t="str">
        <f ca="1">IF(OFFSET('IWP10'!Std10dot4Withdrawals, 11, 4, 1, 1) = 0, "", OFFSET('IWP10'!Std10dot4Withdrawals, 11, 4, 1, 1))</f>
        <v/>
      </c>
      <c r="E2264" s="207" t="str">
        <f ca="1">IF(OFFSET('IWP10'!Std10dot4Withdrawals, 11, 7, 1, 1) = 0, "", OFFSET('IWP10'!Std10dot4Withdrawals, 11, 7, 1, 1))</f>
        <v/>
      </c>
    </row>
    <row r="2265" spans="1:5">
      <c r="A2265" s="206" t="s">
        <v>1313</v>
      </c>
      <c r="B2265" s="157">
        <f ca="1">IF(OFFSET('IWP10'!Std10dot4Withdrawals, 12, 0, 1, 1) = DATE(1900,1,0),DATE(1900,1,1),OFFSET('IWP10'!Std10dot4Withdrawals, 12, 0, 1, 1))</f>
        <v>1</v>
      </c>
      <c r="C2265" s="155">
        <f ca="1">OFFSET('IWP10'!Std10dot4Withdrawals, 12, 2, 1, 1)</f>
        <v>0</v>
      </c>
      <c r="D2265" s="151" t="str">
        <f ca="1">IF(OFFSET('IWP10'!Std10dot4Withdrawals, 12, 4, 1, 1) = 0, "", OFFSET('IWP10'!Std10dot4Withdrawals, 12, 4, 1, 1))</f>
        <v/>
      </c>
      <c r="E2265" s="207" t="str">
        <f ca="1">IF(OFFSET('IWP10'!Std10dot4Withdrawals, 12, 7, 1, 1) = 0, "", OFFSET('IWP10'!Std10dot4Withdrawals, 12, 7, 1, 1))</f>
        <v/>
      </c>
    </row>
    <row r="2266" spans="1:5">
      <c r="A2266" s="206" t="s">
        <v>1313</v>
      </c>
      <c r="B2266" s="157">
        <f ca="1">IF(OFFSET('IWP10'!Std10dot4Withdrawals, 13, 0, 1, 1) = DATE(1900,1,0),DATE(1900,1,1),OFFSET('IWP10'!Std10dot4Withdrawals, 13, 0, 1, 1))</f>
        <v>1</v>
      </c>
      <c r="C2266" s="155">
        <f ca="1">OFFSET('IWP10'!Std10dot4Withdrawals, 13, 2, 1, 1)</f>
        <v>0</v>
      </c>
      <c r="D2266" s="151" t="str">
        <f ca="1">IF(OFFSET('IWP10'!Std10dot4Withdrawals, 13, 4, 1, 1) = 0, "", OFFSET('IWP10'!Std10dot4Withdrawals, 13, 4, 1, 1))</f>
        <v/>
      </c>
      <c r="E2266" s="207" t="str">
        <f ca="1">IF(OFFSET('IWP10'!Std10dot4Withdrawals, 13, 7, 1, 1) = 0, "", OFFSET('IWP10'!Std10dot4Withdrawals, 13, 7, 1, 1))</f>
        <v/>
      </c>
    </row>
    <row r="2267" spans="1:5">
      <c r="A2267" s="206" t="s">
        <v>1313</v>
      </c>
      <c r="B2267" s="157">
        <f ca="1">IF(OFFSET('IWP10'!Std10dot4Withdrawals, 14, 0, 1, 1) = DATE(1900,1,0),DATE(1900,1,1),OFFSET('IWP10'!Std10dot4Withdrawals, 14, 0, 1, 1))</f>
        <v>1</v>
      </c>
      <c r="C2267" s="155">
        <f ca="1">OFFSET('IWP10'!Std10dot4Withdrawals, 14, 2, 1, 1)</f>
        <v>0</v>
      </c>
      <c r="D2267" s="151" t="str">
        <f ca="1">IF(OFFSET('IWP10'!Std10dot4Withdrawals, 14, 4, 1, 1) = 0, "", OFFSET('IWP10'!Std10dot4Withdrawals, 14, 4, 1, 1))</f>
        <v/>
      </c>
      <c r="E2267" s="207" t="str">
        <f ca="1">IF(OFFSET('IWP10'!Std10dot4Withdrawals, 14, 7, 1, 1) = 0, "", OFFSET('IWP10'!Std10dot4Withdrawals, 14, 7, 1, 1))</f>
        <v/>
      </c>
    </row>
    <row r="2268" spans="1:5">
      <c r="A2268" s="206" t="s">
        <v>1313</v>
      </c>
      <c r="B2268" s="157">
        <f ca="1">IF(OFFSET('IWP10'!Std10dot4Withdrawals, 15, 0, 1, 1) = DATE(1900,1,0),DATE(1900,1,1),OFFSET('IWP10'!Std10dot4Withdrawals, 15, 0, 1, 1))</f>
        <v>1</v>
      </c>
      <c r="C2268" s="155">
        <f ca="1">OFFSET('IWP10'!Std10dot4Withdrawals, 15, 2, 1, 1)</f>
        <v>0</v>
      </c>
      <c r="D2268" s="151" t="str">
        <f ca="1">IF(OFFSET('IWP10'!Std10dot4Withdrawals, 15, 4, 1, 1) = 0, "", OFFSET('IWP10'!Std10dot4Withdrawals, 15, 4, 1, 1))</f>
        <v/>
      </c>
      <c r="E2268" s="207" t="str">
        <f ca="1">IF(OFFSET('IWP10'!Std10dot4Withdrawals, 15, 7, 1, 1) = 0, "", OFFSET('IWP10'!Std10dot4Withdrawals, 15, 7, 1, 1))</f>
        <v/>
      </c>
    </row>
    <row r="2269" spans="1:5">
      <c r="A2269" s="206" t="s">
        <v>1313</v>
      </c>
      <c r="B2269" s="157">
        <f ca="1">IF(OFFSET('IWP10'!Std10dot4Withdrawals, 16, 0, 1, 1) = DATE(1900,1,0),DATE(1900,1,1),OFFSET('IWP10'!Std10dot4Withdrawals, 16, 0, 1, 1))</f>
        <v>1</v>
      </c>
      <c r="C2269" s="155">
        <f ca="1">OFFSET('IWP10'!Std10dot4Withdrawals, 16, 2, 1, 1)</f>
        <v>0</v>
      </c>
      <c r="D2269" s="151" t="str">
        <f ca="1">IF(OFFSET('IWP10'!Std10dot4Withdrawals, 16, 4, 1, 1) = 0, "", OFFSET('IWP10'!Std10dot4Withdrawals, 16, 4, 1, 1))</f>
        <v/>
      </c>
      <c r="E2269" s="207" t="str">
        <f ca="1">IF(OFFSET('IWP10'!Std10dot4Withdrawals, 16, 7, 1, 1) = 0, "", OFFSET('IWP10'!Std10dot4Withdrawals, 16, 7, 1, 1))</f>
        <v/>
      </c>
    </row>
    <row r="2270" spans="1:5">
      <c r="A2270" s="206" t="s">
        <v>1313</v>
      </c>
      <c r="B2270" s="157">
        <f ca="1">IF(OFFSET('IWP10'!Std10dot4Withdrawals, 17, 0, 1, 1) = DATE(1900,1,0),DATE(1900,1,1),OFFSET('IWP10'!Std10dot4Withdrawals, 17, 0, 1, 1))</f>
        <v>1</v>
      </c>
      <c r="C2270" s="155">
        <f ca="1">OFFSET('IWP10'!Std10dot4Withdrawals, 17, 2, 1, 1)</f>
        <v>0</v>
      </c>
      <c r="D2270" s="151" t="str">
        <f ca="1">IF(OFFSET('IWP10'!Std10dot4Withdrawals, 17, 4, 1, 1) = 0, "", OFFSET('IWP10'!Std10dot4Withdrawals, 17, 4, 1, 1))</f>
        <v/>
      </c>
      <c r="E2270" s="207" t="str">
        <f ca="1">IF(OFFSET('IWP10'!Std10dot4Withdrawals, 17, 7, 1, 1) = 0, "", OFFSET('IWP10'!Std10dot4Withdrawals, 17, 7, 1, 1))</f>
        <v/>
      </c>
    </row>
    <row r="2271" spans="1:5">
      <c r="A2271" s="206" t="s">
        <v>1313</v>
      </c>
      <c r="B2271" s="157">
        <f ca="1">IF(OFFSET('IWP10'!Std10dot4Withdrawals, 18, 0, 1, 1) = DATE(1900,1,0),DATE(1900,1,1),OFFSET('IWP10'!Std10dot4Withdrawals, 18, 0, 1, 1))</f>
        <v>1</v>
      </c>
      <c r="C2271" s="155">
        <f ca="1">OFFSET('IWP10'!Std10dot4Withdrawals, 18, 2, 1, 1)</f>
        <v>0</v>
      </c>
      <c r="D2271" s="151" t="str">
        <f ca="1">IF(OFFSET('IWP10'!Std10dot4Withdrawals, 18, 4, 1, 1) = 0, "", OFFSET('IWP10'!Std10dot4Withdrawals, 18, 4, 1, 1))</f>
        <v/>
      </c>
      <c r="E2271" s="207" t="str">
        <f ca="1">IF(OFFSET('IWP10'!Std10dot4Withdrawals, 18, 7, 1, 1) = 0, "", OFFSET('IWP10'!Std10dot4Withdrawals, 18, 7, 1, 1))</f>
        <v/>
      </c>
    </row>
    <row r="2272" spans="1:5">
      <c r="A2272" s="206" t="s">
        <v>1313</v>
      </c>
      <c r="B2272" s="157">
        <f ca="1">IF(OFFSET('IWP10'!Std10dot4Withdrawals, 19, 0, 1, 1) = DATE(1900,1,0),DATE(1900,1,1),OFFSET('IWP10'!Std10dot4Withdrawals, 19, 0, 1, 1))</f>
        <v>1</v>
      </c>
      <c r="C2272" s="155">
        <f ca="1">OFFSET('IWP10'!Std10dot4Withdrawals, 19, 2, 1, 1)</f>
        <v>0</v>
      </c>
      <c r="D2272" s="151" t="str">
        <f ca="1">IF(OFFSET('IWP10'!Std10dot4Withdrawals, 19, 4, 1, 1) = 0, "", OFFSET('IWP10'!Std10dot4Withdrawals, 19, 4, 1, 1))</f>
        <v/>
      </c>
      <c r="E2272" s="207" t="str">
        <f ca="1">IF(OFFSET('IWP10'!Std10dot4Withdrawals, 19, 7, 1, 1) = 0, "", OFFSET('IWP10'!Std10dot4Withdrawals, 19, 7, 1, 1))</f>
        <v/>
      </c>
    </row>
    <row r="2273" spans="1:5">
      <c r="A2273" s="206" t="s">
        <v>1314</v>
      </c>
      <c r="B2273" s="157">
        <f ca="1">IF(OFFSET('IWP11'!Std10dot4Withdrawals, 0, 0, 1, 1) = DATE(1900,1,0),DATE(1900,1,1),OFFSET('IWP11'!Std10dot4Withdrawals, 0, 0, 1, 1))</f>
        <v>1</v>
      </c>
      <c r="C2273" s="155">
        <f ca="1">OFFSET('IWP11'!Std10dot4Withdrawals, 0, 2, 1, 1)</f>
        <v>0</v>
      </c>
      <c r="D2273" s="151" t="str">
        <f ca="1">IF(OFFSET('IWP11'!Std10dot4Withdrawals, 0, 4, 1, 1) = 0, "", OFFSET('IWP11'!Std10dot4Withdrawals, 0, 4, 1, 1))</f>
        <v/>
      </c>
      <c r="E2273" s="207" t="str">
        <f ca="1">IF(OFFSET('IWP11'!Std10dot4Withdrawals, 0, 7, 1, 1) = 0, "", OFFSET('IWP11'!Std10dot4Withdrawals, 0, 7, 1, 1))</f>
        <v/>
      </c>
    </row>
    <row r="2274" spans="1:5">
      <c r="A2274" s="206" t="s">
        <v>1314</v>
      </c>
      <c r="B2274" s="157">
        <f ca="1">IF(OFFSET('IWP11'!Std10dot4Withdrawals, 1, 0, 1, 1) = DATE(1900,1,0),DATE(1900,1,1),OFFSET('IWP11'!Std10dot4Withdrawals, 1, 0, 1, 1))</f>
        <v>1</v>
      </c>
      <c r="C2274" s="155">
        <f ca="1">OFFSET('IWP11'!Std10dot4Withdrawals, 1, 2, 1, 1)</f>
        <v>0</v>
      </c>
      <c r="D2274" s="151" t="str">
        <f ca="1">IF(OFFSET('IWP11'!Std10dot4Withdrawals, 1, 4, 1, 1) = 0, "", OFFSET('IWP11'!Std10dot4Withdrawals, 1, 4, 1, 1))</f>
        <v/>
      </c>
      <c r="E2274" s="207" t="str">
        <f ca="1">IF(OFFSET('IWP11'!Std10dot4Withdrawals, 1, 7, 1, 1) = 0, "", OFFSET('IWP11'!Std10dot4Withdrawals, 1, 7, 1, 1))</f>
        <v/>
      </c>
    </row>
    <row r="2275" spans="1:5">
      <c r="A2275" s="206" t="s">
        <v>1314</v>
      </c>
      <c r="B2275" s="157">
        <f ca="1">IF(OFFSET('IWP11'!Std10dot4Withdrawals, 2, 0, 1, 1) = DATE(1900,1,0),DATE(1900,1,1),OFFSET('IWP11'!Std10dot4Withdrawals, 2, 0, 1, 1))</f>
        <v>1</v>
      </c>
      <c r="C2275" s="155">
        <f ca="1">OFFSET('IWP11'!Std10dot4Withdrawals, 2, 2, 1, 1)</f>
        <v>0</v>
      </c>
      <c r="D2275" s="151" t="str">
        <f ca="1">IF(OFFSET('IWP11'!Std10dot4Withdrawals, 2, 4, 1, 1) = 0, "", OFFSET('IWP11'!Std10dot4Withdrawals, 2, 4, 1, 1))</f>
        <v/>
      </c>
      <c r="E2275" s="207" t="str">
        <f ca="1">IF(OFFSET('IWP11'!Std10dot4Withdrawals, 2, 7, 1, 1) = 0, "", OFFSET('IWP11'!Std10dot4Withdrawals, 2, 7, 1, 1))</f>
        <v/>
      </c>
    </row>
    <row r="2276" spans="1:5">
      <c r="A2276" s="206" t="s">
        <v>1314</v>
      </c>
      <c r="B2276" s="157">
        <f ca="1">IF(OFFSET('IWP11'!Std10dot4Withdrawals, 3, 0, 1, 1) = DATE(1900,1,0),DATE(1900,1,1),OFFSET('IWP11'!Std10dot4Withdrawals, 3, 0, 1, 1))</f>
        <v>1</v>
      </c>
      <c r="C2276" s="155">
        <f ca="1">OFFSET('IWP11'!Std10dot4Withdrawals, 3, 2, 1, 1)</f>
        <v>0</v>
      </c>
      <c r="D2276" s="151" t="str">
        <f ca="1">IF(OFFSET('IWP11'!Std10dot4Withdrawals, 3, 4, 1, 1) = 0, "", OFFSET('IWP11'!Std10dot4Withdrawals, 3, 4, 1, 1))</f>
        <v/>
      </c>
      <c r="E2276" s="207" t="str">
        <f ca="1">IF(OFFSET('IWP11'!Std10dot4Withdrawals, 3, 7, 1, 1) = 0, "", OFFSET('IWP11'!Std10dot4Withdrawals, 3, 7, 1, 1))</f>
        <v/>
      </c>
    </row>
    <row r="2277" spans="1:5">
      <c r="A2277" s="206" t="s">
        <v>1314</v>
      </c>
      <c r="B2277" s="157">
        <f ca="1">IF(OFFSET('IWP11'!Std10dot4Withdrawals, 4, 0, 1, 1) = DATE(1900,1,0),DATE(1900,1,1),OFFSET('IWP11'!Std10dot4Withdrawals, 4, 0, 1, 1))</f>
        <v>1</v>
      </c>
      <c r="C2277" s="155">
        <f ca="1">OFFSET('IWP11'!Std10dot4Withdrawals, 4, 2, 1, 1)</f>
        <v>0</v>
      </c>
      <c r="D2277" s="151" t="str">
        <f ca="1">IF(OFFSET('IWP11'!Std10dot4Withdrawals, 4, 4, 1, 1) = 0, "", OFFSET('IWP11'!Std10dot4Withdrawals, 4, 4, 1, 1))</f>
        <v/>
      </c>
      <c r="E2277" s="207" t="str">
        <f ca="1">IF(OFFSET('IWP11'!Std10dot4Withdrawals, 4, 7, 1, 1) = 0, "", OFFSET('IWP11'!Std10dot4Withdrawals, 4, 7, 1, 1))</f>
        <v/>
      </c>
    </row>
    <row r="2278" spans="1:5">
      <c r="A2278" s="206" t="s">
        <v>1314</v>
      </c>
      <c r="B2278" s="157">
        <f ca="1">IF(OFFSET('IWP11'!Std10dot4Withdrawals, 5, 0, 1, 1) = DATE(1900,1,0),DATE(1900,1,1),OFFSET('IWP11'!Std10dot4Withdrawals, 5, 0, 1, 1))</f>
        <v>1</v>
      </c>
      <c r="C2278" s="155">
        <f ca="1">OFFSET('IWP11'!Std10dot4Withdrawals, 5, 2, 1, 1)</f>
        <v>0</v>
      </c>
      <c r="D2278" s="151" t="str">
        <f ca="1">IF(OFFSET('IWP11'!Std10dot4Withdrawals, 5, 4, 1, 1) = 0, "", OFFSET('IWP11'!Std10dot4Withdrawals, 5, 4, 1, 1))</f>
        <v/>
      </c>
      <c r="E2278" s="207" t="str">
        <f ca="1">IF(OFFSET('IWP11'!Std10dot4Withdrawals, 5, 7, 1, 1) = 0, "", OFFSET('IWP11'!Std10dot4Withdrawals, 5, 7, 1, 1))</f>
        <v/>
      </c>
    </row>
    <row r="2279" spans="1:5">
      <c r="A2279" s="206" t="s">
        <v>1314</v>
      </c>
      <c r="B2279" s="157">
        <f ca="1">IF(OFFSET('IWP11'!Std10dot4Withdrawals, 6, 0, 1, 1) = DATE(1900,1,0),DATE(1900,1,1),OFFSET('IWP11'!Std10dot4Withdrawals, 6, 0, 1, 1))</f>
        <v>1</v>
      </c>
      <c r="C2279" s="155">
        <f ca="1">OFFSET('IWP11'!Std10dot4Withdrawals, 6, 2, 1, 1)</f>
        <v>0</v>
      </c>
      <c r="D2279" s="151" t="str">
        <f ca="1">IF(OFFSET('IWP11'!Std10dot4Withdrawals, 6, 4, 1, 1) = 0, "", OFFSET('IWP11'!Std10dot4Withdrawals, 6, 4, 1, 1))</f>
        <v/>
      </c>
      <c r="E2279" s="207" t="str">
        <f ca="1">IF(OFFSET('IWP11'!Std10dot4Withdrawals, 6, 7, 1, 1) = 0, "", OFFSET('IWP11'!Std10dot4Withdrawals, 6, 7, 1, 1))</f>
        <v/>
      </c>
    </row>
    <row r="2280" spans="1:5">
      <c r="A2280" s="206" t="s">
        <v>1314</v>
      </c>
      <c r="B2280" s="157">
        <f ca="1">IF(OFFSET('IWP11'!Std10dot4Withdrawals, 7, 0, 1, 1) = DATE(1900,1,0),DATE(1900,1,1),OFFSET('IWP11'!Std10dot4Withdrawals, 7, 0, 1, 1))</f>
        <v>1</v>
      </c>
      <c r="C2280" s="155">
        <f ca="1">OFFSET('IWP11'!Std10dot4Withdrawals, 7, 2, 1, 1)</f>
        <v>0</v>
      </c>
      <c r="D2280" s="151" t="str">
        <f ca="1">IF(OFFSET('IWP11'!Std10dot4Withdrawals, 7, 4, 1, 1) = 0, "", OFFSET('IWP11'!Std10dot4Withdrawals, 7, 4, 1, 1))</f>
        <v/>
      </c>
      <c r="E2280" s="207" t="str">
        <f ca="1">IF(OFFSET('IWP11'!Std10dot4Withdrawals, 7, 7, 1, 1) = 0, "", OFFSET('IWP11'!Std10dot4Withdrawals, 7, 7, 1, 1))</f>
        <v/>
      </c>
    </row>
    <row r="2281" spans="1:5">
      <c r="A2281" s="206" t="s">
        <v>1314</v>
      </c>
      <c r="B2281" s="157">
        <f ca="1">IF(OFFSET('IWP11'!Std10dot4Withdrawals, 8, 0, 1, 1) = DATE(1900,1,0),DATE(1900,1,1),OFFSET('IWP11'!Std10dot4Withdrawals, 8, 0, 1, 1))</f>
        <v>1</v>
      </c>
      <c r="C2281" s="155">
        <f ca="1">OFFSET('IWP11'!Std10dot4Withdrawals, 8, 2, 1, 1)</f>
        <v>0</v>
      </c>
      <c r="D2281" s="151" t="str">
        <f ca="1">IF(OFFSET('IWP11'!Std10dot4Withdrawals, 8, 4, 1, 1) = 0, "", OFFSET('IWP11'!Std10dot4Withdrawals, 8, 4, 1, 1))</f>
        <v/>
      </c>
      <c r="E2281" s="207" t="str">
        <f ca="1">IF(OFFSET('IWP11'!Std10dot4Withdrawals, 8, 7, 1, 1) = 0, "", OFFSET('IWP11'!Std10dot4Withdrawals, 8, 7, 1, 1))</f>
        <v/>
      </c>
    </row>
    <row r="2282" spans="1:5">
      <c r="A2282" s="206" t="s">
        <v>1314</v>
      </c>
      <c r="B2282" s="157">
        <f ca="1">IF(OFFSET('IWP11'!Std10dot4Withdrawals, 9, 0, 1, 1) = DATE(1900,1,0),DATE(1900,1,1),OFFSET('IWP11'!Std10dot4Withdrawals, 9, 0, 1, 1))</f>
        <v>1</v>
      </c>
      <c r="C2282" s="155">
        <f ca="1">OFFSET('IWP11'!Std10dot4Withdrawals, 9, 2, 1, 1)</f>
        <v>0</v>
      </c>
      <c r="D2282" s="151" t="str">
        <f ca="1">IF(OFFSET('IWP11'!Std10dot4Withdrawals, 9, 4, 1, 1) = 0, "", OFFSET('IWP11'!Std10dot4Withdrawals, 9, 4, 1, 1))</f>
        <v/>
      </c>
      <c r="E2282" s="207" t="str">
        <f ca="1">IF(OFFSET('IWP11'!Std10dot4Withdrawals, 9, 7, 1, 1) = 0, "", OFFSET('IWP11'!Std10dot4Withdrawals, 9, 7, 1, 1))</f>
        <v/>
      </c>
    </row>
    <row r="2283" spans="1:5">
      <c r="A2283" s="206" t="s">
        <v>1314</v>
      </c>
      <c r="B2283" s="157">
        <f ca="1">IF(OFFSET('IWP11'!Std10dot4Withdrawals, 10, 0, 1, 1) = DATE(1900,1,0),DATE(1900,1,1),OFFSET('IWP11'!Std10dot4Withdrawals, 10, 0, 1, 1))</f>
        <v>1</v>
      </c>
      <c r="C2283" s="155">
        <f ca="1">OFFSET('IWP11'!Std10dot4Withdrawals, 10, 2, 1, 1)</f>
        <v>0</v>
      </c>
      <c r="D2283" s="151" t="str">
        <f ca="1">IF(OFFSET('IWP11'!Std10dot4Withdrawals, 10, 4, 1, 1) = 0, "", OFFSET('IWP11'!Std10dot4Withdrawals, 10, 4, 1, 1))</f>
        <v/>
      </c>
      <c r="E2283" s="207" t="str">
        <f ca="1">IF(OFFSET('IWP11'!Std10dot4Withdrawals, 10, 7, 1, 1) = 0, "", OFFSET('IWP11'!Std10dot4Withdrawals, 10, 7, 1, 1))</f>
        <v/>
      </c>
    </row>
    <row r="2284" spans="1:5">
      <c r="A2284" s="206" t="s">
        <v>1314</v>
      </c>
      <c r="B2284" s="157">
        <f ca="1">IF(OFFSET('IWP11'!Std10dot4Withdrawals, 11, 0, 1, 1) = DATE(1900,1,0),DATE(1900,1,1),OFFSET('IWP11'!Std10dot4Withdrawals, 11, 0, 1, 1))</f>
        <v>1</v>
      </c>
      <c r="C2284" s="155">
        <f ca="1">OFFSET('IWP11'!Std10dot4Withdrawals, 11, 2, 1, 1)</f>
        <v>0</v>
      </c>
      <c r="D2284" s="151" t="str">
        <f ca="1">IF(OFFSET('IWP11'!Std10dot4Withdrawals, 11, 4, 1, 1) = 0, "", OFFSET('IWP11'!Std10dot4Withdrawals, 11, 4, 1, 1))</f>
        <v/>
      </c>
      <c r="E2284" s="207" t="str">
        <f ca="1">IF(OFFSET('IWP11'!Std10dot4Withdrawals, 11, 7, 1, 1) = 0, "", OFFSET('IWP11'!Std10dot4Withdrawals, 11, 7, 1, 1))</f>
        <v/>
      </c>
    </row>
    <row r="2285" spans="1:5">
      <c r="A2285" s="206" t="s">
        <v>1314</v>
      </c>
      <c r="B2285" s="157">
        <f ca="1">IF(OFFSET('IWP11'!Std10dot4Withdrawals, 12, 0, 1, 1) = DATE(1900,1,0),DATE(1900,1,1),OFFSET('IWP11'!Std10dot4Withdrawals, 12, 0, 1, 1))</f>
        <v>1</v>
      </c>
      <c r="C2285" s="155">
        <f ca="1">OFFSET('IWP11'!Std10dot4Withdrawals, 12, 2, 1, 1)</f>
        <v>0</v>
      </c>
      <c r="D2285" s="151" t="str">
        <f ca="1">IF(OFFSET('IWP11'!Std10dot4Withdrawals, 12, 4, 1, 1) = 0, "", OFFSET('IWP11'!Std10dot4Withdrawals, 12, 4, 1, 1))</f>
        <v/>
      </c>
      <c r="E2285" s="207" t="str">
        <f ca="1">IF(OFFSET('IWP11'!Std10dot4Withdrawals, 12, 7, 1, 1) = 0, "", OFFSET('IWP11'!Std10dot4Withdrawals, 12, 7, 1, 1))</f>
        <v/>
      </c>
    </row>
    <row r="2286" spans="1:5">
      <c r="A2286" s="206" t="s">
        <v>1314</v>
      </c>
      <c r="B2286" s="157">
        <f ca="1">IF(OFFSET('IWP11'!Std10dot4Withdrawals, 13, 0, 1, 1) = DATE(1900,1,0),DATE(1900,1,1),OFFSET('IWP11'!Std10dot4Withdrawals, 13, 0, 1, 1))</f>
        <v>1</v>
      </c>
      <c r="C2286" s="155">
        <f ca="1">OFFSET('IWP11'!Std10dot4Withdrawals, 13, 2, 1, 1)</f>
        <v>0</v>
      </c>
      <c r="D2286" s="151" t="str">
        <f ca="1">IF(OFFSET('IWP11'!Std10dot4Withdrawals, 13, 4, 1, 1) = 0, "", OFFSET('IWP11'!Std10dot4Withdrawals, 13, 4, 1, 1))</f>
        <v/>
      </c>
      <c r="E2286" s="207" t="str">
        <f ca="1">IF(OFFSET('IWP11'!Std10dot4Withdrawals, 13, 7, 1, 1) = 0, "", OFFSET('IWP11'!Std10dot4Withdrawals, 13, 7, 1, 1))</f>
        <v/>
      </c>
    </row>
    <row r="2287" spans="1:5">
      <c r="A2287" s="206" t="s">
        <v>1314</v>
      </c>
      <c r="B2287" s="157">
        <f ca="1">IF(OFFSET('IWP11'!Std10dot4Withdrawals, 14, 0, 1, 1) = DATE(1900,1,0),DATE(1900,1,1),OFFSET('IWP11'!Std10dot4Withdrawals, 14, 0, 1, 1))</f>
        <v>1</v>
      </c>
      <c r="C2287" s="155">
        <f ca="1">OFFSET('IWP11'!Std10dot4Withdrawals, 14, 2, 1, 1)</f>
        <v>0</v>
      </c>
      <c r="D2287" s="151" t="str">
        <f ca="1">IF(OFFSET('IWP11'!Std10dot4Withdrawals, 14, 4, 1, 1) = 0, "", OFFSET('IWP11'!Std10dot4Withdrawals, 14, 4, 1, 1))</f>
        <v/>
      </c>
      <c r="E2287" s="207" t="str">
        <f ca="1">IF(OFFSET('IWP11'!Std10dot4Withdrawals, 14, 7, 1, 1) = 0, "", OFFSET('IWP11'!Std10dot4Withdrawals, 14, 7, 1, 1))</f>
        <v/>
      </c>
    </row>
    <row r="2288" spans="1:5">
      <c r="A2288" s="206" t="s">
        <v>1314</v>
      </c>
      <c r="B2288" s="157">
        <f ca="1">IF(OFFSET('IWP11'!Std10dot4Withdrawals, 15, 0, 1, 1) = DATE(1900,1,0),DATE(1900,1,1),OFFSET('IWP11'!Std10dot4Withdrawals, 15, 0, 1, 1))</f>
        <v>1</v>
      </c>
      <c r="C2288" s="155">
        <f ca="1">OFFSET('IWP11'!Std10dot4Withdrawals, 15, 2, 1, 1)</f>
        <v>0</v>
      </c>
      <c r="D2288" s="151" t="str">
        <f ca="1">IF(OFFSET('IWP11'!Std10dot4Withdrawals, 15, 4, 1, 1) = 0, "", OFFSET('IWP11'!Std10dot4Withdrawals, 15, 4, 1, 1))</f>
        <v/>
      </c>
      <c r="E2288" s="207" t="str">
        <f ca="1">IF(OFFSET('IWP11'!Std10dot4Withdrawals, 15, 7, 1, 1) = 0, "", OFFSET('IWP11'!Std10dot4Withdrawals, 15, 7, 1, 1))</f>
        <v/>
      </c>
    </row>
    <row r="2289" spans="1:5">
      <c r="A2289" s="206" t="s">
        <v>1314</v>
      </c>
      <c r="B2289" s="157">
        <f ca="1">IF(OFFSET('IWP11'!Std10dot4Withdrawals, 16, 0, 1, 1) = DATE(1900,1,0),DATE(1900,1,1),OFFSET('IWP11'!Std10dot4Withdrawals, 16, 0, 1, 1))</f>
        <v>1</v>
      </c>
      <c r="C2289" s="155">
        <f ca="1">OFFSET('IWP11'!Std10dot4Withdrawals, 16, 2, 1, 1)</f>
        <v>0</v>
      </c>
      <c r="D2289" s="151" t="str">
        <f ca="1">IF(OFFSET('IWP11'!Std10dot4Withdrawals, 16, 4, 1, 1) = 0, "", OFFSET('IWP11'!Std10dot4Withdrawals, 16, 4, 1, 1))</f>
        <v/>
      </c>
      <c r="E2289" s="207" t="str">
        <f ca="1">IF(OFFSET('IWP11'!Std10dot4Withdrawals, 16, 7, 1, 1) = 0, "", OFFSET('IWP11'!Std10dot4Withdrawals, 16, 7, 1, 1))</f>
        <v/>
      </c>
    </row>
    <row r="2290" spans="1:5">
      <c r="A2290" s="206" t="s">
        <v>1314</v>
      </c>
      <c r="B2290" s="157">
        <f ca="1">IF(OFFSET('IWP11'!Std10dot4Withdrawals, 17, 0, 1, 1) = DATE(1900,1,0),DATE(1900,1,1),OFFSET('IWP11'!Std10dot4Withdrawals, 17, 0, 1, 1))</f>
        <v>1</v>
      </c>
      <c r="C2290" s="155">
        <f ca="1">OFFSET('IWP11'!Std10dot4Withdrawals, 17, 2, 1, 1)</f>
        <v>0</v>
      </c>
      <c r="D2290" s="151" t="str">
        <f ca="1">IF(OFFSET('IWP11'!Std10dot4Withdrawals, 17, 4, 1, 1) = 0, "", OFFSET('IWP11'!Std10dot4Withdrawals, 17, 4, 1, 1))</f>
        <v/>
      </c>
      <c r="E2290" s="207" t="str">
        <f ca="1">IF(OFFSET('IWP11'!Std10dot4Withdrawals, 17, 7, 1, 1) = 0, "", OFFSET('IWP11'!Std10dot4Withdrawals, 17, 7, 1, 1))</f>
        <v/>
      </c>
    </row>
    <row r="2291" spans="1:5">
      <c r="A2291" s="206" t="s">
        <v>1314</v>
      </c>
      <c r="B2291" s="157">
        <f ca="1">IF(OFFSET('IWP11'!Std10dot4Withdrawals, 18, 0, 1, 1) = DATE(1900,1,0),DATE(1900,1,1),OFFSET('IWP11'!Std10dot4Withdrawals, 18, 0, 1, 1))</f>
        <v>1</v>
      </c>
      <c r="C2291" s="155">
        <f ca="1">OFFSET('IWP11'!Std10dot4Withdrawals, 18, 2, 1, 1)</f>
        <v>0</v>
      </c>
      <c r="D2291" s="151" t="str">
        <f ca="1">IF(OFFSET('IWP11'!Std10dot4Withdrawals, 18, 4, 1, 1) = 0, "", OFFSET('IWP11'!Std10dot4Withdrawals, 18, 4, 1, 1))</f>
        <v/>
      </c>
      <c r="E2291" s="207" t="str">
        <f ca="1">IF(OFFSET('IWP11'!Std10dot4Withdrawals, 18, 7, 1, 1) = 0, "", OFFSET('IWP11'!Std10dot4Withdrawals, 18, 7, 1, 1))</f>
        <v/>
      </c>
    </row>
    <row r="2292" spans="1:5">
      <c r="A2292" s="206" t="s">
        <v>1314</v>
      </c>
      <c r="B2292" s="157">
        <f ca="1">IF(OFFSET('IWP11'!Std10dot4Withdrawals, 19, 0, 1, 1) = DATE(1900,1,0),DATE(1900,1,1),OFFSET('IWP11'!Std10dot4Withdrawals, 19, 0, 1, 1))</f>
        <v>1</v>
      </c>
      <c r="C2292" s="155">
        <f ca="1">OFFSET('IWP11'!Std10dot4Withdrawals, 19, 2, 1, 1)</f>
        <v>0</v>
      </c>
      <c r="D2292" s="151" t="str">
        <f ca="1">IF(OFFSET('IWP11'!Std10dot4Withdrawals, 19, 4, 1, 1) = 0, "", OFFSET('IWP11'!Std10dot4Withdrawals, 19, 4, 1, 1))</f>
        <v/>
      </c>
      <c r="E2292" s="207" t="str">
        <f ca="1">IF(OFFSET('IWP11'!Std10dot4Withdrawals, 19, 7, 1, 1) = 0, "", OFFSET('IWP11'!Std10dot4Withdrawals, 19, 7, 1, 1))</f>
        <v/>
      </c>
    </row>
    <row r="2293" spans="1:5">
      <c r="A2293" s="206" t="s">
        <v>1315</v>
      </c>
      <c r="B2293" s="157">
        <f ca="1">IF(OFFSET('IWP12'!Std10dot4Withdrawals, 0, 0, 1, 1) = DATE(1900,1,0),DATE(1900,1,1),OFFSET('IWP12'!Std10dot4Withdrawals, 0, 0, 1, 1))</f>
        <v>1</v>
      </c>
      <c r="C2293" s="155">
        <f ca="1">OFFSET('IWP12'!Std10dot4Withdrawals, 0, 2, 1, 1)</f>
        <v>0</v>
      </c>
      <c r="D2293" s="151" t="str">
        <f ca="1">IF(OFFSET('IWP12'!Std10dot4Withdrawals, 0, 4, 1, 1) = 0, "", OFFSET('IWP12'!Std10dot4Withdrawals, 0, 4, 1, 1))</f>
        <v/>
      </c>
      <c r="E2293" s="207" t="str">
        <f ca="1">IF(OFFSET('IWP12'!Std10dot4Withdrawals, 0, 7, 1, 1) = 0, "", OFFSET('IWP12'!Std10dot4Withdrawals, 0, 7, 1, 1))</f>
        <v/>
      </c>
    </row>
    <row r="2294" spans="1:5">
      <c r="A2294" s="206" t="s">
        <v>1315</v>
      </c>
      <c r="B2294" s="157">
        <f ca="1">IF(OFFSET('IWP12'!Std10dot4Withdrawals, 1, 0, 1, 1) = DATE(1900,1,0),DATE(1900,1,1),OFFSET('IWP12'!Std10dot4Withdrawals, 1, 0, 1, 1))</f>
        <v>1</v>
      </c>
      <c r="C2294" s="155">
        <f ca="1">OFFSET('IWP12'!Std10dot4Withdrawals, 1, 2, 1, 1)</f>
        <v>0</v>
      </c>
      <c r="D2294" s="151" t="str">
        <f ca="1">IF(OFFSET('IWP12'!Std10dot4Withdrawals, 1, 4, 1, 1) = 0, "", OFFSET('IWP12'!Std10dot4Withdrawals, 1, 4, 1, 1))</f>
        <v/>
      </c>
      <c r="E2294" s="207" t="str">
        <f ca="1">IF(OFFSET('IWP12'!Std10dot4Withdrawals, 1, 7, 1, 1) = 0, "", OFFSET('IWP12'!Std10dot4Withdrawals, 1, 7, 1, 1))</f>
        <v/>
      </c>
    </row>
    <row r="2295" spans="1:5">
      <c r="A2295" s="206" t="s">
        <v>1315</v>
      </c>
      <c r="B2295" s="157">
        <f ca="1">IF(OFFSET('IWP12'!Std10dot4Withdrawals, 2, 0, 1, 1) = DATE(1900,1,0),DATE(1900,1,1),OFFSET('IWP12'!Std10dot4Withdrawals, 2, 0, 1, 1))</f>
        <v>1</v>
      </c>
      <c r="C2295" s="155">
        <f ca="1">OFFSET('IWP12'!Std10dot4Withdrawals, 2, 2, 1, 1)</f>
        <v>0</v>
      </c>
      <c r="D2295" s="151" t="str">
        <f ca="1">IF(OFFSET('IWP12'!Std10dot4Withdrawals, 2, 4, 1, 1) = 0, "", OFFSET('IWP12'!Std10dot4Withdrawals, 2, 4, 1, 1))</f>
        <v/>
      </c>
      <c r="E2295" s="207" t="str">
        <f ca="1">IF(OFFSET('IWP12'!Std10dot4Withdrawals, 2, 7, 1, 1) = 0, "", OFFSET('IWP12'!Std10dot4Withdrawals, 2, 7, 1, 1))</f>
        <v/>
      </c>
    </row>
    <row r="2296" spans="1:5">
      <c r="A2296" s="206" t="s">
        <v>1315</v>
      </c>
      <c r="B2296" s="157">
        <f ca="1">IF(OFFSET('IWP12'!Std10dot4Withdrawals, 3, 0, 1, 1) = DATE(1900,1,0),DATE(1900,1,1),OFFSET('IWP12'!Std10dot4Withdrawals, 3, 0, 1, 1))</f>
        <v>1</v>
      </c>
      <c r="C2296" s="155">
        <f ca="1">OFFSET('IWP12'!Std10dot4Withdrawals, 3, 2, 1, 1)</f>
        <v>0</v>
      </c>
      <c r="D2296" s="151" t="str">
        <f ca="1">IF(OFFSET('IWP12'!Std10dot4Withdrawals, 3, 4, 1, 1) = 0, "", OFFSET('IWP12'!Std10dot4Withdrawals, 3, 4, 1, 1))</f>
        <v/>
      </c>
      <c r="E2296" s="207" t="str">
        <f ca="1">IF(OFFSET('IWP12'!Std10dot4Withdrawals, 3, 7, 1, 1) = 0, "", OFFSET('IWP12'!Std10dot4Withdrawals, 3, 7, 1, 1))</f>
        <v/>
      </c>
    </row>
    <row r="2297" spans="1:5">
      <c r="A2297" s="206" t="s">
        <v>1315</v>
      </c>
      <c r="B2297" s="157">
        <f ca="1">IF(OFFSET('IWP12'!Std10dot4Withdrawals, 4, 0, 1, 1) = DATE(1900,1,0),DATE(1900,1,1),OFFSET('IWP12'!Std10dot4Withdrawals, 4, 0, 1, 1))</f>
        <v>1</v>
      </c>
      <c r="C2297" s="155">
        <f ca="1">OFFSET('IWP12'!Std10dot4Withdrawals, 4, 2, 1, 1)</f>
        <v>0</v>
      </c>
      <c r="D2297" s="151" t="str">
        <f ca="1">IF(OFFSET('IWP12'!Std10dot4Withdrawals, 4, 4, 1, 1) = 0, "", OFFSET('IWP12'!Std10dot4Withdrawals, 4, 4, 1, 1))</f>
        <v/>
      </c>
      <c r="E2297" s="207" t="str">
        <f ca="1">IF(OFFSET('IWP12'!Std10dot4Withdrawals, 4, 7, 1, 1) = 0, "", OFFSET('IWP12'!Std10dot4Withdrawals, 4, 7, 1, 1))</f>
        <v/>
      </c>
    </row>
    <row r="2298" spans="1:5">
      <c r="A2298" s="206" t="s">
        <v>1315</v>
      </c>
      <c r="B2298" s="157">
        <f ca="1">IF(OFFSET('IWP12'!Std10dot4Withdrawals, 5, 0, 1, 1) = DATE(1900,1,0),DATE(1900,1,1),OFFSET('IWP12'!Std10dot4Withdrawals, 5, 0, 1, 1))</f>
        <v>1</v>
      </c>
      <c r="C2298" s="155">
        <f ca="1">OFFSET('IWP12'!Std10dot4Withdrawals, 5, 2, 1, 1)</f>
        <v>0</v>
      </c>
      <c r="D2298" s="151" t="str">
        <f ca="1">IF(OFFSET('IWP12'!Std10dot4Withdrawals, 5, 4, 1, 1) = 0, "", OFFSET('IWP12'!Std10dot4Withdrawals, 5, 4, 1, 1))</f>
        <v/>
      </c>
      <c r="E2298" s="207" t="str">
        <f ca="1">IF(OFFSET('IWP12'!Std10dot4Withdrawals, 5, 7, 1, 1) = 0, "", OFFSET('IWP12'!Std10dot4Withdrawals, 5, 7, 1, 1))</f>
        <v/>
      </c>
    </row>
    <row r="2299" spans="1:5">
      <c r="A2299" s="206" t="s">
        <v>1315</v>
      </c>
      <c r="B2299" s="157">
        <f ca="1">IF(OFFSET('IWP12'!Std10dot4Withdrawals, 6, 0, 1, 1) = DATE(1900,1,0),DATE(1900,1,1),OFFSET('IWP12'!Std10dot4Withdrawals, 6, 0, 1, 1))</f>
        <v>1</v>
      </c>
      <c r="C2299" s="155">
        <f ca="1">OFFSET('IWP12'!Std10dot4Withdrawals, 6, 2, 1, 1)</f>
        <v>0</v>
      </c>
      <c r="D2299" s="151" t="str">
        <f ca="1">IF(OFFSET('IWP12'!Std10dot4Withdrawals, 6, 4, 1, 1) = 0, "", OFFSET('IWP12'!Std10dot4Withdrawals, 6, 4, 1, 1))</f>
        <v/>
      </c>
      <c r="E2299" s="207" t="str">
        <f ca="1">IF(OFFSET('IWP12'!Std10dot4Withdrawals, 6, 7, 1, 1) = 0, "", OFFSET('IWP12'!Std10dot4Withdrawals, 6, 7, 1, 1))</f>
        <v/>
      </c>
    </row>
    <row r="2300" spans="1:5">
      <c r="A2300" s="206" t="s">
        <v>1315</v>
      </c>
      <c r="B2300" s="157">
        <f ca="1">IF(OFFSET('IWP12'!Std10dot4Withdrawals, 7, 0, 1, 1) = DATE(1900,1,0),DATE(1900,1,1),OFFSET('IWP12'!Std10dot4Withdrawals, 7, 0, 1, 1))</f>
        <v>1</v>
      </c>
      <c r="C2300" s="155">
        <f ca="1">OFFSET('IWP12'!Std10dot4Withdrawals, 7, 2, 1, 1)</f>
        <v>0</v>
      </c>
      <c r="D2300" s="151" t="str">
        <f ca="1">IF(OFFSET('IWP12'!Std10dot4Withdrawals, 7, 4, 1, 1) = 0, "", OFFSET('IWP12'!Std10dot4Withdrawals, 7, 4, 1, 1))</f>
        <v/>
      </c>
      <c r="E2300" s="207" t="str">
        <f ca="1">IF(OFFSET('IWP12'!Std10dot4Withdrawals, 7, 7, 1, 1) = 0, "", OFFSET('IWP12'!Std10dot4Withdrawals, 7, 7, 1, 1))</f>
        <v/>
      </c>
    </row>
    <row r="2301" spans="1:5">
      <c r="A2301" s="206" t="s">
        <v>1315</v>
      </c>
      <c r="B2301" s="157">
        <f ca="1">IF(OFFSET('IWP12'!Std10dot4Withdrawals, 8, 0, 1, 1) = DATE(1900,1,0),DATE(1900,1,1),OFFSET('IWP12'!Std10dot4Withdrawals, 8, 0, 1, 1))</f>
        <v>1</v>
      </c>
      <c r="C2301" s="155">
        <f ca="1">OFFSET('IWP12'!Std10dot4Withdrawals, 8, 2, 1, 1)</f>
        <v>0</v>
      </c>
      <c r="D2301" s="151" t="str">
        <f ca="1">IF(OFFSET('IWP12'!Std10dot4Withdrawals, 8, 4, 1, 1) = 0, "", OFFSET('IWP12'!Std10dot4Withdrawals, 8, 4, 1, 1))</f>
        <v/>
      </c>
      <c r="E2301" s="207" t="str">
        <f ca="1">IF(OFFSET('IWP12'!Std10dot4Withdrawals, 8, 7, 1, 1) = 0, "", OFFSET('IWP12'!Std10dot4Withdrawals, 8, 7, 1, 1))</f>
        <v/>
      </c>
    </row>
    <row r="2302" spans="1:5">
      <c r="A2302" s="206" t="s">
        <v>1315</v>
      </c>
      <c r="B2302" s="157">
        <f ca="1">IF(OFFSET('IWP12'!Std10dot4Withdrawals, 9, 0, 1, 1) = DATE(1900,1,0),DATE(1900,1,1),OFFSET('IWP12'!Std10dot4Withdrawals, 9, 0, 1, 1))</f>
        <v>1</v>
      </c>
      <c r="C2302" s="155">
        <f ca="1">OFFSET('IWP12'!Std10dot4Withdrawals, 9, 2, 1, 1)</f>
        <v>0</v>
      </c>
      <c r="D2302" s="151" t="str">
        <f ca="1">IF(OFFSET('IWP12'!Std10dot4Withdrawals, 9, 4, 1, 1) = 0, "", OFFSET('IWP12'!Std10dot4Withdrawals, 9, 4, 1, 1))</f>
        <v/>
      </c>
      <c r="E2302" s="207" t="str">
        <f ca="1">IF(OFFSET('IWP12'!Std10dot4Withdrawals, 9, 7, 1, 1) = 0, "", OFFSET('IWP12'!Std10dot4Withdrawals, 9, 7, 1, 1))</f>
        <v/>
      </c>
    </row>
    <row r="2303" spans="1:5">
      <c r="A2303" s="206" t="s">
        <v>1315</v>
      </c>
      <c r="B2303" s="157">
        <f ca="1">IF(OFFSET('IWP12'!Std10dot4Withdrawals, 10, 0, 1, 1) = DATE(1900,1,0),DATE(1900,1,1),OFFSET('IWP12'!Std10dot4Withdrawals, 10, 0, 1, 1))</f>
        <v>1</v>
      </c>
      <c r="C2303" s="155">
        <f ca="1">OFFSET('IWP12'!Std10dot4Withdrawals, 10, 2, 1, 1)</f>
        <v>0</v>
      </c>
      <c r="D2303" s="151" t="str">
        <f ca="1">IF(OFFSET('IWP12'!Std10dot4Withdrawals, 10, 4, 1, 1) = 0, "", OFFSET('IWP12'!Std10dot4Withdrawals, 10, 4, 1, 1))</f>
        <v/>
      </c>
      <c r="E2303" s="207" t="str">
        <f ca="1">IF(OFFSET('IWP12'!Std10dot4Withdrawals, 10, 7, 1, 1) = 0, "", OFFSET('IWP12'!Std10dot4Withdrawals, 10, 7, 1, 1))</f>
        <v/>
      </c>
    </row>
    <row r="2304" spans="1:5">
      <c r="A2304" s="206" t="s">
        <v>1315</v>
      </c>
      <c r="B2304" s="157">
        <f ca="1">IF(OFFSET('IWP12'!Std10dot4Withdrawals, 11, 0, 1, 1) = DATE(1900,1,0),DATE(1900,1,1),OFFSET('IWP12'!Std10dot4Withdrawals, 11, 0, 1, 1))</f>
        <v>1</v>
      </c>
      <c r="C2304" s="155">
        <f ca="1">OFFSET('IWP12'!Std10dot4Withdrawals, 11, 2, 1, 1)</f>
        <v>0</v>
      </c>
      <c r="D2304" s="151" t="str">
        <f ca="1">IF(OFFSET('IWP12'!Std10dot4Withdrawals, 11, 4, 1, 1) = 0, "", OFFSET('IWP12'!Std10dot4Withdrawals, 11, 4, 1, 1))</f>
        <v/>
      </c>
      <c r="E2304" s="207" t="str">
        <f ca="1">IF(OFFSET('IWP12'!Std10dot4Withdrawals, 11, 7, 1, 1) = 0, "", OFFSET('IWP12'!Std10dot4Withdrawals, 11, 7, 1, 1))</f>
        <v/>
      </c>
    </row>
    <row r="2305" spans="1:5">
      <c r="A2305" s="206" t="s">
        <v>1315</v>
      </c>
      <c r="B2305" s="157">
        <f ca="1">IF(OFFSET('IWP12'!Std10dot4Withdrawals, 12, 0, 1, 1) = DATE(1900,1,0),DATE(1900,1,1),OFFSET('IWP12'!Std10dot4Withdrawals, 12, 0, 1, 1))</f>
        <v>1</v>
      </c>
      <c r="C2305" s="155">
        <f ca="1">OFFSET('IWP12'!Std10dot4Withdrawals, 12, 2, 1, 1)</f>
        <v>0</v>
      </c>
      <c r="D2305" s="151" t="str">
        <f ca="1">IF(OFFSET('IWP12'!Std10dot4Withdrawals, 12, 4, 1, 1) = 0, "", OFFSET('IWP12'!Std10dot4Withdrawals, 12, 4, 1, 1))</f>
        <v/>
      </c>
      <c r="E2305" s="207" t="str">
        <f ca="1">IF(OFFSET('IWP12'!Std10dot4Withdrawals, 12, 7, 1, 1) = 0, "", OFFSET('IWP12'!Std10dot4Withdrawals, 12, 7, 1, 1))</f>
        <v/>
      </c>
    </row>
    <row r="2306" spans="1:5">
      <c r="A2306" s="206" t="s">
        <v>1315</v>
      </c>
      <c r="B2306" s="157">
        <f ca="1">IF(OFFSET('IWP12'!Std10dot4Withdrawals, 13, 0, 1, 1) = DATE(1900,1,0),DATE(1900,1,1),OFFSET('IWP12'!Std10dot4Withdrawals, 13, 0, 1, 1))</f>
        <v>1</v>
      </c>
      <c r="C2306" s="155">
        <f ca="1">OFFSET('IWP12'!Std10dot4Withdrawals, 13, 2, 1, 1)</f>
        <v>0</v>
      </c>
      <c r="D2306" s="151" t="str">
        <f ca="1">IF(OFFSET('IWP12'!Std10dot4Withdrawals, 13, 4, 1, 1) = 0, "", OFFSET('IWP12'!Std10dot4Withdrawals, 13, 4, 1, 1))</f>
        <v/>
      </c>
      <c r="E2306" s="207" t="str">
        <f ca="1">IF(OFFSET('IWP12'!Std10dot4Withdrawals, 13, 7, 1, 1) = 0, "", OFFSET('IWP12'!Std10dot4Withdrawals, 13, 7, 1, 1))</f>
        <v/>
      </c>
    </row>
    <row r="2307" spans="1:5">
      <c r="A2307" s="206" t="s">
        <v>1315</v>
      </c>
      <c r="B2307" s="157">
        <f ca="1">IF(OFFSET('IWP12'!Std10dot4Withdrawals, 14, 0, 1, 1) = DATE(1900,1,0),DATE(1900,1,1),OFFSET('IWP12'!Std10dot4Withdrawals, 14, 0, 1, 1))</f>
        <v>1</v>
      </c>
      <c r="C2307" s="155">
        <f ca="1">OFFSET('IWP12'!Std10dot4Withdrawals, 14, 2, 1, 1)</f>
        <v>0</v>
      </c>
      <c r="D2307" s="151" t="str">
        <f ca="1">IF(OFFSET('IWP12'!Std10dot4Withdrawals, 14, 4, 1, 1) = 0, "", OFFSET('IWP12'!Std10dot4Withdrawals, 14, 4, 1, 1))</f>
        <v/>
      </c>
      <c r="E2307" s="207" t="str">
        <f ca="1">IF(OFFSET('IWP12'!Std10dot4Withdrawals, 14, 7, 1, 1) = 0, "", OFFSET('IWP12'!Std10dot4Withdrawals, 14, 7, 1, 1))</f>
        <v/>
      </c>
    </row>
    <row r="2308" spans="1:5">
      <c r="A2308" s="206" t="s">
        <v>1315</v>
      </c>
      <c r="B2308" s="157">
        <f ca="1">IF(OFFSET('IWP12'!Std10dot4Withdrawals, 15, 0, 1, 1) = DATE(1900,1,0),DATE(1900,1,1),OFFSET('IWP12'!Std10dot4Withdrawals, 15, 0, 1, 1))</f>
        <v>1</v>
      </c>
      <c r="C2308" s="155">
        <f ca="1">OFFSET('IWP12'!Std10dot4Withdrawals, 15, 2, 1, 1)</f>
        <v>0</v>
      </c>
      <c r="D2308" s="151" t="str">
        <f ca="1">IF(OFFSET('IWP12'!Std10dot4Withdrawals, 15, 4, 1, 1) = 0, "", OFFSET('IWP12'!Std10dot4Withdrawals, 15, 4, 1, 1))</f>
        <v/>
      </c>
      <c r="E2308" s="207" t="str">
        <f ca="1">IF(OFFSET('IWP12'!Std10dot4Withdrawals, 15, 7, 1, 1) = 0, "", OFFSET('IWP12'!Std10dot4Withdrawals, 15, 7, 1, 1))</f>
        <v/>
      </c>
    </row>
    <row r="2309" spans="1:5">
      <c r="A2309" s="206" t="s">
        <v>1315</v>
      </c>
      <c r="B2309" s="157">
        <f ca="1">IF(OFFSET('IWP12'!Std10dot4Withdrawals, 16, 0, 1, 1) = DATE(1900,1,0),DATE(1900,1,1),OFFSET('IWP12'!Std10dot4Withdrawals, 16, 0, 1, 1))</f>
        <v>1</v>
      </c>
      <c r="C2309" s="155">
        <f ca="1">OFFSET('IWP12'!Std10dot4Withdrawals, 16, 2, 1, 1)</f>
        <v>0</v>
      </c>
      <c r="D2309" s="151" t="str">
        <f ca="1">IF(OFFSET('IWP12'!Std10dot4Withdrawals, 16, 4, 1, 1) = 0, "", OFFSET('IWP12'!Std10dot4Withdrawals, 16, 4, 1, 1))</f>
        <v/>
      </c>
      <c r="E2309" s="207" t="str">
        <f ca="1">IF(OFFSET('IWP12'!Std10dot4Withdrawals, 16, 7, 1, 1) = 0, "", OFFSET('IWP12'!Std10dot4Withdrawals, 16, 7, 1, 1))</f>
        <v/>
      </c>
    </row>
    <row r="2310" spans="1:5">
      <c r="A2310" s="206" t="s">
        <v>1315</v>
      </c>
      <c r="B2310" s="157">
        <f ca="1">IF(OFFSET('IWP12'!Std10dot4Withdrawals, 17, 0, 1, 1) = DATE(1900,1,0),DATE(1900,1,1),OFFSET('IWP12'!Std10dot4Withdrawals, 17, 0, 1, 1))</f>
        <v>1</v>
      </c>
      <c r="C2310" s="155">
        <f ca="1">OFFSET('IWP12'!Std10dot4Withdrawals, 17, 2, 1, 1)</f>
        <v>0</v>
      </c>
      <c r="D2310" s="151" t="str">
        <f ca="1">IF(OFFSET('IWP12'!Std10dot4Withdrawals, 17, 4, 1, 1) = 0, "", OFFSET('IWP12'!Std10dot4Withdrawals, 17, 4, 1, 1))</f>
        <v/>
      </c>
      <c r="E2310" s="207" t="str">
        <f ca="1">IF(OFFSET('IWP12'!Std10dot4Withdrawals, 17, 7, 1, 1) = 0, "", OFFSET('IWP12'!Std10dot4Withdrawals, 17, 7, 1, 1))</f>
        <v/>
      </c>
    </row>
    <row r="2311" spans="1:5">
      <c r="A2311" s="206" t="s">
        <v>1315</v>
      </c>
      <c r="B2311" s="157">
        <f ca="1">IF(OFFSET('IWP12'!Std10dot4Withdrawals, 18, 0, 1, 1) = DATE(1900,1,0),DATE(1900,1,1),OFFSET('IWP12'!Std10dot4Withdrawals, 18, 0, 1, 1))</f>
        <v>1</v>
      </c>
      <c r="C2311" s="155">
        <f ca="1">OFFSET('IWP12'!Std10dot4Withdrawals, 18, 2, 1, 1)</f>
        <v>0</v>
      </c>
      <c r="D2311" s="151" t="str">
        <f ca="1">IF(OFFSET('IWP12'!Std10dot4Withdrawals, 18, 4, 1, 1) = 0, "", OFFSET('IWP12'!Std10dot4Withdrawals, 18, 4, 1, 1))</f>
        <v/>
      </c>
      <c r="E2311" s="207" t="str">
        <f ca="1">IF(OFFSET('IWP12'!Std10dot4Withdrawals, 18, 7, 1, 1) = 0, "", OFFSET('IWP12'!Std10dot4Withdrawals, 18, 7, 1, 1))</f>
        <v/>
      </c>
    </row>
    <row r="2312" spans="1:5">
      <c r="A2312" s="206" t="s">
        <v>1315</v>
      </c>
      <c r="B2312" s="157">
        <f ca="1">IF(OFFSET('IWP12'!Std10dot4Withdrawals, 19, 0, 1, 1) = DATE(1900,1,0),DATE(1900,1,1),OFFSET('IWP12'!Std10dot4Withdrawals, 19, 0, 1, 1))</f>
        <v>1</v>
      </c>
      <c r="C2312" s="155">
        <f ca="1">OFFSET('IWP12'!Std10dot4Withdrawals, 19, 2, 1, 1)</f>
        <v>0</v>
      </c>
      <c r="D2312" s="151" t="str">
        <f ca="1">IF(OFFSET('IWP12'!Std10dot4Withdrawals, 19, 4, 1, 1) = 0, "", OFFSET('IWP12'!Std10dot4Withdrawals, 19, 4, 1, 1))</f>
        <v/>
      </c>
      <c r="E2312" s="207" t="str">
        <f ca="1">IF(OFFSET('IWP12'!Std10dot4Withdrawals, 19, 7, 1, 1) = 0, "", OFFSET('IWP12'!Std10dot4Withdrawals, 19, 7, 1, 1))</f>
        <v/>
      </c>
    </row>
    <row r="2313" spans="1:5">
      <c r="A2313" s="206" t="s">
        <v>1316</v>
      </c>
      <c r="B2313" s="157">
        <f ca="1">IF(OFFSET('IWP13'!Std10dot4Withdrawals, 0, 0, 1, 1) = DATE(1900,1,0),DATE(1900,1,1),OFFSET('IWP13'!Std10dot4Withdrawals, 0, 0, 1, 1))</f>
        <v>1</v>
      </c>
      <c r="C2313" s="155">
        <f ca="1">OFFSET('IWP13'!Std10dot4Withdrawals, 0, 2, 1, 1)</f>
        <v>0</v>
      </c>
      <c r="D2313" s="151" t="str">
        <f ca="1">IF(OFFSET('IWP13'!Std10dot4Withdrawals, 0, 4, 1, 1) = 0, "", OFFSET('IWP13'!Std10dot4Withdrawals, 0, 4, 1, 1))</f>
        <v/>
      </c>
      <c r="E2313" s="207" t="str">
        <f ca="1">IF(OFFSET('IWP13'!Std10dot4Withdrawals, 0, 7, 1, 1) = 0, "", OFFSET('IWP13'!Std10dot4Withdrawals, 0, 7, 1, 1))</f>
        <v/>
      </c>
    </row>
    <row r="2314" spans="1:5">
      <c r="A2314" s="206" t="s">
        <v>1316</v>
      </c>
      <c r="B2314" s="157">
        <f ca="1">IF(OFFSET('IWP13'!Std10dot4Withdrawals, 1, 0, 1, 1) = DATE(1900,1,0),DATE(1900,1,1),OFFSET('IWP13'!Std10dot4Withdrawals, 1, 0, 1, 1))</f>
        <v>1</v>
      </c>
      <c r="C2314" s="155">
        <f ca="1">OFFSET('IWP13'!Std10dot4Withdrawals, 1, 2, 1, 1)</f>
        <v>0</v>
      </c>
      <c r="D2314" s="151" t="str">
        <f ca="1">IF(OFFSET('IWP13'!Std10dot4Withdrawals, 1, 4, 1, 1) = 0, "", OFFSET('IWP13'!Std10dot4Withdrawals, 1, 4, 1, 1))</f>
        <v/>
      </c>
      <c r="E2314" s="207" t="str">
        <f ca="1">IF(OFFSET('IWP13'!Std10dot4Withdrawals, 1, 7, 1, 1) = 0, "", OFFSET('IWP13'!Std10dot4Withdrawals, 1, 7, 1, 1))</f>
        <v/>
      </c>
    </row>
    <row r="2315" spans="1:5">
      <c r="A2315" s="206" t="s">
        <v>1316</v>
      </c>
      <c r="B2315" s="157">
        <f ca="1">IF(OFFSET('IWP13'!Std10dot4Withdrawals, 2, 0, 1, 1) = DATE(1900,1,0),DATE(1900,1,1),OFFSET('IWP13'!Std10dot4Withdrawals, 2, 0, 1, 1))</f>
        <v>1</v>
      </c>
      <c r="C2315" s="155">
        <f ca="1">OFFSET('IWP13'!Std10dot4Withdrawals, 2, 2, 1, 1)</f>
        <v>0</v>
      </c>
      <c r="D2315" s="151" t="str">
        <f ca="1">IF(OFFSET('IWP13'!Std10dot4Withdrawals, 2, 4, 1, 1) = 0, "", OFFSET('IWP13'!Std10dot4Withdrawals, 2, 4, 1, 1))</f>
        <v/>
      </c>
      <c r="E2315" s="207" t="str">
        <f ca="1">IF(OFFSET('IWP13'!Std10dot4Withdrawals, 2, 7, 1, 1) = 0, "", OFFSET('IWP13'!Std10dot4Withdrawals, 2, 7, 1, 1))</f>
        <v/>
      </c>
    </row>
    <row r="2316" spans="1:5">
      <c r="A2316" s="206" t="s">
        <v>1316</v>
      </c>
      <c r="B2316" s="157">
        <f ca="1">IF(OFFSET('IWP13'!Std10dot4Withdrawals, 3, 0, 1, 1) = DATE(1900,1,0),DATE(1900,1,1),OFFSET('IWP13'!Std10dot4Withdrawals, 3, 0, 1, 1))</f>
        <v>1</v>
      </c>
      <c r="C2316" s="155">
        <f ca="1">OFFSET('IWP13'!Std10dot4Withdrawals, 3, 2, 1, 1)</f>
        <v>0</v>
      </c>
      <c r="D2316" s="151" t="str">
        <f ca="1">IF(OFFSET('IWP13'!Std10dot4Withdrawals, 3, 4, 1, 1) = 0, "", OFFSET('IWP13'!Std10dot4Withdrawals, 3, 4, 1, 1))</f>
        <v/>
      </c>
      <c r="E2316" s="207" t="str">
        <f ca="1">IF(OFFSET('IWP13'!Std10dot4Withdrawals, 3, 7, 1, 1) = 0, "", OFFSET('IWP13'!Std10dot4Withdrawals, 3, 7, 1, 1))</f>
        <v/>
      </c>
    </row>
    <row r="2317" spans="1:5">
      <c r="A2317" s="206" t="s">
        <v>1316</v>
      </c>
      <c r="B2317" s="157">
        <f ca="1">IF(OFFSET('IWP13'!Std10dot4Withdrawals, 4, 0, 1, 1) = DATE(1900,1,0),DATE(1900,1,1),OFFSET('IWP13'!Std10dot4Withdrawals, 4, 0, 1, 1))</f>
        <v>1</v>
      </c>
      <c r="C2317" s="155">
        <f ca="1">OFFSET('IWP13'!Std10dot4Withdrawals, 4, 2, 1, 1)</f>
        <v>0</v>
      </c>
      <c r="D2317" s="151" t="str">
        <f ca="1">IF(OFFSET('IWP13'!Std10dot4Withdrawals, 4, 4, 1, 1) = 0, "", OFFSET('IWP13'!Std10dot4Withdrawals, 4, 4, 1, 1))</f>
        <v/>
      </c>
      <c r="E2317" s="207" t="str">
        <f ca="1">IF(OFFSET('IWP13'!Std10dot4Withdrawals, 4, 7, 1, 1) = 0, "", OFFSET('IWP13'!Std10dot4Withdrawals, 4, 7, 1, 1))</f>
        <v/>
      </c>
    </row>
    <row r="2318" spans="1:5">
      <c r="A2318" s="206" t="s">
        <v>1316</v>
      </c>
      <c r="B2318" s="157">
        <f ca="1">IF(OFFSET('IWP13'!Std10dot4Withdrawals, 5, 0, 1, 1) = DATE(1900,1,0),DATE(1900,1,1),OFFSET('IWP13'!Std10dot4Withdrawals, 5, 0, 1, 1))</f>
        <v>1</v>
      </c>
      <c r="C2318" s="155">
        <f ca="1">OFFSET('IWP13'!Std10dot4Withdrawals, 5, 2, 1, 1)</f>
        <v>0</v>
      </c>
      <c r="D2318" s="151" t="str">
        <f ca="1">IF(OFFSET('IWP13'!Std10dot4Withdrawals, 5, 4, 1, 1) = 0, "", OFFSET('IWP13'!Std10dot4Withdrawals, 5, 4, 1, 1))</f>
        <v/>
      </c>
      <c r="E2318" s="207" t="str">
        <f ca="1">IF(OFFSET('IWP13'!Std10dot4Withdrawals, 5, 7, 1, 1) = 0, "", OFFSET('IWP13'!Std10dot4Withdrawals, 5, 7, 1, 1))</f>
        <v/>
      </c>
    </row>
    <row r="2319" spans="1:5">
      <c r="A2319" s="206" t="s">
        <v>1316</v>
      </c>
      <c r="B2319" s="157">
        <f ca="1">IF(OFFSET('IWP13'!Std10dot4Withdrawals, 6, 0, 1, 1) = DATE(1900,1,0),DATE(1900,1,1),OFFSET('IWP13'!Std10dot4Withdrawals, 6, 0, 1, 1))</f>
        <v>1</v>
      </c>
      <c r="C2319" s="155">
        <f ca="1">OFFSET('IWP13'!Std10dot4Withdrawals, 6, 2, 1, 1)</f>
        <v>0</v>
      </c>
      <c r="D2319" s="151" t="str">
        <f ca="1">IF(OFFSET('IWP13'!Std10dot4Withdrawals, 6, 4, 1, 1) = 0, "", OFFSET('IWP13'!Std10dot4Withdrawals, 6, 4, 1, 1))</f>
        <v/>
      </c>
      <c r="E2319" s="207" t="str">
        <f ca="1">IF(OFFSET('IWP13'!Std10dot4Withdrawals, 6, 7, 1, 1) = 0, "", OFFSET('IWP13'!Std10dot4Withdrawals, 6, 7, 1, 1))</f>
        <v/>
      </c>
    </row>
    <row r="2320" spans="1:5">
      <c r="A2320" s="206" t="s">
        <v>1316</v>
      </c>
      <c r="B2320" s="157">
        <f ca="1">IF(OFFSET('IWP13'!Std10dot4Withdrawals, 7, 0, 1, 1) = DATE(1900,1,0),DATE(1900,1,1),OFFSET('IWP13'!Std10dot4Withdrawals, 7, 0, 1, 1))</f>
        <v>1</v>
      </c>
      <c r="C2320" s="155">
        <f ca="1">OFFSET('IWP13'!Std10dot4Withdrawals, 7, 2, 1, 1)</f>
        <v>0</v>
      </c>
      <c r="D2320" s="151" t="str">
        <f ca="1">IF(OFFSET('IWP13'!Std10dot4Withdrawals, 7, 4, 1, 1) = 0, "", OFFSET('IWP13'!Std10dot4Withdrawals, 7, 4, 1, 1))</f>
        <v/>
      </c>
      <c r="E2320" s="207" t="str">
        <f ca="1">IF(OFFSET('IWP13'!Std10dot4Withdrawals, 7, 7, 1, 1) = 0, "", OFFSET('IWP13'!Std10dot4Withdrawals, 7, 7, 1, 1))</f>
        <v/>
      </c>
    </row>
    <row r="2321" spans="1:5">
      <c r="A2321" s="206" t="s">
        <v>1316</v>
      </c>
      <c r="B2321" s="157">
        <f ca="1">IF(OFFSET('IWP13'!Std10dot4Withdrawals, 8, 0, 1, 1) = DATE(1900,1,0),DATE(1900,1,1),OFFSET('IWP13'!Std10dot4Withdrawals, 8, 0, 1, 1))</f>
        <v>1</v>
      </c>
      <c r="C2321" s="155">
        <f ca="1">OFFSET('IWP13'!Std10dot4Withdrawals, 8, 2, 1, 1)</f>
        <v>0</v>
      </c>
      <c r="D2321" s="151" t="str">
        <f ca="1">IF(OFFSET('IWP13'!Std10dot4Withdrawals, 8, 4, 1, 1) = 0, "", OFFSET('IWP13'!Std10dot4Withdrawals, 8, 4, 1, 1))</f>
        <v/>
      </c>
      <c r="E2321" s="207" t="str">
        <f ca="1">IF(OFFSET('IWP13'!Std10dot4Withdrawals, 8, 7, 1, 1) = 0, "", OFFSET('IWP13'!Std10dot4Withdrawals, 8, 7, 1, 1))</f>
        <v/>
      </c>
    </row>
    <row r="2322" spans="1:5">
      <c r="A2322" s="206" t="s">
        <v>1316</v>
      </c>
      <c r="B2322" s="157">
        <f ca="1">IF(OFFSET('IWP13'!Std10dot4Withdrawals, 9, 0, 1, 1) = DATE(1900,1,0),DATE(1900,1,1),OFFSET('IWP13'!Std10dot4Withdrawals, 9, 0, 1, 1))</f>
        <v>1</v>
      </c>
      <c r="C2322" s="155">
        <f ca="1">OFFSET('IWP13'!Std10dot4Withdrawals, 9, 2, 1, 1)</f>
        <v>0</v>
      </c>
      <c r="D2322" s="151" t="str">
        <f ca="1">IF(OFFSET('IWP13'!Std10dot4Withdrawals, 9, 4, 1, 1) = 0, "", OFFSET('IWP13'!Std10dot4Withdrawals, 9, 4, 1, 1))</f>
        <v/>
      </c>
      <c r="E2322" s="207" t="str">
        <f ca="1">IF(OFFSET('IWP13'!Std10dot4Withdrawals, 9, 7, 1, 1) = 0, "", OFFSET('IWP13'!Std10dot4Withdrawals, 9, 7, 1, 1))</f>
        <v/>
      </c>
    </row>
    <row r="2323" spans="1:5">
      <c r="A2323" s="206" t="s">
        <v>1316</v>
      </c>
      <c r="B2323" s="157">
        <f ca="1">IF(OFFSET('IWP13'!Std10dot4Withdrawals, 10, 0, 1, 1) = DATE(1900,1,0),DATE(1900,1,1),OFFSET('IWP13'!Std10dot4Withdrawals, 10, 0, 1, 1))</f>
        <v>1</v>
      </c>
      <c r="C2323" s="155">
        <f ca="1">OFFSET('IWP13'!Std10dot4Withdrawals, 10, 2, 1, 1)</f>
        <v>0</v>
      </c>
      <c r="D2323" s="151" t="str">
        <f ca="1">IF(OFFSET('IWP13'!Std10dot4Withdrawals, 10, 4, 1, 1) = 0, "", OFFSET('IWP13'!Std10dot4Withdrawals, 10, 4, 1, 1))</f>
        <v/>
      </c>
      <c r="E2323" s="207" t="str">
        <f ca="1">IF(OFFSET('IWP13'!Std10dot4Withdrawals, 10, 7, 1, 1) = 0, "", OFFSET('IWP13'!Std10dot4Withdrawals, 10, 7, 1, 1))</f>
        <v/>
      </c>
    </row>
    <row r="2324" spans="1:5">
      <c r="A2324" s="206" t="s">
        <v>1316</v>
      </c>
      <c r="B2324" s="157">
        <f ca="1">IF(OFFSET('IWP13'!Std10dot4Withdrawals, 11, 0, 1, 1) = DATE(1900,1,0),DATE(1900,1,1),OFFSET('IWP13'!Std10dot4Withdrawals, 11, 0, 1, 1))</f>
        <v>1</v>
      </c>
      <c r="C2324" s="155">
        <f ca="1">OFFSET('IWP13'!Std10dot4Withdrawals, 11, 2, 1, 1)</f>
        <v>0</v>
      </c>
      <c r="D2324" s="151" t="str">
        <f ca="1">IF(OFFSET('IWP13'!Std10dot4Withdrawals, 11, 4, 1, 1) = 0, "", OFFSET('IWP13'!Std10dot4Withdrawals, 11, 4, 1, 1))</f>
        <v/>
      </c>
      <c r="E2324" s="207" t="str">
        <f ca="1">IF(OFFSET('IWP13'!Std10dot4Withdrawals, 11, 7, 1, 1) = 0, "", OFFSET('IWP13'!Std10dot4Withdrawals, 11, 7, 1, 1))</f>
        <v/>
      </c>
    </row>
    <row r="2325" spans="1:5">
      <c r="A2325" s="206" t="s">
        <v>1316</v>
      </c>
      <c r="B2325" s="157">
        <f ca="1">IF(OFFSET('IWP13'!Std10dot4Withdrawals, 12, 0, 1, 1) = DATE(1900,1,0),DATE(1900,1,1),OFFSET('IWP13'!Std10dot4Withdrawals, 12, 0, 1, 1))</f>
        <v>1</v>
      </c>
      <c r="C2325" s="155">
        <f ca="1">OFFSET('IWP13'!Std10dot4Withdrawals, 12, 2, 1, 1)</f>
        <v>0</v>
      </c>
      <c r="D2325" s="151" t="str">
        <f ca="1">IF(OFFSET('IWP13'!Std10dot4Withdrawals, 12, 4, 1, 1) = 0, "", OFFSET('IWP13'!Std10dot4Withdrawals, 12, 4, 1, 1))</f>
        <v/>
      </c>
      <c r="E2325" s="207" t="str">
        <f ca="1">IF(OFFSET('IWP13'!Std10dot4Withdrawals, 12, 7, 1, 1) = 0, "", OFFSET('IWP13'!Std10dot4Withdrawals, 12, 7, 1, 1))</f>
        <v/>
      </c>
    </row>
    <row r="2326" spans="1:5">
      <c r="A2326" s="206" t="s">
        <v>1316</v>
      </c>
      <c r="B2326" s="157">
        <f ca="1">IF(OFFSET('IWP13'!Std10dot4Withdrawals, 13, 0, 1, 1) = DATE(1900,1,0),DATE(1900,1,1),OFFSET('IWP13'!Std10dot4Withdrawals, 13, 0, 1, 1))</f>
        <v>1</v>
      </c>
      <c r="C2326" s="155">
        <f ca="1">OFFSET('IWP13'!Std10dot4Withdrawals, 13, 2, 1, 1)</f>
        <v>0</v>
      </c>
      <c r="D2326" s="151" t="str">
        <f ca="1">IF(OFFSET('IWP13'!Std10dot4Withdrawals, 13, 4, 1, 1) = 0, "", OFFSET('IWP13'!Std10dot4Withdrawals, 13, 4, 1, 1))</f>
        <v/>
      </c>
      <c r="E2326" s="207" t="str">
        <f ca="1">IF(OFFSET('IWP13'!Std10dot4Withdrawals, 13, 7, 1, 1) = 0, "", OFFSET('IWP13'!Std10dot4Withdrawals, 13, 7, 1, 1))</f>
        <v/>
      </c>
    </row>
    <row r="2327" spans="1:5">
      <c r="A2327" s="206" t="s">
        <v>1316</v>
      </c>
      <c r="B2327" s="157">
        <f ca="1">IF(OFFSET('IWP13'!Std10dot4Withdrawals, 14, 0, 1, 1) = DATE(1900,1,0),DATE(1900,1,1),OFFSET('IWP13'!Std10dot4Withdrawals, 14, 0, 1, 1))</f>
        <v>1</v>
      </c>
      <c r="C2327" s="155">
        <f ca="1">OFFSET('IWP13'!Std10dot4Withdrawals, 14, 2, 1, 1)</f>
        <v>0</v>
      </c>
      <c r="D2327" s="151" t="str">
        <f ca="1">IF(OFFSET('IWP13'!Std10dot4Withdrawals, 14, 4, 1, 1) = 0, "", OFFSET('IWP13'!Std10dot4Withdrawals, 14, 4, 1, 1))</f>
        <v/>
      </c>
      <c r="E2327" s="207" t="str">
        <f ca="1">IF(OFFSET('IWP13'!Std10dot4Withdrawals, 14, 7, 1, 1) = 0, "", OFFSET('IWP13'!Std10dot4Withdrawals, 14, 7, 1, 1))</f>
        <v/>
      </c>
    </row>
    <row r="2328" spans="1:5">
      <c r="A2328" s="206" t="s">
        <v>1316</v>
      </c>
      <c r="B2328" s="157">
        <f ca="1">IF(OFFSET('IWP13'!Std10dot4Withdrawals, 15, 0, 1, 1) = DATE(1900,1,0),DATE(1900,1,1),OFFSET('IWP13'!Std10dot4Withdrawals, 15, 0, 1, 1))</f>
        <v>1</v>
      </c>
      <c r="C2328" s="155">
        <f ca="1">OFFSET('IWP13'!Std10dot4Withdrawals, 15, 2, 1, 1)</f>
        <v>0</v>
      </c>
      <c r="D2328" s="151" t="str">
        <f ca="1">IF(OFFSET('IWP13'!Std10dot4Withdrawals, 15, 4, 1, 1) = 0, "", OFFSET('IWP13'!Std10dot4Withdrawals, 15, 4, 1, 1))</f>
        <v/>
      </c>
      <c r="E2328" s="207" t="str">
        <f ca="1">IF(OFFSET('IWP13'!Std10dot4Withdrawals, 15, 7, 1, 1) = 0, "", OFFSET('IWP13'!Std10dot4Withdrawals, 15, 7, 1, 1))</f>
        <v/>
      </c>
    </row>
    <row r="2329" spans="1:5">
      <c r="A2329" s="206" t="s">
        <v>1316</v>
      </c>
      <c r="B2329" s="157">
        <f ca="1">IF(OFFSET('IWP13'!Std10dot4Withdrawals, 16, 0, 1, 1) = DATE(1900,1,0),DATE(1900,1,1),OFFSET('IWP13'!Std10dot4Withdrawals, 16, 0, 1, 1))</f>
        <v>1</v>
      </c>
      <c r="C2329" s="155">
        <f ca="1">OFFSET('IWP13'!Std10dot4Withdrawals, 16, 2, 1, 1)</f>
        <v>0</v>
      </c>
      <c r="D2329" s="151" t="str">
        <f ca="1">IF(OFFSET('IWP13'!Std10dot4Withdrawals, 16, 4, 1, 1) = 0, "", OFFSET('IWP13'!Std10dot4Withdrawals, 16, 4, 1, 1))</f>
        <v/>
      </c>
      <c r="E2329" s="207" t="str">
        <f ca="1">IF(OFFSET('IWP13'!Std10dot4Withdrawals, 16, 7, 1, 1) = 0, "", OFFSET('IWP13'!Std10dot4Withdrawals, 16, 7, 1, 1))</f>
        <v/>
      </c>
    </row>
    <row r="2330" spans="1:5">
      <c r="A2330" s="206" t="s">
        <v>1316</v>
      </c>
      <c r="B2330" s="157">
        <f ca="1">IF(OFFSET('IWP13'!Std10dot4Withdrawals, 17, 0, 1, 1) = DATE(1900,1,0),DATE(1900,1,1),OFFSET('IWP13'!Std10dot4Withdrawals, 17, 0, 1, 1))</f>
        <v>1</v>
      </c>
      <c r="C2330" s="155">
        <f ca="1">OFFSET('IWP13'!Std10dot4Withdrawals, 17, 2, 1, 1)</f>
        <v>0</v>
      </c>
      <c r="D2330" s="151" t="str">
        <f ca="1">IF(OFFSET('IWP13'!Std10dot4Withdrawals, 17, 4, 1, 1) = 0, "", OFFSET('IWP13'!Std10dot4Withdrawals, 17, 4, 1, 1))</f>
        <v/>
      </c>
      <c r="E2330" s="207" t="str">
        <f ca="1">IF(OFFSET('IWP13'!Std10dot4Withdrawals, 17, 7, 1, 1) = 0, "", OFFSET('IWP13'!Std10dot4Withdrawals, 17, 7, 1, 1))</f>
        <v/>
      </c>
    </row>
    <row r="2331" spans="1:5">
      <c r="A2331" s="206" t="s">
        <v>1316</v>
      </c>
      <c r="B2331" s="157">
        <f ca="1">IF(OFFSET('IWP13'!Std10dot4Withdrawals, 18, 0, 1, 1) = DATE(1900,1,0),DATE(1900,1,1),OFFSET('IWP13'!Std10dot4Withdrawals, 18, 0, 1, 1))</f>
        <v>1</v>
      </c>
      <c r="C2331" s="155">
        <f ca="1">OFFSET('IWP13'!Std10dot4Withdrawals, 18, 2, 1, 1)</f>
        <v>0</v>
      </c>
      <c r="D2331" s="151" t="str">
        <f ca="1">IF(OFFSET('IWP13'!Std10dot4Withdrawals, 18, 4, 1, 1) = 0, "", OFFSET('IWP13'!Std10dot4Withdrawals, 18, 4, 1, 1))</f>
        <v/>
      </c>
      <c r="E2331" s="207" t="str">
        <f ca="1">IF(OFFSET('IWP13'!Std10dot4Withdrawals, 18, 7, 1, 1) = 0, "", OFFSET('IWP13'!Std10dot4Withdrawals, 18, 7, 1, 1))</f>
        <v/>
      </c>
    </row>
    <row r="2332" spans="1:5">
      <c r="A2332" s="206" t="s">
        <v>1316</v>
      </c>
      <c r="B2332" s="157">
        <f ca="1">IF(OFFSET('IWP13'!Std10dot4Withdrawals, 19, 0, 1, 1) = DATE(1900,1,0),DATE(1900,1,1),OFFSET('IWP13'!Std10dot4Withdrawals, 19, 0, 1, 1))</f>
        <v>1</v>
      </c>
      <c r="C2332" s="155">
        <f ca="1">OFFSET('IWP13'!Std10dot4Withdrawals, 19, 2, 1, 1)</f>
        <v>0</v>
      </c>
      <c r="D2332" s="151" t="str">
        <f ca="1">IF(OFFSET('IWP13'!Std10dot4Withdrawals, 19, 4, 1, 1) = 0, "", OFFSET('IWP13'!Std10dot4Withdrawals, 19, 4, 1, 1))</f>
        <v/>
      </c>
      <c r="E2332" s="207" t="str">
        <f ca="1">IF(OFFSET('IWP13'!Std10dot4Withdrawals, 19, 7, 1, 1) = 0, "", OFFSET('IWP13'!Std10dot4Withdrawals, 19, 7, 1, 1))</f>
        <v/>
      </c>
    </row>
    <row r="2333" spans="1:5">
      <c r="A2333" s="206" t="s">
        <v>1317</v>
      </c>
      <c r="B2333" s="157">
        <f ca="1">IF(OFFSET('IWP14'!Std10dot4Withdrawals, 0, 0, 1, 1) = DATE(1900,1,0),DATE(1900,1,1),OFFSET('IWP14'!Std10dot4Withdrawals, 0, 0, 1, 1))</f>
        <v>1</v>
      </c>
      <c r="C2333" s="155">
        <f ca="1">OFFSET('IWP14'!Std10dot4Withdrawals, 0, 2, 1, 1)</f>
        <v>0</v>
      </c>
      <c r="D2333" s="151" t="str">
        <f ca="1">IF(OFFSET('IWP14'!Std10dot4Withdrawals, 0, 4, 1, 1) = 0, "", OFFSET('IWP14'!Std10dot4Withdrawals, 0, 4, 1, 1))</f>
        <v/>
      </c>
      <c r="E2333" s="207" t="str">
        <f ca="1">IF(OFFSET('IWP14'!Std10dot4Withdrawals, 0, 7, 1, 1) = 0, "", OFFSET('IWP14'!Std10dot4Withdrawals, 0, 7, 1, 1))</f>
        <v/>
      </c>
    </row>
    <row r="2334" spans="1:5">
      <c r="A2334" s="206" t="s">
        <v>1317</v>
      </c>
      <c r="B2334" s="157">
        <f ca="1">IF(OFFSET('IWP14'!Std10dot4Withdrawals, 1, 0, 1, 1) = DATE(1900,1,0),DATE(1900,1,1),OFFSET('IWP14'!Std10dot4Withdrawals, 1, 0, 1, 1))</f>
        <v>1</v>
      </c>
      <c r="C2334" s="155">
        <f ca="1">OFFSET('IWP14'!Std10dot4Withdrawals, 1, 2, 1, 1)</f>
        <v>0</v>
      </c>
      <c r="D2334" s="151" t="str">
        <f ca="1">IF(OFFSET('IWP14'!Std10dot4Withdrawals, 1, 4, 1, 1) = 0, "", OFFSET('IWP14'!Std10dot4Withdrawals, 1, 4, 1, 1))</f>
        <v/>
      </c>
      <c r="E2334" s="207" t="str">
        <f ca="1">IF(OFFSET('IWP14'!Std10dot4Withdrawals, 1, 7, 1, 1) = 0, "", OFFSET('IWP14'!Std10dot4Withdrawals, 1, 7, 1, 1))</f>
        <v/>
      </c>
    </row>
    <row r="2335" spans="1:5">
      <c r="A2335" s="206" t="s">
        <v>1317</v>
      </c>
      <c r="B2335" s="157">
        <f ca="1">IF(OFFSET('IWP14'!Std10dot4Withdrawals, 2, 0, 1, 1) = DATE(1900,1,0),DATE(1900,1,1),OFFSET('IWP14'!Std10dot4Withdrawals, 2, 0, 1, 1))</f>
        <v>1</v>
      </c>
      <c r="C2335" s="155">
        <f ca="1">OFFSET('IWP14'!Std10dot4Withdrawals, 2, 2, 1, 1)</f>
        <v>0</v>
      </c>
      <c r="D2335" s="151" t="str">
        <f ca="1">IF(OFFSET('IWP14'!Std10dot4Withdrawals, 2, 4, 1, 1) = 0, "", OFFSET('IWP14'!Std10dot4Withdrawals, 2, 4, 1, 1))</f>
        <v/>
      </c>
      <c r="E2335" s="207" t="str">
        <f ca="1">IF(OFFSET('IWP14'!Std10dot4Withdrawals, 2, 7, 1, 1) = 0, "", OFFSET('IWP14'!Std10dot4Withdrawals, 2, 7, 1, 1))</f>
        <v/>
      </c>
    </row>
    <row r="2336" spans="1:5">
      <c r="A2336" s="206" t="s">
        <v>1317</v>
      </c>
      <c r="B2336" s="157">
        <f ca="1">IF(OFFSET('IWP14'!Std10dot4Withdrawals, 3, 0, 1, 1) = DATE(1900,1,0),DATE(1900,1,1),OFFSET('IWP14'!Std10dot4Withdrawals, 3, 0, 1, 1))</f>
        <v>1</v>
      </c>
      <c r="C2336" s="155">
        <f ca="1">OFFSET('IWP14'!Std10dot4Withdrawals, 3, 2, 1, 1)</f>
        <v>0</v>
      </c>
      <c r="D2336" s="151" t="str">
        <f ca="1">IF(OFFSET('IWP14'!Std10dot4Withdrawals, 3, 4, 1, 1) = 0, "", OFFSET('IWP14'!Std10dot4Withdrawals, 3, 4, 1, 1))</f>
        <v/>
      </c>
      <c r="E2336" s="207" t="str">
        <f ca="1">IF(OFFSET('IWP14'!Std10dot4Withdrawals, 3, 7, 1, 1) = 0, "", OFFSET('IWP14'!Std10dot4Withdrawals, 3, 7, 1, 1))</f>
        <v/>
      </c>
    </row>
    <row r="2337" spans="1:5">
      <c r="A2337" s="206" t="s">
        <v>1317</v>
      </c>
      <c r="B2337" s="157">
        <f ca="1">IF(OFFSET('IWP14'!Std10dot4Withdrawals, 4, 0, 1, 1) = DATE(1900,1,0),DATE(1900,1,1),OFFSET('IWP14'!Std10dot4Withdrawals, 4, 0, 1, 1))</f>
        <v>1</v>
      </c>
      <c r="C2337" s="155">
        <f ca="1">OFFSET('IWP14'!Std10dot4Withdrawals, 4, 2, 1, 1)</f>
        <v>0</v>
      </c>
      <c r="D2337" s="151" t="str">
        <f ca="1">IF(OFFSET('IWP14'!Std10dot4Withdrawals, 4, 4, 1, 1) = 0, "", OFFSET('IWP14'!Std10dot4Withdrawals, 4, 4, 1, 1))</f>
        <v/>
      </c>
      <c r="E2337" s="207" t="str">
        <f ca="1">IF(OFFSET('IWP14'!Std10dot4Withdrawals, 4, 7, 1, 1) = 0, "", OFFSET('IWP14'!Std10dot4Withdrawals, 4, 7, 1, 1))</f>
        <v/>
      </c>
    </row>
    <row r="2338" spans="1:5">
      <c r="A2338" s="206" t="s">
        <v>1317</v>
      </c>
      <c r="B2338" s="157">
        <f ca="1">IF(OFFSET('IWP14'!Std10dot4Withdrawals, 5, 0, 1, 1) = DATE(1900,1,0),DATE(1900,1,1),OFFSET('IWP14'!Std10dot4Withdrawals, 5, 0, 1, 1))</f>
        <v>1</v>
      </c>
      <c r="C2338" s="155">
        <f ca="1">OFFSET('IWP14'!Std10dot4Withdrawals, 5, 2, 1, 1)</f>
        <v>0</v>
      </c>
      <c r="D2338" s="151" t="str">
        <f ca="1">IF(OFFSET('IWP14'!Std10dot4Withdrawals, 5, 4, 1, 1) = 0, "", OFFSET('IWP14'!Std10dot4Withdrawals, 5, 4, 1, 1))</f>
        <v/>
      </c>
      <c r="E2338" s="207" t="str">
        <f ca="1">IF(OFFSET('IWP14'!Std10dot4Withdrawals, 5, 7, 1, 1) = 0, "", OFFSET('IWP14'!Std10dot4Withdrawals, 5, 7, 1, 1))</f>
        <v/>
      </c>
    </row>
    <row r="2339" spans="1:5">
      <c r="A2339" s="206" t="s">
        <v>1317</v>
      </c>
      <c r="B2339" s="157">
        <f ca="1">IF(OFFSET('IWP14'!Std10dot4Withdrawals, 6, 0, 1, 1) = DATE(1900,1,0),DATE(1900,1,1),OFFSET('IWP14'!Std10dot4Withdrawals, 6, 0, 1, 1))</f>
        <v>1</v>
      </c>
      <c r="C2339" s="155">
        <f ca="1">OFFSET('IWP14'!Std10dot4Withdrawals, 6, 2, 1, 1)</f>
        <v>0</v>
      </c>
      <c r="D2339" s="151" t="str">
        <f ca="1">IF(OFFSET('IWP14'!Std10dot4Withdrawals, 6, 4, 1, 1) = 0, "", OFFSET('IWP14'!Std10dot4Withdrawals, 6, 4, 1, 1))</f>
        <v/>
      </c>
      <c r="E2339" s="207" t="str">
        <f ca="1">IF(OFFSET('IWP14'!Std10dot4Withdrawals, 6, 7, 1, 1) = 0, "", OFFSET('IWP14'!Std10dot4Withdrawals, 6, 7, 1, 1))</f>
        <v/>
      </c>
    </row>
    <row r="2340" spans="1:5">
      <c r="A2340" s="206" t="s">
        <v>1317</v>
      </c>
      <c r="B2340" s="157">
        <f ca="1">IF(OFFSET('IWP14'!Std10dot4Withdrawals, 7, 0, 1, 1) = DATE(1900,1,0),DATE(1900,1,1),OFFSET('IWP14'!Std10dot4Withdrawals, 7, 0, 1, 1))</f>
        <v>1</v>
      </c>
      <c r="C2340" s="155">
        <f ca="1">OFFSET('IWP14'!Std10dot4Withdrawals, 7, 2, 1, 1)</f>
        <v>0</v>
      </c>
      <c r="D2340" s="151" t="str">
        <f ca="1">IF(OFFSET('IWP14'!Std10dot4Withdrawals, 7, 4, 1, 1) = 0, "", OFFSET('IWP14'!Std10dot4Withdrawals, 7, 4, 1, 1))</f>
        <v/>
      </c>
      <c r="E2340" s="207" t="str">
        <f ca="1">IF(OFFSET('IWP14'!Std10dot4Withdrawals, 7, 7, 1, 1) = 0, "", OFFSET('IWP14'!Std10dot4Withdrawals, 7, 7, 1, 1))</f>
        <v/>
      </c>
    </row>
    <row r="2341" spans="1:5">
      <c r="A2341" s="206" t="s">
        <v>1317</v>
      </c>
      <c r="B2341" s="157">
        <f ca="1">IF(OFFSET('IWP14'!Std10dot4Withdrawals, 8, 0, 1, 1) = DATE(1900,1,0),DATE(1900,1,1),OFFSET('IWP14'!Std10dot4Withdrawals, 8, 0, 1, 1))</f>
        <v>1</v>
      </c>
      <c r="C2341" s="155">
        <f ca="1">OFFSET('IWP14'!Std10dot4Withdrawals, 8, 2, 1, 1)</f>
        <v>0</v>
      </c>
      <c r="D2341" s="151" t="str">
        <f ca="1">IF(OFFSET('IWP14'!Std10dot4Withdrawals, 8, 4, 1, 1) = 0, "", OFFSET('IWP14'!Std10dot4Withdrawals, 8, 4, 1, 1))</f>
        <v/>
      </c>
      <c r="E2341" s="207" t="str">
        <f ca="1">IF(OFFSET('IWP14'!Std10dot4Withdrawals, 8, 7, 1, 1) = 0, "", OFFSET('IWP14'!Std10dot4Withdrawals, 8, 7, 1, 1))</f>
        <v/>
      </c>
    </row>
    <row r="2342" spans="1:5">
      <c r="A2342" s="206" t="s">
        <v>1317</v>
      </c>
      <c r="B2342" s="157">
        <f ca="1">IF(OFFSET('IWP14'!Std10dot4Withdrawals, 9, 0, 1, 1) = DATE(1900,1,0),DATE(1900,1,1),OFFSET('IWP14'!Std10dot4Withdrawals, 9, 0, 1, 1))</f>
        <v>1</v>
      </c>
      <c r="C2342" s="155">
        <f ca="1">OFFSET('IWP14'!Std10dot4Withdrawals, 9, 2, 1, 1)</f>
        <v>0</v>
      </c>
      <c r="D2342" s="151" t="str">
        <f ca="1">IF(OFFSET('IWP14'!Std10dot4Withdrawals, 9, 4, 1, 1) = 0, "", OFFSET('IWP14'!Std10dot4Withdrawals, 9, 4, 1, 1))</f>
        <v/>
      </c>
      <c r="E2342" s="207" t="str">
        <f ca="1">IF(OFFSET('IWP14'!Std10dot4Withdrawals, 9, 7, 1, 1) = 0, "", OFFSET('IWP14'!Std10dot4Withdrawals, 9, 7, 1, 1))</f>
        <v/>
      </c>
    </row>
    <row r="2343" spans="1:5">
      <c r="A2343" s="206" t="s">
        <v>1317</v>
      </c>
      <c r="B2343" s="157">
        <f ca="1">IF(OFFSET('IWP14'!Std10dot4Withdrawals, 10, 0, 1, 1) = DATE(1900,1,0),DATE(1900,1,1),OFFSET('IWP14'!Std10dot4Withdrawals, 10, 0, 1, 1))</f>
        <v>1</v>
      </c>
      <c r="C2343" s="155">
        <f ca="1">OFFSET('IWP14'!Std10dot4Withdrawals, 10, 2, 1, 1)</f>
        <v>0</v>
      </c>
      <c r="D2343" s="151" t="str">
        <f ca="1">IF(OFFSET('IWP14'!Std10dot4Withdrawals, 10, 4, 1, 1) = 0, "", OFFSET('IWP14'!Std10dot4Withdrawals, 10, 4, 1, 1))</f>
        <v/>
      </c>
      <c r="E2343" s="207" t="str">
        <f ca="1">IF(OFFSET('IWP14'!Std10dot4Withdrawals, 10, 7, 1, 1) = 0, "", OFFSET('IWP14'!Std10dot4Withdrawals, 10, 7, 1, 1))</f>
        <v/>
      </c>
    </row>
    <row r="2344" spans="1:5">
      <c r="A2344" s="206" t="s">
        <v>1317</v>
      </c>
      <c r="B2344" s="157">
        <f ca="1">IF(OFFSET('IWP14'!Std10dot4Withdrawals, 11, 0, 1, 1) = DATE(1900,1,0),DATE(1900,1,1),OFFSET('IWP14'!Std10dot4Withdrawals, 11, 0, 1, 1))</f>
        <v>1</v>
      </c>
      <c r="C2344" s="155">
        <f ca="1">OFFSET('IWP14'!Std10dot4Withdrawals, 11, 2, 1, 1)</f>
        <v>0</v>
      </c>
      <c r="D2344" s="151" t="str">
        <f ca="1">IF(OFFSET('IWP14'!Std10dot4Withdrawals, 11, 4, 1, 1) = 0, "", OFFSET('IWP14'!Std10dot4Withdrawals, 11, 4, 1, 1))</f>
        <v/>
      </c>
      <c r="E2344" s="207" t="str">
        <f ca="1">IF(OFFSET('IWP14'!Std10dot4Withdrawals, 11, 7, 1, 1) = 0, "", OFFSET('IWP14'!Std10dot4Withdrawals, 11, 7, 1, 1))</f>
        <v/>
      </c>
    </row>
    <row r="2345" spans="1:5">
      <c r="A2345" s="206" t="s">
        <v>1317</v>
      </c>
      <c r="B2345" s="157">
        <f ca="1">IF(OFFSET('IWP14'!Std10dot4Withdrawals, 12, 0, 1, 1) = DATE(1900,1,0),DATE(1900,1,1),OFFSET('IWP14'!Std10dot4Withdrawals, 12, 0, 1, 1))</f>
        <v>1</v>
      </c>
      <c r="C2345" s="155">
        <f ca="1">OFFSET('IWP14'!Std10dot4Withdrawals, 12, 2, 1, 1)</f>
        <v>0</v>
      </c>
      <c r="D2345" s="151" t="str">
        <f ca="1">IF(OFFSET('IWP14'!Std10dot4Withdrawals, 12, 4, 1, 1) = 0, "", OFFSET('IWP14'!Std10dot4Withdrawals, 12, 4, 1, 1))</f>
        <v/>
      </c>
      <c r="E2345" s="207" t="str">
        <f ca="1">IF(OFFSET('IWP14'!Std10dot4Withdrawals, 12, 7, 1, 1) = 0, "", OFFSET('IWP14'!Std10dot4Withdrawals, 12, 7, 1, 1))</f>
        <v/>
      </c>
    </row>
    <row r="2346" spans="1:5">
      <c r="A2346" s="206" t="s">
        <v>1317</v>
      </c>
      <c r="B2346" s="157">
        <f ca="1">IF(OFFSET('IWP14'!Std10dot4Withdrawals, 13, 0, 1, 1) = DATE(1900,1,0),DATE(1900,1,1),OFFSET('IWP14'!Std10dot4Withdrawals, 13, 0, 1, 1))</f>
        <v>1</v>
      </c>
      <c r="C2346" s="155">
        <f ca="1">OFFSET('IWP14'!Std10dot4Withdrawals, 13, 2, 1, 1)</f>
        <v>0</v>
      </c>
      <c r="D2346" s="151" t="str">
        <f ca="1">IF(OFFSET('IWP14'!Std10dot4Withdrawals, 13, 4, 1, 1) = 0, "", OFFSET('IWP14'!Std10dot4Withdrawals, 13, 4, 1, 1))</f>
        <v/>
      </c>
      <c r="E2346" s="207" t="str">
        <f ca="1">IF(OFFSET('IWP14'!Std10dot4Withdrawals, 13, 7, 1, 1) = 0, "", OFFSET('IWP14'!Std10dot4Withdrawals, 13, 7, 1, 1))</f>
        <v/>
      </c>
    </row>
    <row r="2347" spans="1:5">
      <c r="A2347" s="206" t="s">
        <v>1317</v>
      </c>
      <c r="B2347" s="157">
        <f ca="1">IF(OFFSET('IWP14'!Std10dot4Withdrawals, 14, 0, 1, 1) = DATE(1900,1,0),DATE(1900,1,1),OFFSET('IWP14'!Std10dot4Withdrawals, 14, 0, 1, 1))</f>
        <v>1</v>
      </c>
      <c r="C2347" s="155">
        <f ca="1">OFFSET('IWP14'!Std10dot4Withdrawals, 14, 2, 1, 1)</f>
        <v>0</v>
      </c>
      <c r="D2347" s="151" t="str">
        <f ca="1">IF(OFFSET('IWP14'!Std10dot4Withdrawals, 14, 4, 1, 1) = 0, "", OFFSET('IWP14'!Std10dot4Withdrawals, 14, 4, 1, 1))</f>
        <v/>
      </c>
      <c r="E2347" s="207" t="str">
        <f ca="1">IF(OFFSET('IWP14'!Std10dot4Withdrawals, 14, 7, 1, 1) = 0, "", OFFSET('IWP14'!Std10dot4Withdrawals, 14, 7, 1, 1))</f>
        <v/>
      </c>
    </row>
    <row r="2348" spans="1:5">
      <c r="A2348" s="206" t="s">
        <v>1317</v>
      </c>
      <c r="B2348" s="157">
        <f ca="1">IF(OFFSET('IWP14'!Std10dot4Withdrawals, 15, 0, 1, 1) = DATE(1900,1,0),DATE(1900,1,1),OFFSET('IWP14'!Std10dot4Withdrawals, 15, 0, 1, 1))</f>
        <v>1</v>
      </c>
      <c r="C2348" s="155">
        <f ca="1">OFFSET('IWP14'!Std10dot4Withdrawals, 15, 2, 1, 1)</f>
        <v>0</v>
      </c>
      <c r="D2348" s="151" t="str">
        <f ca="1">IF(OFFSET('IWP14'!Std10dot4Withdrawals, 15, 4, 1, 1) = 0, "", OFFSET('IWP14'!Std10dot4Withdrawals, 15, 4, 1, 1))</f>
        <v/>
      </c>
      <c r="E2348" s="207" t="str">
        <f ca="1">IF(OFFSET('IWP14'!Std10dot4Withdrawals, 15, 7, 1, 1) = 0, "", OFFSET('IWP14'!Std10dot4Withdrawals, 15, 7, 1, 1))</f>
        <v/>
      </c>
    </row>
    <row r="2349" spans="1:5">
      <c r="A2349" s="206" t="s">
        <v>1317</v>
      </c>
      <c r="B2349" s="157">
        <f ca="1">IF(OFFSET('IWP14'!Std10dot4Withdrawals, 16, 0, 1, 1) = DATE(1900,1,0),DATE(1900,1,1),OFFSET('IWP14'!Std10dot4Withdrawals, 16, 0, 1, 1))</f>
        <v>1</v>
      </c>
      <c r="C2349" s="155">
        <f ca="1">OFFSET('IWP14'!Std10dot4Withdrawals, 16, 2, 1, 1)</f>
        <v>0</v>
      </c>
      <c r="D2349" s="151" t="str">
        <f ca="1">IF(OFFSET('IWP14'!Std10dot4Withdrawals, 16, 4, 1, 1) = 0, "", OFFSET('IWP14'!Std10dot4Withdrawals, 16, 4, 1, 1))</f>
        <v/>
      </c>
      <c r="E2349" s="207" t="str">
        <f ca="1">IF(OFFSET('IWP14'!Std10dot4Withdrawals, 16, 7, 1, 1) = 0, "", OFFSET('IWP14'!Std10dot4Withdrawals, 16, 7, 1, 1))</f>
        <v/>
      </c>
    </row>
    <row r="2350" spans="1:5">
      <c r="A2350" s="206" t="s">
        <v>1317</v>
      </c>
      <c r="B2350" s="157">
        <f ca="1">IF(OFFSET('IWP14'!Std10dot4Withdrawals, 17, 0, 1, 1) = DATE(1900,1,0),DATE(1900,1,1),OFFSET('IWP14'!Std10dot4Withdrawals, 17, 0, 1, 1))</f>
        <v>1</v>
      </c>
      <c r="C2350" s="155">
        <f ca="1">OFFSET('IWP14'!Std10dot4Withdrawals, 17, 2, 1, 1)</f>
        <v>0</v>
      </c>
      <c r="D2350" s="151" t="str">
        <f ca="1">IF(OFFSET('IWP14'!Std10dot4Withdrawals, 17, 4, 1, 1) = 0, "", OFFSET('IWP14'!Std10dot4Withdrawals, 17, 4, 1, 1))</f>
        <v/>
      </c>
      <c r="E2350" s="207" t="str">
        <f ca="1">IF(OFFSET('IWP14'!Std10dot4Withdrawals, 17, 7, 1, 1) = 0, "", OFFSET('IWP14'!Std10dot4Withdrawals, 17, 7, 1, 1))</f>
        <v/>
      </c>
    </row>
    <row r="2351" spans="1:5">
      <c r="A2351" s="206" t="s">
        <v>1317</v>
      </c>
      <c r="B2351" s="157">
        <f ca="1">IF(OFFSET('IWP14'!Std10dot4Withdrawals, 18, 0, 1, 1) = DATE(1900,1,0),DATE(1900,1,1),OFFSET('IWP14'!Std10dot4Withdrawals, 18, 0, 1, 1))</f>
        <v>1</v>
      </c>
      <c r="C2351" s="155">
        <f ca="1">OFFSET('IWP14'!Std10dot4Withdrawals, 18, 2, 1, 1)</f>
        <v>0</v>
      </c>
      <c r="D2351" s="151" t="str">
        <f ca="1">IF(OFFSET('IWP14'!Std10dot4Withdrawals, 18, 4, 1, 1) = 0, "", OFFSET('IWP14'!Std10dot4Withdrawals, 18, 4, 1, 1))</f>
        <v/>
      </c>
      <c r="E2351" s="207" t="str">
        <f ca="1">IF(OFFSET('IWP14'!Std10dot4Withdrawals, 18, 7, 1, 1) = 0, "", OFFSET('IWP14'!Std10dot4Withdrawals, 18, 7, 1, 1))</f>
        <v/>
      </c>
    </row>
    <row r="2352" spans="1:5">
      <c r="A2352" s="206" t="s">
        <v>1317</v>
      </c>
      <c r="B2352" s="157">
        <f ca="1">IF(OFFSET('IWP14'!Std10dot4Withdrawals, 19, 0, 1, 1) = DATE(1900,1,0),DATE(1900,1,1),OFFSET('IWP14'!Std10dot4Withdrawals, 19, 0, 1, 1))</f>
        <v>1</v>
      </c>
      <c r="C2352" s="155">
        <f ca="1">OFFSET('IWP14'!Std10dot4Withdrawals, 19, 2, 1, 1)</f>
        <v>0</v>
      </c>
      <c r="D2352" s="151" t="str">
        <f ca="1">IF(OFFSET('IWP14'!Std10dot4Withdrawals, 19, 4, 1, 1) = 0, "", OFFSET('IWP14'!Std10dot4Withdrawals, 19, 4, 1, 1))</f>
        <v/>
      </c>
      <c r="E2352" s="207" t="str">
        <f ca="1">IF(OFFSET('IWP14'!Std10dot4Withdrawals, 19, 7, 1, 1) = 0, "", OFFSET('IWP14'!Std10dot4Withdrawals, 19, 7, 1, 1))</f>
        <v/>
      </c>
    </row>
    <row r="2353" spans="1:5">
      <c r="A2353" s="206" t="s">
        <v>1318</v>
      </c>
      <c r="B2353" s="157">
        <f ca="1">IF(OFFSET('IWP15'!Std10dot4Withdrawals, 0, 0, 1, 1) = DATE(1900,1,0),DATE(1900,1,1),OFFSET('IWP15'!Std10dot4Withdrawals, 0, 0, 1, 1))</f>
        <v>1</v>
      </c>
      <c r="C2353" s="155">
        <f ca="1">OFFSET('IWP15'!Std10dot4Withdrawals, 0, 2, 1, 1)</f>
        <v>0</v>
      </c>
      <c r="D2353" s="151" t="str">
        <f ca="1">IF(OFFSET('IWP15'!Std10dot4Withdrawals, 0, 4, 1, 1) = 0, "", OFFSET('IWP15'!Std10dot4Withdrawals, 0, 4, 1, 1))</f>
        <v/>
      </c>
      <c r="E2353" s="207" t="str">
        <f ca="1">IF(OFFSET('IWP15'!Std10dot4Withdrawals, 0, 7, 1, 1) = 0, "", OFFSET('IWP15'!Std10dot4Withdrawals, 0, 7, 1, 1))</f>
        <v/>
      </c>
    </row>
    <row r="2354" spans="1:5">
      <c r="A2354" s="206" t="s">
        <v>1318</v>
      </c>
      <c r="B2354" s="157">
        <f ca="1">IF(OFFSET('IWP15'!Std10dot4Withdrawals, 1, 0, 1, 1) = DATE(1900,1,0),DATE(1900,1,1),OFFSET('IWP15'!Std10dot4Withdrawals, 1, 0, 1, 1))</f>
        <v>1</v>
      </c>
      <c r="C2354" s="155">
        <f ca="1">OFFSET('IWP15'!Std10dot4Withdrawals, 1, 2, 1, 1)</f>
        <v>0</v>
      </c>
      <c r="D2354" s="151" t="str">
        <f ca="1">IF(OFFSET('IWP15'!Std10dot4Withdrawals, 1, 4, 1, 1) = 0, "", OFFSET('IWP15'!Std10dot4Withdrawals, 1, 4, 1, 1))</f>
        <v/>
      </c>
      <c r="E2354" s="207" t="str">
        <f ca="1">IF(OFFSET('IWP15'!Std10dot4Withdrawals, 1, 7, 1, 1) = 0, "", OFFSET('IWP15'!Std10dot4Withdrawals, 1, 7, 1, 1))</f>
        <v/>
      </c>
    </row>
    <row r="2355" spans="1:5">
      <c r="A2355" s="206" t="s">
        <v>1318</v>
      </c>
      <c r="B2355" s="157">
        <f ca="1">IF(OFFSET('IWP15'!Std10dot4Withdrawals, 2, 0, 1, 1) = DATE(1900,1,0),DATE(1900,1,1),OFFSET('IWP15'!Std10dot4Withdrawals, 2, 0, 1, 1))</f>
        <v>1</v>
      </c>
      <c r="C2355" s="155">
        <f ca="1">OFFSET('IWP15'!Std10dot4Withdrawals, 2, 2, 1, 1)</f>
        <v>0</v>
      </c>
      <c r="D2355" s="151" t="str">
        <f ca="1">IF(OFFSET('IWP15'!Std10dot4Withdrawals, 2, 4, 1, 1) = 0, "", OFFSET('IWP15'!Std10dot4Withdrawals, 2, 4, 1, 1))</f>
        <v/>
      </c>
      <c r="E2355" s="207" t="str">
        <f ca="1">IF(OFFSET('IWP15'!Std10dot4Withdrawals, 2, 7, 1, 1) = 0, "", OFFSET('IWP15'!Std10dot4Withdrawals, 2, 7, 1, 1))</f>
        <v/>
      </c>
    </row>
    <row r="2356" spans="1:5">
      <c r="A2356" s="206" t="s">
        <v>1318</v>
      </c>
      <c r="B2356" s="157">
        <f ca="1">IF(OFFSET('IWP15'!Std10dot4Withdrawals, 3, 0, 1, 1) = DATE(1900,1,0),DATE(1900,1,1),OFFSET('IWP15'!Std10dot4Withdrawals, 3, 0, 1, 1))</f>
        <v>1</v>
      </c>
      <c r="C2356" s="155">
        <f ca="1">OFFSET('IWP15'!Std10dot4Withdrawals, 3, 2, 1, 1)</f>
        <v>0</v>
      </c>
      <c r="D2356" s="151" t="str">
        <f ca="1">IF(OFFSET('IWP15'!Std10dot4Withdrawals, 3, 4, 1, 1) = 0, "", OFFSET('IWP15'!Std10dot4Withdrawals, 3, 4, 1, 1))</f>
        <v/>
      </c>
      <c r="E2356" s="207" t="str">
        <f ca="1">IF(OFFSET('IWP15'!Std10dot4Withdrawals, 3, 7, 1, 1) = 0, "", OFFSET('IWP15'!Std10dot4Withdrawals, 3, 7, 1, 1))</f>
        <v/>
      </c>
    </row>
    <row r="2357" spans="1:5">
      <c r="A2357" s="206" t="s">
        <v>1318</v>
      </c>
      <c r="B2357" s="157">
        <f ca="1">IF(OFFSET('IWP15'!Std10dot4Withdrawals, 4, 0, 1, 1) = DATE(1900,1,0),DATE(1900,1,1),OFFSET('IWP15'!Std10dot4Withdrawals, 4, 0, 1, 1))</f>
        <v>1</v>
      </c>
      <c r="C2357" s="155">
        <f ca="1">OFFSET('IWP15'!Std10dot4Withdrawals, 4, 2, 1, 1)</f>
        <v>0</v>
      </c>
      <c r="D2357" s="151" t="str">
        <f ca="1">IF(OFFSET('IWP15'!Std10dot4Withdrawals, 4, 4, 1, 1) = 0, "", OFFSET('IWP15'!Std10dot4Withdrawals, 4, 4, 1, 1))</f>
        <v/>
      </c>
      <c r="E2357" s="207" t="str">
        <f ca="1">IF(OFFSET('IWP15'!Std10dot4Withdrawals, 4, 7, 1, 1) = 0, "", OFFSET('IWP15'!Std10dot4Withdrawals, 4, 7, 1, 1))</f>
        <v/>
      </c>
    </row>
    <row r="2358" spans="1:5">
      <c r="A2358" s="206" t="s">
        <v>1318</v>
      </c>
      <c r="B2358" s="157">
        <f ca="1">IF(OFFSET('IWP15'!Std10dot4Withdrawals, 5, 0, 1, 1) = DATE(1900,1,0),DATE(1900,1,1),OFFSET('IWP15'!Std10dot4Withdrawals, 5, 0, 1, 1))</f>
        <v>1</v>
      </c>
      <c r="C2358" s="155">
        <f ca="1">OFFSET('IWP15'!Std10dot4Withdrawals, 5, 2, 1, 1)</f>
        <v>0</v>
      </c>
      <c r="D2358" s="151" t="str">
        <f ca="1">IF(OFFSET('IWP15'!Std10dot4Withdrawals, 5, 4, 1, 1) = 0, "", OFFSET('IWP15'!Std10dot4Withdrawals, 5, 4, 1, 1))</f>
        <v/>
      </c>
      <c r="E2358" s="207" t="str">
        <f ca="1">IF(OFFSET('IWP15'!Std10dot4Withdrawals, 5, 7, 1, 1) = 0, "", OFFSET('IWP15'!Std10dot4Withdrawals, 5, 7, 1, 1))</f>
        <v/>
      </c>
    </row>
    <row r="2359" spans="1:5">
      <c r="A2359" s="206" t="s">
        <v>1318</v>
      </c>
      <c r="B2359" s="157">
        <f ca="1">IF(OFFSET('IWP15'!Std10dot4Withdrawals, 6, 0, 1, 1) = DATE(1900,1,0),DATE(1900,1,1),OFFSET('IWP15'!Std10dot4Withdrawals, 6, 0, 1, 1))</f>
        <v>1</v>
      </c>
      <c r="C2359" s="155">
        <f ca="1">OFFSET('IWP15'!Std10dot4Withdrawals, 6, 2, 1, 1)</f>
        <v>0</v>
      </c>
      <c r="D2359" s="151" t="str">
        <f ca="1">IF(OFFSET('IWP15'!Std10dot4Withdrawals, 6, 4, 1, 1) = 0, "", OFFSET('IWP15'!Std10dot4Withdrawals, 6, 4, 1, 1))</f>
        <v/>
      </c>
      <c r="E2359" s="207" t="str">
        <f ca="1">IF(OFFSET('IWP15'!Std10dot4Withdrawals, 6, 7, 1, 1) = 0, "", OFFSET('IWP15'!Std10dot4Withdrawals, 6, 7, 1, 1))</f>
        <v/>
      </c>
    </row>
    <row r="2360" spans="1:5">
      <c r="A2360" s="206" t="s">
        <v>1318</v>
      </c>
      <c r="B2360" s="157">
        <f ca="1">IF(OFFSET('IWP15'!Std10dot4Withdrawals, 7, 0, 1, 1) = DATE(1900,1,0),DATE(1900,1,1),OFFSET('IWP15'!Std10dot4Withdrawals, 7, 0, 1, 1))</f>
        <v>1</v>
      </c>
      <c r="C2360" s="155">
        <f ca="1">OFFSET('IWP15'!Std10dot4Withdrawals, 7, 2, 1, 1)</f>
        <v>0</v>
      </c>
      <c r="D2360" s="151" t="str">
        <f ca="1">IF(OFFSET('IWP15'!Std10dot4Withdrawals, 7, 4, 1, 1) = 0, "", OFFSET('IWP15'!Std10dot4Withdrawals, 7, 4, 1, 1))</f>
        <v/>
      </c>
      <c r="E2360" s="207" t="str">
        <f ca="1">IF(OFFSET('IWP15'!Std10dot4Withdrawals, 7, 7, 1, 1) = 0, "", OFFSET('IWP15'!Std10dot4Withdrawals, 7, 7, 1, 1))</f>
        <v/>
      </c>
    </row>
    <row r="2361" spans="1:5">
      <c r="A2361" s="206" t="s">
        <v>1318</v>
      </c>
      <c r="B2361" s="157">
        <f ca="1">IF(OFFSET('IWP15'!Std10dot4Withdrawals, 8, 0, 1, 1) = DATE(1900,1,0),DATE(1900,1,1),OFFSET('IWP15'!Std10dot4Withdrawals, 8, 0, 1, 1))</f>
        <v>1</v>
      </c>
      <c r="C2361" s="155">
        <f ca="1">OFFSET('IWP15'!Std10dot4Withdrawals, 8, 2, 1, 1)</f>
        <v>0</v>
      </c>
      <c r="D2361" s="151" t="str">
        <f ca="1">IF(OFFSET('IWP15'!Std10dot4Withdrawals, 8, 4, 1, 1) = 0, "", OFFSET('IWP15'!Std10dot4Withdrawals, 8, 4, 1, 1))</f>
        <v/>
      </c>
      <c r="E2361" s="207" t="str">
        <f ca="1">IF(OFFSET('IWP15'!Std10dot4Withdrawals, 8, 7, 1, 1) = 0, "", OFFSET('IWP15'!Std10dot4Withdrawals, 8, 7, 1, 1))</f>
        <v/>
      </c>
    </row>
    <row r="2362" spans="1:5">
      <c r="A2362" s="206" t="s">
        <v>1318</v>
      </c>
      <c r="B2362" s="157">
        <f ca="1">IF(OFFSET('IWP15'!Std10dot4Withdrawals, 9, 0, 1, 1) = DATE(1900,1,0),DATE(1900,1,1),OFFSET('IWP15'!Std10dot4Withdrawals, 9, 0, 1, 1))</f>
        <v>1</v>
      </c>
      <c r="C2362" s="155">
        <f ca="1">OFFSET('IWP15'!Std10dot4Withdrawals, 9, 2, 1, 1)</f>
        <v>0</v>
      </c>
      <c r="D2362" s="151" t="str">
        <f ca="1">IF(OFFSET('IWP15'!Std10dot4Withdrawals, 9, 4, 1, 1) = 0, "", OFFSET('IWP15'!Std10dot4Withdrawals, 9, 4, 1, 1))</f>
        <v/>
      </c>
      <c r="E2362" s="207" t="str">
        <f ca="1">IF(OFFSET('IWP15'!Std10dot4Withdrawals, 9, 7, 1, 1) = 0, "", OFFSET('IWP15'!Std10dot4Withdrawals, 9, 7, 1, 1))</f>
        <v/>
      </c>
    </row>
    <row r="2363" spans="1:5">
      <c r="A2363" s="206" t="s">
        <v>1318</v>
      </c>
      <c r="B2363" s="157">
        <f ca="1">IF(OFFSET('IWP15'!Std10dot4Withdrawals, 10, 0, 1, 1) = DATE(1900,1,0),DATE(1900,1,1),OFFSET('IWP15'!Std10dot4Withdrawals, 10, 0, 1, 1))</f>
        <v>1</v>
      </c>
      <c r="C2363" s="155">
        <f ca="1">OFFSET('IWP15'!Std10dot4Withdrawals, 10, 2, 1, 1)</f>
        <v>0</v>
      </c>
      <c r="D2363" s="151" t="str">
        <f ca="1">IF(OFFSET('IWP15'!Std10dot4Withdrawals, 10, 4, 1, 1) = 0, "", OFFSET('IWP15'!Std10dot4Withdrawals, 10, 4, 1, 1))</f>
        <v/>
      </c>
      <c r="E2363" s="207" t="str">
        <f ca="1">IF(OFFSET('IWP15'!Std10dot4Withdrawals, 10, 7, 1, 1) = 0, "", OFFSET('IWP15'!Std10dot4Withdrawals, 10, 7, 1, 1))</f>
        <v/>
      </c>
    </row>
    <row r="2364" spans="1:5">
      <c r="A2364" s="206" t="s">
        <v>1318</v>
      </c>
      <c r="B2364" s="157">
        <f ca="1">IF(OFFSET('IWP15'!Std10dot4Withdrawals, 11, 0, 1, 1) = DATE(1900,1,0),DATE(1900,1,1),OFFSET('IWP15'!Std10dot4Withdrawals, 11, 0, 1, 1))</f>
        <v>1</v>
      </c>
      <c r="C2364" s="155">
        <f ca="1">OFFSET('IWP15'!Std10dot4Withdrawals, 11, 2, 1, 1)</f>
        <v>0</v>
      </c>
      <c r="D2364" s="151" t="str">
        <f ca="1">IF(OFFSET('IWP15'!Std10dot4Withdrawals, 11, 4, 1, 1) = 0, "", OFFSET('IWP15'!Std10dot4Withdrawals, 11, 4, 1, 1))</f>
        <v/>
      </c>
      <c r="E2364" s="207" t="str">
        <f ca="1">IF(OFFSET('IWP15'!Std10dot4Withdrawals, 11, 7, 1, 1) = 0, "", OFFSET('IWP15'!Std10dot4Withdrawals, 11, 7, 1, 1))</f>
        <v/>
      </c>
    </row>
    <row r="2365" spans="1:5">
      <c r="A2365" s="206" t="s">
        <v>1318</v>
      </c>
      <c r="B2365" s="157">
        <f ca="1">IF(OFFSET('IWP15'!Std10dot4Withdrawals, 12, 0, 1, 1) = DATE(1900,1,0),DATE(1900,1,1),OFFSET('IWP15'!Std10dot4Withdrawals, 12, 0, 1, 1))</f>
        <v>1</v>
      </c>
      <c r="C2365" s="155">
        <f ca="1">OFFSET('IWP15'!Std10dot4Withdrawals, 12, 2, 1, 1)</f>
        <v>0</v>
      </c>
      <c r="D2365" s="151" t="str">
        <f ca="1">IF(OFFSET('IWP15'!Std10dot4Withdrawals, 12, 4, 1, 1) = 0, "", OFFSET('IWP15'!Std10dot4Withdrawals, 12, 4, 1, 1))</f>
        <v/>
      </c>
      <c r="E2365" s="207" t="str">
        <f ca="1">IF(OFFSET('IWP15'!Std10dot4Withdrawals, 12, 7, 1, 1) = 0, "", OFFSET('IWP15'!Std10dot4Withdrawals, 12, 7, 1, 1))</f>
        <v/>
      </c>
    </row>
    <row r="2366" spans="1:5">
      <c r="A2366" s="206" t="s">
        <v>1318</v>
      </c>
      <c r="B2366" s="157">
        <f ca="1">IF(OFFSET('IWP15'!Std10dot4Withdrawals, 13, 0, 1, 1) = DATE(1900,1,0),DATE(1900,1,1),OFFSET('IWP15'!Std10dot4Withdrawals, 13, 0, 1, 1))</f>
        <v>1</v>
      </c>
      <c r="C2366" s="155">
        <f ca="1">OFFSET('IWP15'!Std10dot4Withdrawals, 13, 2, 1, 1)</f>
        <v>0</v>
      </c>
      <c r="D2366" s="151" t="str">
        <f ca="1">IF(OFFSET('IWP15'!Std10dot4Withdrawals, 13, 4, 1, 1) = 0, "", OFFSET('IWP15'!Std10dot4Withdrawals, 13, 4, 1, 1))</f>
        <v/>
      </c>
      <c r="E2366" s="207" t="str">
        <f ca="1">IF(OFFSET('IWP15'!Std10dot4Withdrawals, 13, 7, 1, 1) = 0, "", OFFSET('IWP15'!Std10dot4Withdrawals, 13, 7, 1, 1))</f>
        <v/>
      </c>
    </row>
    <row r="2367" spans="1:5">
      <c r="A2367" s="206" t="s">
        <v>1318</v>
      </c>
      <c r="B2367" s="157">
        <f ca="1">IF(OFFSET('IWP15'!Std10dot4Withdrawals, 14, 0, 1, 1) = DATE(1900,1,0),DATE(1900,1,1),OFFSET('IWP15'!Std10dot4Withdrawals, 14, 0, 1, 1))</f>
        <v>1</v>
      </c>
      <c r="C2367" s="155">
        <f ca="1">OFFSET('IWP15'!Std10dot4Withdrawals, 14, 2, 1, 1)</f>
        <v>0</v>
      </c>
      <c r="D2367" s="151" t="str">
        <f ca="1">IF(OFFSET('IWP15'!Std10dot4Withdrawals, 14, 4, 1, 1) = 0, "", OFFSET('IWP15'!Std10dot4Withdrawals, 14, 4, 1, 1))</f>
        <v/>
      </c>
      <c r="E2367" s="207" t="str">
        <f ca="1">IF(OFFSET('IWP15'!Std10dot4Withdrawals, 14, 7, 1, 1) = 0, "", OFFSET('IWP15'!Std10dot4Withdrawals, 14, 7, 1, 1))</f>
        <v/>
      </c>
    </row>
    <row r="2368" spans="1:5">
      <c r="A2368" s="206" t="s">
        <v>1318</v>
      </c>
      <c r="B2368" s="157">
        <f ca="1">IF(OFFSET('IWP15'!Std10dot4Withdrawals, 15, 0, 1, 1) = DATE(1900,1,0),DATE(1900,1,1),OFFSET('IWP15'!Std10dot4Withdrawals, 15, 0, 1, 1))</f>
        <v>1</v>
      </c>
      <c r="C2368" s="155">
        <f ca="1">OFFSET('IWP15'!Std10dot4Withdrawals, 15, 2, 1, 1)</f>
        <v>0</v>
      </c>
      <c r="D2368" s="151" t="str">
        <f ca="1">IF(OFFSET('IWP15'!Std10dot4Withdrawals, 15, 4, 1, 1) = 0, "", OFFSET('IWP15'!Std10dot4Withdrawals, 15, 4, 1, 1))</f>
        <v/>
      </c>
      <c r="E2368" s="207" t="str">
        <f ca="1">IF(OFFSET('IWP15'!Std10dot4Withdrawals, 15, 7, 1, 1) = 0, "", OFFSET('IWP15'!Std10dot4Withdrawals, 15, 7, 1, 1))</f>
        <v/>
      </c>
    </row>
    <row r="2369" spans="1:5">
      <c r="A2369" s="206" t="s">
        <v>1318</v>
      </c>
      <c r="B2369" s="157">
        <f ca="1">IF(OFFSET('IWP15'!Std10dot4Withdrawals, 16, 0, 1, 1) = DATE(1900,1,0),DATE(1900,1,1),OFFSET('IWP15'!Std10dot4Withdrawals, 16, 0, 1, 1))</f>
        <v>1</v>
      </c>
      <c r="C2369" s="155">
        <f ca="1">OFFSET('IWP15'!Std10dot4Withdrawals, 16, 2, 1, 1)</f>
        <v>0</v>
      </c>
      <c r="D2369" s="151" t="str">
        <f ca="1">IF(OFFSET('IWP15'!Std10dot4Withdrawals, 16, 4, 1, 1) = 0, "", OFFSET('IWP15'!Std10dot4Withdrawals, 16, 4, 1, 1))</f>
        <v/>
      </c>
      <c r="E2369" s="207" t="str">
        <f ca="1">IF(OFFSET('IWP15'!Std10dot4Withdrawals, 16, 7, 1, 1) = 0, "", OFFSET('IWP15'!Std10dot4Withdrawals, 16, 7, 1, 1))</f>
        <v/>
      </c>
    </row>
    <row r="2370" spans="1:5">
      <c r="A2370" s="206" t="s">
        <v>1318</v>
      </c>
      <c r="B2370" s="157">
        <f ca="1">IF(OFFSET('IWP15'!Std10dot4Withdrawals, 17, 0, 1, 1) = DATE(1900,1,0),DATE(1900,1,1),OFFSET('IWP15'!Std10dot4Withdrawals, 17, 0, 1, 1))</f>
        <v>1</v>
      </c>
      <c r="C2370" s="155">
        <f ca="1">OFFSET('IWP15'!Std10dot4Withdrawals, 17, 2, 1, 1)</f>
        <v>0</v>
      </c>
      <c r="D2370" s="151" t="str">
        <f ca="1">IF(OFFSET('IWP15'!Std10dot4Withdrawals, 17, 4, 1, 1) = 0, "", OFFSET('IWP15'!Std10dot4Withdrawals, 17, 4, 1, 1))</f>
        <v/>
      </c>
      <c r="E2370" s="207" t="str">
        <f ca="1">IF(OFFSET('IWP15'!Std10dot4Withdrawals, 17, 7, 1, 1) = 0, "", OFFSET('IWP15'!Std10dot4Withdrawals, 17, 7, 1, 1))</f>
        <v/>
      </c>
    </row>
    <row r="2371" spans="1:5">
      <c r="A2371" s="206" t="s">
        <v>1318</v>
      </c>
      <c r="B2371" s="157">
        <f ca="1">IF(OFFSET('IWP15'!Std10dot4Withdrawals, 18, 0, 1, 1) = DATE(1900,1,0),DATE(1900,1,1),OFFSET('IWP15'!Std10dot4Withdrawals, 18, 0, 1, 1))</f>
        <v>1</v>
      </c>
      <c r="C2371" s="155">
        <f ca="1">OFFSET('IWP15'!Std10dot4Withdrawals, 18, 2, 1, 1)</f>
        <v>0</v>
      </c>
      <c r="D2371" s="151" t="str">
        <f ca="1">IF(OFFSET('IWP15'!Std10dot4Withdrawals, 18, 4, 1, 1) = 0, "", OFFSET('IWP15'!Std10dot4Withdrawals, 18, 4, 1, 1))</f>
        <v/>
      </c>
      <c r="E2371" s="207" t="str">
        <f ca="1">IF(OFFSET('IWP15'!Std10dot4Withdrawals, 18, 7, 1, 1) = 0, "", OFFSET('IWP15'!Std10dot4Withdrawals, 18, 7, 1, 1))</f>
        <v/>
      </c>
    </row>
    <row r="2372" spans="1:5">
      <c r="A2372" s="206" t="s">
        <v>1318</v>
      </c>
      <c r="B2372" s="157">
        <f ca="1">IF(OFFSET('IWP15'!Std10dot4Withdrawals, 19, 0, 1, 1) = DATE(1900,1,0),DATE(1900,1,1),OFFSET('IWP15'!Std10dot4Withdrawals, 19, 0, 1, 1))</f>
        <v>1</v>
      </c>
      <c r="C2372" s="155">
        <f ca="1">OFFSET('IWP15'!Std10dot4Withdrawals, 19, 2, 1, 1)</f>
        <v>0</v>
      </c>
      <c r="D2372" s="151" t="str">
        <f ca="1">IF(OFFSET('IWP15'!Std10dot4Withdrawals, 19, 4, 1, 1) = 0, "", OFFSET('IWP15'!Std10dot4Withdrawals, 19, 4, 1, 1))</f>
        <v/>
      </c>
      <c r="E2372" s="207" t="str">
        <f ca="1">IF(OFFSET('IWP15'!Std10dot4Withdrawals, 19, 7, 1, 1) = 0, "", OFFSET('IWP15'!Std10dot4Withdrawals, 19, 7, 1, 1))</f>
        <v/>
      </c>
    </row>
    <row r="2373" spans="1:5">
      <c r="A2373" s="206" t="s">
        <v>1319</v>
      </c>
      <c r="B2373" s="157">
        <f ca="1">IF(OFFSET('IWP16'!Std10dot4Withdrawals, 0, 0, 1, 1) = DATE(1900,1,0),DATE(1900,1,1),OFFSET('IWP16'!Std10dot4Withdrawals, 0, 0, 1, 1))</f>
        <v>1</v>
      </c>
      <c r="C2373" s="155">
        <f ca="1">OFFSET('IWP16'!Std10dot4Withdrawals, 0, 2, 1, 1)</f>
        <v>0</v>
      </c>
      <c r="D2373" s="151" t="str">
        <f ca="1">IF(OFFSET('IWP16'!Std10dot4Withdrawals, 0, 4, 1, 1) = 0, "", OFFSET('IWP16'!Std10dot4Withdrawals, 0, 4, 1, 1))</f>
        <v/>
      </c>
      <c r="E2373" s="207" t="str">
        <f ca="1">IF(OFFSET('IWP16'!Std10dot4Withdrawals, 0, 7, 1, 1) = 0, "", OFFSET('IWP16'!Std10dot4Withdrawals, 0, 7, 1, 1))</f>
        <v/>
      </c>
    </row>
    <row r="2374" spans="1:5">
      <c r="A2374" s="206" t="s">
        <v>1319</v>
      </c>
      <c r="B2374" s="157">
        <f ca="1">IF(OFFSET('IWP16'!Std10dot4Withdrawals, 1, 0, 1, 1) = DATE(1900,1,0),DATE(1900,1,1),OFFSET('IWP16'!Std10dot4Withdrawals, 1, 0, 1, 1))</f>
        <v>1</v>
      </c>
      <c r="C2374" s="155">
        <f ca="1">OFFSET('IWP16'!Std10dot4Withdrawals, 1, 2, 1, 1)</f>
        <v>0</v>
      </c>
      <c r="D2374" s="151" t="str">
        <f ca="1">IF(OFFSET('IWP16'!Std10dot4Withdrawals, 1, 4, 1, 1) = 0, "", OFFSET('IWP16'!Std10dot4Withdrawals, 1, 4, 1, 1))</f>
        <v/>
      </c>
      <c r="E2374" s="207" t="str">
        <f ca="1">IF(OFFSET('IWP16'!Std10dot4Withdrawals, 1, 7, 1, 1) = 0, "", OFFSET('IWP16'!Std10dot4Withdrawals, 1, 7, 1, 1))</f>
        <v/>
      </c>
    </row>
    <row r="2375" spans="1:5">
      <c r="A2375" s="206" t="s">
        <v>1319</v>
      </c>
      <c r="B2375" s="157">
        <f ca="1">IF(OFFSET('IWP16'!Std10dot4Withdrawals, 2, 0, 1, 1) = DATE(1900,1,0),DATE(1900,1,1),OFFSET('IWP16'!Std10dot4Withdrawals, 2, 0, 1, 1))</f>
        <v>1</v>
      </c>
      <c r="C2375" s="155">
        <f ca="1">OFFSET('IWP16'!Std10dot4Withdrawals, 2, 2, 1, 1)</f>
        <v>0</v>
      </c>
      <c r="D2375" s="151" t="str">
        <f ca="1">IF(OFFSET('IWP16'!Std10dot4Withdrawals, 2, 4, 1, 1) = 0, "", OFFSET('IWP16'!Std10dot4Withdrawals, 2, 4, 1, 1))</f>
        <v/>
      </c>
      <c r="E2375" s="207" t="str">
        <f ca="1">IF(OFFSET('IWP16'!Std10dot4Withdrawals, 2, 7, 1, 1) = 0, "", OFFSET('IWP16'!Std10dot4Withdrawals, 2, 7, 1, 1))</f>
        <v/>
      </c>
    </row>
    <row r="2376" spans="1:5">
      <c r="A2376" s="206" t="s">
        <v>1319</v>
      </c>
      <c r="B2376" s="157">
        <f ca="1">IF(OFFSET('IWP16'!Std10dot4Withdrawals, 3, 0, 1, 1) = DATE(1900,1,0),DATE(1900,1,1),OFFSET('IWP16'!Std10dot4Withdrawals, 3, 0, 1, 1))</f>
        <v>1</v>
      </c>
      <c r="C2376" s="155">
        <f ca="1">OFFSET('IWP16'!Std10dot4Withdrawals, 3, 2, 1, 1)</f>
        <v>0</v>
      </c>
      <c r="D2376" s="151" t="str">
        <f ca="1">IF(OFFSET('IWP16'!Std10dot4Withdrawals, 3, 4, 1, 1) = 0, "", OFFSET('IWP16'!Std10dot4Withdrawals, 3, 4, 1, 1))</f>
        <v/>
      </c>
      <c r="E2376" s="207" t="str">
        <f ca="1">IF(OFFSET('IWP16'!Std10dot4Withdrawals, 3, 7, 1, 1) = 0, "", OFFSET('IWP16'!Std10dot4Withdrawals, 3, 7, 1, 1))</f>
        <v/>
      </c>
    </row>
    <row r="2377" spans="1:5">
      <c r="A2377" s="206" t="s">
        <v>1319</v>
      </c>
      <c r="B2377" s="157">
        <f ca="1">IF(OFFSET('IWP16'!Std10dot4Withdrawals, 4, 0, 1, 1) = DATE(1900,1,0),DATE(1900,1,1),OFFSET('IWP16'!Std10dot4Withdrawals, 4, 0, 1, 1))</f>
        <v>1</v>
      </c>
      <c r="C2377" s="155">
        <f ca="1">OFFSET('IWP16'!Std10dot4Withdrawals, 4, 2, 1, 1)</f>
        <v>0</v>
      </c>
      <c r="D2377" s="151" t="str">
        <f ca="1">IF(OFFSET('IWP16'!Std10dot4Withdrawals, 4, 4, 1, 1) = 0, "", OFFSET('IWP16'!Std10dot4Withdrawals, 4, 4, 1, 1))</f>
        <v/>
      </c>
      <c r="E2377" s="207" t="str">
        <f ca="1">IF(OFFSET('IWP16'!Std10dot4Withdrawals, 4, 7, 1, 1) = 0, "", OFFSET('IWP16'!Std10dot4Withdrawals, 4, 7, 1, 1))</f>
        <v/>
      </c>
    </row>
    <row r="2378" spans="1:5">
      <c r="A2378" s="206" t="s">
        <v>1319</v>
      </c>
      <c r="B2378" s="157">
        <f ca="1">IF(OFFSET('IWP16'!Std10dot4Withdrawals, 5, 0, 1, 1) = DATE(1900,1,0),DATE(1900,1,1),OFFSET('IWP16'!Std10dot4Withdrawals, 5, 0, 1, 1))</f>
        <v>1</v>
      </c>
      <c r="C2378" s="155">
        <f ca="1">OFFSET('IWP16'!Std10dot4Withdrawals, 5, 2, 1, 1)</f>
        <v>0</v>
      </c>
      <c r="D2378" s="151" t="str">
        <f ca="1">IF(OFFSET('IWP16'!Std10dot4Withdrawals, 5, 4, 1, 1) = 0, "", OFFSET('IWP16'!Std10dot4Withdrawals, 5, 4, 1, 1))</f>
        <v/>
      </c>
      <c r="E2378" s="207" t="str">
        <f ca="1">IF(OFFSET('IWP16'!Std10dot4Withdrawals, 5, 7, 1, 1) = 0, "", OFFSET('IWP16'!Std10dot4Withdrawals, 5, 7, 1, 1))</f>
        <v/>
      </c>
    </row>
    <row r="2379" spans="1:5">
      <c r="A2379" s="206" t="s">
        <v>1319</v>
      </c>
      <c r="B2379" s="157">
        <f ca="1">IF(OFFSET('IWP16'!Std10dot4Withdrawals, 6, 0, 1, 1) = DATE(1900,1,0),DATE(1900,1,1),OFFSET('IWP16'!Std10dot4Withdrawals, 6, 0, 1, 1))</f>
        <v>1</v>
      </c>
      <c r="C2379" s="155">
        <f ca="1">OFFSET('IWP16'!Std10dot4Withdrawals, 6, 2, 1, 1)</f>
        <v>0</v>
      </c>
      <c r="D2379" s="151" t="str">
        <f ca="1">IF(OFFSET('IWP16'!Std10dot4Withdrawals, 6, 4, 1, 1) = 0, "", OFFSET('IWP16'!Std10dot4Withdrawals, 6, 4, 1, 1))</f>
        <v/>
      </c>
      <c r="E2379" s="207" t="str">
        <f ca="1">IF(OFFSET('IWP16'!Std10dot4Withdrawals, 6, 7, 1, 1) = 0, "", OFFSET('IWP16'!Std10dot4Withdrawals, 6, 7, 1, 1))</f>
        <v/>
      </c>
    </row>
    <row r="2380" spans="1:5">
      <c r="A2380" s="206" t="s">
        <v>1319</v>
      </c>
      <c r="B2380" s="157">
        <f ca="1">IF(OFFSET('IWP16'!Std10dot4Withdrawals, 7, 0, 1, 1) = DATE(1900,1,0),DATE(1900,1,1),OFFSET('IWP16'!Std10dot4Withdrawals, 7, 0, 1, 1))</f>
        <v>1</v>
      </c>
      <c r="C2380" s="155">
        <f ca="1">OFFSET('IWP16'!Std10dot4Withdrawals, 7, 2, 1, 1)</f>
        <v>0</v>
      </c>
      <c r="D2380" s="151" t="str">
        <f ca="1">IF(OFFSET('IWP16'!Std10dot4Withdrawals, 7, 4, 1, 1) = 0, "", OFFSET('IWP16'!Std10dot4Withdrawals, 7, 4, 1, 1))</f>
        <v/>
      </c>
      <c r="E2380" s="207" t="str">
        <f ca="1">IF(OFFSET('IWP16'!Std10dot4Withdrawals, 7, 7, 1, 1) = 0, "", OFFSET('IWP16'!Std10dot4Withdrawals, 7, 7, 1, 1))</f>
        <v/>
      </c>
    </row>
    <row r="2381" spans="1:5">
      <c r="A2381" s="206" t="s">
        <v>1319</v>
      </c>
      <c r="B2381" s="157">
        <f ca="1">IF(OFFSET('IWP16'!Std10dot4Withdrawals, 8, 0, 1, 1) = DATE(1900,1,0),DATE(1900,1,1),OFFSET('IWP16'!Std10dot4Withdrawals, 8, 0, 1, 1))</f>
        <v>1</v>
      </c>
      <c r="C2381" s="155">
        <f ca="1">OFFSET('IWP16'!Std10dot4Withdrawals, 8, 2, 1, 1)</f>
        <v>0</v>
      </c>
      <c r="D2381" s="151" t="str">
        <f ca="1">IF(OFFSET('IWP16'!Std10dot4Withdrawals, 8, 4, 1, 1) = 0, "", OFFSET('IWP16'!Std10dot4Withdrawals, 8, 4, 1, 1))</f>
        <v/>
      </c>
      <c r="E2381" s="207" t="str">
        <f ca="1">IF(OFFSET('IWP16'!Std10dot4Withdrawals, 8, 7, 1, 1) = 0, "", OFFSET('IWP16'!Std10dot4Withdrawals, 8, 7, 1, 1))</f>
        <v/>
      </c>
    </row>
    <row r="2382" spans="1:5">
      <c r="A2382" s="206" t="s">
        <v>1319</v>
      </c>
      <c r="B2382" s="157">
        <f ca="1">IF(OFFSET('IWP16'!Std10dot4Withdrawals, 9, 0, 1, 1) = DATE(1900,1,0),DATE(1900,1,1),OFFSET('IWP16'!Std10dot4Withdrawals, 9, 0, 1, 1))</f>
        <v>1</v>
      </c>
      <c r="C2382" s="155">
        <f ca="1">OFFSET('IWP16'!Std10dot4Withdrawals, 9, 2, 1, 1)</f>
        <v>0</v>
      </c>
      <c r="D2382" s="151" t="str">
        <f ca="1">IF(OFFSET('IWP16'!Std10dot4Withdrawals, 9, 4, 1, 1) = 0, "", OFFSET('IWP16'!Std10dot4Withdrawals, 9, 4, 1, 1))</f>
        <v/>
      </c>
      <c r="E2382" s="207" t="str">
        <f ca="1">IF(OFFSET('IWP16'!Std10dot4Withdrawals, 9, 7, 1, 1) = 0, "", OFFSET('IWP16'!Std10dot4Withdrawals, 9, 7, 1, 1))</f>
        <v/>
      </c>
    </row>
    <row r="2383" spans="1:5">
      <c r="A2383" s="206" t="s">
        <v>1319</v>
      </c>
      <c r="B2383" s="157">
        <f ca="1">IF(OFFSET('IWP16'!Std10dot4Withdrawals, 10, 0, 1, 1) = DATE(1900,1,0),DATE(1900,1,1),OFFSET('IWP16'!Std10dot4Withdrawals, 10, 0, 1, 1))</f>
        <v>1</v>
      </c>
      <c r="C2383" s="155">
        <f ca="1">OFFSET('IWP16'!Std10dot4Withdrawals, 10, 2, 1, 1)</f>
        <v>0</v>
      </c>
      <c r="D2383" s="151" t="str">
        <f ca="1">IF(OFFSET('IWP16'!Std10dot4Withdrawals, 10, 4, 1, 1) = 0, "", OFFSET('IWP16'!Std10dot4Withdrawals, 10, 4, 1, 1))</f>
        <v/>
      </c>
      <c r="E2383" s="207" t="str">
        <f ca="1">IF(OFFSET('IWP16'!Std10dot4Withdrawals, 10, 7, 1, 1) = 0, "", OFFSET('IWP16'!Std10dot4Withdrawals, 10, 7, 1, 1))</f>
        <v/>
      </c>
    </row>
    <row r="2384" spans="1:5">
      <c r="A2384" s="206" t="s">
        <v>1319</v>
      </c>
      <c r="B2384" s="157">
        <f ca="1">IF(OFFSET('IWP16'!Std10dot4Withdrawals, 11, 0, 1, 1) = DATE(1900,1,0),DATE(1900,1,1),OFFSET('IWP16'!Std10dot4Withdrawals, 11, 0, 1, 1))</f>
        <v>1</v>
      </c>
      <c r="C2384" s="155">
        <f ca="1">OFFSET('IWP16'!Std10dot4Withdrawals, 11, 2, 1, 1)</f>
        <v>0</v>
      </c>
      <c r="D2384" s="151" t="str">
        <f ca="1">IF(OFFSET('IWP16'!Std10dot4Withdrawals, 11, 4, 1, 1) = 0, "", OFFSET('IWP16'!Std10dot4Withdrawals, 11, 4, 1, 1))</f>
        <v/>
      </c>
      <c r="E2384" s="207" t="str">
        <f ca="1">IF(OFFSET('IWP16'!Std10dot4Withdrawals, 11, 7, 1, 1) = 0, "", OFFSET('IWP16'!Std10dot4Withdrawals, 11, 7, 1, 1))</f>
        <v/>
      </c>
    </row>
    <row r="2385" spans="1:5">
      <c r="A2385" s="206" t="s">
        <v>1319</v>
      </c>
      <c r="B2385" s="157">
        <f ca="1">IF(OFFSET('IWP16'!Std10dot4Withdrawals, 12, 0, 1, 1) = DATE(1900,1,0),DATE(1900,1,1),OFFSET('IWP16'!Std10dot4Withdrawals, 12, 0, 1, 1))</f>
        <v>1</v>
      </c>
      <c r="C2385" s="155">
        <f ca="1">OFFSET('IWP16'!Std10dot4Withdrawals, 12, 2, 1, 1)</f>
        <v>0</v>
      </c>
      <c r="D2385" s="151" t="str">
        <f ca="1">IF(OFFSET('IWP16'!Std10dot4Withdrawals, 12, 4, 1, 1) = 0, "", OFFSET('IWP16'!Std10dot4Withdrawals, 12, 4, 1, 1))</f>
        <v/>
      </c>
      <c r="E2385" s="207" t="str">
        <f ca="1">IF(OFFSET('IWP16'!Std10dot4Withdrawals, 12, 7, 1, 1) = 0, "", OFFSET('IWP16'!Std10dot4Withdrawals, 12, 7, 1, 1))</f>
        <v/>
      </c>
    </row>
    <row r="2386" spans="1:5">
      <c r="A2386" s="206" t="s">
        <v>1319</v>
      </c>
      <c r="B2386" s="157">
        <f ca="1">IF(OFFSET('IWP16'!Std10dot4Withdrawals, 13, 0, 1, 1) = DATE(1900,1,0),DATE(1900,1,1),OFFSET('IWP16'!Std10dot4Withdrawals, 13, 0, 1, 1))</f>
        <v>1</v>
      </c>
      <c r="C2386" s="155">
        <f ca="1">OFFSET('IWP16'!Std10dot4Withdrawals, 13, 2, 1, 1)</f>
        <v>0</v>
      </c>
      <c r="D2386" s="151" t="str">
        <f ca="1">IF(OFFSET('IWP16'!Std10dot4Withdrawals, 13, 4, 1, 1) = 0, "", OFFSET('IWP16'!Std10dot4Withdrawals, 13, 4, 1, 1))</f>
        <v/>
      </c>
      <c r="E2386" s="207" t="str">
        <f ca="1">IF(OFFSET('IWP16'!Std10dot4Withdrawals, 13, 7, 1, 1) = 0, "", OFFSET('IWP16'!Std10dot4Withdrawals, 13, 7, 1, 1))</f>
        <v/>
      </c>
    </row>
    <row r="2387" spans="1:5">
      <c r="A2387" s="206" t="s">
        <v>1319</v>
      </c>
      <c r="B2387" s="157">
        <f ca="1">IF(OFFSET('IWP16'!Std10dot4Withdrawals, 14, 0, 1, 1) = DATE(1900,1,0),DATE(1900,1,1),OFFSET('IWP16'!Std10dot4Withdrawals, 14, 0, 1, 1))</f>
        <v>1</v>
      </c>
      <c r="C2387" s="155">
        <f ca="1">OFFSET('IWP16'!Std10dot4Withdrawals, 14, 2, 1, 1)</f>
        <v>0</v>
      </c>
      <c r="D2387" s="151" t="str">
        <f ca="1">IF(OFFSET('IWP16'!Std10dot4Withdrawals, 14, 4, 1, 1) = 0, "", OFFSET('IWP16'!Std10dot4Withdrawals, 14, 4, 1, 1))</f>
        <v/>
      </c>
      <c r="E2387" s="207" t="str">
        <f ca="1">IF(OFFSET('IWP16'!Std10dot4Withdrawals, 14, 7, 1, 1) = 0, "", OFFSET('IWP16'!Std10dot4Withdrawals, 14, 7, 1, 1))</f>
        <v/>
      </c>
    </row>
    <row r="2388" spans="1:5">
      <c r="A2388" s="206" t="s">
        <v>1319</v>
      </c>
      <c r="B2388" s="157">
        <f ca="1">IF(OFFSET('IWP16'!Std10dot4Withdrawals, 15, 0, 1, 1) = DATE(1900,1,0),DATE(1900,1,1),OFFSET('IWP16'!Std10dot4Withdrawals, 15, 0, 1, 1))</f>
        <v>1</v>
      </c>
      <c r="C2388" s="155">
        <f ca="1">OFFSET('IWP16'!Std10dot4Withdrawals, 15, 2, 1, 1)</f>
        <v>0</v>
      </c>
      <c r="D2388" s="151" t="str">
        <f ca="1">IF(OFFSET('IWP16'!Std10dot4Withdrawals, 15, 4, 1, 1) = 0, "", OFFSET('IWP16'!Std10dot4Withdrawals, 15, 4, 1, 1))</f>
        <v/>
      </c>
      <c r="E2388" s="207" t="str">
        <f ca="1">IF(OFFSET('IWP16'!Std10dot4Withdrawals, 15, 7, 1, 1) = 0, "", OFFSET('IWP16'!Std10dot4Withdrawals, 15, 7, 1, 1))</f>
        <v/>
      </c>
    </row>
    <row r="2389" spans="1:5">
      <c r="A2389" s="206" t="s">
        <v>1319</v>
      </c>
      <c r="B2389" s="157">
        <f ca="1">IF(OFFSET('IWP16'!Std10dot4Withdrawals, 16, 0, 1, 1) = DATE(1900,1,0),DATE(1900,1,1),OFFSET('IWP16'!Std10dot4Withdrawals, 16, 0, 1, 1))</f>
        <v>1</v>
      </c>
      <c r="C2389" s="155">
        <f ca="1">OFFSET('IWP16'!Std10dot4Withdrawals, 16, 2, 1, 1)</f>
        <v>0</v>
      </c>
      <c r="D2389" s="151" t="str">
        <f ca="1">IF(OFFSET('IWP16'!Std10dot4Withdrawals, 16, 4, 1, 1) = 0, "", OFFSET('IWP16'!Std10dot4Withdrawals, 16, 4, 1, 1))</f>
        <v/>
      </c>
      <c r="E2389" s="207" t="str">
        <f ca="1">IF(OFFSET('IWP16'!Std10dot4Withdrawals, 16, 7, 1, 1) = 0, "", OFFSET('IWP16'!Std10dot4Withdrawals, 16, 7, 1, 1))</f>
        <v/>
      </c>
    </row>
    <row r="2390" spans="1:5">
      <c r="A2390" s="206" t="s">
        <v>1319</v>
      </c>
      <c r="B2390" s="157">
        <f ca="1">IF(OFFSET('IWP16'!Std10dot4Withdrawals, 17, 0, 1, 1) = DATE(1900,1,0),DATE(1900,1,1),OFFSET('IWP16'!Std10dot4Withdrawals, 17, 0, 1, 1))</f>
        <v>1</v>
      </c>
      <c r="C2390" s="155">
        <f ca="1">OFFSET('IWP16'!Std10dot4Withdrawals, 17, 2, 1, 1)</f>
        <v>0</v>
      </c>
      <c r="D2390" s="151" t="str">
        <f ca="1">IF(OFFSET('IWP16'!Std10dot4Withdrawals, 17, 4, 1, 1) = 0, "", OFFSET('IWP16'!Std10dot4Withdrawals, 17, 4, 1, 1))</f>
        <v/>
      </c>
      <c r="E2390" s="207" t="str">
        <f ca="1">IF(OFFSET('IWP16'!Std10dot4Withdrawals, 17, 7, 1, 1) = 0, "", OFFSET('IWP16'!Std10dot4Withdrawals, 17, 7, 1, 1))</f>
        <v/>
      </c>
    </row>
    <row r="2391" spans="1:5">
      <c r="A2391" s="206" t="s">
        <v>1319</v>
      </c>
      <c r="B2391" s="157">
        <f ca="1">IF(OFFSET('IWP16'!Std10dot4Withdrawals, 18, 0, 1, 1) = DATE(1900,1,0),DATE(1900,1,1),OFFSET('IWP16'!Std10dot4Withdrawals, 18, 0, 1, 1))</f>
        <v>1</v>
      </c>
      <c r="C2391" s="155">
        <f ca="1">OFFSET('IWP16'!Std10dot4Withdrawals, 18, 2, 1, 1)</f>
        <v>0</v>
      </c>
      <c r="D2391" s="151" t="str">
        <f ca="1">IF(OFFSET('IWP16'!Std10dot4Withdrawals, 18, 4, 1, 1) = 0, "", OFFSET('IWP16'!Std10dot4Withdrawals, 18, 4, 1, 1))</f>
        <v/>
      </c>
      <c r="E2391" s="207" t="str">
        <f ca="1">IF(OFFSET('IWP16'!Std10dot4Withdrawals, 18, 7, 1, 1) = 0, "", OFFSET('IWP16'!Std10dot4Withdrawals, 18, 7, 1, 1))</f>
        <v/>
      </c>
    </row>
    <row r="2392" spans="1:5">
      <c r="A2392" s="206" t="s">
        <v>1319</v>
      </c>
      <c r="B2392" s="157">
        <f ca="1">IF(OFFSET('IWP16'!Std10dot4Withdrawals, 19, 0, 1, 1) = DATE(1900,1,0),DATE(1900,1,1),OFFSET('IWP16'!Std10dot4Withdrawals, 19, 0, 1, 1))</f>
        <v>1</v>
      </c>
      <c r="C2392" s="155">
        <f ca="1">OFFSET('IWP16'!Std10dot4Withdrawals, 19, 2, 1, 1)</f>
        <v>0</v>
      </c>
      <c r="D2392" s="151" t="str">
        <f ca="1">IF(OFFSET('IWP16'!Std10dot4Withdrawals, 19, 4, 1, 1) = 0, "", OFFSET('IWP16'!Std10dot4Withdrawals, 19, 4, 1, 1))</f>
        <v/>
      </c>
      <c r="E2392" s="207" t="str">
        <f ca="1">IF(OFFSET('IWP16'!Std10dot4Withdrawals, 19, 7, 1, 1) = 0, "", OFFSET('IWP16'!Std10dot4Withdrawals, 19, 7, 1, 1))</f>
        <v/>
      </c>
    </row>
    <row r="2393" spans="1:5">
      <c r="A2393" s="206" t="s">
        <v>1320</v>
      </c>
      <c r="B2393" s="157">
        <f ca="1">IF(OFFSET('IWP17'!Std10dot4Withdrawals, 0, 0, 1, 1) = DATE(1900,1,0),DATE(1900,1,1),OFFSET('IWP17'!Std10dot4Withdrawals, 0, 0, 1, 1))</f>
        <v>1</v>
      </c>
      <c r="C2393" s="155">
        <f ca="1">OFFSET('IWP17'!Std10dot4Withdrawals, 0, 2, 1, 1)</f>
        <v>0</v>
      </c>
      <c r="D2393" s="151" t="str">
        <f ca="1">IF(OFFSET('IWP17'!Std10dot4Withdrawals, 0, 4, 1, 1) = 0, "", OFFSET('IWP17'!Std10dot4Withdrawals, 0, 4, 1, 1))</f>
        <v/>
      </c>
      <c r="E2393" s="207" t="str">
        <f ca="1">IF(OFFSET('IWP17'!Std10dot4Withdrawals, 0, 7, 1, 1) = 0, "", OFFSET('IWP17'!Std10dot4Withdrawals, 0, 7, 1, 1))</f>
        <v/>
      </c>
    </row>
    <row r="2394" spans="1:5">
      <c r="A2394" s="206" t="s">
        <v>1320</v>
      </c>
      <c r="B2394" s="157">
        <f ca="1">IF(OFFSET('IWP17'!Std10dot4Withdrawals, 1, 0, 1, 1) = DATE(1900,1,0),DATE(1900,1,1),OFFSET('IWP17'!Std10dot4Withdrawals, 1, 0, 1, 1))</f>
        <v>1</v>
      </c>
      <c r="C2394" s="155">
        <f ca="1">OFFSET('IWP17'!Std10dot4Withdrawals, 1, 2, 1, 1)</f>
        <v>0</v>
      </c>
      <c r="D2394" s="151" t="str">
        <f ca="1">IF(OFFSET('IWP17'!Std10dot4Withdrawals, 1, 4, 1, 1) = 0, "", OFFSET('IWP17'!Std10dot4Withdrawals, 1, 4, 1, 1))</f>
        <v/>
      </c>
      <c r="E2394" s="207" t="str">
        <f ca="1">IF(OFFSET('IWP17'!Std10dot4Withdrawals, 1, 7, 1, 1) = 0, "", OFFSET('IWP17'!Std10dot4Withdrawals, 1, 7, 1, 1))</f>
        <v/>
      </c>
    </row>
    <row r="2395" spans="1:5">
      <c r="A2395" s="206" t="s">
        <v>1320</v>
      </c>
      <c r="B2395" s="157">
        <f ca="1">IF(OFFSET('IWP17'!Std10dot4Withdrawals, 2, 0, 1, 1) = DATE(1900,1,0),DATE(1900,1,1),OFFSET('IWP17'!Std10dot4Withdrawals, 2, 0, 1, 1))</f>
        <v>1</v>
      </c>
      <c r="C2395" s="155">
        <f ca="1">OFFSET('IWP17'!Std10dot4Withdrawals, 2, 2, 1, 1)</f>
        <v>0</v>
      </c>
      <c r="D2395" s="151" t="str">
        <f ca="1">IF(OFFSET('IWP17'!Std10dot4Withdrawals, 2, 4, 1, 1) = 0, "", OFFSET('IWP17'!Std10dot4Withdrawals, 2, 4, 1, 1))</f>
        <v/>
      </c>
      <c r="E2395" s="207" t="str">
        <f ca="1">IF(OFFSET('IWP17'!Std10dot4Withdrawals, 2, 7, 1, 1) = 0, "", OFFSET('IWP17'!Std10dot4Withdrawals, 2, 7, 1, 1))</f>
        <v/>
      </c>
    </row>
    <row r="2396" spans="1:5">
      <c r="A2396" s="206" t="s">
        <v>1320</v>
      </c>
      <c r="B2396" s="157">
        <f ca="1">IF(OFFSET('IWP17'!Std10dot4Withdrawals, 3, 0, 1, 1) = DATE(1900,1,0),DATE(1900,1,1),OFFSET('IWP17'!Std10dot4Withdrawals, 3, 0, 1, 1))</f>
        <v>1</v>
      </c>
      <c r="C2396" s="155">
        <f ca="1">OFFSET('IWP17'!Std10dot4Withdrawals, 3, 2, 1, 1)</f>
        <v>0</v>
      </c>
      <c r="D2396" s="151" t="str">
        <f ca="1">IF(OFFSET('IWP17'!Std10dot4Withdrawals, 3, 4, 1, 1) = 0, "", OFFSET('IWP17'!Std10dot4Withdrawals, 3, 4, 1, 1))</f>
        <v/>
      </c>
      <c r="E2396" s="207" t="str">
        <f ca="1">IF(OFFSET('IWP17'!Std10dot4Withdrawals, 3, 7, 1, 1) = 0, "", OFFSET('IWP17'!Std10dot4Withdrawals, 3, 7, 1, 1))</f>
        <v/>
      </c>
    </row>
    <row r="2397" spans="1:5">
      <c r="A2397" s="206" t="s">
        <v>1320</v>
      </c>
      <c r="B2397" s="157">
        <f ca="1">IF(OFFSET('IWP17'!Std10dot4Withdrawals, 4, 0, 1, 1) = DATE(1900,1,0),DATE(1900,1,1),OFFSET('IWP17'!Std10dot4Withdrawals, 4, 0, 1, 1))</f>
        <v>1</v>
      </c>
      <c r="C2397" s="155">
        <f ca="1">OFFSET('IWP17'!Std10dot4Withdrawals, 4, 2, 1, 1)</f>
        <v>0</v>
      </c>
      <c r="D2397" s="151" t="str">
        <f ca="1">IF(OFFSET('IWP17'!Std10dot4Withdrawals, 4, 4, 1, 1) = 0, "", OFFSET('IWP17'!Std10dot4Withdrawals, 4, 4, 1, 1))</f>
        <v/>
      </c>
      <c r="E2397" s="207" t="str">
        <f ca="1">IF(OFFSET('IWP17'!Std10dot4Withdrawals, 4, 7, 1, 1) = 0, "", OFFSET('IWP17'!Std10dot4Withdrawals, 4, 7, 1, 1))</f>
        <v/>
      </c>
    </row>
    <row r="2398" spans="1:5">
      <c r="A2398" s="206" t="s">
        <v>1320</v>
      </c>
      <c r="B2398" s="157">
        <f ca="1">IF(OFFSET('IWP17'!Std10dot4Withdrawals, 5, 0, 1, 1) = DATE(1900,1,0),DATE(1900,1,1),OFFSET('IWP17'!Std10dot4Withdrawals, 5, 0, 1, 1))</f>
        <v>1</v>
      </c>
      <c r="C2398" s="155">
        <f ca="1">OFFSET('IWP17'!Std10dot4Withdrawals, 5, 2, 1, 1)</f>
        <v>0</v>
      </c>
      <c r="D2398" s="151" t="str">
        <f ca="1">IF(OFFSET('IWP17'!Std10dot4Withdrawals, 5, 4, 1, 1) = 0, "", OFFSET('IWP17'!Std10dot4Withdrawals, 5, 4, 1, 1))</f>
        <v/>
      </c>
      <c r="E2398" s="207" t="str">
        <f ca="1">IF(OFFSET('IWP17'!Std10dot4Withdrawals, 5, 7, 1, 1) = 0, "", OFFSET('IWP17'!Std10dot4Withdrawals, 5, 7, 1, 1))</f>
        <v/>
      </c>
    </row>
    <row r="2399" spans="1:5">
      <c r="A2399" s="206" t="s">
        <v>1320</v>
      </c>
      <c r="B2399" s="157">
        <f ca="1">IF(OFFSET('IWP17'!Std10dot4Withdrawals, 6, 0, 1, 1) = DATE(1900,1,0),DATE(1900,1,1),OFFSET('IWP17'!Std10dot4Withdrawals, 6, 0, 1, 1))</f>
        <v>1</v>
      </c>
      <c r="C2399" s="155">
        <f ca="1">OFFSET('IWP17'!Std10dot4Withdrawals, 6, 2, 1, 1)</f>
        <v>0</v>
      </c>
      <c r="D2399" s="151" t="str">
        <f ca="1">IF(OFFSET('IWP17'!Std10dot4Withdrawals, 6, 4, 1, 1) = 0, "", OFFSET('IWP17'!Std10dot4Withdrawals, 6, 4, 1, 1))</f>
        <v/>
      </c>
      <c r="E2399" s="207" t="str">
        <f ca="1">IF(OFFSET('IWP17'!Std10dot4Withdrawals, 6, 7, 1, 1) = 0, "", OFFSET('IWP17'!Std10dot4Withdrawals, 6, 7, 1, 1))</f>
        <v/>
      </c>
    </row>
    <row r="2400" spans="1:5">
      <c r="A2400" s="206" t="s">
        <v>1320</v>
      </c>
      <c r="B2400" s="157">
        <f ca="1">IF(OFFSET('IWP17'!Std10dot4Withdrawals, 7, 0, 1, 1) = DATE(1900,1,0),DATE(1900,1,1),OFFSET('IWP17'!Std10dot4Withdrawals, 7, 0, 1, 1))</f>
        <v>1</v>
      </c>
      <c r="C2400" s="155">
        <f ca="1">OFFSET('IWP17'!Std10dot4Withdrawals, 7, 2, 1, 1)</f>
        <v>0</v>
      </c>
      <c r="D2400" s="151" t="str">
        <f ca="1">IF(OFFSET('IWP17'!Std10dot4Withdrawals, 7, 4, 1, 1) = 0, "", OFFSET('IWP17'!Std10dot4Withdrawals, 7, 4, 1, 1))</f>
        <v/>
      </c>
      <c r="E2400" s="207" t="str">
        <f ca="1">IF(OFFSET('IWP17'!Std10dot4Withdrawals, 7, 7, 1, 1) = 0, "", OFFSET('IWP17'!Std10dot4Withdrawals, 7, 7, 1, 1))</f>
        <v/>
      </c>
    </row>
    <row r="2401" spans="1:5">
      <c r="A2401" s="206" t="s">
        <v>1320</v>
      </c>
      <c r="B2401" s="157">
        <f ca="1">IF(OFFSET('IWP17'!Std10dot4Withdrawals, 8, 0, 1, 1) = DATE(1900,1,0),DATE(1900,1,1),OFFSET('IWP17'!Std10dot4Withdrawals, 8, 0, 1, 1))</f>
        <v>1</v>
      </c>
      <c r="C2401" s="155">
        <f ca="1">OFFSET('IWP17'!Std10dot4Withdrawals, 8, 2, 1, 1)</f>
        <v>0</v>
      </c>
      <c r="D2401" s="151" t="str">
        <f ca="1">IF(OFFSET('IWP17'!Std10dot4Withdrawals, 8, 4, 1, 1) = 0, "", OFFSET('IWP17'!Std10dot4Withdrawals, 8, 4, 1, 1))</f>
        <v/>
      </c>
      <c r="E2401" s="207" t="str">
        <f ca="1">IF(OFFSET('IWP17'!Std10dot4Withdrawals, 8, 7, 1, 1) = 0, "", OFFSET('IWP17'!Std10dot4Withdrawals, 8, 7, 1, 1))</f>
        <v/>
      </c>
    </row>
    <row r="2402" spans="1:5">
      <c r="A2402" s="206" t="s">
        <v>1320</v>
      </c>
      <c r="B2402" s="157">
        <f ca="1">IF(OFFSET('IWP17'!Std10dot4Withdrawals, 9, 0, 1, 1) = DATE(1900,1,0),DATE(1900,1,1),OFFSET('IWP17'!Std10dot4Withdrawals, 9, 0, 1, 1))</f>
        <v>1</v>
      </c>
      <c r="C2402" s="155">
        <f ca="1">OFFSET('IWP17'!Std10dot4Withdrawals, 9, 2, 1, 1)</f>
        <v>0</v>
      </c>
      <c r="D2402" s="151" t="str">
        <f ca="1">IF(OFFSET('IWP17'!Std10dot4Withdrawals, 9, 4, 1, 1) = 0, "", OFFSET('IWP17'!Std10dot4Withdrawals, 9, 4, 1, 1))</f>
        <v/>
      </c>
      <c r="E2402" s="207" t="str">
        <f ca="1">IF(OFFSET('IWP17'!Std10dot4Withdrawals, 9, 7, 1, 1) = 0, "", OFFSET('IWP17'!Std10dot4Withdrawals, 9, 7, 1, 1))</f>
        <v/>
      </c>
    </row>
    <row r="2403" spans="1:5">
      <c r="A2403" s="206" t="s">
        <v>1320</v>
      </c>
      <c r="B2403" s="157">
        <f ca="1">IF(OFFSET('IWP17'!Std10dot4Withdrawals, 10, 0, 1, 1) = DATE(1900,1,0),DATE(1900,1,1),OFFSET('IWP17'!Std10dot4Withdrawals, 10, 0, 1, 1))</f>
        <v>1</v>
      </c>
      <c r="C2403" s="155">
        <f ca="1">OFFSET('IWP17'!Std10dot4Withdrawals, 10, 2, 1, 1)</f>
        <v>0</v>
      </c>
      <c r="D2403" s="151" t="str">
        <f ca="1">IF(OFFSET('IWP17'!Std10dot4Withdrawals, 10, 4, 1, 1) = 0, "", OFFSET('IWP17'!Std10dot4Withdrawals, 10, 4, 1, 1))</f>
        <v/>
      </c>
      <c r="E2403" s="207" t="str">
        <f ca="1">IF(OFFSET('IWP17'!Std10dot4Withdrawals, 10, 7, 1, 1) = 0, "", OFFSET('IWP17'!Std10dot4Withdrawals, 10, 7, 1, 1))</f>
        <v/>
      </c>
    </row>
    <row r="2404" spans="1:5">
      <c r="A2404" s="206" t="s">
        <v>1320</v>
      </c>
      <c r="B2404" s="157">
        <f ca="1">IF(OFFSET('IWP17'!Std10dot4Withdrawals, 11, 0, 1, 1) = DATE(1900,1,0),DATE(1900,1,1),OFFSET('IWP17'!Std10dot4Withdrawals, 11, 0, 1, 1))</f>
        <v>1</v>
      </c>
      <c r="C2404" s="155">
        <f ca="1">OFFSET('IWP17'!Std10dot4Withdrawals, 11, 2, 1, 1)</f>
        <v>0</v>
      </c>
      <c r="D2404" s="151" t="str">
        <f ca="1">IF(OFFSET('IWP17'!Std10dot4Withdrawals, 11, 4, 1, 1) = 0, "", OFFSET('IWP17'!Std10dot4Withdrawals, 11, 4, 1, 1))</f>
        <v/>
      </c>
      <c r="E2404" s="207" t="str">
        <f ca="1">IF(OFFSET('IWP17'!Std10dot4Withdrawals, 11, 7, 1, 1) = 0, "", OFFSET('IWP17'!Std10dot4Withdrawals, 11, 7, 1, 1))</f>
        <v/>
      </c>
    </row>
    <row r="2405" spans="1:5">
      <c r="A2405" s="206" t="s">
        <v>1320</v>
      </c>
      <c r="B2405" s="157">
        <f ca="1">IF(OFFSET('IWP17'!Std10dot4Withdrawals, 12, 0, 1, 1) = DATE(1900,1,0),DATE(1900,1,1),OFFSET('IWP17'!Std10dot4Withdrawals, 12, 0, 1, 1))</f>
        <v>1</v>
      </c>
      <c r="C2405" s="155">
        <f ca="1">OFFSET('IWP17'!Std10dot4Withdrawals, 12, 2, 1, 1)</f>
        <v>0</v>
      </c>
      <c r="D2405" s="151" t="str">
        <f ca="1">IF(OFFSET('IWP17'!Std10dot4Withdrawals, 12, 4, 1, 1) = 0, "", OFFSET('IWP17'!Std10dot4Withdrawals, 12, 4, 1, 1))</f>
        <v/>
      </c>
      <c r="E2405" s="207" t="str">
        <f ca="1">IF(OFFSET('IWP17'!Std10dot4Withdrawals, 12, 7, 1, 1) = 0, "", OFFSET('IWP17'!Std10dot4Withdrawals, 12, 7, 1, 1))</f>
        <v/>
      </c>
    </row>
    <row r="2406" spans="1:5">
      <c r="A2406" s="206" t="s">
        <v>1320</v>
      </c>
      <c r="B2406" s="157">
        <f ca="1">IF(OFFSET('IWP17'!Std10dot4Withdrawals, 13, 0, 1, 1) = DATE(1900,1,0),DATE(1900,1,1),OFFSET('IWP17'!Std10dot4Withdrawals, 13, 0, 1, 1))</f>
        <v>1</v>
      </c>
      <c r="C2406" s="155">
        <f ca="1">OFFSET('IWP17'!Std10dot4Withdrawals, 13, 2, 1, 1)</f>
        <v>0</v>
      </c>
      <c r="D2406" s="151" t="str">
        <f ca="1">IF(OFFSET('IWP17'!Std10dot4Withdrawals, 13, 4, 1, 1) = 0, "", OFFSET('IWP17'!Std10dot4Withdrawals, 13, 4, 1, 1))</f>
        <v/>
      </c>
      <c r="E2406" s="207" t="str">
        <f ca="1">IF(OFFSET('IWP17'!Std10dot4Withdrawals, 13, 7, 1, 1) = 0, "", OFFSET('IWP17'!Std10dot4Withdrawals, 13, 7, 1, 1))</f>
        <v/>
      </c>
    </row>
    <row r="2407" spans="1:5">
      <c r="A2407" s="206" t="s">
        <v>1320</v>
      </c>
      <c r="B2407" s="157">
        <f ca="1">IF(OFFSET('IWP17'!Std10dot4Withdrawals, 14, 0, 1, 1) = DATE(1900,1,0),DATE(1900,1,1),OFFSET('IWP17'!Std10dot4Withdrawals, 14, 0, 1, 1))</f>
        <v>1</v>
      </c>
      <c r="C2407" s="155">
        <f ca="1">OFFSET('IWP17'!Std10dot4Withdrawals, 14, 2, 1, 1)</f>
        <v>0</v>
      </c>
      <c r="D2407" s="151" t="str">
        <f ca="1">IF(OFFSET('IWP17'!Std10dot4Withdrawals, 14, 4, 1, 1) = 0, "", OFFSET('IWP17'!Std10dot4Withdrawals, 14, 4, 1, 1))</f>
        <v/>
      </c>
      <c r="E2407" s="207" t="str">
        <f ca="1">IF(OFFSET('IWP17'!Std10dot4Withdrawals, 14, 7, 1, 1) = 0, "", OFFSET('IWP17'!Std10dot4Withdrawals, 14, 7, 1, 1))</f>
        <v/>
      </c>
    </row>
    <row r="2408" spans="1:5">
      <c r="A2408" s="206" t="s">
        <v>1320</v>
      </c>
      <c r="B2408" s="157">
        <f ca="1">IF(OFFSET('IWP17'!Std10dot4Withdrawals, 15, 0, 1, 1) = DATE(1900,1,0),DATE(1900,1,1),OFFSET('IWP17'!Std10dot4Withdrawals, 15, 0, 1, 1))</f>
        <v>1</v>
      </c>
      <c r="C2408" s="155">
        <f ca="1">OFFSET('IWP17'!Std10dot4Withdrawals, 15, 2, 1, 1)</f>
        <v>0</v>
      </c>
      <c r="D2408" s="151" t="str">
        <f ca="1">IF(OFFSET('IWP17'!Std10dot4Withdrawals, 15, 4, 1, 1) = 0, "", OFFSET('IWP17'!Std10dot4Withdrawals, 15, 4, 1, 1))</f>
        <v/>
      </c>
      <c r="E2408" s="207" t="str">
        <f ca="1">IF(OFFSET('IWP17'!Std10dot4Withdrawals, 15, 7, 1, 1) = 0, "", OFFSET('IWP17'!Std10dot4Withdrawals, 15, 7, 1, 1))</f>
        <v/>
      </c>
    </row>
    <row r="2409" spans="1:5">
      <c r="A2409" s="206" t="s">
        <v>1320</v>
      </c>
      <c r="B2409" s="157">
        <f ca="1">IF(OFFSET('IWP17'!Std10dot4Withdrawals, 16, 0, 1, 1) = DATE(1900,1,0),DATE(1900,1,1),OFFSET('IWP17'!Std10dot4Withdrawals, 16, 0, 1, 1))</f>
        <v>1</v>
      </c>
      <c r="C2409" s="155">
        <f ca="1">OFFSET('IWP17'!Std10dot4Withdrawals, 16, 2, 1, 1)</f>
        <v>0</v>
      </c>
      <c r="D2409" s="151" t="str">
        <f ca="1">IF(OFFSET('IWP17'!Std10dot4Withdrawals, 16, 4, 1, 1) = 0, "", OFFSET('IWP17'!Std10dot4Withdrawals, 16, 4, 1, 1))</f>
        <v/>
      </c>
      <c r="E2409" s="207" t="str">
        <f ca="1">IF(OFFSET('IWP17'!Std10dot4Withdrawals, 16, 7, 1, 1) = 0, "", OFFSET('IWP17'!Std10dot4Withdrawals, 16, 7, 1, 1))</f>
        <v/>
      </c>
    </row>
    <row r="2410" spans="1:5">
      <c r="A2410" s="206" t="s">
        <v>1320</v>
      </c>
      <c r="B2410" s="157">
        <f ca="1">IF(OFFSET('IWP17'!Std10dot4Withdrawals, 17, 0, 1, 1) = DATE(1900,1,0),DATE(1900,1,1),OFFSET('IWP17'!Std10dot4Withdrawals, 17, 0, 1, 1))</f>
        <v>1</v>
      </c>
      <c r="C2410" s="155">
        <f ca="1">OFFSET('IWP17'!Std10dot4Withdrawals, 17, 2, 1, 1)</f>
        <v>0</v>
      </c>
      <c r="D2410" s="151" t="str">
        <f ca="1">IF(OFFSET('IWP17'!Std10dot4Withdrawals, 17, 4, 1, 1) = 0, "", OFFSET('IWP17'!Std10dot4Withdrawals, 17, 4, 1, 1))</f>
        <v/>
      </c>
      <c r="E2410" s="207" t="str">
        <f ca="1">IF(OFFSET('IWP17'!Std10dot4Withdrawals, 17, 7, 1, 1) = 0, "", OFFSET('IWP17'!Std10dot4Withdrawals, 17, 7, 1, 1))</f>
        <v/>
      </c>
    </row>
    <row r="2411" spans="1:5">
      <c r="A2411" s="206" t="s">
        <v>1320</v>
      </c>
      <c r="B2411" s="157">
        <f ca="1">IF(OFFSET('IWP17'!Std10dot4Withdrawals, 18, 0, 1, 1) = DATE(1900,1,0),DATE(1900,1,1),OFFSET('IWP17'!Std10dot4Withdrawals, 18, 0, 1, 1))</f>
        <v>1</v>
      </c>
      <c r="C2411" s="155">
        <f ca="1">OFFSET('IWP17'!Std10dot4Withdrawals, 18, 2, 1, 1)</f>
        <v>0</v>
      </c>
      <c r="D2411" s="151" t="str">
        <f ca="1">IF(OFFSET('IWP17'!Std10dot4Withdrawals, 18, 4, 1, 1) = 0, "", OFFSET('IWP17'!Std10dot4Withdrawals, 18, 4, 1, 1))</f>
        <v/>
      </c>
      <c r="E2411" s="207" t="str">
        <f ca="1">IF(OFFSET('IWP17'!Std10dot4Withdrawals, 18, 7, 1, 1) = 0, "", OFFSET('IWP17'!Std10dot4Withdrawals, 18, 7, 1, 1))</f>
        <v/>
      </c>
    </row>
    <row r="2412" spans="1:5">
      <c r="A2412" s="206" t="s">
        <v>1320</v>
      </c>
      <c r="B2412" s="157">
        <f ca="1">IF(OFFSET('IWP17'!Std10dot4Withdrawals, 19, 0, 1, 1) = DATE(1900,1,0),DATE(1900,1,1),OFFSET('IWP17'!Std10dot4Withdrawals, 19, 0, 1, 1))</f>
        <v>1</v>
      </c>
      <c r="C2412" s="155">
        <f ca="1">OFFSET('IWP17'!Std10dot4Withdrawals, 19, 2, 1, 1)</f>
        <v>0</v>
      </c>
      <c r="D2412" s="151" t="str">
        <f ca="1">IF(OFFSET('IWP17'!Std10dot4Withdrawals, 19, 4, 1, 1) = 0, "", OFFSET('IWP17'!Std10dot4Withdrawals, 19, 4, 1, 1))</f>
        <v/>
      </c>
      <c r="E2412" s="207" t="str">
        <f ca="1">IF(OFFSET('IWP17'!Std10dot4Withdrawals, 19, 7, 1, 1) = 0, "", OFFSET('IWP17'!Std10dot4Withdrawals, 19, 7, 1, 1))</f>
        <v/>
      </c>
    </row>
    <row r="2413" spans="1:5">
      <c r="A2413" s="206" t="s">
        <v>1321</v>
      </c>
      <c r="B2413" s="157">
        <f ca="1">IF(OFFSET('IWP18'!Std10dot4Withdrawals, 0, 0, 1, 1) = DATE(1900,1,0),DATE(1900,1,1),OFFSET('IWP18'!Std10dot4Withdrawals, 0, 0, 1, 1))</f>
        <v>1</v>
      </c>
      <c r="C2413" s="155">
        <f ca="1">OFFSET('IWP18'!Std10dot4Withdrawals, 0, 2, 1, 1)</f>
        <v>0</v>
      </c>
      <c r="D2413" s="151" t="str">
        <f ca="1">IF(OFFSET('IWP18'!Std10dot4Withdrawals, 0, 4, 1, 1) = 0, "", OFFSET('IWP18'!Std10dot4Withdrawals, 0, 4, 1, 1))</f>
        <v/>
      </c>
      <c r="E2413" s="207" t="str">
        <f ca="1">IF(OFFSET('IWP18'!Std10dot4Withdrawals, 0, 7, 1, 1) = 0, "", OFFSET('IWP18'!Std10dot4Withdrawals, 0, 7, 1, 1))</f>
        <v/>
      </c>
    </row>
    <row r="2414" spans="1:5">
      <c r="A2414" s="206" t="s">
        <v>1321</v>
      </c>
      <c r="B2414" s="157">
        <f ca="1">IF(OFFSET('IWP18'!Std10dot4Withdrawals, 1, 0, 1, 1) = DATE(1900,1,0),DATE(1900,1,1),OFFSET('IWP18'!Std10dot4Withdrawals, 1, 0, 1, 1))</f>
        <v>1</v>
      </c>
      <c r="C2414" s="155">
        <f ca="1">OFFSET('IWP18'!Std10dot4Withdrawals, 1, 2, 1, 1)</f>
        <v>0</v>
      </c>
      <c r="D2414" s="151" t="str">
        <f ca="1">IF(OFFSET('IWP18'!Std10dot4Withdrawals, 1, 4, 1, 1) = 0, "", OFFSET('IWP18'!Std10dot4Withdrawals, 1, 4, 1, 1))</f>
        <v/>
      </c>
      <c r="E2414" s="207" t="str">
        <f ca="1">IF(OFFSET('IWP18'!Std10dot4Withdrawals, 1, 7, 1, 1) = 0, "", OFFSET('IWP18'!Std10dot4Withdrawals, 1, 7, 1, 1))</f>
        <v/>
      </c>
    </row>
    <row r="2415" spans="1:5">
      <c r="A2415" s="206" t="s">
        <v>1321</v>
      </c>
      <c r="B2415" s="157">
        <f ca="1">IF(OFFSET('IWP18'!Std10dot4Withdrawals, 2, 0, 1, 1) = DATE(1900,1,0),DATE(1900,1,1),OFFSET('IWP18'!Std10dot4Withdrawals, 2, 0, 1, 1))</f>
        <v>1</v>
      </c>
      <c r="C2415" s="155">
        <f ca="1">OFFSET('IWP18'!Std10dot4Withdrawals, 2, 2, 1, 1)</f>
        <v>0</v>
      </c>
      <c r="D2415" s="151" t="str">
        <f ca="1">IF(OFFSET('IWP18'!Std10dot4Withdrawals, 2, 4, 1, 1) = 0, "", OFFSET('IWP18'!Std10dot4Withdrawals, 2, 4, 1, 1))</f>
        <v/>
      </c>
      <c r="E2415" s="207" t="str">
        <f ca="1">IF(OFFSET('IWP18'!Std10dot4Withdrawals, 2, 7, 1, 1) = 0, "", OFFSET('IWP18'!Std10dot4Withdrawals, 2, 7, 1, 1))</f>
        <v/>
      </c>
    </row>
    <row r="2416" spans="1:5">
      <c r="A2416" s="206" t="s">
        <v>1321</v>
      </c>
      <c r="B2416" s="157">
        <f ca="1">IF(OFFSET('IWP18'!Std10dot4Withdrawals, 3, 0, 1, 1) = DATE(1900,1,0),DATE(1900,1,1),OFFSET('IWP18'!Std10dot4Withdrawals, 3, 0, 1, 1))</f>
        <v>1</v>
      </c>
      <c r="C2416" s="155">
        <f ca="1">OFFSET('IWP18'!Std10dot4Withdrawals, 3, 2, 1, 1)</f>
        <v>0</v>
      </c>
      <c r="D2416" s="151" t="str">
        <f ca="1">IF(OFFSET('IWP18'!Std10dot4Withdrawals, 3, 4, 1, 1) = 0, "", OFFSET('IWP18'!Std10dot4Withdrawals, 3, 4, 1, 1))</f>
        <v/>
      </c>
      <c r="E2416" s="207" t="str">
        <f ca="1">IF(OFFSET('IWP18'!Std10dot4Withdrawals, 3, 7, 1, 1) = 0, "", OFFSET('IWP18'!Std10dot4Withdrawals, 3, 7, 1, 1))</f>
        <v/>
      </c>
    </row>
    <row r="2417" spans="1:5">
      <c r="A2417" s="206" t="s">
        <v>1321</v>
      </c>
      <c r="B2417" s="157">
        <f ca="1">IF(OFFSET('IWP18'!Std10dot4Withdrawals, 4, 0, 1, 1) = DATE(1900,1,0),DATE(1900,1,1),OFFSET('IWP18'!Std10dot4Withdrawals, 4, 0, 1, 1))</f>
        <v>1</v>
      </c>
      <c r="C2417" s="155">
        <f ca="1">OFFSET('IWP18'!Std10dot4Withdrawals, 4, 2, 1, 1)</f>
        <v>0</v>
      </c>
      <c r="D2417" s="151" t="str">
        <f ca="1">IF(OFFSET('IWP18'!Std10dot4Withdrawals, 4, 4, 1, 1) = 0, "", OFFSET('IWP18'!Std10dot4Withdrawals, 4, 4, 1, 1))</f>
        <v/>
      </c>
      <c r="E2417" s="207" t="str">
        <f ca="1">IF(OFFSET('IWP18'!Std10dot4Withdrawals, 4, 7, 1, 1) = 0, "", OFFSET('IWP18'!Std10dot4Withdrawals, 4, 7, 1, 1))</f>
        <v/>
      </c>
    </row>
    <row r="2418" spans="1:5">
      <c r="A2418" s="206" t="s">
        <v>1321</v>
      </c>
      <c r="B2418" s="157">
        <f ca="1">IF(OFFSET('IWP18'!Std10dot4Withdrawals, 5, 0, 1, 1) = DATE(1900,1,0),DATE(1900,1,1),OFFSET('IWP18'!Std10dot4Withdrawals, 5, 0, 1, 1))</f>
        <v>1</v>
      </c>
      <c r="C2418" s="155">
        <f ca="1">OFFSET('IWP18'!Std10dot4Withdrawals, 5, 2, 1, 1)</f>
        <v>0</v>
      </c>
      <c r="D2418" s="151" t="str">
        <f ca="1">IF(OFFSET('IWP18'!Std10dot4Withdrawals, 5, 4, 1, 1) = 0, "", OFFSET('IWP18'!Std10dot4Withdrawals, 5, 4, 1, 1))</f>
        <v/>
      </c>
      <c r="E2418" s="207" t="str">
        <f ca="1">IF(OFFSET('IWP18'!Std10dot4Withdrawals, 5, 7, 1, 1) = 0, "", OFFSET('IWP18'!Std10dot4Withdrawals, 5, 7, 1, 1))</f>
        <v/>
      </c>
    </row>
    <row r="2419" spans="1:5">
      <c r="A2419" s="206" t="s">
        <v>1321</v>
      </c>
      <c r="B2419" s="157">
        <f ca="1">IF(OFFSET('IWP18'!Std10dot4Withdrawals, 6, 0, 1, 1) = DATE(1900,1,0),DATE(1900,1,1),OFFSET('IWP18'!Std10dot4Withdrawals, 6, 0, 1, 1))</f>
        <v>1</v>
      </c>
      <c r="C2419" s="155">
        <f ca="1">OFFSET('IWP18'!Std10dot4Withdrawals, 6, 2, 1, 1)</f>
        <v>0</v>
      </c>
      <c r="D2419" s="151" t="str">
        <f ca="1">IF(OFFSET('IWP18'!Std10dot4Withdrawals, 6, 4, 1, 1) = 0, "", OFFSET('IWP18'!Std10dot4Withdrawals, 6, 4, 1, 1))</f>
        <v/>
      </c>
      <c r="E2419" s="207" t="str">
        <f ca="1">IF(OFFSET('IWP18'!Std10dot4Withdrawals, 6, 7, 1, 1) = 0, "", OFFSET('IWP18'!Std10dot4Withdrawals, 6, 7, 1, 1))</f>
        <v/>
      </c>
    </row>
    <row r="2420" spans="1:5">
      <c r="A2420" s="206" t="s">
        <v>1321</v>
      </c>
      <c r="B2420" s="157">
        <f ca="1">IF(OFFSET('IWP18'!Std10dot4Withdrawals, 7, 0, 1, 1) = DATE(1900,1,0),DATE(1900,1,1),OFFSET('IWP18'!Std10dot4Withdrawals, 7, 0, 1, 1))</f>
        <v>1</v>
      </c>
      <c r="C2420" s="155">
        <f ca="1">OFFSET('IWP18'!Std10dot4Withdrawals, 7, 2, 1, 1)</f>
        <v>0</v>
      </c>
      <c r="D2420" s="151" t="str">
        <f ca="1">IF(OFFSET('IWP18'!Std10dot4Withdrawals, 7, 4, 1, 1) = 0, "", OFFSET('IWP18'!Std10dot4Withdrawals, 7, 4, 1, 1))</f>
        <v/>
      </c>
      <c r="E2420" s="207" t="str">
        <f ca="1">IF(OFFSET('IWP18'!Std10dot4Withdrawals, 7, 7, 1, 1) = 0, "", OFFSET('IWP18'!Std10dot4Withdrawals, 7, 7, 1, 1))</f>
        <v/>
      </c>
    </row>
    <row r="2421" spans="1:5">
      <c r="A2421" s="206" t="s">
        <v>1321</v>
      </c>
      <c r="B2421" s="157">
        <f ca="1">IF(OFFSET('IWP18'!Std10dot4Withdrawals, 8, 0, 1, 1) = DATE(1900,1,0),DATE(1900,1,1),OFFSET('IWP18'!Std10dot4Withdrawals, 8, 0, 1, 1))</f>
        <v>1</v>
      </c>
      <c r="C2421" s="155">
        <f ca="1">OFFSET('IWP18'!Std10dot4Withdrawals, 8, 2, 1, 1)</f>
        <v>0</v>
      </c>
      <c r="D2421" s="151" t="str">
        <f ca="1">IF(OFFSET('IWP18'!Std10dot4Withdrawals, 8, 4, 1, 1) = 0, "", OFFSET('IWP18'!Std10dot4Withdrawals, 8, 4, 1, 1))</f>
        <v/>
      </c>
      <c r="E2421" s="207" t="str">
        <f ca="1">IF(OFFSET('IWP18'!Std10dot4Withdrawals, 8, 7, 1, 1) = 0, "", OFFSET('IWP18'!Std10dot4Withdrawals, 8, 7, 1, 1))</f>
        <v/>
      </c>
    </row>
    <row r="2422" spans="1:5">
      <c r="A2422" s="206" t="s">
        <v>1321</v>
      </c>
      <c r="B2422" s="157">
        <f ca="1">IF(OFFSET('IWP18'!Std10dot4Withdrawals, 9, 0, 1, 1) = DATE(1900,1,0),DATE(1900,1,1),OFFSET('IWP18'!Std10dot4Withdrawals, 9, 0, 1, 1))</f>
        <v>1</v>
      </c>
      <c r="C2422" s="155">
        <f ca="1">OFFSET('IWP18'!Std10dot4Withdrawals, 9, 2, 1, 1)</f>
        <v>0</v>
      </c>
      <c r="D2422" s="151" t="str">
        <f ca="1">IF(OFFSET('IWP18'!Std10dot4Withdrawals, 9, 4, 1, 1) = 0, "", OFFSET('IWP18'!Std10dot4Withdrawals, 9, 4, 1, 1))</f>
        <v/>
      </c>
      <c r="E2422" s="207" t="str">
        <f ca="1">IF(OFFSET('IWP18'!Std10dot4Withdrawals, 9, 7, 1, 1) = 0, "", OFFSET('IWP18'!Std10dot4Withdrawals, 9, 7, 1, 1))</f>
        <v/>
      </c>
    </row>
    <row r="2423" spans="1:5">
      <c r="A2423" s="206" t="s">
        <v>1321</v>
      </c>
      <c r="B2423" s="157">
        <f ca="1">IF(OFFSET('IWP18'!Std10dot4Withdrawals, 10, 0, 1, 1) = DATE(1900,1,0),DATE(1900,1,1),OFFSET('IWP18'!Std10dot4Withdrawals, 10, 0, 1, 1))</f>
        <v>1</v>
      </c>
      <c r="C2423" s="155">
        <f ca="1">OFFSET('IWP18'!Std10dot4Withdrawals, 10, 2, 1, 1)</f>
        <v>0</v>
      </c>
      <c r="D2423" s="151" t="str">
        <f ca="1">IF(OFFSET('IWP18'!Std10dot4Withdrawals, 10, 4, 1, 1) = 0, "", OFFSET('IWP18'!Std10dot4Withdrawals, 10, 4, 1, 1))</f>
        <v/>
      </c>
      <c r="E2423" s="207" t="str">
        <f ca="1">IF(OFFSET('IWP18'!Std10dot4Withdrawals, 10, 7, 1, 1) = 0, "", OFFSET('IWP18'!Std10dot4Withdrawals, 10, 7, 1, 1))</f>
        <v/>
      </c>
    </row>
    <row r="2424" spans="1:5">
      <c r="A2424" s="206" t="s">
        <v>1321</v>
      </c>
      <c r="B2424" s="157">
        <f ca="1">IF(OFFSET('IWP18'!Std10dot4Withdrawals, 11, 0, 1, 1) = DATE(1900,1,0),DATE(1900,1,1),OFFSET('IWP18'!Std10dot4Withdrawals, 11, 0, 1, 1))</f>
        <v>1</v>
      </c>
      <c r="C2424" s="155">
        <f ca="1">OFFSET('IWP18'!Std10dot4Withdrawals, 11, 2, 1, 1)</f>
        <v>0</v>
      </c>
      <c r="D2424" s="151" t="str">
        <f ca="1">IF(OFFSET('IWP18'!Std10dot4Withdrawals, 11, 4, 1, 1) = 0, "", OFFSET('IWP18'!Std10dot4Withdrawals, 11, 4, 1, 1))</f>
        <v/>
      </c>
      <c r="E2424" s="207" t="str">
        <f ca="1">IF(OFFSET('IWP18'!Std10dot4Withdrawals, 11, 7, 1, 1) = 0, "", OFFSET('IWP18'!Std10dot4Withdrawals, 11, 7, 1, 1))</f>
        <v/>
      </c>
    </row>
    <row r="2425" spans="1:5">
      <c r="A2425" s="206" t="s">
        <v>1321</v>
      </c>
      <c r="B2425" s="157">
        <f ca="1">IF(OFFSET('IWP18'!Std10dot4Withdrawals, 12, 0, 1, 1) = DATE(1900,1,0),DATE(1900,1,1),OFFSET('IWP18'!Std10dot4Withdrawals, 12, 0, 1, 1))</f>
        <v>1</v>
      </c>
      <c r="C2425" s="155">
        <f ca="1">OFFSET('IWP18'!Std10dot4Withdrawals, 12, 2, 1, 1)</f>
        <v>0</v>
      </c>
      <c r="D2425" s="151" t="str">
        <f ca="1">IF(OFFSET('IWP18'!Std10dot4Withdrawals, 12, 4, 1, 1) = 0, "", OFFSET('IWP18'!Std10dot4Withdrawals, 12, 4, 1, 1))</f>
        <v/>
      </c>
      <c r="E2425" s="207" t="str">
        <f ca="1">IF(OFFSET('IWP18'!Std10dot4Withdrawals, 12, 7, 1, 1) = 0, "", OFFSET('IWP18'!Std10dot4Withdrawals, 12, 7, 1, 1))</f>
        <v/>
      </c>
    </row>
    <row r="2426" spans="1:5">
      <c r="A2426" s="206" t="s">
        <v>1321</v>
      </c>
      <c r="B2426" s="157">
        <f ca="1">IF(OFFSET('IWP18'!Std10dot4Withdrawals, 13, 0, 1, 1) = DATE(1900,1,0),DATE(1900,1,1),OFFSET('IWP18'!Std10dot4Withdrawals, 13, 0, 1, 1))</f>
        <v>1</v>
      </c>
      <c r="C2426" s="155">
        <f ca="1">OFFSET('IWP18'!Std10dot4Withdrawals, 13, 2, 1, 1)</f>
        <v>0</v>
      </c>
      <c r="D2426" s="151" t="str">
        <f ca="1">IF(OFFSET('IWP18'!Std10dot4Withdrawals, 13, 4, 1, 1) = 0, "", OFFSET('IWP18'!Std10dot4Withdrawals, 13, 4, 1, 1))</f>
        <v/>
      </c>
      <c r="E2426" s="207" t="str">
        <f ca="1">IF(OFFSET('IWP18'!Std10dot4Withdrawals, 13, 7, 1, 1) = 0, "", OFFSET('IWP18'!Std10dot4Withdrawals, 13, 7, 1, 1))</f>
        <v/>
      </c>
    </row>
    <row r="2427" spans="1:5">
      <c r="A2427" s="206" t="s">
        <v>1321</v>
      </c>
      <c r="B2427" s="157">
        <f ca="1">IF(OFFSET('IWP18'!Std10dot4Withdrawals, 14, 0, 1, 1) = DATE(1900,1,0),DATE(1900,1,1),OFFSET('IWP18'!Std10dot4Withdrawals, 14, 0, 1, 1))</f>
        <v>1</v>
      </c>
      <c r="C2427" s="155">
        <f ca="1">OFFSET('IWP18'!Std10dot4Withdrawals, 14, 2, 1, 1)</f>
        <v>0</v>
      </c>
      <c r="D2427" s="151" t="str">
        <f ca="1">IF(OFFSET('IWP18'!Std10dot4Withdrawals, 14, 4, 1, 1) = 0, "", OFFSET('IWP18'!Std10dot4Withdrawals, 14, 4, 1, 1))</f>
        <v/>
      </c>
      <c r="E2427" s="207" t="str">
        <f ca="1">IF(OFFSET('IWP18'!Std10dot4Withdrawals, 14, 7, 1, 1) = 0, "", OFFSET('IWP18'!Std10dot4Withdrawals, 14, 7, 1, 1))</f>
        <v/>
      </c>
    </row>
    <row r="2428" spans="1:5">
      <c r="A2428" s="206" t="s">
        <v>1321</v>
      </c>
      <c r="B2428" s="157">
        <f ca="1">IF(OFFSET('IWP18'!Std10dot4Withdrawals, 15, 0, 1, 1) = DATE(1900,1,0),DATE(1900,1,1),OFFSET('IWP18'!Std10dot4Withdrawals, 15, 0, 1, 1))</f>
        <v>1</v>
      </c>
      <c r="C2428" s="155">
        <f ca="1">OFFSET('IWP18'!Std10dot4Withdrawals, 15, 2, 1, 1)</f>
        <v>0</v>
      </c>
      <c r="D2428" s="151" t="str">
        <f ca="1">IF(OFFSET('IWP18'!Std10dot4Withdrawals, 15, 4, 1, 1) = 0, "", OFFSET('IWP18'!Std10dot4Withdrawals, 15, 4, 1, 1))</f>
        <v/>
      </c>
      <c r="E2428" s="207" t="str">
        <f ca="1">IF(OFFSET('IWP18'!Std10dot4Withdrawals, 15, 7, 1, 1) = 0, "", OFFSET('IWP18'!Std10dot4Withdrawals, 15, 7, 1, 1))</f>
        <v/>
      </c>
    </row>
    <row r="2429" spans="1:5">
      <c r="A2429" s="206" t="s">
        <v>1321</v>
      </c>
      <c r="B2429" s="157">
        <f ca="1">IF(OFFSET('IWP18'!Std10dot4Withdrawals, 16, 0, 1, 1) = DATE(1900,1,0),DATE(1900,1,1),OFFSET('IWP18'!Std10dot4Withdrawals, 16, 0, 1, 1))</f>
        <v>1</v>
      </c>
      <c r="C2429" s="155">
        <f ca="1">OFFSET('IWP18'!Std10dot4Withdrawals, 16, 2, 1, 1)</f>
        <v>0</v>
      </c>
      <c r="D2429" s="151" t="str">
        <f ca="1">IF(OFFSET('IWP18'!Std10dot4Withdrawals, 16, 4, 1, 1) = 0, "", OFFSET('IWP18'!Std10dot4Withdrawals, 16, 4, 1, 1))</f>
        <v/>
      </c>
      <c r="E2429" s="207" t="str">
        <f ca="1">IF(OFFSET('IWP18'!Std10dot4Withdrawals, 16, 7, 1, 1) = 0, "", OFFSET('IWP18'!Std10dot4Withdrawals, 16, 7, 1, 1))</f>
        <v/>
      </c>
    </row>
    <row r="2430" spans="1:5">
      <c r="A2430" s="206" t="s">
        <v>1321</v>
      </c>
      <c r="B2430" s="157">
        <f ca="1">IF(OFFSET('IWP18'!Std10dot4Withdrawals, 17, 0, 1, 1) = DATE(1900,1,0),DATE(1900,1,1),OFFSET('IWP18'!Std10dot4Withdrawals, 17, 0, 1, 1))</f>
        <v>1</v>
      </c>
      <c r="C2430" s="155">
        <f ca="1">OFFSET('IWP18'!Std10dot4Withdrawals, 17, 2, 1, 1)</f>
        <v>0</v>
      </c>
      <c r="D2430" s="151" t="str">
        <f ca="1">IF(OFFSET('IWP18'!Std10dot4Withdrawals, 17, 4, 1, 1) = 0, "", OFFSET('IWP18'!Std10dot4Withdrawals, 17, 4, 1, 1))</f>
        <v/>
      </c>
      <c r="E2430" s="207" t="str">
        <f ca="1">IF(OFFSET('IWP18'!Std10dot4Withdrawals, 17, 7, 1, 1) = 0, "", OFFSET('IWP18'!Std10dot4Withdrawals, 17, 7, 1, 1))</f>
        <v/>
      </c>
    </row>
    <row r="2431" spans="1:5">
      <c r="A2431" s="206" t="s">
        <v>1321</v>
      </c>
      <c r="B2431" s="157">
        <f ca="1">IF(OFFSET('IWP18'!Std10dot4Withdrawals, 18, 0, 1, 1) = DATE(1900,1,0),DATE(1900,1,1),OFFSET('IWP18'!Std10dot4Withdrawals, 18, 0, 1, 1))</f>
        <v>1</v>
      </c>
      <c r="C2431" s="155">
        <f ca="1">OFFSET('IWP18'!Std10dot4Withdrawals, 18, 2, 1, 1)</f>
        <v>0</v>
      </c>
      <c r="D2431" s="151" t="str">
        <f ca="1">IF(OFFSET('IWP18'!Std10dot4Withdrawals, 18, 4, 1, 1) = 0, "", OFFSET('IWP18'!Std10dot4Withdrawals, 18, 4, 1, 1))</f>
        <v/>
      </c>
      <c r="E2431" s="207" t="str">
        <f ca="1">IF(OFFSET('IWP18'!Std10dot4Withdrawals, 18, 7, 1, 1) = 0, "", OFFSET('IWP18'!Std10dot4Withdrawals, 18, 7, 1, 1))</f>
        <v/>
      </c>
    </row>
    <row r="2432" spans="1:5">
      <c r="A2432" s="206" t="s">
        <v>1321</v>
      </c>
      <c r="B2432" s="157">
        <f ca="1">IF(OFFSET('IWP18'!Std10dot4Withdrawals, 19, 0, 1, 1) = DATE(1900,1,0),DATE(1900,1,1),OFFSET('IWP18'!Std10dot4Withdrawals, 19, 0, 1, 1))</f>
        <v>1</v>
      </c>
      <c r="C2432" s="155">
        <f ca="1">OFFSET('IWP18'!Std10dot4Withdrawals, 19, 2, 1, 1)</f>
        <v>0</v>
      </c>
      <c r="D2432" s="151" t="str">
        <f ca="1">IF(OFFSET('IWP18'!Std10dot4Withdrawals, 19, 4, 1, 1) = 0, "", OFFSET('IWP18'!Std10dot4Withdrawals, 19, 4, 1, 1))</f>
        <v/>
      </c>
      <c r="E2432" s="207" t="str">
        <f ca="1">IF(OFFSET('IWP18'!Std10dot4Withdrawals, 19, 7, 1, 1) = 0, "", OFFSET('IWP18'!Std10dot4Withdrawals, 19, 7, 1, 1))</f>
        <v/>
      </c>
    </row>
    <row r="2433" spans="1:5">
      <c r="A2433" s="206" t="s">
        <v>1322</v>
      </c>
      <c r="B2433" s="157">
        <f ca="1">IF(OFFSET('IWP19'!Std10dot4Withdrawals, 0, 0, 1, 1) = DATE(1900,1,0),DATE(1900,1,1),OFFSET('IWP19'!Std10dot4Withdrawals, 0, 0, 1, 1))</f>
        <v>1</v>
      </c>
      <c r="C2433" s="155">
        <f ca="1">OFFSET('IWP19'!Std10dot4Withdrawals, 0, 2, 1, 1)</f>
        <v>0</v>
      </c>
      <c r="D2433" s="151" t="str">
        <f ca="1">IF(OFFSET('IWP19'!Std10dot4Withdrawals, 0, 4, 1, 1) = 0, "", OFFSET('IWP19'!Std10dot4Withdrawals, 0, 4, 1, 1))</f>
        <v/>
      </c>
      <c r="E2433" s="207" t="str">
        <f ca="1">IF(OFFSET('IWP19'!Std10dot4Withdrawals, 0, 7, 1, 1) = 0, "", OFFSET('IWP19'!Std10dot4Withdrawals, 0, 7, 1, 1))</f>
        <v/>
      </c>
    </row>
    <row r="2434" spans="1:5">
      <c r="A2434" s="206" t="s">
        <v>1322</v>
      </c>
      <c r="B2434" s="157">
        <f ca="1">IF(OFFSET('IWP19'!Std10dot4Withdrawals, 1, 0, 1, 1) = DATE(1900,1,0),DATE(1900,1,1),OFFSET('IWP19'!Std10dot4Withdrawals, 1, 0, 1, 1))</f>
        <v>1</v>
      </c>
      <c r="C2434" s="155">
        <f ca="1">OFFSET('IWP19'!Std10dot4Withdrawals, 1, 2, 1, 1)</f>
        <v>0</v>
      </c>
      <c r="D2434" s="151" t="str">
        <f ca="1">IF(OFFSET('IWP19'!Std10dot4Withdrawals, 1, 4, 1, 1) = 0, "", OFFSET('IWP19'!Std10dot4Withdrawals, 1, 4, 1, 1))</f>
        <v/>
      </c>
      <c r="E2434" s="207" t="str">
        <f ca="1">IF(OFFSET('IWP19'!Std10dot4Withdrawals, 1, 7, 1, 1) = 0, "", OFFSET('IWP19'!Std10dot4Withdrawals, 1, 7, 1, 1))</f>
        <v/>
      </c>
    </row>
    <row r="2435" spans="1:5">
      <c r="A2435" s="206" t="s">
        <v>1322</v>
      </c>
      <c r="B2435" s="157">
        <f ca="1">IF(OFFSET('IWP19'!Std10dot4Withdrawals, 2, 0, 1, 1) = DATE(1900,1,0),DATE(1900,1,1),OFFSET('IWP19'!Std10dot4Withdrawals, 2, 0, 1, 1))</f>
        <v>1</v>
      </c>
      <c r="C2435" s="155">
        <f ca="1">OFFSET('IWP19'!Std10dot4Withdrawals, 2, 2, 1, 1)</f>
        <v>0</v>
      </c>
      <c r="D2435" s="151" t="str">
        <f ca="1">IF(OFFSET('IWP19'!Std10dot4Withdrawals, 2, 4, 1, 1) = 0, "", OFFSET('IWP19'!Std10dot4Withdrawals, 2, 4, 1, 1))</f>
        <v/>
      </c>
      <c r="E2435" s="207" t="str">
        <f ca="1">IF(OFFSET('IWP19'!Std10dot4Withdrawals, 2, 7, 1, 1) = 0, "", OFFSET('IWP19'!Std10dot4Withdrawals, 2, 7, 1, 1))</f>
        <v/>
      </c>
    </row>
    <row r="2436" spans="1:5">
      <c r="A2436" s="206" t="s">
        <v>1322</v>
      </c>
      <c r="B2436" s="157">
        <f ca="1">IF(OFFSET('IWP19'!Std10dot4Withdrawals, 3, 0, 1, 1) = DATE(1900,1,0),DATE(1900,1,1),OFFSET('IWP19'!Std10dot4Withdrawals, 3, 0, 1, 1))</f>
        <v>1</v>
      </c>
      <c r="C2436" s="155">
        <f ca="1">OFFSET('IWP19'!Std10dot4Withdrawals, 3, 2, 1, 1)</f>
        <v>0</v>
      </c>
      <c r="D2436" s="151" t="str">
        <f ca="1">IF(OFFSET('IWP19'!Std10dot4Withdrawals, 3, 4, 1, 1) = 0, "", OFFSET('IWP19'!Std10dot4Withdrawals, 3, 4, 1, 1))</f>
        <v/>
      </c>
      <c r="E2436" s="207" t="str">
        <f ca="1">IF(OFFSET('IWP19'!Std10dot4Withdrawals, 3, 7, 1, 1) = 0, "", OFFSET('IWP19'!Std10dot4Withdrawals, 3, 7, 1, 1))</f>
        <v/>
      </c>
    </row>
    <row r="2437" spans="1:5">
      <c r="A2437" s="206" t="s">
        <v>1322</v>
      </c>
      <c r="B2437" s="157">
        <f ca="1">IF(OFFSET('IWP19'!Std10dot4Withdrawals, 4, 0, 1, 1) = DATE(1900,1,0),DATE(1900,1,1),OFFSET('IWP19'!Std10dot4Withdrawals, 4, 0, 1, 1))</f>
        <v>1</v>
      </c>
      <c r="C2437" s="155">
        <f ca="1">OFFSET('IWP19'!Std10dot4Withdrawals, 4, 2, 1, 1)</f>
        <v>0</v>
      </c>
      <c r="D2437" s="151" t="str">
        <f ca="1">IF(OFFSET('IWP19'!Std10dot4Withdrawals, 4, 4, 1, 1) = 0, "", OFFSET('IWP19'!Std10dot4Withdrawals, 4, 4, 1, 1))</f>
        <v/>
      </c>
      <c r="E2437" s="207" t="str">
        <f ca="1">IF(OFFSET('IWP19'!Std10dot4Withdrawals, 4, 7, 1, 1) = 0, "", OFFSET('IWP19'!Std10dot4Withdrawals, 4, 7, 1, 1))</f>
        <v/>
      </c>
    </row>
    <row r="2438" spans="1:5">
      <c r="A2438" s="206" t="s">
        <v>1322</v>
      </c>
      <c r="B2438" s="157">
        <f ca="1">IF(OFFSET('IWP19'!Std10dot4Withdrawals, 5, 0, 1, 1) = DATE(1900,1,0),DATE(1900,1,1),OFFSET('IWP19'!Std10dot4Withdrawals, 5, 0, 1, 1))</f>
        <v>1</v>
      </c>
      <c r="C2438" s="155">
        <f ca="1">OFFSET('IWP19'!Std10dot4Withdrawals, 5, 2, 1, 1)</f>
        <v>0</v>
      </c>
      <c r="D2438" s="151" t="str">
        <f ca="1">IF(OFFSET('IWP19'!Std10dot4Withdrawals, 5, 4, 1, 1) = 0, "", OFFSET('IWP19'!Std10dot4Withdrawals, 5, 4, 1, 1))</f>
        <v/>
      </c>
      <c r="E2438" s="207" t="str">
        <f ca="1">IF(OFFSET('IWP19'!Std10dot4Withdrawals, 5, 7, 1, 1) = 0, "", OFFSET('IWP19'!Std10dot4Withdrawals, 5, 7, 1, 1))</f>
        <v/>
      </c>
    </row>
    <row r="2439" spans="1:5">
      <c r="A2439" s="206" t="s">
        <v>1322</v>
      </c>
      <c r="B2439" s="157">
        <f ca="1">IF(OFFSET('IWP19'!Std10dot4Withdrawals, 6, 0, 1, 1) = DATE(1900,1,0),DATE(1900,1,1),OFFSET('IWP19'!Std10dot4Withdrawals, 6, 0, 1, 1))</f>
        <v>1</v>
      </c>
      <c r="C2439" s="155">
        <f ca="1">OFFSET('IWP19'!Std10dot4Withdrawals, 6, 2, 1, 1)</f>
        <v>0</v>
      </c>
      <c r="D2439" s="151" t="str">
        <f ca="1">IF(OFFSET('IWP19'!Std10dot4Withdrawals, 6, 4, 1, 1) = 0, "", OFFSET('IWP19'!Std10dot4Withdrawals, 6, 4, 1, 1))</f>
        <v/>
      </c>
      <c r="E2439" s="207" t="str">
        <f ca="1">IF(OFFSET('IWP19'!Std10dot4Withdrawals, 6, 7, 1, 1) = 0, "", OFFSET('IWP19'!Std10dot4Withdrawals, 6, 7, 1, 1))</f>
        <v/>
      </c>
    </row>
    <row r="2440" spans="1:5">
      <c r="A2440" s="206" t="s">
        <v>1322</v>
      </c>
      <c r="B2440" s="157">
        <f ca="1">IF(OFFSET('IWP19'!Std10dot4Withdrawals, 7, 0, 1, 1) = DATE(1900,1,0),DATE(1900,1,1),OFFSET('IWP19'!Std10dot4Withdrawals, 7, 0, 1, 1))</f>
        <v>1</v>
      </c>
      <c r="C2440" s="155">
        <f ca="1">OFFSET('IWP19'!Std10dot4Withdrawals, 7, 2, 1, 1)</f>
        <v>0</v>
      </c>
      <c r="D2440" s="151" t="str">
        <f ca="1">IF(OFFSET('IWP19'!Std10dot4Withdrawals, 7, 4, 1, 1) = 0, "", OFFSET('IWP19'!Std10dot4Withdrawals, 7, 4, 1, 1))</f>
        <v/>
      </c>
      <c r="E2440" s="207" t="str">
        <f ca="1">IF(OFFSET('IWP19'!Std10dot4Withdrawals, 7, 7, 1, 1) = 0, "", OFFSET('IWP19'!Std10dot4Withdrawals, 7, 7, 1, 1))</f>
        <v/>
      </c>
    </row>
    <row r="2441" spans="1:5">
      <c r="A2441" s="206" t="s">
        <v>1322</v>
      </c>
      <c r="B2441" s="157">
        <f ca="1">IF(OFFSET('IWP19'!Std10dot4Withdrawals, 8, 0, 1, 1) = DATE(1900,1,0),DATE(1900,1,1),OFFSET('IWP19'!Std10dot4Withdrawals, 8, 0, 1, 1))</f>
        <v>1</v>
      </c>
      <c r="C2441" s="155">
        <f ca="1">OFFSET('IWP19'!Std10dot4Withdrawals, 8, 2, 1, 1)</f>
        <v>0</v>
      </c>
      <c r="D2441" s="151" t="str">
        <f ca="1">IF(OFFSET('IWP19'!Std10dot4Withdrawals, 8, 4, 1, 1) = 0, "", OFFSET('IWP19'!Std10dot4Withdrawals, 8, 4, 1, 1))</f>
        <v/>
      </c>
      <c r="E2441" s="207" t="str">
        <f ca="1">IF(OFFSET('IWP19'!Std10dot4Withdrawals, 8, 7, 1, 1) = 0, "", OFFSET('IWP19'!Std10dot4Withdrawals, 8, 7, 1, 1))</f>
        <v/>
      </c>
    </row>
    <row r="2442" spans="1:5">
      <c r="A2442" s="206" t="s">
        <v>1322</v>
      </c>
      <c r="B2442" s="157">
        <f ca="1">IF(OFFSET('IWP19'!Std10dot4Withdrawals, 9, 0, 1, 1) = DATE(1900,1,0),DATE(1900,1,1),OFFSET('IWP19'!Std10dot4Withdrawals, 9, 0, 1, 1))</f>
        <v>1</v>
      </c>
      <c r="C2442" s="155">
        <f ca="1">OFFSET('IWP19'!Std10dot4Withdrawals, 9, 2, 1, 1)</f>
        <v>0</v>
      </c>
      <c r="D2442" s="151" t="str">
        <f ca="1">IF(OFFSET('IWP19'!Std10dot4Withdrawals, 9, 4, 1, 1) = 0, "", OFFSET('IWP19'!Std10dot4Withdrawals, 9, 4, 1, 1))</f>
        <v/>
      </c>
      <c r="E2442" s="207" t="str">
        <f ca="1">IF(OFFSET('IWP19'!Std10dot4Withdrawals, 9, 7, 1, 1) = 0, "", OFFSET('IWP19'!Std10dot4Withdrawals, 9, 7, 1, 1))</f>
        <v/>
      </c>
    </row>
    <row r="2443" spans="1:5">
      <c r="A2443" s="206" t="s">
        <v>1322</v>
      </c>
      <c r="B2443" s="157">
        <f ca="1">IF(OFFSET('IWP19'!Std10dot4Withdrawals, 10, 0, 1, 1) = DATE(1900,1,0),DATE(1900,1,1),OFFSET('IWP19'!Std10dot4Withdrawals, 10, 0, 1, 1))</f>
        <v>1</v>
      </c>
      <c r="C2443" s="155">
        <f ca="1">OFFSET('IWP19'!Std10dot4Withdrawals, 10, 2, 1, 1)</f>
        <v>0</v>
      </c>
      <c r="D2443" s="151" t="str">
        <f ca="1">IF(OFFSET('IWP19'!Std10dot4Withdrawals, 10, 4, 1, 1) = 0, "", OFFSET('IWP19'!Std10dot4Withdrawals, 10, 4, 1, 1))</f>
        <v/>
      </c>
      <c r="E2443" s="207" t="str">
        <f ca="1">IF(OFFSET('IWP19'!Std10dot4Withdrawals, 10, 7, 1, 1) = 0, "", OFFSET('IWP19'!Std10dot4Withdrawals, 10, 7, 1, 1))</f>
        <v/>
      </c>
    </row>
    <row r="2444" spans="1:5">
      <c r="A2444" s="206" t="s">
        <v>1322</v>
      </c>
      <c r="B2444" s="157">
        <f ca="1">IF(OFFSET('IWP19'!Std10dot4Withdrawals, 11, 0, 1, 1) = DATE(1900,1,0),DATE(1900,1,1),OFFSET('IWP19'!Std10dot4Withdrawals, 11, 0, 1, 1))</f>
        <v>1</v>
      </c>
      <c r="C2444" s="155">
        <f ca="1">OFFSET('IWP19'!Std10dot4Withdrawals, 11, 2, 1, 1)</f>
        <v>0</v>
      </c>
      <c r="D2444" s="151" t="str">
        <f ca="1">IF(OFFSET('IWP19'!Std10dot4Withdrawals, 11, 4, 1, 1) = 0, "", OFFSET('IWP19'!Std10dot4Withdrawals, 11, 4, 1, 1))</f>
        <v/>
      </c>
      <c r="E2444" s="207" t="str">
        <f ca="1">IF(OFFSET('IWP19'!Std10dot4Withdrawals, 11, 7, 1, 1) = 0, "", OFFSET('IWP19'!Std10dot4Withdrawals, 11, 7, 1, 1))</f>
        <v/>
      </c>
    </row>
    <row r="2445" spans="1:5">
      <c r="A2445" s="206" t="s">
        <v>1322</v>
      </c>
      <c r="B2445" s="157">
        <f ca="1">IF(OFFSET('IWP19'!Std10dot4Withdrawals, 12, 0, 1, 1) = DATE(1900,1,0),DATE(1900,1,1),OFFSET('IWP19'!Std10dot4Withdrawals, 12, 0, 1, 1))</f>
        <v>1</v>
      </c>
      <c r="C2445" s="155">
        <f ca="1">OFFSET('IWP19'!Std10dot4Withdrawals, 12, 2, 1, 1)</f>
        <v>0</v>
      </c>
      <c r="D2445" s="151" t="str">
        <f ca="1">IF(OFFSET('IWP19'!Std10dot4Withdrawals, 12, 4, 1, 1) = 0, "", OFFSET('IWP19'!Std10dot4Withdrawals, 12, 4, 1, 1))</f>
        <v/>
      </c>
      <c r="E2445" s="207" t="str">
        <f ca="1">IF(OFFSET('IWP19'!Std10dot4Withdrawals, 12, 7, 1, 1) = 0, "", OFFSET('IWP19'!Std10dot4Withdrawals, 12, 7, 1, 1))</f>
        <v/>
      </c>
    </row>
    <row r="2446" spans="1:5">
      <c r="A2446" s="206" t="s">
        <v>1322</v>
      </c>
      <c r="B2446" s="157">
        <f ca="1">IF(OFFSET('IWP19'!Std10dot4Withdrawals, 13, 0, 1, 1) = DATE(1900,1,0),DATE(1900,1,1),OFFSET('IWP19'!Std10dot4Withdrawals, 13, 0, 1, 1))</f>
        <v>1</v>
      </c>
      <c r="C2446" s="155">
        <f ca="1">OFFSET('IWP19'!Std10dot4Withdrawals, 13, 2, 1, 1)</f>
        <v>0</v>
      </c>
      <c r="D2446" s="151" t="str">
        <f ca="1">IF(OFFSET('IWP19'!Std10dot4Withdrawals, 13, 4, 1, 1) = 0, "", OFFSET('IWP19'!Std10dot4Withdrawals, 13, 4, 1, 1))</f>
        <v/>
      </c>
      <c r="E2446" s="207" t="str">
        <f ca="1">IF(OFFSET('IWP19'!Std10dot4Withdrawals, 13, 7, 1, 1) = 0, "", OFFSET('IWP19'!Std10dot4Withdrawals, 13, 7, 1, 1))</f>
        <v/>
      </c>
    </row>
    <row r="2447" spans="1:5">
      <c r="A2447" s="206" t="s">
        <v>1322</v>
      </c>
      <c r="B2447" s="157">
        <f ca="1">IF(OFFSET('IWP19'!Std10dot4Withdrawals, 14, 0, 1, 1) = DATE(1900,1,0),DATE(1900,1,1),OFFSET('IWP19'!Std10dot4Withdrawals, 14, 0, 1, 1))</f>
        <v>1</v>
      </c>
      <c r="C2447" s="155">
        <f ca="1">OFFSET('IWP19'!Std10dot4Withdrawals, 14, 2, 1, 1)</f>
        <v>0</v>
      </c>
      <c r="D2447" s="151" t="str">
        <f ca="1">IF(OFFSET('IWP19'!Std10dot4Withdrawals, 14, 4, 1, 1) = 0, "", OFFSET('IWP19'!Std10dot4Withdrawals, 14, 4, 1, 1))</f>
        <v/>
      </c>
      <c r="E2447" s="207" t="str">
        <f ca="1">IF(OFFSET('IWP19'!Std10dot4Withdrawals, 14, 7, 1, 1) = 0, "", OFFSET('IWP19'!Std10dot4Withdrawals, 14, 7, 1, 1))</f>
        <v/>
      </c>
    </row>
    <row r="2448" spans="1:5">
      <c r="A2448" s="206" t="s">
        <v>1322</v>
      </c>
      <c r="B2448" s="157">
        <f ca="1">IF(OFFSET('IWP19'!Std10dot4Withdrawals, 15, 0, 1, 1) = DATE(1900,1,0),DATE(1900,1,1),OFFSET('IWP19'!Std10dot4Withdrawals, 15, 0, 1, 1))</f>
        <v>1</v>
      </c>
      <c r="C2448" s="155">
        <f ca="1">OFFSET('IWP19'!Std10dot4Withdrawals, 15, 2, 1, 1)</f>
        <v>0</v>
      </c>
      <c r="D2448" s="151" t="str">
        <f ca="1">IF(OFFSET('IWP19'!Std10dot4Withdrawals, 15, 4, 1, 1) = 0, "", OFFSET('IWP19'!Std10dot4Withdrawals, 15, 4, 1, 1))</f>
        <v/>
      </c>
      <c r="E2448" s="207" t="str">
        <f ca="1">IF(OFFSET('IWP19'!Std10dot4Withdrawals, 15, 7, 1, 1) = 0, "", OFFSET('IWP19'!Std10dot4Withdrawals, 15, 7, 1, 1))</f>
        <v/>
      </c>
    </row>
    <row r="2449" spans="1:5">
      <c r="A2449" s="206" t="s">
        <v>1322</v>
      </c>
      <c r="B2449" s="157">
        <f ca="1">IF(OFFSET('IWP19'!Std10dot4Withdrawals, 16, 0, 1, 1) = DATE(1900,1,0),DATE(1900,1,1),OFFSET('IWP19'!Std10dot4Withdrawals, 16, 0, 1, 1))</f>
        <v>1</v>
      </c>
      <c r="C2449" s="155">
        <f ca="1">OFFSET('IWP19'!Std10dot4Withdrawals, 16, 2, 1, 1)</f>
        <v>0</v>
      </c>
      <c r="D2449" s="151" t="str">
        <f ca="1">IF(OFFSET('IWP19'!Std10dot4Withdrawals, 16, 4, 1, 1) = 0, "", OFFSET('IWP19'!Std10dot4Withdrawals, 16, 4, 1, 1))</f>
        <v/>
      </c>
      <c r="E2449" s="207" t="str">
        <f ca="1">IF(OFFSET('IWP19'!Std10dot4Withdrawals, 16, 7, 1, 1) = 0, "", OFFSET('IWP19'!Std10dot4Withdrawals, 16, 7, 1, 1))</f>
        <v/>
      </c>
    </row>
    <row r="2450" spans="1:5">
      <c r="A2450" s="206" t="s">
        <v>1322</v>
      </c>
      <c r="B2450" s="157">
        <f ca="1">IF(OFFSET('IWP19'!Std10dot4Withdrawals, 17, 0, 1, 1) = DATE(1900,1,0),DATE(1900,1,1),OFFSET('IWP19'!Std10dot4Withdrawals, 17, 0, 1, 1))</f>
        <v>1</v>
      </c>
      <c r="C2450" s="155">
        <f ca="1">OFFSET('IWP19'!Std10dot4Withdrawals, 17, 2, 1, 1)</f>
        <v>0</v>
      </c>
      <c r="D2450" s="151" t="str">
        <f ca="1">IF(OFFSET('IWP19'!Std10dot4Withdrawals, 17, 4, 1, 1) = 0, "", OFFSET('IWP19'!Std10dot4Withdrawals, 17, 4, 1, 1))</f>
        <v/>
      </c>
      <c r="E2450" s="207" t="str">
        <f ca="1">IF(OFFSET('IWP19'!Std10dot4Withdrawals, 17, 7, 1, 1) = 0, "", OFFSET('IWP19'!Std10dot4Withdrawals, 17, 7, 1, 1))</f>
        <v/>
      </c>
    </row>
    <row r="2451" spans="1:5">
      <c r="A2451" s="206" t="s">
        <v>1322</v>
      </c>
      <c r="B2451" s="157">
        <f ca="1">IF(OFFSET('IWP19'!Std10dot4Withdrawals, 18, 0, 1, 1) = DATE(1900,1,0),DATE(1900,1,1),OFFSET('IWP19'!Std10dot4Withdrawals, 18, 0, 1, 1))</f>
        <v>1</v>
      </c>
      <c r="C2451" s="155">
        <f ca="1">OFFSET('IWP19'!Std10dot4Withdrawals, 18, 2, 1, 1)</f>
        <v>0</v>
      </c>
      <c r="D2451" s="151" t="str">
        <f ca="1">IF(OFFSET('IWP19'!Std10dot4Withdrawals, 18, 4, 1, 1) = 0, "", OFFSET('IWP19'!Std10dot4Withdrawals, 18, 4, 1, 1))</f>
        <v/>
      </c>
      <c r="E2451" s="207" t="str">
        <f ca="1">IF(OFFSET('IWP19'!Std10dot4Withdrawals, 18, 7, 1, 1) = 0, "", OFFSET('IWP19'!Std10dot4Withdrawals, 18, 7, 1, 1))</f>
        <v/>
      </c>
    </row>
    <row r="2452" spans="1:5">
      <c r="A2452" s="206" t="s">
        <v>1322</v>
      </c>
      <c r="B2452" s="157">
        <f ca="1">IF(OFFSET('IWP19'!Std10dot4Withdrawals, 19, 0, 1, 1) = DATE(1900,1,0),DATE(1900,1,1),OFFSET('IWP19'!Std10dot4Withdrawals, 19, 0, 1, 1))</f>
        <v>1</v>
      </c>
      <c r="C2452" s="155">
        <f ca="1">OFFSET('IWP19'!Std10dot4Withdrawals, 19, 2, 1, 1)</f>
        <v>0</v>
      </c>
      <c r="D2452" s="151" t="str">
        <f ca="1">IF(OFFSET('IWP19'!Std10dot4Withdrawals, 19, 4, 1, 1) = 0, "", OFFSET('IWP19'!Std10dot4Withdrawals, 19, 4, 1, 1))</f>
        <v/>
      </c>
      <c r="E2452" s="207" t="str">
        <f ca="1">IF(OFFSET('IWP19'!Std10dot4Withdrawals, 19, 7, 1, 1) = 0, "", OFFSET('IWP19'!Std10dot4Withdrawals, 19, 7, 1, 1))</f>
        <v/>
      </c>
    </row>
    <row r="2453" spans="1:5">
      <c r="A2453" s="206" t="s">
        <v>1323</v>
      </c>
      <c r="B2453" s="157">
        <f ca="1">IF(OFFSET('IWP20'!Std10dot4Withdrawals, 0, 0, 1, 1) = DATE(1900,1,0),DATE(1900,1,1),OFFSET('IWP20'!Std10dot4Withdrawals, 0, 0, 1, 1))</f>
        <v>1</v>
      </c>
      <c r="C2453" s="155">
        <f ca="1">OFFSET('IWP20'!Std10dot4Withdrawals, 0, 2, 1, 1)</f>
        <v>0</v>
      </c>
      <c r="D2453" s="151" t="str">
        <f ca="1">IF(OFFSET('IWP20'!Std10dot4Withdrawals, 0, 4, 1, 1) = 0, "", OFFSET('IWP20'!Std10dot4Withdrawals, 0, 4, 1, 1))</f>
        <v/>
      </c>
      <c r="E2453" s="207" t="str">
        <f ca="1">IF(OFFSET('IWP20'!Std10dot4Withdrawals, 0, 7, 1, 1) = 0, "", OFFSET('IWP20'!Std10dot4Withdrawals, 0, 7, 1, 1))</f>
        <v/>
      </c>
    </row>
    <row r="2454" spans="1:5">
      <c r="A2454" s="206" t="s">
        <v>1323</v>
      </c>
      <c r="B2454" s="157">
        <f ca="1">IF(OFFSET('IWP20'!Std10dot4Withdrawals, 1, 0, 1, 1) = DATE(1900,1,0),DATE(1900,1,1),OFFSET('IWP20'!Std10dot4Withdrawals, 1, 0, 1, 1))</f>
        <v>1</v>
      </c>
      <c r="C2454" s="155">
        <f ca="1">OFFSET('IWP20'!Std10dot4Withdrawals, 1, 2, 1, 1)</f>
        <v>0</v>
      </c>
      <c r="D2454" s="151" t="str">
        <f ca="1">IF(OFFSET('IWP20'!Std10dot4Withdrawals, 1, 4, 1, 1) = 0, "", OFFSET('IWP20'!Std10dot4Withdrawals, 1, 4, 1, 1))</f>
        <v/>
      </c>
      <c r="E2454" s="207" t="str">
        <f ca="1">IF(OFFSET('IWP20'!Std10dot4Withdrawals, 1, 7, 1, 1) = 0, "", OFFSET('IWP20'!Std10dot4Withdrawals, 1, 7, 1, 1))</f>
        <v/>
      </c>
    </row>
    <row r="2455" spans="1:5">
      <c r="A2455" s="206" t="s">
        <v>1323</v>
      </c>
      <c r="B2455" s="157">
        <f ca="1">IF(OFFSET('IWP20'!Std10dot4Withdrawals, 2, 0, 1, 1) = DATE(1900,1,0),DATE(1900,1,1),OFFSET('IWP20'!Std10dot4Withdrawals, 2, 0, 1, 1))</f>
        <v>1</v>
      </c>
      <c r="C2455" s="155">
        <f ca="1">OFFSET('IWP20'!Std10dot4Withdrawals, 2, 2, 1, 1)</f>
        <v>0</v>
      </c>
      <c r="D2455" s="151" t="str">
        <f ca="1">IF(OFFSET('IWP20'!Std10dot4Withdrawals, 2, 4, 1, 1) = 0, "", OFFSET('IWP20'!Std10dot4Withdrawals, 2, 4, 1, 1))</f>
        <v/>
      </c>
      <c r="E2455" s="207" t="str">
        <f ca="1">IF(OFFSET('IWP20'!Std10dot4Withdrawals, 2, 7, 1, 1) = 0, "", OFFSET('IWP20'!Std10dot4Withdrawals, 2, 7, 1, 1))</f>
        <v/>
      </c>
    </row>
    <row r="2456" spans="1:5">
      <c r="A2456" s="206" t="s">
        <v>1323</v>
      </c>
      <c r="B2456" s="157">
        <f ca="1">IF(OFFSET('IWP20'!Std10dot4Withdrawals, 3, 0, 1, 1) = DATE(1900,1,0),DATE(1900,1,1),OFFSET('IWP20'!Std10dot4Withdrawals, 3, 0, 1, 1))</f>
        <v>1</v>
      </c>
      <c r="C2456" s="155">
        <f ca="1">OFFSET('IWP20'!Std10dot4Withdrawals, 3, 2, 1, 1)</f>
        <v>0</v>
      </c>
      <c r="D2456" s="151" t="str">
        <f ca="1">IF(OFFSET('IWP20'!Std10dot4Withdrawals, 3, 4, 1, 1) = 0, "", OFFSET('IWP20'!Std10dot4Withdrawals, 3, 4, 1, 1))</f>
        <v/>
      </c>
      <c r="E2456" s="207" t="str">
        <f ca="1">IF(OFFSET('IWP20'!Std10dot4Withdrawals, 3, 7, 1, 1) = 0, "", OFFSET('IWP20'!Std10dot4Withdrawals, 3, 7, 1, 1))</f>
        <v/>
      </c>
    </row>
    <row r="2457" spans="1:5">
      <c r="A2457" s="206" t="s">
        <v>1323</v>
      </c>
      <c r="B2457" s="157">
        <f ca="1">IF(OFFSET('IWP20'!Std10dot4Withdrawals, 4, 0, 1, 1) = DATE(1900,1,0),DATE(1900,1,1),OFFSET('IWP20'!Std10dot4Withdrawals, 4, 0, 1, 1))</f>
        <v>1</v>
      </c>
      <c r="C2457" s="155">
        <f ca="1">OFFSET('IWP20'!Std10dot4Withdrawals, 4, 2, 1, 1)</f>
        <v>0</v>
      </c>
      <c r="D2457" s="151" t="str">
        <f ca="1">IF(OFFSET('IWP20'!Std10dot4Withdrawals, 4, 4, 1, 1) = 0, "", OFFSET('IWP20'!Std10dot4Withdrawals, 4, 4, 1, 1))</f>
        <v/>
      </c>
      <c r="E2457" s="207" t="str">
        <f ca="1">IF(OFFSET('IWP20'!Std10dot4Withdrawals, 4, 7, 1, 1) = 0, "", OFFSET('IWP20'!Std10dot4Withdrawals, 4, 7, 1, 1))</f>
        <v/>
      </c>
    </row>
    <row r="2458" spans="1:5">
      <c r="A2458" s="206" t="s">
        <v>1323</v>
      </c>
      <c r="B2458" s="157">
        <f ca="1">IF(OFFSET('IWP20'!Std10dot4Withdrawals, 5, 0, 1, 1) = DATE(1900,1,0),DATE(1900,1,1),OFFSET('IWP20'!Std10dot4Withdrawals, 5, 0, 1, 1))</f>
        <v>1</v>
      </c>
      <c r="C2458" s="155">
        <f ca="1">OFFSET('IWP20'!Std10dot4Withdrawals, 5, 2, 1, 1)</f>
        <v>0</v>
      </c>
      <c r="D2458" s="151" t="str">
        <f ca="1">IF(OFFSET('IWP20'!Std10dot4Withdrawals, 5, 4, 1, 1) = 0, "", OFFSET('IWP20'!Std10dot4Withdrawals, 5, 4, 1, 1))</f>
        <v/>
      </c>
      <c r="E2458" s="207" t="str">
        <f ca="1">IF(OFFSET('IWP20'!Std10dot4Withdrawals, 5, 7, 1, 1) = 0, "", OFFSET('IWP20'!Std10dot4Withdrawals, 5, 7, 1, 1))</f>
        <v/>
      </c>
    </row>
    <row r="2459" spans="1:5">
      <c r="A2459" s="206" t="s">
        <v>1323</v>
      </c>
      <c r="B2459" s="157">
        <f ca="1">IF(OFFSET('IWP20'!Std10dot4Withdrawals, 6, 0, 1, 1) = DATE(1900,1,0),DATE(1900,1,1),OFFSET('IWP20'!Std10dot4Withdrawals, 6, 0, 1, 1))</f>
        <v>1</v>
      </c>
      <c r="C2459" s="155">
        <f ca="1">OFFSET('IWP20'!Std10dot4Withdrawals, 6, 2, 1, 1)</f>
        <v>0</v>
      </c>
      <c r="D2459" s="151" t="str">
        <f ca="1">IF(OFFSET('IWP20'!Std10dot4Withdrawals, 6, 4, 1, 1) = 0, "", OFFSET('IWP20'!Std10dot4Withdrawals, 6, 4, 1, 1))</f>
        <v/>
      </c>
      <c r="E2459" s="207" t="str">
        <f ca="1">IF(OFFSET('IWP20'!Std10dot4Withdrawals, 6, 7, 1, 1) = 0, "", OFFSET('IWP20'!Std10dot4Withdrawals, 6, 7, 1, 1))</f>
        <v/>
      </c>
    </row>
    <row r="2460" spans="1:5">
      <c r="A2460" s="206" t="s">
        <v>1323</v>
      </c>
      <c r="B2460" s="157">
        <f ca="1">IF(OFFSET('IWP20'!Std10dot4Withdrawals, 7, 0, 1, 1) = DATE(1900,1,0),DATE(1900,1,1),OFFSET('IWP20'!Std10dot4Withdrawals, 7, 0, 1, 1))</f>
        <v>1</v>
      </c>
      <c r="C2460" s="155">
        <f ca="1">OFFSET('IWP20'!Std10dot4Withdrawals, 7, 2, 1, 1)</f>
        <v>0</v>
      </c>
      <c r="D2460" s="151" t="str">
        <f ca="1">IF(OFFSET('IWP20'!Std10dot4Withdrawals, 7, 4, 1, 1) = 0, "", OFFSET('IWP20'!Std10dot4Withdrawals, 7, 4, 1, 1))</f>
        <v/>
      </c>
      <c r="E2460" s="207" t="str">
        <f ca="1">IF(OFFSET('IWP20'!Std10dot4Withdrawals, 7, 7, 1, 1) = 0, "", OFFSET('IWP20'!Std10dot4Withdrawals, 7, 7, 1, 1))</f>
        <v/>
      </c>
    </row>
    <row r="2461" spans="1:5">
      <c r="A2461" s="206" t="s">
        <v>1323</v>
      </c>
      <c r="B2461" s="157">
        <f ca="1">IF(OFFSET('IWP20'!Std10dot4Withdrawals, 8, 0, 1, 1) = DATE(1900,1,0),DATE(1900,1,1),OFFSET('IWP20'!Std10dot4Withdrawals, 8, 0, 1, 1))</f>
        <v>1</v>
      </c>
      <c r="C2461" s="155">
        <f ca="1">OFFSET('IWP20'!Std10dot4Withdrawals, 8, 2, 1, 1)</f>
        <v>0</v>
      </c>
      <c r="D2461" s="151" t="str">
        <f ca="1">IF(OFFSET('IWP20'!Std10dot4Withdrawals, 8, 4, 1, 1) = 0, "", OFFSET('IWP20'!Std10dot4Withdrawals, 8, 4, 1, 1))</f>
        <v/>
      </c>
      <c r="E2461" s="207" t="str">
        <f ca="1">IF(OFFSET('IWP20'!Std10dot4Withdrawals, 8, 7, 1, 1) = 0, "", OFFSET('IWP20'!Std10dot4Withdrawals, 8, 7, 1, 1))</f>
        <v/>
      </c>
    </row>
    <row r="2462" spans="1:5">
      <c r="A2462" s="206" t="s">
        <v>1323</v>
      </c>
      <c r="B2462" s="157">
        <f ca="1">IF(OFFSET('IWP20'!Std10dot4Withdrawals, 9, 0, 1, 1) = DATE(1900,1,0),DATE(1900,1,1),OFFSET('IWP20'!Std10dot4Withdrawals, 9, 0, 1, 1))</f>
        <v>1</v>
      </c>
      <c r="C2462" s="155">
        <f ca="1">OFFSET('IWP20'!Std10dot4Withdrawals, 9, 2, 1, 1)</f>
        <v>0</v>
      </c>
      <c r="D2462" s="151" t="str">
        <f ca="1">IF(OFFSET('IWP20'!Std10dot4Withdrawals, 9, 4, 1, 1) = 0, "", OFFSET('IWP20'!Std10dot4Withdrawals, 9, 4, 1, 1))</f>
        <v/>
      </c>
      <c r="E2462" s="207" t="str">
        <f ca="1">IF(OFFSET('IWP20'!Std10dot4Withdrawals, 9, 7, 1, 1) = 0, "", OFFSET('IWP20'!Std10dot4Withdrawals, 9, 7, 1, 1))</f>
        <v/>
      </c>
    </row>
    <row r="2463" spans="1:5">
      <c r="A2463" s="206" t="s">
        <v>1323</v>
      </c>
      <c r="B2463" s="157">
        <f ca="1">IF(OFFSET('IWP20'!Std10dot4Withdrawals, 10, 0, 1, 1) = DATE(1900,1,0),DATE(1900,1,1),OFFSET('IWP20'!Std10dot4Withdrawals, 10, 0, 1, 1))</f>
        <v>1</v>
      </c>
      <c r="C2463" s="155">
        <f ca="1">OFFSET('IWP20'!Std10dot4Withdrawals, 10, 2, 1, 1)</f>
        <v>0</v>
      </c>
      <c r="D2463" s="151" t="str">
        <f ca="1">IF(OFFSET('IWP20'!Std10dot4Withdrawals, 10, 4, 1, 1) = 0, "", OFFSET('IWP20'!Std10dot4Withdrawals, 10, 4, 1, 1))</f>
        <v/>
      </c>
      <c r="E2463" s="207" t="str">
        <f ca="1">IF(OFFSET('IWP20'!Std10dot4Withdrawals, 10, 7, 1, 1) = 0, "", OFFSET('IWP20'!Std10dot4Withdrawals, 10, 7, 1, 1))</f>
        <v/>
      </c>
    </row>
    <row r="2464" spans="1:5">
      <c r="A2464" s="206" t="s">
        <v>1323</v>
      </c>
      <c r="B2464" s="157">
        <f ca="1">IF(OFFSET('IWP20'!Std10dot4Withdrawals, 11, 0, 1, 1) = DATE(1900,1,0),DATE(1900,1,1),OFFSET('IWP20'!Std10dot4Withdrawals, 11, 0, 1, 1))</f>
        <v>1</v>
      </c>
      <c r="C2464" s="155">
        <f ca="1">OFFSET('IWP20'!Std10dot4Withdrawals, 11, 2, 1, 1)</f>
        <v>0</v>
      </c>
      <c r="D2464" s="151" t="str">
        <f ca="1">IF(OFFSET('IWP20'!Std10dot4Withdrawals, 11, 4, 1, 1) = 0, "", OFFSET('IWP20'!Std10dot4Withdrawals, 11, 4, 1, 1))</f>
        <v/>
      </c>
      <c r="E2464" s="207" t="str">
        <f ca="1">IF(OFFSET('IWP20'!Std10dot4Withdrawals, 11, 7, 1, 1) = 0, "", OFFSET('IWP20'!Std10dot4Withdrawals, 11, 7, 1, 1))</f>
        <v/>
      </c>
    </row>
    <row r="2465" spans="1:5">
      <c r="A2465" s="206" t="s">
        <v>1323</v>
      </c>
      <c r="B2465" s="157">
        <f ca="1">IF(OFFSET('IWP20'!Std10dot4Withdrawals, 12, 0, 1, 1) = DATE(1900,1,0),DATE(1900,1,1),OFFSET('IWP20'!Std10dot4Withdrawals, 12, 0, 1, 1))</f>
        <v>1</v>
      </c>
      <c r="C2465" s="155">
        <f ca="1">OFFSET('IWP20'!Std10dot4Withdrawals, 12, 2, 1, 1)</f>
        <v>0</v>
      </c>
      <c r="D2465" s="151" t="str">
        <f ca="1">IF(OFFSET('IWP20'!Std10dot4Withdrawals, 12, 4, 1, 1) = 0, "", OFFSET('IWP20'!Std10dot4Withdrawals, 12, 4, 1, 1))</f>
        <v/>
      </c>
      <c r="E2465" s="207" t="str">
        <f ca="1">IF(OFFSET('IWP20'!Std10dot4Withdrawals, 12, 7, 1, 1) = 0, "", OFFSET('IWP20'!Std10dot4Withdrawals, 12, 7, 1, 1))</f>
        <v/>
      </c>
    </row>
    <row r="2466" spans="1:5">
      <c r="A2466" s="206" t="s">
        <v>1323</v>
      </c>
      <c r="B2466" s="157">
        <f ca="1">IF(OFFSET('IWP20'!Std10dot4Withdrawals, 13, 0, 1, 1) = DATE(1900,1,0),DATE(1900,1,1),OFFSET('IWP20'!Std10dot4Withdrawals, 13, 0, 1, 1))</f>
        <v>1</v>
      </c>
      <c r="C2466" s="155">
        <f ca="1">OFFSET('IWP20'!Std10dot4Withdrawals, 13, 2, 1, 1)</f>
        <v>0</v>
      </c>
      <c r="D2466" s="151" t="str">
        <f ca="1">IF(OFFSET('IWP20'!Std10dot4Withdrawals, 13, 4, 1, 1) = 0, "", OFFSET('IWP20'!Std10dot4Withdrawals, 13, 4, 1, 1))</f>
        <v/>
      </c>
      <c r="E2466" s="207" t="str">
        <f ca="1">IF(OFFSET('IWP20'!Std10dot4Withdrawals, 13, 7, 1, 1) = 0, "", OFFSET('IWP20'!Std10dot4Withdrawals, 13, 7, 1, 1))</f>
        <v/>
      </c>
    </row>
    <row r="2467" spans="1:5">
      <c r="A2467" s="206" t="s">
        <v>1323</v>
      </c>
      <c r="B2467" s="157">
        <f ca="1">IF(OFFSET('IWP20'!Std10dot4Withdrawals, 14, 0, 1, 1) = DATE(1900,1,0),DATE(1900,1,1),OFFSET('IWP20'!Std10dot4Withdrawals, 14, 0, 1, 1))</f>
        <v>1</v>
      </c>
      <c r="C2467" s="155">
        <f ca="1">OFFSET('IWP20'!Std10dot4Withdrawals, 14, 2, 1, 1)</f>
        <v>0</v>
      </c>
      <c r="D2467" s="151" t="str">
        <f ca="1">IF(OFFSET('IWP20'!Std10dot4Withdrawals, 14, 4, 1, 1) = 0, "", OFFSET('IWP20'!Std10dot4Withdrawals, 14, 4, 1, 1))</f>
        <v/>
      </c>
      <c r="E2467" s="207" t="str">
        <f ca="1">IF(OFFSET('IWP20'!Std10dot4Withdrawals, 14, 7, 1, 1) = 0, "", OFFSET('IWP20'!Std10dot4Withdrawals, 14, 7, 1, 1))</f>
        <v/>
      </c>
    </row>
    <row r="2468" spans="1:5">
      <c r="A2468" s="206" t="s">
        <v>1323</v>
      </c>
      <c r="B2468" s="157">
        <f ca="1">IF(OFFSET('IWP20'!Std10dot4Withdrawals, 15, 0, 1, 1) = DATE(1900,1,0),DATE(1900,1,1),OFFSET('IWP20'!Std10dot4Withdrawals, 15, 0, 1, 1))</f>
        <v>1</v>
      </c>
      <c r="C2468" s="155">
        <f ca="1">OFFSET('IWP20'!Std10dot4Withdrawals, 15, 2, 1, 1)</f>
        <v>0</v>
      </c>
      <c r="D2468" s="151" t="str">
        <f ca="1">IF(OFFSET('IWP20'!Std10dot4Withdrawals, 15, 4, 1, 1) = 0, "", OFFSET('IWP20'!Std10dot4Withdrawals, 15, 4, 1, 1))</f>
        <v/>
      </c>
      <c r="E2468" s="207" t="str">
        <f ca="1">IF(OFFSET('IWP20'!Std10dot4Withdrawals, 15, 7, 1, 1) = 0, "", OFFSET('IWP20'!Std10dot4Withdrawals, 15, 7, 1, 1))</f>
        <v/>
      </c>
    </row>
    <row r="2469" spans="1:5">
      <c r="A2469" s="206" t="s">
        <v>1323</v>
      </c>
      <c r="B2469" s="157">
        <f ca="1">IF(OFFSET('IWP20'!Std10dot4Withdrawals, 16, 0, 1, 1) = DATE(1900,1,0),DATE(1900,1,1),OFFSET('IWP20'!Std10dot4Withdrawals, 16, 0, 1, 1))</f>
        <v>1</v>
      </c>
      <c r="C2469" s="155">
        <f ca="1">OFFSET('IWP20'!Std10dot4Withdrawals, 16, 2, 1, 1)</f>
        <v>0</v>
      </c>
      <c r="D2469" s="151" t="str">
        <f ca="1">IF(OFFSET('IWP20'!Std10dot4Withdrawals, 16, 4, 1, 1) = 0, "", OFFSET('IWP20'!Std10dot4Withdrawals, 16, 4, 1, 1))</f>
        <v/>
      </c>
      <c r="E2469" s="207" t="str">
        <f ca="1">IF(OFFSET('IWP20'!Std10dot4Withdrawals, 16, 7, 1, 1) = 0, "", OFFSET('IWP20'!Std10dot4Withdrawals, 16, 7, 1, 1))</f>
        <v/>
      </c>
    </row>
    <row r="2470" spans="1:5">
      <c r="A2470" s="206" t="s">
        <v>1323</v>
      </c>
      <c r="B2470" s="157">
        <f ca="1">IF(OFFSET('IWP20'!Std10dot4Withdrawals, 17, 0, 1, 1) = DATE(1900,1,0),DATE(1900,1,1),OFFSET('IWP20'!Std10dot4Withdrawals, 17, 0, 1, 1))</f>
        <v>1</v>
      </c>
      <c r="C2470" s="155">
        <f ca="1">OFFSET('IWP20'!Std10dot4Withdrawals, 17, 2, 1, 1)</f>
        <v>0</v>
      </c>
      <c r="D2470" s="151" t="str">
        <f ca="1">IF(OFFSET('IWP20'!Std10dot4Withdrawals, 17, 4, 1, 1) = 0, "", OFFSET('IWP20'!Std10dot4Withdrawals, 17, 4, 1, 1))</f>
        <v/>
      </c>
      <c r="E2470" s="207" t="str">
        <f ca="1">IF(OFFSET('IWP20'!Std10dot4Withdrawals, 17, 7, 1, 1) = 0, "", OFFSET('IWP20'!Std10dot4Withdrawals, 17, 7, 1, 1))</f>
        <v/>
      </c>
    </row>
    <row r="2471" spans="1:5">
      <c r="A2471" s="206" t="s">
        <v>1323</v>
      </c>
      <c r="B2471" s="157">
        <f ca="1">IF(OFFSET('IWP20'!Std10dot4Withdrawals, 18, 0, 1, 1) = DATE(1900,1,0),DATE(1900,1,1),OFFSET('IWP20'!Std10dot4Withdrawals, 18, 0, 1, 1))</f>
        <v>1</v>
      </c>
      <c r="C2471" s="155">
        <f ca="1">OFFSET('IWP20'!Std10dot4Withdrawals, 18, 2, 1, 1)</f>
        <v>0</v>
      </c>
      <c r="D2471" s="151" t="str">
        <f ca="1">IF(OFFSET('IWP20'!Std10dot4Withdrawals, 18, 4, 1, 1) = 0, "", OFFSET('IWP20'!Std10dot4Withdrawals, 18, 4, 1, 1))</f>
        <v/>
      </c>
      <c r="E2471" s="207" t="str">
        <f ca="1">IF(OFFSET('IWP20'!Std10dot4Withdrawals, 18, 7, 1, 1) = 0, "", OFFSET('IWP20'!Std10dot4Withdrawals, 18, 7, 1, 1))</f>
        <v/>
      </c>
    </row>
    <row r="2472" spans="1:5">
      <c r="A2472" s="206" t="s">
        <v>1323</v>
      </c>
      <c r="B2472" s="157">
        <f ca="1">IF(OFFSET('IWP20'!Std10dot4Withdrawals, 19, 0, 1, 1) = DATE(1900,1,0),DATE(1900,1,1),OFFSET('IWP20'!Std10dot4Withdrawals, 19, 0, 1, 1))</f>
        <v>1</v>
      </c>
      <c r="C2472" s="155">
        <f ca="1">OFFSET('IWP20'!Std10dot4Withdrawals, 19, 2, 1, 1)</f>
        <v>0</v>
      </c>
      <c r="D2472" s="151" t="str">
        <f ca="1">IF(OFFSET('IWP20'!Std10dot4Withdrawals, 19, 4, 1, 1) = 0, "", OFFSET('IWP20'!Std10dot4Withdrawals, 19, 4, 1, 1))</f>
        <v/>
      </c>
      <c r="E2472" s="207" t="str">
        <f ca="1">IF(OFFSET('IWP20'!Std10dot4Withdrawals, 19, 7, 1, 1) = 0, "", OFFSET('IWP20'!Std10dot4Withdrawals, 19, 7, 1, 1))</f>
        <v/>
      </c>
    </row>
    <row r="2473" spans="1:5">
      <c r="A2473" s="206" t="s">
        <v>1324</v>
      </c>
      <c r="B2473" s="157">
        <f ca="1">IF(OFFSET('IWP21'!Std10dot4Withdrawals, 0, 0, 1, 1) = DATE(1900,1,0),DATE(1900,1,1),OFFSET('IWP21'!Std10dot4Withdrawals, 0, 0, 1, 1))</f>
        <v>1</v>
      </c>
      <c r="C2473" s="155">
        <f ca="1">OFFSET('IWP21'!Std10dot4Withdrawals, 0, 2, 1, 1)</f>
        <v>0</v>
      </c>
      <c r="D2473" s="151" t="str">
        <f ca="1">IF(OFFSET('IWP21'!Std10dot4Withdrawals, 0, 4, 1, 1) = 0, "", OFFSET('IWP21'!Std10dot4Withdrawals, 0, 4, 1, 1))</f>
        <v/>
      </c>
      <c r="E2473" s="207" t="str">
        <f ca="1">IF(OFFSET('IWP21'!Std10dot4Withdrawals, 0, 7, 1, 1) = 0, "", OFFSET('IWP21'!Std10dot4Withdrawals, 0, 7, 1, 1))</f>
        <v/>
      </c>
    </row>
    <row r="2474" spans="1:5">
      <c r="A2474" s="206" t="s">
        <v>1324</v>
      </c>
      <c r="B2474" s="157">
        <f ca="1">IF(OFFSET('IWP21'!Std10dot4Withdrawals, 1, 0, 1, 1) = DATE(1900,1,0),DATE(1900,1,1),OFFSET('IWP21'!Std10dot4Withdrawals, 1, 0, 1, 1))</f>
        <v>1</v>
      </c>
      <c r="C2474" s="155">
        <f ca="1">OFFSET('IWP21'!Std10dot4Withdrawals, 1, 2, 1, 1)</f>
        <v>0</v>
      </c>
      <c r="D2474" s="151" t="str">
        <f ca="1">IF(OFFSET('IWP21'!Std10dot4Withdrawals, 1, 4, 1, 1) = 0, "", OFFSET('IWP21'!Std10dot4Withdrawals, 1, 4, 1, 1))</f>
        <v/>
      </c>
      <c r="E2474" s="207" t="str">
        <f ca="1">IF(OFFSET('IWP21'!Std10dot4Withdrawals, 1, 7, 1, 1) = 0, "", OFFSET('IWP21'!Std10dot4Withdrawals, 1, 7, 1, 1))</f>
        <v/>
      </c>
    </row>
    <row r="2475" spans="1:5">
      <c r="A2475" s="206" t="s">
        <v>1324</v>
      </c>
      <c r="B2475" s="157">
        <f ca="1">IF(OFFSET('IWP21'!Std10dot4Withdrawals, 2, 0, 1, 1) = DATE(1900,1,0),DATE(1900,1,1),OFFSET('IWP21'!Std10dot4Withdrawals, 2, 0, 1, 1))</f>
        <v>1</v>
      </c>
      <c r="C2475" s="155">
        <f ca="1">OFFSET('IWP21'!Std10dot4Withdrawals, 2, 2, 1, 1)</f>
        <v>0</v>
      </c>
      <c r="D2475" s="151" t="str">
        <f ca="1">IF(OFFSET('IWP21'!Std10dot4Withdrawals, 2, 4, 1, 1) = 0, "", OFFSET('IWP21'!Std10dot4Withdrawals, 2, 4, 1, 1))</f>
        <v/>
      </c>
      <c r="E2475" s="207" t="str">
        <f ca="1">IF(OFFSET('IWP21'!Std10dot4Withdrawals, 2, 7, 1, 1) = 0, "", OFFSET('IWP21'!Std10dot4Withdrawals, 2, 7, 1, 1))</f>
        <v/>
      </c>
    </row>
    <row r="2476" spans="1:5">
      <c r="A2476" s="206" t="s">
        <v>1324</v>
      </c>
      <c r="B2476" s="157">
        <f ca="1">IF(OFFSET('IWP21'!Std10dot4Withdrawals, 3, 0, 1, 1) = DATE(1900,1,0),DATE(1900,1,1),OFFSET('IWP21'!Std10dot4Withdrawals, 3, 0, 1, 1))</f>
        <v>1</v>
      </c>
      <c r="C2476" s="155">
        <f ca="1">OFFSET('IWP21'!Std10dot4Withdrawals, 3, 2, 1, 1)</f>
        <v>0</v>
      </c>
      <c r="D2476" s="151" t="str">
        <f ca="1">IF(OFFSET('IWP21'!Std10dot4Withdrawals, 3, 4, 1, 1) = 0, "", OFFSET('IWP21'!Std10dot4Withdrawals, 3, 4, 1, 1))</f>
        <v/>
      </c>
      <c r="E2476" s="207" t="str">
        <f ca="1">IF(OFFSET('IWP21'!Std10dot4Withdrawals, 3, 7, 1, 1) = 0, "", OFFSET('IWP21'!Std10dot4Withdrawals, 3, 7, 1, 1))</f>
        <v/>
      </c>
    </row>
    <row r="2477" spans="1:5">
      <c r="A2477" s="206" t="s">
        <v>1324</v>
      </c>
      <c r="B2477" s="157">
        <f ca="1">IF(OFFSET('IWP21'!Std10dot4Withdrawals, 4, 0, 1, 1) = DATE(1900,1,0),DATE(1900,1,1),OFFSET('IWP21'!Std10dot4Withdrawals, 4, 0, 1, 1))</f>
        <v>1</v>
      </c>
      <c r="C2477" s="155">
        <f ca="1">OFFSET('IWP21'!Std10dot4Withdrawals, 4, 2, 1, 1)</f>
        <v>0</v>
      </c>
      <c r="D2477" s="151" t="str">
        <f ca="1">IF(OFFSET('IWP21'!Std10dot4Withdrawals, 4, 4, 1, 1) = 0, "", OFFSET('IWP21'!Std10dot4Withdrawals, 4, 4, 1, 1))</f>
        <v/>
      </c>
      <c r="E2477" s="207" t="str">
        <f ca="1">IF(OFFSET('IWP21'!Std10dot4Withdrawals, 4, 7, 1, 1) = 0, "", OFFSET('IWP21'!Std10dot4Withdrawals, 4, 7, 1, 1))</f>
        <v/>
      </c>
    </row>
    <row r="2478" spans="1:5">
      <c r="A2478" s="206" t="s">
        <v>1324</v>
      </c>
      <c r="B2478" s="157">
        <f ca="1">IF(OFFSET('IWP21'!Std10dot4Withdrawals, 5, 0, 1, 1) = DATE(1900,1,0),DATE(1900,1,1),OFFSET('IWP21'!Std10dot4Withdrawals, 5, 0, 1, 1))</f>
        <v>1</v>
      </c>
      <c r="C2478" s="155">
        <f ca="1">OFFSET('IWP21'!Std10dot4Withdrawals, 5, 2, 1, 1)</f>
        <v>0</v>
      </c>
      <c r="D2478" s="151" t="str">
        <f ca="1">IF(OFFSET('IWP21'!Std10dot4Withdrawals, 5, 4, 1, 1) = 0, "", OFFSET('IWP21'!Std10dot4Withdrawals, 5, 4, 1, 1))</f>
        <v/>
      </c>
      <c r="E2478" s="207" t="str">
        <f ca="1">IF(OFFSET('IWP21'!Std10dot4Withdrawals, 5, 7, 1, 1) = 0, "", OFFSET('IWP21'!Std10dot4Withdrawals, 5, 7, 1, 1))</f>
        <v/>
      </c>
    </row>
    <row r="2479" spans="1:5">
      <c r="A2479" s="206" t="s">
        <v>1324</v>
      </c>
      <c r="B2479" s="157">
        <f ca="1">IF(OFFSET('IWP21'!Std10dot4Withdrawals, 6, 0, 1, 1) = DATE(1900,1,0),DATE(1900,1,1),OFFSET('IWP21'!Std10dot4Withdrawals, 6, 0, 1, 1))</f>
        <v>1</v>
      </c>
      <c r="C2479" s="155">
        <f ca="1">OFFSET('IWP21'!Std10dot4Withdrawals, 6, 2, 1, 1)</f>
        <v>0</v>
      </c>
      <c r="D2479" s="151" t="str">
        <f ca="1">IF(OFFSET('IWP21'!Std10dot4Withdrawals, 6, 4, 1, 1) = 0, "", OFFSET('IWP21'!Std10dot4Withdrawals, 6, 4, 1, 1))</f>
        <v/>
      </c>
      <c r="E2479" s="207" t="str">
        <f ca="1">IF(OFFSET('IWP21'!Std10dot4Withdrawals, 6, 7, 1, 1) = 0, "", OFFSET('IWP21'!Std10dot4Withdrawals, 6, 7, 1, 1))</f>
        <v/>
      </c>
    </row>
    <row r="2480" spans="1:5">
      <c r="A2480" s="206" t="s">
        <v>1324</v>
      </c>
      <c r="B2480" s="157">
        <f ca="1">IF(OFFSET('IWP21'!Std10dot4Withdrawals, 7, 0, 1, 1) = DATE(1900,1,0),DATE(1900,1,1),OFFSET('IWP21'!Std10dot4Withdrawals, 7, 0, 1, 1))</f>
        <v>1</v>
      </c>
      <c r="C2480" s="155">
        <f ca="1">OFFSET('IWP21'!Std10dot4Withdrawals, 7, 2, 1, 1)</f>
        <v>0</v>
      </c>
      <c r="D2480" s="151" t="str">
        <f ca="1">IF(OFFSET('IWP21'!Std10dot4Withdrawals, 7, 4, 1, 1) = 0, "", OFFSET('IWP21'!Std10dot4Withdrawals, 7, 4, 1, 1))</f>
        <v/>
      </c>
      <c r="E2480" s="207" t="str">
        <f ca="1">IF(OFFSET('IWP21'!Std10dot4Withdrawals, 7, 7, 1, 1) = 0, "", OFFSET('IWP21'!Std10dot4Withdrawals, 7, 7, 1, 1))</f>
        <v/>
      </c>
    </row>
    <row r="2481" spans="1:5">
      <c r="A2481" s="206" t="s">
        <v>1324</v>
      </c>
      <c r="B2481" s="157">
        <f ca="1">IF(OFFSET('IWP21'!Std10dot4Withdrawals, 8, 0, 1, 1) = DATE(1900,1,0),DATE(1900,1,1),OFFSET('IWP21'!Std10dot4Withdrawals, 8, 0, 1, 1))</f>
        <v>1</v>
      </c>
      <c r="C2481" s="155">
        <f ca="1">OFFSET('IWP21'!Std10dot4Withdrawals, 8, 2, 1, 1)</f>
        <v>0</v>
      </c>
      <c r="D2481" s="151" t="str">
        <f ca="1">IF(OFFSET('IWP21'!Std10dot4Withdrawals, 8, 4, 1, 1) = 0, "", OFFSET('IWP21'!Std10dot4Withdrawals, 8, 4, 1, 1))</f>
        <v/>
      </c>
      <c r="E2481" s="207" t="str">
        <f ca="1">IF(OFFSET('IWP21'!Std10dot4Withdrawals, 8, 7, 1, 1) = 0, "", OFFSET('IWP21'!Std10dot4Withdrawals, 8, 7, 1, 1))</f>
        <v/>
      </c>
    </row>
    <row r="2482" spans="1:5">
      <c r="A2482" s="206" t="s">
        <v>1324</v>
      </c>
      <c r="B2482" s="157">
        <f ca="1">IF(OFFSET('IWP21'!Std10dot4Withdrawals, 9, 0, 1, 1) = DATE(1900,1,0),DATE(1900,1,1),OFFSET('IWP21'!Std10dot4Withdrawals, 9, 0, 1, 1))</f>
        <v>1</v>
      </c>
      <c r="C2482" s="155">
        <f ca="1">OFFSET('IWP21'!Std10dot4Withdrawals, 9, 2, 1, 1)</f>
        <v>0</v>
      </c>
      <c r="D2482" s="151" t="str">
        <f ca="1">IF(OFFSET('IWP21'!Std10dot4Withdrawals, 9, 4, 1, 1) = 0, "", OFFSET('IWP21'!Std10dot4Withdrawals, 9, 4, 1, 1))</f>
        <v/>
      </c>
      <c r="E2482" s="207" t="str">
        <f ca="1">IF(OFFSET('IWP21'!Std10dot4Withdrawals, 9, 7, 1, 1) = 0, "", OFFSET('IWP21'!Std10dot4Withdrawals, 9, 7, 1, 1))</f>
        <v/>
      </c>
    </row>
    <row r="2483" spans="1:5">
      <c r="A2483" s="206" t="s">
        <v>1324</v>
      </c>
      <c r="B2483" s="157">
        <f ca="1">IF(OFFSET('IWP21'!Std10dot4Withdrawals, 10, 0, 1, 1) = DATE(1900,1,0),DATE(1900,1,1),OFFSET('IWP21'!Std10dot4Withdrawals, 10, 0, 1, 1))</f>
        <v>1</v>
      </c>
      <c r="C2483" s="155">
        <f ca="1">OFFSET('IWP21'!Std10dot4Withdrawals, 10, 2, 1, 1)</f>
        <v>0</v>
      </c>
      <c r="D2483" s="151" t="str">
        <f ca="1">IF(OFFSET('IWP21'!Std10dot4Withdrawals, 10, 4, 1, 1) = 0, "", OFFSET('IWP21'!Std10dot4Withdrawals, 10, 4, 1, 1))</f>
        <v/>
      </c>
      <c r="E2483" s="207" t="str">
        <f ca="1">IF(OFFSET('IWP21'!Std10dot4Withdrawals, 10, 7, 1, 1) = 0, "", OFFSET('IWP21'!Std10dot4Withdrawals, 10, 7, 1, 1))</f>
        <v/>
      </c>
    </row>
    <row r="2484" spans="1:5">
      <c r="A2484" s="206" t="s">
        <v>1324</v>
      </c>
      <c r="B2484" s="157">
        <f ca="1">IF(OFFSET('IWP21'!Std10dot4Withdrawals, 11, 0, 1, 1) = DATE(1900,1,0),DATE(1900,1,1),OFFSET('IWP21'!Std10dot4Withdrawals, 11, 0, 1, 1))</f>
        <v>1</v>
      </c>
      <c r="C2484" s="155">
        <f ca="1">OFFSET('IWP21'!Std10dot4Withdrawals, 11, 2, 1, 1)</f>
        <v>0</v>
      </c>
      <c r="D2484" s="151" t="str">
        <f ca="1">IF(OFFSET('IWP21'!Std10dot4Withdrawals, 11, 4, 1, 1) = 0, "", OFFSET('IWP21'!Std10dot4Withdrawals, 11, 4, 1, 1))</f>
        <v/>
      </c>
      <c r="E2484" s="207" t="str">
        <f ca="1">IF(OFFSET('IWP21'!Std10dot4Withdrawals, 11, 7, 1, 1) = 0, "", OFFSET('IWP21'!Std10dot4Withdrawals, 11, 7, 1, 1))</f>
        <v/>
      </c>
    </row>
    <row r="2485" spans="1:5">
      <c r="A2485" s="206" t="s">
        <v>1324</v>
      </c>
      <c r="B2485" s="157">
        <f ca="1">IF(OFFSET('IWP21'!Std10dot4Withdrawals, 12, 0, 1, 1) = DATE(1900,1,0),DATE(1900,1,1),OFFSET('IWP21'!Std10dot4Withdrawals, 12, 0, 1, 1))</f>
        <v>1</v>
      </c>
      <c r="C2485" s="155">
        <f ca="1">OFFSET('IWP21'!Std10dot4Withdrawals, 12, 2, 1, 1)</f>
        <v>0</v>
      </c>
      <c r="D2485" s="151" t="str">
        <f ca="1">IF(OFFSET('IWP21'!Std10dot4Withdrawals, 12, 4, 1, 1) = 0, "", OFFSET('IWP21'!Std10dot4Withdrawals, 12, 4, 1, 1))</f>
        <v/>
      </c>
      <c r="E2485" s="207" t="str">
        <f ca="1">IF(OFFSET('IWP21'!Std10dot4Withdrawals, 12, 7, 1, 1) = 0, "", OFFSET('IWP21'!Std10dot4Withdrawals, 12, 7, 1, 1))</f>
        <v/>
      </c>
    </row>
    <row r="2486" spans="1:5">
      <c r="A2486" s="206" t="s">
        <v>1324</v>
      </c>
      <c r="B2486" s="157">
        <f ca="1">IF(OFFSET('IWP21'!Std10dot4Withdrawals, 13, 0, 1, 1) = DATE(1900,1,0),DATE(1900,1,1),OFFSET('IWP21'!Std10dot4Withdrawals, 13, 0, 1, 1))</f>
        <v>1</v>
      </c>
      <c r="C2486" s="155">
        <f ca="1">OFFSET('IWP21'!Std10dot4Withdrawals, 13, 2, 1, 1)</f>
        <v>0</v>
      </c>
      <c r="D2486" s="151" t="str">
        <f ca="1">IF(OFFSET('IWP21'!Std10dot4Withdrawals, 13, 4, 1, 1) = 0, "", OFFSET('IWP21'!Std10dot4Withdrawals, 13, 4, 1, 1))</f>
        <v/>
      </c>
      <c r="E2486" s="207" t="str">
        <f ca="1">IF(OFFSET('IWP21'!Std10dot4Withdrawals, 13, 7, 1, 1) = 0, "", OFFSET('IWP21'!Std10dot4Withdrawals, 13, 7, 1, 1))</f>
        <v/>
      </c>
    </row>
    <row r="2487" spans="1:5">
      <c r="A2487" s="206" t="s">
        <v>1324</v>
      </c>
      <c r="B2487" s="157">
        <f ca="1">IF(OFFSET('IWP21'!Std10dot4Withdrawals, 14, 0, 1, 1) = DATE(1900,1,0),DATE(1900,1,1),OFFSET('IWP21'!Std10dot4Withdrawals, 14, 0, 1, 1))</f>
        <v>1</v>
      </c>
      <c r="C2487" s="155">
        <f ca="1">OFFSET('IWP21'!Std10dot4Withdrawals, 14, 2, 1, 1)</f>
        <v>0</v>
      </c>
      <c r="D2487" s="151" t="str">
        <f ca="1">IF(OFFSET('IWP21'!Std10dot4Withdrawals, 14, 4, 1, 1) = 0, "", OFFSET('IWP21'!Std10dot4Withdrawals, 14, 4, 1, 1))</f>
        <v/>
      </c>
      <c r="E2487" s="207" t="str">
        <f ca="1">IF(OFFSET('IWP21'!Std10dot4Withdrawals, 14, 7, 1, 1) = 0, "", OFFSET('IWP21'!Std10dot4Withdrawals, 14, 7, 1, 1))</f>
        <v/>
      </c>
    </row>
    <row r="2488" spans="1:5">
      <c r="A2488" s="206" t="s">
        <v>1324</v>
      </c>
      <c r="B2488" s="157">
        <f ca="1">IF(OFFSET('IWP21'!Std10dot4Withdrawals, 15, 0, 1, 1) = DATE(1900,1,0),DATE(1900,1,1),OFFSET('IWP21'!Std10dot4Withdrawals, 15, 0, 1, 1))</f>
        <v>1</v>
      </c>
      <c r="C2488" s="155">
        <f ca="1">OFFSET('IWP21'!Std10dot4Withdrawals, 15, 2, 1, 1)</f>
        <v>0</v>
      </c>
      <c r="D2488" s="151" t="str">
        <f ca="1">IF(OFFSET('IWP21'!Std10dot4Withdrawals, 15, 4, 1, 1) = 0, "", OFFSET('IWP21'!Std10dot4Withdrawals, 15, 4, 1, 1))</f>
        <v/>
      </c>
      <c r="E2488" s="207" t="str">
        <f ca="1">IF(OFFSET('IWP21'!Std10dot4Withdrawals, 15, 7, 1, 1) = 0, "", OFFSET('IWP21'!Std10dot4Withdrawals, 15, 7, 1, 1))</f>
        <v/>
      </c>
    </row>
    <row r="2489" spans="1:5">
      <c r="A2489" s="206" t="s">
        <v>1324</v>
      </c>
      <c r="B2489" s="157">
        <f ca="1">IF(OFFSET('IWP21'!Std10dot4Withdrawals, 16, 0, 1, 1) = DATE(1900,1,0),DATE(1900,1,1),OFFSET('IWP21'!Std10dot4Withdrawals, 16, 0, 1, 1))</f>
        <v>1</v>
      </c>
      <c r="C2489" s="155">
        <f ca="1">OFFSET('IWP21'!Std10dot4Withdrawals, 16, 2, 1, 1)</f>
        <v>0</v>
      </c>
      <c r="D2489" s="151" t="str">
        <f ca="1">IF(OFFSET('IWP21'!Std10dot4Withdrawals, 16, 4, 1, 1) = 0, "", OFFSET('IWP21'!Std10dot4Withdrawals, 16, 4, 1, 1))</f>
        <v/>
      </c>
      <c r="E2489" s="207" t="str">
        <f ca="1">IF(OFFSET('IWP21'!Std10dot4Withdrawals, 16, 7, 1, 1) = 0, "", OFFSET('IWP21'!Std10dot4Withdrawals, 16, 7, 1, 1))</f>
        <v/>
      </c>
    </row>
    <row r="2490" spans="1:5">
      <c r="A2490" s="206" t="s">
        <v>1324</v>
      </c>
      <c r="B2490" s="157">
        <f ca="1">IF(OFFSET('IWP21'!Std10dot4Withdrawals, 17, 0, 1, 1) = DATE(1900,1,0),DATE(1900,1,1),OFFSET('IWP21'!Std10dot4Withdrawals, 17, 0, 1, 1))</f>
        <v>1</v>
      </c>
      <c r="C2490" s="155">
        <f ca="1">OFFSET('IWP21'!Std10dot4Withdrawals, 17, 2, 1, 1)</f>
        <v>0</v>
      </c>
      <c r="D2490" s="151" t="str">
        <f ca="1">IF(OFFSET('IWP21'!Std10dot4Withdrawals, 17, 4, 1, 1) = 0, "", OFFSET('IWP21'!Std10dot4Withdrawals, 17, 4, 1, 1))</f>
        <v/>
      </c>
      <c r="E2490" s="207" t="str">
        <f ca="1">IF(OFFSET('IWP21'!Std10dot4Withdrawals, 17, 7, 1, 1) = 0, "", OFFSET('IWP21'!Std10dot4Withdrawals, 17, 7, 1, 1))</f>
        <v/>
      </c>
    </row>
    <row r="2491" spans="1:5">
      <c r="A2491" s="206" t="s">
        <v>1324</v>
      </c>
      <c r="B2491" s="157">
        <f ca="1">IF(OFFSET('IWP21'!Std10dot4Withdrawals, 18, 0, 1, 1) = DATE(1900,1,0),DATE(1900,1,1),OFFSET('IWP21'!Std10dot4Withdrawals, 18, 0, 1, 1))</f>
        <v>1</v>
      </c>
      <c r="C2491" s="155">
        <f ca="1">OFFSET('IWP21'!Std10dot4Withdrawals, 18, 2, 1, 1)</f>
        <v>0</v>
      </c>
      <c r="D2491" s="151" t="str">
        <f ca="1">IF(OFFSET('IWP21'!Std10dot4Withdrawals, 18, 4, 1, 1) = 0, "", OFFSET('IWP21'!Std10dot4Withdrawals, 18, 4, 1, 1))</f>
        <v/>
      </c>
      <c r="E2491" s="207" t="str">
        <f ca="1">IF(OFFSET('IWP21'!Std10dot4Withdrawals, 18, 7, 1, 1) = 0, "", OFFSET('IWP21'!Std10dot4Withdrawals, 18, 7, 1, 1))</f>
        <v/>
      </c>
    </row>
    <row r="2492" spans="1:5">
      <c r="A2492" s="206" t="s">
        <v>1324</v>
      </c>
      <c r="B2492" s="157">
        <f ca="1">IF(OFFSET('IWP21'!Std10dot4Withdrawals, 19, 0, 1, 1) = DATE(1900,1,0),DATE(1900,1,1),OFFSET('IWP21'!Std10dot4Withdrawals, 19, 0, 1, 1))</f>
        <v>1</v>
      </c>
      <c r="C2492" s="155">
        <f ca="1">OFFSET('IWP21'!Std10dot4Withdrawals, 19, 2, 1, 1)</f>
        <v>0</v>
      </c>
      <c r="D2492" s="151" t="str">
        <f ca="1">IF(OFFSET('IWP21'!Std10dot4Withdrawals, 19, 4, 1, 1) = 0, "", OFFSET('IWP21'!Std10dot4Withdrawals, 19, 4, 1, 1))</f>
        <v/>
      </c>
      <c r="E2492" s="207" t="str">
        <f ca="1">IF(OFFSET('IWP21'!Std10dot4Withdrawals, 19, 7, 1, 1) = 0, "", OFFSET('IWP21'!Std10dot4Withdrawals, 19, 7, 1, 1))</f>
        <v/>
      </c>
    </row>
    <row r="2493" spans="1:5">
      <c r="A2493" s="206" t="s">
        <v>1325</v>
      </c>
      <c r="B2493" s="157">
        <f ca="1">IF(OFFSET('IWP22'!Std10dot4Withdrawals, 0, 0, 1, 1) = DATE(1900,1,0),DATE(1900,1,1),OFFSET('IWP22'!Std10dot4Withdrawals, 0, 0, 1, 1))</f>
        <v>1</v>
      </c>
      <c r="C2493" s="155">
        <f ca="1">OFFSET('IWP22'!Std10dot4Withdrawals, 0, 2, 1, 1)</f>
        <v>0</v>
      </c>
      <c r="D2493" s="151" t="str">
        <f ca="1">IF(OFFSET('IWP22'!Std10dot4Withdrawals, 0, 4, 1, 1) = 0, "", OFFSET('IWP22'!Std10dot4Withdrawals, 0, 4, 1, 1))</f>
        <v/>
      </c>
      <c r="E2493" s="207" t="str">
        <f ca="1">IF(OFFSET('IWP22'!Std10dot4Withdrawals, 0, 7, 1, 1) = 0, "", OFFSET('IWP22'!Std10dot4Withdrawals, 0, 7, 1, 1))</f>
        <v/>
      </c>
    </row>
    <row r="2494" spans="1:5">
      <c r="A2494" s="206" t="s">
        <v>1325</v>
      </c>
      <c r="B2494" s="157">
        <f ca="1">IF(OFFSET('IWP22'!Std10dot4Withdrawals, 1, 0, 1, 1) = DATE(1900,1,0),DATE(1900,1,1),OFFSET('IWP22'!Std10dot4Withdrawals, 1, 0, 1, 1))</f>
        <v>1</v>
      </c>
      <c r="C2494" s="155">
        <f ca="1">OFFSET('IWP22'!Std10dot4Withdrawals, 1, 2, 1, 1)</f>
        <v>0</v>
      </c>
      <c r="D2494" s="151" t="str">
        <f ca="1">IF(OFFSET('IWP22'!Std10dot4Withdrawals, 1, 4, 1, 1) = 0, "", OFFSET('IWP22'!Std10dot4Withdrawals, 1, 4, 1, 1))</f>
        <v/>
      </c>
      <c r="E2494" s="207" t="str">
        <f ca="1">IF(OFFSET('IWP22'!Std10dot4Withdrawals, 1, 7, 1, 1) = 0, "", OFFSET('IWP22'!Std10dot4Withdrawals, 1, 7, 1, 1))</f>
        <v/>
      </c>
    </row>
    <row r="2495" spans="1:5">
      <c r="A2495" s="206" t="s">
        <v>1325</v>
      </c>
      <c r="B2495" s="157">
        <f ca="1">IF(OFFSET('IWP22'!Std10dot4Withdrawals, 2, 0, 1, 1) = DATE(1900,1,0),DATE(1900,1,1),OFFSET('IWP22'!Std10dot4Withdrawals, 2, 0, 1, 1))</f>
        <v>1</v>
      </c>
      <c r="C2495" s="155">
        <f ca="1">OFFSET('IWP22'!Std10dot4Withdrawals, 2, 2, 1, 1)</f>
        <v>0</v>
      </c>
      <c r="D2495" s="151" t="str">
        <f ca="1">IF(OFFSET('IWP22'!Std10dot4Withdrawals, 2, 4, 1, 1) = 0, "", OFFSET('IWP22'!Std10dot4Withdrawals, 2, 4, 1, 1))</f>
        <v/>
      </c>
      <c r="E2495" s="207" t="str">
        <f ca="1">IF(OFFSET('IWP22'!Std10dot4Withdrawals, 2, 7, 1, 1) = 0, "", OFFSET('IWP22'!Std10dot4Withdrawals, 2, 7, 1, 1))</f>
        <v/>
      </c>
    </row>
    <row r="2496" spans="1:5">
      <c r="A2496" s="206" t="s">
        <v>1325</v>
      </c>
      <c r="B2496" s="157">
        <f ca="1">IF(OFFSET('IWP22'!Std10dot4Withdrawals, 3, 0, 1, 1) = DATE(1900,1,0),DATE(1900,1,1),OFFSET('IWP22'!Std10dot4Withdrawals, 3, 0, 1, 1))</f>
        <v>1</v>
      </c>
      <c r="C2496" s="155">
        <f ca="1">OFFSET('IWP22'!Std10dot4Withdrawals, 3, 2, 1, 1)</f>
        <v>0</v>
      </c>
      <c r="D2496" s="151" t="str">
        <f ca="1">IF(OFFSET('IWP22'!Std10dot4Withdrawals, 3, 4, 1, 1) = 0, "", OFFSET('IWP22'!Std10dot4Withdrawals, 3, 4, 1, 1))</f>
        <v/>
      </c>
      <c r="E2496" s="207" t="str">
        <f ca="1">IF(OFFSET('IWP22'!Std10dot4Withdrawals, 3, 7, 1, 1) = 0, "", OFFSET('IWP22'!Std10dot4Withdrawals, 3, 7, 1, 1))</f>
        <v/>
      </c>
    </row>
    <row r="2497" spans="1:5">
      <c r="A2497" s="206" t="s">
        <v>1325</v>
      </c>
      <c r="B2497" s="157">
        <f ca="1">IF(OFFSET('IWP22'!Std10dot4Withdrawals, 4, 0, 1, 1) = DATE(1900,1,0),DATE(1900,1,1),OFFSET('IWP22'!Std10dot4Withdrawals, 4, 0, 1, 1))</f>
        <v>1</v>
      </c>
      <c r="C2497" s="155">
        <f ca="1">OFFSET('IWP22'!Std10dot4Withdrawals, 4, 2, 1, 1)</f>
        <v>0</v>
      </c>
      <c r="D2497" s="151" t="str">
        <f ca="1">IF(OFFSET('IWP22'!Std10dot4Withdrawals, 4, 4, 1, 1) = 0, "", OFFSET('IWP22'!Std10dot4Withdrawals, 4, 4, 1, 1))</f>
        <v/>
      </c>
      <c r="E2497" s="207" t="str">
        <f ca="1">IF(OFFSET('IWP22'!Std10dot4Withdrawals, 4, 7, 1, 1) = 0, "", OFFSET('IWP22'!Std10dot4Withdrawals, 4, 7, 1, 1))</f>
        <v/>
      </c>
    </row>
    <row r="2498" spans="1:5">
      <c r="A2498" s="206" t="s">
        <v>1325</v>
      </c>
      <c r="B2498" s="157">
        <f ca="1">IF(OFFSET('IWP22'!Std10dot4Withdrawals, 5, 0, 1, 1) = DATE(1900,1,0),DATE(1900,1,1),OFFSET('IWP22'!Std10dot4Withdrawals, 5, 0, 1, 1))</f>
        <v>1</v>
      </c>
      <c r="C2498" s="155">
        <f ca="1">OFFSET('IWP22'!Std10dot4Withdrawals, 5, 2, 1, 1)</f>
        <v>0</v>
      </c>
      <c r="D2498" s="151" t="str">
        <f ca="1">IF(OFFSET('IWP22'!Std10dot4Withdrawals, 5, 4, 1, 1) = 0, "", OFFSET('IWP22'!Std10dot4Withdrawals, 5, 4, 1, 1))</f>
        <v/>
      </c>
      <c r="E2498" s="207" t="str">
        <f ca="1">IF(OFFSET('IWP22'!Std10dot4Withdrawals, 5, 7, 1, 1) = 0, "", OFFSET('IWP22'!Std10dot4Withdrawals, 5, 7, 1, 1))</f>
        <v/>
      </c>
    </row>
    <row r="2499" spans="1:5">
      <c r="A2499" s="206" t="s">
        <v>1325</v>
      </c>
      <c r="B2499" s="157">
        <f ca="1">IF(OFFSET('IWP22'!Std10dot4Withdrawals, 6, 0, 1, 1) = DATE(1900,1,0),DATE(1900,1,1),OFFSET('IWP22'!Std10dot4Withdrawals, 6, 0, 1, 1))</f>
        <v>1</v>
      </c>
      <c r="C2499" s="155">
        <f ca="1">OFFSET('IWP22'!Std10dot4Withdrawals, 6, 2, 1, 1)</f>
        <v>0</v>
      </c>
      <c r="D2499" s="151" t="str">
        <f ca="1">IF(OFFSET('IWP22'!Std10dot4Withdrawals, 6, 4, 1, 1) = 0, "", OFFSET('IWP22'!Std10dot4Withdrawals, 6, 4, 1, 1))</f>
        <v/>
      </c>
      <c r="E2499" s="207" t="str">
        <f ca="1">IF(OFFSET('IWP22'!Std10dot4Withdrawals, 6, 7, 1, 1) = 0, "", OFFSET('IWP22'!Std10dot4Withdrawals, 6, 7, 1, 1))</f>
        <v/>
      </c>
    </row>
    <row r="2500" spans="1:5">
      <c r="A2500" s="206" t="s">
        <v>1325</v>
      </c>
      <c r="B2500" s="157">
        <f ca="1">IF(OFFSET('IWP22'!Std10dot4Withdrawals, 7, 0, 1, 1) = DATE(1900,1,0),DATE(1900,1,1),OFFSET('IWP22'!Std10dot4Withdrawals, 7, 0, 1, 1))</f>
        <v>1</v>
      </c>
      <c r="C2500" s="155">
        <f ca="1">OFFSET('IWP22'!Std10dot4Withdrawals, 7, 2, 1, 1)</f>
        <v>0</v>
      </c>
      <c r="D2500" s="151" t="str">
        <f ca="1">IF(OFFSET('IWP22'!Std10dot4Withdrawals, 7, 4, 1, 1) = 0, "", OFFSET('IWP22'!Std10dot4Withdrawals, 7, 4, 1, 1))</f>
        <v/>
      </c>
      <c r="E2500" s="207" t="str">
        <f ca="1">IF(OFFSET('IWP22'!Std10dot4Withdrawals, 7, 7, 1, 1) = 0, "", OFFSET('IWP22'!Std10dot4Withdrawals, 7, 7, 1, 1))</f>
        <v/>
      </c>
    </row>
    <row r="2501" spans="1:5">
      <c r="A2501" s="206" t="s">
        <v>1325</v>
      </c>
      <c r="B2501" s="157">
        <f ca="1">IF(OFFSET('IWP22'!Std10dot4Withdrawals, 8, 0, 1, 1) = DATE(1900,1,0),DATE(1900,1,1),OFFSET('IWP22'!Std10dot4Withdrawals, 8, 0, 1, 1))</f>
        <v>1</v>
      </c>
      <c r="C2501" s="155">
        <f ca="1">OFFSET('IWP22'!Std10dot4Withdrawals, 8, 2, 1, 1)</f>
        <v>0</v>
      </c>
      <c r="D2501" s="151" t="str">
        <f ca="1">IF(OFFSET('IWP22'!Std10dot4Withdrawals, 8, 4, 1, 1) = 0, "", OFFSET('IWP22'!Std10dot4Withdrawals, 8, 4, 1, 1))</f>
        <v/>
      </c>
      <c r="E2501" s="207" t="str">
        <f ca="1">IF(OFFSET('IWP22'!Std10dot4Withdrawals, 8, 7, 1, 1) = 0, "", OFFSET('IWP22'!Std10dot4Withdrawals, 8, 7, 1, 1))</f>
        <v/>
      </c>
    </row>
    <row r="2502" spans="1:5">
      <c r="A2502" s="206" t="s">
        <v>1325</v>
      </c>
      <c r="B2502" s="157">
        <f ca="1">IF(OFFSET('IWP22'!Std10dot4Withdrawals, 9, 0, 1, 1) = DATE(1900,1,0),DATE(1900,1,1),OFFSET('IWP22'!Std10dot4Withdrawals, 9, 0, 1, 1))</f>
        <v>1</v>
      </c>
      <c r="C2502" s="155">
        <f ca="1">OFFSET('IWP22'!Std10dot4Withdrawals, 9, 2, 1, 1)</f>
        <v>0</v>
      </c>
      <c r="D2502" s="151" t="str">
        <f ca="1">IF(OFFSET('IWP22'!Std10dot4Withdrawals, 9, 4, 1, 1) = 0, "", OFFSET('IWP22'!Std10dot4Withdrawals, 9, 4, 1, 1))</f>
        <v/>
      </c>
      <c r="E2502" s="207" t="str">
        <f ca="1">IF(OFFSET('IWP22'!Std10dot4Withdrawals, 9, 7, 1, 1) = 0, "", OFFSET('IWP22'!Std10dot4Withdrawals, 9, 7, 1, 1))</f>
        <v/>
      </c>
    </row>
    <row r="2503" spans="1:5">
      <c r="A2503" s="206" t="s">
        <v>1325</v>
      </c>
      <c r="B2503" s="157">
        <f ca="1">IF(OFFSET('IWP22'!Std10dot4Withdrawals, 10, 0, 1, 1) = DATE(1900,1,0),DATE(1900,1,1),OFFSET('IWP22'!Std10dot4Withdrawals, 10, 0, 1, 1))</f>
        <v>1</v>
      </c>
      <c r="C2503" s="155">
        <f ca="1">OFFSET('IWP22'!Std10dot4Withdrawals, 10, 2, 1, 1)</f>
        <v>0</v>
      </c>
      <c r="D2503" s="151" t="str">
        <f ca="1">IF(OFFSET('IWP22'!Std10dot4Withdrawals, 10, 4, 1, 1) = 0, "", OFFSET('IWP22'!Std10dot4Withdrawals, 10, 4, 1, 1))</f>
        <v/>
      </c>
      <c r="E2503" s="207" t="str">
        <f ca="1">IF(OFFSET('IWP22'!Std10dot4Withdrawals, 10, 7, 1, 1) = 0, "", OFFSET('IWP22'!Std10dot4Withdrawals, 10, 7, 1, 1))</f>
        <v/>
      </c>
    </row>
    <row r="2504" spans="1:5">
      <c r="A2504" s="206" t="s">
        <v>1325</v>
      </c>
      <c r="B2504" s="157">
        <f ca="1">IF(OFFSET('IWP22'!Std10dot4Withdrawals, 11, 0, 1, 1) = DATE(1900,1,0),DATE(1900,1,1),OFFSET('IWP22'!Std10dot4Withdrawals, 11, 0, 1, 1))</f>
        <v>1</v>
      </c>
      <c r="C2504" s="155">
        <f ca="1">OFFSET('IWP22'!Std10dot4Withdrawals, 11, 2, 1, 1)</f>
        <v>0</v>
      </c>
      <c r="D2504" s="151" t="str">
        <f ca="1">IF(OFFSET('IWP22'!Std10dot4Withdrawals, 11, 4, 1, 1) = 0, "", OFFSET('IWP22'!Std10dot4Withdrawals, 11, 4, 1, 1))</f>
        <v/>
      </c>
      <c r="E2504" s="207" t="str">
        <f ca="1">IF(OFFSET('IWP22'!Std10dot4Withdrawals, 11, 7, 1, 1) = 0, "", OFFSET('IWP22'!Std10dot4Withdrawals, 11, 7, 1, 1))</f>
        <v/>
      </c>
    </row>
    <row r="2505" spans="1:5">
      <c r="A2505" s="206" t="s">
        <v>1325</v>
      </c>
      <c r="B2505" s="157">
        <f ca="1">IF(OFFSET('IWP22'!Std10dot4Withdrawals, 12, 0, 1, 1) = DATE(1900,1,0),DATE(1900,1,1),OFFSET('IWP22'!Std10dot4Withdrawals, 12, 0, 1, 1))</f>
        <v>1</v>
      </c>
      <c r="C2505" s="155">
        <f ca="1">OFFSET('IWP22'!Std10dot4Withdrawals, 12, 2, 1, 1)</f>
        <v>0</v>
      </c>
      <c r="D2505" s="151" t="str">
        <f ca="1">IF(OFFSET('IWP22'!Std10dot4Withdrawals, 12, 4, 1, 1) = 0, "", OFFSET('IWP22'!Std10dot4Withdrawals, 12, 4, 1, 1))</f>
        <v/>
      </c>
      <c r="E2505" s="207" t="str">
        <f ca="1">IF(OFFSET('IWP22'!Std10dot4Withdrawals, 12, 7, 1, 1) = 0, "", OFFSET('IWP22'!Std10dot4Withdrawals, 12, 7, 1, 1))</f>
        <v/>
      </c>
    </row>
    <row r="2506" spans="1:5">
      <c r="A2506" s="206" t="s">
        <v>1325</v>
      </c>
      <c r="B2506" s="157">
        <f ca="1">IF(OFFSET('IWP22'!Std10dot4Withdrawals, 13, 0, 1, 1) = DATE(1900,1,0),DATE(1900,1,1),OFFSET('IWP22'!Std10dot4Withdrawals, 13, 0, 1, 1))</f>
        <v>1</v>
      </c>
      <c r="C2506" s="155">
        <f ca="1">OFFSET('IWP22'!Std10dot4Withdrawals, 13, 2, 1, 1)</f>
        <v>0</v>
      </c>
      <c r="D2506" s="151" t="str">
        <f ca="1">IF(OFFSET('IWP22'!Std10dot4Withdrawals, 13, 4, 1, 1) = 0, "", OFFSET('IWP22'!Std10dot4Withdrawals, 13, 4, 1, 1))</f>
        <v/>
      </c>
      <c r="E2506" s="207" t="str">
        <f ca="1">IF(OFFSET('IWP22'!Std10dot4Withdrawals, 13, 7, 1, 1) = 0, "", OFFSET('IWP22'!Std10dot4Withdrawals, 13, 7, 1, 1))</f>
        <v/>
      </c>
    </row>
    <row r="2507" spans="1:5">
      <c r="A2507" s="206" t="s">
        <v>1325</v>
      </c>
      <c r="B2507" s="157">
        <f ca="1">IF(OFFSET('IWP22'!Std10dot4Withdrawals, 14, 0, 1, 1) = DATE(1900,1,0),DATE(1900,1,1),OFFSET('IWP22'!Std10dot4Withdrawals, 14, 0, 1, 1))</f>
        <v>1</v>
      </c>
      <c r="C2507" s="155">
        <f ca="1">OFFSET('IWP22'!Std10dot4Withdrawals, 14, 2, 1, 1)</f>
        <v>0</v>
      </c>
      <c r="D2507" s="151" t="str">
        <f ca="1">IF(OFFSET('IWP22'!Std10dot4Withdrawals, 14, 4, 1, 1) = 0, "", OFFSET('IWP22'!Std10dot4Withdrawals, 14, 4, 1, 1))</f>
        <v/>
      </c>
      <c r="E2507" s="207" t="str">
        <f ca="1">IF(OFFSET('IWP22'!Std10dot4Withdrawals, 14, 7, 1, 1) = 0, "", OFFSET('IWP22'!Std10dot4Withdrawals, 14, 7, 1, 1))</f>
        <v/>
      </c>
    </row>
    <row r="2508" spans="1:5">
      <c r="A2508" s="206" t="s">
        <v>1325</v>
      </c>
      <c r="B2508" s="157">
        <f ca="1">IF(OFFSET('IWP22'!Std10dot4Withdrawals, 15, 0, 1, 1) = DATE(1900,1,0),DATE(1900,1,1),OFFSET('IWP22'!Std10dot4Withdrawals, 15, 0, 1, 1))</f>
        <v>1</v>
      </c>
      <c r="C2508" s="155">
        <f ca="1">OFFSET('IWP22'!Std10dot4Withdrawals, 15, 2, 1, 1)</f>
        <v>0</v>
      </c>
      <c r="D2508" s="151" t="str">
        <f ca="1">IF(OFFSET('IWP22'!Std10dot4Withdrawals, 15, 4, 1, 1) = 0, "", OFFSET('IWP22'!Std10dot4Withdrawals, 15, 4, 1, 1))</f>
        <v/>
      </c>
      <c r="E2508" s="207" t="str">
        <f ca="1">IF(OFFSET('IWP22'!Std10dot4Withdrawals, 15, 7, 1, 1) = 0, "", OFFSET('IWP22'!Std10dot4Withdrawals, 15, 7, 1, 1))</f>
        <v/>
      </c>
    </row>
    <row r="2509" spans="1:5">
      <c r="A2509" s="206" t="s">
        <v>1325</v>
      </c>
      <c r="B2509" s="157">
        <f ca="1">IF(OFFSET('IWP22'!Std10dot4Withdrawals, 16, 0, 1, 1) = DATE(1900,1,0),DATE(1900,1,1),OFFSET('IWP22'!Std10dot4Withdrawals, 16, 0, 1, 1))</f>
        <v>1</v>
      </c>
      <c r="C2509" s="155">
        <f ca="1">OFFSET('IWP22'!Std10dot4Withdrawals, 16, 2, 1, 1)</f>
        <v>0</v>
      </c>
      <c r="D2509" s="151" t="str">
        <f ca="1">IF(OFFSET('IWP22'!Std10dot4Withdrawals, 16, 4, 1, 1) = 0, "", OFFSET('IWP22'!Std10dot4Withdrawals, 16, 4, 1, 1))</f>
        <v/>
      </c>
      <c r="E2509" s="207" t="str">
        <f ca="1">IF(OFFSET('IWP22'!Std10dot4Withdrawals, 16, 7, 1, 1) = 0, "", OFFSET('IWP22'!Std10dot4Withdrawals, 16, 7, 1, 1))</f>
        <v/>
      </c>
    </row>
    <row r="2510" spans="1:5">
      <c r="A2510" s="206" t="s">
        <v>1325</v>
      </c>
      <c r="B2510" s="157">
        <f ca="1">IF(OFFSET('IWP22'!Std10dot4Withdrawals, 17, 0, 1, 1) = DATE(1900,1,0),DATE(1900,1,1),OFFSET('IWP22'!Std10dot4Withdrawals, 17, 0, 1, 1))</f>
        <v>1</v>
      </c>
      <c r="C2510" s="155">
        <f ca="1">OFFSET('IWP22'!Std10dot4Withdrawals, 17, 2, 1, 1)</f>
        <v>0</v>
      </c>
      <c r="D2510" s="151" t="str">
        <f ca="1">IF(OFFSET('IWP22'!Std10dot4Withdrawals, 17, 4, 1, 1) = 0, "", OFFSET('IWP22'!Std10dot4Withdrawals, 17, 4, 1, 1))</f>
        <v/>
      </c>
      <c r="E2510" s="207" t="str">
        <f ca="1">IF(OFFSET('IWP22'!Std10dot4Withdrawals, 17, 7, 1, 1) = 0, "", OFFSET('IWP22'!Std10dot4Withdrawals, 17, 7, 1, 1))</f>
        <v/>
      </c>
    </row>
    <row r="2511" spans="1:5">
      <c r="A2511" s="206" t="s">
        <v>1325</v>
      </c>
      <c r="B2511" s="157">
        <f ca="1">IF(OFFSET('IWP22'!Std10dot4Withdrawals, 18, 0, 1, 1) = DATE(1900,1,0),DATE(1900,1,1),OFFSET('IWP22'!Std10dot4Withdrawals, 18, 0, 1, 1))</f>
        <v>1</v>
      </c>
      <c r="C2511" s="155">
        <f ca="1">OFFSET('IWP22'!Std10dot4Withdrawals, 18, 2, 1, 1)</f>
        <v>0</v>
      </c>
      <c r="D2511" s="151" t="str">
        <f ca="1">IF(OFFSET('IWP22'!Std10dot4Withdrawals, 18, 4, 1, 1) = 0, "", OFFSET('IWP22'!Std10dot4Withdrawals, 18, 4, 1, 1))</f>
        <v/>
      </c>
      <c r="E2511" s="207" t="str">
        <f ca="1">IF(OFFSET('IWP22'!Std10dot4Withdrawals, 18, 7, 1, 1) = 0, "", OFFSET('IWP22'!Std10dot4Withdrawals, 18, 7, 1, 1))</f>
        <v/>
      </c>
    </row>
    <row r="2512" spans="1:5">
      <c r="A2512" s="206" t="s">
        <v>1325</v>
      </c>
      <c r="B2512" s="157">
        <f ca="1">IF(OFFSET('IWP22'!Std10dot4Withdrawals, 19, 0, 1, 1) = DATE(1900,1,0),DATE(1900,1,1),OFFSET('IWP22'!Std10dot4Withdrawals, 19, 0, 1, 1))</f>
        <v>1</v>
      </c>
      <c r="C2512" s="155">
        <f ca="1">OFFSET('IWP22'!Std10dot4Withdrawals, 19, 2, 1, 1)</f>
        <v>0</v>
      </c>
      <c r="D2512" s="151" t="str">
        <f ca="1">IF(OFFSET('IWP22'!Std10dot4Withdrawals, 19, 4, 1, 1) = 0, "", OFFSET('IWP22'!Std10dot4Withdrawals, 19, 4, 1, 1))</f>
        <v/>
      </c>
      <c r="E2512" s="207" t="str">
        <f ca="1">IF(OFFSET('IWP22'!Std10dot4Withdrawals, 19, 7, 1, 1) = 0, "", OFFSET('IWP22'!Std10dot4Withdrawals, 19, 7, 1, 1))</f>
        <v/>
      </c>
    </row>
    <row r="2513" spans="1:5">
      <c r="A2513" s="206" t="s">
        <v>1326</v>
      </c>
      <c r="B2513" s="157">
        <f ca="1">IF(OFFSET('IWP23'!Std10dot4Withdrawals, 0, 0, 1, 1) = DATE(1900,1,0),DATE(1900,1,1),OFFSET('IWP23'!Std10dot4Withdrawals, 0, 0, 1, 1))</f>
        <v>1</v>
      </c>
      <c r="C2513" s="155">
        <f ca="1">OFFSET('IWP23'!Std10dot4Withdrawals, 0, 2, 1, 1)</f>
        <v>0</v>
      </c>
      <c r="D2513" s="151" t="str">
        <f ca="1">IF(OFFSET('IWP23'!Std10dot4Withdrawals, 0, 4, 1, 1) = 0, "", OFFSET('IWP23'!Std10dot4Withdrawals, 0, 4, 1, 1))</f>
        <v/>
      </c>
      <c r="E2513" s="207" t="str">
        <f ca="1">IF(OFFSET('IWP23'!Std10dot4Withdrawals, 0, 7, 1, 1) = 0, "", OFFSET('IWP23'!Std10dot4Withdrawals, 0, 7, 1, 1))</f>
        <v/>
      </c>
    </row>
    <row r="2514" spans="1:5">
      <c r="A2514" s="206" t="s">
        <v>1326</v>
      </c>
      <c r="B2514" s="157">
        <f ca="1">IF(OFFSET('IWP23'!Std10dot4Withdrawals, 1, 0, 1, 1) = DATE(1900,1,0),DATE(1900,1,1),OFFSET('IWP23'!Std10dot4Withdrawals, 1, 0, 1, 1))</f>
        <v>1</v>
      </c>
      <c r="C2514" s="155">
        <f ca="1">OFFSET('IWP23'!Std10dot4Withdrawals, 1, 2, 1, 1)</f>
        <v>0</v>
      </c>
      <c r="D2514" s="151" t="str">
        <f ca="1">IF(OFFSET('IWP23'!Std10dot4Withdrawals, 1, 4, 1, 1) = 0, "", OFFSET('IWP23'!Std10dot4Withdrawals, 1, 4, 1, 1))</f>
        <v/>
      </c>
      <c r="E2514" s="207" t="str">
        <f ca="1">IF(OFFSET('IWP23'!Std10dot4Withdrawals, 1, 7, 1, 1) = 0, "", OFFSET('IWP23'!Std10dot4Withdrawals, 1, 7, 1, 1))</f>
        <v/>
      </c>
    </row>
    <row r="2515" spans="1:5">
      <c r="A2515" s="206" t="s">
        <v>1326</v>
      </c>
      <c r="B2515" s="157">
        <f ca="1">IF(OFFSET('IWP23'!Std10dot4Withdrawals, 2, 0, 1, 1) = DATE(1900,1,0),DATE(1900,1,1),OFFSET('IWP23'!Std10dot4Withdrawals, 2, 0, 1, 1))</f>
        <v>1</v>
      </c>
      <c r="C2515" s="155">
        <f ca="1">OFFSET('IWP23'!Std10dot4Withdrawals, 2, 2, 1, 1)</f>
        <v>0</v>
      </c>
      <c r="D2515" s="151" t="str">
        <f ca="1">IF(OFFSET('IWP23'!Std10dot4Withdrawals, 2, 4, 1, 1) = 0, "", OFFSET('IWP23'!Std10dot4Withdrawals, 2, 4, 1, 1))</f>
        <v/>
      </c>
      <c r="E2515" s="207" t="str">
        <f ca="1">IF(OFFSET('IWP23'!Std10dot4Withdrawals, 2, 7, 1, 1) = 0, "", OFFSET('IWP23'!Std10dot4Withdrawals, 2, 7, 1, 1))</f>
        <v/>
      </c>
    </row>
    <row r="2516" spans="1:5">
      <c r="A2516" s="206" t="s">
        <v>1326</v>
      </c>
      <c r="B2516" s="157">
        <f ca="1">IF(OFFSET('IWP23'!Std10dot4Withdrawals, 3, 0, 1, 1) = DATE(1900,1,0),DATE(1900,1,1),OFFSET('IWP23'!Std10dot4Withdrawals, 3, 0, 1, 1))</f>
        <v>1</v>
      </c>
      <c r="C2516" s="155">
        <f ca="1">OFFSET('IWP23'!Std10dot4Withdrawals, 3, 2, 1, 1)</f>
        <v>0</v>
      </c>
      <c r="D2516" s="151" t="str">
        <f ca="1">IF(OFFSET('IWP23'!Std10dot4Withdrawals, 3, 4, 1, 1) = 0, "", OFFSET('IWP23'!Std10dot4Withdrawals, 3, 4, 1, 1))</f>
        <v/>
      </c>
      <c r="E2516" s="207" t="str">
        <f ca="1">IF(OFFSET('IWP23'!Std10dot4Withdrawals, 3, 7, 1, 1) = 0, "", OFFSET('IWP23'!Std10dot4Withdrawals, 3, 7, 1, 1))</f>
        <v/>
      </c>
    </row>
    <row r="2517" spans="1:5">
      <c r="A2517" s="206" t="s">
        <v>1326</v>
      </c>
      <c r="B2517" s="157">
        <f ca="1">IF(OFFSET('IWP23'!Std10dot4Withdrawals, 4, 0, 1, 1) = DATE(1900,1,0),DATE(1900,1,1),OFFSET('IWP23'!Std10dot4Withdrawals, 4, 0, 1, 1))</f>
        <v>1</v>
      </c>
      <c r="C2517" s="155">
        <f ca="1">OFFSET('IWP23'!Std10dot4Withdrawals, 4, 2, 1, 1)</f>
        <v>0</v>
      </c>
      <c r="D2517" s="151" t="str">
        <f ca="1">IF(OFFSET('IWP23'!Std10dot4Withdrawals, 4, 4, 1, 1) = 0, "", OFFSET('IWP23'!Std10dot4Withdrawals, 4, 4, 1, 1))</f>
        <v/>
      </c>
      <c r="E2517" s="207" t="str">
        <f ca="1">IF(OFFSET('IWP23'!Std10dot4Withdrawals, 4, 7, 1, 1) = 0, "", OFFSET('IWP23'!Std10dot4Withdrawals, 4, 7, 1, 1))</f>
        <v/>
      </c>
    </row>
    <row r="2518" spans="1:5">
      <c r="A2518" s="206" t="s">
        <v>1326</v>
      </c>
      <c r="B2518" s="157">
        <f ca="1">IF(OFFSET('IWP23'!Std10dot4Withdrawals, 5, 0, 1, 1) = DATE(1900,1,0),DATE(1900,1,1),OFFSET('IWP23'!Std10dot4Withdrawals, 5, 0, 1, 1))</f>
        <v>1</v>
      </c>
      <c r="C2518" s="155">
        <f ca="1">OFFSET('IWP23'!Std10dot4Withdrawals, 5, 2, 1, 1)</f>
        <v>0</v>
      </c>
      <c r="D2518" s="151" t="str">
        <f ca="1">IF(OFFSET('IWP23'!Std10dot4Withdrawals, 5, 4, 1, 1) = 0, "", OFFSET('IWP23'!Std10dot4Withdrawals, 5, 4, 1, 1))</f>
        <v/>
      </c>
      <c r="E2518" s="207" t="str">
        <f ca="1">IF(OFFSET('IWP23'!Std10dot4Withdrawals, 5, 7, 1, 1) = 0, "", OFFSET('IWP23'!Std10dot4Withdrawals, 5, 7, 1, 1))</f>
        <v/>
      </c>
    </row>
    <row r="2519" spans="1:5">
      <c r="A2519" s="206" t="s">
        <v>1326</v>
      </c>
      <c r="B2519" s="157">
        <f ca="1">IF(OFFSET('IWP23'!Std10dot4Withdrawals, 6, 0, 1, 1) = DATE(1900,1,0),DATE(1900,1,1),OFFSET('IWP23'!Std10dot4Withdrawals, 6, 0, 1, 1))</f>
        <v>1</v>
      </c>
      <c r="C2519" s="155">
        <f ca="1">OFFSET('IWP23'!Std10dot4Withdrawals, 6, 2, 1, 1)</f>
        <v>0</v>
      </c>
      <c r="D2519" s="151" t="str">
        <f ca="1">IF(OFFSET('IWP23'!Std10dot4Withdrawals, 6, 4, 1, 1) = 0, "", OFFSET('IWP23'!Std10dot4Withdrawals, 6, 4, 1, 1))</f>
        <v/>
      </c>
      <c r="E2519" s="207" t="str">
        <f ca="1">IF(OFFSET('IWP23'!Std10dot4Withdrawals, 6, 7, 1, 1) = 0, "", OFFSET('IWP23'!Std10dot4Withdrawals, 6, 7, 1, 1))</f>
        <v/>
      </c>
    </row>
    <row r="2520" spans="1:5">
      <c r="A2520" s="206" t="s">
        <v>1326</v>
      </c>
      <c r="B2520" s="157">
        <f ca="1">IF(OFFSET('IWP23'!Std10dot4Withdrawals, 7, 0, 1, 1) = DATE(1900,1,0),DATE(1900,1,1),OFFSET('IWP23'!Std10dot4Withdrawals, 7, 0, 1, 1))</f>
        <v>1</v>
      </c>
      <c r="C2520" s="155">
        <f ca="1">OFFSET('IWP23'!Std10dot4Withdrawals, 7, 2, 1, 1)</f>
        <v>0</v>
      </c>
      <c r="D2520" s="151" t="str">
        <f ca="1">IF(OFFSET('IWP23'!Std10dot4Withdrawals, 7, 4, 1, 1) = 0, "", OFFSET('IWP23'!Std10dot4Withdrawals, 7, 4, 1, 1))</f>
        <v/>
      </c>
      <c r="E2520" s="207" t="str">
        <f ca="1">IF(OFFSET('IWP23'!Std10dot4Withdrawals, 7, 7, 1, 1) = 0, "", OFFSET('IWP23'!Std10dot4Withdrawals, 7, 7, 1, 1))</f>
        <v/>
      </c>
    </row>
    <row r="2521" spans="1:5">
      <c r="A2521" s="206" t="s">
        <v>1326</v>
      </c>
      <c r="B2521" s="157">
        <f ca="1">IF(OFFSET('IWP23'!Std10dot4Withdrawals, 8, 0, 1, 1) = DATE(1900,1,0),DATE(1900,1,1),OFFSET('IWP23'!Std10dot4Withdrawals, 8, 0, 1, 1))</f>
        <v>1</v>
      </c>
      <c r="C2521" s="155">
        <f ca="1">OFFSET('IWP23'!Std10dot4Withdrawals, 8, 2, 1, 1)</f>
        <v>0</v>
      </c>
      <c r="D2521" s="151" t="str">
        <f ca="1">IF(OFFSET('IWP23'!Std10dot4Withdrawals, 8, 4, 1, 1) = 0, "", OFFSET('IWP23'!Std10dot4Withdrawals, 8, 4, 1, 1))</f>
        <v/>
      </c>
      <c r="E2521" s="207" t="str">
        <f ca="1">IF(OFFSET('IWP23'!Std10dot4Withdrawals, 8, 7, 1, 1) = 0, "", OFFSET('IWP23'!Std10dot4Withdrawals, 8, 7, 1, 1))</f>
        <v/>
      </c>
    </row>
    <row r="2522" spans="1:5">
      <c r="A2522" s="206" t="s">
        <v>1326</v>
      </c>
      <c r="B2522" s="157">
        <f ca="1">IF(OFFSET('IWP23'!Std10dot4Withdrawals, 9, 0, 1, 1) = DATE(1900,1,0),DATE(1900,1,1),OFFSET('IWP23'!Std10dot4Withdrawals, 9, 0, 1, 1))</f>
        <v>1</v>
      </c>
      <c r="C2522" s="155">
        <f ca="1">OFFSET('IWP23'!Std10dot4Withdrawals, 9, 2, 1, 1)</f>
        <v>0</v>
      </c>
      <c r="D2522" s="151" t="str">
        <f ca="1">IF(OFFSET('IWP23'!Std10dot4Withdrawals, 9, 4, 1, 1) = 0, "", OFFSET('IWP23'!Std10dot4Withdrawals, 9, 4, 1, 1))</f>
        <v/>
      </c>
      <c r="E2522" s="207" t="str">
        <f ca="1">IF(OFFSET('IWP23'!Std10dot4Withdrawals, 9, 7, 1, 1) = 0, "", OFFSET('IWP23'!Std10dot4Withdrawals, 9, 7, 1, 1))</f>
        <v/>
      </c>
    </row>
    <row r="2523" spans="1:5">
      <c r="A2523" s="206" t="s">
        <v>1326</v>
      </c>
      <c r="B2523" s="157">
        <f ca="1">IF(OFFSET('IWP23'!Std10dot4Withdrawals, 10, 0, 1, 1) = DATE(1900,1,0),DATE(1900,1,1),OFFSET('IWP23'!Std10dot4Withdrawals, 10, 0, 1, 1))</f>
        <v>1</v>
      </c>
      <c r="C2523" s="155">
        <f ca="1">OFFSET('IWP23'!Std10dot4Withdrawals, 10, 2, 1, 1)</f>
        <v>0</v>
      </c>
      <c r="D2523" s="151" t="str">
        <f ca="1">IF(OFFSET('IWP23'!Std10dot4Withdrawals, 10, 4, 1, 1) = 0, "", OFFSET('IWP23'!Std10dot4Withdrawals, 10, 4, 1, 1))</f>
        <v/>
      </c>
      <c r="E2523" s="207" t="str">
        <f ca="1">IF(OFFSET('IWP23'!Std10dot4Withdrawals, 10, 7, 1, 1) = 0, "", OFFSET('IWP23'!Std10dot4Withdrawals, 10, 7, 1, 1))</f>
        <v/>
      </c>
    </row>
    <row r="2524" spans="1:5">
      <c r="A2524" s="206" t="s">
        <v>1326</v>
      </c>
      <c r="B2524" s="157">
        <f ca="1">IF(OFFSET('IWP23'!Std10dot4Withdrawals, 11, 0, 1, 1) = DATE(1900,1,0),DATE(1900,1,1),OFFSET('IWP23'!Std10dot4Withdrawals, 11, 0, 1, 1))</f>
        <v>1</v>
      </c>
      <c r="C2524" s="155">
        <f ca="1">OFFSET('IWP23'!Std10dot4Withdrawals, 11, 2, 1, 1)</f>
        <v>0</v>
      </c>
      <c r="D2524" s="151" t="str">
        <f ca="1">IF(OFFSET('IWP23'!Std10dot4Withdrawals, 11, 4, 1, 1) = 0, "", OFFSET('IWP23'!Std10dot4Withdrawals, 11, 4, 1, 1))</f>
        <v/>
      </c>
      <c r="E2524" s="207" t="str">
        <f ca="1">IF(OFFSET('IWP23'!Std10dot4Withdrawals, 11, 7, 1, 1) = 0, "", OFFSET('IWP23'!Std10dot4Withdrawals, 11, 7, 1, 1))</f>
        <v/>
      </c>
    </row>
    <row r="2525" spans="1:5">
      <c r="A2525" s="206" t="s">
        <v>1326</v>
      </c>
      <c r="B2525" s="157">
        <f ca="1">IF(OFFSET('IWP23'!Std10dot4Withdrawals, 12, 0, 1, 1) = DATE(1900,1,0),DATE(1900,1,1),OFFSET('IWP23'!Std10dot4Withdrawals, 12, 0, 1, 1))</f>
        <v>1</v>
      </c>
      <c r="C2525" s="155">
        <f ca="1">OFFSET('IWP23'!Std10dot4Withdrawals, 12, 2, 1, 1)</f>
        <v>0</v>
      </c>
      <c r="D2525" s="151" t="str">
        <f ca="1">IF(OFFSET('IWP23'!Std10dot4Withdrawals, 12, 4, 1, 1) = 0, "", OFFSET('IWP23'!Std10dot4Withdrawals, 12, 4, 1, 1))</f>
        <v/>
      </c>
      <c r="E2525" s="207" t="str">
        <f ca="1">IF(OFFSET('IWP23'!Std10dot4Withdrawals, 12, 7, 1, 1) = 0, "", OFFSET('IWP23'!Std10dot4Withdrawals, 12, 7, 1, 1))</f>
        <v/>
      </c>
    </row>
    <row r="2526" spans="1:5">
      <c r="A2526" s="206" t="s">
        <v>1326</v>
      </c>
      <c r="B2526" s="157">
        <f ca="1">IF(OFFSET('IWP23'!Std10dot4Withdrawals, 13, 0, 1, 1) = DATE(1900,1,0),DATE(1900,1,1),OFFSET('IWP23'!Std10dot4Withdrawals, 13, 0, 1, 1))</f>
        <v>1</v>
      </c>
      <c r="C2526" s="155">
        <f ca="1">OFFSET('IWP23'!Std10dot4Withdrawals, 13, 2, 1, 1)</f>
        <v>0</v>
      </c>
      <c r="D2526" s="151" t="str">
        <f ca="1">IF(OFFSET('IWP23'!Std10dot4Withdrawals, 13, 4, 1, 1) = 0, "", OFFSET('IWP23'!Std10dot4Withdrawals, 13, 4, 1, 1))</f>
        <v/>
      </c>
      <c r="E2526" s="207" t="str">
        <f ca="1">IF(OFFSET('IWP23'!Std10dot4Withdrawals, 13, 7, 1, 1) = 0, "", OFFSET('IWP23'!Std10dot4Withdrawals, 13, 7, 1, 1))</f>
        <v/>
      </c>
    </row>
    <row r="2527" spans="1:5">
      <c r="A2527" s="206" t="s">
        <v>1326</v>
      </c>
      <c r="B2527" s="157">
        <f ca="1">IF(OFFSET('IWP23'!Std10dot4Withdrawals, 14, 0, 1, 1) = DATE(1900,1,0),DATE(1900,1,1),OFFSET('IWP23'!Std10dot4Withdrawals, 14, 0, 1, 1))</f>
        <v>1</v>
      </c>
      <c r="C2527" s="155">
        <f ca="1">OFFSET('IWP23'!Std10dot4Withdrawals, 14, 2, 1, 1)</f>
        <v>0</v>
      </c>
      <c r="D2527" s="151" t="str">
        <f ca="1">IF(OFFSET('IWP23'!Std10dot4Withdrawals, 14, 4, 1, 1) = 0, "", OFFSET('IWP23'!Std10dot4Withdrawals, 14, 4, 1, 1))</f>
        <v/>
      </c>
      <c r="E2527" s="207" t="str">
        <f ca="1">IF(OFFSET('IWP23'!Std10dot4Withdrawals, 14, 7, 1, 1) = 0, "", OFFSET('IWP23'!Std10dot4Withdrawals, 14, 7, 1, 1))</f>
        <v/>
      </c>
    </row>
    <row r="2528" spans="1:5">
      <c r="A2528" s="206" t="s">
        <v>1326</v>
      </c>
      <c r="B2528" s="157">
        <f ca="1">IF(OFFSET('IWP23'!Std10dot4Withdrawals, 15, 0, 1, 1) = DATE(1900,1,0),DATE(1900,1,1),OFFSET('IWP23'!Std10dot4Withdrawals, 15, 0, 1, 1))</f>
        <v>1</v>
      </c>
      <c r="C2528" s="155">
        <f ca="1">OFFSET('IWP23'!Std10dot4Withdrawals, 15, 2, 1, 1)</f>
        <v>0</v>
      </c>
      <c r="D2528" s="151" t="str">
        <f ca="1">IF(OFFSET('IWP23'!Std10dot4Withdrawals, 15, 4, 1, 1) = 0, "", OFFSET('IWP23'!Std10dot4Withdrawals, 15, 4, 1, 1))</f>
        <v/>
      </c>
      <c r="E2528" s="207" t="str">
        <f ca="1">IF(OFFSET('IWP23'!Std10dot4Withdrawals, 15, 7, 1, 1) = 0, "", OFFSET('IWP23'!Std10dot4Withdrawals, 15, 7, 1, 1))</f>
        <v/>
      </c>
    </row>
    <row r="2529" spans="1:5">
      <c r="A2529" s="206" t="s">
        <v>1326</v>
      </c>
      <c r="B2529" s="157">
        <f ca="1">IF(OFFSET('IWP23'!Std10dot4Withdrawals, 16, 0, 1, 1) = DATE(1900,1,0),DATE(1900,1,1),OFFSET('IWP23'!Std10dot4Withdrawals, 16, 0, 1, 1))</f>
        <v>1</v>
      </c>
      <c r="C2529" s="155">
        <f ca="1">OFFSET('IWP23'!Std10dot4Withdrawals, 16, 2, 1, 1)</f>
        <v>0</v>
      </c>
      <c r="D2529" s="151" t="str">
        <f ca="1">IF(OFFSET('IWP23'!Std10dot4Withdrawals, 16, 4, 1, 1) = 0, "", OFFSET('IWP23'!Std10dot4Withdrawals, 16, 4, 1, 1))</f>
        <v/>
      </c>
      <c r="E2529" s="207" t="str">
        <f ca="1">IF(OFFSET('IWP23'!Std10dot4Withdrawals, 16, 7, 1, 1) = 0, "", OFFSET('IWP23'!Std10dot4Withdrawals, 16, 7, 1, 1))</f>
        <v/>
      </c>
    </row>
    <row r="2530" spans="1:5">
      <c r="A2530" s="206" t="s">
        <v>1326</v>
      </c>
      <c r="B2530" s="157">
        <f ca="1">IF(OFFSET('IWP23'!Std10dot4Withdrawals, 17, 0, 1, 1) = DATE(1900,1,0),DATE(1900,1,1),OFFSET('IWP23'!Std10dot4Withdrawals, 17, 0, 1, 1))</f>
        <v>1</v>
      </c>
      <c r="C2530" s="155">
        <f ca="1">OFFSET('IWP23'!Std10dot4Withdrawals, 17, 2, 1, 1)</f>
        <v>0</v>
      </c>
      <c r="D2530" s="151" t="str">
        <f ca="1">IF(OFFSET('IWP23'!Std10dot4Withdrawals, 17, 4, 1, 1) = 0, "", OFFSET('IWP23'!Std10dot4Withdrawals, 17, 4, 1, 1))</f>
        <v/>
      </c>
      <c r="E2530" s="207" t="str">
        <f ca="1">IF(OFFSET('IWP23'!Std10dot4Withdrawals, 17, 7, 1, 1) = 0, "", OFFSET('IWP23'!Std10dot4Withdrawals, 17, 7, 1, 1))</f>
        <v/>
      </c>
    </row>
    <row r="2531" spans="1:5">
      <c r="A2531" s="206" t="s">
        <v>1326</v>
      </c>
      <c r="B2531" s="157">
        <f ca="1">IF(OFFSET('IWP23'!Std10dot4Withdrawals, 18, 0, 1, 1) = DATE(1900,1,0),DATE(1900,1,1),OFFSET('IWP23'!Std10dot4Withdrawals, 18, 0, 1, 1))</f>
        <v>1</v>
      </c>
      <c r="C2531" s="155">
        <f ca="1">OFFSET('IWP23'!Std10dot4Withdrawals, 18, 2, 1, 1)</f>
        <v>0</v>
      </c>
      <c r="D2531" s="151" t="str">
        <f ca="1">IF(OFFSET('IWP23'!Std10dot4Withdrawals, 18, 4, 1, 1) = 0, "", OFFSET('IWP23'!Std10dot4Withdrawals, 18, 4, 1, 1))</f>
        <v/>
      </c>
      <c r="E2531" s="207" t="str">
        <f ca="1">IF(OFFSET('IWP23'!Std10dot4Withdrawals, 18, 7, 1, 1) = 0, "", OFFSET('IWP23'!Std10dot4Withdrawals, 18, 7, 1, 1))</f>
        <v/>
      </c>
    </row>
    <row r="2532" spans="1:5">
      <c r="A2532" s="206" t="s">
        <v>1326</v>
      </c>
      <c r="B2532" s="157">
        <f ca="1">IF(OFFSET('IWP23'!Std10dot4Withdrawals, 19, 0, 1, 1) = DATE(1900,1,0),DATE(1900,1,1),OFFSET('IWP23'!Std10dot4Withdrawals, 19, 0, 1, 1))</f>
        <v>1</v>
      </c>
      <c r="C2532" s="155">
        <f ca="1">OFFSET('IWP23'!Std10dot4Withdrawals, 19, 2, 1, 1)</f>
        <v>0</v>
      </c>
      <c r="D2532" s="151" t="str">
        <f ca="1">IF(OFFSET('IWP23'!Std10dot4Withdrawals, 19, 4, 1, 1) = 0, "", OFFSET('IWP23'!Std10dot4Withdrawals, 19, 4, 1, 1))</f>
        <v/>
      </c>
      <c r="E2532" s="207" t="str">
        <f ca="1">IF(OFFSET('IWP23'!Std10dot4Withdrawals, 19, 7, 1, 1) = 0, "", OFFSET('IWP23'!Std10dot4Withdrawals, 19, 7, 1, 1))</f>
        <v/>
      </c>
    </row>
    <row r="2533" spans="1:5">
      <c r="A2533" s="206" t="s">
        <v>1327</v>
      </c>
      <c r="B2533" s="157">
        <f ca="1">IF(OFFSET('IWP24'!Std10dot4Withdrawals, 0, 0, 1, 1) = DATE(1900,1,0),DATE(1900,1,1),OFFSET('IWP24'!Std10dot4Withdrawals, 0, 0, 1, 1))</f>
        <v>1</v>
      </c>
      <c r="C2533" s="155">
        <f ca="1">OFFSET('IWP24'!Std10dot4Withdrawals, 0, 2, 1, 1)</f>
        <v>0</v>
      </c>
      <c r="D2533" s="151" t="str">
        <f ca="1">IF(OFFSET('IWP24'!Std10dot4Withdrawals, 0, 4, 1, 1) = 0, "", OFFSET('IWP24'!Std10dot4Withdrawals, 0, 4, 1, 1))</f>
        <v/>
      </c>
      <c r="E2533" s="207" t="str">
        <f ca="1">IF(OFFSET('IWP24'!Std10dot4Withdrawals, 0, 7, 1, 1) = 0, "", OFFSET('IWP24'!Std10dot4Withdrawals, 0, 7, 1, 1))</f>
        <v/>
      </c>
    </row>
    <row r="2534" spans="1:5">
      <c r="A2534" s="206" t="s">
        <v>1327</v>
      </c>
      <c r="B2534" s="157">
        <f ca="1">IF(OFFSET('IWP24'!Std10dot4Withdrawals, 1, 0, 1, 1) = DATE(1900,1,0),DATE(1900,1,1),OFFSET('IWP24'!Std10dot4Withdrawals, 1, 0, 1, 1))</f>
        <v>1</v>
      </c>
      <c r="C2534" s="155">
        <f ca="1">OFFSET('IWP24'!Std10dot4Withdrawals, 1, 2, 1, 1)</f>
        <v>0</v>
      </c>
      <c r="D2534" s="151" t="str">
        <f ca="1">IF(OFFSET('IWP24'!Std10dot4Withdrawals, 1, 4, 1, 1) = 0, "", OFFSET('IWP24'!Std10dot4Withdrawals, 1, 4, 1, 1))</f>
        <v/>
      </c>
      <c r="E2534" s="207" t="str">
        <f ca="1">IF(OFFSET('IWP24'!Std10dot4Withdrawals, 1, 7, 1, 1) = 0, "", OFFSET('IWP24'!Std10dot4Withdrawals, 1, 7, 1, 1))</f>
        <v/>
      </c>
    </row>
    <row r="2535" spans="1:5">
      <c r="A2535" s="206" t="s">
        <v>1327</v>
      </c>
      <c r="B2535" s="157">
        <f ca="1">IF(OFFSET('IWP24'!Std10dot4Withdrawals, 2, 0, 1, 1) = DATE(1900,1,0),DATE(1900,1,1),OFFSET('IWP24'!Std10dot4Withdrawals, 2, 0, 1, 1))</f>
        <v>1</v>
      </c>
      <c r="C2535" s="155">
        <f ca="1">OFFSET('IWP24'!Std10dot4Withdrawals, 2, 2, 1, 1)</f>
        <v>0</v>
      </c>
      <c r="D2535" s="151" t="str">
        <f ca="1">IF(OFFSET('IWP24'!Std10dot4Withdrawals, 2, 4, 1, 1) = 0, "", OFFSET('IWP24'!Std10dot4Withdrawals, 2, 4, 1, 1))</f>
        <v/>
      </c>
      <c r="E2535" s="207" t="str">
        <f ca="1">IF(OFFSET('IWP24'!Std10dot4Withdrawals, 2, 7, 1, 1) = 0, "", OFFSET('IWP24'!Std10dot4Withdrawals, 2, 7, 1, 1))</f>
        <v/>
      </c>
    </row>
    <row r="2536" spans="1:5">
      <c r="A2536" s="206" t="s">
        <v>1327</v>
      </c>
      <c r="B2536" s="157">
        <f ca="1">IF(OFFSET('IWP24'!Std10dot4Withdrawals, 3, 0, 1, 1) = DATE(1900,1,0),DATE(1900,1,1),OFFSET('IWP24'!Std10dot4Withdrawals, 3, 0, 1, 1))</f>
        <v>1</v>
      </c>
      <c r="C2536" s="155">
        <f ca="1">OFFSET('IWP24'!Std10dot4Withdrawals, 3, 2, 1, 1)</f>
        <v>0</v>
      </c>
      <c r="D2536" s="151" t="str">
        <f ca="1">IF(OFFSET('IWP24'!Std10dot4Withdrawals, 3, 4, 1, 1) = 0, "", OFFSET('IWP24'!Std10dot4Withdrawals, 3, 4, 1, 1))</f>
        <v/>
      </c>
      <c r="E2536" s="207" t="str">
        <f ca="1">IF(OFFSET('IWP24'!Std10dot4Withdrawals, 3, 7, 1, 1) = 0, "", OFFSET('IWP24'!Std10dot4Withdrawals, 3, 7, 1, 1))</f>
        <v/>
      </c>
    </row>
    <row r="2537" spans="1:5">
      <c r="A2537" s="206" t="s">
        <v>1327</v>
      </c>
      <c r="B2537" s="157">
        <f ca="1">IF(OFFSET('IWP24'!Std10dot4Withdrawals, 4, 0, 1, 1) = DATE(1900,1,0),DATE(1900,1,1),OFFSET('IWP24'!Std10dot4Withdrawals, 4, 0, 1, 1))</f>
        <v>1</v>
      </c>
      <c r="C2537" s="155">
        <f ca="1">OFFSET('IWP24'!Std10dot4Withdrawals, 4, 2, 1, 1)</f>
        <v>0</v>
      </c>
      <c r="D2537" s="151" t="str">
        <f ca="1">IF(OFFSET('IWP24'!Std10dot4Withdrawals, 4, 4, 1, 1) = 0, "", OFFSET('IWP24'!Std10dot4Withdrawals, 4, 4, 1, 1))</f>
        <v/>
      </c>
      <c r="E2537" s="207" t="str">
        <f ca="1">IF(OFFSET('IWP24'!Std10dot4Withdrawals, 4, 7, 1, 1) = 0, "", OFFSET('IWP24'!Std10dot4Withdrawals, 4, 7, 1, 1))</f>
        <v/>
      </c>
    </row>
    <row r="2538" spans="1:5">
      <c r="A2538" s="206" t="s">
        <v>1327</v>
      </c>
      <c r="B2538" s="157">
        <f ca="1">IF(OFFSET('IWP24'!Std10dot4Withdrawals, 5, 0, 1, 1) = DATE(1900,1,0),DATE(1900,1,1),OFFSET('IWP24'!Std10dot4Withdrawals, 5, 0, 1, 1))</f>
        <v>1</v>
      </c>
      <c r="C2538" s="155">
        <f ca="1">OFFSET('IWP24'!Std10dot4Withdrawals, 5, 2, 1, 1)</f>
        <v>0</v>
      </c>
      <c r="D2538" s="151" t="str">
        <f ca="1">IF(OFFSET('IWP24'!Std10dot4Withdrawals, 5, 4, 1, 1) = 0, "", OFFSET('IWP24'!Std10dot4Withdrawals, 5, 4, 1, 1))</f>
        <v/>
      </c>
      <c r="E2538" s="207" t="str">
        <f ca="1">IF(OFFSET('IWP24'!Std10dot4Withdrawals, 5, 7, 1, 1) = 0, "", OFFSET('IWP24'!Std10dot4Withdrawals, 5, 7, 1, 1))</f>
        <v/>
      </c>
    </row>
    <row r="2539" spans="1:5">
      <c r="A2539" s="206" t="s">
        <v>1327</v>
      </c>
      <c r="B2539" s="157">
        <f ca="1">IF(OFFSET('IWP24'!Std10dot4Withdrawals, 6, 0, 1, 1) = DATE(1900,1,0),DATE(1900,1,1),OFFSET('IWP24'!Std10dot4Withdrawals, 6, 0, 1, 1))</f>
        <v>1</v>
      </c>
      <c r="C2539" s="155">
        <f ca="1">OFFSET('IWP24'!Std10dot4Withdrawals, 6, 2, 1, 1)</f>
        <v>0</v>
      </c>
      <c r="D2539" s="151" t="str">
        <f ca="1">IF(OFFSET('IWP24'!Std10dot4Withdrawals, 6, 4, 1, 1) = 0, "", OFFSET('IWP24'!Std10dot4Withdrawals, 6, 4, 1, 1))</f>
        <v/>
      </c>
      <c r="E2539" s="207" t="str">
        <f ca="1">IF(OFFSET('IWP24'!Std10dot4Withdrawals, 6, 7, 1, 1) = 0, "", OFFSET('IWP24'!Std10dot4Withdrawals, 6, 7, 1, 1))</f>
        <v/>
      </c>
    </row>
    <row r="2540" spans="1:5">
      <c r="A2540" s="206" t="s">
        <v>1327</v>
      </c>
      <c r="B2540" s="157">
        <f ca="1">IF(OFFSET('IWP24'!Std10dot4Withdrawals, 7, 0, 1, 1) = DATE(1900,1,0),DATE(1900,1,1),OFFSET('IWP24'!Std10dot4Withdrawals, 7, 0, 1, 1))</f>
        <v>1</v>
      </c>
      <c r="C2540" s="155">
        <f ca="1">OFFSET('IWP24'!Std10dot4Withdrawals, 7, 2, 1, 1)</f>
        <v>0</v>
      </c>
      <c r="D2540" s="151" t="str">
        <f ca="1">IF(OFFSET('IWP24'!Std10dot4Withdrawals, 7, 4, 1, 1) = 0, "", OFFSET('IWP24'!Std10dot4Withdrawals, 7, 4, 1, 1))</f>
        <v/>
      </c>
      <c r="E2540" s="207" t="str">
        <f ca="1">IF(OFFSET('IWP24'!Std10dot4Withdrawals, 7, 7, 1, 1) = 0, "", OFFSET('IWP24'!Std10dot4Withdrawals, 7, 7, 1, 1))</f>
        <v/>
      </c>
    </row>
    <row r="2541" spans="1:5">
      <c r="A2541" s="206" t="s">
        <v>1327</v>
      </c>
      <c r="B2541" s="157">
        <f ca="1">IF(OFFSET('IWP24'!Std10dot4Withdrawals, 8, 0, 1, 1) = DATE(1900,1,0),DATE(1900,1,1),OFFSET('IWP24'!Std10dot4Withdrawals, 8, 0, 1, 1))</f>
        <v>1</v>
      </c>
      <c r="C2541" s="155">
        <f ca="1">OFFSET('IWP24'!Std10dot4Withdrawals, 8, 2, 1, 1)</f>
        <v>0</v>
      </c>
      <c r="D2541" s="151" t="str">
        <f ca="1">IF(OFFSET('IWP24'!Std10dot4Withdrawals, 8, 4, 1, 1) = 0, "", OFFSET('IWP24'!Std10dot4Withdrawals, 8, 4, 1, 1))</f>
        <v/>
      </c>
      <c r="E2541" s="207" t="str">
        <f ca="1">IF(OFFSET('IWP24'!Std10dot4Withdrawals, 8, 7, 1, 1) = 0, "", OFFSET('IWP24'!Std10dot4Withdrawals, 8, 7, 1, 1))</f>
        <v/>
      </c>
    </row>
    <row r="2542" spans="1:5">
      <c r="A2542" s="206" t="s">
        <v>1327</v>
      </c>
      <c r="B2542" s="157">
        <f ca="1">IF(OFFSET('IWP24'!Std10dot4Withdrawals, 9, 0, 1, 1) = DATE(1900,1,0),DATE(1900,1,1),OFFSET('IWP24'!Std10dot4Withdrawals, 9, 0, 1, 1))</f>
        <v>1</v>
      </c>
      <c r="C2542" s="155">
        <f ca="1">OFFSET('IWP24'!Std10dot4Withdrawals, 9, 2, 1, 1)</f>
        <v>0</v>
      </c>
      <c r="D2542" s="151" t="str">
        <f ca="1">IF(OFFSET('IWP24'!Std10dot4Withdrawals, 9, 4, 1, 1) = 0, "", OFFSET('IWP24'!Std10dot4Withdrawals, 9, 4, 1, 1))</f>
        <v/>
      </c>
      <c r="E2542" s="207" t="str">
        <f ca="1">IF(OFFSET('IWP24'!Std10dot4Withdrawals, 9, 7, 1, 1) = 0, "", OFFSET('IWP24'!Std10dot4Withdrawals, 9, 7, 1, 1))</f>
        <v/>
      </c>
    </row>
    <row r="2543" spans="1:5">
      <c r="A2543" s="206" t="s">
        <v>1327</v>
      </c>
      <c r="B2543" s="157">
        <f ca="1">IF(OFFSET('IWP24'!Std10dot4Withdrawals, 10, 0, 1, 1) = DATE(1900,1,0),DATE(1900,1,1),OFFSET('IWP24'!Std10dot4Withdrawals, 10, 0, 1, 1))</f>
        <v>1</v>
      </c>
      <c r="C2543" s="155">
        <f ca="1">OFFSET('IWP24'!Std10dot4Withdrawals, 10, 2, 1, 1)</f>
        <v>0</v>
      </c>
      <c r="D2543" s="151" t="str">
        <f ca="1">IF(OFFSET('IWP24'!Std10dot4Withdrawals, 10, 4, 1, 1) = 0, "", OFFSET('IWP24'!Std10dot4Withdrawals, 10, 4, 1, 1))</f>
        <v/>
      </c>
      <c r="E2543" s="207" t="str">
        <f ca="1">IF(OFFSET('IWP24'!Std10dot4Withdrawals, 10, 7, 1, 1) = 0, "", OFFSET('IWP24'!Std10dot4Withdrawals, 10, 7, 1, 1))</f>
        <v/>
      </c>
    </row>
    <row r="2544" spans="1:5">
      <c r="A2544" s="206" t="s">
        <v>1327</v>
      </c>
      <c r="B2544" s="157">
        <f ca="1">IF(OFFSET('IWP24'!Std10dot4Withdrawals, 11, 0, 1, 1) = DATE(1900,1,0),DATE(1900,1,1),OFFSET('IWP24'!Std10dot4Withdrawals, 11, 0, 1, 1))</f>
        <v>1</v>
      </c>
      <c r="C2544" s="155">
        <f ca="1">OFFSET('IWP24'!Std10dot4Withdrawals, 11, 2, 1, 1)</f>
        <v>0</v>
      </c>
      <c r="D2544" s="151" t="str">
        <f ca="1">IF(OFFSET('IWP24'!Std10dot4Withdrawals, 11, 4, 1, 1) = 0, "", OFFSET('IWP24'!Std10dot4Withdrawals, 11, 4, 1, 1))</f>
        <v/>
      </c>
      <c r="E2544" s="207" t="str">
        <f ca="1">IF(OFFSET('IWP24'!Std10dot4Withdrawals, 11, 7, 1, 1) = 0, "", OFFSET('IWP24'!Std10dot4Withdrawals, 11, 7, 1, 1))</f>
        <v/>
      </c>
    </row>
    <row r="2545" spans="1:5">
      <c r="A2545" s="206" t="s">
        <v>1327</v>
      </c>
      <c r="B2545" s="157">
        <f ca="1">IF(OFFSET('IWP24'!Std10dot4Withdrawals, 12, 0, 1, 1) = DATE(1900,1,0),DATE(1900,1,1),OFFSET('IWP24'!Std10dot4Withdrawals, 12, 0, 1, 1))</f>
        <v>1</v>
      </c>
      <c r="C2545" s="155">
        <f ca="1">OFFSET('IWP24'!Std10dot4Withdrawals, 12, 2, 1, 1)</f>
        <v>0</v>
      </c>
      <c r="D2545" s="151" t="str">
        <f ca="1">IF(OFFSET('IWP24'!Std10dot4Withdrawals, 12, 4, 1, 1) = 0, "", OFFSET('IWP24'!Std10dot4Withdrawals, 12, 4, 1, 1))</f>
        <v/>
      </c>
      <c r="E2545" s="207" t="str">
        <f ca="1">IF(OFFSET('IWP24'!Std10dot4Withdrawals, 12, 7, 1, 1) = 0, "", OFFSET('IWP24'!Std10dot4Withdrawals, 12, 7, 1, 1))</f>
        <v/>
      </c>
    </row>
    <row r="2546" spans="1:5">
      <c r="A2546" s="206" t="s">
        <v>1327</v>
      </c>
      <c r="B2546" s="157">
        <f ca="1">IF(OFFSET('IWP24'!Std10dot4Withdrawals, 13, 0, 1, 1) = DATE(1900,1,0),DATE(1900,1,1),OFFSET('IWP24'!Std10dot4Withdrawals, 13, 0, 1, 1))</f>
        <v>1</v>
      </c>
      <c r="C2546" s="155">
        <f ca="1">OFFSET('IWP24'!Std10dot4Withdrawals, 13, 2, 1, 1)</f>
        <v>0</v>
      </c>
      <c r="D2546" s="151" t="str">
        <f ca="1">IF(OFFSET('IWP24'!Std10dot4Withdrawals, 13, 4, 1, 1) = 0, "", OFFSET('IWP24'!Std10dot4Withdrawals, 13, 4, 1, 1))</f>
        <v/>
      </c>
      <c r="E2546" s="207" t="str">
        <f ca="1">IF(OFFSET('IWP24'!Std10dot4Withdrawals, 13, 7, 1, 1) = 0, "", OFFSET('IWP24'!Std10dot4Withdrawals, 13, 7, 1, 1))</f>
        <v/>
      </c>
    </row>
    <row r="2547" spans="1:5">
      <c r="A2547" s="206" t="s">
        <v>1327</v>
      </c>
      <c r="B2547" s="157">
        <f ca="1">IF(OFFSET('IWP24'!Std10dot4Withdrawals, 14, 0, 1, 1) = DATE(1900,1,0),DATE(1900,1,1),OFFSET('IWP24'!Std10dot4Withdrawals, 14, 0, 1, 1))</f>
        <v>1</v>
      </c>
      <c r="C2547" s="155">
        <f ca="1">OFFSET('IWP24'!Std10dot4Withdrawals, 14, 2, 1, 1)</f>
        <v>0</v>
      </c>
      <c r="D2547" s="151" t="str">
        <f ca="1">IF(OFFSET('IWP24'!Std10dot4Withdrawals, 14, 4, 1, 1) = 0, "", OFFSET('IWP24'!Std10dot4Withdrawals, 14, 4, 1, 1))</f>
        <v/>
      </c>
      <c r="E2547" s="207" t="str">
        <f ca="1">IF(OFFSET('IWP24'!Std10dot4Withdrawals, 14, 7, 1, 1) = 0, "", OFFSET('IWP24'!Std10dot4Withdrawals, 14, 7, 1, 1))</f>
        <v/>
      </c>
    </row>
    <row r="2548" spans="1:5">
      <c r="A2548" s="206" t="s">
        <v>1327</v>
      </c>
      <c r="B2548" s="157">
        <f ca="1">IF(OFFSET('IWP24'!Std10dot4Withdrawals, 15, 0, 1, 1) = DATE(1900,1,0),DATE(1900,1,1),OFFSET('IWP24'!Std10dot4Withdrawals, 15, 0, 1, 1))</f>
        <v>1</v>
      </c>
      <c r="C2548" s="155">
        <f ca="1">OFFSET('IWP24'!Std10dot4Withdrawals, 15, 2, 1, 1)</f>
        <v>0</v>
      </c>
      <c r="D2548" s="151" t="str">
        <f ca="1">IF(OFFSET('IWP24'!Std10dot4Withdrawals, 15, 4, 1, 1) = 0, "", OFFSET('IWP24'!Std10dot4Withdrawals, 15, 4, 1, 1))</f>
        <v/>
      </c>
      <c r="E2548" s="207" t="str">
        <f ca="1">IF(OFFSET('IWP24'!Std10dot4Withdrawals, 15, 7, 1, 1) = 0, "", OFFSET('IWP24'!Std10dot4Withdrawals, 15, 7, 1, 1))</f>
        <v/>
      </c>
    </row>
    <row r="2549" spans="1:5">
      <c r="A2549" s="206" t="s">
        <v>1327</v>
      </c>
      <c r="B2549" s="157">
        <f ca="1">IF(OFFSET('IWP24'!Std10dot4Withdrawals, 16, 0, 1, 1) = DATE(1900,1,0),DATE(1900,1,1),OFFSET('IWP24'!Std10dot4Withdrawals, 16, 0, 1, 1))</f>
        <v>1</v>
      </c>
      <c r="C2549" s="155">
        <f ca="1">OFFSET('IWP24'!Std10dot4Withdrawals, 16, 2, 1, 1)</f>
        <v>0</v>
      </c>
      <c r="D2549" s="151" t="str">
        <f ca="1">IF(OFFSET('IWP24'!Std10dot4Withdrawals, 16, 4, 1, 1) = 0, "", OFFSET('IWP24'!Std10dot4Withdrawals, 16, 4, 1, 1))</f>
        <v/>
      </c>
      <c r="E2549" s="207" t="str">
        <f ca="1">IF(OFFSET('IWP24'!Std10dot4Withdrawals, 16, 7, 1, 1) = 0, "", OFFSET('IWP24'!Std10dot4Withdrawals, 16, 7, 1, 1))</f>
        <v/>
      </c>
    </row>
    <row r="2550" spans="1:5">
      <c r="A2550" s="206" t="s">
        <v>1327</v>
      </c>
      <c r="B2550" s="157">
        <f ca="1">IF(OFFSET('IWP24'!Std10dot4Withdrawals, 17, 0, 1, 1) = DATE(1900,1,0),DATE(1900,1,1),OFFSET('IWP24'!Std10dot4Withdrawals, 17, 0, 1, 1))</f>
        <v>1</v>
      </c>
      <c r="C2550" s="155">
        <f ca="1">OFFSET('IWP24'!Std10dot4Withdrawals, 17, 2, 1, 1)</f>
        <v>0</v>
      </c>
      <c r="D2550" s="151" t="str">
        <f ca="1">IF(OFFSET('IWP24'!Std10dot4Withdrawals, 17, 4, 1, 1) = 0, "", OFFSET('IWP24'!Std10dot4Withdrawals, 17, 4, 1, 1))</f>
        <v/>
      </c>
      <c r="E2550" s="207" t="str">
        <f ca="1">IF(OFFSET('IWP24'!Std10dot4Withdrawals, 17, 7, 1, 1) = 0, "", OFFSET('IWP24'!Std10dot4Withdrawals, 17, 7, 1, 1))</f>
        <v/>
      </c>
    </row>
    <row r="2551" spans="1:5">
      <c r="A2551" s="206" t="s">
        <v>1327</v>
      </c>
      <c r="B2551" s="157">
        <f ca="1">IF(OFFSET('IWP24'!Std10dot4Withdrawals, 18, 0, 1, 1) = DATE(1900,1,0),DATE(1900,1,1),OFFSET('IWP24'!Std10dot4Withdrawals, 18, 0, 1, 1))</f>
        <v>1</v>
      </c>
      <c r="C2551" s="155">
        <f ca="1">OFFSET('IWP24'!Std10dot4Withdrawals, 18, 2, 1, 1)</f>
        <v>0</v>
      </c>
      <c r="D2551" s="151" t="str">
        <f ca="1">IF(OFFSET('IWP24'!Std10dot4Withdrawals, 18, 4, 1, 1) = 0, "", OFFSET('IWP24'!Std10dot4Withdrawals, 18, 4, 1, 1))</f>
        <v/>
      </c>
      <c r="E2551" s="207" t="str">
        <f ca="1">IF(OFFSET('IWP24'!Std10dot4Withdrawals, 18, 7, 1, 1) = 0, "", OFFSET('IWP24'!Std10dot4Withdrawals, 18, 7, 1, 1))</f>
        <v/>
      </c>
    </row>
    <row r="2552" spans="1:5">
      <c r="A2552" s="206" t="s">
        <v>1327</v>
      </c>
      <c r="B2552" s="157">
        <f ca="1">IF(OFFSET('IWP24'!Std10dot4Withdrawals, 19, 0, 1, 1) = DATE(1900,1,0),DATE(1900,1,1),OFFSET('IWP24'!Std10dot4Withdrawals, 19, 0, 1, 1))</f>
        <v>1</v>
      </c>
      <c r="C2552" s="155">
        <f ca="1">OFFSET('IWP24'!Std10dot4Withdrawals, 19, 2, 1, 1)</f>
        <v>0</v>
      </c>
      <c r="D2552" s="151" t="str">
        <f ca="1">IF(OFFSET('IWP24'!Std10dot4Withdrawals, 19, 4, 1, 1) = 0, "", OFFSET('IWP24'!Std10dot4Withdrawals, 19, 4, 1, 1))</f>
        <v/>
      </c>
      <c r="E2552" s="207" t="str">
        <f ca="1">IF(OFFSET('IWP24'!Std10dot4Withdrawals, 19, 7, 1, 1) = 0, "", OFFSET('IWP24'!Std10dot4Withdrawals, 19, 7, 1, 1))</f>
        <v/>
      </c>
    </row>
    <row r="2553" spans="1:5">
      <c r="A2553" s="206" t="s">
        <v>1328</v>
      </c>
      <c r="B2553" s="157">
        <f ca="1">IF(OFFSET('IWP25'!Std10dot4Withdrawals, 0, 0, 1, 1) = DATE(1900,1,0),DATE(1900,1,1),OFFSET('IWP25'!Std10dot4Withdrawals, 0, 0, 1, 1))</f>
        <v>1</v>
      </c>
      <c r="C2553" s="155">
        <f ca="1">OFFSET('IWP25'!Std10dot4Withdrawals, 0, 2, 1, 1)</f>
        <v>0</v>
      </c>
      <c r="D2553" s="151" t="str">
        <f ca="1">IF(OFFSET('IWP25'!Std10dot4Withdrawals, 0, 4, 1, 1) = 0, "", OFFSET('IWP25'!Std10dot4Withdrawals, 0, 4, 1, 1))</f>
        <v/>
      </c>
      <c r="E2553" s="207" t="str">
        <f ca="1">IF(OFFSET('IWP25'!Std10dot4Withdrawals, 0, 7, 1, 1) = 0, "", OFFSET('IWP25'!Std10dot4Withdrawals, 0, 7, 1, 1))</f>
        <v/>
      </c>
    </row>
    <row r="2554" spans="1:5">
      <c r="A2554" s="206" t="s">
        <v>1328</v>
      </c>
      <c r="B2554" s="157">
        <f ca="1">IF(OFFSET('IWP25'!Std10dot4Withdrawals, 1, 0, 1, 1) = DATE(1900,1,0),DATE(1900,1,1),OFFSET('IWP25'!Std10dot4Withdrawals, 1, 0, 1, 1))</f>
        <v>1</v>
      </c>
      <c r="C2554" s="155">
        <f ca="1">OFFSET('IWP25'!Std10dot4Withdrawals, 1, 2, 1, 1)</f>
        <v>0</v>
      </c>
      <c r="D2554" s="151" t="str">
        <f ca="1">IF(OFFSET('IWP25'!Std10dot4Withdrawals, 1, 4, 1, 1) = 0, "", OFFSET('IWP25'!Std10dot4Withdrawals, 1, 4, 1, 1))</f>
        <v/>
      </c>
      <c r="E2554" s="207" t="str">
        <f ca="1">IF(OFFSET('IWP25'!Std10dot4Withdrawals, 1, 7, 1, 1) = 0, "", OFFSET('IWP25'!Std10dot4Withdrawals, 1, 7, 1, 1))</f>
        <v/>
      </c>
    </row>
    <row r="2555" spans="1:5">
      <c r="A2555" s="206" t="s">
        <v>1328</v>
      </c>
      <c r="B2555" s="157">
        <f ca="1">IF(OFFSET('IWP25'!Std10dot4Withdrawals, 2, 0, 1, 1) = DATE(1900,1,0),DATE(1900,1,1),OFFSET('IWP25'!Std10dot4Withdrawals, 2, 0, 1, 1))</f>
        <v>1</v>
      </c>
      <c r="C2555" s="155">
        <f ca="1">OFFSET('IWP25'!Std10dot4Withdrawals, 2, 2, 1, 1)</f>
        <v>0</v>
      </c>
      <c r="D2555" s="151" t="str">
        <f ca="1">IF(OFFSET('IWP25'!Std10dot4Withdrawals, 2, 4, 1, 1) = 0, "", OFFSET('IWP25'!Std10dot4Withdrawals, 2, 4, 1, 1))</f>
        <v/>
      </c>
      <c r="E2555" s="207" t="str">
        <f ca="1">IF(OFFSET('IWP25'!Std10dot4Withdrawals, 2, 7, 1, 1) = 0, "", OFFSET('IWP25'!Std10dot4Withdrawals, 2, 7, 1, 1))</f>
        <v/>
      </c>
    </row>
    <row r="2556" spans="1:5">
      <c r="A2556" s="206" t="s">
        <v>1328</v>
      </c>
      <c r="B2556" s="157">
        <f ca="1">IF(OFFSET('IWP25'!Std10dot4Withdrawals, 3, 0, 1, 1) = DATE(1900,1,0),DATE(1900,1,1),OFFSET('IWP25'!Std10dot4Withdrawals, 3, 0, 1, 1))</f>
        <v>1</v>
      </c>
      <c r="C2556" s="155">
        <f ca="1">OFFSET('IWP25'!Std10dot4Withdrawals, 3, 2, 1, 1)</f>
        <v>0</v>
      </c>
      <c r="D2556" s="151" t="str">
        <f ca="1">IF(OFFSET('IWP25'!Std10dot4Withdrawals, 3, 4, 1, 1) = 0, "", OFFSET('IWP25'!Std10dot4Withdrawals, 3, 4, 1, 1))</f>
        <v/>
      </c>
      <c r="E2556" s="207" t="str">
        <f ca="1">IF(OFFSET('IWP25'!Std10dot4Withdrawals, 3, 7, 1, 1) = 0, "", OFFSET('IWP25'!Std10dot4Withdrawals, 3, 7, 1, 1))</f>
        <v/>
      </c>
    </row>
    <row r="2557" spans="1:5">
      <c r="A2557" s="206" t="s">
        <v>1328</v>
      </c>
      <c r="B2557" s="157">
        <f ca="1">IF(OFFSET('IWP25'!Std10dot4Withdrawals, 4, 0, 1, 1) = DATE(1900,1,0),DATE(1900,1,1),OFFSET('IWP25'!Std10dot4Withdrawals, 4, 0, 1, 1))</f>
        <v>1</v>
      </c>
      <c r="C2557" s="155">
        <f ca="1">OFFSET('IWP25'!Std10dot4Withdrawals, 4, 2, 1, 1)</f>
        <v>0</v>
      </c>
      <c r="D2557" s="151" t="str">
        <f ca="1">IF(OFFSET('IWP25'!Std10dot4Withdrawals, 4, 4, 1, 1) = 0, "", OFFSET('IWP25'!Std10dot4Withdrawals, 4, 4, 1, 1))</f>
        <v/>
      </c>
      <c r="E2557" s="207" t="str">
        <f ca="1">IF(OFFSET('IWP25'!Std10dot4Withdrawals, 4, 7, 1, 1) = 0, "", OFFSET('IWP25'!Std10dot4Withdrawals, 4, 7, 1, 1))</f>
        <v/>
      </c>
    </row>
    <row r="2558" spans="1:5">
      <c r="A2558" s="206" t="s">
        <v>1328</v>
      </c>
      <c r="B2558" s="157">
        <f ca="1">IF(OFFSET('IWP25'!Std10dot4Withdrawals, 5, 0, 1, 1) = DATE(1900,1,0),DATE(1900,1,1),OFFSET('IWP25'!Std10dot4Withdrawals, 5, 0, 1, 1))</f>
        <v>1</v>
      </c>
      <c r="C2558" s="155">
        <f ca="1">OFFSET('IWP25'!Std10dot4Withdrawals, 5, 2, 1, 1)</f>
        <v>0</v>
      </c>
      <c r="D2558" s="151" t="str">
        <f ca="1">IF(OFFSET('IWP25'!Std10dot4Withdrawals, 5, 4, 1, 1) = 0, "", OFFSET('IWP25'!Std10dot4Withdrawals, 5, 4, 1, 1))</f>
        <v/>
      </c>
      <c r="E2558" s="207" t="str">
        <f ca="1">IF(OFFSET('IWP25'!Std10dot4Withdrawals, 5, 7, 1, 1) = 0, "", OFFSET('IWP25'!Std10dot4Withdrawals, 5, 7, 1, 1))</f>
        <v/>
      </c>
    </row>
    <row r="2559" spans="1:5">
      <c r="A2559" s="206" t="s">
        <v>1328</v>
      </c>
      <c r="B2559" s="157">
        <f ca="1">IF(OFFSET('IWP25'!Std10dot4Withdrawals, 6, 0, 1, 1) = DATE(1900,1,0),DATE(1900,1,1),OFFSET('IWP25'!Std10dot4Withdrawals, 6, 0, 1, 1))</f>
        <v>1</v>
      </c>
      <c r="C2559" s="155">
        <f ca="1">OFFSET('IWP25'!Std10dot4Withdrawals, 6, 2, 1, 1)</f>
        <v>0</v>
      </c>
      <c r="D2559" s="151" t="str">
        <f ca="1">IF(OFFSET('IWP25'!Std10dot4Withdrawals, 6, 4, 1, 1) = 0, "", OFFSET('IWP25'!Std10dot4Withdrawals, 6, 4, 1, 1))</f>
        <v/>
      </c>
      <c r="E2559" s="207" t="str">
        <f ca="1">IF(OFFSET('IWP25'!Std10dot4Withdrawals, 6, 7, 1, 1) = 0, "", OFFSET('IWP25'!Std10dot4Withdrawals, 6, 7, 1, 1))</f>
        <v/>
      </c>
    </row>
    <row r="2560" spans="1:5">
      <c r="A2560" s="206" t="s">
        <v>1328</v>
      </c>
      <c r="B2560" s="157">
        <f ca="1">IF(OFFSET('IWP25'!Std10dot4Withdrawals, 7, 0, 1, 1) = DATE(1900,1,0),DATE(1900,1,1),OFFSET('IWP25'!Std10dot4Withdrawals, 7, 0, 1, 1))</f>
        <v>1</v>
      </c>
      <c r="C2560" s="155">
        <f ca="1">OFFSET('IWP25'!Std10dot4Withdrawals, 7, 2, 1, 1)</f>
        <v>0</v>
      </c>
      <c r="D2560" s="151" t="str">
        <f ca="1">IF(OFFSET('IWP25'!Std10dot4Withdrawals, 7, 4, 1, 1) = 0, "", OFFSET('IWP25'!Std10dot4Withdrawals, 7, 4, 1, 1))</f>
        <v/>
      </c>
      <c r="E2560" s="207" t="str">
        <f ca="1">IF(OFFSET('IWP25'!Std10dot4Withdrawals, 7, 7, 1, 1) = 0, "", OFFSET('IWP25'!Std10dot4Withdrawals, 7, 7, 1, 1))</f>
        <v/>
      </c>
    </row>
    <row r="2561" spans="1:5">
      <c r="A2561" s="206" t="s">
        <v>1328</v>
      </c>
      <c r="B2561" s="157">
        <f ca="1">IF(OFFSET('IWP25'!Std10dot4Withdrawals, 8, 0, 1, 1) = DATE(1900,1,0),DATE(1900,1,1),OFFSET('IWP25'!Std10dot4Withdrawals, 8, 0, 1, 1))</f>
        <v>1</v>
      </c>
      <c r="C2561" s="155">
        <f ca="1">OFFSET('IWP25'!Std10dot4Withdrawals, 8, 2, 1, 1)</f>
        <v>0</v>
      </c>
      <c r="D2561" s="151" t="str">
        <f ca="1">IF(OFFSET('IWP25'!Std10dot4Withdrawals, 8, 4, 1, 1) = 0, "", OFFSET('IWP25'!Std10dot4Withdrawals, 8, 4, 1, 1))</f>
        <v/>
      </c>
      <c r="E2561" s="207" t="str">
        <f ca="1">IF(OFFSET('IWP25'!Std10dot4Withdrawals, 8, 7, 1, 1) = 0, "", OFFSET('IWP25'!Std10dot4Withdrawals, 8, 7, 1, 1))</f>
        <v/>
      </c>
    </row>
    <row r="2562" spans="1:5">
      <c r="A2562" s="206" t="s">
        <v>1328</v>
      </c>
      <c r="B2562" s="157">
        <f ca="1">IF(OFFSET('IWP25'!Std10dot4Withdrawals, 9, 0, 1, 1) = DATE(1900,1,0),DATE(1900,1,1),OFFSET('IWP25'!Std10dot4Withdrawals, 9, 0, 1, 1))</f>
        <v>1</v>
      </c>
      <c r="C2562" s="155">
        <f ca="1">OFFSET('IWP25'!Std10dot4Withdrawals, 9, 2, 1, 1)</f>
        <v>0</v>
      </c>
      <c r="D2562" s="151" t="str">
        <f ca="1">IF(OFFSET('IWP25'!Std10dot4Withdrawals, 9, 4, 1, 1) = 0, "", OFFSET('IWP25'!Std10dot4Withdrawals, 9, 4, 1, 1))</f>
        <v/>
      </c>
      <c r="E2562" s="207" t="str">
        <f ca="1">IF(OFFSET('IWP25'!Std10dot4Withdrawals, 9, 7, 1, 1) = 0, "", OFFSET('IWP25'!Std10dot4Withdrawals, 9, 7, 1, 1))</f>
        <v/>
      </c>
    </row>
    <row r="2563" spans="1:5">
      <c r="A2563" s="206" t="s">
        <v>1328</v>
      </c>
      <c r="B2563" s="157">
        <f ca="1">IF(OFFSET('IWP25'!Std10dot4Withdrawals, 10, 0, 1, 1) = DATE(1900,1,0),DATE(1900,1,1),OFFSET('IWP25'!Std10dot4Withdrawals, 10, 0, 1, 1))</f>
        <v>1</v>
      </c>
      <c r="C2563" s="155">
        <f ca="1">OFFSET('IWP25'!Std10dot4Withdrawals, 10, 2, 1, 1)</f>
        <v>0</v>
      </c>
      <c r="D2563" s="151" t="str">
        <f ca="1">IF(OFFSET('IWP25'!Std10dot4Withdrawals, 10, 4, 1, 1) = 0, "", OFFSET('IWP25'!Std10dot4Withdrawals, 10, 4, 1, 1))</f>
        <v/>
      </c>
      <c r="E2563" s="207" t="str">
        <f ca="1">IF(OFFSET('IWP25'!Std10dot4Withdrawals, 10, 7, 1, 1) = 0, "", OFFSET('IWP25'!Std10dot4Withdrawals, 10, 7, 1, 1))</f>
        <v/>
      </c>
    </row>
    <row r="2564" spans="1:5">
      <c r="A2564" s="206" t="s">
        <v>1328</v>
      </c>
      <c r="B2564" s="157">
        <f ca="1">IF(OFFSET('IWP25'!Std10dot4Withdrawals, 11, 0, 1, 1) = DATE(1900,1,0),DATE(1900,1,1),OFFSET('IWP25'!Std10dot4Withdrawals, 11, 0, 1, 1))</f>
        <v>1</v>
      </c>
      <c r="C2564" s="155">
        <f ca="1">OFFSET('IWP25'!Std10dot4Withdrawals, 11, 2, 1, 1)</f>
        <v>0</v>
      </c>
      <c r="D2564" s="151" t="str">
        <f ca="1">IF(OFFSET('IWP25'!Std10dot4Withdrawals, 11, 4, 1, 1) = 0, "", OFFSET('IWP25'!Std10dot4Withdrawals, 11, 4, 1, 1))</f>
        <v/>
      </c>
      <c r="E2564" s="207" t="str">
        <f ca="1">IF(OFFSET('IWP25'!Std10dot4Withdrawals, 11, 7, 1, 1) = 0, "", OFFSET('IWP25'!Std10dot4Withdrawals, 11, 7, 1, 1))</f>
        <v/>
      </c>
    </row>
    <row r="2565" spans="1:5">
      <c r="A2565" s="206" t="s">
        <v>1328</v>
      </c>
      <c r="B2565" s="157">
        <f ca="1">IF(OFFSET('IWP25'!Std10dot4Withdrawals, 12, 0, 1, 1) = DATE(1900,1,0),DATE(1900,1,1),OFFSET('IWP25'!Std10dot4Withdrawals, 12, 0, 1, 1))</f>
        <v>1</v>
      </c>
      <c r="C2565" s="155">
        <f ca="1">OFFSET('IWP25'!Std10dot4Withdrawals, 12, 2, 1, 1)</f>
        <v>0</v>
      </c>
      <c r="D2565" s="151" t="str">
        <f ca="1">IF(OFFSET('IWP25'!Std10dot4Withdrawals, 12, 4, 1, 1) = 0, "", OFFSET('IWP25'!Std10dot4Withdrawals, 12, 4, 1, 1))</f>
        <v/>
      </c>
      <c r="E2565" s="207" t="str">
        <f ca="1">IF(OFFSET('IWP25'!Std10dot4Withdrawals, 12, 7, 1, 1) = 0, "", OFFSET('IWP25'!Std10dot4Withdrawals, 12, 7, 1, 1))</f>
        <v/>
      </c>
    </row>
    <row r="2566" spans="1:5">
      <c r="A2566" s="206" t="s">
        <v>1328</v>
      </c>
      <c r="B2566" s="157">
        <f ca="1">IF(OFFSET('IWP25'!Std10dot4Withdrawals, 13, 0, 1, 1) = DATE(1900,1,0),DATE(1900,1,1),OFFSET('IWP25'!Std10dot4Withdrawals, 13, 0, 1, 1))</f>
        <v>1</v>
      </c>
      <c r="C2566" s="155">
        <f ca="1">OFFSET('IWP25'!Std10dot4Withdrawals, 13, 2, 1, 1)</f>
        <v>0</v>
      </c>
      <c r="D2566" s="151" t="str">
        <f ca="1">IF(OFFSET('IWP25'!Std10dot4Withdrawals, 13, 4, 1, 1) = 0, "", OFFSET('IWP25'!Std10dot4Withdrawals, 13, 4, 1, 1))</f>
        <v/>
      </c>
      <c r="E2566" s="207" t="str">
        <f ca="1">IF(OFFSET('IWP25'!Std10dot4Withdrawals, 13, 7, 1, 1) = 0, "", OFFSET('IWP25'!Std10dot4Withdrawals, 13, 7, 1, 1))</f>
        <v/>
      </c>
    </row>
    <row r="2567" spans="1:5">
      <c r="A2567" s="206" t="s">
        <v>1328</v>
      </c>
      <c r="B2567" s="157">
        <f ca="1">IF(OFFSET('IWP25'!Std10dot4Withdrawals, 14, 0, 1, 1) = DATE(1900,1,0),DATE(1900,1,1),OFFSET('IWP25'!Std10dot4Withdrawals, 14, 0, 1, 1))</f>
        <v>1</v>
      </c>
      <c r="C2567" s="155">
        <f ca="1">OFFSET('IWP25'!Std10dot4Withdrawals, 14, 2, 1, 1)</f>
        <v>0</v>
      </c>
      <c r="D2567" s="151" t="str">
        <f ca="1">IF(OFFSET('IWP25'!Std10dot4Withdrawals, 14, 4, 1, 1) = 0, "", OFFSET('IWP25'!Std10dot4Withdrawals, 14, 4, 1, 1))</f>
        <v/>
      </c>
      <c r="E2567" s="207" t="str">
        <f ca="1">IF(OFFSET('IWP25'!Std10dot4Withdrawals, 14, 7, 1, 1) = 0, "", OFFSET('IWP25'!Std10dot4Withdrawals, 14, 7, 1, 1))</f>
        <v/>
      </c>
    </row>
    <row r="2568" spans="1:5">
      <c r="A2568" s="206" t="s">
        <v>1328</v>
      </c>
      <c r="B2568" s="157">
        <f ca="1">IF(OFFSET('IWP25'!Std10dot4Withdrawals, 15, 0, 1, 1) = DATE(1900,1,0),DATE(1900,1,1),OFFSET('IWP25'!Std10dot4Withdrawals, 15, 0, 1, 1))</f>
        <v>1</v>
      </c>
      <c r="C2568" s="155">
        <f ca="1">OFFSET('IWP25'!Std10dot4Withdrawals, 15, 2, 1, 1)</f>
        <v>0</v>
      </c>
      <c r="D2568" s="151" t="str">
        <f ca="1">IF(OFFSET('IWP25'!Std10dot4Withdrawals, 15, 4, 1, 1) = 0, "", OFFSET('IWP25'!Std10dot4Withdrawals, 15, 4, 1, 1))</f>
        <v/>
      </c>
      <c r="E2568" s="207" t="str">
        <f ca="1">IF(OFFSET('IWP25'!Std10dot4Withdrawals, 15, 7, 1, 1) = 0, "", OFFSET('IWP25'!Std10dot4Withdrawals, 15, 7, 1, 1))</f>
        <v/>
      </c>
    </row>
    <row r="2569" spans="1:5">
      <c r="A2569" s="206" t="s">
        <v>1328</v>
      </c>
      <c r="B2569" s="157">
        <f ca="1">IF(OFFSET('IWP25'!Std10dot4Withdrawals, 16, 0, 1, 1) = DATE(1900,1,0),DATE(1900,1,1),OFFSET('IWP25'!Std10dot4Withdrawals, 16, 0, 1, 1))</f>
        <v>1</v>
      </c>
      <c r="C2569" s="155">
        <f ca="1">OFFSET('IWP25'!Std10dot4Withdrawals, 16, 2, 1, 1)</f>
        <v>0</v>
      </c>
      <c r="D2569" s="151" t="str">
        <f ca="1">IF(OFFSET('IWP25'!Std10dot4Withdrawals, 16, 4, 1, 1) = 0, "", OFFSET('IWP25'!Std10dot4Withdrawals, 16, 4, 1, 1))</f>
        <v/>
      </c>
      <c r="E2569" s="207" t="str">
        <f ca="1">IF(OFFSET('IWP25'!Std10dot4Withdrawals, 16, 7, 1, 1) = 0, "", OFFSET('IWP25'!Std10dot4Withdrawals, 16, 7, 1, 1))</f>
        <v/>
      </c>
    </row>
    <row r="2570" spans="1:5">
      <c r="A2570" s="206" t="s">
        <v>1328</v>
      </c>
      <c r="B2570" s="157">
        <f ca="1">IF(OFFSET('IWP25'!Std10dot4Withdrawals, 17, 0, 1, 1) = DATE(1900,1,0),DATE(1900,1,1),OFFSET('IWP25'!Std10dot4Withdrawals, 17, 0, 1, 1))</f>
        <v>1</v>
      </c>
      <c r="C2570" s="155">
        <f ca="1">OFFSET('IWP25'!Std10dot4Withdrawals, 17, 2, 1, 1)</f>
        <v>0</v>
      </c>
      <c r="D2570" s="151" t="str">
        <f ca="1">IF(OFFSET('IWP25'!Std10dot4Withdrawals, 17, 4, 1, 1) = 0, "", OFFSET('IWP25'!Std10dot4Withdrawals, 17, 4, 1, 1))</f>
        <v/>
      </c>
      <c r="E2570" s="207" t="str">
        <f ca="1">IF(OFFSET('IWP25'!Std10dot4Withdrawals, 17, 7, 1, 1) = 0, "", OFFSET('IWP25'!Std10dot4Withdrawals, 17, 7, 1, 1))</f>
        <v/>
      </c>
    </row>
    <row r="2571" spans="1:5">
      <c r="A2571" s="206" t="s">
        <v>1328</v>
      </c>
      <c r="B2571" s="157">
        <f ca="1">IF(OFFSET('IWP25'!Std10dot4Withdrawals, 18, 0, 1, 1) = DATE(1900,1,0),DATE(1900,1,1),OFFSET('IWP25'!Std10dot4Withdrawals, 18, 0, 1, 1))</f>
        <v>1</v>
      </c>
      <c r="C2571" s="155">
        <f ca="1">OFFSET('IWP25'!Std10dot4Withdrawals, 18, 2, 1, 1)</f>
        <v>0</v>
      </c>
      <c r="D2571" s="151" t="str">
        <f ca="1">IF(OFFSET('IWP25'!Std10dot4Withdrawals, 18, 4, 1, 1) = 0, "", OFFSET('IWP25'!Std10dot4Withdrawals, 18, 4, 1, 1))</f>
        <v/>
      </c>
      <c r="E2571" s="207" t="str">
        <f ca="1">IF(OFFSET('IWP25'!Std10dot4Withdrawals, 18, 7, 1, 1) = 0, "", OFFSET('IWP25'!Std10dot4Withdrawals, 18, 7, 1, 1))</f>
        <v/>
      </c>
    </row>
    <row r="2572" spans="1:5">
      <c r="A2572" s="206" t="s">
        <v>1328</v>
      </c>
      <c r="B2572" s="157">
        <f ca="1">IF(OFFSET('IWP25'!Std10dot4Withdrawals, 19, 0, 1, 1) = DATE(1900,1,0),DATE(1900,1,1),OFFSET('IWP25'!Std10dot4Withdrawals, 19, 0, 1, 1))</f>
        <v>1</v>
      </c>
      <c r="C2572" s="155">
        <f ca="1">OFFSET('IWP25'!Std10dot4Withdrawals, 19, 2, 1, 1)</f>
        <v>0</v>
      </c>
      <c r="D2572" s="151" t="str">
        <f ca="1">IF(OFFSET('IWP25'!Std10dot4Withdrawals, 19, 4, 1, 1) = 0, "", OFFSET('IWP25'!Std10dot4Withdrawals, 19, 4, 1, 1))</f>
        <v/>
      </c>
      <c r="E2572" s="207" t="str">
        <f ca="1">IF(OFFSET('IWP25'!Std10dot4Withdrawals, 19, 7, 1, 1) = 0, "", OFFSET('IWP25'!Std10dot4Withdrawals, 19, 7, 1, 1))</f>
        <v/>
      </c>
    </row>
    <row r="2573" spans="1:5">
      <c r="A2573" s="206" t="s">
        <v>1329</v>
      </c>
      <c r="B2573" s="157">
        <f ca="1">IF(OFFSET('IWP26'!Std10dot4Withdrawals, 0, 0, 1, 1) = DATE(1900,1,0),DATE(1900,1,1),OFFSET('IWP26'!Std10dot4Withdrawals, 0, 0, 1, 1))</f>
        <v>1</v>
      </c>
      <c r="C2573" s="155">
        <f ca="1">OFFSET('IWP26'!Std10dot4Withdrawals, 0, 2, 1, 1)</f>
        <v>0</v>
      </c>
      <c r="D2573" s="151" t="str">
        <f ca="1">IF(OFFSET('IWP26'!Std10dot4Withdrawals, 0, 4, 1, 1) = 0, "", OFFSET('IWP26'!Std10dot4Withdrawals, 0, 4, 1, 1))</f>
        <v/>
      </c>
      <c r="E2573" s="207" t="str">
        <f ca="1">IF(OFFSET('IWP26'!Std10dot4Withdrawals, 0, 7, 1, 1) = 0, "", OFFSET('IWP26'!Std10dot4Withdrawals, 0, 7, 1, 1))</f>
        <v/>
      </c>
    </row>
    <row r="2574" spans="1:5">
      <c r="A2574" s="206" t="s">
        <v>1329</v>
      </c>
      <c r="B2574" s="157">
        <f ca="1">IF(OFFSET('IWP26'!Std10dot4Withdrawals, 1, 0, 1, 1) = DATE(1900,1,0),DATE(1900,1,1),OFFSET('IWP26'!Std10dot4Withdrawals, 1, 0, 1, 1))</f>
        <v>1</v>
      </c>
      <c r="C2574" s="155">
        <f ca="1">OFFSET('IWP26'!Std10dot4Withdrawals, 1, 2, 1, 1)</f>
        <v>0</v>
      </c>
      <c r="D2574" s="151" t="str">
        <f ca="1">IF(OFFSET('IWP26'!Std10dot4Withdrawals, 1, 4, 1, 1) = 0, "", OFFSET('IWP26'!Std10dot4Withdrawals, 1, 4, 1, 1))</f>
        <v/>
      </c>
      <c r="E2574" s="207" t="str">
        <f ca="1">IF(OFFSET('IWP26'!Std10dot4Withdrawals, 1, 7, 1, 1) = 0, "", OFFSET('IWP26'!Std10dot4Withdrawals, 1, 7, 1, 1))</f>
        <v/>
      </c>
    </row>
    <row r="2575" spans="1:5">
      <c r="A2575" s="206" t="s">
        <v>1329</v>
      </c>
      <c r="B2575" s="157">
        <f ca="1">IF(OFFSET('IWP26'!Std10dot4Withdrawals, 2, 0, 1, 1) = DATE(1900,1,0),DATE(1900,1,1),OFFSET('IWP26'!Std10dot4Withdrawals, 2, 0, 1, 1))</f>
        <v>1</v>
      </c>
      <c r="C2575" s="155">
        <f ca="1">OFFSET('IWP26'!Std10dot4Withdrawals, 2, 2, 1, 1)</f>
        <v>0</v>
      </c>
      <c r="D2575" s="151" t="str">
        <f ca="1">IF(OFFSET('IWP26'!Std10dot4Withdrawals, 2, 4, 1, 1) = 0, "", OFFSET('IWP26'!Std10dot4Withdrawals, 2, 4, 1, 1))</f>
        <v/>
      </c>
      <c r="E2575" s="207" t="str">
        <f ca="1">IF(OFFSET('IWP26'!Std10dot4Withdrawals, 2, 7, 1, 1) = 0, "", OFFSET('IWP26'!Std10dot4Withdrawals, 2, 7, 1, 1))</f>
        <v/>
      </c>
    </row>
    <row r="2576" spans="1:5">
      <c r="A2576" s="206" t="s">
        <v>1329</v>
      </c>
      <c r="B2576" s="157">
        <f ca="1">IF(OFFSET('IWP26'!Std10dot4Withdrawals, 3, 0, 1, 1) = DATE(1900,1,0),DATE(1900,1,1),OFFSET('IWP26'!Std10dot4Withdrawals, 3, 0, 1, 1))</f>
        <v>1</v>
      </c>
      <c r="C2576" s="155">
        <f ca="1">OFFSET('IWP26'!Std10dot4Withdrawals, 3, 2, 1, 1)</f>
        <v>0</v>
      </c>
      <c r="D2576" s="151" t="str">
        <f ca="1">IF(OFFSET('IWP26'!Std10dot4Withdrawals, 3, 4, 1, 1) = 0, "", OFFSET('IWP26'!Std10dot4Withdrawals, 3, 4, 1, 1))</f>
        <v/>
      </c>
      <c r="E2576" s="207" t="str">
        <f ca="1">IF(OFFSET('IWP26'!Std10dot4Withdrawals, 3, 7, 1, 1) = 0, "", OFFSET('IWP26'!Std10dot4Withdrawals, 3, 7, 1, 1))</f>
        <v/>
      </c>
    </row>
    <row r="2577" spans="1:5">
      <c r="A2577" s="206" t="s">
        <v>1329</v>
      </c>
      <c r="B2577" s="157">
        <f ca="1">IF(OFFSET('IWP26'!Std10dot4Withdrawals, 4, 0, 1, 1) = DATE(1900,1,0),DATE(1900,1,1),OFFSET('IWP26'!Std10dot4Withdrawals, 4, 0, 1, 1))</f>
        <v>1</v>
      </c>
      <c r="C2577" s="155">
        <f ca="1">OFFSET('IWP26'!Std10dot4Withdrawals, 4, 2, 1, 1)</f>
        <v>0</v>
      </c>
      <c r="D2577" s="151" t="str">
        <f ca="1">IF(OFFSET('IWP26'!Std10dot4Withdrawals, 4, 4, 1, 1) = 0, "", OFFSET('IWP26'!Std10dot4Withdrawals, 4, 4, 1, 1))</f>
        <v/>
      </c>
      <c r="E2577" s="207" t="str">
        <f ca="1">IF(OFFSET('IWP26'!Std10dot4Withdrawals, 4, 7, 1, 1) = 0, "", OFFSET('IWP26'!Std10dot4Withdrawals, 4, 7, 1, 1))</f>
        <v/>
      </c>
    </row>
    <row r="2578" spans="1:5">
      <c r="A2578" s="206" t="s">
        <v>1329</v>
      </c>
      <c r="B2578" s="157">
        <f ca="1">IF(OFFSET('IWP26'!Std10dot4Withdrawals, 5, 0, 1, 1) = DATE(1900,1,0),DATE(1900,1,1),OFFSET('IWP26'!Std10dot4Withdrawals, 5, 0, 1, 1))</f>
        <v>1</v>
      </c>
      <c r="C2578" s="155">
        <f ca="1">OFFSET('IWP26'!Std10dot4Withdrawals, 5, 2, 1, 1)</f>
        <v>0</v>
      </c>
      <c r="D2578" s="151" t="str">
        <f ca="1">IF(OFFSET('IWP26'!Std10dot4Withdrawals, 5, 4, 1, 1) = 0, "", OFFSET('IWP26'!Std10dot4Withdrawals, 5, 4, 1, 1))</f>
        <v/>
      </c>
      <c r="E2578" s="207" t="str">
        <f ca="1">IF(OFFSET('IWP26'!Std10dot4Withdrawals, 5, 7, 1, 1) = 0, "", OFFSET('IWP26'!Std10dot4Withdrawals, 5, 7, 1, 1))</f>
        <v/>
      </c>
    </row>
    <row r="2579" spans="1:5">
      <c r="A2579" s="206" t="s">
        <v>1329</v>
      </c>
      <c r="B2579" s="157">
        <f ca="1">IF(OFFSET('IWP26'!Std10dot4Withdrawals, 6, 0, 1, 1) = DATE(1900,1,0),DATE(1900,1,1),OFFSET('IWP26'!Std10dot4Withdrawals, 6, 0, 1, 1))</f>
        <v>1</v>
      </c>
      <c r="C2579" s="155">
        <f ca="1">OFFSET('IWP26'!Std10dot4Withdrawals, 6, 2, 1, 1)</f>
        <v>0</v>
      </c>
      <c r="D2579" s="151" t="str">
        <f ca="1">IF(OFFSET('IWP26'!Std10dot4Withdrawals, 6, 4, 1, 1) = 0, "", OFFSET('IWP26'!Std10dot4Withdrawals, 6, 4, 1, 1))</f>
        <v/>
      </c>
      <c r="E2579" s="207" t="str">
        <f ca="1">IF(OFFSET('IWP26'!Std10dot4Withdrawals, 6, 7, 1, 1) = 0, "", OFFSET('IWP26'!Std10dot4Withdrawals, 6, 7, 1, 1))</f>
        <v/>
      </c>
    </row>
    <row r="2580" spans="1:5">
      <c r="A2580" s="206" t="s">
        <v>1329</v>
      </c>
      <c r="B2580" s="157">
        <f ca="1">IF(OFFSET('IWP26'!Std10dot4Withdrawals, 7, 0, 1, 1) = DATE(1900,1,0),DATE(1900,1,1),OFFSET('IWP26'!Std10dot4Withdrawals, 7, 0, 1, 1))</f>
        <v>1</v>
      </c>
      <c r="C2580" s="155">
        <f ca="1">OFFSET('IWP26'!Std10dot4Withdrawals, 7, 2, 1, 1)</f>
        <v>0</v>
      </c>
      <c r="D2580" s="151" t="str">
        <f ca="1">IF(OFFSET('IWP26'!Std10dot4Withdrawals, 7, 4, 1, 1) = 0, "", OFFSET('IWP26'!Std10dot4Withdrawals, 7, 4, 1, 1))</f>
        <v/>
      </c>
      <c r="E2580" s="207" t="str">
        <f ca="1">IF(OFFSET('IWP26'!Std10dot4Withdrawals, 7, 7, 1, 1) = 0, "", OFFSET('IWP26'!Std10dot4Withdrawals, 7, 7, 1, 1))</f>
        <v/>
      </c>
    </row>
    <row r="2581" spans="1:5">
      <c r="A2581" s="206" t="s">
        <v>1329</v>
      </c>
      <c r="B2581" s="157">
        <f ca="1">IF(OFFSET('IWP26'!Std10dot4Withdrawals, 8, 0, 1, 1) = DATE(1900,1,0),DATE(1900,1,1),OFFSET('IWP26'!Std10dot4Withdrawals, 8, 0, 1, 1))</f>
        <v>1</v>
      </c>
      <c r="C2581" s="155">
        <f ca="1">OFFSET('IWP26'!Std10dot4Withdrawals, 8, 2, 1, 1)</f>
        <v>0</v>
      </c>
      <c r="D2581" s="151" t="str">
        <f ca="1">IF(OFFSET('IWP26'!Std10dot4Withdrawals, 8, 4, 1, 1) = 0, "", OFFSET('IWP26'!Std10dot4Withdrawals, 8, 4, 1, 1))</f>
        <v/>
      </c>
      <c r="E2581" s="207" t="str">
        <f ca="1">IF(OFFSET('IWP26'!Std10dot4Withdrawals, 8, 7, 1, 1) = 0, "", OFFSET('IWP26'!Std10dot4Withdrawals, 8, 7, 1, 1))</f>
        <v/>
      </c>
    </row>
    <row r="2582" spans="1:5">
      <c r="A2582" s="206" t="s">
        <v>1329</v>
      </c>
      <c r="B2582" s="157">
        <f ca="1">IF(OFFSET('IWP26'!Std10dot4Withdrawals, 9, 0, 1, 1) = DATE(1900,1,0),DATE(1900,1,1),OFFSET('IWP26'!Std10dot4Withdrawals, 9, 0, 1, 1))</f>
        <v>1</v>
      </c>
      <c r="C2582" s="155">
        <f ca="1">OFFSET('IWP26'!Std10dot4Withdrawals, 9, 2, 1, 1)</f>
        <v>0</v>
      </c>
      <c r="D2582" s="151" t="str">
        <f ca="1">IF(OFFSET('IWP26'!Std10dot4Withdrawals, 9, 4, 1, 1) = 0, "", OFFSET('IWP26'!Std10dot4Withdrawals, 9, 4, 1, 1))</f>
        <v/>
      </c>
      <c r="E2582" s="207" t="str">
        <f ca="1">IF(OFFSET('IWP26'!Std10dot4Withdrawals, 9, 7, 1, 1) = 0, "", OFFSET('IWP26'!Std10dot4Withdrawals, 9, 7, 1, 1))</f>
        <v/>
      </c>
    </row>
    <row r="2583" spans="1:5">
      <c r="A2583" s="206" t="s">
        <v>1329</v>
      </c>
      <c r="B2583" s="157">
        <f ca="1">IF(OFFSET('IWP26'!Std10dot4Withdrawals, 10, 0, 1, 1) = DATE(1900,1,0),DATE(1900,1,1),OFFSET('IWP26'!Std10dot4Withdrawals, 10, 0, 1, 1))</f>
        <v>1</v>
      </c>
      <c r="C2583" s="155">
        <f ca="1">OFFSET('IWP26'!Std10dot4Withdrawals, 10, 2, 1, 1)</f>
        <v>0</v>
      </c>
      <c r="D2583" s="151" t="str">
        <f ca="1">IF(OFFSET('IWP26'!Std10dot4Withdrawals, 10, 4, 1, 1) = 0, "", OFFSET('IWP26'!Std10dot4Withdrawals, 10, 4, 1, 1))</f>
        <v/>
      </c>
      <c r="E2583" s="207" t="str">
        <f ca="1">IF(OFFSET('IWP26'!Std10dot4Withdrawals, 10, 7, 1, 1) = 0, "", OFFSET('IWP26'!Std10dot4Withdrawals, 10, 7, 1, 1))</f>
        <v/>
      </c>
    </row>
    <row r="2584" spans="1:5">
      <c r="A2584" s="206" t="s">
        <v>1329</v>
      </c>
      <c r="B2584" s="157">
        <f ca="1">IF(OFFSET('IWP26'!Std10dot4Withdrawals, 11, 0, 1, 1) = DATE(1900,1,0),DATE(1900,1,1),OFFSET('IWP26'!Std10dot4Withdrawals, 11, 0, 1, 1))</f>
        <v>1</v>
      </c>
      <c r="C2584" s="155">
        <f ca="1">OFFSET('IWP26'!Std10dot4Withdrawals, 11, 2, 1, 1)</f>
        <v>0</v>
      </c>
      <c r="D2584" s="151" t="str">
        <f ca="1">IF(OFFSET('IWP26'!Std10dot4Withdrawals, 11, 4, 1, 1) = 0, "", OFFSET('IWP26'!Std10dot4Withdrawals, 11, 4, 1, 1))</f>
        <v/>
      </c>
      <c r="E2584" s="207" t="str">
        <f ca="1">IF(OFFSET('IWP26'!Std10dot4Withdrawals, 11, 7, 1, 1) = 0, "", OFFSET('IWP26'!Std10dot4Withdrawals, 11, 7, 1, 1))</f>
        <v/>
      </c>
    </row>
    <row r="2585" spans="1:5">
      <c r="A2585" s="206" t="s">
        <v>1329</v>
      </c>
      <c r="B2585" s="157">
        <f ca="1">IF(OFFSET('IWP26'!Std10dot4Withdrawals, 12, 0, 1, 1) = DATE(1900,1,0),DATE(1900,1,1),OFFSET('IWP26'!Std10dot4Withdrawals, 12, 0, 1, 1))</f>
        <v>1</v>
      </c>
      <c r="C2585" s="155">
        <f ca="1">OFFSET('IWP26'!Std10dot4Withdrawals, 12, 2, 1, 1)</f>
        <v>0</v>
      </c>
      <c r="D2585" s="151" t="str">
        <f ca="1">IF(OFFSET('IWP26'!Std10dot4Withdrawals, 12, 4, 1, 1) = 0, "", OFFSET('IWP26'!Std10dot4Withdrawals, 12, 4, 1, 1))</f>
        <v/>
      </c>
      <c r="E2585" s="207" t="str">
        <f ca="1">IF(OFFSET('IWP26'!Std10dot4Withdrawals, 12, 7, 1, 1) = 0, "", OFFSET('IWP26'!Std10dot4Withdrawals, 12, 7, 1, 1))</f>
        <v/>
      </c>
    </row>
    <row r="2586" spans="1:5">
      <c r="A2586" s="206" t="s">
        <v>1329</v>
      </c>
      <c r="B2586" s="157">
        <f ca="1">IF(OFFSET('IWP26'!Std10dot4Withdrawals, 13, 0, 1, 1) = DATE(1900,1,0),DATE(1900,1,1),OFFSET('IWP26'!Std10dot4Withdrawals, 13, 0, 1, 1))</f>
        <v>1</v>
      </c>
      <c r="C2586" s="155">
        <f ca="1">OFFSET('IWP26'!Std10dot4Withdrawals, 13, 2, 1, 1)</f>
        <v>0</v>
      </c>
      <c r="D2586" s="151" t="str">
        <f ca="1">IF(OFFSET('IWP26'!Std10dot4Withdrawals, 13, 4, 1, 1) = 0, "", OFFSET('IWP26'!Std10dot4Withdrawals, 13, 4, 1, 1))</f>
        <v/>
      </c>
      <c r="E2586" s="207" t="str">
        <f ca="1">IF(OFFSET('IWP26'!Std10dot4Withdrawals, 13, 7, 1, 1) = 0, "", OFFSET('IWP26'!Std10dot4Withdrawals, 13, 7, 1, 1))</f>
        <v/>
      </c>
    </row>
    <row r="2587" spans="1:5">
      <c r="A2587" s="206" t="s">
        <v>1329</v>
      </c>
      <c r="B2587" s="157">
        <f ca="1">IF(OFFSET('IWP26'!Std10dot4Withdrawals, 14, 0, 1, 1) = DATE(1900,1,0),DATE(1900,1,1),OFFSET('IWP26'!Std10dot4Withdrawals, 14, 0, 1, 1))</f>
        <v>1</v>
      </c>
      <c r="C2587" s="155">
        <f ca="1">OFFSET('IWP26'!Std10dot4Withdrawals, 14, 2, 1, 1)</f>
        <v>0</v>
      </c>
      <c r="D2587" s="151" t="str">
        <f ca="1">IF(OFFSET('IWP26'!Std10dot4Withdrawals, 14, 4, 1, 1) = 0, "", OFFSET('IWP26'!Std10dot4Withdrawals, 14, 4, 1, 1))</f>
        <v/>
      </c>
      <c r="E2587" s="207" t="str">
        <f ca="1">IF(OFFSET('IWP26'!Std10dot4Withdrawals, 14, 7, 1, 1) = 0, "", OFFSET('IWP26'!Std10dot4Withdrawals, 14, 7, 1, 1))</f>
        <v/>
      </c>
    </row>
    <row r="2588" spans="1:5">
      <c r="A2588" s="206" t="s">
        <v>1329</v>
      </c>
      <c r="B2588" s="157">
        <f ca="1">IF(OFFSET('IWP26'!Std10dot4Withdrawals, 15, 0, 1, 1) = DATE(1900,1,0),DATE(1900,1,1),OFFSET('IWP26'!Std10dot4Withdrawals, 15, 0, 1, 1))</f>
        <v>1</v>
      </c>
      <c r="C2588" s="155">
        <f ca="1">OFFSET('IWP26'!Std10dot4Withdrawals, 15, 2, 1, 1)</f>
        <v>0</v>
      </c>
      <c r="D2588" s="151" t="str">
        <f ca="1">IF(OFFSET('IWP26'!Std10dot4Withdrawals, 15, 4, 1, 1) = 0, "", OFFSET('IWP26'!Std10dot4Withdrawals, 15, 4, 1, 1))</f>
        <v/>
      </c>
      <c r="E2588" s="207" t="str">
        <f ca="1">IF(OFFSET('IWP26'!Std10dot4Withdrawals, 15, 7, 1, 1) = 0, "", OFFSET('IWP26'!Std10dot4Withdrawals, 15, 7, 1, 1))</f>
        <v/>
      </c>
    </row>
    <row r="2589" spans="1:5">
      <c r="A2589" s="206" t="s">
        <v>1329</v>
      </c>
      <c r="B2589" s="157">
        <f ca="1">IF(OFFSET('IWP26'!Std10dot4Withdrawals, 16, 0, 1, 1) = DATE(1900,1,0),DATE(1900,1,1),OFFSET('IWP26'!Std10dot4Withdrawals, 16, 0, 1, 1))</f>
        <v>1</v>
      </c>
      <c r="C2589" s="155">
        <f ca="1">OFFSET('IWP26'!Std10dot4Withdrawals, 16, 2, 1, 1)</f>
        <v>0</v>
      </c>
      <c r="D2589" s="151" t="str">
        <f ca="1">IF(OFFSET('IWP26'!Std10dot4Withdrawals, 16, 4, 1, 1) = 0, "", OFFSET('IWP26'!Std10dot4Withdrawals, 16, 4, 1, 1))</f>
        <v/>
      </c>
      <c r="E2589" s="207" t="str">
        <f ca="1">IF(OFFSET('IWP26'!Std10dot4Withdrawals, 16, 7, 1, 1) = 0, "", OFFSET('IWP26'!Std10dot4Withdrawals, 16, 7, 1, 1))</f>
        <v/>
      </c>
    </row>
    <row r="2590" spans="1:5">
      <c r="A2590" s="206" t="s">
        <v>1329</v>
      </c>
      <c r="B2590" s="157">
        <f ca="1">IF(OFFSET('IWP26'!Std10dot4Withdrawals, 17, 0, 1, 1) = DATE(1900,1,0),DATE(1900,1,1),OFFSET('IWP26'!Std10dot4Withdrawals, 17, 0, 1, 1))</f>
        <v>1</v>
      </c>
      <c r="C2590" s="155">
        <f ca="1">OFFSET('IWP26'!Std10dot4Withdrawals, 17, 2, 1, 1)</f>
        <v>0</v>
      </c>
      <c r="D2590" s="151" t="str">
        <f ca="1">IF(OFFSET('IWP26'!Std10dot4Withdrawals, 17, 4, 1, 1) = 0, "", OFFSET('IWP26'!Std10dot4Withdrawals, 17, 4, 1, 1))</f>
        <v/>
      </c>
      <c r="E2590" s="207" t="str">
        <f ca="1">IF(OFFSET('IWP26'!Std10dot4Withdrawals, 17, 7, 1, 1) = 0, "", OFFSET('IWP26'!Std10dot4Withdrawals, 17, 7, 1, 1))</f>
        <v/>
      </c>
    </row>
    <row r="2591" spans="1:5">
      <c r="A2591" s="206" t="s">
        <v>1329</v>
      </c>
      <c r="B2591" s="157">
        <f ca="1">IF(OFFSET('IWP26'!Std10dot4Withdrawals, 18, 0, 1, 1) = DATE(1900,1,0),DATE(1900,1,1),OFFSET('IWP26'!Std10dot4Withdrawals, 18, 0, 1, 1))</f>
        <v>1</v>
      </c>
      <c r="C2591" s="155">
        <f ca="1">OFFSET('IWP26'!Std10dot4Withdrawals, 18, 2, 1, 1)</f>
        <v>0</v>
      </c>
      <c r="D2591" s="151" t="str">
        <f ca="1">IF(OFFSET('IWP26'!Std10dot4Withdrawals, 18, 4, 1, 1) = 0, "", OFFSET('IWP26'!Std10dot4Withdrawals, 18, 4, 1, 1))</f>
        <v/>
      </c>
      <c r="E2591" s="207" t="str">
        <f ca="1">IF(OFFSET('IWP26'!Std10dot4Withdrawals, 18, 7, 1, 1) = 0, "", OFFSET('IWP26'!Std10dot4Withdrawals, 18, 7, 1, 1))</f>
        <v/>
      </c>
    </row>
    <row r="2592" spans="1:5">
      <c r="A2592" s="206" t="s">
        <v>1329</v>
      </c>
      <c r="B2592" s="157">
        <f ca="1">IF(OFFSET('IWP26'!Std10dot4Withdrawals, 19, 0, 1, 1) = DATE(1900,1,0),DATE(1900,1,1),OFFSET('IWP26'!Std10dot4Withdrawals, 19, 0, 1, 1))</f>
        <v>1</v>
      </c>
      <c r="C2592" s="155">
        <f ca="1">OFFSET('IWP26'!Std10dot4Withdrawals, 19, 2, 1, 1)</f>
        <v>0</v>
      </c>
      <c r="D2592" s="151" t="str">
        <f ca="1">IF(OFFSET('IWP26'!Std10dot4Withdrawals, 19, 4, 1, 1) = 0, "", OFFSET('IWP26'!Std10dot4Withdrawals, 19, 4, 1, 1))</f>
        <v/>
      </c>
      <c r="E2592" s="207" t="str">
        <f ca="1">IF(OFFSET('IWP26'!Std10dot4Withdrawals, 19, 7, 1, 1) = 0, "", OFFSET('IWP26'!Std10dot4Withdrawals, 19, 7, 1, 1))</f>
        <v/>
      </c>
    </row>
    <row r="2593" spans="1:5">
      <c r="A2593" s="206" t="s">
        <v>1330</v>
      </c>
      <c r="B2593" s="157">
        <f ca="1">IF(OFFSET('IWP27'!Std10dot4Withdrawals, 0, 0, 1, 1) = DATE(1900,1,0),DATE(1900,1,1),OFFSET('IWP27'!Std10dot4Withdrawals, 0, 0, 1, 1))</f>
        <v>1</v>
      </c>
      <c r="C2593" s="155">
        <f ca="1">OFFSET('IWP27'!Std10dot4Withdrawals, 0, 2, 1, 1)</f>
        <v>0</v>
      </c>
      <c r="D2593" s="151" t="str">
        <f ca="1">IF(OFFSET('IWP27'!Std10dot4Withdrawals, 0, 4, 1, 1) = 0, "", OFFSET('IWP27'!Std10dot4Withdrawals, 0, 4, 1, 1))</f>
        <v/>
      </c>
      <c r="E2593" s="207" t="str">
        <f ca="1">IF(OFFSET('IWP27'!Std10dot4Withdrawals, 0, 7, 1, 1) = 0, "", OFFSET('IWP27'!Std10dot4Withdrawals, 0, 7, 1, 1))</f>
        <v/>
      </c>
    </row>
    <row r="2594" spans="1:5">
      <c r="A2594" s="206" t="s">
        <v>1330</v>
      </c>
      <c r="B2594" s="157">
        <f ca="1">IF(OFFSET('IWP27'!Std10dot4Withdrawals, 1, 0, 1, 1) = DATE(1900,1,0),DATE(1900,1,1),OFFSET('IWP27'!Std10dot4Withdrawals, 1, 0, 1, 1))</f>
        <v>1</v>
      </c>
      <c r="C2594" s="155">
        <f ca="1">OFFSET('IWP27'!Std10dot4Withdrawals, 1, 2, 1, 1)</f>
        <v>0</v>
      </c>
      <c r="D2594" s="151" t="str">
        <f ca="1">IF(OFFSET('IWP27'!Std10dot4Withdrawals, 1, 4, 1, 1) = 0, "", OFFSET('IWP27'!Std10dot4Withdrawals, 1, 4, 1, 1))</f>
        <v/>
      </c>
      <c r="E2594" s="207" t="str">
        <f ca="1">IF(OFFSET('IWP27'!Std10dot4Withdrawals, 1, 7, 1, 1) = 0, "", OFFSET('IWP27'!Std10dot4Withdrawals, 1, 7, 1, 1))</f>
        <v/>
      </c>
    </row>
    <row r="2595" spans="1:5">
      <c r="A2595" s="206" t="s">
        <v>1330</v>
      </c>
      <c r="B2595" s="157">
        <f ca="1">IF(OFFSET('IWP27'!Std10dot4Withdrawals, 2, 0, 1, 1) = DATE(1900,1,0),DATE(1900,1,1),OFFSET('IWP27'!Std10dot4Withdrawals, 2, 0, 1, 1))</f>
        <v>1</v>
      </c>
      <c r="C2595" s="155">
        <f ca="1">OFFSET('IWP27'!Std10dot4Withdrawals, 2, 2, 1, 1)</f>
        <v>0</v>
      </c>
      <c r="D2595" s="151" t="str">
        <f ca="1">IF(OFFSET('IWP27'!Std10dot4Withdrawals, 2, 4, 1, 1) = 0, "", OFFSET('IWP27'!Std10dot4Withdrawals, 2, 4, 1, 1))</f>
        <v/>
      </c>
      <c r="E2595" s="207" t="str">
        <f ca="1">IF(OFFSET('IWP27'!Std10dot4Withdrawals, 2, 7, 1, 1) = 0, "", OFFSET('IWP27'!Std10dot4Withdrawals, 2, 7, 1, 1))</f>
        <v/>
      </c>
    </row>
    <row r="2596" spans="1:5">
      <c r="A2596" s="206" t="s">
        <v>1330</v>
      </c>
      <c r="B2596" s="157">
        <f ca="1">IF(OFFSET('IWP27'!Std10dot4Withdrawals, 3, 0, 1, 1) = DATE(1900,1,0),DATE(1900,1,1),OFFSET('IWP27'!Std10dot4Withdrawals, 3, 0, 1, 1))</f>
        <v>1</v>
      </c>
      <c r="C2596" s="155">
        <f ca="1">OFFSET('IWP27'!Std10dot4Withdrawals, 3, 2, 1, 1)</f>
        <v>0</v>
      </c>
      <c r="D2596" s="151" t="str">
        <f ca="1">IF(OFFSET('IWP27'!Std10dot4Withdrawals, 3, 4, 1, 1) = 0, "", OFFSET('IWP27'!Std10dot4Withdrawals, 3, 4, 1, 1))</f>
        <v/>
      </c>
      <c r="E2596" s="207" t="str">
        <f ca="1">IF(OFFSET('IWP27'!Std10dot4Withdrawals, 3, 7, 1, 1) = 0, "", OFFSET('IWP27'!Std10dot4Withdrawals, 3, 7, 1, 1))</f>
        <v/>
      </c>
    </row>
    <row r="2597" spans="1:5">
      <c r="A2597" s="206" t="s">
        <v>1330</v>
      </c>
      <c r="B2597" s="157">
        <f ca="1">IF(OFFSET('IWP27'!Std10dot4Withdrawals, 4, 0, 1, 1) = DATE(1900,1,0),DATE(1900,1,1),OFFSET('IWP27'!Std10dot4Withdrawals, 4, 0, 1, 1))</f>
        <v>1</v>
      </c>
      <c r="C2597" s="155">
        <f ca="1">OFFSET('IWP27'!Std10dot4Withdrawals, 4, 2, 1, 1)</f>
        <v>0</v>
      </c>
      <c r="D2597" s="151" t="str">
        <f ca="1">IF(OFFSET('IWP27'!Std10dot4Withdrawals, 4, 4, 1, 1) = 0, "", OFFSET('IWP27'!Std10dot4Withdrawals, 4, 4, 1, 1))</f>
        <v/>
      </c>
      <c r="E2597" s="207" t="str">
        <f ca="1">IF(OFFSET('IWP27'!Std10dot4Withdrawals, 4, 7, 1, 1) = 0, "", OFFSET('IWP27'!Std10dot4Withdrawals, 4, 7, 1, 1))</f>
        <v/>
      </c>
    </row>
    <row r="2598" spans="1:5">
      <c r="A2598" s="206" t="s">
        <v>1330</v>
      </c>
      <c r="B2598" s="157">
        <f ca="1">IF(OFFSET('IWP27'!Std10dot4Withdrawals, 5, 0, 1, 1) = DATE(1900,1,0),DATE(1900,1,1),OFFSET('IWP27'!Std10dot4Withdrawals, 5, 0, 1, 1))</f>
        <v>1</v>
      </c>
      <c r="C2598" s="155">
        <f ca="1">OFFSET('IWP27'!Std10dot4Withdrawals, 5, 2, 1, 1)</f>
        <v>0</v>
      </c>
      <c r="D2598" s="151" t="str">
        <f ca="1">IF(OFFSET('IWP27'!Std10dot4Withdrawals, 5, 4, 1, 1) = 0, "", OFFSET('IWP27'!Std10dot4Withdrawals, 5, 4, 1, 1))</f>
        <v/>
      </c>
      <c r="E2598" s="207" t="str">
        <f ca="1">IF(OFFSET('IWP27'!Std10dot4Withdrawals, 5, 7, 1, 1) = 0, "", OFFSET('IWP27'!Std10dot4Withdrawals, 5, 7, 1, 1))</f>
        <v/>
      </c>
    </row>
    <row r="2599" spans="1:5">
      <c r="A2599" s="206" t="s">
        <v>1330</v>
      </c>
      <c r="B2599" s="157">
        <f ca="1">IF(OFFSET('IWP27'!Std10dot4Withdrawals, 6, 0, 1, 1) = DATE(1900,1,0),DATE(1900,1,1),OFFSET('IWP27'!Std10dot4Withdrawals, 6, 0, 1, 1))</f>
        <v>1</v>
      </c>
      <c r="C2599" s="155">
        <f ca="1">OFFSET('IWP27'!Std10dot4Withdrawals, 6, 2, 1, 1)</f>
        <v>0</v>
      </c>
      <c r="D2599" s="151" t="str">
        <f ca="1">IF(OFFSET('IWP27'!Std10dot4Withdrawals, 6, 4, 1, 1) = 0, "", OFFSET('IWP27'!Std10dot4Withdrawals, 6, 4, 1, 1))</f>
        <v/>
      </c>
      <c r="E2599" s="207" t="str">
        <f ca="1">IF(OFFSET('IWP27'!Std10dot4Withdrawals, 6, 7, 1, 1) = 0, "", OFFSET('IWP27'!Std10dot4Withdrawals, 6, 7, 1, 1))</f>
        <v/>
      </c>
    </row>
    <row r="2600" spans="1:5">
      <c r="A2600" s="206" t="s">
        <v>1330</v>
      </c>
      <c r="B2600" s="157">
        <f ca="1">IF(OFFSET('IWP27'!Std10dot4Withdrawals, 7, 0, 1, 1) = DATE(1900,1,0),DATE(1900,1,1),OFFSET('IWP27'!Std10dot4Withdrawals, 7, 0, 1, 1))</f>
        <v>1</v>
      </c>
      <c r="C2600" s="155">
        <f ca="1">OFFSET('IWP27'!Std10dot4Withdrawals, 7, 2, 1, 1)</f>
        <v>0</v>
      </c>
      <c r="D2600" s="151" t="str">
        <f ca="1">IF(OFFSET('IWP27'!Std10dot4Withdrawals, 7, 4, 1, 1) = 0, "", OFFSET('IWP27'!Std10dot4Withdrawals, 7, 4, 1, 1))</f>
        <v/>
      </c>
      <c r="E2600" s="207" t="str">
        <f ca="1">IF(OFFSET('IWP27'!Std10dot4Withdrawals, 7, 7, 1, 1) = 0, "", OFFSET('IWP27'!Std10dot4Withdrawals, 7, 7, 1, 1))</f>
        <v/>
      </c>
    </row>
    <row r="2601" spans="1:5">
      <c r="A2601" s="206" t="s">
        <v>1330</v>
      </c>
      <c r="B2601" s="157">
        <f ca="1">IF(OFFSET('IWP27'!Std10dot4Withdrawals, 8, 0, 1, 1) = DATE(1900,1,0),DATE(1900,1,1),OFFSET('IWP27'!Std10dot4Withdrawals, 8, 0, 1, 1))</f>
        <v>1</v>
      </c>
      <c r="C2601" s="155">
        <f ca="1">OFFSET('IWP27'!Std10dot4Withdrawals, 8, 2, 1, 1)</f>
        <v>0</v>
      </c>
      <c r="D2601" s="151" t="str">
        <f ca="1">IF(OFFSET('IWP27'!Std10dot4Withdrawals, 8, 4, 1, 1) = 0, "", OFFSET('IWP27'!Std10dot4Withdrawals, 8, 4, 1, 1))</f>
        <v/>
      </c>
      <c r="E2601" s="207" t="str">
        <f ca="1">IF(OFFSET('IWP27'!Std10dot4Withdrawals, 8, 7, 1, 1) = 0, "", OFFSET('IWP27'!Std10dot4Withdrawals, 8, 7, 1, 1))</f>
        <v/>
      </c>
    </row>
    <row r="2602" spans="1:5">
      <c r="A2602" s="206" t="s">
        <v>1330</v>
      </c>
      <c r="B2602" s="157">
        <f ca="1">IF(OFFSET('IWP27'!Std10dot4Withdrawals, 9, 0, 1, 1) = DATE(1900,1,0),DATE(1900,1,1),OFFSET('IWP27'!Std10dot4Withdrawals, 9, 0, 1, 1))</f>
        <v>1</v>
      </c>
      <c r="C2602" s="155">
        <f ca="1">OFFSET('IWP27'!Std10dot4Withdrawals, 9, 2, 1, 1)</f>
        <v>0</v>
      </c>
      <c r="D2602" s="151" t="str">
        <f ca="1">IF(OFFSET('IWP27'!Std10dot4Withdrawals, 9, 4, 1, 1) = 0, "", OFFSET('IWP27'!Std10dot4Withdrawals, 9, 4, 1, 1))</f>
        <v/>
      </c>
      <c r="E2602" s="207" t="str">
        <f ca="1">IF(OFFSET('IWP27'!Std10dot4Withdrawals, 9, 7, 1, 1) = 0, "", OFFSET('IWP27'!Std10dot4Withdrawals, 9, 7, 1, 1))</f>
        <v/>
      </c>
    </row>
    <row r="2603" spans="1:5">
      <c r="A2603" s="206" t="s">
        <v>1330</v>
      </c>
      <c r="B2603" s="157">
        <f ca="1">IF(OFFSET('IWP27'!Std10dot4Withdrawals, 10, 0, 1, 1) = DATE(1900,1,0),DATE(1900,1,1),OFFSET('IWP27'!Std10dot4Withdrawals, 10, 0, 1, 1))</f>
        <v>1</v>
      </c>
      <c r="C2603" s="155">
        <f ca="1">OFFSET('IWP27'!Std10dot4Withdrawals, 10, 2, 1, 1)</f>
        <v>0</v>
      </c>
      <c r="D2603" s="151" t="str">
        <f ca="1">IF(OFFSET('IWP27'!Std10dot4Withdrawals, 10, 4, 1, 1) = 0, "", OFFSET('IWP27'!Std10dot4Withdrawals, 10, 4, 1, 1))</f>
        <v/>
      </c>
      <c r="E2603" s="207" t="str">
        <f ca="1">IF(OFFSET('IWP27'!Std10dot4Withdrawals, 10, 7, 1, 1) = 0, "", OFFSET('IWP27'!Std10dot4Withdrawals, 10, 7, 1, 1))</f>
        <v/>
      </c>
    </row>
    <row r="2604" spans="1:5">
      <c r="A2604" s="206" t="s">
        <v>1330</v>
      </c>
      <c r="B2604" s="157">
        <f ca="1">IF(OFFSET('IWP27'!Std10dot4Withdrawals, 11, 0, 1, 1) = DATE(1900,1,0),DATE(1900,1,1),OFFSET('IWP27'!Std10dot4Withdrawals, 11, 0, 1, 1))</f>
        <v>1</v>
      </c>
      <c r="C2604" s="155">
        <f ca="1">OFFSET('IWP27'!Std10dot4Withdrawals, 11, 2, 1, 1)</f>
        <v>0</v>
      </c>
      <c r="D2604" s="151" t="str">
        <f ca="1">IF(OFFSET('IWP27'!Std10dot4Withdrawals, 11, 4, 1, 1) = 0, "", OFFSET('IWP27'!Std10dot4Withdrawals, 11, 4, 1, 1))</f>
        <v/>
      </c>
      <c r="E2604" s="207" t="str">
        <f ca="1">IF(OFFSET('IWP27'!Std10dot4Withdrawals, 11, 7, 1, 1) = 0, "", OFFSET('IWP27'!Std10dot4Withdrawals, 11, 7, 1, 1))</f>
        <v/>
      </c>
    </row>
    <row r="2605" spans="1:5">
      <c r="A2605" s="206" t="s">
        <v>1330</v>
      </c>
      <c r="B2605" s="157">
        <f ca="1">IF(OFFSET('IWP27'!Std10dot4Withdrawals, 12, 0, 1, 1) = DATE(1900,1,0),DATE(1900,1,1),OFFSET('IWP27'!Std10dot4Withdrawals, 12, 0, 1, 1))</f>
        <v>1</v>
      </c>
      <c r="C2605" s="155">
        <f ca="1">OFFSET('IWP27'!Std10dot4Withdrawals, 12, 2, 1, 1)</f>
        <v>0</v>
      </c>
      <c r="D2605" s="151" t="str">
        <f ca="1">IF(OFFSET('IWP27'!Std10dot4Withdrawals, 12, 4, 1, 1) = 0, "", OFFSET('IWP27'!Std10dot4Withdrawals, 12, 4, 1, 1))</f>
        <v/>
      </c>
      <c r="E2605" s="207" t="str">
        <f ca="1">IF(OFFSET('IWP27'!Std10dot4Withdrawals, 12, 7, 1, 1) = 0, "", OFFSET('IWP27'!Std10dot4Withdrawals, 12, 7, 1, 1))</f>
        <v/>
      </c>
    </row>
    <row r="2606" spans="1:5">
      <c r="A2606" s="206" t="s">
        <v>1330</v>
      </c>
      <c r="B2606" s="157">
        <f ca="1">IF(OFFSET('IWP27'!Std10dot4Withdrawals, 13, 0, 1, 1) = DATE(1900,1,0),DATE(1900,1,1),OFFSET('IWP27'!Std10dot4Withdrawals, 13, 0, 1, 1))</f>
        <v>1</v>
      </c>
      <c r="C2606" s="155">
        <f ca="1">OFFSET('IWP27'!Std10dot4Withdrawals, 13, 2, 1, 1)</f>
        <v>0</v>
      </c>
      <c r="D2606" s="151" t="str">
        <f ca="1">IF(OFFSET('IWP27'!Std10dot4Withdrawals, 13, 4, 1, 1) = 0, "", OFFSET('IWP27'!Std10dot4Withdrawals, 13, 4, 1, 1))</f>
        <v/>
      </c>
      <c r="E2606" s="207" t="str">
        <f ca="1">IF(OFFSET('IWP27'!Std10dot4Withdrawals, 13, 7, 1, 1) = 0, "", OFFSET('IWP27'!Std10dot4Withdrawals, 13, 7, 1, 1))</f>
        <v/>
      </c>
    </row>
    <row r="2607" spans="1:5">
      <c r="A2607" s="206" t="s">
        <v>1330</v>
      </c>
      <c r="B2607" s="157">
        <f ca="1">IF(OFFSET('IWP27'!Std10dot4Withdrawals, 14, 0, 1, 1) = DATE(1900,1,0),DATE(1900,1,1),OFFSET('IWP27'!Std10dot4Withdrawals, 14, 0, 1, 1))</f>
        <v>1</v>
      </c>
      <c r="C2607" s="155">
        <f ca="1">OFFSET('IWP27'!Std10dot4Withdrawals, 14, 2, 1, 1)</f>
        <v>0</v>
      </c>
      <c r="D2607" s="151" t="str">
        <f ca="1">IF(OFFSET('IWP27'!Std10dot4Withdrawals, 14, 4, 1, 1) = 0, "", OFFSET('IWP27'!Std10dot4Withdrawals, 14, 4, 1, 1))</f>
        <v/>
      </c>
      <c r="E2607" s="207" t="str">
        <f ca="1">IF(OFFSET('IWP27'!Std10dot4Withdrawals, 14, 7, 1, 1) = 0, "", OFFSET('IWP27'!Std10dot4Withdrawals, 14, 7, 1, 1))</f>
        <v/>
      </c>
    </row>
    <row r="2608" spans="1:5">
      <c r="A2608" s="206" t="s">
        <v>1330</v>
      </c>
      <c r="B2608" s="157">
        <f ca="1">IF(OFFSET('IWP27'!Std10dot4Withdrawals, 15, 0, 1, 1) = DATE(1900,1,0),DATE(1900,1,1),OFFSET('IWP27'!Std10dot4Withdrawals, 15, 0, 1, 1))</f>
        <v>1</v>
      </c>
      <c r="C2608" s="155">
        <f ca="1">OFFSET('IWP27'!Std10dot4Withdrawals, 15, 2, 1, 1)</f>
        <v>0</v>
      </c>
      <c r="D2608" s="151" t="str">
        <f ca="1">IF(OFFSET('IWP27'!Std10dot4Withdrawals, 15, 4, 1, 1) = 0, "", OFFSET('IWP27'!Std10dot4Withdrawals, 15, 4, 1, 1))</f>
        <v/>
      </c>
      <c r="E2608" s="207" t="str">
        <f ca="1">IF(OFFSET('IWP27'!Std10dot4Withdrawals, 15, 7, 1, 1) = 0, "", OFFSET('IWP27'!Std10dot4Withdrawals, 15, 7, 1, 1))</f>
        <v/>
      </c>
    </row>
    <row r="2609" spans="1:5">
      <c r="A2609" s="206" t="s">
        <v>1330</v>
      </c>
      <c r="B2609" s="157">
        <f ca="1">IF(OFFSET('IWP27'!Std10dot4Withdrawals, 16, 0, 1, 1) = DATE(1900,1,0),DATE(1900,1,1),OFFSET('IWP27'!Std10dot4Withdrawals, 16, 0, 1, 1))</f>
        <v>1</v>
      </c>
      <c r="C2609" s="155">
        <f ca="1">OFFSET('IWP27'!Std10dot4Withdrawals, 16, 2, 1, 1)</f>
        <v>0</v>
      </c>
      <c r="D2609" s="151" t="str">
        <f ca="1">IF(OFFSET('IWP27'!Std10dot4Withdrawals, 16, 4, 1, 1) = 0, "", OFFSET('IWP27'!Std10dot4Withdrawals, 16, 4, 1, 1))</f>
        <v/>
      </c>
      <c r="E2609" s="207" t="str">
        <f ca="1">IF(OFFSET('IWP27'!Std10dot4Withdrawals, 16, 7, 1, 1) = 0, "", OFFSET('IWP27'!Std10dot4Withdrawals, 16, 7, 1, 1))</f>
        <v/>
      </c>
    </row>
    <row r="2610" spans="1:5">
      <c r="A2610" s="206" t="s">
        <v>1330</v>
      </c>
      <c r="B2610" s="157">
        <f ca="1">IF(OFFSET('IWP27'!Std10dot4Withdrawals, 17, 0, 1, 1) = DATE(1900,1,0),DATE(1900,1,1),OFFSET('IWP27'!Std10dot4Withdrawals, 17, 0, 1, 1))</f>
        <v>1</v>
      </c>
      <c r="C2610" s="155">
        <f ca="1">OFFSET('IWP27'!Std10dot4Withdrawals, 17, 2, 1, 1)</f>
        <v>0</v>
      </c>
      <c r="D2610" s="151" t="str">
        <f ca="1">IF(OFFSET('IWP27'!Std10dot4Withdrawals, 17, 4, 1, 1) = 0, "", OFFSET('IWP27'!Std10dot4Withdrawals, 17, 4, 1, 1))</f>
        <v/>
      </c>
      <c r="E2610" s="207" t="str">
        <f ca="1">IF(OFFSET('IWP27'!Std10dot4Withdrawals, 17, 7, 1, 1) = 0, "", OFFSET('IWP27'!Std10dot4Withdrawals, 17, 7, 1, 1))</f>
        <v/>
      </c>
    </row>
    <row r="2611" spans="1:5">
      <c r="A2611" s="206" t="s">
        <v>1330</v>
      </c>
      <c r="B2611" s="157">
        <f ca="1">IF(OFFSET('IWP27'!Std10dot4Withdrawals, 18, 0, 1, 1) = DATE(1900,1,0),DATE(1900,1,1),OFFSET('IWP27'!Std10dot4Withdrawals, 18, 0, 1, 1))</f>
        <v>1</v>
      </c>
      <c r="C2611" s="155">
        <f ca="1">OFFSET('IWP27'!Std10dot4Withdrawals, 18, 2, 1, 1)</f>
        <v>0</v>
      </c>
      <c r="D2611" s="151" t="str">
        <f ca="1">IF(OFFSET('IWP27'!Std10dot4Withdrawals, 18, 4, 1, 1) = 0, "", OFFSET('IWP27'!Std10dot4Withdrawals, 18, 4, 1, 1))</f>
        <v/>
      </c>
      <c r="E2611" s="207" t="str">
        <f ca="1">IF(OFFSET('IWP27'!Std10dot4Withdrawals, 18, 7, 1, 1) = 0, "", OFFSET('IWP27'!Std10dot4Withdrawals, 18, 7, 1, 1))</f>
        <v/>
      </c>
    </row>
    <row r="2612" spans="1:5">
      <c r="A2612" s="206" t="s">
        <v>1330</v>
      </c>
      <c r="B2612" s="157">
        <f ca="1">IF(OFFSET('IWP27'!Std10dot4Withdrawals, 19, 0, 1, 1) = DATE(1900,1,0),DATE(1900,1,1),OFFSET('IWP27'!Std10dot4Withdrawals, 19, 0, 1, 1))</f>
        <v>1</v>
      </c>
      <c r="C2612" s="155">
        <f ca="1">OFFSET('IWP27'!Std10dot4Withdrawals, 19, 2, 1, 1)</f>
        <v>0</v>
      </c>
      <c r="D2612" s="151" t="str">
        <f ca="1">IF(OFFSET('IWP27'!Std10dot4Withdrawals, 19, 4, 1, 1) = 0, "", OFFSET('IWP27'!Std10dot4Withdrawals, 19, 4, 1, 1))</f>
        <v/>
      </c>
      <c r="E2612" s="207" t="str">
        <f ca="1">IF(OFFSET('IWP27'!Std10dot4Withdrawals, 19, 7, 1, 1) = 0, "", OFFSET('IWP27'!Std10dot4Withdrawals, 19, 7, 1, 1))</f>
        <v/>
      </c>
    </row>
    <row r="2613" spans="1:5">
      <c r="A2613" s="206" t="s">
        <v>1331</v>
      </c>
      <c r="B2613" s="157">
        <f ca="1">IF(OFFSET('IWP28'!Std10dot4Withdrawals, 0, 0, 1, 1) = DATE(1900,1,0),DATE(1900,1,1),OFFSET('IWP28'!Std10dot4Withdrawals, 0, 0, 1, 1))</f>
        <v>1</v>
      </c>
      <c r="C2613" s="155">
        <f ca="1">OFFSET('IWP28'!Std10dot4Withdrawals, 0, 2, 1, 1)</f>
        <v>0</v>
      </c>
      <c r="D2613" s="151" t="str">
        <f ca="1">IF(OFFSET('IWP28'!Std10dot4Withdrawals, 0, 4, 1, 1) = 0, "", OFFSET('IWP28'!Std10dot4Withdrawals, 0, 4, 1, 1))</f>
        <v/>
      </c>
      <c r="E2613" s="207" t="str">
        <f ca="1">IF(OFFSET('IWP28'!Std10dot4Withdrawals, 0, 7, 1, 1) = 0, "", OFFSET('IWP28'!Std10dot4Withdrawals, 0, 7, 1, 1))</f>
        <v/>
      </c>
    </row>
    <row r="2614" spans="1:5">
      <c r="A2614" s="206" t="s">
        <v>1331</v>
      </c>
      <c r="B2614" s="157">
        <f ca="1">IF(OFFSET('IWP28'!Std10dot4Withdrawals, 1, 0, 1, 1) = DATE(1900,1,0),DATE(1900,1,1),OFFSET('IWP28'!Std10dot4Withdrawals, 1, 0, 1, 1))</f>
        <v>1</v>
      </c>
      <c r="C2614" s="155">
        <f ca="1">OFFSET('IWP28'!Std10dot4Withdrawals, 1, 2, 1, 1)</f>
        <v>0</v>
      </c>
      <c r="D2614" s="151" t="str">
        <f ca="1">IF(OFFSET('IWP28'!Std10dot4Withdrawals, 1, 4, 1, 1) = 0, "", OFFSET('IWP28'!Std10dot4Withdrawals, 1, 4, 1, 1))</f>
        <v/>
      </c>
      <c r="E2614" s="207" t="str">
        <f ca="1">IF(OFFSET('IWP28'!Std10dot4Withdrawals, 1, 7, 1, 1) = 0, "", OFFSET('IWP28'!Std10dot4Withdrawals, 1, 7, 1, 1))</f>
        <v/>
      </c>
    </row>
    <row r="2615" spans="1:5">
      <c r="A2615" s="206" t="s">
        <v>1331</v>
      </c>
      <c r="B2615" s="157">
        <f ca="1">IF(OFFSET('IWP28'!Std10dot4Withdrawals, 2, 0, 1, 1) = DATE(1900,1,0),DATE(1900,1,1),OFFSET('IWP28'!Std10dot4Withdrawals, 2, 0, 1, 1))</f>
        <v>1</v>
      </c>
      <c r="C2615" s="155">
        <f ca="1">OFFSET('IWP28'!Std10dot4Withdrawals, 2, 2, 1, 1)</f>
        <v>0</v>
      </c>
      <c r="D2615" s="151" t="str">
        <f ca="1">IF(OFFSET('IWP28'!Std10dot4Withdrawals, 2, 4, 1, 1) = 0, "", OFFSET('IWP28'!Std10dot4Withdrawals, 2, 4, 1, 1))</f>
        <v/>
      </c>
      <c r="E2615" s="207" t="str">
        <f ca="1">IF(OFFSET('IWP28'!Std10dot4Withdrawals, 2, 7, 1, 1) = 0, "", OFFSET('IWP28'!Std10dot4Withdrawals, 2, 7, 1, 1))</f>
        <v/>
      </c>
    </row>
    <row r="2616" spans="1:5">
      <c r="A2616" s="206" t="s">
        <v>1331</v>
      </c>
      <c r="B2616" s="157">
        <f ca="1">IF(OFFSET('IWP28'!Std10dot4Withdrawals, 3, 0, 1, 1) = DATE(1900,1,0),DATE(1900,1,1),OFFSET('IWP28'!Std10dot4Withdrawals, 3, 0, 1, 1))</f>
        <v>1</v>
      </c>
      <c r="C2616" s="155">
        <f ca="1">OFFSET('IWP28'!Std10dot4Withdrawals, 3, 2, 1, 1)</f>
        <v>0</v>
      </c>
      <c r="D2616" s="151" t="str">
        <f ca="1">IF(OFFSET('IWP28'!Std10dot4Withdrawals, 3, 4, 1, 1) = 0, "", OFFSET('IWP28'!Std10dot4Withdrawals, 3, 4, 1, 1))</f>
        <v/>
      </c>
      <c r="E2616" s="207" t="str">
        <f ca="1">IF(OFFSET('IWP28'!Std10dot4Withdrawals, 3, 7, 1, 1) = 0, "", OFFSET('IWP28'!Std10dot4Withdrawals, 3, 7, 1, 1))</f>
        <v/>
      </c>
    </row>
    <row r="2617" spans="1:5">
      <c r="A2617" s="206" t="s">
        <v>1331</v>
      </c>
      <c r="B2617" s="157">
        <f ca="1">IF(OFFSET('IWP28'!Std10dot4Withdrawals, 4, 0, 1, 1) = DATE(1900,1,0),DATE(1900,1,1),OFFSET('IWP28'!Std10dot4Withdrawals, 4, 0, 1, 1))</f>
        <v>1</v>
      </c>
      <c r="C2617" s="155">
        <f ca="1">OFFSET('IWP28'!Std10dot4Withdrawals, 4, 2, 1, 1)</f>
        <v>0</v>
      </c>
      <c r="D2617" s="151" t="str">
        <f ca="1">IF(OFFSET('IWP28'!Std10dot4Withdrawals, 4, 4, 1, 1) = 0, "", OFFSET('IWP28'!Std10dot4Withdrawals, 4, 4, 1, 1))</f>
        <v/>
      </c>
      <c r="E2617" s="207" t="str">
        <f ca="1">IF(OFFSET('IWP28'!Std10dot4Withdrawals, 4, 7, 1, 1) = 0, "", OFFSET('IWP28'!Std10dot4Withdrawals, 4, 7, 1, 1))</f>
        <v/>
      </c>
    </row>
    <row r="2618" spans="1:5">
      <c r="A2618" s="206" t="s">
        <v>1331</v>
      </c>
      <c r="B2618" s="157">
        <f ca="1">IF(OFFSET('IWP28'!Std10dot4Withdrawals, 5, 0, 1, 1) = DATE(1900,1,0),DATE(1900,1,1),OFFSET('IWP28'!Std10dot4Withdrawals, 5, 0, 1, 1))</f>
        <v>1</v>
      </c>
      <c r="C2618" s="155">
        <f ca="1">OFFSET('IWP28'!Std10dot4Withdrawals, 5, 2, 1, 1)</f>
        <v>0</v>
      </c>
      <c r="D2618" s="151" t="str">
        <f ca="1">IF(OFFSET('IWP28'!Std10dot4Withdrawals, 5, 4, 1, 1) = 0, "", OFFSET('IWP28'!Std10dot4Withdrawals, 5, 4, 1, 1))</f>
        <v/>
      </c>
      <c r="E2618" s="207" t="str">
        <f ca="1">IF(OFFSET('IWP28'!Std10dot4Withdrawals, 5, 7, 1, 1) = 0, "", OFFSET('IWP28'!Std10dot4Withdrawals, 5, 7, 1, 1))</f>
        <v/>
      </c>
    </row>
    <row r="2619" spans="1:5">
      <c r="A2619" s="206" t="s">
        <v>1331</v>
      </c>
      <c r="B2619" s="157">
        <f ca="1">IF(OFFSET('IWP28'!Std10dot4Withdrawals, 6, 0, 1, 1) = DATE(1900,1,0),DATE(1900,1,1),OFFSET('IWP28'!Std10dot4Withdrawals, 6, 0, 1, 1))</f>
        <v>1</v>
      </c>
      <c r="C2619" s="155">
        <f ca="1">OFFSET('IWP28'!Std10dot4Withdrawals, 6, 2, 1, 1)</f>
        <v>0</v>
      </c>
      <c r="D2619" s="151" t="str">
        <f ca="1">IF(OFFSET('IWP28'!Std10dot4Withdrawals, 6, 4, 1, 1) = 0, "", OFFSET('IWP28'!Std10dot4Withdrawals, 6, 4, 1, 1))</f>
        <v/>
      </c>
      <c r="E2619" s="207" t="str">
        <f ca="1">IF(OFFSET('IWP28'!Std10dot4Withdrawals, 6, 7, 1, 1) = 0, "", OFFSET('IWP28'!Std10dot4Withdrawals, 6, 7, 1, 1))</f>
        <v/>
      </c>
    </row>
    <row r="2620" spans="1:5">
      <c r="A2620" s="206" t="s">
        <v>1331</v>
      </c>
      <c r="B2620" s="157">
        <f ca="1">IF(OFFSET('IWP28'!Std10dot4Withdrawals, 7, 0, 1, 1) = DATE(1900,1,0),DATE(1900,1,1),OFFSET('IWP28'!Std10dot4Withdrawals, 7, 0, 1, 1))</f>
        <v>1</v>
      </c>
      <c r="C2620" s="155">
        <f ca="1">OFFSET('IWP28'!Std10dot4Withdrawals, 7, 2, 1, 1)</f>
        <v>0</v>
      </c>
      <c r="D2620" s="151" t="str">
        <f ca="1">IF(OFFSET('IWP28'!Std10dot4Withdrawals, 7, 4, 1, 1) = 0, "", OFFSET('IWP28'!Std10dot4Withdrawals, 7, 4, 1, 1))</f>
        <v/>
      </c>
      <c r="E2620" s="207" t="str">
        <f ca="1">IF(OFFSET('IWP28'!Std10dot4Withdrawals, 7, 7, 1, 1) = 0, "", OFFSET('IWP28'!Std10dot4Withdrawals, 7, 7, 1, 1))</f>
        <v/>
      </c>
    </row>
    <row r="2621" spans="1:5">
      <c r="A2621" s="206" t="s">
        <v>1331</v>
      </c>
      <c r="B2621" s="157">
        <f ca="1">IF(OFFSET('IWP28'!Std10dot4Withdrawals, 8, 0, 1, 1) = DATE(1900,1,0),DATE(1900,1,1),OFFSET('IWP28'!Std10dot4Withdrawals, 8, 0, 1, 1))</f>
        <v>1</v>
      </c>
      <c r="C2621" s="155">
        <f ca="1">OFFSET('IWP28'!Std10dot4Withdrawals, 8, 2, 1, 1)</f>
        <v>0</v>
      </c>
      <c r="D2621" s="151" t="str">
        <f ca="1">IF(OFFSET('IWP28'!Std10dot4Withdrawals, 8, 4, 1, 1) = 0, "", OFFSET('IWP28'!Std10dot4Withdrawals, 8, 4, 1, 1))</f>
        <v/>
      </c>
      <c r="E2621" s="207" t="str">
        <f ca="1">IF(OFFSET('IWP28'!Std10dot4Withdrawals, 8, 7, 1, 1) = 0, "", OFFSET('IWP28'!Std10dot4Withdrawals, 8, 7, 1, 1))</f>
        <v/>
      </c>
    </row>
    <row r="2622" spans="1:5">
      <c r="A2622" s="206" t="s">
        <v>1331</v>
      </c>
      <c r="B2622" s="157">
        <f ca="1">IF(OFFSET('IWP28'!Std10dot4Withdrawals, 9, 0, 1, 1) = DATE(1900,1,0),DATE(1900,1,1),OFFSET('IWP28'!Std10dot4Withdrawals, 9, 0, 1, 1))</f>
        <v>1</v>
      </c>
      <c r="C2622" s="155">
        <f ca="1">OFFSET('IWP28'!Std10dot4Withdrawals, 9, 2, 1, 1)</f>
        <v>0</v>
      </c>
      <c r="D2622" s="151" t="str">
        <f ca="1">IF(OFFSET('IWP28'!Std10dot4Withdrawals, 9, 4, 1, 1) = 0, "", OFFSET('IWP28'!Std10dot4Withdrawals, 9, 4, 1, 1))</f>
        <v/>
      </c>
      <c r="E2622" s="207" t="str">
        <f ca="1">IF(OFFSET('IWP28'!Std10dot4Withdrawals, 9, 7, 1, 1) = 0, "", OFFSET('IWP28'!Std10dot4Withdrawals, 9, 7, 1, 1))</f>
        <v/>
      </c>
    </row>
    <row r="2623" spans="1:5">
      <c r="A2623" s="206" t="s">
        <v>1331</v>
      </c>
      <c r="B2623" s="157">
        <f ca="1">IF(OFFSET('IWP28'!Std10dot4Withdrawals, 10, 0, 1, 1) = DATE(1900,1,0),DATE(1900,1,1),OFFSET('IWP28'!Std10dot4Withdrawals, 10, 0, 1, 1))</f>
        <v>1</v>
      </c>
      <c r="C2623" s="155">
        <f ca="1">OFFSET('IWP28'!Std10dot4Withdrawals, 10, 2, 1, 1)</f>
        <v>0</v>
      </c>
      <c r="D2623" s="151" t="str">
        <f ca="1">IF(OFFSET('IWP28'!Std10dot4Withdrawals, 10, 4, 1, 1) = 0, "", OFFSET('IWP28'!Std10dot4Withdrawals, 10, 4, 1, 1))</f>
        <v/>
      </c>
      <c r="E2623" s="207" t="str">
        <f ca="1">IF(OFFSET('IWP28'!Std10dot4Withdrawals, 10, 7, 1, 1) = 0, "", OFFSET('IWP28'!Std10dot4Withdrawals, 10, 7, 1, 1))</f>
        <v/>
      </c>
    </row>
    <row r="2624" spans="1:5">
      <c r="A2624" s="206" t="s">
        <v>1331</v>
      </c>
      <c r="B2624" s="157">
        <f ca="1">IF(OFFSET('IWP28'!Std10dot4Withdrawals, 11, 0, 1, 1) = DATE(1900,1,0),DATE(1900,1,1),OFFSET('IWP28'!Std10dot4Withdrawals, 11, 0, 1, 1))</f>
        <v>1</v>
      </c>
      <c r="C2624" s="155">
        <f ca="1">OFFSET('IWP28'!Std10dot4Withdrawals, 11, 2, 1, 1)</f>
        <v>0</v>
      </c>
      <c r="D2624" s="151" t="str">
        <f ca="1">IF(OFFSET('IWP28'!Std10dot4Withdrawals, 11, 4, 1, 1) = 0, "", OFFSET('IWP28'!Std10dot4Withdrawals, 11, 4, 1, 1))</f>
        <v/>
      </c>
      <c r="E2624" s="207" t="str">
        <f ca="1">IF(OFFSET('IWP28'!Std10dot4Withdrawals, 11, 7, 1, 1) = 0, "", OFFSET('IWP28'!Std10dot4Withdrawals, 11, 7, 1, 1))</f>
        <v/>
      </c>
    </row>
    <row r="2625" spans="1:5">
      <c r="A2625" s="206" t="s">
        <v>1331</v>
      </c>
      <c r="B2625" s="157">
        <f ca="1">IF(OFFSET('IWP28'!Std10dot4Withdrawals, 12, 0, 1, 1) = DATE(1900,1,0),DATE(1900,1,1),OFFSET('IWP28'!Std10dot4Withdrawals, 12, 0, 1, 1))</f>
        <v>1</v>
      </c>
      <c r="C2625" s="155">
        <f ca="1">OFFSET('IWP28'!Std10dot4Withdrawals, 12, 2, 1, 1)</f>
        <v>0</v>
      </c>
      <c r="D2625" s="151" t="str">
        <f ca="1">IF(OFFSET('IWP28'!Std10dot4Withdrawals, 12, 4, 1, 1) = 0, "", OFFSET('IWP28'!Std10dot4Withdrawals, 12, 4, 1, 1))</f>
        <v/>
      </c>
      <c r="E2625" s="207" t="str">
        <f ca="1">IF(OFFSET('IWP28'!Std10dot4Withdrawals, 12, 7, 1, 1) = 0, "", OFFSET('IWP28'!Std10dot4Withdrawals, 12, 7, 1, 1))</f>
        <v/>
      </c>
    </row>
    <row r="2626" spans="1:5">
      <c r="A2626" s="206" t="s">
        <v>1331</v>
      </c>
      <c r="B2626" s="157">
        <f ca="1">IF(OFFSET('IWP28'!Std10dot4Withdrawals, 13, 0, 1, 1) = DATE(1900,1,0),DATE(1900,1,1),OFFSET('IWP28'!Std10dot4Withdrawals, 13, 0, 1, 1))</f>
        <v>1</v>
      </c>
      <c r="C2626" s="155">
        <f ca="1">OFFSET('IWP28'!Std10dot4Withdrawals, 13, 2, 1, 1)</f>
        <v>0</v>
      </c>
      <c r="D2626" s="151" t="str">
        <f ca="1">IF(OFFSET('IWP28'!Std10dot4Withdrawals, 13, 4, 1, 1) = 0, "", OFFSET('IWP28'!Std10dot4Withdrawals, 13, 4, 1, 1))</f>
        <v/>
      </c>
      <c r="E2626" s="207" t="str">
        <f ca="1">IF(OFFSET('IWP28'!Std10dot4Withdrawals, 13, 7, 1, 1) = 0, "", OFFSET('IWP28'!Std10dot4Withdrawals, 13, 7, 1, 1))</f>
        <v/>
      </c>
    </row>
    <row r="2627" spans="1:5">
      <c r="A2627" s="206" t="s">
        <v>1331</v>
      </c>
      <c r="B2627" s="157">
        <f ca="1">IF(OFFSET('IWP28'!Std10dot4Withdrawals, 14, 0, 1, 1) = DATE(1900,1,0),DATE(1900,1,1),OFFSET('IWP28'!Std10dot4Withdrawals, 14, 0, 1, 1))</f>
        <v>1</v>
      </c>
      <c r="C2627" s="155">
        <f ca="1">OFFSET('IWP28'!Std10dot4Withdrawals, 14, 2, 1, 1)</f>
        <v>0</v>
      </c>
      <c r="D2627" s="151" t="str">
        <f ca="1">IF(OFFSET('IWP28'!Std10dot4Withdrawals, 14, 4, 1, 1) = 0, "", OFFSET('IWP28'!Std10dot4Withdrawals, 14, 4, 1, 1))</f>
        <v/>
      </c>
      <c r="E2627" s="207" t="str">
        <f ca="1">IF(OFFSET('IWP28'!Std10dot4Withdrawals, 14, 7, 1, 1) = 0, "", OFFSET('IWP28'!Std10dot4Withdrawals, 14, 7, 1, 1))</f>
        <v/>
      </c>
    </row>
    <row r="2628" spans="1:5">
      <c r="A2628" s="206" t="s">
        <v>1331</v>
      </c>
      <c r="B2628" s="157">
        <f ca="1">IF(OFFSET('IWP28'!Std10dot4Withdrawals, 15, 0, 1, 1) = DATE(1900,1,0),DATE(1900,1,1),OFFSET('IWP28'!Std10dot4Withdrawals, 15, 0, 1, 1))</f>
        <v>1</v>
      </c>
      <c r="C2628" s="155">
        <f ca="1">OFFSET('IWP28'!Std10dot4Withdrawals, 15, 2, 1, 1)</f>
        <v>0</v>
      </c>
      <c r="D2628" s="151" t="str">
        <f ca="1">IF(OFFSET('IWP28'!Std10dot4Withdrawals, 15, 4, 1, 1) = 0, "", OFFSET('IWP28'!Std10dot4Withdrawals, 15, 4, 1, 1))</f>
        <v/>
      </c>
      <c r="E2628" s="207" t="str">
        <f ca="1">IF(OFFSET('IWP28'!Std10dot4Withdrawals, 15, 7, 1, 1) = 0, "", OFFSET('IWP28'!Std10dot4Withdrawals, 15, 7, 1, 1))</f>
        <v/>
      </c>
    </row>
    <row r="2629" spans="1:5">
      <c r="A2629" s="206" t="s">
        <v>1331</v>
      </c>
      <c r="B2629" s="157">
        <f ca="1">IF(OFFSET('IWP28'!Std10dot4Withdrawals, 16, 0, 1, 1) = DATE(1900,1,0),DATE(1900,1,1),OFFSET('IWP28'!Std10dot4Withdrawals, 16, 0, 1, 1))</f>
        <v>1</v>
      </c>
      <c r="C2629" s="155">
        <f ca="1">OFFSET('IWP28'!Std10dot4Withdrawals, 16, 2, 1, 1)</f>
        <v>0</v>
      </c>
      <c r="D2629" s="151" t="str">
        <f ca="1">IF(OFFSET('IWP28'!Std10dot4Withdrawals, 16, 4, 1, 1) = 0, "", OFFSET('IWP28'!Std10dot4Withdrawals, 16, 4, 1, 1))</f>
        <v/>
      </c>
      <c r="E2629" s="207" t="str">
        <f ca="1">IF(OFFSET('IWP28'!Std10dot4Withdrawals, 16, 7, 1, 1) = 0, "", OFFSET('IWP28'!Std10dot4Withdrawals, 16, 7, 1, 1))</f>
        <v/>
      </c>
    </row>
    <row r="2630" spans="1:5">
      <c r="A2630" s="206" t="s">
        <v>1331</v>
      </c>
      <c r="B2630" s="157">
        <f ca="1">IF(OFFSET('IWP28'!Std10dot4Withdrawals, 17, 0, 1, 1) = DATE(1900,1,0),DATE(1900,1,1),OFFSET('IWP28'!Std10dot4Withdrawals, 17, 0, 1, 1))</f>
        <v>1</v>
      </c>
      <c r="C2630" s="155">
        <f ca="1">OFFSET('IWP28'!Std10dot4Withdrawals, 17, 2, 1, 1)</f>
        <v>0</v>
      </c>
      <c r="D2630" s="151" t="str">
        <f ca="1">IF(OFFSET('IWP28'!Std10dot4Withdrawals, 17, 4, 1, 1) = 0, "", OFFSET('IWP28'!Std10dot4Withdrawals, 17, 4, 1, 1))</f>
        <v/>
      </c>
      <c r="E2630" s="207" t="str">
        <f ca="1">IF(OFFSET('IWP28'!Std10dot4Withdrawals, 17, 7, 1, 1) = 0, "", OFFSET('IWP28'!Std10dot4Withdrawals, 17, 7, 1, 1))</f>
        <v/>
      </c>
    </row>
    <row r="2631" spans="1:5">
      <c r="A2631" s="206" t="s">
        <v>1331</v>
      </c>
      <c r="B2631" s="157">
        <f ca="1">IF(OFFSET('IWP28'!Std10dot4Withdrawals, 18, 0, 1, 1) = DATE(1900,1,0),DATE(1900,1,1),OFFSET('IWP28'!Std10dot4Withdrawals, 18, 0, 1, 1))</f>
        <v>1</v>
      </c>
      <c r="C2631" s="155">
        <f ca="1">OFFSET('IWP28'!Std10dot4Withdrawals, 18, 2, 1, 1)</f>
        <v>0</v>
      </c>
      <c r="D2631" s="151" t="str">
        <f ca="1">IF(OFFSET('IWP28'!Std10dot4Withdrawals, 18, 4, 1, 1) = 0, "", OFFSET('IWP28'!Std10dot4Withdrawals, 18, 4, 1, 1))</f>
        <v/>
      </c>
      <c r="E2631" s="207" t="str">
        <f ca="1">IF(OFFSET('IWP28'!Std10dot4Withdrawals, 18, 7, 1, 1) = 0, "", OFFSET('IWP28'!Std10dot4Withdrawals, 18, 7, 1, 1))</f>
        <v/>
      </c>
    </row>
    <row r="2632" spans="1:5">
      <c r="A2632" s="206" t="s">
        <v>1331</v>
      </c>
      <c r="B2632" s="157">
        <f ca="1">IF(OFFSET('IWP28'!Std10dot4Withdrawals, 19, 0, 1, 1) = DATE(1900,1,0),DATE(1900,1,1),OFFSET('IWP28'!Std10dot4Withdrawals, 19, 0, 1, 1))</f>
        <v>1</v>
      </c>
      <c r="C2632" s="155">
        <f ca="1">OFFSET('IWP28'!Std10dot4Withdrawals, 19, 2, 1, 1)</f>
        <v>0</v>
      </c>
      <c r="D2632" s="151" t="str">
        <f ca="1">IF(OFFSET('IWP28'!Std10dot4Withdrawals, 19, 4, 1, 1) = 0, "", OFFSET('IWP28'!Std10dot4Withdrawals, 19, 4, 1, 1))</f>
        <v/>
      </c>
      <c r="E2632" s="207" t="str">
        <f ca="1">IF(OFFSET('IWP28'!Std10dot4Withdrawals, 19, 7, 1, 1) = 0, "", OFFSET('IWP28'!Std10dot4Withdrawals, 19, 7, 1, 1))</f>
        <v/>
      </c>
    </row>
    <row r="2633" spans="1:5">
      <c r="A2633" s="206" t="s">
        <v>1332</v>
      </c>
      <c r="B2633" s="157">
        <f ca="1">IF(OFFSET('IWP29'!Std10dot4Withdrawals, 0, 0, 1, 1) = DATE(1900,1,0),DATE(1900,1,1),OFFSET('IWP29'!Std10dot4Withdrawals, 0, 0, 1, 1))</f>
        <v>1</v>
      </c>
      <c r="C2633" s="155">
        <f ca="1">OFFSET('IWP29'!Std10dot4Withdrawals, 0, 2, 1, 1)</f>
        <v>0</v>
      </c>
      <c r="D2633" s="151" t="str">
        <f ca="1">IF(OFFSET('IWP29'!Std10dot4Withdrawals, 0, 4, 1, 1) = 0, "", OFFSET('IWP29'!Std10dot4Withdrawals, 0, 4, 1, 1))</f>
        <v/>
      </c>
      <c r="E2633" s="207" t="str">
        <f ca="1">IF(OFFSET('IWP29'!Std10dot4Withdrawals, 0, 7, 1, 1) = 0, "", OFFSET('IWP29'!Std10dot4Withdrawals, 0, 7, 1, 1))</f>
        <v/>
      </c>
    </row>
    <row r="2634" spans="1:5">
      <c r="A2634" s="206" t="s">
        <v>1332</v>
      </c>
      <c r="B2634" s="157">
        <f ca="1">IF(OFFSET('IWP29'!Std10dot4Withdrawals, 1, 0, 1, 1) = DATE(1900,1,0),DATE(1900,1,1),OFFSET('IWP29'!Std10dot4Withdrawals, 1, 0, 1, 1))</f>
        <v>1</v>
      </c>
      <c r="C2634" s="155">
        <f ca="1">OFFSET('IWP29'!Std10dot4Withdrawals, 1, 2, 1, 1)</f>
        <v>0</v>
      </c>
      <c r="D2634" s="151" t="str">
        <f ca="1">IF(OFFSET('IWP29'!Std10dot4Withdrawals, 1, 4, 1, 1) = 0, "", OFFSET('IWP29'!Std10dot4Withdrawals, 1, 4, 1, 1))</f>
        <v/>
      </c>
      <c r="E2634" s="207" t="str">
        <f ca="1">IF(OFFSET('IWP29'!Std10dot4Withdrawals, 1, 7, 1, 1) = 0, "", OFFSET('IWP29'!Std10dot4Withdrawals, 1, 7, 1, 1))</f>
        <v/>
      </c>
    </row>
    <row r="2635" spans="1:5">
      <c r="A2635" s="206" t="s">
        <v>1332</v>
      </c>
      <c r="B2635" s="157">
        <f ca="1">IF(OFFSET('IWP29'!Std10dot4Withdrawals, 2, 0, 1, 1) = DATE(1900,1,0),DATE(1900,1,1),OFFSET('IWP29'!Std10dot4Withdrawals, 2, 0, 1, 1))</f>
        <v>1</v>
      </c>
      <c r="C2635" s="155">
        <f ca="1">OFFSET('IWP29'!Std10dot4Withdrawals, 2, 2, 1, 1)</f>
        <v>0</v>
      </c>
      <c r="D2635" s="151" t="str">
        <f ca="1">IF(OFFSET('IWP29'!Std10dot4Withdrawals, 2, 4, 1, 1) = 0, "", OFFSET('IWP29'!Std10dot4Withdrawals, 2, 4, 1, 1))</f>
        <v/>
      </c>
      <c r="E2635" s="207" t="str">
        <f ca="1">IF(OFFSET('IWP29'!Std10dot4Withdrawals, 2, 7, 1, 1) = 0, "", OFFSET('IWP29'!Std10dot4Withdrawals, 2, 7, 1, 1))</f>
        <v/>
      </c>
    </row>
    <row r="2636" spans="1:5">
      <c r="A2636" s="206" t="s">
        <v>1332</v>
      </c>
      <c r="B2636" s="157">
        <f ca="1">IF(OFFSET('IWP29'!Std10dot4Withdrawals, 3, 0, 1, 1) = DATE(1900,1,0),DATE(1900,1,1),OFFSET('IWP29'!Std10dot4Withdrawals, 3, 0, 1, 1))</f>
        <v>1</v>
      </c>
      <c r="C2636" s="155">
        <f ca="1">OFFSET('IWP29'!Std10dot4Withdrawals, 3, 2, 1, 1)</f>
        <v>0</v>
      </c>
      <c r="D2636" s="151" t="str">
        <f ca="1">IF(OFFSET('IWP29'!Std10dot4Withdrawals, 3, 4, 1, 1) = 0, "", OFFSET('IWP29'!Std10dot4Withdrawals, 3, 4, 1, 1))</f>
        <v/>
      </c>
      <c r="E2636" s="207" t="str">
        <f ca="1">IF(OFFSET('IWP29'!Std10dot4Withdrawals, 3, 7, 1, 1) = 0, "", OFFSET('IWP29'!Std10dot4Withdrawals, 3, 7, 1, 1))</f>
        <v/>
      </c>
    </row>
    <row r="2637" spans="1:5">
      <c r="A2637" s="206" t="s">
        <v>1332</v>
      </c>
      <c r="B2637" s="157">
        <f ca="1">IF(OFFSET('IWP29'!Std10dot4Withdrawals, 4, 0, 1, 1) = DATE(1900,1,0),DATE(1900,1,1),OFFSET('IWP29'!Std10dot4Withdrawals, 4, 0, 1, 1))</f>
        <v>1</v>
      </c>
      <c r="C2637" s="155">
        <f ca="1">OFFSET('IWP29'!Std10dot4Withdrawals, 4, 2, 1, 1)</f>
        <v>0</v>
      </c>
      <c r="D2637" s="151" t="str">
        <f ca="1">IF(OFFSET('IWP29'!Std10dot4Withdrawals, 4, 4, 1, 1) = 0, "", OFFSET('IWP29'!Std10dot4Withdrawals, 4, 4, 1, 1))</f>
        <v/>
      </c>
      <c r="E2637" s="207" t="str">
        <f ca="1">IF(OFFSET('IWP29'!Std10dot4Withdrawals, 4, 7, 1, 1) = 0, "", OFFSET('IWP29'!Std10dot4Withdrawals, 4, 7, 1, 1))</f>
        <v/>
      </c>
    </row>
    <row r="2638" spans="1:5">
      <c r="A2638" s="206" t="s">
        <v>1332</v>
      </c>
      <c r="B2638" s="157">
        <f ca="1">IF(OFFSET('IWP29'!Std10dot4Withdrawals, 5, 0, 1, 1) = DATE(1900,1,0),DATE(1900,1,1),OFFSET('IWP29'!Std10dot4Withdrawals, 5, 0, 1, 1))</f>
        <v>1</v>
      </c>
      <c r="C2638" s="155">
        <f ca="1">OFFSET('IWP29'!Std10dot4Withdrawals, 5, 2, 1, 1)</f>
        <v>0</v>
      </c>
      <c r="D2638" s="151" t="str">
        <f ca="1">IF(OFFSET('IWP29'!Std10dot4Withdrawals, 5, 4, 1, 1) = 0, "", OFFSET('IWP29'!Std10dot4Withdrawals, 5, 4, 1, 1))</f>
        <v/>
      </c>
      <c r="E2638" s="207" t="str">
        <f ca="1">IF(OFFSET('IWP29'!Std10dot4Withdrawals, 5, 7, 1, 1) = 0, "", OFFSET('IWP29'!Std10dot4Withdrawals, 5, 7, 1, 1))</f>
        <v/>
      </c>
    </row>
    <row r="2639" spans="1:5">
      <c r="A2639" s="206" t="s">
        <v>1332</v>
      </c>
      <c r="B2639" s="157">
        <f ca="1">IF(OFFSET('IWP29'!Std10dot4Withdrawals, 6, 0, 1, 1) = DATE(1900,1,0),DATE(1900,1,1),OFFSET('IWP29'!Std10dot4Withdrawals, 6, 0, 1, 1))</f>
        <v>1</v>
      </c>
      <c r="C2639" s="155">
        <f ca="1">OFFSET('IWP29'!Std10dot4Withdrawals, 6, 2, 1, 1)</f>
        <v>0</v>
      </c>
      <c r="D2639" s="151" t="str">
        <f ca="1">IF(OFFSET('IWP29'!Std10dot4Withdrawals, 6, 4, 1, 1) = 0, "", OFFSET('IWP29'!Std10dot4Withdrawals, 6, 4, 1, 1))</f>
        <v/>
      </c>
      <c r="E2639" s="207" t="str">
        <f ca="1">IF(OFFSET('IWP29'!Std10dot4Withdrawals, 6, 7, 1, 1) = 0, "", OFFSET('IWP29'!Std10dot4Withdrawals, 6, 7, 1, 1))</f>
        <v/>
      </c>
    </row>
    <row r="2640" spans="1:5">
      <c r="A2640" s="206" t="s">
        <v>1332</v>
      </c>
      <c r="B2640" s="157">
        <f ca="1">IF(OFFSET('IWP29'!Std10dot4Withdrawals, 7, 0, 1, 1) = DATE(1900,1,0),DATE(1900,1,1),OFFSET('IWP29'!Std10dot4Withdrawals, 7, 0, 1, 1))</f>
        <v>1</v>
      </c>
      <c r="C2640" s="155">
        <f ca="1">OFFSET('IWP29'!Std10dot4Withdrawals, 7, 2, 1, 1)</f>
        <v>0</v>
      </c>
      <c r="D2640" s="151" t="str">
        <f ca="1">IF(OFFSET('IWP29'!Std10dot4Withdrawals, 7, 4, 1, 1) = 0, "", OFFSET('IWP29'!Std10dot4Withdrawals, 7, 4, 1, 1))</f>
        <v/>
      </c>
      <c r="E2640" s="207" t="str">
        <f ca="1">IF(OFFSET('IWP29'!Std10dot4Withdrawals, 7, 7, 1, 1) = 0, "", OFFSET('IWP29'!Std10dot4Withdrawals, 7, 7, 1, 1))</f>
        <v/>
      </c>
    </row>
    <row r="2641" spans="1:5">
      <c r="A2641" s="206" t="s">
        <v>1332</v>
      </c>
      <c r="B2641" s="157">
        <f ca="1">IF(OFFSET('IWP29'!Std10dot4Withdrawals, 8, 0, 1, 1) = DATE(1900,1,0),DATE(1900,1,1),OFFSET('IWP29'!Std10dot4Withdrawals, 8, 0, 1, 1))</f>
        <v>1</v>
      </c>
      <c r="C2641" s="155">
        <f ca="1">OFFSET('IWP29'!Std10dot4Withdrawals, 8, 2, 1, 1)</f>
        <v>0</v>
      </c>
      <c r="D2641" s="151" t="str">
        <f ca="1">IF(OFFSET('IWP29'!Std10dot4Withdrawals, 8, 4, 1, 1) = 0, "", OFFSET('IWP29'!Std10dot4Withdrawals, 8, 4, 1, 1))</f>
        <v/>
      </c>
      <c r="E2641" s="207" t="str">
        <f ca="1">IF(OFFSET('IWP29'!Std10dot4Withdrawals, 8, 7, 1, 1) = 0, "", OFFSET('IWP29'!Std10dot4Withdrawals, 8, 7, 1, 1))</f>
        <v/>
      </c>
    </row>
    <row r="2642" spans="1:5">
      <c r="A2642" s="206" t="s">
        <v>1332</v>
      </c>
      <c r="B2642" s="157">
        <f ca="1">IF(OFFSET('IWP29'!Std10dot4Withdrawals, 9, 0, 1, 1) = DATE(1900,1,0),DATE(1900,1,1),OFFSET('IWP29'!Std10dot4Withdrawals, 9, 0, 1, 1))</f>
        <v>1</v>
      </c>
      <c r="C2642" s="155">
        <f ca="1">OFFSET('IWP29'!Std10dot4Withdrawals, 9, 2, 1, 1)</f>
        <v>0</v>
      </c>
      <c r="D2642" s="151" t="str">
        <f ca="1">IF(OFFSET('IWP29'!Std10dot4Withdrawals, 9, 4, 1, 1) = 0, "", OFFSET('IWP29'!Std10dot4Withdrawals, 9, 4, 1, 1))</f>
        <v/>
      </c>
      <c r="E2642" s="207" t="str">
        <f ca="1">IF(OFFSET('IWP29'!Std10dot4Withdrawals, 9, 7, 1, 1) = 0, "", OFFSET('IWP29'!Std10dot4Withdrawals, 9, 7, 1, 1))</f>
        <v/>
      </c>
    </row>
    <row r="2643" spans="1:5">
      <c r="A2643" s="206" t="s">
        <v>1332</v>
      </c>
      <c r="B2643" s="157">
        <f ca="1">IF(OFFSET('IWP29'!Std10dot4Withdrawals, 10, 0, 1, 1) = DATE(1900,1,0),DATE(1900,1,1),OFFSET('IWP29'!Std10dot4Withdrawals, 10, 0, 1, 1))</f>
        <v>1</v>
      </c>
      <c r="C2643" s="155">
        <f ca="1">OFFSET('IWP29'!Std10dot4Withdrawals, 10, 2, 1, 1)</f>
        <v>0</v>
      </c>
      <c r="D2643" s="151" t="str">
        <f ca="1">IF(OFFSET('IWP29'!Std10dot4Withdrawals, 10, 4, 1, 1) = 0, "", OFFSET('IWP29'!Std10dot4Withdrawals, 10, 4, 1, 1))</f>
        <v/>
      </c>
      <c r="E2643" s="207" t="str">
        <f ca="1">IF(OFFSET('IWP29'!Std10dot4Withdrawals, 10, 7, 1, 1) = 0, "", OFFSET('IWP29'!Std10dot4Withdrawals, 10, 7, 1, 1))</f>
        <v/>
      </c>
    </row>
    <row r="2644" spans="1:5">
      <c r="A2644" s="206" t="s">
        <v>1332</v>
      </c>
      <c r="B2644" s="157">
        <f ca="1">IF(OFFSET('IWP29'!Std10dot4Withdrawals, 11, 0, 1, 1) = DATE(1900,1,0),DATE(1900,1,1),OFFSET('IWP29'!Std10dot4Withdrawals, 11, 0, 1, 1))</f>
        <v>1</v>
      </c>
      <c r="C2644" s="155">
        <f ca="1">OFFSET('IWP29'!Std10dot4Withdrawals, 11, 2, 1, 1)</f>
        <v>0</v>
      </c>
      <c r="D2644" s="151" t="str">
        <f ca="1">IF(OFFSET('IWP29'!Std10dot4Withdrawals, 11, 4, 1, 1) = 0, "", OFFSET('IWP29'!Std10dot4Withdrawals, 11, 4, 1, 1))</f>
        <v/>
      </c>
      <c r="E2644" s="207" t="str">
        <f ca="1">IF(OFFSET('IWP29'!Std10dot4Withdrawals, 11, 7, 1, 1) = 0, "", OFFSET('IWP29'!Std10dot4Withdrawals, 11, 7, 1, 1))</f>
        <v/>
      </c>
    </row>
    <row r="2645" spans="1:5">
      <c r="A2645" s="206" t="s">
        <v>1332</v>
      </c>
      <c r="B2645" s="157">
        <f ca="1">IF(OFFSET('IWP29'!Std10dot4Withdrawals, 12, 0, 1, 1) = DATE(1900,1,0),DATE(1900,1,1),OFFSET('IWP29'!Std10dot4Withdrawals, 12, 0, 1, 1))</f>
        <v>1</v>
      </c>
      <c r="C2645" s="155">
        <f ca="1">OFFSET('IWP29'!Std10dot4Withdrawals, 12, 2, 1, 1)</f>
        <v>0</v>
      </c>
      <c r="D2645" s="151" t="str">
        <f ca="1">IF(OFFSET('IWP29'!Std10dot4Withdrawals, 12, 4, 1, 1) = 0, "", OFFSET('IWP29'!Std10dot4Withdrawals, 12, 4, 1, 1))</f>
        <v/>
      </c>
      <c r="E2645" s="207" t="str">
        <f ca="1">IF(OFFSET('IWP29'!Std10dot4Withdrawals, 12, 7, 1, 1) = 0, "", OFFSET('IWP29'!Std10dot4Withdrawals, 12, 7, 1, 1))</f>
        <v/>
      </c>
    </row>
    <row r="2646" spans="1:5">
      <c r="A2646" s="206" t="s">
        <v>1332</v>
      </c>
      <c r="B2646" s="157">
        <f ca="1">IF(OFFSET('IWP29'!Std10dot4Withdrawals, 13, 0, 1, 1) = DATE(1900,1,0),DATE(1900,1,1),OFFSET('IWP29'!Std10dot4Withdrawals, 13, 0, 1, 1))</f>
        <v>1</v>
      </c>
      <c r="C2646" s="155">
        <f ca="1">OFFSET('IWP29'!Std10dot4Withdrawals, 13, 2, 1, 1)</f>
        <v>0</v>
      </c>
      <c r="D2646" s="151" t="str">
        <f ca="1">IF(OFFSET('IWP29'!Std10dot4Withdrawals, 13, 4, 1, 1) = 0, "", OFFSET('IWP29'!Std10dot4Withdrawals, 13, 4, 1, 1))</f>
        <v/>
      </c>
      <c r="E2646" s="207" t="str">
        <f ca="1">IF(OFFSET('IWP29'!Std10dot4Withdrawals, 13, 7, 1, 1) = 0, "", OFFSET('IWP29'!Std10dot4Withdrawals, 13, 7, 1, 1))</f>
        <v/>
      </c>
    </row>
    <row r="2647" spans="1:5">
      <c r="A2647" s="206" t="s">
        <v>1332</v>
      </c>
      <c r="B2647" s="157">
        <f ca="1">IF(OFFSET('IWP29'!Std10dot4Withdrawals, 14, 0, 1, 1) = DATE(1900,1,0),DATE(1900,1,1),OFFSET('IWP29'!Std10dot4Withdrawals, 14, 0, 1, 1))</f>
        <v>1</v>
      </c>
      <c r="C2647" s="155">
        <f ca="1">OFFSET('IWP29'!Std10dot4Withdrawals, 14, 2, 1, 1)</f>
        <v>0</v>
      </c>
      <c r="D2647" s="151" t="str">
        <f ca="1">IF(OFFSET('IWP29'!Std10dot4Withdrawals, 14, 4, 1, 1) = 0, "", OFFSET('IWP29'!Std10dot4Withdrawals, 14, 4, 1, 1))</f>
        <v/>
      </c>
      <c r="E2647" s="207" t="str">
        <f ca="1">IF(OFFSET('IWP29'!Std10dot4Withdrawals, 14, 7, 1, 1) = 0, "", OFFSET('IWP29'!Std10dot4Withdrawals, 14, 7, 1, 1))</f>
        <v/>
      </c>
    </row>
    <row r="2648" spans="1:5">
      <c r="A2648" s="206" t="s">
        <v>1332</v>
      </c>
      <c r="B2648" s="157">
        <f ca="1">IF(OFFSET('IWP29'!Std10dot4Withdrawals, 15, 0, 1, 1) = DATE(1900,1,0),DATE(1900,1,1),OFFSET('IWP29'!Std10dot4Withdrawals, 15, 0, 1, 1))</f>
        <v>1</v>
      </c>
      <c r="C2648" s="155">
        <f ca="1">OFFSET('IWP29'!Std10dot4Withdrawals, 15, 2, 1, 1)</f>
        <v>0</v>
      </c>
      <c r="D2648" s="151" t="str">
        <f ca="1">IF(OFFSET('IWP29'!Std10dot4Withdrawals, 15, 4, 1, 1) = 0, "", OFFSET('IWP29'!Std10dot4Withdrawals, 15, 4, 1, 1))</f>
        <v/>
      </c>
      <c r="E2648" s="207" t="str">
        <f ca="1">IF(OFFSET('IWP29'!Std10dot4Withdrawals, 15, 7, 1, 1) = 0, "", OFFSET('IWP29'!Std10dot4Withdrawals, 15, 7, 1, 1))</f>
        <v/>
      </c>
    </row>
    <row r="2649" spans="1:5">
      <c r="A2649" s="206" t="s">
        <v>1332</v>
      </c>
      <c r="B2649" s="157">
        <f ca="1">IF(OFFSET('IWP29'!Std10dot4Withdrawals, 16, 0, 1, 1) = DATE(1900,1,0),DATE(1900,1,1),OFFSET('IWP29'!Std10dot4Withdrawals, 16, 0, 1, 1))</f>
        <v>1</v>
      </c>
      <c r="C2649" s="155">
        <f ca="1">OFFSET('IWP29'!Std10dot4Withdrawals, 16, 2, 1, 1)</f>
        <v>0</v>
      </c>
      <c r="D2649" s="151" t="str">
        <f ca="1">IF(OFFSET('IWP29'!Std10dot4Withdrawals, 16, 4, 1, 1) = 0, "", OFFSET('IWP29'!Std10dot4Withdrawals, 16, 4, 1, 1))</f>
        <v/>
      </c>
      <c r="E2649" s="207" t="str">
        <f ca="1">IF(OFFSET('IWP29'!Std10dot4Withdrawals, 16, 7, 1, 1) = 0, "", OFFSET('IWP29'!Std10dot4Withdrawals, 16, 7, 1, 1))</f>
        <v/>
      </c>
    </row>
    <row r="2650" spans="1:5">
      <c r="A2650" s="206" t="s">
        <v>1332</v>
      </c>
      <c r="B2650" s="157">
        <f ca="1">IF(OFFSET('IWP29'!Std10dot4Withdrawals, 17, 0, 1, 1) = DATE(1900,1,0),DATE(1900,1,1),OFFSET('IWP29'!Std10dot4Withdrawals, 17, 0, 1, 1))</f>
        <v>1</v>
      </c>
      <c r="C2650" s="155">
        <f ca="1">OFFSET('IWP29'!Std10dot4Withdrawals, 17, 2, 1, 1)</f>
        <v>0</v>
      </c>
      <c r="D2650" s="151" t="str">
        <f ca="1">IF(OFFSET('IWP29'!Std10dot4Withdrawals, 17, 4, 1, 1) = 0, "", OFFSET('IWP29'!Std10dot4Withdrawals, 17, 4, 1, 1))</f>
        <v/>
      </c>
      <c r="E2650" s="207" t="str">
        <f ca="1">IF(OFFSET('IWP29'!Std10dot4Withdrawals, 17, 7, 1, 1) = 0, "", OFFSET('IWP29'!Std10dot4Withdrawals, 17, 7, 1, 1))</f>
        <v/>
      </c>
    </row>
    <row r="2651" spans="1:5">
      <c r="A2651" s="206" t="s">
        <v>1332</v>
      </c>
      <c r="B2651" s="157">
        <f ca="1">IF(OFFSET('IWP29'!Std10dot4Withdrawals, 18, 0, 1, 1) = DATE(1900,1,0),DATE(1900,1,1),OFFSET('IWP29'!Std10dot4Withdrawals, 18, 0, 1, 1))</f>
        <v>1</v>
      </c>
      <c r="C2651" s="155">
        <f ca="1">OFFSET('IWP29'!Std10dot4Withdrawals, 18, 2, 1, 1)</f>
        <v>0</v>
      </c>
      <c r="D2651" s="151" t="str">
        <f ca="1">IF(OFFSET('IWP29'!Std10dot4Withdrawals, 18, 4, 1, 1) = 0, "", OFFSET('IWP29'!Std10dot4Withdrawals, 18, 4, 1, 1))</f>
        <v/>
      </c>
      <c r="E2651" s="207" t="str">
        <f ca="1">IF(OFFSET('IWP29'!Std10dot4Withdrawals, 18, 7, 1, 1) = 0, "", OFFSET('IWP29'!Std10dot4Withdrawals, 18, 7, 1, 1))</f>
        <v/>
      </c>
    </row>
    <row r="2652" spans="1:5">
      <c r="A2652" s="206" t="s">
        <v>1332</v>
      </c>
      <c r="B2652" s="157">
        <f ca="1">IF(OFFSET('IWP29'!Std10dot4Withdrawals, 19, 0, 1, 1) = DATE(1900,1,0),DATE(1900,1,1),OFFSET('IWP29'!Std10dot4Withdrawals, 19, 0, 1, 1))</f>
        <v>1</v>
      </c>
      <c r="C2652" s="155">
        <f ca="1">OFFSET('IWP29'!Std10dot4Withdrawals, 19, 2, 1, 1)</f>
        <v>0</v>
      </c>
      <c r="D2652" s="151" t="str">
        <f ca="1">IF(OFFSET('IWP29'!Std10dot4Withdrawals, 19, 4, 1, 1) = 0, "", OFFSET('IWP29'!Std10dot4Withdrawals, 19, 4, 1, 1))</f>
        <v/>
      </c>
      <c r="E2652" s="207" t="str">
        <f ca="1">IF(OFFSET('IWP29'!Std10dot4Withdrawals, 19, 7, 1, 1) = 0, "", OFFSET('IWP29'!Std10dot4Withdrawals, 19, 7, 1, 1))</f>
        <v/>
      </c>
    </row>
    <row r="2653" spans="1:5">
      <c r="A2653" s="206" t="s">
        <v>1333</v>
      </c>
      <c r="B2653" s="157">
        <f ca="1">IF(OFFSET('IWP30'!Std10dot4Withdrawals, 0, 0, 1, 1) = DATE(1900,1,0),DATE(1900,1,1),OFFSET('IWP30'!Std10dot4Withdrawals, 0, 0, 1, 1))</f>
        <v>1</v>
      </c>
      <c r="C2653" s="155">
        <f ca="1">OFFSET('IWP30'!Std10dot4Withdrawals, 0, 2, 1, 1)</f>
        <v>0</v>
      </c>
      <c r="D2653" s="151" t="str">
        <f ca="1">IF(OFFSET('IWP30'!Std10dot4Withdrawals, 0, 4, 1, 1) = 0, "", OFFSET('IWP30'!Std10dot4Withdrawals, 0, 4, 1, 1))</f>
        <v/>
      </c>
      <c r="E2653" s="207" t="str">
        <f ca="1">IF(OFFSET('IWP30'!Std10dot4Withdrawals, 0, 7, 1, 1) = 0, "", OFFSET('IWP30'!Std10dot4Withdrawals, 0, 7, 1, 1))</f>
        <v/>
      </c>
    </row>
    <row r="2654" spans="1:5">
      <c r="A2654" s="206" t="s">
        <v>1333</v>
      </c>
      <c r="B2654" s="157">
        <f ca="1">IF(OFFSET('IWP30'!Std10dot4Withdrawals, 1, 0, 1, 1) = DATE(1900,1,0),DATE(1900,1,1),OFFSET('IWP30'!Std10dot4Withdrawals, 1, 0, 1, 1))</f>
        <v>1</v>
      </c>
      <c r="C2654" s="155">
        <f ca="1">OFFSET('IWP30'!Std10dot4Withdrawals, 1, 2, 1, 1)</f>
        <v>0</v>
      </c>
      <c r="D2654" s="151" t="str">
        <f ca="1">IF(OFFSET('IWP30'!Std10dot4Withdrawals, 1, 4, 1, 1) = 0, "", OFFSET('IWP30'!Std10dot4Withdrawals, 1, 4, 1, 1))</f>
        <v/>
      </c>
      <c r="E2654" s="207" t="str">
        <f ca="1">IF(OFFSET('IWP30'!Std10dot4Withdrawals, 1, 7, 1, 1) = 0, "", OFFSET('IWP30'!Std10dot4Withdrawals, 1, 7, 1, 1))</f>
        <v/>
      </c>
    </row>
    <row r="2655" spans="1:5">
      <c r="A2655" s="206" t="s">
        <v>1333</v>
      </c>
      <c r="B2655" s="157">
        <f ca="1">IF(OFFSET('IWP30'!Std10dot4Withdrawals, 2, 0, 1, 1) = DATE(1900,1,0),DATE(1900,1,1),OFFSET('IWP30'!Std10dot4Withdrawals, 2, 0, 1, 1))</f>
        <v>1</v>
      </c>
      <c r="C2655" s="155">
        <f ca="1">OFFSET('IWP30'!Std10dot4Withdrawals, 2, 2, 1, 1)</f>
        <v>0</v>
      </c>
      <c r="D2655" s="151" t="str">
        <f ca="1">IF(OFFSET('IWP30'!Std10dot4Withdrawals, 2, 4, 1, 1) = 0, "", OFFSET('IWP30'!Std10dot4Withdrawals, 2, 4, 1, 1))</f>
        <v/>
      </c>
      <c r="E2655" s="207" t="str">
        <f ca="1">IF(OFFSET('IWP30'!Std10dot4Withdrawals, 2, 7, 1, 1) = 0, "", OFFSET('IWP30'!Std10dot4Withdrawals, 2, 7, 1, 1))</f>
        <v/>
      </c>
    </row>
    <row r="2656" spans="1:5">
      <c r="A2656" s="206" t="s">
        <v>1333</v>
      </c>
      <c r="B2656" s="157">
        <f ca="1">IF(OFFSET('IWP30'!Std10dot4Withdrawals, 3, 0, 1, 1) = DATE(1900,1,0),DATE(1900,1,1),OFFSET('IWP30'!Std10dot4Withdrawals, 3, 0, 1, 1))</f>
        <v>1</v>
      </c>
      <c r="C2656" s="155">
        <f ca="1">OFFSET('IWP30'!Std10dot4Withdrawals, 3, 2, 1, 1)</f>
        <v>0</v>
      </c>
      <c r="D2656" s="151" t="str">
        <f ca="1">IF(OFFSET('IWP30'!Std10dot4Withdrawals, 3, 4, 1, 1) = 0, "", OFFSET('IWP30'!Std10dot4Withdrawals, 3, 4, 1, 1))</f>
        <v/>
      </c>
      <c r="E2656" s="207" t="str">
        <f ca="1">IF(OFFSET('IWP30'!Std10dot4Withdrawals, 3, 7, 1, 1) = 0, "", OFFSET('IWP30'!Std10dot4Withdrawals, 3, 7, 1, 1))</f>
        <v/>
      </c>
    </row>
    <row r="2657" spans="1:5">
      <c r="A2657" s="206" t="s">
        <v>1333</v>
      </c>
      <c r="B2657" s="157">
        <f ca="1">IF(OFFSET('IWP30'!Std10dot4Withdrawals, 4, 0, 1, 1) = DATE(1900,1,0),DATE(1900,1,1),OFFSET('IWP30'!Std10dot4Withdrawals, 4, 0, 1, 1))</f>
        <v>1</v>
      </c>
      <c r="C2657" s="155">
        <f ca="1">OFFSET('IWP30'!Std10dot4Withdrawals, 4, 2, 1, 1)</f>
        <v>0</v>
      </c>
      <c r="D2657" s="151" t="str">
        <f ca="1">IF(OFFSET('IWP30'!Std10dot4Withdrawals, 4, 4, 1, 1) = 0, "", OFFSET('IWP30'!Std10dot4Withdrawals, 4, 4, 1, 1))</f>
        <v/>
      </c>
      <c r="E2657" s="207" t="str">
        <f ca="1">IF(OFFSET('IWP30'!Std10dot4Withdrawals, 4, 7, 1, 1) = 0, "", OFFSET('IWP30'!Std10dot4Withdrawals, 4, 7, 1, 1))</f>
        <v/>
      </c>
    </row>
    <row r="2658" spans="1:5">
      <c r="A2658" s="206" t="s">
        <v>1333</v>
      </c>
      <c r="B2658" s="157">
        <f ca="1">IF(OFFSET('IWP30'!Std10dot4Withdrawals, 5, 0, 1, 1) = DATE(1900,1,0),DATE(1900,1,1),OFFSET('IWP30'!Std10dot4Withdrawals, 5, 0, 1, 1))</f>
        <v>1</v>
      </c>
      <c r="C2658" s="155">
        <f ca="1">OFFSET('IWP30'!Std10dot4Withdrawals, 5, 2, 1, 1)</f>
        <v>0</v>
      </c>
      <c r="D2658" s="151" t="str">
        <f ca="1">IF(OFFSET('IWP30'!Std10dot4Withdrawals, 5, 4, 1, 1) = 0, "", OFFSET('IWP30'!Std10dot4Withdrawals, 5, 4, 1, 1))</f>
        <v/>
      </c>
      <c r="E2658" s="207" t="str">
        <f ca="1">IF(OFFSET('IWP30'!Std10dot4Withdrawals, 5, 7, 1, 1) = 0, "", OFFSET('IWP30'!Std10dot4Withdrawals, 5, 7, 1, 1))</f>
        <v/>
      </c>
    </row>
    <row r="2659" spans="1:5">
      <c r="A2659" s="206" t="s">
        <v>1333</v>
      </c>
      <c r="B2659" s="157">
        <f ca="1">IF(OFFSET('IWP30'!Std10dot4Withdrawals, 6, 0, 1, 1) = DATE(1900,1,0),DATE(1900,1,1),OFFSET('IWP30'!Std10dot4Withdrawals, 6, 0, 1, 1))</f>
        <v>1</v>
      </c>
      <c r="C2659" s="155">
        <f ca="1">OFFSET('IWP30'!Std10dot4Withdrawals, 6, 2, 1, 1)</f>
        <v>0</v>
      </c>
      <c r="D2659" s="151" t="str">
        <f ca="1">IF(OFFSET('IWP30'!Std10dot4Withdrawals, 6, 4, 1, 1) = 0, "", OFFSET('IWP30'!Std10dot4Withdrawals, 6, 4, 1, 1))</f>
        <v/>
      </c>
      <c r="E2659" s="207" t="str">
        <f ca="1">IF(OFFSET('IWP30'!Std10dot4Withdrawals, 6, 7, 1, 1) = 0, "", OFFSET('IWP30'!Std10dot4Withdrawals, 6, 7, 1, 1))</f>
        <v/>
      </c>
    </row>
    <row r="2660" spans="1:5">
      <c r="A2660" s="206" t="s">
        <v>1333</v>
      </c>
      <c r="B2660" s="157">
        <f ca="1">IF(OFFSET('IWP30'!Std10dot4Withdrawals, 7, 0, 1, 1) = DATE(1900,1,0),DATE(1900,1,1),OFFSET('IWP30'!Std10dot4Withdrawals, 7, 0, 1, 1))</f>
        <v>1</v>
      </c>
      <c r="C2660" s="155">
        <f ca="1">OFFSET('IWP30'!Std10dot4Withdrawals, 7, 2, 1, 1)</f>
        <v>0</v>
      </c>
      <c r="D2660" s="151" t="str">
        <f ca="1">IF(OFFSET('IWP30'!Std10dot4Withdrawals, 7, 4, 1, 1) = 0, "", OFFSET('IWP30'!Std10dot4Withdrawals, 7, 4, 1, 1))</f>
        <v/>
      </c>
      <c r="E2660" s="207" t="str">
        <f ca="1">IF(OFFSET('IWP30'!Std10dot4Withdrawals, 7, 7, 1, 1) = 0, "", OFFSET('IWP30'!Std10dot4Withdrawals, 7, 7, 1, 1))</f>
        <v/>
      </c>
    </row>
    <row r="2661" spans="1:5">
      <c r="A2661" s="206" t="s">
        <v>1333</v>
      </c>
      <c r="B2661" s="157">
        <f ca="1">IF(OFFSET('IWP30'!Std10dot4Withdrawals, 8, 0, 1, 1) = DATE(1900,1,0),DATE(1900,1,1),OFFSET('IWP30'!Std10dot4Withdrawals, 8, 0, 1, 1))</f>
        <v>1</v>
      </c>
      <c r="C2661" s="155">
        <f ca="1">OFFSET('IWP30'!Std10dot4Withdrawals, 8, 2, 1, 1)</f>
        <v>0</v>
      </c>
      <c r="D2661" s="151" t="str">
        <f ca="1">IF(OFFSET('IWP30'!Std10dot4Withdrawals, 8, 4, 1, 1) = 0, "", OFFSET('IWP30'!Std10dot4Withdrawals, 8, 4, 1, 1))</f>
        <v/>
      </c>
      <c r="E2661" s="207" t="str">
        <f ca="1">IF(OFFSET('IWP30'!Std10dot4Withdrawals, 8, 7, 1, 1) = 0, "", OFFSET('IWP30'!Std10dot4Withdrawals, 8, 7, 1, 1))</f>
        <v/>
      </c>
    </row>
    <row r="2662" spans="1:5">
      <c r="A2662" s="206" t="s">
        <v>1333</v>
      </c>
      <c r="B2662" s="157">
        <f ca="1">IF(OFFSET('IWP30'!Std10dot4Withdrawals, 9, 0, 1, 1) = DATE(1900,1,0),DATE(1900,1,1),OFFSET('IWP30'!Std10dot4Withdrawals, 9, 0, 1, 1))</f>
        <v>1</v>
      </c>
      <c r="C2662" s="155">
        <f ca="1">OFFSET('IWP30'!Std10dot4Withdrawals, 9, 2, 1, 1)</f>
        <v>0</v>
      </c>
      <c r="D2662" s="151" t="str">
        <f ca="1">IF(OFFSET('IWP30'!Std10dot4Withdrawals, 9, 4, 1, 1) = 0, "", OFFSET('IWP30'!Std10dot4Withdrawals, 9, 4, 1, 1))</f>
        <v/>
      </c>
      <c r="E2662" s="207" t="str">
        <f ca="1">IF(OFFSET('IWP30'!Std10dot4Withdrawals, 9, 7, 1, 1) = 0, "", OFFSET('IWP30'!Std10dot4Withdrawals, 9, 7, 1, 1))</f>
        <v/>
      </c>
    </row>
    <row r="2663" spans="1:5">
      <c r="A2663" s="206" t="s">
        <v>1333</v>
      </c>
      <c r="B2663" s="157">
        <f ca="1">IF(OFFSET('IWP30'!Std10dot4Withdrawals, 10, 0, 1, 1) = DATE(1900,1,0),DATE(1900,1,1),OFFSET('IWP30'!Std10dot4Withdrawals, 10, 0, 1, 1))</f>
        <v>1</v>
      </c>
      <c r="C2663" s="155">
        <f ca="1">OFFSET('IWP30'!Std10dot4Withdrawals, 10, 2, 1, 1)</f>
        <v>0</v>
      </c>
      <c r="D2663" s="151" t="str">
        <f ca="1">IF(OFFSET('IWP30'!Std10dot4Withdrawals, 10, 4, 1, 1) = 0, "", OFFSET('IWP30'!Std10dot4Withdrawals, 10, 4, 1, 1))</f>
        <v/>
      </c>
      <c r="E2663" s="207" t="str">
        <f ca="1">IF(OFFSET('IWP30'!Std10dot4Withdrawals, 10, 7, 1, 1) = 0, "", OFFSET('IWP30'!Std10dot4Withdrawals, 10, 7, 1, 1))</f>
        <v/>
      </c>
    </row>
    <row r="2664" spans="1:5">
      <c r="A2664" s="206" t="s">
        <v>1333</v>
      </c>
      <c r="B2664" s="157">
        <f ca="1">IF(OFFSET('IWP30'!Std10dot4Withdrawals, 11, 0, 1, 1) = DATE(1900,1,0),DATE(1900,1,1),OFFSET('IWP30'!Std10dot4Withdrawals, 11, 0, 1, 1))</f>
        <v>1</v>
      </c>
      <c r="C2664" s="155">
        <f ca="1">OFFSET('IWP30'!Std10dot4Withdrawals, 11, 2, 1, 1)</f>
        <v>0</v>
      </c>
      <c r="D2664" s="151" t="str">
        <f ca="1">IF(OFFSET('IWP30'!Std10dot4Withdrawals, 11, 4, 1, 1) = 0, "", OFFSET('IWP30'!Std10dot4Withdrawals, 11, 4, 1, 1))</f>
        <v/>
      </c>
      <c r="E2664" s="207" t="str">
        <f ca="1">IF(OFFSET('IWP30'!Std10dot4Withdrawals, 11, 7, 1, 1) = 0, "", OFFSET('IWP30'!Std10dot4Withdrawals, 11, 7, 1, 1))</f>
        <v/>
      </c>
    </row>
    <row r="2665" spans="1:5">
      <c r="A2665" s="206" t="s">
        <v>1333</v>
      </c>
      <c r="B2665" s="157">
        <f ca="1">IF(OFFSET('IWP30'!Std10dot4Withdrawals, 12, 0, 1, 1) = DATE(1900,1,0),DATE(1900,1,1),OFFSET('IWP30'!Std10dot4Withdrawals, 12, 0, 1, 1))</f>
        <v>1</v>
      </c>
      <c r="C2665" s="155">
        <f ca="1">OFFSET('IWP30'!Std10dot4Withdrawals, 12, 2, 1, 1)</f>
        <v>0</v>
      </c>
      <c r="D2665" s="151" t="str">
        <f ca="1">IF(OFFSET('IWP30'!Std10dot4Withdrawals, 12, 4, 1, 1) = 0, "", OFFSET('IWP30'!Std10dot4Withdrawals, 12, 4, 1, 1))</f>
        <v/>
      </c>
      <c r="E2665" s="207" t="str">
        <f ca="1">IF(OFFSET('IWP30'!Std10dot4Withdrawals, 12, 7, 1, 1) = 0, "", OFFSET('IWP30'!Std10dot4Withdrawals, 12, 7, 1, 1))</f>
        <v/>
      </c>
    </row>
    <row r="2666" spans="1:5">
      <c r="A2666" s="206" t="s">
        <v>1333</v>
      </c>
      <c r="B2666" s="157">
        <f ca="1">IF(OFFSET('IWP30'!Std10dot4Withdrawals, 13, 0, 1, 1) = DATE(1900,1,0),DATE(1900,1,1),OFFSET('IWP30'!Std10dot4Withdrawals, 13, 0, 1, 1))</f>
        <v>1</v>
      </c>
      <c r="C2666" s="155">
        <f ca="1">OFFSET('IWP30'!Std10dot4Withdrawals, 13, 2, 1, 1)</f>
        <v>0</v>
      </c>
      <c r="D2666" s="151" t="str">
        <f ca="1">IF(OFFSET('IWP30'!Std10dot4Withdrawals, 13, 4, 1, 1) = 0, "", OFFSET('IWP30'!Std10dot4Withdrawals, 13, 4, 1, 1))</f>
        <v/>
      </c>
      <c r="E2666" s="207" t="str">
        <f ca="1">IF(OFFSET('IWP30'!Std10dot4Withdrawals, 13, 7, 1, 1) = 0, "", OFFSET('IWP30'!Std10dot4Withdrawals, 13, 7, 1, 1))</f>
        <v/>
      </c>
    </row>
    <row r="2667" spans="1:5">
      <c r="A2667" s="206" t="s">
        <v>1333</v>
      </c>
      <c r="B2667" s="157">
        <f ca="1">IF(OFFSET('IWP30'!Std10dot4Withdrawals, 14, 0, 1, 1) = DATE(1900,1,0),DATE(1900,1,1),OFFSET('IWP30'!Std10dot4Withdrawals, 14, 0, 1, 1))</f>
        <v>1</v>
      </c>
      <c r="C2667" s="155">
        <f ca="1">OFFSET('IWP30'!Std10dot4Withdrawals, 14, 2, 1, 1)</f>
        <v>0</v>
      </c>
      <c r="D2667" s="151" t="str">
        <f ca="1">IF(OFFSET('IWP30'!Std10dot4Withdrawals, 14, 4, 1, 1) = 0, "", OFFSET('IWP30'!Std10dot4Withdrawals, 14, 4, 1, 1))</f>
        <v/>
      </c>
      <c r="E2667" s="207" t="str">
        <f ca="1">IF(OFFSET('IWP30'!Std10dot4Withdrawals, 14, 7, 1, 1) = 0, "", OFFSET('IWP30'!Std10dot4Withdrawals, 14, 7, 1, 1))</f>
        <v/>
      </c>
    </row>
    <row r="2668" spans="1:5">
      <c r="A2668" s="206" t="s">
        <v>1333</v>
      </c>
      <c r="B2668" s="157">
        <f ca="1">IF(OFFSET('IWP30'!Std10dot4Withdrawals, 15, 0, 1, 1) = DATE(1900,1,0),DATE(1900,1,1),OFFSET('IWP30'!Std10dot4Withdrawals, 15, 0, 1, 1))</f>
        <v>1</v>
      </c>
      <c r="C2668" s="155">
        <f ca="1">OFFSET('IWP30'!Std10dot4Withdrawals, 15, 2, 1, 1)</f>
        <v>0</v>
      </c>
      <c r="D2668" s="151" t="str">
        <f ca="1">IF(OFFSET('IWP30'!Std10dot4Withdrawals, 15, 4, 1, 1) = 0, "", OFFSET('IWP30'!Std10dot4Withdrawals, 15, 4, 1, 1))</f>
        <v/>
      </c>
      <c r="E2668" s="207" t="str">
        <f ca="1">IF(OFFSET('IWP30'!Std10dot4Withdrawals, 15, 7, 1, 1) = 0, "", OFFSET('IWP30'!Std10dot4Withdrawals, 15, 7, 1, 1))</f>
        <v/>
      </c>
    </row>
    <row r="2669" spans="1:5">
      <c r="A2669" s="206" t="s">
        <v>1333</v>
      </c>
      <c r="B2669" s="157">
        <f ca="1">IF(OFFSET('IWP30'!Std10dot4Withdrawals, 16, 0, 1, 1) = DATE(1900,1,0),DATE(1900,1,1),OFFSET('IWP30'!Std10dot4Withdrawals, 16, 0, 1, 1))</f>
        <v>1</v>
      </c>
      <c r="C2669" s="155">
        <f ca="1">OFFSET('IWP30'!Std10dot4Withdrawals, 16, 2, 1, 1)</f>
        <v>0</v>
      </c>
      <c r="D2669" s="151" t="str">
        <f ca="1">IF(OFFSET('IWP30'!Std10dot4Withdrawals, 16, 4, 1, 1) = 0, "", OFFSET('IWP30'!Std10dot4Withdrawals, 16, 4, 1, 1))</f>
        <v/>
      </c>
      <c r="E2669" s="207" t="str">
        <f ca="1">IF(OFFSET('IWP30'!Std10dot4Withdrawals, 16, 7, 1, 1) = 0, "", OFFSET('IWP30'!Std10dot4Withdrawals, 16, 7, 1, 1))</f>
        <v/>
      </c>
    </row>
    <row r="2670" spans="1:5">
      <c r="A2670" s="206" t="s">
        <v>1333</v>
      </c>
      <c r="B2670" s="157">
        <f ca="1">IF(OFFSET('IWP30'!Std10dot4Withdrawals, 17, 0, 1, 1) = DATE(1900,1,0),DATE(1900,1,1),OFFSET('IWP30'!Std10dot4Withdrawals, 17, 0, 1, 1))</f>
        <v>1</v>
      </c>
      <c r="C2670" s="155">
        <f ca="1">OFFSET('IWP30'!Std10dot4Withdrawals, 17, 2, 1, 1)</f>
        <v>0</v>
      </c>
      <c r="D2670" s="151" t="str">
        <f ca="1">IF(OFFSET('IWP30'!Std10dot4Withdrawals, 17, 4, 1, 1) = 0, "", OFFSET('IWP30'!Std10dot4Withdrawals, 17, 4, 1, 1))</f>
        <v/>
      </c>
      <c r="E2670" s="207" t="str">
        <f ca="1">IF(OFFSET('IWP30'!Std10dot4Withdrawals, 17, 7, 1, 1) = 0, "", OFFSET('IWP30'!Std10dot4Withdrawals, 17, 7, 1, 1))</f>
        <v/>
      </c>
    </row>
    <row r="2671" spans="1:5">
      <c r="A2671" s="206" t="s">
        <v>1333</v>
      </c>
      <c r="B2671" s="157">
        <f ca="1">IF(OFFSET('IWP30'!Std10dot4Withdrawals, 18, 0, 1, 1) = DATE(1900,1,0),DATE(1900,1,1),OFFSET('IWP30'!Std10dot4Withdrawals, 18, 0, 1, 1))</f>
        <v>1</v>
      </c>
      <c r="C2671" s="155">
        <f ca="1">OFFSET('IWP30'!Std10dot4Withdrawals, 18, 2, 1, 1)</f>
        <v>0</v>
      </c>
      <c r="D2671" s="151" t="str">
        <f ca="1">IF(OFFSET('IWP30'!Std10dot4Withdrawals, 18, 4, 1, 1) = 0, "", OFFSET('IWP30'!Std10dot4Withdrawals, 18, 4, 1, 1))</f>
        <v/>
      </c>
      <c r="E2671" s="207" t="str">
        <f ca="1">IF(OFFSET('IWP30'!Std10dot4Withdrawals, 18, 7, 1, 1) = 0, "", OFFSET('IWP30'!Std10dot4Withdrawals, 18, 7, 1, 1))</f>
        <v/>
      </c>
    </row>
    <row r="2672" spans="1:5" ht="15" thickBot="1">
      <c r="A2672" s="156" t="s">
        <v>1333</v>
      </c>
      <c r="B2672" s="194">
        <f ca="1">IF(OFFSET('IWP30'!Std10dot4Withdrawals, 19, 0, 1, 1) = DATE(1900,1,0),DATE(1900,1,1),OFFSET('IWP30'!Std10dot4Withdrawals, 19, 0, 1, 1))</f>
        <v>1</v>
      </c>
      <c r="C2672" s="174">
        <f ca="1">OFFSET('IWP30'!Std10dot4Withdrawals, 19, 2, 1, 1)</f>
        <v>0</v>
      </c>
      <c r="D2672" s="171" t="str">
        <f ca="1">IF(OFFSET('IWP30'!Std10dot4Withdrawals, 19, 4, 1, 1) = 0, "", OFFSET('IWP30'!Std10dot4Withdrawals, 19, 4, 1, 1))</f>
        <v/>
      </c>
      <c r="E2672" s="208" t="str">
        <f ca="1">IF(OFFSET('IWP30'!Std10dot4Withdrawals, 19, 7, 1, 1) = 0, "", OFFSET('IWP30'!Std10dot4Withdrawals, 19, 7, 1, 1))</f>
        <v/>
      </c>
    </row>
    <row r="2674" spans="1:10" ht="15" thickBot="1">
      <c r="A2674" t="s">
        <v>1283</v>
      </c>
    </row>
    <row r="2675" spans="1:10" s="62" customFormat="1">
      <c r="A2675" s="153" t="s">
        <v>1057</v>
      </c>
      <c r="B2675" s="312" t="s">
        <v>1197</v>
      </c>
      <c r="C2675" s="312" t="s">
        <v>187</v>
      </c>
      <c r="D2675" s="311" t="s">
        <v>423</v>
      </c>
      <c r="E2675"/>
      <c r="F2675"/>
      <c r="G2675"/>
      <c r="H2675"/>
      <c r="I2675"/>
      <c r="J2675"/>
    </row>
    <row r="2676" spans="1:10">
      <c r="A2676" s="206" t="s">
        <v>1060</v>
      </c>
      <c r="B2676" s="157">
        <f ca="1">IF(OFFSET('IWP01'!Std10dot5Withdrawals, 0, 0, 1, 1) = DATE(1900,1,0),DATE(1900,1,1),OFFSET('IWP01'!Std10dot5Withdrawals, 0, 0, 1, 1))</f>
        <v>1</v>
      </c>
      <c r="C2676" s="155">
        <f ca="1">OFFSET('IWP01'!Std10dot5Withdrawals, 0, 2, 1, 1)</f>
        <v>0</v>
      </c>
      <c r="D2676" s="207" t="str">
        <f ca="1">IF(OFFSET('IWP01'!Std10dot5Withdrawals, 0, 4, 1, 1) = 0, "", OFFSET('IWP01'!Std10dot5Withdrawals, 0, 4, 1, 1))</f>
        <v/>
      </c>
    </row>
    <row r="2677" spans="1:10">
      <c r="A2677" s="206" t="s">
        <v>1060</v>
      </c>
      <c r="B2677" s="157">
        <f ca="1">IF(OFFSET('IWP01'!Std10dot5Withdrawals, 1, 0, 1, 1) = DATE(1900,1,0),DATE(1900,1,1),OFFSET('IWP01'!Std10dot5Withdrawals, 1, 0, 1, 1))</f>
        <v>1</v>
      </c>
      <c r="C2677" s="155">
        <f ca="1">OFFSET('IWP01'!Std10dot5Withdrawals, 1, 2, 1, 1)</f>
        <v>0</v>
      </c>
      <c r="D2677" s="207" t="str">
        <f ca="1">IF(OFFSET('IWP01'!Std10dot5Withdrawals, 1, 4, 1, 1) = 0, "", OFFSET('IWP01'!Std10dot5Withdrawals, 1, 4, 1, 1))</f>
        <v/>
      </c>
    </row>
    <row r="2678" spans="1:10">
      <c r="A2678" s="206" t="s">
        <v>1060</v>
      </c>
      <c r="B2678" s="157">
        <f ca="1">IF(OFFSET('IWP01'!Std10dot5Withdrawals, 2, 0, 1, 1) = DATE(1900,1,0),DATE(1900,1,1),OFFSET('IWP01'!Std10dot5Withdrawals, 2, 0, 1, 1))</f>
        <v>1</v>
      </c>
      <c r="C2678" s="155">
        <f ca="1">OFFSET('IWP01'!Std10dot5Withdrawals, 2, 2, 1, 1)</f>
        <v>0</v>
      </c>
      <c r="D2678" s="207" t="str">
        <f ca="1">IF(OFFSET('IWP01'!Std10dot5Withdrawals, 2, 4, 1, 1) = 0, "", OFFSET('IWP01'!Std10dot5Withdrawals, 2, 4, 1, 1))</f>
        <v/>
      </c>
    </row>
    <row r="2679" spans="1:10">
      <c r="A2679" s="206" t="s">
        <v>1060</v>
      </c>
      <c r="B2679" s="157">
        <f ca="1">IF(OFFSET('IWP01'!Std10dot5Withdrawals, 3, 0, 1, 1) = DATE(1900,1,0),DATE(1900,1,1),OFFSET('IWP01'!Std10dot5Withdrawals, 3, 0, 1, 1))</f>
        <v>1</v>
      </c>
      <c r="C2679" s="155">
        <f ca="1">OFFSET('IWP01'!Std10dot5Withdrawals, 3, 2, 1, 1)</f>
        <v>0</v>
      </c>
      <c r="D2679" s="207" t="str">
        <f ca="1">IF(OFFSET('IWP01'!Std10dot5Withdrawals, 3, 4, 1, 1) = 0, "", OFFSET('IWP01'!Std10dot5Withdrawals, 3, 4, 1, 1))</f>
        <v/>
      </c>
    </row>
    <row r="2680" spans="1:10">
      <c r="A2680" s="206" t="s">
        <v>1060</v>
      </c>
      <c r="B2680" s="157">
        <f ca="1">IF(OFFSET('IWP01'!Std10dot5Withdrawals, 4, 0, 1, 1) = DATE(1900,1,0),DATE(1900,1,1),OFFSET('IWP01'!Std10dot5Withdrawals, 4, 0, 1, 1))</f>
        <v>1</v>
      </c>
      <c r="C2680" s="155">
        <f ca="1">OFFSET('IWP01'!Std10dot5Withdrawals, 4, 2, 1, 1)</f>
        <v>0</v>
      </c>
      <c r="D2680" s="207" t="str">
        <f ca="1">IF(OFFSET('IWP01'!Std10dot5Withdrawals, 4, 4, 1, 1) = 0, "", OFFSET('IWP01'!Std10dot5Withdrawals, 4, 4, 1, 1))</f>
        <v/>
      </c>
    </row>
    <row r="2681" spans="1:10">
      <c r="A2681" s="206" t="s">
        <v>1060</v>
      </c>
      <c r="B2681" s="157">
        <f ca="1">IF(OFFSET('IWP01'!Std10dot5Withdrawals, 5, 0, 1, 1) = DATE(1900,1,0),DATE(1900,1,1),OFFSET('IWP01'!Std10dot5Withdrawals, 5, 0, 1, 1))</f>
        <v>1</v>
      </c>
      <c r="C2681" s="155">
        <f ca="1">OFFSET('IWP01'!Std10dot5Withdrawals, 5, 2, 1, 1)</f>
        <v>0</v>
      </c>
      <c r="D2681" s="207" t="str">
        <f ca="1">IF(OFFSET('IWP01'!Std10dot5Withdrawals, 5, 4, 1, 1) = 0, "", OFFSET('IWP01'!Std10dot5Withdrawals, 5, 4, 1, 1))</f>
        <v/>
      </c>
    </row>
    <row r="2682" spans="1:10">
      <c r="A2682" s="206" t="s">
        <v>1060</v>
      </c>
      <c r="B2682" s="157">
        <f ca="1">IF(OFFSET('IWP01'!Std10dot5Withdrawals, 6, 0, 1, 1) = DATE(1900,1,0),DATE(1900,1,1),OFFSET('IWP01'!Std10dot5Withdrawals, 6, 0, 1, 1))</f>
        <v>1</v>
      </c>
      <c r="C2682" s="155">
        <f ca="1">OFFSET('IWP01'!Std10dot5Withdrawals, 6, 2, 1, 1)</f>
        <v>0</v>
      </c>
      <c r="D2682" s="207" t="str">
        <f ca="1">IF(OFFSET('IWP01'!Std10dot5Withdrawals, 6, 4, 1, 1) = 0, "", OFFSET('IWP01'!Std10dot5Withdrawals, 6, 4, 1, 1))</f>
        <v/>
      </c>
    </row>
    <row r="2683" spans="1:10">
      <c r="A2683" s="206" t="s">
        <v>1060</v>
      </c>
      <c r="B2683" s="157">
        <f ca="1">IF(OFFSET('IWP01'!Std10dot5Withdrawals, 7, 0, 1, 1) = DATE(1900,1,0),DATE(1900,1,1),OFFSET('IWP01'!Std10dot5Withdrawals, 7, 0, 1, 1))</f>
        <v>1</v>
      </c>
      <c r="C2683" s="155">
        <f ca="1">OFFSET('IWP01'!Std10dot5Withdrawals, 7, 2, 1, 1)</f>
        <v>0</v>
      </c>
      <c r="D2683" s="207" t="str">
        <f ca="1">IF(OFFSET('IWP01'!Std10dot5Withdrawals, 7, 4, 1, 1) = 0, "", OFFSET('IWP01'!Std10dot5Withdrawals, 7, 4, 1, 1))</f>
        <v/>
      </c>
    </row>
    <row r="2684" spans="1:10">
      <c r="A2684" s="206" t="s">
        <v>1060</v>
      </c>
      <c r="B2684" s="157">
        <f ca="1">IF(OFFSET('IWP01'!Std10dot5Withdrawals, 8, 0, 1, 1) = DATE(1900,1,0),DATE(1900,1,1),OFFSET('IWP01'!Std10dot5Withdrawals, 8, 0, 1, 1))</f>
        <v>1</v>
      </c>
      <c r="C2684" s="155">
        <f ca="1">OFFSET('IWP01'!Std10dot5Withdrawals, 8, 2, 1, 1)</f>
        <v>0</v>
      </c>
      <c r="D2684" s="207" t="str">
        <f ca="1">IF(OFFSET('IWP01'!Std10dot5Withdrawals, 8, 4, 1, 1) = 0, "", OFFSET('IWP01'!Std10dot5Withdrawals, 8, 4, 1, 1))</f>
        <v/>
      </c>
    </row>
    <row r="2685" spans="1:10">
      <c r="A2685" s="206" t="s">
        <v>1060</v>
      </c>
      <c r="B2685" s="157">
        <f ca="1">IF(OFFSET('IWP01'!Std10dot5Withdrawals, 9, 0, 1, 1) = DATE(1900,1,0),DATE(1900,1,1),OFFSET('IWP01'!Std10dot5Withdrawals, 9, 0, 1, 1))</f>
        <v>1</v>
      </c>
      <c r="C2685" s="155">
        <f ca="1">OFFSET('IWP01'!Std10dot5Withdrawals, 9, 2, 1, 1)</f>
        <v>0</v>
      </c>
      <c r="D2685" s="207" t="str">
        <f ca="1">IF(OFFSET('IWP01'!Std10dot5Withdrawals, 9, 4, 1, 1) = 0, "", OFFSET('IWP01'!Std10dot5Withdrawals, 9, 4, 1, 1))</f>
        <v/>
      </c>
    </row>
    <row r="2686" spans="1:10">
      <c r="A2686" s="206" t="s">
        <v>1193</v>
      </c>
      <c r="B2686" s="157">
        <f ca="1">IF(OFFSET('IWP02'!Std10dot5Withdrawals, 0, 0, 1, 1) = DATE(1900,1,0),DATE(1900,1,1),OFFSET('IWP02'!Std10dot5Withdrawals, 0, 0, 1, 1))</f>
        <v>1</v>
      </c>
      <c r="C2686" s="155">
        <f ca="1">OFFSET('IWP02'!Std10dot5Withdrawals, 0, 2, 1, 1)</f>
        <v>0</v>
      </c>
      <c r="D2686" s="207" t="str">
        <f ca="1">IF(OFFSET('IWP02'!Std10dot5Withdrawals, 0, 4, 1, 1) = 0, "", OFFSET('IWP02'!Std10dot5Withdrawals, 0, 4, 1, 1))</f>
        <v/>
      </c>
    </row>
    <row r="2687" spans="1:10">
      <c r="A2687" s="206" t="s">
        <v>1193</v>
      </c>
      <c r="B2687" s="157">
        <f ca="1">IF(OFFSET('IWP02'!Std10dot5Withdrawals, 1, 0, 1, 1) = DATE(1900,1,0),DATE(1900,1,1),OFFSET('IWP02'!Std10dot5Withdrawals, 1, 0, 1, 1))</f>
        <v>1</v>
      </c>
      <c r="C2687" s="155">
        <f ca="1">OFFSET('IWP02'!Std10dot5Withdrawals, 1, 2, 1, 1)</f>
        <v>0</v>
      </c>
      <c r="D2687" s="207" t="str">
        <f ca="1">IF(OFFSET('IWP02'!Std10dot5Withdrawals, 1, 4, 1, 1) = 0, "", OFFSET('IWP02'!Std10dot5Withdrawals, 1, 4, 1, 1))</f>
        <v/>
      </c>
    </row>
    <row r="2688" spans="1:10">
      <c r="A2688" s="206" t="s">
        <v>1193</v>
      </c>
      <c r="B2688" s="157">
        <f ca="1">IF(OFFSET('IWP02'!Std10dot5Withdrawals, 2, 0, 1, 1) = DATE(1900,1,0),DATE(1900,1,1),OFFSET('IWP02'!Std10dot5Withdrawals, 2, 0, 1, 1))</f>
        <v>1</v>
      </c>
      <c r="C2688" s="155">
        <f ca="1">OFFSET('IWP02'!Std10dot5Withdrawals, 2, 2, 1, 1)</f>
        <v>0</v>
      </c>
      <c r="D2688" s="207" t="str">
        <f ca="1">IF(OFFSET('IWP02'!Std10dot5Withdrawals, 2, 4, 1, 1) = 0, "", OFFSET('IWP02'!Std10dot5Withdrawals, 2, 4, 1, 1))</f>
        <v/>
      </c>
    </row>
    <row r="2689" spans="1:4">
      <c r="A2689" s="206" t="s">
        <v>1193</v>
      </c>
      <c r="B2689" s="157">
        <f ca="1">IF(OFFSET('IWP02'!Std10dot5Withdrawals, 3, 0, 1, 1) = DATE(1900,1,0),DATE(1900,1,1),OFFSET('IWP02'!Std10dot5Withdrawals, 3, 0, 1, 1))</f>
        <v>1</v>
      </c>
      <c r="C2689" s="155">
        <f ca="1">OFFSET('IWP02'!Std10dot5Withdrawals, 3, 2, 1, 1)</f>
        <v>0</v>
      </c>
      <c r="D2689" s="207" t="str">
        <f ca="1">IF(OFFSET('IWP02'!Std10dot5Withdrawals, 3, 4, 1, 1) = 0, "", OFFSET('IWP02'!Std10dot5Withdrawals, 3, 4, 1, 1))</f>
        <v/>
      </c>
    </row>
    <row r="2690" spans="1:4">
      <c r="A2690" s="206" t="s">
        <v>1193</v>
      </c>
      <c r="B2690" s="157">
        <f ca="1">IF(OFFSET('IWP02'!Std10dot5Withdrawals, 4, 0, 1, 1) = DATE(1900,1,0),DATE(1900,1,1),OFFSET('IWP02'!Std10dot5Withdrawals, 4, 0, 1, 1))</f>
        <v>1</v>
      </c>
      <c r="C2690" s="155">
        <f ca="1">OFFSET('IWP02'!Std10dot5Withdrawals, 4, 2, 1, 1)</f>
        <v>0</v>
      </c>
      <c r="D2690" s="207" t="str">
        <f ca="1">IF(OFFSET('IWP02'!Std10dot5Withdrawals, 4, 4, 1, 1) = 0, "", OFFSET('IWP02'!Std10dot5Withdrawals, 4, 4, 1, 1))</f>
        <v/>
      </c>
    </row>
    <row r="2691" spans="1:4">
      <c r="A2691" s="206" t="s">
        <v>1193</v>
      </c>
      <c r="B2691" s="157">
        <f ca="1">IF(OFFSET('IWP02'!Std10dot5Withdrawals, 5, 0, 1, 1) = DATE(1900,1,0),DATE(1900,1,1),OFFSET('IWP02'!Std10dot5Withdrawals, 5, 0, 1, 1))</f>
        <v>1</v>
      </c>
      <c r="C2691" s="155">
        <f ca="1">OFFSET('IWP02'!Std10dot5Withdrawals, 5, 2, 1, 1)</f>
        <v>0</v>
      </c>
      <c r="D2691" s="207" t="str">
        <f ca="1">IF(OFFSET('IWP02'!Std10dot5Withdrawals, 5, 4, 1, 1) = 0, "", OFFSET('IWP02'!Std10dot5Withdrawals, 5, 4, 1, 1))</f>
        <v/>
      </c>
    </row>
    <row r="2692" spans="1:4">
      <c r="A2692" s="206" t="s">
        <v>1193</v>
      </c>
      <c r="B2692" s="157">
        <f ca="1">IF(OFFSET('IWP02'!Std10dot5Withdrawals, 6, 0, 1, 1) = DATE(1900,1,0),DATE(1900,1,1),OFFSET('IWP02'!Std10dot5Withdrawals, 6, 0, 1, 1))</f>
        <v>1</v>
      </c>
      <c r="C2692" s="155">
        <f ca="1">OFFSET('IWP02'!Std10dot5Withdrawals, 6, 2, 1, 1)</f>
        <v>0</v>
      </c>
      <c r="D2692" s="207" t="str">
        <f ca="1">IF(OFFSET('IWP02'!Std10dot5Withdrawals, 6, 4, 1, 1) = 0, "", OFFSET('IWP02'!Std10dot5Withdrawals, 6, 4, 1, 1))</f>
        <v/>
      </c>
    </row>
    <row r="2693" spans="1:4">
      <c r="A2693" s="206" t="s">
        <v>1193</v>
      </c>
      <c r="B2693" s="157">
        <f ca="1">IF(OFFSET('IWP02'!Std10dot5Withdrawals, 7, 0, 1, 1) = DATE(1900,1,0),DATE(1900,1,1),OFFSET('IWP02'!Std10dot5Withdrawals, 7, 0, 1, 1))</f>
        <v>1</v>
      </c>
      <c r="C2693" s="155">
        <f ca="1">OFFSET('IWP02'!Std10dot5Withdrawals, 7, 2, 1, 1)</f>
        <v>0</v>
      </c>
      <c r="D2693" s="207" t="str">
        <f ca="1">IF(OFFSET('IWP02'!Std10dot5Withdrawals, 7, 4, 1, 1) = 0, "", OFFSET('IWP02'!Std10dot5Withdrawals, 7, 4, 1, 1))</f>
        <v/>
      </c>
    </row>
    <row r="2694" spans="1:4">
      <c r="A2694" s="206" t="s">
        <v>1193</v>
      </c>
      <c r="B2694" s="157">
        <f ca="1">IF(OFFSET('IWP02'!Std10dot5Withdrawals, 8, 0, 1, 1) = DATE(1900,1,0),DATE(1900,1,1),OFFSET('IWP02'!Std10dot5Withdrawals, 8, 0, 1, 1))</f>
        <v>1</v>
      </c>
      <c r="C2694" s="155">
        <f ca="1">OFFSET('IWP02'!Std10dot5Withdrawals, 8, 2, 1, 1)</f>
        <v>0</v>
      </c>
      <c r="D2694" s="207" t="str">
        <f ca="1">IF(OFFSET('IWP02'!Std10dot5Withdrawals, 8, 4, 1, 1) = 0, "", OFFSET('IWP02'!Std10dot5Withdrawals, 8, 4, 1, 1))</f>
        <v/>
      </c>
    </row>
    <row r="2695" spans="1:4">
      <c r="A2695" s="206" t="s">
        <v>1193</v>
      </c>
      <c r="B2695" s="157">
        <f ca="1">IF(OFFSET('IWP02'!Std10dot5Withdrawals, 9, 0, 1, 1) = DATE(1900,1,0),DATE(1900,1,1),OFFSET('IWP02'!Std10dot5Withdrawals, 9, 0, 1, 1))</f>
        <v>1</v>
      </c>
      <c r="C2695" s="155">
        <f ca="1">OFFSET('IWP02'!Std10dot5Withdrawals, 9, 2, 1, 1)</f>
        <v>0</v>
      </c>
      <c r="D2695" s="207" t="str">
        <f ca="1">IF(OFFSET('IWP02'!Std10dot5Withdrawals, 9, 4, 1, 1) = 0, "", OFFSET('IWP02'!Std10dot5Withdrawals, 9, 4, 1, 1))</f>
        <v/>
      </c>
    </row>
    <row r="2696" spans="1:4">
      <c r="A2696" s="206" t="s">
        <v>1194</v>
      </c>
      <c r="B2696" s="157">
        <f ca="1">IF(OFFSET('IWP03'!Std10dot5Withdrawals, 0, 0, 1, 1) = DATE(1900,1,0),DATE(1900,1,1),OFFSET('IWP03'!Std10dot5Withdrawals, 0, 0, 1, 1))</f>
        <v>1</v>
      </c>
      <c r="C2696" s="155">
        <f ca="1">OFFSET('IWP03'!Std10dot5Withdrawals, 0, 2, 1, 1)</f>
        <v>0</v>
      </c>
      <c r="D2696" s="207" t="str">
        <f ca="1">IF(OFFSET('IWP03'!Std10dot5Withdrawals, 0, 4, 1, 1) = 0, "", OFFSET('IWP03'!Std10dot5Withdrawals, 0, 4, 1, 1))</f>
        <v/>
      </c>
    </row>
    <row r="2697" spans="1:4">
      <c r="A2697" s="206" t="s">
        <v>1194</v>
      </c>
      <c r="B2697" s="157">
        <f ca="1">IF(OFFSET('IWP03'!Std10dot5Withdrawals, 1, 0, 1, 1) = DATE(1900,1,0),DATE(1900,1,1),OFFSET('IWP03'!Std10dot5Withdrawals, 1, 0, 1, 1))</f>
        <v>1</v>
      </c>
      <c r="C2697" s="155">
        <f ca="1">OFFSET('IWP03'!Std10dot5Withdrawals, 1, 2, 1, 1)</f>
        <v>0</v>
      </c>
      <c r="D2697" s="207" t="str">
        <f ca="1">IF(OFFSET('IWP03'!Std10dot5Withdrawals, 1, 4, 1, 1) = 0, "", OFFSET('IWP03'!Std10dot5Withdrawals, 1, 4, 1, 1))</f>
        <v/>
      </c>
    </row>
    <row r="2698" spans="1:4">
      <c r="A2698" s="206" t="s">
        <v>1194</v>
      </c>
      <c r="B2698" s="157">
        <f ca="1">IF(OFFSET('IWP03'!Std10dot5Withdrawals, 2, 0, 1, 1) = DATE(1900,1,0),DATE(1900,1,1),OFFSET('IWP03'!Std10dot5Withdrawals, 2, 0, 1, 1))</f>
        <v>1</v>
      </c>
      <c r="C2698" s="155">
        <f ca="1">OFFSET('IWP03'!Std10dot5Withdrawals, 2, 2, 1, 1)</f>
        <v>0</v>
      </c>
      <c r="D2698" s="207" t="str">
        <f ca="1">IF(OFFSET('IWP03'!Std10dot5Withdrawals, 2, 4, 1, 1) = 0, "", OFFSET('IWP03'!Std10dot5Withdrawals, 2, 4, 1, 1))</f>
        <v/>
      </c>
    </row>
    <row r="2699" spans="1:4">
      <c r="A2699" s="206" t="s">
        <v>1194</v>
      </c>
      <c r="B2699" s="157">
        <f ca="1">IF(OFFSET('IWP03'!Std10dot5Withdrawals, 3, 0, 1, 1) = DATE(1900,1,0),DATE(1900,1,1),OFFSET('IWP03'!Std10dot5Withdrawals, 3, 0, 1, 1))</f>
        <v>1</v>
      </c>
      <c r="C2699" s="155">
        <f ca="1">OFFSET('IWP03'!Std10dot5Withdrawals, 3, 2, 1, 1)</f>
        <v>0</v>
      </c>
      <c r="D2699" s="207" t="str">
        <f ca="1">IF(OFFSET('IWP03'!Std10dot5Withdrawals, 3, 4, 1, 1) = 0, "", OFFSET('IWP03'!Std10dot5Withdrawals, 3, 4, 1, 1))</f>
        <v/>
      </c>
    </row>
    <row r="2700" spans="1:4">
      <c r="A2700" s="206" t="s">
        <v>1194</v>
      </c>
      <c r="B2700" s="157">
        <f ca="1">IF(OFFSET('IWP03'!Std10dot5Withdrawals, 4, 0, 1, 1) = DATE(1900,1,0),DATE(1900,1,1),OFFSET('IWP03'!Std10dot5Withdrawals, 4, 0, 1, 1))</f>
        <v>1</v>
      </c>
      <c r="C2700" s="155">
        <f ca="1">OFFSET('IWP03'!Std10dot5Withdrawals, 4, 2, 1, 1)</f>
        <v>0</v>
      </c>
      <c r="D2700" s="207" t="str">
        <f ca="1">IF(OFFSET('IWP03'!Std10dot5Withdrawals, 4, 4, 1, 1) = 0, "", OFFSET('IWP03'!Std10dot5Withdrawals, 4, 4, 1, 1))</f>
        <v/>
      </c>
    </row>
    <row r="2701" spans="1:4">
      <c r="A2701" s="206" t="s">
        <v>1194</v>
      </c>
      <c r="B2701" s="157">
        <f ca="1">IF(OFFSET('IWP03'!Std10dot5Withdrawals, 5, 0, 1, 1) = DATE(1900,1,0),DATE(1900,1,1),OFFSET('IWP03'!Std10dot5Withdrawals, 5, 0, 1, 1))</f>
        <v>1</v>
      </c>
      <c r="C2701" s="155">
        <f ca="1">OFFSET('IWP03'!Std10dot5Withdrawals, 5, 2, 1, 1)</f>
        <v>0</v>
      </c>
      <c r="D2701" s="207" t="str">
        <f ca="1">IF(OFFSET('IWP03'!Std10dot5Withdrawals, 5, 4, 1, 1) = 0, "", OFFSET('IWP03'!Std10dot5Withdrawals, 5, 4, 1, 1))</f>
        <v/>
      </c>
    </row>
    <row r="2702" spans="1:4">
      <c r="A2702" s="206" t="s">
        <v>1194</v>
      </c>
      <c r="B2702" s="157">
        <f ca="1">IF(OFFSET('IWP03'!Std10dot5Withdrawals, 6, 0, 1, 1) = DATE(1900,1,0),DATE(1900,1,1),OFFSET('IWP03'!Std10dot5Withdrawals, 6, 0, 1, 1))</f>
        <v>1</v>
      </c>
      <c r="C2702" s="155">
        <f ca="1">OFFSET('IWP03'!Std10dot5Withdrawals, 6, 2, 1, 1)</f>
        <v>0</v>
      </c>
      <c r="D2702" s="207" t="str">
        <f ca="1">IF(OFFSET('IWP03'!Std10dot5Withdrawals, 6, 4, 1, 1) = 0, "", OFFSET('IWP03'!Std10dot5Withdrawals, 6, 4, 1, 1))</f>
        <v/>
      </c>
    </row>
    <row r="2703" spans="1:4">
      <c r="A2703" s="206" t="s">
        <v>1194</v>
      </c>
      <c r="B2703" s="157">
        <f ca="1">IF(OFFSET('IWP03'!Std10dot5Withdrawals, 7, 0, 1, 1) = DATE(1900,1,0),DATE(1900,1,1),OFFSET('IWP03'!Std10dot5Withdrawals, 7, 0, 1, 1))</f>
        <v>1</v>
      </c>
      <c r="C2703" s="155">
        <f ca="1">OFFSET('IWP03'!Std10dot5Withdrawals, 7, 2, 1, 1)</f>
        <v>0</v>
      </c>
      <c r="D2703" s="207" t="str">
        <f ca="1">IF(OFFSET('IWP03'!Std10dot5Withdrawals, 7, 4, 1, 1) = 0, "", OFFSET('IWP03'!Std10dot5Withdrawals, 7, 4, 1, 1))</f>
        <v/>
      </c>
    </row>
    <row r="2704" spans="1:4">
      <c r="A2704" s="206" t="s">
        <v>1194</v>
      </c>
      <c r="B2704" s="157">
        <f ca="1">IF(OFFSET('IWP03'!Std10dot5Withdrawals, 8, 0, 1, 1) = DATE(1900,1,0),DATE(1900,1,1),OFFSET('IWP03'!Std10dot5Withdrawals, 8, 0, 1, 1))</f>
        <v>1</v>
      </c>
      <c r="C2704" s="155">
        <f ca="1">OFFSET('IWP03'!Std10dot5Withdrawals, 8, 2, 1, 1)</f>
        <v>0</v>
      </c>
      <c r="D2704" s="207" t="str">
        <f ca="1">IF(OFFSET('IWP03'!Std10dot5Withdrawals, 8, 4, 1, 1) = 0, "", OFFSET('IWP03'!Std10dot5Withdrawals, 8, 4, 1, 1))</f>
        <v/>
      </c>
    </row>
    <row r="2705" spans="1:4">
      <c r="A2705" s="206" t="s">
        <v>1194</v>
      </c>
      <c r="B2705" s="157">
        <f ca="1">IF(OFFSET('IWP03'!Std10dot5Withdrawals, 9, 0, 1, 1) = DATE(1900,1,0),DATE(1900,1,1),OFFSET('IWP03'!Std10dot5Withdrawals, 9, 0, 1, 1))</f>
        <v>1</v>
      </c>
      <c r="C2705" s="155">
        <f ca="1">OFFSET('IWP03'!Std10dot5Withdrawals, 9, 2, 1, 1)</f>
        <v>0</v>
      </c>
      <c r="D2705" s="207" t="str">
        <f ca="1">IF(OFFSET('IWP03'!Std10dot5Withdrawals, 9, 4, 1, 1) = 0, "", OFFSET('IWP03'!Std10dot5Withdrawals, 9, 4, 1, 1))</f>
        <v/>
      </c>
    </row>
    <row r="2706" spans="1:4">
      <c r="A2706" s="206" t="s">
        <v>1307</v>
      </c>
      <c r="B2706" s="157">
        <f ca="1">IF(OFFSET('IWP04'!Std10dot5Withdrawals, 0, 0, 1, 1) = DATE(1900,1,0),DATE(1900,1,1),OFFSET('IWP04'!Std10dot5Withdrawals, 0, 0, 1, 1))</f>
        <v>1</v>
      </c>
      <c r="C2706" s="155">
        <f ca="1">OFFSET('IWP04'!Std10dot5Withdrawals, 0, 2, 1, 1)</f>
        <v>0</v>
      </c>
      <c r="D2706" s="207" t="str">
        <f ca="1">IF(OFFSET('IWP04'!Std10dot5Withdrawals, 0, 4, 1, 1) = 0, "", OFFSET('IWP04'!Std10dot5Withdrawals, 0, 4, 1, 1))</f>
        <v/>
      </c>
    </row>
    <row r="2707" spans="1:4">
      <c r="A2707" s="206" t="s">
        <v>1307</v>
      </c>
      <c r="B2707" s="157">
        <f ca="1">IF(OFFSET('IWP04'!Std10dot5Withdrawals, 1, 0, 1, 1) = DATE(1900,1,0),DATE(1900,1,1),OFFSET('IWP04'!Std10dot5Withdrawals, 1, 0, 1, 1))</f>
        <v>1</v>
      </c>
      <c r="C2707" s="155">
        <f ca="1">OFFSET('IWP04'!Std10dot5Withdrawals, 1, 2, 1, 1)</f>
        <v>0</v>
      </c>
      <c r="D2707" s="207" t="str">
        <f ca="1">IF(OFFSET('IWP04'!Std10dot5Withdrawals, 1, 4, 1, 1) = 0, "", OFFSET('IWP04'!Std10dot5Withdrawals, 1, 4, 1, 1))</f>
        <v/>
      </c>
    </row>
    <row r="2708" spans="1:4">
      <c r="A2708" s="206" t="s">
        <v>1307</v>
      </c>
      <c r="B2708" s="157">
        <f ca="1">IF(OFFSET('IWP04'!Std10dot5Withdrawals, 2, 0, 1, 1) = DATE(1900,1,0),DATE(1900,1,1),OFFSET('IWP04'!Std10dot5Withdrawals, 2, 0, 1, 1))</f>
        <v>1</v>
      </c>
      <c r="C2708" s="155">
        <f ca="1">OFFSET('IWP04'!Std10dot5Withdrawals, 2, 2, 1, 1)</f>
        <v>0</v>
      </c>
      <c r="D2708" s="207" t="str">
        <f ca="1">IF(OFFSET('IWP04'!Std10dot5Withdrawals, 2, 4, 1, 1) = 0, "", OFFSET('IWP04'!Std10dot5Withdrawals, 2, 4, 1, 1))</f>
        <v/>
      </c>
    </row>
    <row r="2709" spans="1:4">
      <c r="A2709" s="206" t="s">
        <v>1307</v>
      </c>
      <c r="B2709" s="157">
        <f ca="1">IF(OFFSET('IWP04'!Std10dot5Withdrawals, 3, 0, 1, 1) = DATE(1900,1,0),DATE(1900,1,1),OFFSET('IWP04'!Std10dot5Withdrawals, 3, 0, 1, 1))</f>
        <v>1</v>
      </c>
      <c r="C2709" s="155">
        <f ca="1">OFFSET('IWP04'!Std10dot5Withdrawals, 3, 2, 1, 1)</f>
        <v>0</v>
      </c>
      <c r="D2709" s="207" t="str">
        <f ca="1">IF(OFFSET('IWP04'!Std10dot5Withdrawals, 3, 4, 1, 1) = 0, "", OFFSET('IWP04'!Std10dot5Withdrawals, 3, 4, 1, 1))</f>
        <v/>
      </c>
    </row>
    <row r="2710" spans="1:4">
      <c r="A2710" s="206" t="s">
        <v>1307</v>
      </c>
      <c r="B2710" s="157">
        <f ca="1">IF(OFFSET('IWP04'!Std10dot5Withdrawals, 4, 0, 1, 1) = DATE(1900,1,0),DATE(1900,1,1),OFFSET('IWP04'!Std10dot5Withdrawals, 4, 0, 1, 1))</f>
        <v>1</v>
      </c>
      <c r="C2710" s="155">
        <f ca="1">OFFSET('IWP04'!Std10dot5Withdrawals, 4, 2, 1, 1)</f>
        <v>0</v>
      </c>
      <c r="D2710" s="207" t="str">
        <f ca="1">IF(OFFSET('IWP04'!Std10dot5Withdrawals, 4, 4, 1, 1) = 0, "", OFFSET('IWP04'!Std10dot5Withdrawals, 4, 4, 1, 1))</f>
        <v/>
      </c>
    </row>
    <row r="2711" spans="1:4">
      <c r="A2711" s="206" t="s">
        <v>1307</v>
      </c>
      <c r="B2711" s="157">
        <f ca="1">IF(OFFSET('IWP04'!Std10dot5Withdrawals, 5, 0, 1, 1) = DATE(1900,1,0),DATE(1900,1,1),OFFSET('IWP04'!Std10dot5Withdrawals, 5, 0, 1, 1))</f>
        <v>1</v>
      </c>
      <c r="C2711" s="155">
        <f ca="1">OFFSET('IWP04'!Std10dot5Withdrawals, 5, 2, 1, 1)</f>
        <v>0</v>
      </c>
      <c r="D2711" s="207" t="str">
        <f ca="1">IF(OFFSET('IWP04'!Std10dot5Withdrawals, 5, 4, 1, 1) = 0, "", OFFSET('IWP04'!Std10dot5Withdrawals, 5, 4, 1, 1))</f>
        <v/>
      </c>
    </row>
    <row r="2712" spans="1:4">
      <c r="A2712" s="206" t="s">
        <v>1307</v>
      </c>
      <c r="B2712" s="157">
        <f ca="1">IF(OFFSET('IWP04'!Std10dot5Withdrawals, 6, 0, 1, 1) = DATE(1900,1,0),DATE(1900,1,1),OFFSET('IWP04'!Std10dot5Withdrawals, 6, 0, 1, 1))</f>
        <v>1</v>
      </c>
      <c r="C2712" s="155">
        <f ca="1">OFFSET('IWP04'!Std10dot5Withdrawals, 6, 2, 1, 1)</f>
        <v>0</v>
      </c>
      <c r="D2712" s="207" t="str">
        <f ca="1">IF(OFFSET('IWP04'!Std10dot5Withdrawals, 6, 4, 1, 1) = 0, "", OFFSET('IWP04'!Std10dot5Withdrawals, 6, 4, 1, 1))</f>
        <v/>
      </c>
    </row>
    <row r="2713" spans="1:4">
      <c r="A2713" s="206" t="s">
        <v>1307</v>
      </c>
      <c r="B2713" s="157">
        <f ca="1">IF(OFFSET('IWP04'!Std10dot5Withdrawals, 7, 0, 1, 1) = DATE(1900,1,0),DATE(1900,1,1),OFFSET('IWP04'!Std10dot5Withdrawals, 7, 0, 1, 1))</f>
        <v>1</v>
      </c>
      <c r="C2713" s="155">
        <f ca="1">OFFSET('IWP04'!Std10dot5Withdrawals, 7, 2, 1, 1)</f>
        <v>0</v>
      </c>
      <c r="D2713" s="207" t="str">
        <f ca="1">IF(OFFSET('IWP04'!Std10dot5Withdrawals, 7, 4, 1, 1) = 0, "", OFFSET('IWP04'!Std10dot5Withdrawals, 7, 4, 1, 1))</f>
        <v/>
      </c>
    </row>
    <row r="2714" spans="1:4">
      <c r="A2714" s="206" t="s">
        <v>1307</v>
      </c>
      <c r="B2714" s="157">
        <f ca="1">IF(OFFSET('IWP04'!Std10dot5Withdrawals, 8, 0, 1, 1) = DATE(1900,1,0),DATE(1900,1,1),OFFSET('IWP04'!Std10dot5Withdrawals, 8, 0, 1, 1))</f>
        <v>1</v>
      </c>
      <c r="C2714" s="155">
        <f ca="1">OFFSET('IWP04'!Std10dot5Withdrawals, 8, 2, 1, 1)</f>
        <v>0</v>
      </c>
      <c r="D2714" s="207" t="str">
        <f ca="1">IF(OFFSET('IWP04'!Std10dot5Withdrawals, 8, 4, 1, 1) = 0, "", OFFSET('IWP04'!Std10dot5Withdrawals, 8, 4, 1, 1))</f>
        <v/>
      </c>
    </row>
    <row r="2715" spans="1:4">
      <c r="A2715" s="206" t="s">
        <v>1307</v>
      </c>
      <c r="B2715" s="157">
        <f ca="1">IF(OFFSET('IWP04'!Std10dot5Withdrawals, 9, 0, 1, 1) = DATE(1900,1,0),DATE(1900,1,1),OFFSET('IWP04'!Std10dot5Withdrawals, 9, 0, 1, 1))</f>
        <v>1</v>
      </c>
      <c r="C2715" s="155">
        <f ca="1">OFFSET('IWP04'!Std10dot5Withdrawals, 9, 2, 1, 1)</f>
        <v>0</v>
      </c>
      <c r="D2715" s="207" t="str">
        <f ca="1">IF(OFFSET('IWP04'!Std10dot5Withdrawals, 9, 4, 1, 1) = 0, "", OFFSET('IWP04'!Std10dot5Withdrawals, 9, 4, 1, 1))</f>
        <v/>
      </c>
    </row>
    <row r="2716" spans="1:4">
      <c r="A2716" s="206" t="s">
        <v>1308</v>
      </c>
      <c r="B2716" s="157">
        <f ca="1">IF(OFFSET('IWP05'!Std10dot5Withdrawals, 0, 0, 1, 1) = DATE(1900,1,0),DATE(1900,1,1),OFFSET('IWP05'!Std10dot5Withdrawals, 0, 0, 1, 1))</f>
        <v>1</v>
      </c>
      <c r="C2716" s="155">
        <f ca="1">OFFSET('IWP05'!Std10dot5Withdrawals, 0, 2, 1, 1)</f>
        <v>0</v>
      </c>
      <c r="D2716" s="207" t="str">
        <f ca="1">IF(OFFSET('IWP05'!Std10dot5Withdrawals, 0, 4, 1, 1) = 0, "", OFFSET('IWP05'!Std10dot5Withdrawals, 0, 4, 1, 1))</f>
        <v/>
      </c>
    </row>
    <row r="2717" spans="1:4">
      <c r="A2717" s="206" t="s">
        <v>1308</v>
      </c>
      <c r="B2717" s="157">
        <f ca="1">IF(OFFSET('IWP05'!Std10dot5Withdrawals, 1, 0, 1, 1) = DATE(1900,1,0),DATE(1900,1,1),OFFSET('IWP05'!Std10dot5Withdrawals, 1, 0, 1, 1))</f>
        <v>1</v>
      </c>
      <c r="C2717" s="155">
        <f ca="1">OFFSET('IWP05'!Std10dot5Withdrawals, 1, 2, 1, 1)</f>
        <v>0</v>
      </c>
      <c r="D2717" s="207" t="str">
        <f ca="1">IF(OFFSET('IWP05'!Std10dot5Withdrawals, 1, 4, 1, 1) = 0, "", OFFSET('IWP05'!Std10dot5Withdrawals, 1, 4, 1, 1))</f>
        <v/>
      </c>
    </row>
    <row r="2718" spans="1:4">
      <c r="A2718" s="206" t="s">
        <v>1308</v>
      </c>
      <c r="B2718" s="157">
        <f ca="1">IF(OFFSET('IWP05'!Std10dot5Withdrawals, 2, 0, 1, 1) = DATE(1900,1,0),DATE(1900,1,1),OFFSET('IWP05'!Std10dot5Withdrawals, 2, 0, 1, 1))</f>
        <v>1</v>
      </c>
      <c r="C2718" s="155">
        <f ca="1">OFFSET('IWP05'!Std10dot5Withdrawals, 2, 2, 1, 1)</f>
        <v>0</v>
      </c>
      <c r="D2718" s="207" t="str">
        <f ca="1">IF(OFFSET('IWP05'!Std10dot5Withdrawals, 2, 4, 1, 1) = 0, "", OFFSET('IWP05'!Std10dot5Withdrawals, 2, 4, 1, 1))</f>
        <v/>
      </c>
    </row>
    <row r="2719" spans="1:4">
      <c r="A2719" s="206" t="s">
        <v>1308</v>
      </c>
      <c r="B2719" s="157">
        <f ca="1">IF(OFFSET('IWP05'!Std10dot5Withdrawals, 3, 0, 1, 1) = DATE(1900,1,0),DATE(1900,1,1),OFFSET('IWP05'!Std10dot5Withdrawals, 3, 0, 1, 1))</f>
        <v>1</v>
      </c>
      <c r="C2719" s="155">
        <f ca="1">OFFSET('IWP05'!Std10dot5Withdrawals, 3, 2, 1, 1)</f>
        <v>0</v>
      </c>
      <c r="D2719" s="207" t="str">
        <f ca="1">IF(OFFSET('IWP05'!Std10dot5Withdrawals, 3, 4, 1, 1) = 0, "", OFFSET('IWP05'!Std10dot5Withdrawals, 3, 4, 1, 1))</f>
        <v/>
      </c>
    </row>
    <row r="2720" spans="1:4">
      <c r="A2720" s="206" t="s">
        <v>1308</v>
      </c>
      <c r="B2720" s="157">
        <f ca="1">IF(OFFSET('IWP05'!Std10dot5Withdrawals, 4, 0, 1, 1) = DATE(1900,1,0),DATE(1900,1,1),OFFSET('IWP05'!Std10dot5Withdrawals, 4, 0, 1, 1))</f>
        <v>1</v>
      </c>
      <c r="C2720" s="155">
        <f ca="1">OFFSET('IWP05'!Std10dot5Withdrawals, 4, 2, 1, 1)</f>
        <v>0</v>
      </c>
      <c r="D2720" s="207" t="str">
        <f ca="1">IF(OFFSET('IWP05'!Std10dot5Withdrawals, 4, 4, 1, 1) = 0, "", OFFSET('IWP05'!Std10dot5Withdrawals, 4, 4, 1, 1))</f>
        <v/>
      </c>
    </row>
    <row r="2721" spans="1:4">
      <c r="A2721" s="206" t="s">
        <v>1308</v>
      </c>
      <c r="B2721" s="157">
        <f ca="1">IF(OFFSET('IWP05'!Std10dot5Withdrawals, 5, 0, 1, 1) = DATE(1900,1,0),DATE(1900,1,1),OFFSET('IWP05'!Std10dot5Withdrawals, 5, 0, 1, 1))</f>
        <v>1</v>
      </c>
      <c r="C2721" s="155">
        <f ca="1">OFFSET('IWP05'!Std10dot5Withdrawals, 5, 2, 1, 1)</f>
        <v>0</v>
      </c>
      <c r="D2721" s="207" t="str">
        <f ca="1">IF(OFFSET('IWP05'!Std10dot5Withdrawals, 5, 4, 1, 1) = 0, "", OFFSET('IWP05'!Std10dot5Withdrawals, 5, 4, 1, 1))</f>
        <v/>
      </c>
    </row>
    <row r="2722" spans="1:4">
      <c r="A2722" s="206" t="s">
        <v>1308</v>
      </c>
      <c r="B2722" s="157">
        <f ca="1">IF(OFFSET('IWP05'!Std10dot5Withdrawals, 6, 0, 1, 1) = DATE(1900,1,0),DATE(1900,1,1),OFFSET('IWP05'!Std10dot5Withdrawals, 6, 0, 1, 1))</f>
        <v>1</v>
      </c>
      <c r="C2722" s="155">
        <f ca="1">OFFSET('IWP05'!Std10dot5Withdrawals, 6, 2, 1, 1)</f>
        <v>0</v>
      </c>
      <c r="D2722" s="207" t="str">
        <f ca="1">IF(OFFSET('IWP05'!Std10dot5Withdrawals, 6, 4, 1, 1) = 0, "", OFFSET('IWP05'!Std10dot5Withdrawals, 6, 4, 1, 1))</f>
        <v/>
      </c>
    </row>
    <row r="2723" spans="1:4">
      <c r="A2723" s="206" t="s">
        <v>1308</v>
      </c>
      <c r="B2723" s="157">
        <f ca="1">IF(OFFSET('IWP05'!Std10dot5Withdrawals, 7, 0, 1, 1) = DATE(1900,1,0),DATE(1900,1,1),OFFSET('IWP05'!Std10dot5Withdrawals, 7, 0, 1, 1))</f>
        <v>1</v>
      </c>
      <c r="C2723" s="155">
        <f ca="1">OFFSET('IWP05'!Std10dot5Withdrawals, 7, 2, 1, 1)</f>
        <v>0</v>
      </c>
      <c r="D2723" s="207" t="str">
        <f ca="1">IF(OFFSET('IWP05'!Std10dot5Withdrawals, 7, 4, 1, 1) = 0, "", OFFSET('IWP05'!Std10dot5Withdrawals, 7, 4, 1, 1))</f>
        <v/>
      </c>
    </row>
    <row r="2724" spans="1:4">
      <c r="A2724" s="206" t="s">
        <v>1308</v>
      </c>
      <c r="B2724" s="157">
        <f ca="1">IF(OFFSET('IWP05'!Std10dot5Withdrawals, 8, 0, 1, 1) = DATE(1900,1,0),DATE(1900,1,1),OFFSET('IWP05'!Std10dot5Withdrawals, 8, 0, 1, 1))</f>
        <v>1</v>
      </c>
      <c r="C2724" s="155">
        <f ca="1">OFFSET('IWP05'!Std10dot5Withdrawals, 8, 2, 1, 1)</f>
        <v>0</v>
      </c>
      <c r="D2724" s="207" t="str">
        <f ca="1">IF(OFFSET('IWP05'!Std10dot5Withdrawals, 8, 4, 1, 1) = 0, "", OFFSET('IWP05'!Std10dot5Withdrawals, 8, 4, 1, 1))</f>
        <v/>
      </c>
    </row>
    <row r="2725" spans="1:4">
      <c r="A2725" s="206" t="s">
        <v>1308</v>
      </c>
      <c r="B2725" s="157">
        <f ca="1">IF(OFFSET('IWP05'!Std10dot5Withdrawals, 9, 0, 1, 1) = DATE(1900,1,0),DATE(1900,1,1),OFFSET('IWP05'!Std10dot5Withdrawals, 9, 0, 1, 1))</f>
        <v>1</v>
      </c>
      <c r="C2725" s="155">
        <f ca="1">OFFSET('IWP05'!Std10dot5Withdrawals, 9, 2, 1, 1)</f>
        <v>0</v>
      </c>
      <c r="D2725" s="207" t="str">
        <f ca="1">IF(OFFSET('IWP05'!Std10dot5Withdrawals, 9, 4, 1, 1) = 0, "", OFFSET('IWP05'!Std10dot5Withdrawals, 9, 4, 1, 1))</f>
        <v/>
      </c>
    </row>
    <row r="2726" spans="1:4">
      <c r="A2726" s="206" t="s">
        <v>1309</v>
      </c>
      <c r="B2726" s="157">
        <f ca="1">IF(OFFSET('IWP06'!Std10dot5Withdrawals, 0, 0, 1, 1) = DATE(1900,1,0),DATE(1900,1,1),OFFSET('IWP06'!Std10dot5Withdrawals, 0, 0, 1, 1))</f>
        <v>1</v>
      </c>
      <c r="C2726" s="155">
        <f ca="1">OFFSET('IWP06'!Std10dot5Withdrawals, 0, 2, 1, 1)</f>
        <v>0</v>
      </c>
      <c r="D2726" s="207" t="str">
        <f ca="1">IF(OFFSET('IWP06'!Std10dot5Withdrawals, 0, 4, 1, 1) = 0, "", OFFSET('IWP06'!Std10dot5Withdrawals, 0, 4, 1, 1))</f>
        <v/>
      </c>
    </row>
    <row r="2727" spans="1:4">
      <c r="A2727" s="206" t="s">
        <v>1309</v>
      </c>
      <c r="B2727" s="157">
        <f ca="1">IF(OFFSET('IWP06'!Std10dot5Withdrawals, 1, 0, 1, 1) = DATE(1900,1,0),DATE(1900,1,1),OFFSET('IWP06'!Std10dot5Withdrawals, 1, 0, 1, 1))</f>
        <v>1</v>
      </c>
      <c r="C2727" s="155">
        <f ca="1">OFFSET('IWP06'!Std10dot5Withdrawals, 1, 2, 1, 1)</f>
        <v>0</v>
      </c>
      <c r="D2727" s="207" t="str">
        <f ca="1">IF(OFFSET('IWP06'!Std10dot5Withdrawals, 1, 4, 1, 1) = 0, "", OFFSET('IWP06'!Std10dot5Withdrawals, 1, 4, 1, 1))</f>
        <v/>
      </c>
    </row>
    <row r="2728" spans="1:4">
      <c r="A2728" s="206" t="s">
        <v>1309</v>
      </c>
      <c r="B2728" s="157">
        <f ca="1">IF(OFFSET('IWP06'!Std10dot5Withdrawals, 2, 0, 1, 1) = DATE(1900,1,0),DATE(1900,1,1),OFFSET('IWP06'!Std10dot5Withdrawals, 2, 0, 1, 1))</f>
        <v>1</v>
      </c>
      <c r="C2728" s="155">
        <f ca="1">OFFSET('IWP06'!Std10dot5Withdrawals, 2, 2, 1, 1)</f>
        <v>0</v>
      </c>
      <c r="D2728" s="207" t="str">
        <f ca="1">IF(OFFSET('IWP06'!Std10dot5Withdrawals, 2, 4, 1, 1) = 0, "", OFFSET('IWP06'!Std10dot5Withdrawals, 2, 4, 1, 1))</f>
        <v/>
      </c>
    </row>
    <row r="2729" spans="1:4">
      <c r="A2729" s="206" t="s">
        <v>1309</v>
      </c>
      <c r="B2729" s="157">
        <f ca="1">IF(OFFSET('IWP06'!Std10dot5Withdrawals, 3, 0, 1, 1) = DATE(1900,1,0),DATE(1900,1,1),OFFSET('IWP06'!Std10dot5Withdrawals, 3, 0, 1, 1))</f>
        <v>1</v>
      </c>
      <c r="C2729" s="155">
        <f ca="1">OFFSET('IWP06'!Std10dot5Withdrawals, 3, 2, 1, 1)</f>
        <v>0</v>
      </c>
      <c r="D2729" s="207" t="str">
        <f ca="1">IF(OFFSET('IWP06'!Std10dot5Withdrawals, 3, 4, 1, 1) = 0, "", OFFSET('IWP06'!Std10dot5Withdrawals, 3, 4, 1, 1))</f>
        <v/>
      </c>
    </row>
    <row r="2730" spans="1:4">
      <c r="A2730" s="206" t="s">
        <v>1309</v>
      </c>
      <c r="B2730" s="157">
        <f ca="1">IF(OFFSET('IWP06'!Std10dot5Withdrawals, 4, 0, 1, 1) = DATE(1900,1,0),DATE(1900,1,1),OFFSET('IWP06'!Std10dot5Withdrawals, 4, 0, 1, 1))</f>
        <v>1</v>
      </c>
      <c r="C2730" s="155">
        <f ca="1">OFFSET('IWP06'!Std10dot5Withdrawals, 4, 2, 1, 1)</f>
        <v>0</v>
      </c>
      <c r="D2730" s="207" t="str">
        <f ca="1">IF(OFFSET('IWP06'!Std10dot5Withdrawals, 4, 4, 1, 1) = 0, "", OFFSET('IWP06'!Std10dot5Withdrawals, 4, 4, 1, 1))</f>
        <v/>
      </c>
    </row>
    <row r="2731" spans="1:4">
      <c r="A2731" s="206" t="s">
        <v>1309</v>
      </c>
      <c r="B2731" s="157">
        <f ca="1">IF(OFFSET('IWP06'!Std10dot5Withdrawals, 5, 0, 1, 1) = DATE(1900,1,0),DATE(1900,1,1),OFFSET('IWP06'!Std10dot5Withdrawals, 5, 0, 1, 1))</f>
        <v>1</v>
      </c>
      <c r="C2731" s="155">
        <f ca="1">OFFSET('IWP06'!Std10dot5Withdrawals, 5, 2, 1, 1)</f>
        <v>0</v>
      </c>
      <c r="D2731" s="207" t="str">
        <f ca="1">IF(OFFSET('IWP06'!Std10dot5Withdrawals, 5, 4, 1, 1) = 0, "", OFFSET('IWP06'!Std10dot5Withdrawals, 5, 4, 1, 1))</f>
        <v/>
      </c>
    </row>
    <row r="2732" spans="1:4">
      <c r="A2732" s="206" t="s">
        <v>1309</v>
      </c>
      <c r="B2732" s="157">
        <f ca="1">IF(OFFSET('IWP06'!Std10dot5Withdrawals, 6, 0, 1, 1) = DATE(1900,1,0),DATE(1900,1,1),OFFSET('IWP06'!Std10dot5Withdrawals, 6, 0, 1, 1))</f>
        <v>1</v>
      </c>
      <c r="C2732" s="155">
        <f ca="1">OFFSET('IWP06'!Std10dot5Withdrawals, 6, 2, 1, 1)</f>
        <v>0</v>
      </c>
      <c r="D2732" s="207" t="str">
        <f ca="1">IF(OFFSET('IWP06'!Std10dot5Withdrawals, 6, 4, 1, 1) = 0, "", OFFSET('IWP06'!Std10dot5Withdrawals, 6, 4, 1, 1))</f>
        <v/>
      </c>
    </row>
    <row r="2733" spans="1:4">
      <c r="A2733" s="206" t="s">
        <v>1309</v>
      </c>
      <c r="B2733" s="157">
        <f ca="1">IF(OFFSET('IWP06'!Std10dot5Withdrawals, 7, 0, 1, 1) = DATE(1900,1,0),DATE(1900,1,1),OFFSET('IWP06'!Std10dot5Withdrawals, 7, 0, 1, 1))</f>
        <v>1</v>
      </c>
      <c r="C2733" s="155">
        <f ca="1">OFFSET('IWP06'!Std10dot5Withdrawals, 7, 2, 1, 1)</f>
        <v>0</v>
      </c>
      <c r="D2733" s="207" t="str">
        <f ca="1">IF(OFFSET('IWP06'!Std10dot5Withdrawals, 7, 4, 1, 1) = 0, "", OFFSET('IWP06'!Std10dot5Withdrawals, 7, 4, 1, 1))</f>
        <v/>
      </c>
    </row>
    <row r="2734" spans="1:4">
      <c r="A2734" s="206" t="s">
        <v>1309</v>
      </c>
      <c r="B2734" s="157">
        <f ca="1">IF(OFFSET('IWP06'!Std10dot5Withdrawals, 8, 0, 1, 1) = DATE(1900,1,0),DATE(1900,1,1),OFFSET('IWP06'!Std10dot5Withdrawals, 8, 0, 1, 1))</f>
        <v>1</v>
      </c>
      <c r="C2734" s="155">
        <f ca="1">OFFSET('IWP06'!Std10dot5Withdrawals, 8, 2, 1, 1)</f>
        <v>0</v>
      </c>
      <c r="D2734" s="207" t="str">
        <f ca="1">IF(OFFSET('IWP06'!Std10dot5Withdrawals, 8, 4, 1, 1) = 0, "", OFFSET('IWP06'!Std10dot5Withdrawals, 8, 4, 1, 1))</f>
        <v/>
      </c>
    </row>
    <row r="2735" spans="1:4">
      <c r="A2735" s="206" t="s">
        <v>1309</v>
      </c>
      <c r="B2735" s="157">
        <f ca="1">IF(OFFSET('IWP06'!Std10dot5Withdrawals, 9, 0, 1, 1) = DATE(1900,1,0),DATE(1900,1,1),OFFSET('IWP06'!Std10dot5Withdrawals, 9, 0, 1, 1))</f>
        <v>1</v>
      </c>
      <c r="C2735" s="155">
        <f ca="1">OFFSET('IWP06'!Std10dot5Withdrawals, 9, 2, 1, 1)</f>
        <v>0</v>
      </c>
      <c r="D2735" s="207" t="str">
        <f ca="1">IF(OFFSET('IWP06'!Std10dot5Withdrawals, 9, 4, 1, 1) = 0, "", OFFSET('IWP06'!Std10dot5Withdrawals, 9, 4, 1, 1))</f>
        <v/>
      </c>
    </row>
    <row r="2736" spans="1:4">
      <c r="A2736" s="206" t="s">
        <v>1310</v>
      </c>
      <c r="B2736" s="157">
        <f ca="1">IF(OFFSET('IWP07'!Std10dot5Withdrawals, 0, 0, 1, 1) = DATE(1900,1,0),DATE(1900,1,1),OFFSET('IWP07'!Std10dot5Withdrawals, 0, 0, 1, 1))</f>
        <v>1</v>
      </c>
      <c r="C2736" s="155">
        <f ca="1">OFFSET('IWP07'!Std10dot5Withdrawals, 0, 2, 1, 1)</f>
        <v>0</v>
      </c>
      <c r="D2736" s="207" t="str">
        <f ca="1">IF(OFFSET('IWP07'!Std10dot5Withdrawals, 0, 4, 1, 1) = 0, "", OFFSET('IWP07'!Std10dot5Withdrawals, 0, 4, 1, 1))</f>
        <v/>
      </c>
    </row>
    <row r="2737" spans="1:4">
      <c r="A2737" s="206" t="s">
        <v>1310</v>
      </c>
      <c r="B2737" s="157">
        <f ca="1">IF(OFFSET('IWP07'!Std10dot5Withdrawals, 1, 0, 1, 1) = DATE(1900,1,0),DATE(1900,1,1),OFFSET('IWP07'!Std10dot5Withdrawals, 1, 0, 1, 1))</f>
        <v>1</v>
      </c>
      <c r="C2737" s="155">
        <f ca="1">OFFSET('IWP07'!Std10dot5Withdrawals, 1, 2, 1, 1)</f>
        <v>0</v>
      </c>
      <c r="D2737" s="207" t="str">
        <f ca="1">IF(OFFSET('IWP07'!Std10dot5Withdrawals, 1, 4, 1, 1) = 0, "", OFFSET('IWP07'!Std10dot5Withdrawals, 1, 4, 1, 1))</f>
        <v/>
      </c>
    </row>
    <row r="2738" spans="1:4">
      <c r="A2738" s="206" t="s">
        <v>1310</v>
      </c>
      <c r="B2738" s="157">
        <f ca="1">IF(OFFSET('IWP07'!Std10dot5Withdrawals, 2, 0, 1, 1) = DATE(1900,1,0),DATE(1900,1,1),OFFSET('IWP07'!Std10dot5Withdrawals, 2, 0, 1, 1))</f>
        <v>1</v>
      </c>
      <c r="C2738" s="155">
        <f ca="1">OFFSET('IWP07'!Std10dot5Withdrawals, 2, 2, 1, 1)</f>
        <v>0</v>
      </c>
      <c r="D2738" s="207" t="str">
        <f ca="1">IF(OFFSET('IWP07'!Std10dot5Withdrawals, 2, 4, 1, 1) = 0, "", OFFSET('IWP07'!Std10dot5Withdrawals, 2, 4, 1, 1))</f>
        <v/>
      </c>
    </row>
    <row r="2739" spans="1:4">
      <c r="A2739" s="206" t="s">
        <v>1310</v>
      </c>
      <c r="B2739" s="157">
        <f ca="1">IF(OFFSET('IWP07'!Std10dot5Withdrawals, 3, 0, 1, 1) = DATE(1900,1,0),DATE(1900,1,1),OFFSET('IWP07'!Std10dot5Withdrawals, 3, 0, 1, 1))</f>
        <v>1</v>
      </c>
      <c r="C2739" s="155">
        <f ca="1">OFFSET('IWP07'!Std10dot5Withdrawals, 3, 2, 1, 1)</f>
        <v>0</v>
      </c>
      <c r="D2739" s="207" t="str">
        <f ca="1">IF(OFFSET('IWP07'!Std10dot5Withdrawals, 3, 4, 1, 1) = 0, "", OFFSET('IWP07'!Std10dot5Withdrawals, 3, 4, 1, 1))</f>
        <v/>
      </c>
    </row>
    <row r="2740" spans="1:4">
      <c r="A2740" s="206" t="s">
        <v>1310</v>
      </c>
      <c r="B2740" s="157">
        <f ca="1">IF(OFFSET('IWP07'!Std10dot5Withdrawals, 4, 0, 1, 1) = DATE(1900,1,0),DATE(1900,1,1),OFFSET('IWP07'!Std10dot5Withdrawals, 4, 0, 1, 1))</f>
        <v>1</v>
      </c>
      <c r="C2740" s="155">
        <f ca="1">OFFSET('IWP07'!Std10dot5Withdrawals, 4, 2, 1, 1)</f>
        <v>0</v>
      </c>
      <c r="D2740" s="207" t="str">
        <f ca="1">IF(OFFSET('IWP07'!Std10dot5Withdrawals, 4, 4, 1, 1) = 0, "", OFFSET('IWP07'!Std10dot5Withdrawals, 4, 4, 1, 1))</f>
        <v/>
      </c>
    </row>
    <row r="2741" spans="1:4">
      <c r="A2741" s="206" t="s">
        <v>1310</v>
      </c>
      <c r="B2741" s="157">
        <f ca="1">IF(OFFSET('IWP07'!Std10dot5Withdrawals, 5, 0, 1, 1) = DATE(1900,1,0),DATE(1900,1,1),OFFSET('IWP07'!Std10dot5Withdrawals, 5, 0, 1, 1))</f>
        <v>1</v>
      </c>
      <c r="C2741" s="155">
        <f ca="1">OFFSET('IWP07'!Std10dot5Withdrawals, 5, 2, 1, 1)</f>
        <v>0</v>
      </c>
      <c r="D2741" s="207" t="str">
        <f ca="1">IF(OFFSET('IWP07'!Std10dot5Withdrawals, 5, 4, 1, 1) = 0, "", OFFSET('IWP07'!Std10dot5Withdrawals, 5, 4, 1, 1))</f>
        <v/>
      </c>
    </row>
    <row r="2742" spans="1:4">
      <c r="A2742" s="206" t="s">
        <v>1310</v>
      </c>
      <c r="B2742" s="157">
        <f ca="1">IF(OFFSET('IWP07'!Std10dot5Withdrawals, 6, 0, 1, 1) = DATE(1900,1,0),DATE(1900,1,1),OFFSET('IWP07'!Std10dot5Withdrawals, 6, 0, 1, 1))</f>
        <v>1</v>
      </c>
      <c r="C2742" s="155">
        <f ca="1">OFFSET('IWP07'!Std10dot5Withdrawals, 6, 2, 1, 1)</f>
        <v>0</v>
      </c>
      <c r="D2742" s="207" t="str">
        <f ca="1">IF(OFFSET('IWP07'!Std10dot5Withdrawals, 6, 4, 1, 1) = 0, "", OFFSET('IWP07'!Std10dot5Withdrawals, 6, 4, 1, 1))</f>
        <v/>
      </c>
    </row>
    <row r="2743" spans="1:4">
      <c r="A2743" s="206" t="s">
        <v>1310</v>
      </c>
      <c r="B2743" s="157">
        <f ca="1">IF(OFFSET('IWP07'!Std10dot5Withdrawals, 7, 0, 1, 1) = DATE(1900,1,0),DATE(1900,1,1),OFFSET('IWP07'!Std10dot5Withdrawals, 7, 0, 1, 1))</f>
        <v>1</v>
      </c>
      <c r="C2743" s="155">
        <f ca="1">OFFSET('IWP07'!Std10dot5Withdrawals, 7, 2, 1, 1)</f>
        <v>0</v>
      </c>
      <c r="D2743" s="207" t="str">
        <f ca="1">IF(OFFSET('IWP07'!Std10dot5Withdrawals, 7, 4, 1, 1) = 0, "", OFFSET('IWP07'!Std10dot5Withdrawals, 7, 4, 1, 1))</f>
        <v/>
      </c>
    </row>
    <row r="2744" spans="1:4">
      <c r="A2744" s="206" t="s">
        <v>1310</v>
      </c>
      <c r="B2744" s="157">
        <f ca="1">IF(OFFSET('IWP07'!Std10dot5Withdrawals, 8, 0, 1, 1) = DATE(1900,1,0),DATE(1900,1,1),OFFSET('IWP07'!Std10dot5Withdrawals, 8, 0, 1, 1))</f>
        <v>1</v>
      </c>
      <c r="C2744" s="155">
        <f ca="1">OFFSET('IWP07'!Std10dot5Withdrawals, 8, 2, 1, 1)</f>
        <v>0</v>
      </c>
      <c r="D2744" s="207" t="str">
        <f ca="1">IF(OFFSET('IWP07'!Std10dot5Withdrawals, 8, 4, 1, 1) = 0, "", OFFSET('IWP07'!Std10dot5Withdrawals, 8, 4, 1, 1))</f>
        <v/>
      </c>
    </row>
    <row r="2745" spans="1:4">
      <c r="A2745" s="206" t="s">
        <v>1310</v>
      </c>
      <c r="B2745" s="157">
        <f ca="1">IF(OFFSET('IWP07'!Std10dot5Withdrawals, 9, 0, 1, 1) = DATE(1900,1,0),DATE(1900,1,1),OFFSET('IWP07'!Std10dot5Withdrawals, 9, 0, 1, 1))</f>
        <v>1</v>
      </c>
      <c r="C2745" s="155">
        <f ca="1">OFFSET('IWP07'!Std10dot5Withdrawals, 9, 2, 1, 1)</f>
        <v>0</v>
      </c>
      <c r="D2745" s="207" t="str">
        <f ca="1">IF(OFFSET('IWP07'!Std10dot5Withdrawals, 9, 4, 1, 1) = 0, "", OFFSET('IWP07'!Std10dot5Withdrawals, 9, 4, 1, 1))</f>
        <v/>
      </c>
    </row>
    <row r="2746" spans="1:4">
      <c r="A2746" s="206" t="s">
        <v>1311</v>
      </c>
      <c r="B2746" s="157">
        <f ca="1">IF(OFFSET('IWP08'!Std10dot5Withdrawals, 0, 0, 1, 1) = DATE(1900,1,0),DATE(1900,1,1),OFFSET('IWP08'!Std10dot5Withdrawals, 0, 0, 1, 1))</f>
        <v>1</v>
      </c>
      <c r="C2746" s="155">
        <f ca="1">OFFSET('IWP08'!Std10dot5Withdrawals, 0, 2, 1, 1)</f>
        <v>0</v>
      </c>
      <c r="D2746" s="207" t="str">
        <f ca="1">IF(OFFSET('IWP08'!Std10dot5Withdrawals, 0, 4, 1, 1) = 0, "", OFFSET('IWP08'!Std10dot5Withdrawals, 0, 4, 1, 1))</f>
        <v/>
      </c>
    </row>
    <row r="2747" spans="1:4">
      <c r="A2747" s="206" t="s">
        <v>1311</v>
      </c>
      <c r="B2747" s="157">
        <f ca="1">IF(OFFSET('IWP08'!Std10dot5Withdrawals, 1, 0, 1, 1) = DATE(1900,1,0),DATE(1900,1,1),OFFSET('IWP08'!Std10dot5Withdrawals, 1, 0, 1, 1))</f>
        <v>1</v>
      </c>
      <c r="C2747" s="155">
        <f ca="1">OFFSET('IWP08'!Std10dot5Withdrawals, 1, 2, 1, 1)</f>
        <v>0</v>
      </c>
      <c r="D2747" s="207" t="str">
        <f ca="1">IF(OFFSET('IWP08'!Std10dot5Withdrawals, 1, 4, 1, 1) = 0, "", OFFSET('IWP08'!Std10dot5Withdrawals, 1, 4, 1, 1))</f>
        <v/>
      </c>
    </row>
    <row r="2748" spans="1:4">
      <c r="A2748" s="206" t="s">
        <v>1311</v>
      </c>
      <c r="B2748" s="157">
        <f ca="1">IF(OFFSET('IWP08'!Std10dot5Withdrawals, 2, 0, 1, 1) = DATE(1900,1,0),DATE(1900,1,1),OFFSET('IWP08'!Std10dot5Withdrawals, 2, 0, 1, 1))</f>
        <v>1</v>
      </c>
      <c r="C2748" s="155">
        <f ca="1">OFFSET('IWP08'!Std10dot5Withdrawals, 2, 2, 1, 1)</f>
        <v>0</v>
      </c>
      <c r="D2748" s="207" t="str">
        <f ca="1">IF(OFFSET('IWP08'!Std10dot5Withdrawals, 2, 4, 1, 1) = 0, "", OFFSET('IWP08'!Std10dot5Withdrawals, 2, 4, 1, 1))</f>
        <v/>
      </c>
    </row>
    <row r="2749" spans="1:4">
      <c r="A2749" s="206" t="s">
        <v>1311</v>
      </c>
      <c r="B2749" s="157">
        <f ca="1">IF(OFFSET('IWP08'!Std10dot5Withdrawals, 3, 0, 1, 1) = DATE(1900,1,0),DATE(1900,1,1),OFFSET('IWP08'!Std10dot5Withdrawals, 3, 0, 1, 1))</f>
        <v>1</v>
      </c>
      <c r="C2749" s="155">
        <f ca="1">OFFSET('IWP08'!Std10dot5Withdrawals, 3, 2, 1, 1)</f>
        <v>0</v>
      </c>
      <c r="D2749" s="207" t="str">
        <f ca="1">IF(OFFSET('IWP08'!Std10dot5Withdrawals, 3, 4, 1, 1) = 0, "", OFFSET('IWP08'!Std10dot5Withdrawals, 3, 4, 1, 1))</f>
        <v/>
      </c>
    </row>
    <row r="2750" spans="1:4">
      <c r="A2750" s="206" t="s">
        <v>1311</v>
      </c>
      <c r="B2750" s="157">
        <f ca="1">IF(OFFSET('IWP08'!Std10dot5Withdrawals, 4, 0, 1, 1) = DATE(1900,1,0),DATE(1900,1,1),OFFSET('IWP08'!Std10dot5Withdrawals, 4, 0, 1, 1))</f>
        <v>1</v>
      </c>
      <c r="C2750" s="155">
        <f ca="1">OFFSET('IWP08'!Std10dot5Withdrawals, 4, 2, 1, 1)</f>
        <v>0</v>
      </c>
      <c r="D2750" s="207" t="str">
        <f ca="1">IF(OFFSET('IWP08'!Std10dot5Withdrawals, 4, 4, 1, 1) = 0, "", OFFSET('IWP08'!Std10dot5Withdrawals, 4, 4, 1, 1))</f>
        <v/>
      </c>
    </row>
    <row r="2751" spans="1:4">
      <c r="A2751" s="206" t="s">
        <v>1311</v>
      </c>
      <c r="B2751" s="157">
        <f ca="1">IF(OFFSET('IWP08'!Std10dot5Withdrawals, 5, 0, 1, 1) = DATE(1900,1,0),DATE(1900,1,1),OFFSET('IWP08'!Std10dot5Withdrawals, 5, 0, 1, 1))</f>
        <v>1</v>
      </c>
      <c r="C2751" s="155">
        <f ca="1">OFFSET('IWP08'!Std10dot5Withdrawals, 5, 2, 1, 1)</f>
        <v>0</v>
      </c>
      <c r="D2751" s="207" t="str">
        <f ca="1">IF(OFFSET('IWP08'!Std10dot5Withdrawals, 5, 4, 1, 1) = 0, "", OFFSET('IWP08'!Std10dot5Withdrawals, 5, 4, 1, 1))</f>
        <v/>
      </c>
    </row>
    <row r="2752" spans="1:4">
      <c r="A2752" s="206" t="s">
        <v>1311</v>
      </c>
      <c r="B2752" s="157">
        <f ca="1">IF(OFFSET('IWP08'!Std10dot5Withdrawals, 6, 0, 1, 1) = DATE(1900,1,0),DATE(1900,1,1),OFFSET('IWP08'!Std10dot5Withdrawals, 6, 0, 1, 1))</f>
        <v>1</v>
      </c>
      <c r="C2752" s="155">
        <f ca="1">OFFSET('IWP08'!Std10dot5Withdrawals, 6, 2, 1, 1)</f>
        <v>0</v>
      </c>
      <c r="D2752" s="207" t="str">
        <f ca="1">IF(OFFSET('IWP08'!Std10dot5Withdrawals, 6, 4, 1, 1) = 0, "", OFFSET('IWP08'!Std10dot5Withdrawals, 6, 4, 1, 1))</f>
        <v/>
      </c>
    </row>
    <row r="2753" spans="1:4">
      <c r="A2753" s="206" t="s">
        <v>1311</v>
      </c>
      <c r="B2753" s="157">
        <f ca="1">IF(OFFSET('IWP08'!Std10dot5Withdrawals, 7, 0, 1, 1) = DATE(1900,1,0),DATE(1900,1,1),OFFSET('IWP08'!Std10dot5Withdrawals, 7, 0, 1, 1))</f>
        <v>1</v>
      </c>
      <c r="C2753" s="155">
        <f ca="1">OFFSET('IWP08'!Std10dot5Withdrawals, 7, 2, 1, 1)</f>
        <v>0</v>
      </c>
      <c r="D2753" s="207" t="str">
        <f ca="1">IF(OFFSET('IWP08'!Std10dot5Withdrawals, 7, 4, 1, 1) = 0, "", OFFSET('IWP08'!Std10dot5Withdrawals, 7, 4, 1, 1))</f>
        <v/>
      </c>
    </row>
    <row r="2754" spans="1:4">
      <c r="A2754" s="206" t="s">
        <v>1311</v>
      </c>
      <c r="B2754" s="157">
        <f ca="1">IF(OFFSET('IWP08'!Std10dot5Withdrawals, 8, 0, 1, 1) = DATE(1900,1,0),DATE(1900,1,1),OFFSET('IWP08'!Std10dot5Withdrawals, 8, 0, 1, 1))</f>
        <v>1</v>
      </c>
      <c r="C2754" s="155">
        <f ca="1">OFFSET('IWP08'!Std10dot5Withdrawals, 8, 2, 1, 1)</f>
        <v>0</v>
      </c>
      <c r="D2754" s="207" t="str">
        <f ca="1">IF(OFFSET('IWP08'!Std10dot5Withdrawals, 8, 4, 1, 1) = 0, "", OFFSET('IWP08'!Std10dot5Withdrawals, 8, 4, 1, 1))</f>
        <v/>
      </c>
    </row>
    <row r="2755" spans="1:4">
      <c r="A2755" s="206" t="s">
        <v>1311</v>
      </c>
      <c r="B2755" s="157">
        <f ca="1">IF(OFFSET('IWP08'!Std10dot5Withdrawals, 9, 0, 1, 1) = DATE(1900,1,0),DATE(1900,1,1),OFFSET('IWP08'!Std10dot5Withdrawals, 9, 0, 1, 1))</f>
        <v>1</v>
      </c>
      <c r="C2755" s="155">
        <f ca="1">OFFSET('IWP08'!Std10dot5Withdrawals, 9, 2, 1, 1)</f>
        <v>0</v>
      </c>
      <c r="D2755" s="207" t="str">
        <f ca="1">IF(OFFSET('IWP08'!Std10dot5Withdrawals, 9, 4, 1, 1) = 0, "", OFFSET('IWP08'!Std10dot5Withdrawals, 9, 4, 1, 1))</f>
        <v/>
      </c>
    </row>
    <row r="2756" spans="1:4">
      <c r="A2756" s="206" t="s">
        <v>1312</v>
      </c>
      <c r="B2756" s="157">
        <f ca="1">IF(OFFSET('IWP09'!Std10dot5Withdrawals, 0, 0, 1, 1) = DATE(1900,1,0),DATE(1900,1,1),OFFSET('IWP09'!Std10dot5Withdrawals, 0, 0, 1, 1))</f>
        <v>1</v>
      </c>
      <c r="C2756" s="155">
        <f ca="1">OFFSET('IWP09'!Std10dot5Withdrawals, 0, 2, 1, 1)</f>
        <v>0</v>
      </c>
      <c r="D2756" s="207" t="str">
        <f ca="1">IF(OFFSET('IWP09'!Std10dot5Withdrawals, 0, 4, 1, 1) = 0, "", OFFSET('IWP09'!Std10dot5Withdrawals, 0, 4, 1, 1))</f>
        <v/>
      </c>
    </row>
    <row r="2757" spans="1:4">
      <c r="A2757" s="206" t="s">
        <v>1312</v>
      </c>
      <c r="B2757" s="157">
        <f ca="1">IF(OFFSET('IWP09'!Std10dot5Withdrawals, 1, 0, 1, 1) = DATE(1900,1,0),DATE(1900,1,1),OFFSET('IWP09'!Std10dot5Withdrawals, 1, 0, 1, 1))</f>
        <v>1</v>
      </c>
      <c r="C2757" s="155">
        <f ca="1">OFFSET('IWP09'!Std10dot5Withdrawals, 1, 2, 1, 1)</f>
        <v>0</v>
      </c>
      <c r="D2757" s="207" t="str">
        <f ca="1">IF(OFFSET('IWP09'!Std10dot5Withdrawals, 1, 4, 1, 1) = 0, "", OFFSET('IWP09'!Std10dot5Withdrawals, 1, 4, 1, 1))</f>
        <v/>
      </c>
    </row>
    <row r="2758" spans="1:4">
      <c r="A2758" s="206" t="s">
        <v>1312</v>
      </c>
      <c r="B2758" s="157">
        <f ca="1">IF(OFFSET('IWP09'!Std10dot5Withdrawals, 2, 0, 1, 1) = DATE(1900,1,0),DATE(1900,1,1),OFFSET('IWP09'!Std10dot5Withdrawals, 2, 0, 1, 1))</f>
        <v>1</v>
      </c>
      <c r="C2758" s="155">
        <f ca="1">OFFSET('IWP09'!Std10dot5Withdrawals, 2, 2, 1, 1)</f>
        <v>0</v>
      </c>
      <c r="D2758" s="207" t="str">
        <f ca="1">IF(OFFSET('IWP09'!Std10dot5Withdrawals, 2, 4, 1, 1) = 0, "", OFFSET('IWP09'!Std10dot5Withdrawals, 2, 4, 1, 1))</f>
        <v/>
      </c>
    </row>
    <row r="2759" spans="1:4">
      <c r="A2759" s="206" t="s">
        <v>1312</v>
      </c>
      <c r="B2759" s="157">
        <f ca="1">IF(OFFSET('IWP09'!Std10dot5Withdrawals, 3, 0, 1, 1) = DATE(1900,1,0),DATE(1900,1,1),OFFSET('IWP09'!Std10dot5Withdrawals, 3, 0, 1, 1))</f>
        <v>1</v>
      </c>
      <c r="C2759" s="155">
        <f ca="1">OFFSET('IWP09'!Std10dot5Withdrawals, 3, 2, 1, 1)</f>
        <v>0</v>
      </c>
      <c r="D2759" s="207" t="str">
        <f ca="1">IF(OFFSET('IWP09'!Std10dot5Withdrawals, 3, 4, 1, 1) = 0, "", OFFSET('IWP09'!Std10dot5Withdrawals, 3, 4, 1, 1))</f>
        <v/>
      </c>
    </row>
    <row r="2760" spans="1:4">
      <c r="A2760" s="206" t="s">
        <v>1312</v>
      </c>
      <c r="B2760" s="157">
        <f ca="1">IF(OFFSET('IWP09'!Std10dot5Withdrawals, 4, 0, 1, 1) = DATE(1900,1,0),DATE(1900,1,1),OFFSET('IWP09'!Std10dot5Withdrawals, 4, 0, 1, 1))</f>
        <v>1</v>
      </c>
      <c r="C2760" s="155">
        <f ca="1">OFFSET('IWP09'!Std10dot5Withdrawals, 4, 2, 1, 1)</f>
        <v>0</v>
      </c>
      <c r="D2760" s="207" t="str">
        <f ca="1">IF(OFFSET('IWP09'!Std10dot5Withdrawals, 4, 4, 1, 1) = 0, "", OFFSET('IWP09'!Std10dot5Withdrawals, 4, 4, 1, 1))</f>
        <v/>
      </c>
    </row>
    <row r="2761" spans="1:4">
      <c r="A2761" s="206" t="s">
        <v>1312</v>
      </c>
      <c r="B2761" s="157">
        <f ca="1">IF(OFFSET('IWP09'!Std10dot5Withdrawals, 5, 0, 1, 1) = DATE(1900,1,0),DATE(1900,1,1),OFFSET('IWP09'!Std10dot5Withdrawals, 5, 0, 1, 1))</f>
        <v>1</v>
      </c>
      <c r="C2761" s="155">
        <f ca="1">OFFSET('IWP09'!Std10dot5Withdrawals, 5, 2, 1, 1)</f>
        <v>0</v>
      </c>
      <c r="D2761" s="207" t="str">
        <f ca="1">IF(OFFSET('IWP09'!Std10dot5Withdrawals, 5, 4, 1, 1) = 0, "", OFFSET('IWP09'!Std10dot5Withdrawals, 5, 4, 1, 1))</f>
        <v/>
      </c>
    </row>
    <row r="2762" spans="1:4">
      <c r="A2762" s="206" t="s">
        <v>1312</v>
      </c>
      <c r="B2762" s="157">
        <f ca="1">IF(OFFSET('IWP09'!Std10dot5Withdrawals, 6, 0, 1, 1) = DATE(1900,1,0),DATE(1900,1,1),OFFSET('IWP09'!Std10dot5Withdrawals, 6, 0, 1, 1))</f>
        <v>1</v>
      </c>
      <c r="C2762" s="155">
        <f ca="1">OFFSET('IWP09'!Std10dot5Withdrawals, 6, 2, 1, 1)</f>
        <v>0</v>
      </c>
      <c r="D2762" s="207" t="str">
        <f ca="1">IF(OFFSET('IWP09'!Std10dot5Withdrawals, 6, 4, 1, 1) = 0, "", OFFSET('IWP09'!Std10dot5Withdrawals, 6, 4, 1, 1))</f>
        <v/>
      </c>
    </row>
    <row r="2763" spans="1:4">
      <c r="A2763" s="206" t="s">
        <v>1312</v>
      </c>
      <c r="B2763" s="157">
        <f ca="1">IF(OFFSET('IWP09'!Std10dot5Withdrawals, 7, 0, 1, 1) = DATE(1900,1,0),DATE(1900,1,1),OFFSET('IWP09'!Std10dot5Withdrawals, 7, 0, 1, 1))</f>
        <v>1</v>
      </c>
      <c r="C2763" s="155">
        <f ca="1">OFFSET('IWP09'!Std10dot5Withdrawals, 7, 2, 1, 1)</f>
        <v>0</v>
      </c>
      <c r="D2763" s="207" t="str">
        <f ca="1">IF(OFFSET('IWP09'!Std10dot5Withdrawals, 7, 4, 1, 1) = 0, "", OFFSET('IWP09'!Std10dot5Withdrawals, 7, 4, 1, 1))</f>
        <v/>
      </c>
    </row>
    <row r="2764" spans="1:4">
      <c r="A2764" s="206" t="s">
        <v>1312</v>
      </c>
      <c r="B2764" s="157">
        <f ca="1">IF(OFFSET('IWP09'!Std10dot5Withdrawals, 8, 0, 1, 1) = DATE(1900,1,0),DATE(1900,1,1),OFFSET('IWP09'!Std10dot5Withdrawals, 8, 0, 1, 1))</f>
        <v>1</v>
      </c>
      <c r="C2764" s="155">
        <f ca="1">OFFSET('IWP09'!Std10dot5Withdrawals, 8, 2, 1, 1)</f>
        <v>0</v>
      </c>
      <c r="D2764" s="207" t="str">
        <f ca="1">IF(OFFSET('IWP09'!Std10dot5Withdrawals, 8, 4, 1, 1) = 0, "", OFFSET('IWP09'!Std10dot5Withdrawals, 8, 4, 1, 1))</f>
        <v/>
      </c>
    </row>
    <row r="2765" spans="1:4">
      <c r="A2765" s="206" t="s">
        <v>1312</v>
      </c>
      <c r="B2765" s="157">
        <f ca="1">IF(OFFSET('IWP09'!Std10dot5Withdrawals, 9, 0, 1, 1) = DATE(1900,1,0),DATE(1900,1,1),OFFSET('IWP09'!Std10dot5Withdrawals, 9, 0, 1, 1))</f>
        <v>1</v>
      </c>
      <c r="C2765" s="155">
        <f ca="1">OFFSET('IWP09'!Std10dot5Withdrawals, 9, 2, 1, 1)</f>
        <v>0</v>
      </c>
      <c r="D2765" s="207" t="str">
        <f ca="1">IF(OFFSET('IWP09'!Std10dot5Withdrawals, 9, 4, 1, 1) = 0, "", OFFSET('IWP09'!Std10dot5Withdrawals, 9, 4, 1, 1))</f>
        <v/>
      </c>
    </row>
    <row r="2766" spans="1:4">
      <c r="A2766" s="206" t="s">
        <v>1313</v>
      </c>
      <c r="B2766" s="157">
        <f ca="1">IF(OFFSET('IWP10'!Std10dot5Withdrawals, 0, 0, 1, 1) = DATE(1900,1,0),DATE(1900,1,1),OFFSET('IWP10'!Std10dot5Withdrawals, 0, 0, 1, 1))</f>
        <v>1</v>
      </c>
      <c r="C2766" s="155">
        <f ca="1">OFFSET('IWP10'!Std10dot5Withdrawals, 0, 2, 1, 1)</f>
        <v>0</v>
      </c>
      <c r="D2766" s="207" t="str">
        <f ca="1">IF(OFFSET('IWP10'!Std10dot5Withdrawals, 0, 4, 1, 1) = 0, "", OFFSET('IWP10'!Std10dot5Withdrawals, 0, 4, 1, 1))</f>
        <v/>
      </c>
    </row>
    <row r="2767" spans="1:4">
      <c r="A2767" s="206" t="s">
        <v>1313</v>
      </c>
      <c r="B2767" s="157">
        <f ca="1">IF(OFFSET('IWP10'!Std10dot5Withdrawals, 1, 0, 1, 1) = DATE(1900,1,0),DATE(1900,1,1),OFFSET('IWP10'!Std10dot5Withdrawals, 1, 0, 1, 1))</f>
        <v>1</v>
      </c>
      <c r="C2767" s="155">
        <f ca="1">OFFSET('IWP10'!Std10dot5Withdrawals, 1, 2, 1, 1)</f>
        <v>0</v>
      </c>
      <c r="D2767" s="207" t="str">
        <f ca="1">IF(OFFSET('IWP10'!Std10dot5Withdrawals, 1, 4, 1, 1) = 0, "", OFFSET('IWP10'!Std10dot5Withdrawals, 1, 4, 1, 1))</f>
        <v/>
      </c>
    </row>
    <row r="2768" spans="1:4">
      <c r="A2768" s="206" t="s">
        <v>1313</v>
      </c>
      <c r="B2768" s="157">
        <f ca="1">IF(OFFSET('IWP10'!Std10dot5Withdrawals, 2, 0, 1, 1) = DATE(1900,1,0),DATE(1900,1,1),OFFSET('IWP10'!Std10dot5Withdrawals, 2, 0, 1, 1))</f>
        <v>1</v>
      </c>
      <c r="C2768" s="155">
        <f ca="1">OFFSET('IWP10'!Std10dot5Withdrawals, 2, 2, 1, 1)</f>
        <v>0</v>
      </c>
      <c r="D2768" s="207" t="str">
        <f ca="1">IF(OFFSET('IWP10'!Std10dot5Withdrawals, 2, 4, 1, 1) = 0, "", OFFSET('IWP10'!Std10dot5Withdrawals, 2, 4, 1, 1))</f>
        <v/>
      </c>
    </row>
    <row r="2769" spans="1:4">
      <c r="A2769" s="206" t="s">
        <v>1313</v>
      </c>
      <c r="B2769" s="157">
        <f ca="1">IF(OFFSET('IWP10'!Std10dot5Withdrawals, 3, 0, 1, 1) = DATE(1900,1,0),DATE(1900,1,1),OFFSET('IWP10'!Std10dot5Withdrawals, 3, 0, 1, 1))</f>
        <v>1</v>
      </c>
      <c r="C2769" s="155">
        <f ca="1">OFFSET('IWP10'!Std10dot5Withdrawals, 3, 2, 1, 1)</f>
        <v>0</v>
      </c>
      <c r="D2769" s="207" t="str">
        <f ca="1">IF(OFFSET('IWP10'!Std10dot5Withdrawals, 3, 4, 1, 1) = 0, "", OFFSET('IWP10'!Std10dot5Withdrawals, 3, 4, 1, 1))</f>
        <v/>
      </c>
    </row>
    <row r="2770" spans="1:4">
      <c r="A2770" s="206" t="s">
        <v>1313</v>
      </c>
      <c r="B2770" s="157">
        <f ca="1">IF(OFFSET('IWP10'!Std10dot5Withdrawals, 4, 0, 1, 1) = DATE(1900,1,0),DATE(1900,1,1),OFFSET('IWP10'!Std10dot5Withdrawals, 4, 0, 1, 1))</f>
        <v>1</v>
      </c>
      <c r="C2770" s="155">
        <f ca="1">OFFSET('IWP10'!Std10dot5Withdrawals, 4, 2, 1, 1)</f>
        <v>0</v>
      </c>
      <c r="D2770" s="207" t="str">
        <f ca="1">IF(OFFSET('IWP10'!Std10dot5Withdrawals, 4, 4, 1, 1) = 0, "", OFFSET('IWP10'!Std10dot5Withdrawals, 4, 4, 1, 1))</f>
        <v/>
      </c>
    </row>
    <row r="2771" spans="1:4">
      <c r="A2771" s="206" t="s">
        <v>1313</v>
      </c>
      <c r="B2771" s="157">
        <f ca="1">IF(OFFSET('IWP10'!Std10dot5Withdrawals, 5, 0, 1, 1) = DATE(1900,1,0),DATE(1900,1,1),OFFSET('IWP10'!Std10dot5Withdrawals, 5, 0, 1, 1))</f>
        <v>1</v>
      </c>
      <c r="C2771" s="155">
        <f ca="1">OFFSET('IWP10'!Std10dot5Withdrawals, 5, 2, 1, 1)</f>
        <v>0</v>
      </c>
      <c r="D2771" s="207" t="str">
        <f ca="1">IF(OFFSET('IWP10'!Std10dot5Withdrawals, 5, 4, 1, 1) = 0, "", OFFSET('IWP10'!Std10dot5Withdrawals, 5, 4, 1, 1))</f>
        <v/>
      </c>
    </row>
    <row r="2772" spans="1:4">
      <c r="A2772" s="206" t="s">
        <v>1313</v>
      </c>
      <c r="B2772" s="157">
        <f ca="1">IF(OFFSET('IWP10'!Std10dot5Withdrawals, 6, 0, 1, 1) = DATE(1900,1,0),DATE(1900,1,1),OFFSET('IWP10'!Std10dot5Withdrawals, 6, 0, 1, 1))</f>
        <v>1</v>
      </c>
      <c r="C2772" s="155">
        <f ca="1">OFFSET('IWP10'!Std10dot5Withdrawals, 6, 2, 1, 1)</f>
        <v>0</v>
      </c>
      <c r="D2772" s="207" t="str">
        <f ca="1">IF(OFFSET('IWP10'!Std10dot5Withdrawals, 6, 4, 1, 1) = 0, "", OFFSET('IWP10'!Std10dot5Withdrawals, 6, 4, 1, 1))</f>
        <v/>
      </c>
    </row>
    <row r="2773" spans="1:4">
      <c r="A2773" s="206" t="s">
        <v>1313</v>
      </c>
      <c r="B2773" s="157">
        <f ca="1">IF(OFFSET('IWP10'!Std10dot5Withdrawals, 7, 0, 1, 1) = DATE(1900,1,0),DATE(1900,1,1),OFFSET('IWP10'!Std10dot5Withdrawals, 7, 0, 1, 1))</f>
        <v>1</v>
      </c>
      <c r="C2773" s="155">
        <f ca="1">OFFSET('IWP10'!Std10dot5Withdrawals, 7, 2, 1, 1)</f>
        <v>0</v>
      </c>
      <c r="D2773" s="207" t="str">
        <f ca="1">IF(OFFSET('IWP10'!Std10dot5Withdrawals, 7, 4, 1, 1) = 0, "", OFFSET('IWP10'!Std10dot5Withdrawals, 7, 4, 1, 1))</f>
        <v/>
      </c>
    </row>
    <row r="2774" spans="1:4">
      <c r="A2774" s="206" t="s">
        <v>1313</v>
      </c>
      <c r="B2774" s="157">
        <f ca="1">IF(OFFSET('IWP10'!Std10dot5Withdrawals, 8, 0, 1, 1) = DATE(1900,1,0),DATE(1900,1,1),OFFSET('IWP10'!Std10dot5Withdrawals, 8, 0, 1, 1))</f>
        <v>1</v>
      </c>
      <c r="C2774" s="155">
        <f ca="1">OFFSET('IWP10'!Std10dot5Withdrawals, 8, 2, 1, 1)</f>
        <v>0</v>
      </c>
      <c r="D2774" s="207" t="str">
        <f ca="1">IF(OFFSET('IWP10'!Std10dot5Withdrawals, 8, 4, 1, 1) = 0, "", OFFSET('IWP10'!Std10dot5Withdrawals, 8, 4, 1, 1))</f>
        <v/>
      </c>
    </row>
    <row r="2775" spans="1:4">
      <c r="A2775" s="206" t="s">
        <v>1313</v>
      </c>
      <c r="B2775" s="157">
        <f ca="1">IF(OFFSET('IWP10'!Std10dot5Withdrawals, 9, 0, 1, 1) = DATE(1900,1,0),DATE(1900,1,1),OFFSET('IWP10'!Std10dot5Withdrawals, 9, 0, 1, 1))</f>
        <v>1</v>
      </c>
      <c r="C2775" s="155">
        <f ca="1">OFFSET('IWP10'!Std10dot5Withdrawals, 9, 2, 1, 1)</f>
        <v>0</v>
      </c>
      <c r="D2775" s="207" t="str">
        <f ca="1">IF(OFFSET('IWP10'!Std10dot5Withdrawals, 9, 4, 1, 1) = 0, "", OFFSET('IWP10'!Std10dot5Withdrawals, 9, 4, 1, 1))</f>
        <v/>
      </c>
    </row>
    <row r="2776" spans="1:4">
      <c r="A2776" s="206" t="s">
        <v>1314</v>
      </c>
      <c r="B2776" s="157">
        <f ca="1">IF(OFFSET('IWP11'!Std10dot5Withdrawals, 0, 0, 1, 1) = DATE(1900,1,0),DATE(1900,1,1),OFFSET('IWP11'!Std10dot5Withdrawals, 0, 0, 1, 1))</f>
        <v>1</v>
      </c>
      <c r="C2776" s="155">
        <f ca="1">OFFSET('IWP11'!Std10dot5Withdrawals, 0, 2, 1, 1)</f>
        <v>0</v>
      </c>
      <c r="D2776" s="207" t="str">
        <f ca="1">IF(OFFSET('IWP11'!Std10dot5Withdrawals, 0, 4, 1, 1) = 0, "", OFFSET('IWP11'!Std10dot5Withdrawals, 0, 4, 1, 1))</f>
        <v/>
      </c>
    </row>
    <row r="2777" spans="1:4">
      <c r="A2777" s="206" t="s">
        <v>1314</v>
      </c>
      <c r="B2777" s="157">
        <f ca="1">IF(OFFSET('IWP11'!Std10dot5Withdrawals, 1, 0, 1, 1) = DATE(1900,1,0),DATE(1900,1,1),OFFSET('IWP11'!Std10dot5Withdrawals, 1, 0, 1, 1))</f>
        <v>1</v>
      </c>
      <c r="C2777" s="155">
        <f ca="1">OFFSET('IWP11'!Std10dot5Withdrawals, 1, 2, 1, 1)</f>
        <v>0</v>
      </c>
      <c r="D2777" s="207" t="str">
        <f ca="1">IF(OFFSET('IWP11'!Std10dot5Withdrawals, 1, 4, 1, 1) = 0, "", OFFSET('IWP11'!Std10dot5Withdrawals, 1, 4, 1, 1))</f>
        <v/>
      </c>
    </row>
    <row r="2778" spans="1:4">
      <c r="A2778" s="206" t="s">
        <v>1314</v>
      </c>
      <c r="B2778" s="157">
        <f ca="1">IF(OFFSET('IWP11'!Std10dot5Withdrawals, 2, 0, 1, 1) = DATE(1900,1,0),DATE(1900,1,1),OFFSET('IWP11'!Std10dot5Withdrawals, 2, 0, 1, 1))</f>
        <v>1</v>
      </c>
      <c r="C2778" s="155">
        <f ca="1">OFFSET('IWP11'!Std10dot5Withdrawals, 2, 2, 1, 1)</f>
        <v>0</v>
      </c>
      <c r="D2778" s="207" t="str">
        <f ca="1">IF(OFFSET('IWP11'!Std10dot5Withdrawals, 2, 4, 1, 1) = 0, "", OFFSET('IWP11'!Std10dot5Withdrawals, 2, 4, 1, 1))</f>
        <v/>
      </c>
    </row>
    <row r="2779" spans="1:4">
      <c r="A2779" s="206" t="s">
        <v>1314</v>
      </c>
      <c r="B2779" s="157">
        <f ca="1">IF(OFFSET('IWP11'!Std10dot5Withdrawals, 3, 0, 1, 1) = DATE(1900,1,0),DATE(1900,1,1),OFFSET('IWP11'!Std10dot5Withdrawals, 3, 0, 1, 1))</f>
        <v>1</v>
      </c>
      <c r="C2779" s="155">
        <f ca="1">OFFSET('IWP11'!Std10dot5Withdrawals, 3, 2, 1, 1)</f>
        <v>0</v>
      </c>
      <c r="D2779" s="207" t="str">
        <f ca="1">IF(OFFSET('IWP11'!Std10dot5Withdrawals, 3, 4, 1, 1) = 0, "", OFFSET('IWP11'!Std10dot5Withdrawals, 3, 4, 1, 1))</f>
        <v/>
      </c>
    </row>
    <row r="2780" spans="1:4">
      <c r="A2780" s="206" t="s">
        <v>1314</v>
      </c>
      <c r="B2780" s="157">
        <f ca="1">IF(OFFSET('IWP11'!Std10dot5Withdrawals, 4, 0, 1, 1) = DATE(1900,1,0),DATE(1900,1,1),OFFSET('IWP11'!Std10dot5Withdrawals, 4, 0, 1, 1))</f>
        <v>1</v>
      </c>
      <c r="C2780" s="155">
        <f ca="1">OFFSET('IWP11'!Std10dot5Withdrawals, 4, 2, 1, 1)</f>
        <v>0</v>
      </c>
      <c r="D2780" s="207" t="str">
        <f ca="1">IF(OFFSET('IWP11'!Std10dot5Withdrawals, 4, 4, 1, 1) = 0, "", OFFSET('IWP11'!Std10dot5Withdrawals, 4, 4, 1, 1))</f>
        <v/>
      </c>
    </row>
    <row r="2781" spans="1:4">
      <c r="A2781" s="206" t="s">
        <v>1314</v>
      </c>
      <c r="B2781" s="157">
        <f ca="1">IF(OFFSET('IWP11'!Std10dot5Withdrawals, 5, 0, 1, 1) = DATE(1900,1,0),DATE(1900,1,1),OFFSET('IWP11'!Std10dot5Withdrawals, 5, 0, 1, 1))</f>
        <v>1</v>
      </c>
      <c r="C2781" s="155">
        <f ca="1">OFFSET('IWP11'!Std10dot5Withdrawals, 5, 2, 1, 1)</f>
        <v>0</v>
      </c>
      <c r="D2781" s="207" t="str">
        <f ca="1">IF(OFFSET('IWP11'!Std10dot5Withdrawals, 5, 4, 1, 1) = 0, "", OFFSET('IWP11'!Std10dot5Withdrawals, 5, 4, 1, 1))</f>
        <v/>
      </c>
    </row>
    <row r="2782" spans="1:4">
      <c r="A2782" s="206" t="s">
        <v>1314</v>
      </c>
      <c r="B2782" s="157">
        <f ca="1">IF(OFFSET('IWP11'!Std10dot5Withdrawals, 6, 0, 1, 1) = DATE(1900,1,0),DATE(1900,1,1),OFFSET('IWP11'!Std10dot5Withdrawals, 6, 0, 1, 1))</f>
        <v>1</v>
      </c>
      <c r="C2782" s="155">
        <f ca="1">OFFSET('IWP11'!Std10dot5Withdrawals, 6, 2, 1, 1)</f>
        <v>0</v>
      </c>
      <c r="D2782" s="207" t="str">
        <f ca="1">IF(OFFSET('IWP11'!Std10dot5Withdrawals, 6, 4, 1, 1) = 0, "", OFFSET('IWP11'!Std10dot5Withdrawals, 6, 4, 1, 1))</f>
        <v/>
      </c>
    </row>
    <row r="2783" spans="1:4">
      <c r="A2783" s="206" t="s">
        <v>1314</v>
      </c>
      <c r="B2783" s="157">
        <f ca="1">IF(OFFSET('IWP11'!Std10dot5Withdrawals, 7, 0, 1, 1) = DATE(1900,1,0),DATE(1900,1,1),OFFSET('IWP11'!Std10dot5Withdrawals, 7, 0, 1, 1))</f>
        <v>1</v>
      </c>
      <c r="C2783" s="155">
        <f ca="1">OFFSET('IWP11'!Std10dot5Withdrawals, 7, 2, 1, 1)</f>
        <v>0</v>
      </c>
      <c r="D2783" s="207" t="str">
        <f ca="1">IF(OFFSET('IWP11'!Std10dot5Withdrawals, 7, 4, 1, 1) = 0, "", OFFSET('IWP11'!Std10dot5Withdrawals, 7, 4, 1, 1))</f>
        <v/>
      </c>
    </row>
    <row r="2784" spans="1:4">
      <c r="A2784" s="206" t="s">
        <v>1314</v>
      </c>
      <c r="B2784" s="157">
        <f ca="1">IF(OFFSET('IWP11'!Std10dot5Withdrawals, 8, 0, 1, 1) = DATE(1900,1,0),DATE(1900,1,1),OFFSET('IWP11'!Std10dot5Withdrawals, 8, 0, 1, 1))</f>
        <v>1</v>
      </c>
      <c r="C2784" s="155">
        <f ca="1">OFFSET('IWP11'!Std10dot5Withdrawals, 8, 2, 1, 1)</f>
        <v>0</v>
      </c>
      <c r="D2784" s="207" t="str">
        <f ca="1">IF(OFFSET('IWP11'!Std10dot5Withdrawals, 8, 4, 1, 1) = 0, "", OFFSET('IWP11'!Std10dot5Withdrawals, 8, 4, 1, 1))</f>
        <v/>
      </c>
    </row>
    <row r="2785" spans="1:4">
      <c r="A2785" s="206" t="s">
        <v>1314</v>
      </c>
      <c r="B2785" s="157">
        <f ca="1">IF(OFFSET('IWP11'!Std10dot5Withdrawals, 9, 0, 1, 1) = DATE(1900,1,0),DATE(1900,1,1),OFFSET('IWP11'!Std10dot5Withdrawals, 9, 0, 1, 1))</f>
        <v>1</v>
      </c>
      <c r="C2785" s="155">
        <f ca="1">OFFSET('IWP11'!Std10dot5Withdrawals, 9, 2, 1, 1)</f>
        <v>0</v>
      </c>
      <c r="D2785" s="207" t="str">
        <f ca="1">IF(OFFSET('IWP11'!Std10dot5Withdrawals, 9, 4, 1, 1) = 0, "", OFFSET('IWP11'!Std10dot5Withdrawals, 9, 4, 1, 1))</f>
        <v/>
      </c>
    </row>
    <row r="2786" spans="1:4">
      <c r="A2786" s="206" t="s">
        <v>1315</v>
      </c>
      <c r="B2786" s="157">
        <f ca="1">IF(OFFSET('IWP12'!Std10dot5Withdrawals, 0, 0, 1, 1) = DATE(1900,1,0),DATE(1900,1,1),OFFSET('IWP12'!Std10dot5Withdrawals, 0, 0, 1, 1))</f>
        <v>1</v>
      </c>
      <c r="C2786" s="155">
        <f ca="1">OFFSET('IWP12'!Std10dot5Withdrawals, 0, 2, 1, 1)</f>
        <v>0</v>
      </c>
      <c r="D2786" s="207" t="str">
        <f ca="1">IF(OFFSET('IWP12'!Std10dot5Withdrawals, 0, 4, 1, 1) = 0, "", OFFSET('IWP12'!Std10dot5Withdrawals, 0, 4, 1, 1))</f>
        <v/>
      </c>
    </row>
    <row r="2787" spans="1:4">
      <c r="A2787" s="206" t="s">
        <v>1315</v>
      </c>
      <c r="B2787" s="157">
        <f ca="1">IF(OFFSET('IWP12'!Std10dot5Withdrawals, 1, 0, 1, 1) = DATE(1900,1,0),DATE(1900,1,1),OFFSET('IWP12'!Std10dot5Withdrawals, 1, 0, 1, 1))</f>
        <v>1</v>
      </c>
      <c r="C2787" s="155">
        <f ca="1">OFFSET('IWP12'!Std10dot5Withdrawals, 1, 2, 1, 1)</f>
        <v>0</v>
      </c>
      <c r="D2787" s="207" t="str">
        <f ca="1">IF(OFFSET('IWP12'!Std10dot5Withdrawals, 1, 4, 1, 1) = 0, "", OFFSET('IWP12'!Std10dot5Withdrawals, 1, 4, 1, 1))</f>
        <v/>
      </c>
    </row>
    <row r="2788" spans="1:4">
      <c r="A2788" s="206" t="s">
        <v>1315</v>
      </c>
      <c r="B2788" s="157">
        <f ca="1">IF(OFFSET('IWP12'!Std10dot5Withdrawals, 2, 0, 1, 1) = DATE(1900,1,0),DATE(1900,1,1),OFFSET('IWP12'!Std10dot5Withdrawals, 2, 0, 1, 1))</f>
        <v>1</v>
      </c>
      <c r="C2788" s="155">
        <f ca="1">OFFSET('IWP12'!Std10dot5Withdrawals, 2, 2, 1, 1)</f>
        <v>0</v>
      </c>
      <c r="D2788" s="207" t="str">
        <f ca="1">IF(OFFSET('IWP12'!Std10dot5Withdrawals, 2, 4, 1, 1) = 0, "", OFFSET('IWP12'!Std10dot5Withdrawals, 2, 4, 1, 1))</f>
        <v/>
      </c>
    </row>
    <row r="2789" spans="1:4">
      <c r="A2789" s="206" t="s">
        <v>1315</v>
      </c>
      <c r="B2789" s="157">
        <f ca="1">IF(OFFSET('IWP12'!Std10dot5Withdrawals, 3, 0, 1, 1) = DATE(1900,1,0),DATE(1900,1,1),OFFSET('IWP12'!Std10dot5Withdrawals, 3, 0, 1, 1))</f>
        <v>1</v>
      </c>
      <c r="C2789" s="155">
        <f ca="1">OFFSET('IWP12'!Std10dot5Withdrawals, 3, 2, 1, 1)</f>
        <v>0</v>
      </c>
      <c r="D2789" s="207" t="str">
        <f ca="1">IF(OFFSET('IWP12'!Std10dot5Withdrawals, 3, 4, 1, 1) = 0, "", OFFSET('IWP12'!Std10dot5Withdrawals, 3, 4, 1, 1))</f>
        <v/>
      </c>
    </row>
    <row r="2790" spans="1:4">
      <c r="A2790" s="206" t="s">
        <v>1315</v>
      </c>
      <c r="B2790" s="157">
        <f ca="1">IF(OFFSET('IWP12'!Std10dot5Withdrawals, 4, 0, 1, 1) = DATE(1900,1,0),DATE(1900,1,1),OFFSET('IWP12'!Std10dot5Withdrawals, 4, 0, 1, 1))</f>
        <v>1</v>
      </c>
      <c r="C2790" s="155">
        <f ca="1">OFFSET('IWP12'!Std10dot5Withdrawals, 4, 2, 1, 1)</f>
        <v>0</v>
      </c>
      <c r="D2790" s="207" t="str">
        <f ca="1">IF(OFFSET('IWP12'!Std10dot5Withdrawals, 4, 4, 1, 1) = 0, "", OFFSET('IWP12'!Std10dot5Withdrawals, 4, 4, 1, 1))</f>
        <v/>
      </c>
    </row>
    <row r="2791" spans="1:4">
      <c r="A2791" s="206" t="s">
        <v>1315</v>
      </c>
      <c r="B2791" s="157">
        <f ca="1">IF(OFFSET('IWP12'!Std10dot5Withdrawals, 5, 0, 1, 1) = DATE(1900,1,0),DATE(1900,1,1),OFFSET('IWP12'!Std10dot5Withdrawals, 5, 0, 1, 1))</f>
        <v>1</v>
      </c>
      <c r="C2791" s="155">
        <f ca="1">OFFSET('IWP12'!Std10dot5Withdrawals, 5, 2, 1, 1)</f>
        <v>0</v>
      </c>
      <c r="D2791" s="207" t="str">
        <f ca="1">IF(OFFSET('IWP12'!Std10dot5Withdrawals, 5, 4, 1, 1) = 0, "", OFFSET('IWP12'!Std10dot5Withdrawals, 5, 4, 1, 1))</f>
        <v/>
      </c>
    </row>
    <row r="2792" spans="1:4">
      <c r="A2792" s="206" t="s">
        <v>1315</v>
      </c>
      <c r="B2792" s="157">
        <f ca="1">IF(OFFSET('IWP12'!Std10dot5Withdrawals, 6, 0, 1, 1) = DATE(1900,1,0),DATE(1900,1,1),OFFSET('IWP12'!Std10dot5Withdrawals, 6, 0, 1, 1))</f>
        <v>1</v>
      </c>
      <c r="C2792" s="155">
        <f ca="1">OFFSET('IWP12'!Std10dot5Withdrawals, 6, 2, 1, 1)</f>
        <v>0</v>
      </c>
      <c r="D2792" s="207" t="str">
        <f ca="1">IF(OFFSET('IWP12'!Std10dot5Withdrawals, 6, 4, 1, 1) = 0, "", OFFSET('IWP12'!Std10dot5Withdrawals, 6, 4, 1, 1))</f>
        <v/>
      </c>
    </row>
    <row r="2793" spans="1:4">
      <c r="A2793" s="206" t="s">
        <v>1315</v>
      </c>
      <c r="B2793" s="157">
        <f ca="1">IF(OFFSET('IWP12'!Std10dot5Withdrawals, 7, 0, 1, 1) = DATE(1900,1,0),DATE(1900,1,1),OFFSET('IWP12'!Std10dot5Withdrawals, 7, 0, 1, 1))</f>
        <v>1</v>
      </c>
      <c r="C2793" s="155">
        <f ca="1">OFFSET('IWP12'!Std10dot5Withdrawals, 7, 2, 1, 1)</f>
        <v>0</v>
      </c>
      <c r="D2793" s="207" t="str">
        <f ca="1">IF(OFFSET('IWP12'!Std10dot5Withdrawals, 7, 4, 1, 1) = 0, "", OFFSET('IWP12'!Std10dot5Withdrawals, 7, 4, 1, 1))</f>
        <v/>
      </c>
    </row>
    <row r="2794" spans="1:4">
      <c r="A2794" s="206" t="s">
        <v>1315</v>
      </c>
      <c r="B2794" s="157">
        <f ca="1">IF(OFFSET('IWP12'!Std10dot5Withdrawals, 8, 0, 1, 1) = DATE(1900,1,0),DATE(1900,1,1),OFFSET('IWP12'!Std10dot5Withdrawals, 8, 0, 1, 1))</f>
        <v>1</v>
      </c>
      <c r="C2794" s="155">
        <f ca="1">OFFSET('IWP12'!Std10dot5Withdrawals, 8, 2, 1, 1)</f>
        <v>0</v>
      </c>
      <c r="D2794" s="207" t="str">
        <f ca="1">IF(OFFSET('IWP12'!Std10dot5Withdrawals, 8, 4, 1, 1) = 0, "", OFFSET('IWP12'!Std10dot5Withdrawals, 8, 4, 1, 1))</f>
        <v/>
      </c>
    </row>
    <row r="2795" spans="1:4">
      <c r="A2795" s="206" t="s">
        <v>1315</v>
      </c>
      <c r="B2795" s="157">
        <f ca="1">IF(OFFSET('IWP12'!Std10dot5Withdrawals, 9, 0, 1, 1) = DATE(1900,1,0),DATE(1900,1,1),OFFSET('IWP12'!Std10dot5Withdrawals, 9, 0, 1, 1))</f>
        <v>1</v>
      </c>
      <c r="C2795" s="155">
        <f ca="1">OFFSET('IWP12'!Std10dot5Withdrawals, 9, 2, 1, 1)</f>
        <v>0</v>
      </c>
      <c r="D2795" s="207" t="str">
        <f ca="1">IF(OFFSET('IWP12'!Std10dot5Withdrawals, 9, 4, 1, 1) = 0, "", OFFSET('IWP12'!Std10dot5Withdrawals, 9, 4, 1, 1))</f>
        <v/>
      </c>
    </row>
    <row r="2796" spans="1:4">
      <c r="A2796" s="206" t="s">
        <v>1316</v>
      </c>
      <c r="B2796" s="157">
        <f ca="1">IF(OFFSET('IWP13'!Std10dot5Withdrawals, 0, 0, 1, 1) = DATE(1900,1,0),DATE(1900,1,1),OFFSET('IWP13'!Std10dot5Withdrawals, 0, 0, 1, 1))</f>
        <v>1</v>
      </c>
      <c r="C2796" s="155">
        <f ca="1">OFFSET('IWP13'!Std10dot5Withdrawals, 0, 2, 1, 1)</f>
        <v>0</v>
      </c>
      <c r="D2796" s="207" t="str">
        <f ca="1">IF(OFFSET('IWP13'!Std10dot5Withdrawals, 0, 4, 1, 1) = 0, "", OFFSET('IWP13'!Std10dot5Withdrawals, 0, 4, 1, 1))</f>
        <v/>
      </c>
    </row>
    <row r="2797" spans="1:4">
      <c r="A2797" s="206" t="s">
        <v>1316</v>
      </c>
      <c r="B2797" s="157">
        <f ca="1">IF(OFFSET('IWP13'!Std10dot5Withdrawals, 1, 0, 1, 1) = DATE(1900,1,0),DATE(1900,1,1),OFFSET('IWP13'!Std10dot5Withdrawals, 1, 0, 1, 1))</f>
        <v>1</v>
      </c>
      <c r="C2797" s="155">
        <f ca="1">OFFSET('IWP13'!Std10dot5Withdrawals, 1, 2, 1, 1)</f>
        <v>0</v>
      </c>
      <c r="D2797" s="207" t="str">
        <f ca="1">IF(OFFSET('IWP13'!Std10dot5Withdrawals, 1, 4, 1, 1) = 0, "", OFFSET('IWP13'!Std10dot5Withdrawals, 1, 4, 1, 1))</f>
        <v/>
      </c>
    </row>
    <row r="2798" spans="1:4">
      <c r="A2798" s="206" t="s">
        <v>1316</v>
      </c>
      <c r="B2798" s="157">
        <f ca="1">IF(OFFSET('IWP13'!Std10dot5Withdrawals, 2, 0, 1, 1) = DATE(1900,1,0),DATE(1900,1,1),OFFSET('IWP13'!Std10dot5Withdrawals, 2, 0, 1, 1))</f>
        <v>1</v>
      </c>
      <c r="C2798" s="155">
        <f ca="1">OFFSET('IWP13'!Std10dot5Withdrawals, 2, 2, 1, 1)</f>
        <v>0</v>
      </c>
      <c r="D2798" s="207" t="str">
        <f ca="1">IF(OFFSET('IWP13'!Std10dot5Withdrawals, 2, 4, 1, 1) = 0, "", OFFSET('IWP13'!Std10dot5Withdrawals, 2, 4, 1, 1))</f>
        <v/>
      </c>
    </row>
    <row r="2799" spans="1:4">
      <c r="A2799" s="206" t="s">
        <v>1316</v>
      </c>
      <c r="B2799" s="157">
        <f ca="1">IF(OFFSET('IWP13'!Std10dot5Withdrawals, 3, 0, 1, 1) = DATE(1900,1,0),DATE(1900,1,1),OFFSET('IWP13'!Std10dot5Withdrawals, 3, 0, 1, 1))</f>
        <v>1</v>
      </c>
      <c r="C2799" s="155">
        <f ca="1">OFFSET('IWP13'!Std10dot5Withdrawals, 3, 2, 1, 1)</f>
        <v>0</v>
      </c>
      <c r="D2799" s="207" t="str">
        <f ca="1">IF(OFFSET('IWP13'!Std10dot5Withdrawals, 3, 4, 1, 1) = 0, "", OFFSET('IWP13'!Std10dot5Withdrawals, 3, 4, 1, 1))</f>
        <v/>
      </c>
    </row>
    <row r="2800" spans="1:4">
      <c r="A2800" s="206" t="s">
        <v>1316</v>
      </c>
      <c r="B2800" s="157">
        <f ca="1">IF(OFFSET('IWP13'!Std10dot5Withdrawals, 4, 0, 1, 1) = DATE(1900,1,0),DATE(1900,1,1),OFFSET('IWP13'!Std10dot5Withdrawals, 4, 0, 1, 1))</f>
        <v>1</v>
      </c>
      <c r="C2800" s="155">
        <f ca="1">OFFSET('IWP13'!Std10dot5Withdrawals, 4, 2, 1, 1)</f>
        <v>0</v>
      </c>
      <c r="D2800" s="207" t="str">
        <f ca="1">IF(OFFSET('IWP13'!Std10dot5Withdrawals, 4, 4, 1, 1) = 0, "", OFFSET('IWP13'!Std10dot5Withdrawals, 4, 4, 1, 1))</f>
        <v/>
      </c>
    </row>
    <row r="2801" spans="1:4">
      <c r="A2801" s="206" t="s">
        <v>1316</v>
      </c>
      <c r="B2801" s="157">
        <f ca="1">IF(OFFSET('IWP13'!Std10dot5Withdrawals, 5, 0, 1, 1) = DATE(1900,1,0),DATE(1900,1,1),OFFSET('IWP13'!Std10dot5Withdrawals, 5, 0, 1, 1))</f>
        <v>1</v>
      </c>
      <c r="C2801" s="155">
        <f ca="1">OFFSET('IWP13'!Std10dot5Withdrawals, 5, 2, 1, 1)</f>
        <v>0</v>
      </c>
      <c r="D2801" s="207" t="str">
        <f ca="1">IF(OFFSET('IWP13'!Std10dot5Withdrawals, 5, 4, 1, 1) = 0, "", OFFSET('IWP13'!Std10dot5Withdrawals, 5, 4, 1, 1))</f>
        <v/>
      </c>
    </row>
    <row r="2802" spans="1:4">
      <c r="A2802" s="206" t="s">
        <v>1316</v>
      </c>
      <c r="B2802" s="157">
        <f ca="1">IF(OFFSET('IWP13'!Std10dot5Withdrawals, 6, 0, 1, 1) = DATE(1900,1,0),DATE(1900,1,1),OFFSET('IWP13'!Std10dot5Withdrawals, 6, 0, 1, 1))</f>
        <v>1</v>
      </c>
      <c r="C2802" s="155">
        <f ca="1">OFFSET('IWP13'!Std10dot5Withdrawals, 6, 2, 1, 1)</f>
        <v>0</v>
      </c>
      <c r="D2802" s="207" t="str">
        <f ca="1">IF(OFFSET('IWP13'!Std10dot5Withdrawals, 6, 4, 1, 1) = 0, "", OFFSET('IWP13'!Std10dot5Withdrawals, 6, 4, 1, 1))</f>
        <v/>
      </c>
    </row>
    <row r="2803" spans="1:4">
      <c r="A2803" s="206" t="s">
        <v>1316</v>
      </c>
      <c r="B2803" s="157">
        <f ca="1">IF(OFFSET('IWP13'!Std10dot5Withdrawals, 7, 0, 1, 1) = DATE(1900,1,0),DATE(1900,1,1),OFFSET('IWP13'!Std10dot5Withdrawals, 7, 0, 1, 1))</f>
        <v>1</v>
      </c>
      <c r="C2803" s="155">
        <f ca="1">OFFSET('IWP13'!Std10dot5Withdrawals, 7, 2, 1, 1)</f>
        <v>0</v>
      </c>
      <c r="D2803" s="207" t="str">
        <f ca="1">IF(OFFSET('IWP13'!Std10dot5Withdrawals, 7, 4, 1, 1) = 0, "", OFFSET('IWP13'!Std10dot5Withdrawals, 7, 4, 1, 1))</f>
        <v/>
      </c>
    </row>
    <row r="2804" spans="1:4">
      <c r="A2804" s="206" t="s">
        <v>1316</v>
      </c>
      <c r="B2804" s="157">
        <f ca="1">IF(OFFSET('IWP13'!Std10dot5Withdrawals, 8, 0, 1, 1) = DATE(1900,1,0),DATE(1900,1,1),OFFSET('IWP13'!Std10dot5Withdrawals, 8, 0, 1, 1))</f>
        <v>1</v>
      </c>
      <c r="C2804" s="155">
        <f ca="1">OFFSET('IWP13'!Std10dot5Withdrawals, 8, 2, 1, 1)</f>
        <v>0</v>
      </c>
      <c r="D2804" s="207" t="str">
        <f ca="1">IF(OFFSET('IWP13'!Std10dot5Withdrawals, 8, 4, 1, 1) = 0, "", OFFSET('IWP13'!Std10dot5Withdrawals, 8, 4, 1, 1))</f>
        <v/>
      </c>
    </row>
    <row r="2805" spans="1:4">
      <c r="A2805" s="206" t="s">
        <v>1316</v>
      </c>
      <c r="B2805" s="157">
        <f ca="1">IF(OFFSET('IWP13'!Std10dot5Withdrawals, 9, 0, 1, 1) = DATE(1900,1,0),DATE(1900,1,1),OFFSET('IWP13'!Std10dot5Withdrawals, 9, 0, 1, 1))</f>
        <v>1</v>
      </c>
      <c r="C2805" s="155">
        <f ca="1">OFFSET('IWP13'!Std10dot5Withdrawals, 9, 2, 1, 1)</f>
        <v>0</v>
      </c>
      <c r="D2805" s="207" t="str">
        <f ca="1">IF(OFFSET('IWP13'!Std10dot5Withdrawals, 9, 4, 1, 1) = 0, "", OFFSET('IWP13'!Std10dot5Withdrawals, 9, 4, 1, 1))</f>
        <v/>
      </c>
    </row>
    <row r="2806" spans="1:4">
      <c r="A2806" s="206" t="s">
        <v>1317</v>
      </c>
      <c r="B2806" s="157">
        <f ca="1">IF(OFFSET('IWP14'!Std10dot5Withdrawals, 0, 0, 1, 1) = DATE(1900,1,0),DATE(1900,1,1),OFFSET('IWP14'!Std10dot5Withdrawals, 0, 0, 1, 1))</f>
        <v>1</v>
      </c>
      <c r="C2806" s="155">
        <f ca="1">OFFSET('IWP14'!Std10dot5Withdrawals, 0, 2, 1, 1)</f>
        <v>0</v>
      </c>
      <c r="D2806" s="207" t="str">
        <f ca="1">IF(OFFSET('IWP14'!Std10dot5Withdrawals, 0, 4, 1, 1) = 0, "", OFFSET('IWP14'!Std10dot5Withdrawals, 0, 4, 1, 1))</f>
        <v/>
      </c>
    </row>
    <row r="2807" spans="1:4">
      <c r="A2807" s="206" t="s">
        <v>1317</v>
      </c>
      <c r="B2807" s="157">
        <f ca="1">IF(OFFSET('IWP14'!Std10dot5Withdrawals, 1, 0, 1, 1) = DATE(1900,1,0),DATE(1900,1,1),OFFSET('IWP14'!Std10dot5Withdrawals, 1, 0, 1, 1))</f>
        <v>1</v>
      </c>
      <c r="C2807" s="155">
        <f ca="1">OFFSET('IWP14'!Std10dot5Withdrawals, 1, 2, 1, 1)</f>
        <v>0</v>
      </c>
      <c r="D2807" s="207" t="str">
        <f ca="1">IF(OFFSET('IWP14'!Std10dot5Withdrawals, 1, 4, 1, 1) = 0, "", OFFSET('IWP14'!Std10dot5Withdrawals, 1, 4, 1, 1))</f>
        <v/>
      </c>
    </row>
    <row r="2808" spans="1:4">
      <c r="A2808" s="206" t="s">
        <v>1317</v>
      </c>
      <c r="B2808" s="157">
        <f ca="1">IF(OFFSET('IWP14'!Std10dot5Withdrawals, 2, 0, 1, 1) = DATE(1900,1,0),DATE(1900,1,1),OFFSET('IWP14'!Std10dot5Withdrawals, 2, 0, 1, 1))</f>
        <v>1</v>
      </c>
      <c r="C2808" s="155">
        <f ca="1">OFFSET('IWP14'!Std10dot5Withdrawals, 2, 2, 1, 1)</f>
        <v>0</v>
      </c>
      <c r="D2808" s="207" t="str">
        <f ca="1">IF(OFFSET('IWP14'!Std10dot5Withdrawals, 2, 4, 1, 1) = 0, "", OFFSET('IWP14'!Std10dot5Withdrawals, 2, 4, 1, 1))</f>
        <v/>
      </c>
    </row>
    <row r="2809" spans="1:4">
      <c r="A2809" s="206" t="s">
        <v>1317</v>
      </c>
      <c r="B2809" s="157">
        <f ca="1">IF(OFFSET('IWP14'!Std10dot5Withdrawals, 3, 0, 1, 1) = DATE(1900,1,0),DATE(1900,1,1),OFFSET('IWP14'!Std10dot5Withdrawals, 3, 0, 1, 1))</f>
        <v>1</v>
      </c>
      <c r="C2809" s="155">
        <f ca="1">OFFSET('IWP14'!Std10dot5Withdrawals, 3, 2, 1, 1)</f>
        <v>0</v>
      </c>
      <c r="D2809" s="207" t="str">
        <f ca="1">IF(OFFSET('IWP14'!Std10dot5Withdrawals, 3, 4, 1, 1) = 0, "", OFFSET('IWP14'!Std10dot5Withdrawals, 3, 4, 1, 1))</f>
        <v/>
      </c>
    </row>
    <row r="2810" spans="1:4">
      <c r="A2810" s="206" t="s">
        <v>1317</v>
      </c>
      <c r="B2810" s="157">
        <f ca="1">IF(OFFSET('IWP14'!Std10dot5Withdrawals, 4, 0, 1, 1) = DATE(1900,1,0),DATE(1900,1,1),OFFSET('IWP14'!Std10dot5Withdrawals, 4, 0, 1, 1))</f>
        <v>1</v>
      </c>
      <c r="C2810" s="155">
        <f ca="1">OFFSET('IWP14'!Std10dot5Withdrawals, 4, 2, 1, 1)</f>
        <v>0</v>
      </c>
      <c r="D2810" s="207" t="str">
        <f ca="1">IF(OFFSET('IWP14'!Std10dot5Withdrawals, 4, 4, 1, 1) = 0, "", OFFSET('IWP14'!Std10dot5Withdrawals, 4, 4, 1, 1))</f>
        <v/>
      </c>
    </row>
    <row r="2811" spans="1:4">
      <c r="A2811" s="206" t="s">
        <v>1317</v>
      </c>
      <c r="B2811" s="157">
        <f ca="1">IF(OFFSET('IWP14'!Std10dot5Withdrawals, 5, 0, 1, 1) = DATE(1900,1,0),DATE(1900,1,1),OFFSET('IWP14'!Std10dot5Withdrawals, 5, 0, 1, 1))</f>
        <v>1</v>
      </c>
      <c r="C2811" s="155">
        <f ca="1">OFFSET('IWP14'!Std10dot5Withdrawals, 5, 2, 1, 1)</f>
        <v>0</v>
      </c>
      <c r="D2811" s="207" t="str">
        <f ca="1">IF(OFFSET('IWP14'!Std10dot5Withdrawals, 5, 4, 1, 1) = 0, "", OFFSET('IWP14'!Std10dot5Withdrawals, 5, 4, 1, 1))</f>
        <v/>
      </c>
    </row>
    <row r="2812" spans="1:4">
      <c r="A2812" s="206" t="s">
        <v>1317</v>
      </c>
      <c r="B2812" s="157">
        <f ca="1">IF(OFFSET('IWP14'!Std10dot5Withdrawals, 6, 0, 1, 1) = DATE(1900,1,0),DATE(1900,1,1),OFFSET('IWP14'!Std10dot5Withdrawals, 6, 0, 1, 1))</f>
        <v>1</v>
      </c>
      <c r="C2812" s="155">
        <f ca="1">OFFSET('IWP14'!Std10dot5Withdrawals, 6, 2, 1, 1)</f>
        <v>0</v>
      </c>
      <c r="D2812" s="207" t="str">
        <f ca="1">IF(OFFSET('IWP14'!Std10dot5Withdrawals, 6, 4, 1, 1) = 0, "", OFFSET('IWP14'!Std10dot5Withdrawals, 6, 4, 1, 1))</f>
        <v/>
      </c>
    </row>
    <row r="2813" spans="1:4">
      <c r="A2813" s="206" t="s">
        <v>1317</v>
      </c>
      <c r="B2813" s="157">
        <f ca="1">IF(OFFSET('IWP14'!Std10dot5Withdrawals, 7, 0, 1, 1) = DATE(1900,1,0),DATE(1900,1,1),OFFSET('IWP14'!Std10dot5Withdrawals, 7, 0, 1, 1))</f>
        <v>1</v>
      </c>
      <c r="C2813" s="155">
        <f ca="1">OFFSET('IWP14'!Std10dot5Withdrawals, 7, 2, 1, 1)</f>
        <v>0</v>
      </c>
      <c r="D2813" s="207" t="str">
        <f ca="1">IF(OFFSET('IWP14'!Std10dot5Withdrawals, 7, 4, 1, 1) = 0, "", OFFSET('IWP14'!Std10dot5Withdrawals, 7, 4, 1, 1))</f>
        <v/>
      </c>
    </row>
    <row r="2814" spans="1:4">
      <c r="A2814" s="206" t="s">
        <v>1317</v>
      </c>
      <c r="B2814" s="157">
        <f ca="1">IF(OFFSET('IWP14'!Std10dot5Withdrawals, 8, 0, 1, 1) = DATE(1900,1,0),DATE(1900,1,1),OFFSET('IWP14'!Std10dot5Withdrawals, 8, 0, 1, 1))</f>
        <v>1</v>
      </c>
      <c r="C2814" s="155">
        <f ca="1">OFFSET('IWP14'!Std10dot5Withdrawals, 8, 2, 1, 1)</f>
        <v>0</v>
      </c>
      <c r="D2814" s="207" t="str">
        <f ca="1">IF(OFFSET('IWP14'!Std10dot5Withdrawals, 8, 4, 1, 1) = 0, "", OFFSET('IWP14'!Std10dot5Withdrawals, 8, 4, 1, 1))</f>
        <v/>
      </c>
    </row>
    <row r="2815" spans="1:4">
      <c r="A2815" s="206" t="s">
        <v>1317</v>
      </c>
      <c r="B2815" s="157">
        <f ca="1">IF(OFFSET('IWP14'!Std10dot5Withdrawals, 9, 0, 1, 1) = DATE(1900,1,0),DATE(1900,1,1),OFFSET('IWP14'!Std10dot5Withdrawals, 9, 0, 1, 1))</f>
        <v>1</v>
      </c>
      <c r="C2815" s="155">
        <f ca="1">OFFSET('IWP14'!Std10dot5Withdrawals, 9, 2, 1, 1)</f>
        <v>0</v>
      </c>
      <c r="D2815" s="207" t="str">
        <f ca="1">IF(OFFSET('IWP14'!Std10dot5Withdrawals, 9, 4, 1, 1) = 0, "", OFFSET('IWP14'!Std10dot5Withdrawals, 9, 4, 1, 1))</f>
        <v/>
      </c>
    </row>
    <row r="2816" spans="1:4">
      <c r="A2816" s="206" t="s">
        <v>1318</v>
      </c>
      <c r="B2816" s="157">
        <f ca="1">IF(OFFSET('IWP15'!Std10dot5Withdrawals, 0, 0, 1, 1) = DATE(1900,1,0),DATE(1900,1,1),OFFSET('IWP15'!Std10dot5Withdrawals, 0, 0, 1, 1))</f>
        <v>1</v>
      </c>
      <c r="C2816" s="155">
        <f ca="1">OFFSET('IWP15'!Std10dot5Withdrawals, 0, 2, 1, 1)</f>
        <v>0</v>
      </c>
      <c r="D2816" s="207" t="str">
        <f ca="1">IF(OFFSET('IWP15'!Std10dot5Withdrawals, 0, 4, 1, 1) = 0, "", OFFSET('IWP15'!Std10dot5Withdrawals, 0, 4, 1, 1))</f>
        <v/>
      </c>
    </row>
    <row r="2817" spans="1:4">
      <c r="A2817" s="206" t="s">
        <v>1318</v>
      </c>
      <c r="B2817" s="157">
        <f ca="1">IF(OFFSET('IWP15'!Std10dot5Withdrawals, 1, 0, 1, 1) = DATE(1900,1,0),DATE(1900,1,1),OFFSET('IWP15'!Std10dot5Withdrawals, 1, 0, 1, 1))</f>
        <v>1</v>
      </c>
      <c r="C2817" s="155">
        <f ca="1">OFFSET('IWP15'!Std10dot5Withdrawals, 1, 2, 1, 1)</f>
        <v>0</v>
      </c>
      <c r="D2817" s="207" t="str">
        <f ca="1">IF(OFFSET('IWP15'!Std10dot5Withdrawals, 1, 4, 1, 1) = 0, "", OFFSET('IWP15'!Std10dot5Withdrawals, 1, 4, 1, 1))</f>
        <v/>
      </c>
    </row>
    <row r="2818" spans="1:4">
      <c r="A2818" s="206" t="s">
        <v>1318</v>
      </c>
      <c r="B2818" s="157">
        <f ca="1">IF(OFFSET('IWP15'!Std10dot5Withdrawals, 2, 0, 1, 1) = DATE(1900,1,0),DATE(1900,1,1),OFFSET('IWP15'!Std10dot5Withdrawals, 2, 0, 1, 1))</f>
        <v>1</v>
      </c>
      <c r="C2818" s="155">
        <f ca="1">OFFSET('IWP15'!Std10dot5Withdrawals, 2, 2, 1, 1)</f>
        <v>0</v>
      </c>
      <c r="D2818" s="207" t="str">
        <f ca="1">IF(OFFSET('IWP15'!Std10dot5Withdrawals, 2, 4, 1, 1) = 0, "", OFFSET('IWP15'!Std10dot5Withdrawals, 2, 4, 1, 1))</f>
        <v/>
      </c>
    </row>
    <row r="2819" spans="1:4">
      <c r="A2819" s="206" t="s">
        <v>1318</v>
      </c>
      <c r="B2819" s="157">
        <f ca="1">IF(OFFSET('IWP15'!Std10dot5Withdrawals, 3, 0, 1, 1) = DATE(1900,1,0),DATE(1900,1,1),OFFSET('IWP15'!Std10dot5Withdrawals, 3, 0, 1, 1))</f>
        <v>1</v>
      </c>
      <c r="C2819" s="155">
        <f ca="1">OFFSET('IWP15'!Std10dot5Withdrawals, 3, 2, 1, 1)</f>
        <v>0</v>
      </c>
      <c r="D2819" s="207" t="str">
        <f ca="1">IF(OFFSET('IWP15'!Std10dot5Withdrawals, 3, 4, 1, 1) = 0, "", OFFSET('IWP15'!Std10dot5Withdrawals, 3, 4, 1, 1))</f>
        <v/>
      </c>
    </row>
    <row r="2820" spans="1:4">
      <c r="A2820" s="206" t="s">
        <v>1318</v>
      </c>
      <c r="B2820" s="157">
        <f ca="1">IF(OFFSET('IWP15'!Std10dot5Withdrawals, 4, 0, 1, 1) = DATE(1900,1,0),DATE(1900,1,1),OFFSET('IWP15'!Std10dot5Withdrawals, 4, 0, 1, 1))</f>
        <v>1</v>
      </c>
      <c r="C2820" s="155">
        <f ca="1">OFFSET('IWP15'!Std10dot5Withdrawals, 4, 2, 1, 1)</f>
        <v>0</v>
      </c>
      <c r="D2820" s="207" t="str">
        <f ca="1">IF(OFFSET('IWP15'!Std10dot5Withdrawals, 4, 4, 1, 1) = 0, "", OFFSET('IWP15'!Std10dot5Withdrawals, 4, 4, 1, 1))</f>
        <v/>
      </c>
    </row>
    <row r="2821" spans="1:4">
      <c r="A2821" s="206" t="s">
        <v>1318</v>
      </c>
      <c r="B2821" s="157">
        <f ca="1">IF(OFFSET('IWP15'!Std10dot5Withdrawals, 5, 0, 1, 1) = DATE(1900,1,0),DATE(1900,1,1),OFFSET('IWP15'!Std10dot5Withdrawals, 5, 0, 1, 1))</f>
        <v>1</v>
      </c>
      <c r="C2821" s="155">
        <f ca="1">OFFSET('IWP15'!Std10dot5Withdrawals, 5, 2, 1, 1)</f>
        <v>0</v>
      </c>
      <c r="D2821" s="207" t="str">
        <f ca="1">IF(OFFSET('IWP15'!Std10dot5Withdrawals, 5, 4, 1, 1) = 0, "", OFFSET('IWP15'!Std10dot5Withdrawals, 5, 4, 1, 1))</f>
        <v/>
      </c>
    </row>
    <row r="2822" spans="1:4">
      <c r="A2822" s="206" t="s">
        <v>1318</v>
      </c>
      <c r="B2822" s="157">
        <f ca="1">IF(OFFSET('IWP15'!Std10dot5Withdrawals, 6, 0, 1, 1) = DATE(1900,1,0),DATE(1900,1,1),OFFSET('IWP15'!Std10dot5Withdrawals, 6, 0, 1, 1))</f>
        <v>1</v>
      </c>
      <c r="C2822" s="155">
        <f ca="1">OFFSET('IWP15'!Std10dot5Withdrawals, 6, 2, 1, 1)</f>
        <v>0</v>
      </c>
      <c r="D2822" s="207" t="str">
        <f ca="1">IF(OFFSET('IWP15'!Std10dot5Withdrawals, 6, 4, 1, 1) = 0, "", OFFSET('IWP15'!Std10dot5Withdrawals, 6, 4, 1, 1))</f>
        <v/>
      </c>
    </row>
    <row r="2823" spans="1:4">
      <c r="A2823" s="206" t="s">
        <v>1318</v>
      </c>
      <c r="B2823" s="157">
        <f ca="1">IF(OFFSET('IWP15'!Std10dot5Withdrawals, 7, 0, 1, 1) = DATE(1900,1,0),DATE(1900,1,1),OFFSET('IWP15'!Std10dot5Withdrawals, 7, 0, 1, 1))</f>
        <v>1</v>
      </c>
      <c r="C2823" s="155">
        <f ca="1">OFFSET('IWP15'!Std10dot5Withdrawals, 7, 2, 1, 1)</f>
        <v>0</v>
      </c>
      <c r="D2823" s="207" t="str">
        <f ca="1">IF(OFFSET('IWP15'!Std10dot5Withdrawals, 7, 4, 1, 1) = 0, "", OFFSET('IWP15'!Std10dot5Withdrawals, 7, 4, 1, 1))</f>
        <v/>
      </c>
    </row>
    <row r="2824" spans="1:4">
      <c r="A2824" s="206" t="s">
        <v>1318</v>
      </c>
      <c r="B2824" s="157">
        <f ca="1">IF(OFFSET('IWP15'!Std10dot5Withdrawals, 8, 0, 1, 1) = DATE(1900,1,0),DATE(1900,1,1),OFFSET('IWP15'!Std10dot5Withdrawals, 8, 0, 1, 1))</f>
        <v>1</v>
      </c>
      <c r="C2824" s="155">
        <f ca="1">OFFSET('IWP15'!Std10dot5Withdrawals, 8, 2, 1, 1)</f>
        <v>0</v>
      </c>
      <c r="D2824" s="207" t="str">
        <f ca="1">IF(OFFSET('IWP15'!Std10dot5Withdrawals, 8, 4, 1, 1) = 0, "", OFFSET('IWP15'!Std10dot5Withdrawals, 8, 4, 1, 1))</f>
        <v/>
      </c>
    </row>
    <row r="2825" spans="1:4">
      <c r="A2825" s="206" t="s">
        <v>1318</v>
      </c>
      <c r="B2825" s="157">
        <f ca="1">IF(OFFSET('IWP15'!Std10dot5Withdrawals, 9, 0, 1, 1) = DATE(1900,1,0),DATE(1900,1,1),OFFSET('IWP15'!Std10dot5Withdrawals, 9, 0, 1, 1))</f>
        <v>1</v>
      </c>
      <c r="C2825" s="155">
        <f ca="1">OFFSET('IWP15'!Std10dot5Withdrawals, 9, 2, 1, 1)</f>
        <v>0</v>
      </c>
      <c r="D2825" s="207" t="str">
        <f ca="1">IF(OFFSET('IWP15'!Std10dot5Withdrawals, 9, 4, 1, 1) = 0, "", OFFSET('IWP15'!Std10dot5Withdrawals, 9, 4, 1, 1))</f>
        <v/>
      </c>
    </row>
    <row r="2826" spans="1:4">
      <c r="A2826" s="206" t="s">
        <v>1319</v>
      </c>
      <c r="B2826" s="157">
        <f ca="1">IF(OFFSET('IWP16'!Std10dot5Withdrawals, 0, 0, 1, 1) = DATE(1900,1,0),DATE(1900,1,1),OFFSET('IWP16'!Std10dot5Withdrawals, 0, 0, 1, 1))</f>
        <v>1</v>
      </c>
      <c r="C2826" s="155">
        <f ca="1">OFFSET('IWP16'!Std10dot5Withdrawals, 0, 2, 1, 1)</f>
        <v>0</v>
      </c>
      <c r="D2826" s="207" t="str">
        <f ca="1">IF(OFFSET('IWP16'!Std10dot5Withdrawals, 0, 4, 1, 1) = 0, "", OFFSET('IWP16'!Std10dot5Withdrawals, 0, 4, 1, 1))</f>
        <v/>
      </c>
    </row>
    <row r="2827" spans="1:4">
      <c r="A2827" s="206" t="s">
        <v>1319</v>
      </c>
      <c r="B2827" s="157">
        <f ca="1">IF(OFFSET('IWP16'!Std10dot5Withdrawals, 1, 0, 1, 1) = DATE(1900,1,0),DATE(1900,1,1),OFFSET('IWP16'!Std10dot5Withdrawals, 1, 0, 1, 1))</f>
        <v>1</v>
      </c>
      <c r="C2827" s="155">
        <f ca="1">OFFSET('IWP16'!Std10dot5Withdrawals, 1, 2, 1, 1)</f>
        <v>0</v>
      </c>
      <c r="D2827" s="207" t="str">
        <f ca="1">IF(OFFSET('IWP16'!Std10dot5Withdrawals, 1, 4, 1, 1) = 0, "", OFFSET('IWP16'!Std10dot5Withdrawals, 1, 4, 1, 1))</f>
        <v/>
      </c>
    </row>
    <row r="2828" spans="1:4">
      <c r="A2828" s="206" t="s">
        <v>1319</v>
      </c>
      <c r="B2828" s="157">
        <f ca="1">IF(OFFSET('IWP16'!Std10dot5Withdrawals, 2, 0, 1, 1) = DATE(1900,1,0),DATE(1900,1,1),OFFSET('IWP16'!Std10dot5Withdrawals, 2, 0, 1, 1))</f>
        <v>1</v>
      </c>
      <c r="C2828" s="155">
        <f ca="1">OFFSET('IWP16'!Std10dot5Withdrawals, 2, 2, 1, 1)</f>
        <v>0</v>
      </c>
      <c r="D2828" s="207" t="str">
        <f ca="1">IF(OFFSET('IWP16'!Std10dot5Withdrawals, 2, 4, 1, 1) = 0, "", OFFSET('IWP16'!Std10dot5Withdrawals, 2, 4, 1, 1))</f>
        <v/>
      </c>
    </row>
    <row r="2829" spans="1:4">
      <c r="A2829" s="206" t="s">
        <v>1319</v>
      </c>
      <c r="B2829" s="157">
        <f ca="1">IF(OFFSET('IWP16'!Std10dot5Withdrawals, 3, 0, 1, 1) = DATE(1900,1,0),DATE(1900,1,1),OFFSET('IWP16'!Std10dot5Withdrawals, 3, 0, 1, 1))</f>
        <v>1</v>
      </c>
      <c r="C2829" s="155">
        <f ca="1">OFFSET('IWP16'!Std10dot5Withdrawals, 3, 2, 1, 1)</f>
        <v>0</v>
      </c>
      <c r="D2829" s="207" t="str">
        <f ca="1">IF(OFFSET('IWP16'!Std10dot5Withdrawals, 3, 4, 1, 1) = 0, "", OFFSET('IWP16'!Std10dot5Withdrawals, 3, 4, 1, 1))</f>
        <v/>
      </c>
    </row>
    <row r="2830" spans="1:4">
      <c r="A2830" s="206" t="s">
        <v>1319</v>
      </c>
      <c r="B2830" s="157">
        <f ca="1">IF(OFFSET('IWP16'!Std10dot5Withdrawals, 4, 0, 1, 1) = DATE(1900,1,0),DATE(1900,1,1),OFFSET('IWP16'!Std10dot5Withdrawals, 4, 0, 1, 1))</f>
        <v>1</v>
      </c>
      <c r="C2830" s="155">
        <f ca="1">OFFSET('IWP16'!Std10dot5Withdrawals, 4, 2, 1, 1)</f>
        <v>0</v>
      </c>
      <c r="D2830" s="207" t="str">
        <f ca="1">IF(OFFSET('IWP16'!Std10dot5Withdrawals, 4, 4, 1, 1) = 0, "", OFFSET('IWP16'!Std10dot5Withdrawals, 4, 4, 1, 1))</f>
        <v/>
      </c>
    </row>
    <row r="2831" spans="1:4">
      <c r="A2831" s="206" t="s">
        <v>1319</v>
      </c>
      <c r="B2831" s="157">
        <f ca="1">IF(OFFSET('IWP16'!Std10dot5Withdrawals, 5, 0, 1, 1) = DATE(1900,1,0),DATE(1900,1,1),OFFSET('IWP16'!Std10dot5Withdrawals, 5, 0, 1, 1))</f>
        <v>1</v>
      </c>
      <c r="C2831" s="155">
        <f ca="1">OFFSET('IWP16'!Std10dot5Withdrawals, 5, 2, 1, 1)</f>
        <v>0</v>
      </c>
      <c r="D2831" s="207" t="str">
        <f ca="1">IF(OFFSET('IWP16'!Std10dot5Withdrawals, 5, 4, 1, 1) = 0, "", OFFSET('IWP16'!Std10dot5Withdrawals, 5, 4, 1, 1))</f>
        <v/>
      </c>
    </row>
    <row r="2832" spans="1:4">
      <c r="A2832" s="206" t="s">
        <v>1319</v>
      </c>
      <c r="B2832" s="157">
        <f ca="1">IF(OFFSET('IWP16'!Std10dot5Withdrawals, 6, 0, 1, 1) = DATE(1900,1,0),DATE(1900,1,1),OFFSET('IWP16'!Std10dot5Withdrawals, 6, 0, 1, 1))</f>
        <v>1</v>
      </c>
      <c r="C2832" s="155">
        <f ca="1">OFFSET('IWP16'!Std10dot5Withdrawals, 6, 2, 1, 1)</f>
        <v>0</v>
      </c>
      <c r="D2832" s="207" t="str">
        <f ca="1">IF(OFFSET('IWP16'!Std10dot5Withdrawals, 6, 4, 1, 1) = 0, "", OFFSET('IWP16'!Std10dot5Withdrawals, 6, 4, 1, 1))</f>
        <v/>
      </c>
    </row>
    <row r="2833" spans="1:4">
      <c r="A2833" s="206" t="s">
        <v>1319</v>
      </c>
      <c r="B2833" s="157">
        <f ca="1">IF(OFFSET('IWP16'!Std10dot5Withdrawals, 7, 0, 1, 1) = DATE(1900,1,0),DATE(1900,1,1),OFFSET('IWP16'!Std10dot5Withdrawals, 7, 0, 1, 1))</f>
        <v>1</v>
      </c>
      <c r="C2833" s="155">
        <f ca="1">OFFSET('IWP16'!Std10dot5Withdrawals, 7, 2, 1, 1)</f>
        <v>0</v>
      </c>
      <c r="D2833" s="207" t="str">
        <f ca="1">IF(OFFSET('IWP16'!Std10dot5Withdrawals, 7, 4, 1, 1) = 0, "", OFFSET('IWP16'!Std10dot5Withdrawals, 7, 4, 1, 1))</f>
        <v/>
      </c>
    </row>
    <row r="2834" spans="1:4">
      <c r="A2834" s="206" t="s">
        <v>1319</v>
      </c>
      <c r="B2834" s="157">
        <f ca="1">IF(OFFSET('IWP16'!Std10dot5Withdrawals, 8, 0, 1, 1) = DATE(1900,1,0),DATE(1900,1,1),OFFSET('IWP16'!Std10dot5Withdrawals, 8, 0, 1, 1))</f>
        <v>1</v>
      </c>
      <c r="C2834" s="155">
        <f ca="1">OFFSET('IWP16'!Std10dot5Withdrawals, 8, 2, 1, 1)</f>
        <v>0</v>
      </c>
      <c r="D2834" s="207" t="str">
        <f ca="1">IF(OFFSET('IWP16'!Std10dot5Withdrawals, 8, 4, 1, 1) = 0, "", OFFSET('IWP16'!Std10dot5Withdrawals, 8, 4, 1, 1))</f>
        <v/>
      </c>
    </row>
    <row r="2835" spans="1:4">
      <c r="A2835" s="206" t="s">
        <v>1319</v>
      </c>
      <c r="B2835" s="157">
        <f ca="1">IF(OFFSET('IWP16'!Std10dot5Withdrawals, 9, 0, 1, 1) = DATE(1900,1,0),DATE(1900,1,1),OFFSET('IWP16'!Std10dot5Withdrawals, 9, 0, 1, 1))</f>
        <v>1</v>
      </c>
      <c r="C2835" s="155">
        <f ca="1">OFFSET('IWP16'!Std10dot5Withdrawals, 9, 2, 1, 1)</f>
        <v>0</v>
      </c>
      <c r="D2835" s="207" t="str">
        <f ca="1">IF(OFFSET('IWP16'!Std10dot5Withdrawals, 9, 4, 1, 1) = 0, "", OFFSET('IWP16'!Std10dot5Withdrawals, 9, 4, 1, 1))</f>
        <v/>
      </c>
    </row>
    <row r="2836" spans="1:4">
      <c r="A2836" s="206" t="s">
        <v>1320</v>
      </c>
      <c r="B2836" s="157">
        <f ca="1">IF(OFFSET('IWP17'!Std10dot5Withdrawals, 0, 0, 1, 1) = DATE(1900,1,0),DATE(1900,1,1),OFFSET('IWP17'!Std10dot5Withdrawals, 0, 0, 1, 1))</f>
        <v>1</v>
      </c>
      <c r="C2836" s="155">
        <f ca="1">OFFSET('IWP17'!Std10dot5Withdrawals, 0, 2, 1, 1)</f>
        <v>0</v>
      </c>
      <c r="D2836" s="207" t="str">
        <f ca="1">IF(OFFSET('IWP17'!Std10dot5Withdrawals, 0, 4, 1, 1) = 0, "", OFFSET('IWP17'!Std10dot5Withdrawals, 0, 4, 1, 1))</f>
        <v/>
      </c>
    </row>
    <row r="2837" spans="1:4">
      <c r="A2837" s="206" t="s">
        <v>1320</v>
      </c>
      <c r="B2837" s="157">
        <f ca="1">IF(OFFSET('IWP17'!Std10dot5Withdrawals, 1, 0, 1, 1) = DATE(1900,1,0),DATE(1900,1,1),OFFSET('IWP17'!Std10dot5Withdrawals, 1, 0, 1, 1))</f>
        <v>1</v>
      </c>
      <c r="C2837" s="155">
        <f ca="1">OFFSET('IWP17'!Std10dot5Withdrawals, 1, 2, 1, 1)</f>
        <v>0</v>
      </c>
      <c r="D2837" s="207" t="str">
        <f ca="1">IF(OFFSET('IWP17'!Std10dot5Withdrawals, 1, 4, 1, 1) = 0, "", OFFSET('IWP17'!Std10dot5Withdrawals, 1, 4, 1, 1))</f>
        <v/>
      </c>
    </row>
    <row r="2838" spans="1:4">
      <c r="A2838" s="206" t="s">
        <v>1320</v>
      </c>
      <c r="B2838" s="157">
        <f ca="1">IF(OFFSET('IWP17'!Std10dot5Withdrawals, 2, 0, 1, 1) = DATE(1900,1,0),DATE(1900,1,1),OFFSET('IWP17'!Std10dot5Withdrawals, 2, 0, 1, 1))</f>
        <v>1</v>
      </c>
      <c r="C2838" s="155">
        <f ca="1">OFFSET('IWP17'!Std10dot5Withdrawals, 2, 2, 1, 1)</f>
        <v>0</v>
      </c>
      <c r="D2838" s="207" t="str">
        <f ca="1">IF(OFFSET('IWP17'!Std10dot5Withdrawals, 2, 4, 1, 1) = 0, "", OFFSET('IWP17'!Std10dot5Withdrawals, 2, 4, 1, 1))</f>
        <v/>
      </c>
    </row>
    <row r="2839" spans="1:4">
      <c r="A2839" s="206" t="s">
        <v>1320</v>
      </c>
      <c r="B2839" s="157">
        <f ca="1">IF(OFFSET('IWP17'!Std10dot5Withdrawals, 3, 0, 1, 1) = DATE(1900,1,0),DATE(1900,1,1),OFFSET('IWP17'!Std10dot5Withdrawals, 3, 0, 1, 1))</f>
        <v>1</v>
      </c>
      <c r="C2839" s="155">
        <f ca="1">OFFSET('IWP17'!Std10dot5Withdrawals, 3, 2, 1, 1)</f>
        <v>0</v>
      </c>
      <c r="D2839" s="207" t="str">
        <f ca="1">IF(OFFSET('IWP17'!Std10dot5Withdrawals, 3, 4, 1, 1) = 0, "", OFFSET('IWP17'!Std10dot5Withdrawals, 3, 4, 1, 1))</f>
        <v/>
      </c>
    </row>
    <row r="2840" spans="1:4">
      <c r="A2840" s="206" t="s">
        <v>1320</v>
      </c>
      <c r="B2840" s="157">
        <f ca="1">IF(OFFSET('IWP17'!Std10dot5Withdrawals, 4, 0, 1, 1) = DATE(1900,1,0),DATE(1900,1,1),OFFSET('IWP17'!Std10dot5Withdrawals, 4, 0, 1, 1))</f>
        <v>1</v>
      </c>
      <c r="C2840" s="155">
        <f ca="1">OFFSET('IWP17'!Std10dot5Withdrawals, 4, 2, 1, 1)</f>
        <v>0</v>
      </c>
      <c r="D2840" s="207" t="str">
        <f ca="1">IF(OFFSET('IWP17'!Std10dot5Withdrawals, 4, 4, 1, 1) = 0, "", OFFSET('IWP17'!Std10dot5Withdrawals, 4, 4, 1, 1))</f>
        <v/>
      </c>
    </row>
    <row r="2841" spans="1:4">
      <c r="A2841" s="206" t="s">
        <v>1320</v>
      </c>
      <c r="B2841" s="157">
        <f ca="1">IF(OFFSET('IWP17'!Std10dot5Withdrawals, 5, 0, 1, 1) = DATE(1900,1,0),DATE(1900,1,1),OFFSET('IWP17'!Std10dot5Withdrawals, 5, 0, 1, 1))</f>
        <v>1</v>
      </c>
      <c r="C2841" s="155">
        <f ca="1">OFFSET('IWP17'!Std10dot5Withdrawals, 5, 2, 1, 1)</f>
        <v>0</v>
      </c>
      <c r="D2841" s="207" t="str">
        <f ca="1">IF(OFFSET('IWP17'!Std10dot5Withdrawals, 5, 4, 1, 1) = 0, "", OFFSET('IWP17'!Std10dot5Withdrawals, 5, 4, 1, 1))</f>
        <v/>
      </c>
    </row>
    <row r="2842" spans="1:4">
      <c r="A2842" s="206" t="s">
        <v>1320</v>
      </c>
      <c r="B2842" s="157">
        <f ca="1">IF(OFFSET('IWP17'!Std10dot5Withdrawals, 6, 0, 1, 1) = DATE(1900,1,0),DATE(1900,1,1),OFFSET('IWP17'!Std10dot5Withdrawals, 6, 0, 1, 1))</f>
        <v>1</v>
      </c>
      <c r="C2842" s="155">
        <f ca="1">OFFSET('IWP17'!Std10dot5Withdrawals, 6, 2, 1, 1)</f>
        <v>0</v>
      </c>
      <c r="D2842" s="207" t="str">
        <f ca="1">IF(OFFSET('IWP17'!Std10dot5Withdrawals, 6, 4, 1, 1) = 0, "", OFFSET('IWP17'!Std10dot5Withdrawals, 6, 4, 1, 1))</f>
        <v/>
      </c>
    </row>
    <row r="2843" spans="1:4">
      <c r="A2843" s="206" t="s">
        <v>1320</v>
      </c>
      <c r="B2843" s="157">
        <f ca="1">IF(OFFSET('IWP17'!Std10dot5Withdrawals, 7, 0, 1, 1) = DATE(1900,1,0),DATE(1900,1,1),OFFSET('IWP17'!Std10dot5Withdrawals, 7, 0, 1, 1))</f>
        <v>1</v>
      </c>
      <c r="C2843" s="155">
        <f ca="1">OFFSET('IWP17'!Std10dot5Withdrawals, 7, 2, 1, 1)</f>
        <v>0</v>
      </c>
      <c r="D2843" s="207" t="str">
        <f ca="1">IF(OFFSET('IWP17'!Std10dot5Withdrawals, 7, 4, 1, 1) = 0, "", OFFSET('IWP17'!Std10dot5Withdrawals, 7, 4, 1, 1))</f>
        <v/>
      </c>
    </row>
    <row r="2844" spans="1:4">
      <c r="A2844" s="206" t="s">
        <v>1320</v>
      </c>
      <c r="B2844" s="157">
        <f ca="1">IF(OFFSET('IWP17'!Std10dot5Withdrawals, 8, 0, 1, 1) = DATE(1900,1,0),DATE(1900,1,1),OFFSET('IWP17'!Std10dot5Withdrawals, 8, 0, 1, 1))</f>
        <v>1</v>
      </c>
      <c r="C2844" s="155">
        <f ca="1">OFFSET('IWP17'!Std10dot5Withdrawals, 8, 2, 1, 1)</f>
        <v>0</v>
      </c>
      <c r="D2844" s="207" t="str">
        <f ca="1">IF(OFFSET('IWP17'!Std10dot5Withdrawals, 8, 4, 1, 1) = 0, "", OFFSET('IWP17'!Std10dot5Withdrawals, 8, 4, 1, 1))</f>
        <v/>
      </c>
    </row>
    <row r="2845" spans="1:4">
      <c r="A2845" s="206" t="s">
        <v>1320</v>
      </c>
      <c r="B2845" s="157">
        <f ca="1">IF(OFFSET('IWP17'!Std10dot5Withdrawals, 9, 0, 1, 1) = DATE(1900,1,0),DATE(1900,1,1),OFFSET('IWP17'!Std10dot5Withdrawals, 9, 0, 1, 1))</f>
        <v>1</v>
      </c>
      <c r="C2845" s="155">
        <f ca="1">OFFSET('IWP17'!Std10dot5Withdrawals, 9, 2, 1, 1)</f>
        <v>0</v>
      </c>
      <c r="D2845" s="207" t="str">
        <f ca="1">IF(OFFSET('IWP17'!Std10dot5Withdrawals, 9, 4, 1, 1) = 0, "", OFFSET('IWP17'!Std10dot5Withdrawals, 9, 4, 1, 1))</f>
        <v/>
      </c>
    </row>
    <row r="2846" spans="1:4">
      <c r="A2846" s="206" t="s">
        <v>1321</v>
      </c>
      <c r="B2846" s="157">
        <f ca="1">IF(OFFSET('IWP18'!Std10dot5Withdrawals, 0, 0, 1, 1) = DATE(1900,1,0),DATE(1900,1,1),OFFSET('IWP18'!Std10dot5Withdrawals, 0, 0, 1, 1))</f>
        <v>1</v>
      </c>
      <c r="C2846" s="155">
        <f ca="1">OFFSET('IWP18'!Std10dot5Withdrawals, 0, 2, 1, 1)</f>
        <v>0</v>
      </c>
      <c r="D2846" s="207" t="str">
        <f ca="1">IF(OFFSET('IWP18'!Std10dot5Withdrawals, 0, 4, 1, 1) = 0, "", OFFSET('IWP18'!Std10dot5Withdrawals, 0, 4, 1, 1))</f>
        <v/>
      </c>
    </row>
    <row r="2847" spans="1:4">
      <c r="A2847" s="206" t="s">
        <v>1321</v>
      </c>
      <c r="B2847" s="157">
        <f ca="1">IF(OFFSET('IWP18'!Std10dot5Withdrawals, 1, 0, 1, 1) = DATE(1900,1,0),DATE(1900,1,1),OFFSET('IWP18'!Std10dot5Withdrawals, 1, 0, 1, 1))</f>
        <v>1</v>
      </c>
      <c r="C2847" s="155">
        <f ca="1">OFFSET('IWP18'!Std10dot5Withdrawals, 1, 2, 1, 1)</f>
        <v>0</v>
      </c>
      <c r="D2847" s="207" t="str">
        <f ca="1">IF(OFFSET('IWP18'!Std10dot5Withdrawals, 1, 4, 1, 1) = 0, "", OFFSET('IWP18'!Std10dot5Withdrawals, 1, 4, 1, 1))</f>
        <v/>
      </c>
    </row>
    <row r="2848" spans="1:4">
      <c r="A2848" s="206" t="s">
        <v>1321</v>
      </c>
      <c r="B2848" s="157">
        <f ca="1">IF(OFFSET('IWP18'!Std10dot5Withdrawals, 2, 0, 1, 1) = DATE(1900,1,0),DATE(1900,1,1),OFFSET('IWP18'!Std10dot5Withdrawals, 2, 0, 1, 1))</f>
        <v>1</v>
      </c>
      <c r="C2848" s="155">
        <f ca="1">OFFSET('IWP18'!Std10dot5Withdrawals, 2, 2, 1, 1)</f>
        <v>0</v>
      </c>
      <c r="D2848" s="207" t="str">
        <f ca="1">IF(OFFSET('IWP18'!Std10dot5Withdrawals, 2, 4, 1, 1) = 0, "", OFFSET('IWP18'!Std10dot5Withdrawals, 2, 4, 1, 1))</f>
        <v/>
      </c>
    </row>
    <row r="2849" spans="1:4">
      <c r="A2849" s="206" t="s">
        <v>1321</v>
      </c>
      <c r="B2849" s="157">
        <f ca="1">IF(OFFSET('IWP18'!Std10dot5Withdrawals, 3, 0, 1, 1) = DATE(1900,1,0),DATE(1900,1,1),OFFSET('IWP18'!Std10dot5Withdrawals, 3, 0, 1, 1))</f>
        <v>1</v>
      </c>
      <c r="C2849" s="155">
        <f ca="1">OFFSET('IWP18'!Std10dot5Withdrawals, 3, 2, 1, 1)</f>
        <v>0</v>
      </c>
      <c r="D2849" s="207" t="str">
        <f ca="1">IF(OFFSET('IWP18'!Std10dot5Withdrawals, 3, 4, 1, 1) = 0, "", OFFSET('IWP18'!Std10dot5Withdrawals, 3, 4, 1, 1))</f>
        <v/>
      </c>
    </row>
    <row r="2850" spans="1:4">
      <c r="A2850" s="206" t="s">
        <v>1321</v>
      </c>
      <c r="B2850" s="157">
        <f ca="1">IF(OFFSET('IWP18'!Std10dot5Withdrawals, 4, 0, 1, 1) = DATE(1900,1,0),DATE(1900,1,1),OFFSET('IWP18'!Std10dot5Withdrawals, 4, 0, 1, 1))</f>
        <v>1</v>
      </c>
      <c r="C2850" s="155">
        <f ca="1">OFFSET('IWP18'!Std10dot5Withdrawals, 4, 2, 1, 1)</f>
        <v>0</v>
      </c>
      <c r="D2850" s="207" t="str">
        <f ca="1">IF(OFFSET('IWP18'!Std10dot5Withdrawals, 4, 4, 1, 1) = 0, "", OFFSET('IWP18'!Std10dot5Withdrawals, 4, 4, 1, 1))</f>
        <v/>
      </c>
    </row>
    <row r="2851" spans="1:4">
      <c r="A2851" s="206" t="s">
        <v>1321</v>
      </c>
      <c r="B2851" s="157">
        <f ca="1">IF(OFFSET('IWP18'!Std10dot5Withdrawals, 5, 0, 1, 1) = DATE(1900,1,0),DATE(1900,1,1),OFFSET('IWP18'!Std10dot5Withdrawals, 5, 0, 1, 1))</f>
        <v>1</v>
      </c>
      <c r="C2851" s="155">
        <f ca="1">OFFSET('IWP18'!Std10dot5Withdrawals, 5, 2, 1, 1)</f>
        <v>0</v>
      </c>
      <c r="D2851" s="207" t="str">
        <f ca="1">IF(OFFSET('IWP18'!Std10dot5Withdrawals, 5, 4, 1, 1) = 0, "", OFFSET('IWP18'!Std10dot5Withdrawals, 5, 4, 1, 1))</f>
        <v/>
      </c>
    </row>
    <row r="2852" spans="1:4">
      <c r="A2852" s="206" t="s">
        <v>1321</v>
      </c>
      <c r="B2852" s="157">
        <f ca="1">IF(OFFSET('IWP18'!Std10dot5Withdrawals, 6, 0, 1, 1) = DATE(1900,1,0),DATE(1900,1,1),OFFSET('IWP18'!Std10dot5Withdrawals, 6, 0, 1, 1))</f>
        <v>1</v>
      </c>
      <c r="C2852" s="155">
        <f ca="1">OFFSET('IWP18'!Std10dot5Withdrawals, 6, 2, 1, 1)</f>
        <v>0</v>
      </c>
      <c r="D2852" s="207" t="str">
        <f ca="1">IF(OFFSET('IWP18'!Std10dot5Withdrawals, 6, 4, 1, 1) = 0, "", OFFSET('IWP18'!Std10dot5Withdrawals, 6, 4, 1, 1))</f>
        <v/>
      </c>
    </row>
    <row r="2853" spans="1:4">
      <c r="A2853" s="206" t="s">
        <v>1321</v>
      </c>
      <c r="B2853" s="157">
        <f ca="1">IF(OFFSET('IWP18'!Std10dot5Withdrawals, 7, 0, 1, 1) = DATE(1900,1,0),DATE(1900,1,1),OFFSET('IWP18'!Std10dot5Withdrawals, 7, 0, 1, 1))</f>
        <v>1</v>
      </c>
      <c r="C2853" s="155">
        <f ca="1">OFFSET('IWP18'!Std10dot5Withdrawals, 7, 2, 1, 1)</f>
        <v>0</v>
      </c>
      <c r="D2853" s="207" t="str">
        <f ca="1">IF(OFFSET('IWP18'!Std10dot5Withdrawals, 7, 4, 1, 1) = 0, "", OFFSET('IWP18'!Std10dot5Withdrawals, 7, 4, 1, 1))</f>
        <v/>
      </c>
    </row>
    <row r="2854" spans="1:4">
      <c r="A2854" s="206" t="s">
        <v>1321</v>
      </c>
      <c r="B2854" s="157">
        <f ca="1">IF(OFFSET('IWP18'!Std10dot5Withdrawals, 8, 0, 1, 1) = DATE(1900,1,0),DATE(1900,1,1),OFFSET('IWP18'!Std10dot5Withdrawals, 8, 0, 1, 1))</f>
        <v>1</v>
      </c>
      <c r="C2854" s="155">
        <f ca="1">OFFSET('IWP18'!Std10dot5Withdrawals, 8, 2, 1, 1)</f>
        <v>0</v>
      </c>
      <c r="D2854" s="207" t="str">
        <f ca="1">IF(OFFSET('IWP18'!Std10dot5Withdrawals, 8, 4, 1, 1) = 0, "", OFFSET('IWP18'!Std10dot5Withdrawals, 8, 4, 1, 1))</f>
        <v/>
      </c>
    </row>
    <row r="2855" spans="1:4">
      <c r="A2855" s="206" t="s">
        <v>1321</v>
      </c>
      <c r="B2855" s="157">
        <f ca="1">IF(OFFSET('IWP18'!Std10dot5Withdrawals, 9, 0, 1, 1) = DATE(1900,1,0),DATE(1900,1,1),OFFSET('IWP18'!Std10dot5Withdrawals, 9, 0, 1, 1))</f>
        <v>1</v>
      </c>
      <c r="C2855" s="155">
        <f ca="1">OFFSET('IWP18'!Std10dot5Withdrawals, 9, 2, 1, 1)</f>
        <v>0</v>
      </c>
      <c r="D2855" s="207" t="str">
        <f ca="1">IF(OFFSET('IWP18'!Std10dot5Withdrawals, 9, 4, 1, 1) = 0, "", OFFSET('IWP18'!Std10dot5Withdrawals, 9, 4, 1, 1))</f>
        <v/>
      </c>
    </row>
    <row r="2856" spans="1:4">
      <c r="A2856" s="206" t="s">
        <v>1322</v>
      </c>
      <c r="B2856" s="157">
        <f ca="1">IF(OFFSET('IWP19'!Std10dot5Withdrawals, 0, 0, 1, 1) = DATE(1900,1,0),DATE(1900,1,1),OFFSET('IWP19'!Std10dot5Withdrawals, 0, 0, 1, 1))</f>
        <v>1</v>
      </c>
      <c r="C2856" s="155">
        <f ca="1">OFFSET('IWP19'!Std10dot5Withdrawals, 0, 2, 1, 1)</f>
        <v>0</v>
      </c>
      <c r="D2856" s="207" t="str">
        <f ca="1">IF(OFFSET('IWP19'!Std10dot5Withdrawals, 0, 4, 1, 1) = 0, "", OFFSET('IWP19'!Std10dot5Withdrawals, 0, 4, 1, 1))</f>
        <v/>
      </c>
    </row>
    <row r="2857" spans="1:4">
      <c r="A2857" s="206" t="s">
        <v>1322</v>
      </c>
      <c r="B2857" s="157">
        <f ca="1">IF(OFFSET('IWP19'!Std10dot5Withdrawals, 1, 0, 1, 1) = DATE(1900,1,0),DATE(1900,1,1),OFFSET('IWP19'!Std10dot5Withdrawals, 1, 0, 1, 1))</f>
        <v>1</v>
      </c>
      <c r="C2857" s="155">
        <f ca="1">OFFSET('IWP19'!Std10dot5Withdrawals, 1, 2, 1, 1)</f>
        <v>0</v>
      </c>
      <c r="D2857" s="207" t="str">
        <f ca="1">IF(OFFSET('IWP19'!Std10dot5Withdrawals, 1, 4, 1, 1) = 0, "", OFFSET('IWP19'!Std10dot5Withdrawals, 1, 4, 1, 1))</f>
        <v/>
      </c>
    </row>
    <row r="2858" spans="1:4">
      <c r="A2858" s="206" t="s">
        <v>1322</v>
      </c>
      <c r="B2858" s="157">
        <f ca="1">IF(OFFSET('IWP19'!Std10dot5Withdrawals, 2, 0, 1, 1) = DATE(1900,1,0),DATE(1900,1,1),OFFSET('IWP19'!Std10dot5Withdrawals, 2, 0, 1, 1))</f>
        <v>1</v>
      </c>
      <c r="C2858" s="155">
        <f ca="1">OFFSET('IWP19'!Std10dot5Withdrawals, 2, 2, 1, 1)</f>
        <v>0</v>
      </c>
      <c r="D2858" s="207" t="str">
        <f ca="1">IF(OFFSET('IWP19'!Std10dot5Withdrawals, 2, 4, 1, 1) = 0, "", OFFSET('IWP19'!Std10dot5Withdrawals, 2, 4, 1, 1))</f>
        <v/>
      </c>
    </row>
    <row r="2859" spans="1:4">
      <c r="A2859" s="206" t="s">
        <v>1322</v>
      </c>
      <c r="B2859" s="157">
        <f ca="1">IF(OFFSET('IWP19'!Std10dot5Withdrawals, 3, 0, 1, 1) = DATE(1900,1,0),DATE(1900,1,1),OFFSET('IWP19'!Std10dot5Withdrawals, 3, 0, 1, 1))</f>
        <v>1</v>
      </c>
      <c r="C2859" s="155">
        <f ca="1">OFFSET('IWP19'!Std10dot5Withdrawals, 3, 2, 1, 1)</f>
        <v>0</v>
      </c>
      <c r="D2859" s="207" t="str">
        <f ca="1">IF(OFFSET('IWP19'!Std10dot5Withdrawals, 3, 4, 1, 1) = 0, "", OFFSET('IWP19'!Std10dot5Withdrawals, 3, 4, 1, 1))</f>
        <v/>
      </c>
    </row>
    <row r="2860" spans="1:4">
      <c r="A2860" s="206" t="s">
        <v>1322</v>
      </c>
      <c r="B2860" s="157">
        <f ca="1">IF(OFFSET('IWP19'!Std10dot5Withdrawals, 4, 0, 1, 1) = DATE(1900,1,0),DATE(1900,1,1),OFFSET('IWP19'!Std10dot5Withdrawals, 4, 0, 1, 1))</f>
        <v>1</v>
      </c>
      <c r="C2860" s="155">
        <f ca="1">OFFSET('IWP19'!Std10dot5Withdrawals, 4, 2, 1, 1)</f>
        <v>0</v>
      </c>
      <c r="D2860" s="207" t="str">
        <f ca="1">IF(OFFSET('IWP19'!Std10dot5Withdrawals, 4, 4, 1, 1) = 0, "", OFFSET('IWP19'!Std10dot5Withdrawals, 4, 4, 1, 1))</f>
        <v/>
      </c>
    </row>
    <row r="2861" spans="1:4">
      <c r="A2861" s="206" t="s">
        <v>1322</v>
      </c>
      <c r="B2861" s="157">
        <f ca="1">IF(OFFSET('IWP19'!Std10dot5Withdrawals, 5, 0, 1, 1) = DATE(1900,1,0),DATE(1900,1,1),OFFSET('IWP19'!Std10dot5Withdrawals, 5, 0, 1, 1))</f>
        <v>1</v>
      </c>
      <c r="C2861" s="155">
        <f ca="1">OFFSET('IWP19'!Std10dot5Withdrawals, 5, 2, 1, 1)</f>
        <v>0</v>
      </c>
      <c r="D2861" s="207" t="str">
        <f ca="1">IF(OFFSET('IWP19'!Std10dot5Withdrawals, 5, 4, 1, 1) = 0, "", OFFSET('IWP19'!Std10dot5Withdrawals, 5, 4, 1, 1))</f>
        <v/>
      </c>
    </row>
    <row r="2862" spans="1:4">
      <c r="A2862" s="206" t="s">
        <v>1322</v>
      </c>
      <c r="B2862" s="157">
        <f ca="1">IF(OFFSET('IWP19'!Std10dot5Withdrawals, 6, 0, 1, 1) = DATE(1900,1,0),DATE(1900,1,1),OFFSET('IWP19'!Std10dot5Withdrawals, 6, 0, 1, 1))</f>
        <v>1</v>
      </c>
      <c r="C2862" s="155">
        <f ca="1">OFFSET('IWP19'!Std10dot5Withdrawals, 6, 2, 1, 1)</f>
        <v>0</v>
      </c>
      <c r="D2862" s="207" t="str">
        <f ca="1">IF(OFFSET('IWP19'!Std10dot5Withdrawals, 6, 4, 1, 1) = 0, "", OFFSET('IWP19'!Std10dot5Withdrawals, 6, 4, 1, 1))</f>
        <v/>
      </c>
    </row>
    <row r="2863" spans="1:4">
      <c r="A2863" s="206" t="s">
        <v>1322</v>
      </c>
      <c r="B2863" s="157">
        <f ca="1">IF(OFFSET('IWP19'!Std10dot5Withdrawals, 7, 0, 1, 1) = DATE(1900,1,0),DATE(1900,1,1),OFFSET('IWP19'!Std10dot5Withdrawals, 7, 0, 1, 1))</f>
        <v>1</v>
      </c>
      <c r="C2863" s="155">
        <f ca="1">OFFSET('IWP19'!Std10dot5Withdrawals, 7, 2, 1, 1)</f>
        <v>0</v>
      </c>
      <c r="D2863" s="207" t="str">
        <f ca="1">IF(OFFSET('IWP19'!Std10dot5Withdrawals, 7, 4, 1, 1) = 0, "", OFFSET('IWP19'!Std10dot5Withdrawals, 7, 4, 1, 1))</f>
        <v/>
      </c>
    </row>
    <row r="2864" spans="1:4">
      <c r="A2864" s="206" t="s">
        <v>1322</v>
      </c>
      <c r="B2864" s="157">
        <f ca="1">IF(OFFSET('IWP19'!Std10dot5Withdrawals, 8, 0, 1, 1) = DATE(1900,1,0),DATE(1900,1,1),OFFSET('IWP19'!Std10dot5Withdrawals, 8, 0, 1, 1))</f>
        <v>1</v>
      </c>
      <c r="C2864" s="155">
        <f ca="1">OFFSET('IWP19'!Std10dot5Withdrawals, 8, 2, 1, 1)</f>
        <v>0</v>
      </c>
      <c r="D2864" s="207" t="str">
        <f ca="1">IF(OFFSET('IWP19'!Std10dot5Withdrawals, 8, 4, 1, 1) = 0, "", OFFSET('IWP19'!Std10dot5Withdrawals, 8, 4, 1, 1))</f>
        <v/>
      </c>
    </row>
    <row r="2865" spans="1:4">
      <c r="A2865" s="206" t="s">
        <v>1322</v>
      </c>
      <c r="B2865" s="157">
        <f ca="1">IF(OFFSET('IWP19'!Std10dot5Withdrawals, 9, 0, 1, 1) = DATE(1900,1,0),DATE(1900,1,1),OFFSET('IWP19'!Std10dot5Withdrawals, 9, 0, 1, 1))</f>
        <v>1</v>
      </c>
      <c r="C2865" s="155">
        <f ca="1">OFFSET('IWP19'!Std10dot5Withdrawals, 9, 2, 1, 1)</f>
        <v>0</v>
      </c>
      <c r="D2865" s="207" t="str">
        <f ca="1">IF(OFFSET('IWP19'!Std10dot5Withdrawals, 9, 4, 1, 1) = 0, "", OFFSET('IWP19'!Std10dot5Withdrawals, 9, 4, 1, 1))</f>
        <v/>
      </c>
    </row>
    <row r="2866" spans="1:4">
      <c r="A2866" s="206" t="s">
        <v>1323</v>
      </c>
      <c r="B2866" s="157">
        <f ca="1">IF(OFFSET('IWP20'!Std10dot5Withdrawals, 0, 0, 1, 1) = DATE(1900,1,0),DATE(1900,1,1),OFFSET('IWP20'!Std10dot5Withdrawals, 0, 0, 1, 1))</f>
        <v>1</v>
      </c>
      <c r="C2866" s="155">
        <f ca="1">OFFSET('IWP20'!Std10dot5Withdrawals, 0, 2, 1, 1)</f>
        <v>0</v>
      </c>
      <c r="D2866" s="207" t="str">
        <f ca="1">IF(OFFSET('IWP20'!Std10dot5Withdrawals, 0, 4, 1, 1) = 0, "", OFFSET('IWP20'!Std10dot5Withdrawals, 0, 4, 1, 1))</f>
        <v/>
      </c>
    </row>
    <row r="2867" spans="1:4">
      <c r="A2867" s="206" t="s">
        <v>1323</v>
      </c>
      <c r="B2867" s="157">
        <f ca="1">IF(OFFSET('IWP20'!Std10dot5Withdrawals, 1, 0, 1, 1) = DATE(1900,1,0),DATE(1900,1,1),OFFSET('IWP20'!Std10dot5Withdrawals, 1, 0, 1, 1))</f>
        <v>1</v>
      </c>
      <c r="C2867" s="155">
        <f ca="1">OFFSET('IWP20'!Std10dot5Withdrawals, 1, 2, 1, 1)</f>
        <v>0</v>
      </c>
      <c r="D2867" s="207" t="str">
        <f ca="1">IF(OFFSET('IWP20'!Std10dot5Withdrawals, 1, 4, 1, 1) = 0, "", OFFSET('IWP20'!Std10dot5Withdrawals, 1, 4, 1, 1))</f>
        <v/>
      </c>
    </row>
    <row r="2868" spans="1:4">
      <c r="A2868" s="206" t="s">
        <v>1323</v>
      </c>
      <c r="B2868" s="157">
        <f ca="1">IF(OFFSET('IWP20'!Std10dot5Withdrawals, 2, 0, 1, 1) = DATE(1900,1,0),DATE(1900,1,1),OFFSET('IWP20'!Std10dot5Withdrawals, 2, 0, 1, 1))</f>
        <v>1</v>
      </c>
      <c r="C2868" s="155">
        <f ca="1">OFFSET('IWP20'!Std10dot5Withdrawals, 2, 2, 1, 1)</f>
        <v>0</v>
      </c>
      <c r="D2868" s="207" t="str">
        <f ca="1">IF(OFFSET('IWP20'!Std10dot5Withdrawals, 2, 4, 1, 1) = 0, "", OFFSET('IWP20'!Std10dot5Withdrawals, 2, 4, 1, 1))</f>
        <v/>
      </c>
    </row>
    <row r="2869" spans="1:4">
      <c r="A2869" s="206" t="s">
        <v>1323</v>
      </c>
      <c r="B2869" s="157">
        <f ca="1">IF(OFFSET('IWP20'!Std10dot5Withdrawals, 3, 0, 1, 1) = DATE(1900,1,0),DATE(1900,1,1),OFFSET('IWP20'!Std10dot5Withdrawals, 3, 0, 1, 1))</f>
        <v>1</v>
      </c>
      <c r="C2869" s="155">
        <f ca="1">OFFSET('IWP20'!Std10dot5Withdrawals, 3, 2, 1, 1)</f>
        <v>0</v>
      </c>
      <c r="D2869" s="207" t="str">
        <f ca="1">IF(OFFSET('IWP20'!Std10dot5Withdrawals, 3, 4, 1, 1) = 0, "", OFFSET('IWP20'!Std10dot5Withdrawals, 3, 4, 1, 1))</f>
        <v/>
      </c>
    </row>
    <row r="2870" spans="1:4">
      <c r="A2870" s="206" t="s">
        <v>1323</v>
      </c>
      <c r="B2870" s="157">
        <f ca="1">IF(OFFSET('IWP20'!Std10dot5Withdrawals, 4, 0, 1, 1) = DATE(1900,1,0),DATE(1900,1,1),OFFSET('IWP20'!Std10dot5Withdrawals, 4, 0, 1, 1))</f>
        <v>1</v>
      </c>
      <c r="C2870" s="155">
        <f ca="1">OFFSET('IWP20'!Std10dot5Withdrawals, 4, 2, 1, 1)</f>
        <v>0</v>
      </c>
      <c r="D2870" s="207" t="str">
        <f ca="1">IF(OFFSET('IWP20'!Std10dot5Withdrawals, 4, 4, 1, 1) = 0, "", OFFSET('IWP20'!Std10dot5Withdrawals, 4, 4, 1, 1))</f>
        <v/>
      </c>
    </row>
    <row r="2871" spans="1:4">
      <c r="A2871" s="206" t="s">
        <v>1323</v>
      </c>
      <c r="B2871" s="157">
        <f ca="1">IF(OFFSET('IWP20'!Std10dot5Withdrawals, 5, 0, 1, 1) = DATE(1900,1,0),DATE(1900,1,1),OFFSET('IWP20'!Std10dot5Withdrawals, 5, 0, 1, 1))</f>
        <v>1</v>
      </c>
      <c r="C2871" s="155">
        <f ca="1">OFFSET('IWP20'!Std10dot5Withdrawals, 5, 2, 1, 1)</f>
        <v>0</v>
      </c>
      <c r="D2871" s="207" t="str">
        <f ca="1">IF(OFFSET('IWP20'!Std10dot5Withdrawals, 5, 4, 1, 1) = 0, "", OFFSET('IWP20'!Std10dot5Withdrawals, 5, 4, 1, 1))</f>
        <v/>
      </c>
    </row>
    <row r="2872" spans="1:4">
      <c r="A2872" s="206" t="s">
        <v>1323</v>
      </c>
      <c r="B2872" s="157">
        <f ca="1">IF(OFFSET('IWP20'!Std10dot5Withdrawals, 6, 0, 1, 1) = DATE(1900,1,0),DATE(1900,1,1),OFFSET('IWP20'!Std10dot5Withdrawals, 6, 0, 1, 1))</f>
        <v>1</v>
      </c>
      <c r="C2872" s="155">
        <f ca="1">OFFSET('IWP20'!Std10dot5Withdrawals, 6, 2, 1, 1)</f>
        <v>0</v>
      </c>
      <c r="D2872" s="207" t="str">
        <f ca="1">IF(OFFSET('IWP20'!Std10dot5Withdrawals, 6, 4, 1, 1) = 0, "", OFFSET('IWP20'!Std10dot5Withdrawals, 6, 4, 1, 1))</f>
        <v/>
      </c>
    </row>
    <row r="2873" spans="1:4">
      <c r="A2873" s="206" t="s">
        <v>1323</v>
      </c>
      <c r="B2873" s="157">
        <f ca="1">IF(OFFSET('IWP20'!Std10dot5Withdrawals, 7, 0, 1, 1) = DATE(1900,1,0),DATE(1900,1,1),OFFSET('IWP20'!Std10dot5Withdrawals, 7, 0, 1, 1))</f>
        <v>1</v>
      </c>
      <c r="C2873" s="155">
        <f ca="1">OFFSET('IWP20'!Std10dot5Withdrawals, 7, 2, 1, 1)</f>
        <v>0</v>
      </c>
      <c r="D2873" s="207" t="str">
        <f ca="1">IF(OFFSET('IWP20'!Std10dot5Withdrawals, 7, 4, 1, 1) = 0, "", OFFSET('IWP20'!Std10dot5Withdrawals, 7, 4, 1, 1))</f>
        <v/>
      </c>
    </row>
    <row r="2874" spans="1:4">
      <c r="A2874" s="206" t="s">
        <v>1323</v>
      </c>
      <c r="B2874" s="157">
        <f ca="1">IF(OFFSET('IWP20'!Std10dot5Withdrawals, 8, 0, 1, 1) = DATE(1900,1,0),DATE(1900,1,1),OFFSET('IWP20'!Std10dot5Withdrawals, 8, 0, 1, 1))</f>
        <v>1</v>
      </c>
      <c r="C2874" s="155">
        <f ca="1">OFFSET('IWP20'!Std10dot5Withdrawals, 8, 2, 1, 1)</f>
        <v>0</v>
      </c>
      <c r="D2874" s="207" t="str">
        <f ca="1">IF(OFFSET('IWP20'!Std10dot5Withdrawals, 8, 4, 1, 1) = 0, "", OFFSET('IWP20'!Std10dot5Withdrawals, 8, 4, 1, 1))</f>
        <v/>
      </c>
    </row>
    <row r="2875" spans="1:4">
      <c r="A2875" s="206" t="s">
        <v>1323</v>
      </c>
      <c r="B2875" s="157">
        <f ca="1">IF(OFFSET('IWP20'!Std10dot5Withdrawals, 9, 0, 1, 1) = DATE(1900,1,0),DATE(1900,1,1),OFFSET('IWP20'!Std10dot5Withdrawals, 9, 0, 1, 1))</f>
        <v>1</v>
      </c>
      <c r="C2875" s="155">
        <f ca="1">OFFSET('IWP20'!Std10dot5Withdrawals, 9, 2, 1, 1)</f>
        <v>0</v>
      </c>
      <c r="D2875" s="207" t="str">
        <f ca="1">IF(OFFSET('IWP20'!Std10dot5Withdrawals, 9, 4, 1, 1) = 0, "", OFFSET('IWP20'!Std10dot5Withdrawals, 9, 4, 1, 1))</f>
        <v/>
      </c>
    </row>
    <row r="2876" spans="1:4">
      <c r="A2876" s="206" t="s">
        <v>1324</v>
      </c>
      <c r="B2876" s="157">
        <f ca="1">IF(OFFSET('IWP21'!Std10dot5Withdrawals, 0, 0, 1, 1) = DATE(1900,1,0),DATE(1900,1,1),OFFSET('IWP21'!Std10dot5Withdrawals, 0, 0, 1, 1))</f>
        <v>1</v>
      </c>
      <c r="C2876" s="155">
        <f ca="1">OFFSET('IWP21'!Std10dot5Withdrawals, 0, 2, 1, 1)</f>
        <v>0</v>
      </c>
      <c r="D2876" s="207" t="str">
        <f ca="1">IF(OFFSET('IWP21'!Std10dot5Withdrawals, 0, 4, 1, 1) = 0, "", OFFSET('IWP21'!Std10dot5Withdrawals, 0, 4, 1, 1))</f>
        <v/>
      </c>
    </row>
    <row r="2877" spans="1:4">
      <c r="A2877" s="206" t="s">
        <v>1324</v>
      </c>
      <c r="B2877" s="157">
        <f ca="1">IF(OFFSET('IWP21'!Std10dot5Withdrawals, 1, 0, 1, 1) = DATE(1900,1,0),DATE(1900,1,1),OFFSET('IWP21'!Std10dot5Withdrawals, 1, 0, 1, 1))</f>
        <v>1</v>
      </c>
      <c r="C2877" s="155">
        <f ca="1">OFFSET('IWP21'!Std10dot5Withdrawals, 1, 2, 1, 1)</f>
        <v>0</v>
      </c>
      <c r="D2877" s="207" t="str">
        <f ca="1">IF(OFFSET('IWP21'!Std10dot5Withdrawals, 1, 4, 1, 1) = 0, "", OFFSET('IWP21'!Std10dot5Withdrawals, 1, 4, 1, 1))</f>
        <v/>
      </c>
    </row>
    <row r="2878" spans="1:4">
      <c r="A2878" s="206" t="s">
        <v>1324</v>
      </c>
      <c r="B2878" s="157">
        <f ca="1">IF(OFFSET('IWP21'!Std10dot5Withdrawals, 2, 0, 1, 1) = DATE(1900,1,0),DATE(1900,1,1),OFFSET('IWP21'!Std10dot5Withdrawals, 2, 0, 1, 1))</f>
        <v>1</v>
      </c>
      <c r="C2878" s="155">
        <f ca="1">OFFSET('IWP21'!Std10dot5Withdrawals, 2, 2, 1, 1)</f>
        <v>0</v>
      </c>
      <c r="D2878" s="207" t="str">
        <f ca="1">IF(OFFSET('IWP21'!Std10dot5Withdrawals, 2, 4, 1, 1) = 0, "", OFFSET('IWP21'!Std10dot5Withdrawals, 2, 4, 1, 1))</f>
        <v/>
      </c>
    </row>
    <row r="2879" spans="1:4">
      <c r="A2879" s="206" t="s">
        <v>1324</v>
      </c>
      <c r="B2879" s="157">
        <f ca="1">IF(OFFSET('IWP21'!Std10dot5Withdrawals, 3, 0, 1, 1) = DATE(1900,1,0),DATE(1900,1,1),OFFSET('IWP21'!Std10dot5Withdrawals, 3, 0, 1, 1))</f>
        <v>1</v>
      </c>
      <c r="C2879" s="155">
        <f ca="1">OFFSET('IWP21'!Std10dot5Withdrawals, 3, 2, 1, 1)</f>
        <v>0</v>
      </c>
      <c r="D2879" s="207" t="str">
        <f ca="1">IF(OFFSET('IWP21'!Std10dot5Withdrawals, 3, 4, 1, 1) = 0, "", OFFSET('IWP21'!Std10dot5Withdrawals, 3, 4, 1, 1))</f>
        <v/>
      </c>
    </row>
    <row r="2880" spans="1:4">
      <c r="A2880" s="206" t="s">
        <v>1324</v>
      </c>
      <c r="B2880" s="157">
        <f ca="1">IF(OFFSET('IWP21'!Std10dot5Withdrawals, 4, 0, 1, 1) = DATE(1900,1,0),DATE(1900,1,1),OFFSET('IWP21'!Std10dot5Withdrawals, 4, 0, 1, 1))</f>
        <v>1</v>
      </c>
      <c r="C2880" s="155">
        <f ca="1">OFFSET('IWP21'!Std10dot5Withdrawals, 4, 2, 1, 1)</f>
        <v>0</v>
      </c>
      <c r="D2880" s="207" t="str">
        <f ca="1">IF(OFFSET('IWP21'!Std10dot5Withdrawals, 4, 4, 1, 1) = 0, "", OFFSET('IWP21'!Std10dot5Withdrawals, 4, 4, 1, 1))</f>
        <v/>
      </c>
    </row>
    <row r="2881" spans="1:4">
      <c r="A2881" s="206" t="s">
        <v>1324</v>
      </c>
      <c r="B2881" s="157">
        <f ca="1">IF(OFFSET('IWP21'!Std10dot5Withdrawals, 5, 0, 1, 1) = DATE(1900,1,0),DATE(1900,1,1),OFFSET('IWP21'!Std10dot5Withdrawals, 5, 0, 1, 1))</f>
        <v>1</v>
      </c>
      <c r="C2881" s="155">
        <f ca="1">OFFSET('IWP21'!Std10dot5Withdrawals, 5, 2, 1, 1)</f>
        <v>0</v>
      </c>
      <c r="D2881" s="207" t="str">
        <f ca="1">IF(OFFSET('IWP21'!Std10dot5Withdrawals, 5, 4, 1, 1) = 0, "", OFFSET('IWP21'!Std10dot5Withdrawals, 5, 4, 1, 1))</f>
        <v/>
      </c>
    </row>
    <row r="2882" spans="1:4">
      <c r="A2882" s="206" t="s">
        <v>1324</v>
      </c>
      <c r="B2882" s="157">
        <f ca="1">IF(OFFSET('IWP21'!Std10dot5Withdrawals, 6, 0, 1, 1) = DATE(1900,1,0),DATE(1900,1,1),OFFSET('IWP21'!Std10dot5Withdrawals, 6, 0, 1, 1))</f>
        <v>1</v>
      </c>
      <c r="C2882" s="155">
        <f ca="1">OFFSET('IWP21'!Std10dot5Withdrawals, 6, 2, 1, 1)</f>
        <v>0</v>
      </c>
      <c r="D2882" s="207" t="str">
        <f ca="1">IF(OFFSET('IWP21'!Std10dot5Withdrawals, 6, 4, 1, 1) = 0, "", OFFSET('IWP21'!Std10dot5Withdrawals, 6, 4, 1, 1))</f>
        <v/>
      </c>
    </row>
    <row r="2883" spans="1:4">
      <c r="A2883" s="206" t="s">
        <v>1324</v>
      </c>
      <c r="B2883" s="157">
        <f ca="1">IF(OFFSET('IWP21'!Std10dot5Withdrawals, 7, 0, 1, 1) = DATE(1900,1,0),DATE(1900,1,1),OFFSET('IWP21'!Std10dot5Withdrawals, 7, 0, 1, 1))</f>
        <v>1</v>
      </c>
      <c r="C2883" s="155">
        <f ca="1">OFFSET('IWP21'!Std10dot5Withdrawals, 7, 2, 1, 1)</f>
        <v>0</v>
      </c>
      <c r="D2883" s="207" t="str">
        <f ca="1">IF(OFFSET('IWP21'!Std10dot5Withdrawals, 7, 4, 1, 1) = 0, "", OFFSET('IWP21'!Std10dot5Withdrawals, 7, 4, 1, 1))</f>
        <v/>
      </c>
    </row>
    <row r="2884" spans="1:4">
      <c r="A2884" s="206" t="s">
        <v>1324</v>
      </c>
      <c r="B2884" s="157">
        <f ca="1">IF(OFFSET('IWP21'!Std10dot5Withdrawals, 8, 0, 1, 1) = DATE(1900,1,0),DATE(1900,1,1),OFFSET('IWP21'!Std10dot5Withdrawals, 8, 0, 1, 1))</f>
        <v>1</v>
      </c>
      <c r="C2884" s="155">
        <f ca="1">OFFSET('IWP21'!Std10dot5Withdrawals, 8, 2, 1, 1)</f>
        <v>0</v>
      </c>
      <c r="D2884" s="207" t="str">
        <f ca="1">IF(OFFSET('IWP21'!Std10dot5Withdrawals, 8, 4, 1, 1) = 0, "", OFFSET('IWP21'!Std10dot5Withdrawals, 8, 4, 1, 1))</f>
        <v/>
      </c>
    </row>
    <row r="2885" spans="1:4">
      <c r="A2885" s="206" t="s">
        <v>1324</v>
      </c>
      <c r="B2885" s="157">
        <f ca="1">IF(OFFSET('IWP21'!Std10dot5Withdrawals, 9, 0, 1, 1) = DATE(1900,1,0),DATE(1900,1,1),OFFSET('IWP21'!Std10dot5Withdrawals, 9, 0, 1, 1))</f>
        <v>1</v>
      </c>
      <c r="C2885" s="155">
        <f ca="1">OFFSET('IWP21'!Std10dot5Withdrawals, 9, 2, 1, 1)</f>
        <v>0</v>
      </c>
      <c r="D2885" s="207" t="str">
        <f ca="1">IF(OFFSET('IWP21'!Std10dot5Withdrawals, 9, 4, 1, 1) = 0, "", OFFSET('IWP21'!Std10dot5Withdrawals, 9, 4, 1, 1))</f>
        <v/>
      </c>
    </row>
    <row r="2886" spans="1:4">
      <c r="A2886" s="206" t="s">
        <v>1325</v>
      </c>
      <c r="B2886" s="157">
        <f ca="1">IF(OFFSET('IWP22'!Std10dot5Withdrawals, 0, 0, 1, 1) = DATE(1900,1,0),DATE(1900,1,1),OFFSET('IWP22'!Std10dot5Withdrawals, 0, 0, 1, 1))</f>
        <v>1</v>
      </c>
      <c r="C2886" s="155">
        <f ca="1">OFFSET('IWP22'!Std10dot5Withdrawals, 0, 2, 1, 1)</f>
        <v>0</v>
      </c>
      <c r="D2886" s="207" t="str">
        <f ca="1">IF(OFFSET('IWP22'!Std10dot5Withdrawals, 0, 4, 1, 1) = 0, "", OFFSET('IWP22'!Std10dot5Withdrawals, 0, 4, 1, 1))</f>
        <v/>
      </c>
    </row>
    <row r="2887" spans="1:4">
      <c r="A2887" s="206" t="s">
        <v>1325</v>
      </c>
      <c r="B2887" s="157">
        <f ca="1">IF(OFFSET('IWP22'!Std10dot5Withdrawals, 1, 0, 1, 1) = DATE(1900,1,0),DATE(1900,1,1),OFFSET('IWP22'!Std10dot5Withdrawals, 1, 0, 1, 1))</f>
        <v>1</v>
      </c>
      <c r="C2887" s="155">
        <f ca="1">OFFSET('IWP22'!Std10dot5Withdrawals, 1, 2, 1, 1)</f>
        <v>0</v>
      </c>
      <c r="D2887" s="207" t="str">
        <f ca="1">IF(OFFSET('IWP22'!Std10dot5Withdrawals, 1, 4, 1, 1) = 0, "", OFFSET('IWP22'!Std10dot5Withdrawals, 1, 4, 1, 1))</f>
        <v/>
      </c>
    </row>
    <row r="2888" spans="1:4">
      <c r="A2888" s="206" t="s">
        <v>1325</v>
      </c>
      <c r="B2888" s="157">
        <f ca="1">IF(OFFSET('IWP22'!Std10dot5Withdrawals, 2, 0, 1, 1) = DATE(1900,1,0),DATE(1900,1,1),OFFSET('IWP22'!Std10dot5Withdrawals, 2, 0, 1, 1))</f>
        <v>1</v>
      </c>
      <c r="C2888" s="155">
        <f ca="1">OFFSET('IWP22'!Std10dot5Withdrawals, 2, 2, 1, 1)</f>
        <v>0</v>
      </c>
      <c r="D2888" s="207" t="str">
        <f ca="1">IF(OFFSET('IWP22'!Std10dot5Withdrawals, 2, 4, 1, 1) = 0, "", OFFSET('IWP22'!Std10dot5Withdrawals, 2, 4, 1, 1))</f>
        <v/>
      </c>
    </row>
    <row r="2889" spans="1:4">
      <c r="A2889" s="206" t="s">
        <v>1325</v>
      </c>
      <c r="B2889" s="157">
        <f ca="1">IF(OFFSET('IWP22'!Std10dot5Withdrawals, 3, 0, 1, 1) = DATE(1900,1,0),DATE(1900,1,1),OFFSET('IWP22'!Std10dot5Withdrawals, 3, 0, 1, 1))</f>
        <v>1</v>
      </c>
      <c r="C2889" s="155">
        <f ca="1">OFFSET('IWP22'!Std10dot5Withdrawals, 3, 2, 1, 1)</f>
        <v>0</v>
      </c>
      <c r="D2889" s="207" t="str">
        <f ca="1">IF(OFFSET('IWP22'!Std10dot5Withdrawals, 3, 4, 1, 1) = 0, "", OFFSET('IWP22'!Std10dot5Withdrawals, 3, 4, 1, 1))</f>
        <v/>
      </c>
    </row>
    <row r="2890" spans="1:4">
      <c r="A2890" s="206" t="s">
        <v>1325</v>
      </c>
      <c r="B2890" s="157">
        <f ca="1">IF(OFFSET('IWP22'!Std10dot5Withdrawals, 4, 0, 1, 1) = DATE(1900,1,0),DATE(1900,1,1),OFFSET('IWP22'!Std10dot5Withdrawals, 4, 0, 1, 1))</f>
        <v>1</v>
      </c>
      <c r="C2890" s="155">
        <f ca="1">OFFSET('IWP22'!Std10dot5Withdrawals, 4, 2, 1, 1)</f>
        <v>0</v>
      </c>
      <c r="D2890" s="207" t="str">
        <f ca="1">IF(OFFSET('IWP22'!Std10dot5Withdrawals, 4, 4, 1, 1) = 0, "", OFFSET('IWP22'!Std10dot5Withdrawals, 4, 4, 1, 1))</f>
        <v/>
      </c>
    </row>
    <row r="2891" spans="1:4">
      <c r="A2891" s="206" t="s">
        <v>1325</v>
      </c>
      <c r="B2891" s="157">
        <f ca="1">IF(OFFSET('IWP22'!Std10dot5Withdrawals, 5, 0, 1, 1) = DATE(1900,1,0),DATE(1900,1,1),OFFSET('IWP22'!Std10dot5Withdrawals, 5, 0, 1, 1))</f>
        <v>1</v>
      </c>
      <c r="C2891" s="155">
        <f ca="1">OFFSET('IWP22'!Std10dot5Withdrawals, 5, 2, 1, 1)</f>
        <v>0</v>
      </c>
      <c r="D2891" s="207" t="str">
        <f ca="1">IF(OFFSET('IWP22'!Std10dot5Withdrawals, 5, 4, 1, 1) = 0, "", OFFSET('IWP22'!Std10dot5Withdrawals, 5, 4, 1, 1))</f>
        <v/>
      </c>
    </row>
    <row r="2892" spans="1:4">
      <c r="A2892" s="206" t="s">
        <v>1325</v>
      </c>
      <c r="B2892" s="157">
        <f ca="1">IF(OFFSET('IWP22'!Std10dot5Withdrawals, 6, 0, 1, 1) = DATE(1900,1,0),DATE(1900,1,1),OFFSET('IWP22'!Std10dot5Withdrawals, 6, 0, 1, 1))</f>
        <v>1</v>
      </c>
      <c r="C2892" s="155">
        <f ca="1">OFFSET('IWP22'!Std10dot5Withdrawals, 6, 2, 1, 1)</f>
        <v>0</v>
      </c>
      <c r="D2892" s="207" t="str">
        <f ca="1">IF(OFFSET('IWP22'!Std10dot5Withdrawals, 6, 4, 1, 1) = 0, "", OFFSET('IWP22'!Std10dot5Withdrawals, 6, 4, 1, 1))</f>
        <v/>
      </c>
    </row>
    <row r="2893" spans="1:4">
      <c r="A2893" s="206" t="s">
        <v>1325</v>
      </c>
      <c r="B2893" s="157">
        <f ca="1">IF(OFFSET('IWP22'!Std10dot5Withdrawals, 7, 0, 1, 1) = DATE(1900,1,0),DATE(1900,1,1),OFFSET('IWP22'!Std10dot5Withdrawals, 7, 0, 1, 1))</f>
        <v>1</v>
      </c>
      <c r="C2893" s="155">
        <f ca="1">OFFSET('IWP22'!Std10dot5Withdrawals, 7, 2, 1, 1)</f>
        <v>0</v>
      </c>
      <c r="D2893" s="207" t="str">
        <f ca="1">IF(OFFSET('IWP22'!Std10dot5Withdrawals, 7, 4, 1, 1) = 0, "", OFFSET('IWP22'!Std10dot5Withdrawals, 7, 4, 1, 1))</f>
        <v/>
      </c>
    </row>
    <row r="2894" spans="1:4">
      <c r="A2894" s="206" t="s">
        <v>1325</v>
      </c>
      <c r="B2894" s="157">
        <f ca="1">IF(OFFSET('IWP22'!Std10dot5Withdrawals, 8, 0, 1, 1) = DATE(1900,1,0),DATE(1900,1,1),OFFSET('IWP22'!Std10dot5Withdrawals, 8, 0, 1, 1))</f>
        <v>1</v>
      </c>
      <c r="C2894" s="155">
        <f ca="1">OFFSET('IWP22'!Std10dot5Withdrawals, 8, 2, 1, 1)</f>
        <v>0</v>
      </c>
      <c r="D2894" s="207" t="str">
        <f ca="1">IF(OFFSET('IWP22'!Std10dot5Withdrawals, 8, 4, 1, 1) = 0, "", OFFSET('IWP22'!Std10dot5Withdrawals, 8, 4, 1, 1))</f>
        <v/>
      </c>
    </row>
    <row r="2895" spans="1:4">
      <c r="A2895" s="206" t="s">
        <v>1325</v>
      </c>
      <c r="B2895" s="157">
        <f ca="1">IF(OFFSET('IWP22'!Std10dot5Withdrawals, 9, 0, 1, 1) = DATE(1900,1,0),DATE(1900,1,1),OFFSET('IWP22'!Std10dot5Withdrawals, 9, 0, 1, 1))</f>
        <v>1</v>
      </c>
      <c r="C2895" s="155">
        <f ca="1">OFFSET('IWP22'!Std10dot5Withdrawals, 9, 2, 1, 1)</f>
        <v>0</v>
      </c>
      <c r="D2895" s="207" t="str">
        <f ca="1">IF(OFFSET('IWP22'!Std10dot5Withdrawals, 9, 4, 1, 1) = 0, "", OFFSET('IWP22'!Std10dot5Withdrawals, 9, 4, 1, 1))</f>
        <v/>
      </c>
    </row>
    <row r="2896" spans="1:4">
      <c r="A2896" s="206" t="s">
        <v>1326</v>
      </c>
      <c r="B2896" s="157">
        <f ca="1">IF(OFFSET('IWP23'!Std10dot5Withdrawals, 0, 0, 1, 1) = DATE(1900,1,0),DATE(1900,1,1),OFFSET('IWP23'!Std10dot5Withdrawals, 0, 0, 1, 1))</f>
        <v>1</v>
      </c>
      <c r="C2896" s="155">
        <f ca="1">OFFSET('IWP23'!Std10dot5Withdrawals, 0, 2, 1, 1)</f>
        <v>0</v>
      </c>
      <c r="D2896" s="207" t="str">
        <f ca="1">IF(OFFSET('IWP23'!Std10dot5Withdrawals, 0, 4, 1, 1) = 0, "", OFFSET('IWP23'!Std10dot5Withdrawals, 0, 4, 1, 1))</f>
        <v/>
      </c>
    </row>
    <row r="2897" spans="1:4">
      <c r="A2897" s="206" t="s">
        <v>1326</v>
      </c>
      <c r="B2897" s="157">
        <f ca="1">IF(OFFSET('IWP23'!Std10dot5Withdrawals, 1, 0, 1, 1) = DATE(1900,1,0),DATE(1900,1,1),OFFSET('IWP23'!Std10dot5Withdrawals, 1, 0, 1, 1))</f>
        <v>1</v>
      </c>
      <c r="C2897" s="155">
        <f ca="1">OFFSET('IWP23'!Std10dot5Withdrawals, 1, 2, 1, 1)</f>
        <v>0</v>
      </c>
      <c r="D2897" s="207" t="str">
        <f ca="1">IF(OFFSET('IWP23'!Std10dot5Withdrawals, 1, 4, 1, 1) = 0, "", OFFSET('IWP23'!Std10dot5Withdrawals, 1, 4, 1, 1))</f>
        <v/>
      </c>
    </row>
    <row r="2898" spans="1:4">
      <c r="A2898" s="206" t="s">
        <v>1326</v>
      </c>
      <c r="B2898" s="157">
        <f ca="1">IF(OFFSET('IWP23'!Std10dot5Withdrawals, 2, 0, 1, 1) = DATE(1900,1,0),DATE(1900,1,1),OFFSET('IWP23'!Std10dot5Withdrawals, 2, 0, 1, 1))</f>
        <v>1</v>
      </c>
      <c r="C2898" s="155">
        <f ca="1">OFFSET('IWP23'!Std10dot5Withdrawals, 2, 2, 1, 1)</f>
        <v>0</v>
      </c>
      <c r="D2898" s="207" t="str">
        <f ca="1">IF(OFFSET('IWP23'!Std10dot5Withdrawals, 2, 4, 1, 1) = 0, "", OFFSET('IWP23'!Std10dot5Withdrawals, 2, 4, 1, 1))</f>
        <v/>
      </c>
    </row>
    <row r="2899" spans="1:4">
      <c r="A2899" s="206" t="s">
        <v>1326</v>
      </c>
      <c r="B2899" s="157">
        <f ca="1">IF(OFFSET('IWP23'!Std10dot5Withdrawals, 3, 0, 1, 1) = DATE(1900,1,0),DATE(1900,1,1),OFFSET('IWP23'!Std10dot5Withdrawals, 3, 0, 1, 1))</f>
        <v>1</v>
      </c>
      <c r="C2899" s="155">
        <f ca="1">OFFSET('IWP23'!Std10dot5Withdrawals, 3, 2, 1, 1)</f>
        <v>0</v>
      </c>
      <c r="D2899" s="207" t="str">
        <f ca="1">IF(OFFSET('IWP23'!Std10dot5Withdrawals, 3, 4, 1, 1) = 0, "", OFFSET('IWP23'!Std10dot5Withdrawals, 3, 4, 1, 1))</f>
        <v/>
      </c>
    </row>
    <row r="2900" spans="1:4">
      <c r="A2900" s="206" t="s">
        <v>1326</v>
      </c>
      <c r="B2900" s="157">
        <f ca="1">IF(OFFSET('IWP23'!Std10dot5Withdrawals, 4, 0, 1, 1) = DATE(1900,1,0),DATE(1900,1,1),OFFSET('IWP23'!Std10dot5Withdrawals, 4, 0, 1, 1))</f>
        <v>1</v>
      </c>
      <c r="C2900" s="155">
        <f ca="1">OFFSET('IWP23'!Std10dot5Withdrawals, 4, 2, 1, 1)</f>
        <v>0</v>
      </c>
      <c r="D2900" s="207" t="str">
        <f ca="1">IF(OFFSET('IWP23'!Std10dot5Withdrawals, 4, 4, 1, 1) = 0, "", OFFSET('IWP23'!Std10dot5Withdrawals, 4, 4, 1, 1))</f>
        <v/>
      </c>
    </row>
    <row r="2901" spans="1:4">
      <c r="A2901" s="206" t="s">
        <v>1326</v>
      </c>
      <c r="B2901" s="157">
        <f ca="1">IF(OFFSET('IWP23'!Std10dot5Withdrawals, 5, 0, 1, 1) = DATE(1900,1,0),DATE(1900,1,1),OFFSET('IWP23'!Std10dot5Withdrawals, 5, 0, 1, 1))</f>
        <v>1</v>
      </c>
      <c r="C2901" s="155">
        <f ca="1">OFFSET('IWP23'!Std10dot5Withdrawals, 5, 2, 1, 1)</f>
        <v>0</v>
      </c>
      <c r="D2901" s="207" t="str">
        <f ca="1">IF(OFFSET('IWP23'!Std10dot5Withdrawals, 5, 4, 1, 1) = 0, "", OFFSET('IWP23'!Std10dot5Withdrawals, 5, 4, 1, 1))</f>
        <v/>
      </c>
    </row>
    <row r="2902" spans="1:4">
      <c r="A2902" s="206" t="s">
        <v>1326</v>
      </c>
      <c r="B2902" s="157">
        <f ca="1">IF(OFFSET('IWP23'!Std10dot5Withdrawals, 6, 0, 1, 1) = DATE(1900,1,0),DATE(1900,1,1),OFFSET('IWP23'!Std10dot5Withdrawals, 6, 0, 1, 1))</f>
        <v>1</v>
      </c>
      <c r="C2902" s="155">
        <f ca="1">OFFSET('IWP23'!Std10dot5Withdrawals, 6, 2, 1, 1)</f>
        <v>0</v>
      </c>
      <c r="D2902" s="207" t="str">
        <f ca="1">IF(OFFSET('IWP23'!Std10dot5Withdrawals, 6, 4, 1, 1) = 0, "", OFFSET('IWP23'!Std10dot5Withdrawals, 6, 4, 1, 1))</f>
        <v/>
      </c>
    </row>
    <row r="2903" spans="1:4">
      <c r="A2903" s="206" t="s">
        <v>1326</v>
      </c>
      <c r="B2903" s="157">
        <f ca="1">IF(OFFSET('IWP23'!Std10dot5Withdrawals, 7, 0, 1, 1) = DATE(1900,1,0),DATE(1900,1,1),OFFSET('IWP23'!Std10dot5Withdrawals, 7, 0, 1, 1))</f>
        <v>1</v>
      </c>
      <c r="C2903" s="155">
        <f ca="1">OFFSET('IWP23'!Std10dot5Withdrawals, 7, 2, 1, 1)</f>
        <v>0</v>
      </c>
      <c r="D2903" s="207" t="str">
        <f ca="1">IF(OFFSET('IWP23'!Std10dot5Withdrawals, 7, 4, 1, 1) = 0, "", OFFSET('IWP23'!Std10dot5Withdrawals, 7, 4, 1, 1))</f>
        <v/>
      </c>
    </row>
    <row r="2904" spans="1:4">
      <c r="A2904" s="206" t="s">
        <v>1326</v>
      </c>
      <c r="B2904" s="157">
        <f ca="1">IF(OFFSET('IWP23'!Std10dot5Withdrawals, 8, 0, 1, 1) = DATE(1900,1,0),DATE(1900,1,1),OFFSET('IWP23'!Std10dot5Withdrawals, 8, 0, 1, 1))</f>
        <v>1</v>
      </c>
      <c r="C2904" s="155">
        <f ca="1">OFFSET('IWP23'!Std10dot5Withdrawals, 8, 2, 1, 1)</f>
        <v>0</v>
      </c>
      <c r="D2904" s="207" t="str">
        <f ca="1">IF(OFFSET('IWP23'!Std10dot5Withdrawals, 8, 4, 1, 1) = 0, "", OFFSET('IWP23'!Std10dot5Withdrawals, 8, 4, 1, 1))</f>
        <v/>
      </c>
    </row>
    <row r="2905" spans="1:4">
      <c r="A2905" s="206" t="s">
        <v>1326</v>
      </c>
      <c r="B2905" s="157">
        <f ca="1">IF(OFFSET('IWP23'!Std10dot5Withdrawals, 9, 0, 1, 1) = DATE(1900,1,0),DATE(1900,1,1),OFFSET('IWP23'!Std10dot5Withdrawals, 9, 0, 1, 1))</f>
        <v>1</v>
      </c>
      <c r="C2905" s="155">
        <f ca="1">OFFSET('IWP23'!Std10dot5Withdrawals, 9, 2, 1, 1)</f>
        <v>0</v>
      </c>
      <c r="D2905" s="207" t="str">
        <f ca="1">IF(OFFSET('IWP23'!Std10dot5Withdrawals, 9, 4, 1, 1) = 0, "", OFFSET('IWP23'!Std10dot5Withdrawals, 9, 4, 1, 1))</f>
        <v/>
      </c>
    </row>
    <row r="2906" spans="1:4">
      <c r="A2906" s="206" t="s">
        <v>1327</v>
      </c>
      <c r="B2906" s="157">
        <f ca="1">IF(OFFSET('IWP24'!Std10dot5Withdrawals, 0, 0, 1, 1) = DATE(1900,1,0),DATE(1900,1,1),OFFSET('IWP24'!Std10dot5Withdrawals, 0, 0, 1, 1))</f>
        <v>1</v>
      </c>
      <c r="C2906" s="155">
        <f ca="1">OFFSET('IWP24'!Std10dot5Withdrawals, 0, 2, 1, 1)</f>
        <v>0</v>
      </c>
      <c r="D2906" s="207" t="str">
        <f ca="1">IF(OFFSET('IWP24'!Std10dot5Withdrawals, 0, 4, 1, 1) = 0, "", OFFSET('IWP24'!Std10dot5Withdrawals, 0, 4, 1, 1))</f>
        <v/>
      </c>
    </row>
    <row r="2907" spans="1:4">
      <c r="A2907" s="206" t="s">
        <v>1327</v>
      </c>
      <c r="B2907" s="157">
        <f ca="1">IF(OFFSET('IWP24'!Std10dot5Withdrawals, 1, 0, 1, 1) = DATE(1900,1,0),DATE(1900,1,1),OFFSET('IWP24'!Std10dot5Withdrawals, 1, 0, 1, 1))</f>
        <v>1</v>
      </c>
      <c r="C2907" s="155">
        <f ca="1">OFFSET('IWP24'!Std10dot5Withdrawals, 1, 2, 1, 1)</f>
        <v>0</v>
      </c>
      <c r="D2907" s="207" t="str">
        <f ca="1">IF(OFFSET('IWP24'!Std10dot5Withdrawals, 1, 4, 1, 1) = 0, "", OFFSET('IWP24'!Std10dot5Withdrawals, 1, 4, 1, 1))</f>
        <v/>
      </c>
    </row>
    <row r="2908" spans="1:4">
      <c r="A2908" s="206" t="s">
        <v>1327</v>
      </c>
      <c r="B2908" s="157">
        <f ca="1">IF(OFFSET('IWP24'!Std10dot5Withdrawals, 2, 0, 1, 1) = DATE(1900,1,0),DATE(1900,1,1),OFFSET('IWP24'!Std10dot5Withdrawals, 2, 0, 1, 1))</f>
        <v>1</v>
      </c>
      <c r="C2908" s="155">
        <f ca="1">OFFSET('IWP24'!Std10dot5Withdrawals, 2, 2, 1, 1)</f>
        <v>0</v>
      </c>
      <c r="D2908" s="207" t="str">
        <f ca="1">IF(OFFSET('IWP24'!Std10dot5Withdrawals, 2, 4, 1, 1) = 0, "", OFFSET('IWP24'!Std10dot5Withdrawals, 2, 4, 1, 1))</f>
        <v/>
      </c>
    </row>
    <row r="2909" spans="1:4">
      <c r="A2909" s="206" t="s">
        <v>1327</v>
      </c>
      <c r="B2909" s="157">
        <f ca="1">IF(OFFSET('IWP24'!Std10dot5Withdrawals, 3, 0, 1, 1) = DATE(1900,1,0),DATE(1900,1,1),OFFSET('IWP24'!Std10dot5Withdrawals, 3, 0, 1, 1))</f>
        <v>1</v>
      </c>
      <c r="C2909" s="155">
        <f ca="1">OFFSET('IWP24'!Std10dot5Withdrawals, 3, 2, 1, 1)</f>
        <v>0</v>
      </c>
      <c r="D2909" s="207" t="str">
        <f ca="1">IF(OFFSET('IWP24'!Std10dot5Withdrawals, 3, 4, 1, 1) = 0, "", OFFSET('IWP24'!Std10dot5Withdrawals, 3, 4, 1, 1))</f>
        <v/>
      </c>
    </row>
    <row r="2910" spans="1:4">
      <c r="A2910" s="206" t="s">
        <v>1327</v>
      </c>
      <c r="B2910" s="157">
        <f ca="1">IF(OFFSET('IWP24'!Std10dot5Withdrawals, 4, 0, 1, 1) = DATE(1900,1,0),DATE(1900,1,1),OFFSET('IWP24'!Std10dot5Withdrawals, 4, 0, 1, 1))</f>
        <v>1</v>
      </c>
      <c r="C2910" s="155">
        <f ca="1">OFFSET('IWP24'!Std10dot5Withdrawals, 4, 2, 1, 1)</f>
        <v>0</v>
      </c>
      <c r="D2910" s="207" t="str">
        <f ca="1">IF(OFFSET('IWP24'!Std10dot5Withdrawals, 4, 4, 1, 1) = 0, "", OFFSET('IWP24'!Std10dot5Withdrawals, 4, 4, 1, 1))</f>
        <v/>
      </c>
    </row>
    <row r="2911" spans="1:4">
      <c r="A2911" s="206" t="s">
        <v>1327</v>
      </c>
      <c r="B2911" s="157">
        <f ca="1">IF(OFFSET('IWP24'!Std10dot5Withdrawals, 5, 0, 1, 1) = DATE(1900,1,0),DATE(1900,1,1),OFFSET('IWP24'!Std10dot5Withdrawals, 5, 0, 1, 1))</f>
        <v>1</v>
      </c>
      <c r="C2911" s="155">
        <f ca="1">OFFSET('IWP24'!Std10dot5Withdrawals, 5, 2, 1, 1)</f>
        <v>0</v>
      </c>
      <c r="D2911" s="207" t="str">
        <f ca="1">IF(OFFSET('IWP24'!Std10dot5Withdrawals, 5, 4, 1, 1) = 0, "", OFFSET('IWP24'!Std10dot5Withdrawals, 5, 4, 1, 1))</f>
        <v/>
      </c>
    </row>
    <row r="2912" spans="1:4">
      <c r="A2912" s="206" t="s">
        <v>1327</v>
      </c>
      <c r="B2912" s="157">
        <f ca="1">IF(OFFSET('IWP24'!Std10dot5Withdrawals, 6, 0, 1, 1) = DATE(1900,1,0),DATE(1900,1,1),OFFSET('IWP24'!Std10dot5Withdrawals, 6, 0, 1, 1))</f>
        <v>1</v>
      </c>
      <c r="C2912" s="155">
        <f ca="1">OFFSET('IWP24'!Std10dot5Withdrawals, 6, 2, 1, 1)</f>
        <v>0</v>
      </c>
      <c r="D2912" s="207" t="str">
        <f ca="1">IF(OFFSET('IWP24'!Std10dot5Withdrawals, 6, 4, 1, 1) = 0, "", OFFSET('IWP24'!Std10dot5Withdrawals, 6, 4, 1, 1))</f>
        <v/>
      </c>
    </row>
    <row r="2913" spans="1:4">
      <c r="A2913" s="206" t="s">
        <v>1327</v>
      </c>
      <c r="B2913" s="157">
        <f ca="1">IF(OFFSET('IWP24'!Std10dot5Withdrawals, 7, 0, 1, 1) = DATE(1900,1,0),DATE(1900,1,1),OFFSET('IWP24'!Std10dot5Withdrawals, 7, 0, 1, 1))</f>
        <v>1</v>
      </c>
      <c r="C2913" s="155">
        <f ca="1">OFFSET('IWP24'!Std10dot5Withdrawals, 7, 2, 1, 1)</f>
        <v>0</v>
      </c>
      <c r="D2913" s="207" t="str">
        <f ca="1">IF(OFFSET('IWP24'!Std10dot5Withdrawals, 7, 4, 1, 1) = 0, "", OFFSET('IWP24'!Std10dot5Withdrawals, 7, 4, 1, 1))</f>
        <v/>
      </c>
    </row>
    <row r="2914" spans="1:4">
      <c r="A2914" s="206" t="s">
        <v>1327</v>
      </c>
      <c r="B2914" s="157">
        <f ca="1">IF(OFFSET('IWP24'!Std10dot5Withdrawals, 8, 0, 1, 1) = DATE(1900,1,0),DATE(1900,1,1),OFFSET('IWP24'!Std10dot5Withdrawals, 8, 0, 1, 1))</f>
        <v>1</v>
      </c>
      <c r="C2914" s="155">
        <f ca="1">OFFSET('IWP24'!Std10dot5Withdrawals, 8, 2, 1, 1)</f>
        <v>0</v>
      </c>
      <c r="D2914" s="207" t="str">
        <f ca="1">IF(OFFSET('IWP24'!Std10dot5Withdrawals, 8, 4, 1, 1) = 0, "", OFFSET('IWP24'!Std10dot5Withdrawals, 8, 4, 1, 1))</f>
        <v/>
      </c>
    </row>
    <row r="2915" spans="1:4">
      <c r="A2915" s="206" t="s">
        <v>1327</v>
      </c>
      <c r="B2915" s="157">
        <f ca="1">IF(OFFSET('IWP24'!Std10dot5Withdrawals, 9, 0, 1, 1) = DATE(1900,1,0),DATE(1900,1,1),OFFSET('IWP24'!Std10dot5Withdrawals, 9, 0, 1, 1))</f>
        <v>1</v>
      </c>
      <c r="C2915" s="155">
        <f ca="1">OFFSET('IWP24'!Std10dot5Withdrawals, 9, 2, 1, 1)</f>
        <v>0</v>
      </c>
      <c r="D2915" s="207" t="str">
        <f ca="1">IF(OFFSET('IWP24'!Std10dot5Withdrawals, 9, 4, 1, 1) = 0, "", OFFSET('IWP24'!Std10dot5Withdrawals, 9, 4, 1, 1))</f>
        <v/>
      </c>
    </row>
    <row r="2916" spans="1:4">
      <c r="A2916" s="206" t="s">
        <v>1328</v>
      </c>
      <c r="B2916" s="157">
        <f ca="1">IF(OFFSET('IWP25'!Std10dot5Withdrawals, 0, 0, 1, 1) = DATE(1900,1,0),DATE(1900,1,1),OFFSET('IWP25'!Std10dot5Withdrawals, 0, 0, 1, 1))</f>
        <v>1</v>
      </c>
      <c r="C2916" s="155">
        <f ca="1">OFFSET('IWP25'!Std10dot5Withdrawals, 0, 2, 1, 1)</f>
        <v>0</v>
      </c>
      <c r="D2916" s="207" t="str">
        <f ca="1">IF(OFFSET('IWP25'!Std10dot5Withdrawals, 0, 4, 1, 1) = 0, "", OFFSET('IWP25'!Std10dot5Withdrawals, 0, 4, 1, 1))</f>
        <v/>
      </c>
    </row>
    <row r="2917" spans="1:4">
      <c r="A2917" s="206" t="s">
        <v>1328</v>
      </c>
      <c r="B2917" s="157">
        <f ca="1">IF(OFFSET('IWP25'!Std10dot5Withdrawals, 1, 0, 1, 1) = DATE(1900,1,0),DATE(1900,1,1),OFFSET('IWP25'!Std10dot5Withdrawals, 1, 0, 1, 1))</f>
        <v>1</v>
      </c>
      <c r="C2917" s="155">
        <f ca="1">OFFSET('IWP25'!Std10dot5Withdrawals, 1, 2, 1, 1)</f>
        <v>0</v>
      </c>
      <c r="D2917" s="207" t="str">
        <f ca="1">IF(OFFSET('IWP25'!Std10dot5Withdrawals, 1, 4, 1, 1) = 0, "", OFFSET('IWP25'!Std10dot5Withdrawals, 1, 4, 1, 1))</f>
        <v/>
      </c>
    </row>
    <row r="2918" spans="1:4">
      <c r="A2918" s="206" t="s">
        <v>1328</v>
      </c>
      <c r="B2918" s="157">
        <f ca="1">IF(OFFSET('IWP25'!Std10dot5Withdrawals, 2, 0, 1, 1) = DATE(1900,1,0),DATE(1900,1,1),OFFSET('IWP25'!Std10dot5Withdrawals, 2, 0, 1, 1))</f>
        <v>1</v>
      </c>
      <c r="C2918" s="155">
        <f ca="1">OFFSET('IWP25'!Std10dot5Withdrawals, 2, 2, 1, 1)</f>
        <v>0</v>
      </c>
      <c r="D2918" s="207" t="str">
        <f ca="1">IF(OFFSET('IWP25'!Std10dot5Withdrawals, 2, 4, 1, 1) = 0, "", OFFSET('IWP25'!Std10dot5Withdrawals, 2, 4, 1, 1))</f>
        <v/>
      </c>
    </row>
    <row r="2919" spans="1:4">
      <c r="A2919" s="206" t="s">
        <v>1328</v>
      </c>
      <c r="B2919" s="157">
        <f ca="1">IF(OFFSET('IWP25'!Std10dot5Withdrawals, 3, 0, 1, 1) = DATE(1900,1,0),DATE(1900,1,1),OFFSET('IWP25'!Std10dot5Withdrawals, 3, 0, 1, 1))</f>
        <v>1</v>
      </c>
      <c r="C2919" s="155">
        <f ca="1">OFFSET('IWP25'!Std10dot5Withdrawals, 3, 2, 1, 1)</f>
        <v>0</v>
      </c>
      <c r="D2919" s="207" t="str">
        <f ca="1">IF(OFFSET('IWP25'!Std10dot5Withdrawals, 3, 4, 1, 1) = 0, "", OFFSET('IWP25'!Std10dot5Withdrawals, 3, 4, 1, 1))</f>
        <v/>
      </c>
    </row>
    <row r="2920" spans="1:4">
      <c r="A2920" s="206" t="s">
        <v>1328</v>
      </c>
      <c r="B2920" s="157">
        <f ca="1">IF(OFFSET('IWP25'!Std10dot5Withdrawals, 4, 0, 1, 1) = DATE(1900,1,0),DATE(1900,1,1),OFFSET('IWP25'!Std10dot5Withdrawals, 4, 0, 1, 1))</f>
        <v>1</v>
      </c>
      <c r="C2920" s="155">
        <f ca="1">OFFSET('IWP25'!Std10dot5Withdrawals, 4, 2, 1, 1)</f>
        <v>0</v>
      </c>
      <c r="D2920" s="207" t="str">
        <f ca="1">IF(OFFSET('IWP25'!Std10dot5Withdrawals, 4, 4, 1, 1) = 0, "", OFFSET('IWP25'!Std10dot5Withdrawals, 4, 4, 1, 1))</f>
        <v/>
      </c>
    </row>
    <row r="2921" spans="1:4">
      <c r="A2921" s="206" t="s">
        <v>1328</v>
      </c>
      <c r="B2921" s="157">
        <f ca="1">IF(OFFSET('IWP25'!Std10dot5Withdrawals, 5, 0, 1, 1) = DATE(1900,1,0),DATE(1900,1,1),OFFSET('IWP25'!Std10dot5Withdrawals, 5, 0, 1, 1))</f>
        <v>1</v>
      </c>
      <c r="C2921" s="155">
        <f ca="1">OFFSET('IWP25'!Std10dot5Withdrawals, 5, 2, 1, 1)</f>
        <v>0</v>
      </c>
      <c r="D2921" s="207" t="str">
        <f ca="1">IF(OFFSET('IWP25'!Std10dot5Withdrawals, 5, 4, 1, 1) = 0, "", OFFSET('IWP25'!Std10dot5Withdrawals, 5, 4, 1, 1))</f>
        <v/>
      </c>
    </row>
    <row r="2922" spans="1:4">
      <c r="A2922" s="206" t="s">
        <v>1328</v>
      </c>
      <c r="B2922" s="157">
        <f ca="1">IF(OFFSET('IWP25'!Std10dot5Withdrawals, 6, 0, 1, 1) = DATE(1900,1,0),DATE(1900,1,1),OFFSET('IWP25'!Std10dot5Withdrawals, 6, 0, 1, 1))</f>
        <v>1</v>
      </c>
      <c r="C2922" s="155">
        <f ca="1">OFFSET('IWP25'!Std10dot5Withdrawals, 6, 2, 1, 1)</f>
        <v>0</v>
      </c>
      <c r="D2922" s="207" t="str">
        <f ca="1">IF(OFFSET('IWP25'!Std10dot5Withdrawals, 6, 4, 1, 1) = 0, "", OFFSET('IWP25'!Std10dot5Withdrawals, 6, 4, 1, 1))</f>
        <v/>
      </c>
    </row>
    <row r="2923" spans="1:4">
      <c r="A2923" s="206" t="s">
        <v>1328</v>
      </c>
      <c r="B2923" s="157">
        <f ca="1">IF(OFFSET('IWP25'!Std10dot5Withdrawals, 7, 0, 1, 1) = DATE(1900,1,0),DATE(1900,1,1),OFFSET('IWP25'!Std10dot5Withdrawals, 7, 0, 1, 1))</f>
        <v>1</v>
      </c>
      <c r="C2923" s="155">
        <f ca="1">OFFSET('IWP25'!Std10dot5Withdrawals, 7, 2, 1, 1)</f>
        <v>0</v>
      </c>
      <c r="D2923" s="207" t="str">
        <f ca="1">IF(OFFSET('IWP25'!Std10dot5Withdrawals, 7, 4, 1, 1) = 0, "", OFFSET('IWP25'!Std10dot5Withdrawals, 7, 4, 1, 1))</f>
        <v/>
      </c>
    </row>
    <row r="2924" spans="1:4">
      <c r="A2924" s="206" t="s">
        <v>1328</v>
      </c>
      <c r="B2924" s="157">
        <f ca="1">IF(OFFSET('IWP25'!Std10dot5Withdrawals, 8, 0, 1, 1) = DATE(1900,1,0),DATE(1900,1,1),OFFSET('IWP25'!Std10dot5Withdrawals, 8, 0, 1, 1))</f>
        <v>1</v>
      </c>
      <c r="C2924" s="155">
        <f ca="1">OFFSET('IWP25'!Std10dot5Withdrawals, 8, 2, 1, 1)</f>
        <v>0</v>
      </c>
      <c r="D2924" s="207" t="str">
        <f ca="1">IF(OFFSET('IWP25'!Std10dot5Withdrawals, 8, 4, 1, 1) = 0, "", OFFSET('IWP25'!Std10dot5Withdrawals, 8, 4, 1, 1))</f>
        <v/>
      </c>
    </row>
    <row r="2925" spans="1:4">
      <c r="A2925" s="206" t="s">
        <v>1328</v>
      </c>
      <c r="B2925" s="157">
        <f ca="1">IF(OFFSET('IWP25'!Std10dot5Withdrawals, 9, 0, 1, 1) = DATE(1900,1,0),DATE(1900,1,1),OFFSET('IWP25'!Std10dot5Withdrawals, 9, 0, 1, 1))</f>
        <v>1</v>
      </c>
      <c r="C2925" s="155">
        <f ca="1">OFFSET('IWP25'!Std10dot5Withdrawals, 9, 2, 1, 1)</f>
        <v>0</v>
      </c>
      <c r="D2925" s="207" t="str">
        <f ca="1">IF(OFFSET('IWP25'!Std10dot5Withdrawals, 9, 4, 1, 1) = 0, "", OFFSET('IWP25'!Std10dot5Withdrawals, 9, 4, 1, 1))</f>
        <v/>
      </c>
    </row>
    <row r="2926" spans="1:4">
      <c r="A2926" s="206" t="s">
        <v>1329</v>
      </c>
      <c r="B2926" s="157">
        <f ca="1">IF(OFFSET('IWP26'!Std10dot5Withdrawals, 0, 0, 1, 1) = DATE(1900,1,0),DATE(1900,1,1),OFFSET('IWP26'!Std10dot5Withdrawals, 0, 0, 1, 1))</f>
        <v>1</v>
      </c>
      <c r="C2926" s="155">
        <f ca="1">OFFSET('IWP26'!Std10dot5Withdrawals, 0, 2, 1, 1)</f>
        <v>0</v>
      </c>
      <c r="D2926" s="207" t="str">
        <f ca="1">IF(OFFSET('IWP26'!Std10dot5Withdrawals, 0, 4, 1, 1) = 0, "", OFFSET('IWP26'!Std10dot5Withdrawals, 0, 4, 1, 1))</f>
        <v/>
      </c>
    </row>
    <row r="2927" spans="1:4">
      <c r="A2927" s="206" t="s">
        <v>1329</v>
      </c>
      <c r="B2927" s="157">
        <f ca="1">IF(OFFSET('IWP26'!Std10dot5Withdrawals, 1, 0, 1, 1) = DATE(1900,1,0),DATE(1900,1,1),OFFSET('IWP26'!Std10dot5Withdrawals, 1, 0, 1, 1))</f>
        <v>1</v>
      </c>
      <c r="C2927" s="155">
        <f ca="1">OFFSET('IWP26'!Std10dot5Withdrawals, 1, 2, 1, 1)</f>
        <v>0</v>
      </c>
      <c r="D2927" s="207" t="str">
        <f ca="1">IF(OFFSET('IWP26'!Std10dot5Withdrawals, 1, 4, 1, 1) = 0, "", OFFSET('IWP26'!Std10dot5Withdrawals, 1, 4, 1, 1))</f>
        <v/>
      </c>
    </row>
    <row r="2928" spans="1:4">
      <c r="A2928" s="206" t="s">
        <v>1329</v>
      </c>
      <c r="B2928" s="157">
        <f ca="1">IF(OFFSET('IWP26'!Std10dot5Withdrawals, 2, 0, 1, 1) = DATE(1900,1,0),DATE(1900,1,1),OFFSET('IWP26'!Std10dot5Withdrawals, 2, 0, 1, 1))</f>
        <v>1</v>
      </c>
      <c r="C2928" s="155">
        <f ca="1">OFFSET('IWP26'!Std10dot5Withdrawals, 2, 2, 1, 1)</f>
        <v>0</v>
      </c>
      <c r="D2928" s="207" t="str">
        <f ca="1">IF(OFFSET('IWP26'!Std10dot5Withdrawals, 2, 4, 1, 1) = 0, "", OFFSET('IWP26'!Std10dot5Withdrawals, 2, 4, 1, 1))</f>
        <v/>
      </c>
    </row>
    <row r="2929" spans="1:4">
      <c r="A2929" s="206" t="s">
        <v>1329</v>
      </c>
      <c r="B2929" s="157">
        <f ca="1">IF(OFFSET('IWP26'!Std10dot5Withdrawals, 3, 0, 1, 1) = DATE(1900,1,0),DATE(1900,1,1),OFFSET('IWP26'!Std10dot5Withdrawals, 3, 0, 1, 1))</f>
        <v>1</v>
      </c>
      <c r="C2929" s="155">
        <f ca="1">OFFSET('IWP26'!Std10dot5Withdrawals, 3, 2, 1, 1)</f>
        <v>0</v>
      </c>
      <c r="D2929" s="207" t="str">
        <f ca="1">IF(OFFSET('IWP26'!Std10dot5Withdrawals, 3, 4, 1, 1) = 0, "", OFFSET('IWP26'!Std10dot5Withdrawals, 3, 4, 1, 1))</f>
        <v/>
      </c>
    </row>
    <row r="2930" spans="1:4">
      <c r="A2930" s="206" t="s">
        <v>1329</v>
      </c>
      <c r="B2930" s="157">
        <f ca="1">IF(OFFSET('IWP26'!Std10dot5Withdrawals, 4, 0, 1, 1) = DATE(1900,1,0),DATE(1900,1,1),OFFSET('IWP26'!Std10dot5Withdrawals, 4, 0, 1, 1))</f>
        <v>1</v>
      </c>
      <c r="C2930" s="155">
        <f ca="1">OFFSET('IWP26'!Std10dot5Withdrawals, 4, 2, 1, 1)</f>
        <v>0</v>
      </c>
      <c r="D2930" s="207" t="str">
        <f ca="1">IF(OFFSET('IWP26'!Std10dot5Withdrawals, 4, 4, 1, 1) = 0, "", OFFSET('IWP26'!Std10dot5Withdrawals, 4, 4, 1, 1))</f>
        <v/>
      </c>
    </row>
    <row r="2931" spans="1:4">
      <c r="A2931" s="206" t="s">
        <v>1329</v>
      </c>
      <c r="B2931" s="157">
        <f ca="1">IF(OFFSET('IWP26'!Std10dot5Withdrawals, 5, 0, 1, 1) = DATE(1900,1,0),DATE(1900,1,1),OFFSET('IWP26'!Std10dot5Withdrawals, 5, 0, 1, 1))</f>
        <v>1</v>
      </c>
      <c r="C2931" s="155">
        <f ca="1">OFFSET('IWP26'!Std10dot5Withdrawals, 5, 2, 1, 1)</f>
        <v>0</v>
      </c>
      <c r="D2931" s="207" t="str">
        <f ca="1">IF(OFFSET('IWP26'!Std10dot5Withdrawals, 5, 4, 1, 1) = 0, "", OFFSET('IWP26'!Std10dot5Withdrawals, 5, 4, 1, 1))</f>
        <v/>
      </c>
    </row>
    <row r="2932" spans="1:4">
      <c r="A2932" s="206" t="s">
        <v>1329</v>
      </c>
      <c r="B2932" s="157">
        <f ca="1">IF(OFFSET('IWP26'!Std10dot5Withdrawals, 6, 0, 1, 1) = DATE(1900,1,0),DATE(1900,1,1),OFFSET('IWP26'!Std10dot5Withdrawals, 6, 0, 1, 1))</f>
        <v>1</v>
      </c>
      <c r="C2932" s="155">
        <f ca="1">OFFSET('IWP26'!Std10dot5Withdrawals, 6, 2, 1, 1)</f>
        <v>0</v>
      </c>
      <c r="D2932" s="207" t="str">
        <f ca="1">IF(OFFSET('IWP26'!Std10dot5Withdrawals, 6, 4, 1, 1) = 0, "", OFFSET('IWP26'!Std10dot5Withdrawals, 6, 4, 1, 1))</f>
        <v/>
      </c>
    </row>
    <row r="2933" spans="1:4">
      <c r="A2933" s="206" t="s">
        <v>1329</v>
      </c>
      <c r="B2933" s="157">
        <f ca="1">IF(OFFSET('IWP26'!Std10dot5Withdrawals, 7, 0, 1, 1) = DATE(1900,1,0),DATE(1900,1,1),OFFSET('IWP26'!Std10dot5Withdrawals, 7, 0, 1, 1))</f>
        <v>1</v>
      </c>
      <c r="C2933" s="155">
        <f ca="1">OFFSET('IWP26'!Std10dot5Withdrawals, 7, 2, 1, 1)</f>
        <v>0</v>
      </c>
      <c r="D2933" s="207" t="str">
        <f ca="1">IF(OFFSET('IWP26'!Std10dot5Withdrawals, 7, 4, 1, 1) = 0, "", OFFSET('IWP26'!Std10dot5Withdrawals, 7, 4, 1, 1))</f>
        <v/>
      </c>
    </row>
    <row r="2934" spans="1:4">
      <c r="A2934" s="206" t="s">
        <v>1329</v>
      </c>
      <c r="B2934" s="157">
        <f ca="1">IF(OFFSET('IWP26'!Std10dot5Withdrawals, 8, 0, 1, 1) = DATE(1900,1,0),DATE(1900,1,1),OFFSET('IWP26'!Std10dot5Withdrawals, 8, 0, 1, 1))</f>
        <v>1</v>
      </c>
      <c r="C2934" s="155">
        <f ca="1">OFFSET('IWP26'!Std10dot5Withdrawals, 8, 2, 1, 1)</f>
        <v>0</v>
      </c>
      <c r="D2934" s="207" t="str">
        <f ca="1">IF(OFFSET('IWP26'!Std10dot5Withdrawals, 8, 4, 1, 1) = 0, "", OFFSET('IWP26'!Std10dot5Withdrawals, 8, 4, 1, 1))</f>
        <v/>
      </c>
    </row>
    <row r="2935" spans="1:4">
      <c r="A2935" s="206" t="s">
        <v>1329</v>
      </c>
      <c r="B2935" s="157">
        <f ca="1">IF(OFFSET('IWP26'!Std10dot5Withdrawals, 9, 0, 1, 1) = DATE(1900,1,0),DATE(1900,1,1),OFFSET('IWP26'!Std10dot5Withdrawals, 9, 0, 1, 1))</f>
        <v>1</v>
      </c>
      <c r="C2935" s="155">
        <f ca="1">OFFSET('IWP26'!Std10dot5Withdrawals, 9, 2, 1, 1)</f>
        <v>0</v>
      </c>
      <c r="D2935" s="207" t="str">
        <f ca="1">IF(OFFSET('IWP26'!Std10dot5Withdrawals, 9, 4, 1, 1) = 0, "", OFFSET('IWP26'!Std10dot5Withdrawals, 9, 4, 1, 1))</f>
        <v/>
      </c>
    </row>
    <row r="2936" spans="1:4">
      <c r="A2936" s="206" t="s">
        <v>1330</v>
      </c>
      <c r="B2936" s="157">
        <f ca="1">IF(OFFSET('IWP27'!Std10dot5Withdrawals, 0, 0, 1, 1) = DATE(1900,1,0),DATE(1900,1,1),OFFSET('IWP27'!Std10dot5Withdrawals, 0, 0, 1, 1))</f>
        <v>1</v>
      </c>
      <c r="C2936" s="155">
        <f ca="1">OFFSET('IWP27'!Std10dot5Withdrawals, 0, 2, 1, 1)</f>
        <v>0</v>
      </c>
      <c r="D2936" s="207" t="str">
        <f ca="1">IF(OFFSET('IWP27'!Std10dot5Withdrawals, 0, 4, 1, 1) = 0, "", OFFSET('IWP27'!Std10dot5Withdrawals, 0, 4, 1, 1))</f>
        <v/>
      </c>
    </row>
    <row r="2937" spans="1:4">
      <c r="A2937" s="206" t="s">
        <v>1330</v>
      </c>
      <c r="B2937" s="157">
        <f ca="1">IF(OFFSET('IWP27'!Std10dot5Withdrawals, 1, 0, 1, 1) = DATE(1900,1,0),DATE(1900,1,1),OFFSET('IWP27'!Std10dot5Withdrawals, 1, 0, 1, 1))</f>
        <v>1</v>
      </c>
      <c r="C2937" s="155">
        <f ca="1">OFFSET('IWP27'!Std10dot5Withdrawals, 1, 2, 1, 1)</f>
        <v>0</v>
      </c>
      <c r="D2937" s="207" t="str">
        <f ca="1">IF(OFFSET('IWP27'!Std10dot5Withdrawals, 1, 4, 1, 1) = 0, "", OFFSET('IWP27'!Std10dot5Withdrawals, 1, 4, 1, 1))</f>
        <v/>
      </c>
    </row>
    <row r="2938" spans="1:4">
      <c r="A2938" s="206" t="s">
        <v>1330</v>
      </c>
      <c r="B2938" s="157">
        <f ca="1">IF(OFFSET('IWP27'!Std10dot5Withdrawals, 2, 0, 1, 1) = DATE(1900,1,0),DATE(1900,1,1),OFFSET('IWP27'!Std10dot5Withdrawals, 2, 0, 1, 1))</f>
        <v>1</v>
      </c>
      <c r="C2938" s="155">
        <f ca="1">OFFSET('IWP27'!Std10dot5Withdrawals, 2, 2, 1, 1)</f>
        <v>0</v>
      </c>
      <c r="D2938" s="207" t="str">
        <f ca="1">IF(OFFSET('IWP27'!Std10dot5Withdrawals, 2, 4, 1, 1) = 0, "", OFFSET('IWP27'!Std10dot5Withdrawals, 2, 4, 1, 1))</f>
        <v/>
      </c>
    </row>
    <row r="2939" spans="1:4">
      <c r="A2939" s="206" t="s">
        <v>1330</v>
      </c>
      <c r="B2939" s="157">
        <f ca="1">IF(OFFSET('IWP27'!Std10dot5Withdrawals, 3, 0, 1, 1) = DATE(1900,1,0),DATE(1900,1,1),OFFSET('IWP27'!Std10dot5Withdrawals, 3, 0, 1, 1))</f>
        <v>1</v>
      </c>
      <c r="C2939" s="155">
        <f ca="1">OFFSET('IWP27'!Std10dot5Withdrawals, 3, 2, 1, 1)</f>
        <v>0</v>
      </c>
      <c r="D2939" s="207" t="str">
        <f ca="1">IF(OFFSET('IWP27'!Std10dot5Withdrawals, 3, 4, 1, 1) = 0, "", OFFSET('IWP27'!Std10dot5Withdrawals, 3, 4, 1, 1))</f>
        <v/>
      </c>
    </row>
    <row r="2940" spans="1:4">
      <c r="A2940" s="206" t="s">
        <v>1330</v>
      </c>
      <c r="B2940" s="157">
        <f ca="1">IF(OFFSET('IWP27'!Std10dot5Withdrawals, 4, 0, 1, 1) = DATE(1900,1,0),DATE(1900,1,1),OFFSET('IWP27'!Std10dot5Withdrawals, 4, 0, 1, 1))</f>
        <v>1</v>
      </c>
      <c r="C2940" s="155">
        <f ca="1">OFFSET('IWP27'!Std10dot5Withdrawals, 4, 2, 1, 1)</f>
        <v>0</v>
      </c>
      <c r="D2940" s="207" t="str">
        <f ca="1">IF(OFFSET('IWP27'!Std10dot5Withdrawals, 4, 4, 1, 1) = 0, "", OFFSET('IWP27'!Std10dot5Withdrawals, 4, 4, 1, 1))</f>
        <v/>
      </c>
    </row>
    <row r="2941" spans="1:4">
      <c r="A2941" s="206" t="s">
        <v>1330</v>
      </c>
      <c r="B2941" s="157">
        <f ca="1">IF(OFFSET('IWP27'!Std10dot5Withdrawals, 5, 0, 1, 1) = DATE(1900,1,0),DATE(1900,1,1),OFFSET('IWP27'!Std10dot5Withdrawals, 5, 0, 1, 1))</f>
        <v>1</v>
      </c>
      <c r="C2941" s="155">
        <f ca="1">OFFSET('IWP27'!Std10dot5Withdrawals, 5, 2, 1, 1)</f>
        <v>0</v>
      </c>
      <c r="D2941" s="207" t="str">
        <f ca="1">IF(OFFSET('IWP27'!Std10dot5Withdrawals, 5, 4, 1, 1) = 0, "", OFFSET('IWP27'!Std10dot5Withdrawals, 5, 4, 1, 1))</f>
        <v/>
      </c>
    </row>
    <row r="2942" spans="1:4">
      <c r="A2942" s="206" t="s">
        <v>1330</v>
      </c>
      <c r="B2942" s="157">
        <f ca="1">IF(OFFSET('IWP27'!Std10dot5Withdrawals, 6, 0, 1, 1) = DATE(1900,1,0),DATE(1900,1,1),OFFSET('IWP27'!Std10dot5Withdrawals, 6, 0, 1, 1))</f>
        <v>1</v>
      </c>
      <c r="C2942" s="155">
        <f ca="1">OFFSET('IWP27'!Std10dot5Withdrawals, 6, 2, 1, 1)</f>
        <v>0</v>
      </c>
      <c r="D2942" s="207" t="str">
        <f ca="1">IF(OFFSET('IWP27'!Std10dot5Withdrawals, 6, 4, 1, 1) = 0, "", OFFSET('IWP27'!Std10dot5Withdrawals, 6, 4, 1, 1))</f>
        <v/>
      </c>
    </row>
    <row r="2943" spans="1:4">
      <c r="A2943" s="206" t="s">
        <v>1330</v>
      </c>
      <c r="B2943" s="157">
        <f ca="1">IF(OFFSET('IWP27'!Std10dot5Withdrawals, 7, 0, 1, 1) = DATE(1900,1,0),DATE(1900,1,1),OFFSET('IWP27'!Std10dot5Withdrawals, 7, 0, 1, 1))</f>
        <v>1</v>
      </c>
      <c r="C2943" s="155">
        <f ca="1">OFFSET('IWP27'!Std10dot5Withdrawals, 7, 2, 1, 1)</f>
        <v>0</v>
      </c>
      <c r="D2943" s="207" t="str">
        <f ca="1">IF(OFFSET('IWP27'!Std10dot5Withdrawals, 7, 4, 1, 1) = 0, "", OFFSET('IWP27'!Std10dot5Withdrawals, 7, 4, 1, 1))</f>
        <v/>
      </c>
    </row>
    <row r="2944" spans="1:4">
      <c r="A2944" s="206" t="s">
        <v>1330</v>
      </c>
      <c r="B2944" s="157">
        <f ca="1">IF(OFFSET('IWP27'!Std10dot5Withdrawals, 8, 0, 1, 1) = DATE(1900,1,0),DATE(1900,1,1),OFFSET('IWP27'!Std10dot5Withdrawals, 8, 0, 1, 1))</f>
        <v>1</v>
      </c>
      <c r="C2944" s="155">
        <f ca="1">OFFSET('IWP27'!Std10dot5Withdrawals, 8, 2, 1, 1)</f>
        <v>0</v>
      </c>
      <c r="D2944" s="207" t="str">
        <f ca="1">IF(OFFSET('IWP27'!Std10dot5Withdrawals, 8, 4, 1, 1) = 0, "", OFFSET('IWP27'!Std10dot5Withdrawals, 8, 4, 1, 1))</f>
        <v/>
      </c>
    </row>
    <row r="2945" spans="1:4">
      <c r="A2945" s="206" t="s">
        <v>1330</v>
      </c>
      <c r="B2945" s="157">
        <f ca="1">IF(OFFSET('IWP27'!Std10dot5Withdrawals, 9, 0, 1, 1) = DATE(1900,1,0),DATE(1900,1,1),OFFSET('IWP27'!Std10dot5Withdrawals, 9, 0, 1, 1))</f>
        <v>1</v>
      </c>
      <c r="C2945" s="155">
        <f ca="1">OFFSET('IWP27'!Std10dot5Withdrawals, 9, 2, 1, 1)</f>
        <v>0</v>
      </c>
      <c r="D2945" s="207" t="str">
        <f ca="1">IF(OFFSET('IWP27'!Std10dot5Withdrawals, 9, 4, 1, 1) = 0, "", OFFSET('IWP27'!Std10dot5Withdrawals, 9, 4, 1, 1))</f>
        <v/>
      </c>
    </row>
    <row r="2946" spans="1:4">
      <c r="A2946" s="206" t="s">
        <v>1331</v>
      </c>
      <c r="B2946" s="157">
        <f ca="1">IF(OFFSET('IWP28'!Std10dot5Withdrawals, 0, 0, 1, 1) = DATE(1900,1,0),DATE(1900,1,1),OFFSET('IWP28'!Std10dot5Withdrawals, 0, 0, 1, 1))</f>
        <v>1</v>
      </c>
      <c r="C2946" s="155">
        <f ca="1">OFFSET('IWP28'!Std10dot5Withdrawals, 0, 2, 1, 1)</f>
        <v>0</v>
      </c>
      <c r="D2946" s="207" t="str">
        <f ca="1">IF(OFFSET('IWP28'!Std10dot5Withdrawals, 0, 4, 1, 1) = 0, "", OFFSET('IWP28'!Std10dot5Withdrawals, 0, 4, 1, 1))</f>
        <v/>
      </c>
    </row>
    <row r="2947" spans="1:4">
      <c r="A2947" s="206" t="s">
        <v>1331</v>
      </c>
      <c r="B2947" s="157">
        <f ca="1">IF(OFFSET('IWP28'!Std10dot5Withdrawals, 1, 0, 1, 1) = DATE(1900,1,0),DATE(1900,1,1),OFFSET('IWP28'!Std10dot5Withdrawals, 1, 0, 1, 1))</f>
        <v>1</v>
      </c>
      <c r="C2947" s="155">
        <f ca="1">OFFSET('IWP28'!Std10dot5Withdrawals, 1, 2, 1, 1)</f>
        <v>0</v>
      </c>
      <c r="D2947" s="207" t="str">
        <f ca="1">IF(OFFSET('IWP28'!Std10dot5Withdrawals, 1, 4, 1, 1) = 0, "", OFFSET('IWP28'!Std10dot5Withdrawals, 1, 4, 1, 1))</f>
        <v/>
      </c>
    </row>
    <row r="2948" spans="1:4">
      <c r="A2948" s="206" t="s">
        <v>1331</v>
      </c>
      <c r="B2948" s="157">
        <f ca="1">IF(OFFSET('IWP28'!Std10dot5Withdrawals, 2, 0, 1, 1) = DATE(1900,1,0),DATE(1900,1,1),OFFSET('IWP28'!Std10dot5Withdrawals, 2, 0, 1, 1))</f>
        <v>1</v>
      </c>
      <c r="C2948" s="155">
        <f ca="1">OFFSET('IWP28'!Std10dot5Withdrawals, 2, 2, 1, 1)</f>
        <v>0</v>
      </c>
      <c r="D2948" s="207" t="str">
        <f ca="1">IF(OFFSET('IWP28'!Std10dot5Withdrawals, 2, 4, 1, 1) = 0, "", OFFSET('IWP28'!Std10dot5Withdrawals, 2, 4, 1, 1))</f>
        <v/>
      </c>
    </row>
    <row r="2949" spans="1:4">
      <c r="A2949" s="206" t="s">
        <v>1331</v>
      </c>
      <c r="B2949" s="157">
        <f ca="1">IF(OFFSET('IWP28'!Std10dot5Withdrawals, 3, 0, 1, 1) = DATE(1900,1,0),DATE(1900,1,1),OFFSET('IWP28'!Std10dot5Withdrawals, 3, 0, 1, 1))</f>
        <v>1</v>
      </c>
      <c r="C2949" s="155">
        <f ca="1">OFFSET('IWP28'!Std10dot5Withdrawals, 3, 2, 1, 1)</f>
        <v>0</v>
      </c>
      <c r="D2949" s="207" t="str">
        <f ca="1">IF(OFFSET('IWP28'!Std10dot5Withdrawals, 3, 4, 1, 1) = 0, "", OFFSET('IWP28'!Std10dot5Withdrawals, 3, 4, 1, 1))</f>
        <v/>
      </c>
    </row>
    <row r="2950" spans="1:4">
      <c r="A2950" s="206" t="s">
        <v>1331</v>
      </c>
      <c r="B2950" s="157">
        <f ca="1">IF(OFFSET('IWP28'!Std10dot5Withdrawals, 4, 0, 1, 1) = DATE(1900,1,0),DATE(1900,1,1),OFFSET('IWP28'!Std10dot5Withdrawals, 4, 0, 1, 1))</f>
        <v>1</v>
      </c>
      <c r="C2950" s="155">
        <f ca="1">OFFSET('IWP28'!Std10dot5Withdrawals, 4, 2, 1, 1)</f>
        <v>0</v>
      </c>
      <c r="D2950" s="207" t="str">
        <f ca="1">IF(OFFSET('IWP28'!Std10dot5Withdrawals, 4, 4, 1, 1) = 0, "", OFFSET('IWP28'!Std10dot5Withdrawals, 4, 4, 1, 1))</f>
        <v/>
      </c>
    </row>
    <row r="2951" spans="1:4">
      <c r="A2951" s="206" t="s">
        <v>1331</v>
      </c>
      <c r="B2951" s="157">
        <f ca="1">IF(OFFSET('IWP28'!Std10dot5Withdrawals, 5, 0, 1, 1) = DATE(1900,1,0),DATE(1900,1,1),OFFSET('IWP28'!Std10dot5Withdrawals, 5, 0, 1, 1))</f>
        <v>1</v>
      </c>
      <c r="C2951" s="155">
        <f ca="1">OFFSET('IWP28'!Std10dot5Withdrawals, 5, 2, 1, 1)</f>
        <v>0</v>
      </c>
      <c r="D2951" s="207" t="str">
        <f ca="1">IF(OFFSET('IWP28'!Std10dot5Withdrawals, 5, 4, 1, 1) = 0, "", OFFSET('IWP28'!Std10dot5Withdrawals, 5, 4, 1, 1))</f>
        <v/>
      </c>
    </row>
    <row r="2952" spans="1:4">
      <c r="A2952" s="206" t="s">
        <v>1331</v>
      </c>
      <c r="B2952" s="157">
        <f ca="1">IF(OFFSET('IWP28'!Std10dot5Withdrawals, 6, 0, 1, 1) = DATE(1900,1,0),DATE(1900,1,1),OFFSET('IWP28'!Std10dot5Withdrawals, 6, 0, 1, 1))</f>
        <v>1</v>
      </c>
      <c r="C2952" s="155">
        <f ca="1">OFFSET('IWP28'!Std10dot5Withdrawals, 6, 2, 1, 1)</f>
        <v>0</v>
      </c>
      <c r="D2952" s="207" t="str">
        <f ca="1">IF(OFFSET('IWP28'!Std10dot5Withdrawals, 6, 4, 1, 1) = 0, "", OFFSET('IWP28'!Std10dot5Withdrawals, 6, 4, 1, 1))</f>
        <v/>
      </c>
    </row>
    <row r="2953" spans="1:4">
      <c r="A2953" s="206" t="s">
        <v>1331</v>
      </c>
      <c r="B2953" s="157">
        <f ca="1">IF(OFFSET('IWP28'!Std10dot5Withdrawals, 7, 0, 1, 1) = DATE(1900,1,0),DATE(1900,1,1),OFFSET('IWP28'!Std10dot5Withdrawals, 7, 0, 1, 1))</f>
        <v>1</v>
      </c>
      <c r="C2953" s="155">
        <f ca="1">OFFSET('IWP28'!Std10dot5Withdrawals, 7, 2, 1, 1)</f>
        <v>0</v>
      </c>
      <c r="D2953" s="207" t="str">
        <f ca="1">IF(OFFSET('IWP28'!Std10dot5Withdrawals, 7, 4, 1, 1) = 0, "", OFFSET('IWP28'!Std10dot5Withdrawals, 7, 4, 1, 1))</f>
        <v/>
      </c>
    </row>
    <row r="2954" spans="1:4">
      <c r="A2954" s="206" t="s">
        <v>1331</v>
      </c>
      <c r="B2954" s="157">
        <f ca="1">IF(OFFSET('IWP28'!Std10dot5Withdrawals, 8, 0, 1, 1) = DATE(1900,1,0),DATE(1900,1,1),OFFSET('IWP28'!Std10dot5Withdrawals, 8, 0, 1, 1))</f>
        <v>1</v>
      </c>
      <c r="C2954" s="155">
        <f ca="1">OFFSET('IWP28'!Std10dot5Withdrawals, 8, 2, 1, 1)</f>
        <v>0</v>
      </c>
      <c r="D2954" s="207" t="str">
        <f ca="1">IF(OFFSET('IWP28'!Std10dot5Withdrawals, 8, 4, 1, 1) = 0, "", OFFSET('IWP28'!Std10dot5Withdrawals, 8, 4, 1, 1))</f>
        <v/>
      </c>
    </row>
    <row r="2955" spans="1:4">
      <c r="A2955" s="206" t="s">
        <v>1331</v>
      </c>
      <c r="B2955" s="157">
        <f ca="1">IF(OFFSET('IWP28'!Std10dot5Withdrawals, 9, 0, 1, 1) = DATE(1900,1,0),DATE(1900,1,1),OFFSET('IWP28'!Std10dot5Withdrawals, 9, 0, 1, 1))</f>
        <v>1</v>
      </c>
      <c r="C2955" s="155">
        <f ca="1">OFFSET('IWP28'!Std10dot5Withdrawals, 9, 2, 1, 1)</f>
        <v>0</v>
      </c>
      <c r="D2955" s="207" t="str">
        <f ca="1">IF(OFFSET('IWP28'!Std10dot5Withdrawals, 9, 4, 1, 1) = 0, "", OFFSET('IWP28'!Std10dot5Withdrawals, 9, 4, 1, 1))</f>
        <v/>
      </c>
    </row>
    <row r="2956" spans="1:4">
      <c r="A2956" s="206" t="s">
        <v>1332</v>
      </c>
      <c r="B2956" s="157">
        <f ca="1">IF(OFFSET('IWP29'!Std10dot5Withdrawals, 0, 0, 1, 1) = DATE(1900,1,0),DATE(1900,1,1),OFFSET('IWP29'!Std10dot5Withdrawals, 0, 0, 1, 1))</f>
        <v>1</v>
      </c>
      <c r="C2956" s="155">
        <f ca="1">OFFSET('IWP29'!Std10dot5Withdrawals, 0, 2, 1, 1)</f>
        <v>0</v>
      </c>
      <c r="D2956" s="207" t="str">
        <f ca="1">IF(OFFSET('IWP29'!Std10dot5Withdrawals, 0, 4, 1, 1) = 0, "", OFFSET('IWP29'!Std10dot5Withdrawals, 0, 4, 1, 1))</f>
        <v/>
      </c>
    </row>
    <row r="2957" spans="1:4">
      <c r="A2957" s="206" t="s">
        <v>1332</v>
      </c>
      <c r="B2957" s="157">
        <f ca="1">IF(OFFSET('IWP29'!Std10dot5Withdrawals, 1, 0, 1, 1) = DATE(1900,1,0),DATE(1900,1,1),OFFSET('IWP29'!Std10dot5Withdrawals, 1, 0, 1, 1))</f>
        <v>1</v>
      </c>
      <c r="C2957" s="155">
        <f ca="1">OFFSET('IWP29'!Std10dot5Withdrawals, 1, 2, 1, 1)</f>
        <v>0</v>
      </c>
      <c r="D2957" s="207" t="str">
        <f ca="1">IF(OFFSET('IWP29'!Std10dot5Withdrawals, 1, 4, 1, 1) = 0, "", OFFSET('IWP29'!Std10dot5Withdrawals, 1, 4, 1, 1))</f>
        <v/>
      </c>
    </row>
    <row r="2958" spans="1:4">
      <c r="A2958" s="206" t="s">
        <v>1332</v>
      </c>
      <c r="B2958" s="157">
        <f ca="1">IF(OFFSET('IWP29'!Std10dot5Withdrawals, 2, 0, 1, 1) = DATE(1900,1,0),DATE(1900,1,1),OFFSET('IWP29'!Std10dot5Withdrawals, 2, 0, 1, 1))</f>
        <v>1</v>
      </c>
      <c r="C2958" s="155">
        <f ca="1">OFFSET('IWP29'!Std10dot5Withdrawals, 2, 2, 1, 1)</f>
        <v>0</v>
      </c>
      <c r="D2958" s="207" t="str">
        <f ca="1">IF(OFFSET('IWP29'!Std10dot5Withdrawals, 2, 4, 1, 1) = 0, "", OFFSET('IWP29'!Std10dot5Withdrawals, 2, 4, 1, 1))</f>
        <v/>
      </c>
    </row>
    <row r="2959" spans="1:4">
      <c r="A2959" s="206" t="s">
        <v>1332</v>
      </c>
      <c r="B2959" s="157">
        <f ca="1">IF(OFFSET('IWP29'!Std10dot5Withdrawals, 3, 0, 1, 1) = DATE(1900,1,0),DATE(1900,1,1),OFFSET('IWP29'!Std10dot5Withdrawals, 3, 0, 1, 1))</f>
        <v>1</v>
      </c>
      <c r="C2959" s="155">
        <f ca="1">OFFSET('IWP29'!Std10dot5Withdrawals, 3, 2, 1, 1)</f>
        <v>0</v>
      </c>
      <c r="D2959" s="207" t="str">
        <f ca="1">IF(OFFSET('IWP29'!Std10dot5Withdrawals, 3, 4, 1, 1) = 0, "", OFFSET('IWP29'!Std10dot5Withdrawals, 3, 4, 1, 1))</f>
        <v/>
      </c>
    </row>
    <row r="2960" spans="1:4">
      <c r="A2960" s="206" t="s">
        <v>1332</v>
      </c>
      <c r="B2960" s="157">
        <f ca="1">IF(OFFSET('IWP29'!Std10dot5Withdrawals, 4, 0, 1, 1) = DATE(1900,1,0),DATE(1900,1,1),OFFSET('IWP29'!Std10dot5Withdrawals, 4, 0, 1, 1))</f>
        <v>1</v>
      </c>
      <c r="C2960" s="155">
        <f ca="1">OFFSET('IWP29'!Std10dot5Withdrawals, 4, 2, 1, 1)</f>
        <v>0</v>
      </c>
      <c r="D2960" s="207" t="str">
        <f ca="1">IF(OFFSET('IWP29'!Std10dot5Withdrawals, 4, 4, 1, 1) = 0, "", OFFSET('IWP29'!Std10dot5Withdrawals, 4, 4, 1, 1))</f>
        <v/>
      </c>
    </row>
    <row r="2961" spans="1:4">
      <c r="A2961" s="206" t="s">
        <v>1332</v>
      </c>
      <c r="B2961" s="157">
        <f ca="1">IF(OFFSET('IWP29'!Std10dot5Withdrawals, 5, 0, 1, 1) = DATE(1900,1,0),DATE(1900,1,1),OFFSET('IWP29'!Std10dot5Withdrawals, 5, 0, 1, 1))</f>
        <v>1</v>
      </c>
      <c r="C2961" s="155">
        <f ca="1">OFFSET('IWP29'!Std10dot5Withdrawals, 5, 2, 1, 1)</f>
        <v>0</v>
      </c>
      <c r="D2961" s="207" t="str">
        <f ca="1">IF(OFFSET('IWP29'!Std10dot5Withdrawals, 5, 4, 1, 1) = 0, "", OFFSET('IWP29'!Std10dot5Withdrawals, 5, 4, 1, 1))</f>
        <v/>
      </c>
    </row>
    <row r="2962" spans="1:4">
      <c r="A2962" s="206" t="s">
        <v>1332</v>
      </c>
      <c r="B2962" s="157">
        <f ca="1">IF(OFFSET('IWP29'!Std10dot5Withdrawals, 6, 0, 1, 1) = DATE(1900,1,0),DATE(1900,1,1),OFFSET('IWP29'!Std10dot5Withdrawals, 6, 0, 1, 1))</f>
        <v>1</v>
      </c>
      <c r="C2962" s="155">
        <f ca="1">OFFSET('IWP29'!Std10dot5Withdrawals, 6, 2, 1, 1)</f>
        <v>0</v>
      </c>
      <c r="D2962" s="207" t="str">
        <f ca="1">IF(OFFSET('IWP29'!Std10dot5Withdrawals, 6, 4, 1, 1) = 0, "", OFFSET('IWP29'!Std10dot5Withdrawals, 6, 4, 1, 1))</f>
        <v/>
      </c>
    </row>
    <row r="2963" spans="1:4">
      <c r="A2963" s="206" t="s">
        <v>1332</v>
      </c>
      <c r="B2963" s="157">
        <f ca="1">IF(OFFSET('IWP29'!Std10dot5Withdrawals, 7, 0, 1, 1) = DATE(1900,1,0),DATE(1900,1,1),OFFSET('IWP29'!Std10dot5Withdrawals, 7, 0, 1, 1))</f>
        <v>1</v>
      </c>
      <c r="C2963" s="155">
        <f ca="1">OFFSET('IWP29'!Std10dot5Withdrawals, 7, 2, 1, 1)</f>
        <v>0</v>
      </c>
      <c r="D2963" s="207" t="str">
        <f ca="1">IF(OFFSET('IWP29'!Std10dot5Withdrawals, 7, 4, 1, 1) = 0, "", OFFSET('IWP29'!Std10dot5Withdrawals, 7, 4, 1, 1))</f>
        <v/>
      </c>
    </row>
    <row r="2964" spans="1:4">
      <c r="A2964" s="206" t="s">
        <v>1332</v>
      </c>
      <c r="B2964" s="157">
        <f ca="1">IF(OFFSET('IWP29'!Std10dot5Withdrawals, 8, 0, 1, 1) = DATE(1900,1,0),DATE(1900,1,1),OFFSET('IWP29'!Std10dot5Withdrawals, 8, 0, 1, 1))</f>
        <v>1</v>
      </c>
      <c r="C2964" s="155">
        <f ca="1">OFFSET('IWP29'!Std10dot5Withdrawals, 8, 2, 1, 1)</f>
        <v>0</v>
      </c>
      <c r="D2964" s="207" t="str">
        <f ca="1">IF(OFFSET('IWP29'!Std10dot5Withdrawals, 8, 4, 1, 1) = 0, "", OFFSET('IWP29'!Std10dot5Withdrawals, 8, 4, 1, 1))</f>
        <v/>
      </c>
    </row>
    <row r="2965" spans="1:4">
      <c r="A2965" s="206" t="s">
        <v>1332</v>
      </c>
      <c r="B2965" s="157">
        <f ca="1">IF(OFFSET('IWP29'!Std10dot5Withdrawals, 9, 0, 1, 1) = DATE(1900,1,0),DATE(1900,1,1),OFFSET('IWP29'!Std10dot5Withdrawals, 9, 0, 1, 1))</f>
        <v>1</v>
      </c>
      <c r="C2965" s="155">
        <f ca="1">OFFSET('IWP29'!Std10dot5Withdrawals, 9, 2, 1, 1)</f>
        <v>0</v>
      </c>
      <c r="D2965" s="207" t="str">
        <f ca="1">IF(OFFSET('IWP29'!Std10dot5Withdrawals, 9, 4, 1, 1) = 0, "", OFFSET('IWP29'!Std10dot5Withdrawals, 9, 4, 1, 1))</f>
        <v/>
      </c>
    </row>
    <row r="2966" spans="1:4">
      <c r="A2966" s="206" t="s">
        <v>1333</v>
      </c>
      <c r="B2966" s="157">
        <f ca="1">IF(OFFSET('IWP30'!Std10dot5Withdrawals, 0, 0, 1, 1) = DATE(1900,1,0),DATE(1900,1,1),OFFSET('IWP30'!Std10dot5Withdrawals, 0, 0, 1, 1))</f>
        <v>1</v>
      </c>
      <c r="C2966" s="155">
        <f ca="1">OFFSET('IWP30'!Std10dot5Withdrawals, 0, 2, 1, 1)</f>
        <v>0</v>
      </c>
      <c r="D2966" s="207" t="str">
        <f ca="1">IF(OFFSET('IWP30'!Std10dot5Withdrawals, 0, 4, 1, 1) = 0, "", OFFSET('IWP30'!Std10dot5Withdrawals, 0, 4, 1, 1))</f>
        <v/>
      </c>
    </row>
    <row r="2967" spans="1:4">
      <c r="A2967" s="206" t="s">
        <v>1333</v>
      </c>
      <c r="B2967" s="157">
        <f ca="1">IF(OFFSET('IWP30'!Std10dot5Withdrawals, 1, 0, 1, 1) = DATE(1900,1,0),DATE(1900,1,1),OFFSET('IWP30'!Std10dot5Withdrawals, 1, 0, 1, 1))</f>
        <v>1</v>
      </c>
      <c r="C2967" s="155">
        <f ca="1">OFFSET('IWP30'!Std10dot5Withdrawals, 1, 2, 1, 1)</f>
        <v>0</v>
      </c>
      <c r="D2967" s="207" t="str">
        <f ca="1">IF(OFFSET('IWP30'!Std10dot5Withdrawals, 1, 4, 1, 1) = 0, "", OFFSET('IWP30'!Std10dot5Withdrawals, 1, 4, 1, 1))</f>
        <v/>
      </c>
    </row>
    <row r="2968" spans="1:4">
      <c r="A2968" s="206" t="s">
        <v>1333</v>
      </c>
      <c r="B2968" s="157">
        <f ca="1">IF(OFFSET('IWP30'!Std10dot5Withdrawals, 2, 0, 1, 1) = DATE(1900,1,0),DATE(1900,1,1),OFFSET('IWP30'!Std10dot5Withdrawals, 2, 0, 1, 1))</f>
        <v>1</v>
      </c>
      <c r="C2968" s="155">
        <f ca="1">OFFSET('IWP30'!Std10dot5Withdrawals, 2, 2, 1, 1)</f>
        <v>0</v>
      </c>
      <c r="D2968" s="207" t="str">
        <f ca="1">IF(OFFSET('IWP30'!Std10dot5Withdrawals, 2, 4, 1, 1) = 0, "", OFFSET('IWP30'!Std10dot5Withdrawals, 2, 4, 1, 1))</f>
        <v/>
      </c>
    </row>
    <row r="2969" spans="1:4">
      <c r="A2969" s="206" t="s">
        <v>1333</v>
      </c>
      <c r="B2969" s="157">
        <f ca="1">IF(OFFSET('IWP30'!Std10dot5Withdrawals, 3, 0, 1, 1) = DATE(1900,1,0),DATE(1900,1,1),OFFSET('IWP30'!Std10dot5Withdrawals, 3, 0, 1, 1))</f>
        <v>1</v>
      </c>
      <c r="C2969" s="155">
        <f ca="1">OFFSET('IWP30'!Std10dot5Withdrawals, 3, 2, 1, 1)</f>
        <v>0</v>
      </c>
      <c r="D2969" s="207" t="str">
        <f ca="1">IF(OFFSET('IWP30'!Std10dot5Withdrawals, 3, 4, 1, 1) = 0, "", OFFSET('IWP30'!Std10dot5Withdrawals, 3, 4, 1, 1))</f>
        <v/>
      </c>
    </row>
    <row r="2970" spans="1:4">
      <c r="A2970" s="206" t="s">
        <v>1333</v>
      </c>
      <c r="B2970" s="157">
        <f ca="1">IF(OFFSET('IWP30'!Std10dot5Withdrawals, 4, 0, 1, 1) = DATE(1900,1,0),DATE(1900,1,1),OFFSET('IWP30'!Std10dot5Withdrawals, 4, 0, 1, 1))</f>
        <v>1</v>
      </c>
      <c r="C2970" s="155">
        <f ca="1">OFFSET('IWP30'!Std10dot5Withdrawals, 4, 2, 1, 1)</f>
        <v>0</v>
      </c>
      <c r="D2970" s="207" t="str">
        <f ca="1">IF(OFFSET('IWP30'!Std10dot5Withdrawals, 4, 4, 1, 1) = 0, "", OFFSET('IWP30'!Std10dot5Withdrawals, 4, 4, 1, 1))</f>
        <v/>
      </c>
    </row>
    <row r="2971" spans="1:4">
      <c r="A2971" s="206" t="s">
        <v>1333</v>
      </c>
      <c r="B2971" s="157">
        <f ca="1">IF(OFFSET('IWP30'!Std10dot5Withdrawals, 5, 0, 1, 1) = DATE(1900,1,0),DATE(1900,1,1),OFFSET('IWP30'!Std10dot5Withdrawals, 5, 0, 1, 1))</f>
        <v>1</v>
      </c>
      <c r="C2971" s="155">
        <f ca="1">OFFSET('IWP30'!Std10dot5Withdrawals, 5, 2, 1, 1)</f>
        <v>0</v>
      </c>
      <c r="D2971" s="207" t="str">
        <f ca="1">IF(OFFSET('IWP30'!Std10dot5Withdrawals, 5, 4, 1, 1) = 0, "", OFFSET('IWP30'!Std10dot5Withdrawals, 5, 4, 1, 1))</f>
        <v/>
      </c>
    </row>
    <row r="2972" spans="1:4">
      <c r="A2972" s="206" t="s">
        <v>1333</v>
      </c>
      <c r="B2972" s="157">
        <f ca="1">IF(OFFSET('IWP30'!Std10dot5Withdrawals, 6, 0, 1, 1) = DATE(1900,1,0),DATE(1900,1,1),OFFSET('IWP30'!Std10dot5Withdrawals, 6, 0, 1, 1))</f>
        <v>1</v>
      </c>
      <c r="C2972" s="155">
        <f ca="1">OFFSET('IWP30'!Std10dot5Withdrawals, 6, 2, 1, 1)</f>
        <v>0</v>
      </c>
      <c r="D2972" s="207" t="str">
        <f ca="1">IF(OFFSET('IWP30'!Std10dot5Withdrawals, 6, 4, 1, 1) = 0, "", OFFSET('IWP30'!Std10dot5Withdrawals, 6, 4, 1, 1))</f>
        <v/>
      </c>
    </row>
    <row r="2973" spans="1:4">
      <c r="A2973" s="206" t="s">
        <v>1333</v>
      </c>
      <c r="B2973" s="157">
        <f ca="1">IF(OFFSET('IWP30'!Std10dot5Withdrawals, 7, 0, 1, 1) = DATE(1900,1,0),DATE(1900,1,1),OFFSET('IWP30'!Std10dot5Withdrawals, 7, 0, 1, 1))</f>
        <v>1</v>
      </c>
      <c r="C2973" s="155">
        <f ca="1">OFFSET('IWP30'!Std10dot5Withdrawals, 7, 2, 1, 1)</f>
        <v>0</v>
      </c>
      <c r="D2973" s="207" t="str">
        <f ca="1">IF(OFFSET('IWP30'!Std10dot5Withdrawals, 7, 4, 1, 1) = 0, "", OFFSET('IWP30'!Std10dot5Withdrawals, 7, 4, 1, 1))</f>
        <v/>
      </c>
    </row>
    <row r="2974" spans="1:4">
      <c r="A2974" s="206" t="s">
        <v>1333</v>
      </c>
      <c r="B2974" s="157">
        <f ca="1">IF(OFFSET('IWP30'!Std10dot5Withdrawals, 8, 0, 1, 1) = DATE(1900,1,0),DATE(1900,1,1),OFFSET('IWP30'!Std10dot5Withdrawals, 8, 0, 1, 1))</f>
        <v>1</v>
      </c>
      <c r="C2974" s="155">
        <f ca="1">OFFSET('IWP30'!Std10dot5Withdrawals, 8, 2, 1, 1)</f>
        <v>0</v>
      </c>
      <c r="D2974" s="207" t="str">
        <f ca="1">IF(OFFSET('IWP30'!Std10dot5Withdrawals, 8, 4, 1, 1) = 0, "", OFFSET('IWP30'!Std10dot5Withdrawals, 8, 4, 1, 1))</f>
        <v/>
      </c>
    </row>
    <row r="2975" spans="1:4" ht="15" thickBot="1">
      <c r="A2975" s="156" t="s">
        <v>1333</v>
      </c>
      <c r="B2975" s="194">
        <f ca="1">IF(OFFSET('IWP30'!Std10dot5Withdrawals, 9, 0, 1, 1) = DATE(1900,1,0),DATE(1900,1,1),OFFSET('IWP30'!Std10dot5Withdrawals, 9, 0, 1, 1))</f>
        <v>1</v>
      </c>
      <c r="C2975" s="174">
        <f ca="1">OFFSET('IWP30'!Std10dot5Withdrawals, 9, 2, 1, 1)</f>
        <v>0</v>
      </c>
      <c r="D2975" s="208" t="str">
        <f ca="1">IF(OFFSET('IWP30'!Std10dot5Withdrawals, 9, 4, 1, 1) = 0, "", OFFSET('IWP30'!Std10dot5Withdrawals, 9, 4, 1, 1))</f>
        <v/>
      </c>
    </row>
    <row r="2977" spans="1:5" ht="15" thickBot="1">
      <c r="A2977" t="s">
        <v>1263</v>
      </c>
    </row>
    <row r="2978" spans="1:5" s="62" customFormat="1">
      <c r="A2978" s="153" t="s">
        <v>1057</v>
      </c>
      <c r="B2978" s="312" t="s">
        <v>1198</v>
      </c>
      <c r="C2978" s="312" t="s">
        <v>1199</v>
      </c>
      <c r="D2978" s="312" t="s">
        <v>1200</v>
      </c>
      <c r="E2978" s="311" t="s">
        <v>1201</v>
      </c>
    </row>
    <row r="2979" spans="1:5">
      <c r="A2979" s="206" t="s">
        <v>1060</v>
      </c>
      <c r="B2979" s="151" t="str">
        <f ca="1">IF(OFFSET('IWP01'!Std11dot1CommonAreaCalculations, 0, 0, 1, 1) = 0, "", OFFSET('IWP01'!Std11dot1CommonAreaCalculations, 0, 0, 1, 1))</f>
        <v/>
      </c>
      <c r="C2979" s="155">
        <f ca="1">OFFSET('IWP01'!Std11dot1CommonAreaCalculations, 0, 5, 1, 1)</f>
        <v>0</v>
      </c>
      <c r="D2979" s="155">
        <f ca="1">OFFSET('IWP01'!Std11dot1CommonAreaCalculations, 0, 7, 1, 1)</f>
        <v>0</v>
      </c>
      <c r="E2979" s="185">
        <f ca="1">IF(OFFSET('IWP01'!Std11dot1CommonAreaCalculations, 0, 9, 1, 1) = "", MINVALDBL, OFFSET('IWP01'!Std11dot1CommonAreaCalculations, 0, 9, 1, 1))</f>
        <v>-99999.99</v>
      </c>
    </row>
    <row r="2980" spans="1:5">
      <c r="A2980" s="206" t="s">
        <v>1060</v>
      </c>
      <c r="B2980" s="151" t="str">
        <f ca="1">IF(OFFSET('IWP01'!Std11dot1CommonAreaCalculations, 1, 0, 1, 1) = 0, "", OFFSET('IWP01'!Std11dot1CommonAreaCalculations, 1, 0, 1, 1))</f>
        <v/>
      </c>
      <c r="C2980" s="155">
        <f ca="1">OFFSET('IWP01'!Std11dot1CommonAreaCalculations, 1, 5, 1, 1)</f>
        <v>0</v>
      </c>
      <c r="D2980" s="155">
        <f ca="1">OFFSET('IWP01'!Std11dot1CommonAreaCalculations, 1, 7, 1, 1)</f>
        <v>0</v>
      </c>
      <c r="E2980" s="185">
        <f ca="1">IF(OFFSET('IWP01'!Std11dot1CommonAreaCalculations, 1, 9, 1, 1) = "", MINVALDBL, OFFSET('IWP01'!Std11dot1CommonAreaCalculations, 1, 9, 1, 1))</f>
        <v>-99999.99</v>
      </c>
    </row>
    <row r="2981" spans="1:5">
      <c r="A2981" s="206" t="s">
        <v>1060</v>
      </c>
      <c r="B2981" s="151" t="str">
        <f ca="1">IF(OFFSET('IWP01'!Std11dot1CommonAreaCalculations, 2, 0, 1, 1) = 0, "", OFFSET('IWP01'!Std11dot1CommonAreaCalculations, 2, 0, 1, 1))</f>
        <v/>
      </c>
      <c r="C2981" s="155">
        <f ca="1">OFFSET('IWP01'!Std11dot1CommonAreaCalculations, 2, 5, 1, 1)</f>
        <v>0</v>
      </c>
      <c r="D2981" s="155">
        <f ca="1">OFFSET('IWP01'!Std11dot1CommonAreaCalculations, 2, 7, 1, 1)</f>
        <v>0</v>
      </c>
      <c r="E2981" s="185">
        <f ca="1">IF(OFFSET('IWP01'!Std11dot1CommonAreaCalculations, 2, 9, 1, 1) = "", MINVALDBL, OFFSET('IWP01'!Std11dot1CommonAreaCalculations, 2, 9, 1, 1))</f>
        <v>-99999.99</v>
      </c>
    </row>
    <row r="2982" spans="1:5">
      <c r="A2982" s="206" t="s">
        <v>1060</v>
      </c>
      <c r="B2982" s="151" t="str">
        <f ca="1">IF(OFFSET('IWP01'!Std11dot1CommonAreaCalculations, 3, 0, 1, 1) = 0, "", OFFSET('IWP01'!Std11dot1CommonAreaCalculations, 3, 0, 1, 1))</f>
        <v/>
      </c>
      <c r="C2982" s="155">
        <f ca="1">OFFSET('IWP01'!Std11dot1CommonAreaCalculations, 3, 5, 1, 1)</f>
        <v>0</v>
      </c>
      <c r="D2982" s="155">
        <f ca="1">OFFSET('IWP01'!Std11dot1CommonAreaCalculations, 3, 7, 1, 1)</f>
        <v>0</v>
      </c>
      <c r="E2982" s="185">
        <f ca="1">IF(OFFSET('IWP01'!Std11dot1CommonAreaCalculations, 3, 9, 1, 1) = "", MINVALDBL, OFFSET('IWP01'!Std11dot1CommonAreaCalculations, 3, 9, 1, 1))</f>
        <v>-99999.99</v>
      </c>
    </row>
    <row r="2983" spans="1:5">
      <c r="A2983" s="206" t="s">
        <v>1060</v>
      </c>
      <c r="B2983" s="151" t="str">
        <f ca="1">IF(OFFSET('IWP01'!Std11dot1CommonAreaCalculations, 4, 0, 1, 1) = 0, "", OFFSET('IWP01'!Std11dot1CommonAreaCalculations, 4, 0, 1, 1))</f>
        <v/>
      </c>
      <c r="C2983" s="155">
        <f ca="1">OFFSET('IWP01'!Std11dot1CommonAreaCalculations, 4, 5, 1, 1)</f>
        <v>0</v>
      </c>
      <c r="D2983" s="155">
        <f ca="1">OFFSET('IWP01'!Std11dot1CommonAreaCalculations, 4, 7, 1, 1)</f>
        <v>0</v>
      </c>
      <c r="E2983" s="185">
        <f ca="1">IF(OFFSET('IWP01'!Std11dot1CommonAreaCalculations, 4, 9, 1, 1) = "", MINVALDBL, OFFSET('IWP01'!Std11dot1CommonAreaCalculations, 4, 9, 1, 1))</f>
        <v>-99999.99</v>
      </c>
    </row>
    <row r="2984" spans="1:5">
      <c r="A2984" s="206" t="s">
        <v>1193</v>
      </c>
      <c r="B2984" s="151" t="str">
        <f ca="1">IF(OFFSET('IWP02'!Std11dot1CommonAreaCalculations, 0, 0, 1, 1) = 0, "", OFFSET('IWP02'!Std11dot1CommonAreaCalculations, 0, 0, 1, 1))</f>
        <v/>
      </c>
      <c r="C2984" s="155">
        <f ca="1">OFFSET('IWP02'!Std11dot1CommonAreaCalculations, 0, 5, 1, 1)</f>
        <v>0</v>
      </c>
      <c r="D2984" s="155">
        <f ca="1">OFFSET('IWP02'!Std11dot1CommonAreaCalculations, 0, 7, 1, 1)</f>
        <v>0</v>
      </c>
      <c r="E2984" s="185">
        <f ca="1">IF(OFFSET('IWP02'!Std11dot1CommonAreaCalculations, 0, 9, 1, 1) = "", MINVALDBL, OFFSET('IWP02'!Std11dot1CommonAreaCalculations, 0, 9, 1, 1))</f>
        <v>-99999.99</v>
      </c>
    </row>
    <row r="2985" spans="1:5">
      <c r="A2985" s="206" t="s">
        <v>1193</v>
      </c>
      <c r="B2985" s="151" t="str">
        <f ca="1">IF(OFFSET('IWP02'!Std11dot1CommonAreaCalculations, 1, 0, 1, 1) = 0, "", OFFSET('IWP02'!Std11dot1CommonAreaCalculations, 1, 0, 1, 1))</f>
        <v/>
      </c>
      <c r="C2985" s="155">
        <f ca="1">OFFSET('IWP02'!Std11dot1CommonAreaCalculations, 1, 5, 1, 1)</f>
        <v>0</v>
      </c>
      <c r="D2985" s="155">
        <f ca="1">OFFSET('IWP02'!Std11dot1CommonAreaCalculations, 1, 7, 1, 1)</f>
        <v>0</v>
      </c>
      <c r="E2985" s="185">
        <f ca="1">IF(OFFSET('IWP02'!Std11dot1CommonAreaCalculations, 1, 9, 1, 1) = "", MINVALDBL, OFFSET('IWP02'!Std11dot1CommonAreaCalculations, 1, 9, 1, 1))</f>
        <v>-99999.99</v>
      </c>
    </row>
    <row r="2986" spans="1:5">
      <c r="A2986" s="206" t="s">
        <v>1193</v>
      </c>
      <c r="B2986" s="151" t="str">
        <f ca="1">IF(OFFSET('IWP02'!Std11dot1CommonAreaCalculations, 2, 0, 1, 1) = 0, "", OFFSET('IWP02'!Std11dot1CommonAreaCalculations, 2, 0, 1, 1))</f>
        <v/>
      </c>
      <c r="C2986" s="155">
        <f ca="1">OFFSET('IWP02'!Std11dot1CommonAreaCalculations, 2, 5, 1, 1)</f>
        <v>0</v>
      </c>
      <c r="D2986" s="155">
        <f ca="1">OFFSET('IWP02'!Std11dot1CommonAreaCalculations, 2, 7, 1, 1)</f>
        <v>0</v>
      </c>
      <c r="E2986" s="185">
        <f ca="1">IF(OFFSET('IWP02'!Std11dot1CommonAreaCalculations, 2, 9, 1, 1) = "", MINVALDBL, OFFSET('IWP02'!Std11dot1CommonAreaCalculations, 2, 9, 1, 1))</f>
        <v>-99999.99</v>
      </c>
    </row>
    <row r="2987" spans="1:5">
      <c r="A2987" s="206" t="s">
        <v>1193</v>
      </c>
      <c r="B2987" s="151" t="str">
        <f ca="1">IF(OFFSET('IWP02'!Std11dot1CommonAreaCalculations, 3, 0, 1, 1) = 0, "", OFFSET('IWP02'!Std11dot1CommonAreaCalculations, 3, 0, 1, 1))</f>
        <v/>
      </c>
      <c r="C2987" s="155">
        <f ca="1">OFFSET('IWP02'!Std11dot1CommonAreaCalculations, 3, 5, 1, 1)</f>
        <v>0</v>
      </c>
      <c r="D2987" s="155">
        <f ca="1">OFFSET('IWP02'!Std11dot1CommonAreaCalculations, 3, 7, 1, 1)</f>
        <v>0</v>
      </c>
      <c r="E2987" s="185">
        <f ca="1">IF(OFFSET('IWP02'!Std11dot1CommonAreaCalculations, 3, 9, 1, 1) = "", MINVALDBL, OFFSET('IWP02'!Std11dot1CommonAreaCalculations, 3, 9, 1, 1))</f>
        <v>-99999.99</v>
      </c>
    </row>
    <row r="2988" spans="1:5">
      <c r="A2988" s="206" t="s">
        <v>1193</v>
      </c>
      <c r="B2988" s="151" t="str">
        <f ca="1">IF(OFFSET('IWP02'!Std11dot1CommonAreaCalculations, 4, 0, 1, 1) = 0, "", OFFSET('IWP02'!Std11dot1CommonAreaCalculations, 4, 0, 1, 1))</f>
        <v/>
      </c>
      <c r="C2988" s="155">
        <f ca="1">OFFSET('IWP02'!Std11dot1CommonAreaCalculations, 4, 5, 1, 1)</f>
        <v>0</v>
      </c>
      <c r="D2988" s="155">
        <f ca="1">OFFSET('IWP02'!Std11dot1CommonAreaCalculations, 4, 7, 1, 1)</f>
        <v>0</v>
      </c>
      <c r="E2988" s="185">
        <f ca="1">IF(OFFSET('IWP02'!Std11dot1CommonAreaCalculations, 4, 9, 1, 1) = "", MINVALDBL, OFFSET('IWP02'!Std11dot1CommonAreaCalculations, 4, 9, 1, 1))</f>
        <v>-99999.99</v>
      </c>
    </row>
    <row r="2989" spans="1:5">
      <c r="A2989" s="206" t="s">
        <v>1194</v>
      </c>
      <c r="B2989" s="151" t="str">
        <f ca="1">IF(OFFSET('IWP03'!Std11dot1CommonAreaCalculations, 0, 0, 1, 1) = 0, "", OFFSET('IWP03'!Std11dot1CommonAreaCalculations, 0, 0, 1, 1))</f>
        <v/>
      </c>
      <c r="C2989" s="155">
        <f ca="1">OFFSET('IWP03'!Std11dot1CommonAreaCalculations, 0, 5, 1, 1)</f>
        <v>0</v>
      </c>
      <c r="D2989" s="155">
        <f ca="1">OFFSET('IWP03'!Std11dot1CommonAreaCalculations, 0, 7, 1, 1)</f>
        <v>0</v>
      </c>
      <c r="E2989" s="185">
        <f ca="1">IF(OFFSET('IWP03'!Std11dot1CommonAreaCalculations, 0, 9, 1, 1) = "", MINVALDBL, OFFSET('IWP03'!Std11dot1CommonAreaCalculations, 0, 9, 1, 1))</f>
        <v>-99999.99</v>
      </c>
    </row>
    <row r="2990" spans="1:5">
      <c r="A2990" s="206" t="s">
        <v>1194</v>
      </c>
      <c r="B2990" s="151" t="str">
        <f ca="1">IF(OFFSET('IWP03'!Std11dot1CommonAreaCalculations, 1, 0, 1, 1) = 0, "", OFFSET('IWP03'!Std11dot1CommonAreaCalculations, 1, 0, 1, 1))</f>
        <v/>
      </c>
      <c r="C2990" s="155">
        <f ca="1">OFFSET('IWP03'!Std11dot1CommonAreaCalculations, 1, 5, 1, 1)</f>
        <v>0</v>
      </c>
      <c r="D2990" s="155">
        <f ca="1">OFFSET('IWP03'!Std11dot1CommonAreaCalculations, 1, 7, 1, 1)</f>
        <v>0</v>
      </c>
      <c r="E2990" s="185">
        <f ca="1">IF(OFFSET('IWP03'!Std11dot1CommonAreaCalculations, 1, 9, 1, 1) = "", MINVALDBL, OFFSET('IWP03'!Std11dot1CommonAreaCalculations, 1, 9, 1, 1))</f>
        <v>-99999.99</v>
      </c>
    </row>
    <row r="2991" spans="1:5">
      <c r="A2991" s="206" t="s">
        <v>1194</v>
      </c>
      <c r="B2991" s="151" t="str">
        <f ca="1">IF(OFFSET('IWP03'!Std11dot1CommonAreaCalculations, 2, 0, 1, 1) = 0, "", OFFSET('IWP03'!Std11dot1CommonAreaCalculations, 2, 0, 1, 1))</f>
        <v/>
      </c>
      <c r="C2991" s="155">
        <f ca="1">OFFSET('IWP03'!Std11dot1CommonAreaCalculations, 2, 5, 1, 1)</f>
        <v>0</v>
      </c>
      <c r="D2991" s="155">
        <f ca="1">OFFSET('IWP03'!Std11dot1CommonAreaCalculations, 2, 7, 1, 1)</f>
        <v>0</v>
      </c>
      <c r="E2991" s="185">
        <f ca="1">IF(OFFSET('IWP03'!Std11dot1CommonAreaCalculations, 2, 9, 1, 1) = "", MINVALDBL, OFFSET('IWP03'!Std11dot1CommonAreaCalculations, 2, 9, 1, 1))</f>
        <v>-99999.99</v>
      </c>
    </row>
    <row r="2992" spans="1:5">
      <c r="A2992" s="206" t="s">
        <v>1194</v>
      </c>
      <c r="B2992" s="151" t="str">
        <f ca="1">IF(OFFSET('IWP03'!Std11dot1CommonAreaCalculations, 3, 0, 1, 1) = 0, "", OFFSET('IWP03'!Std11dot1CommonAreaCalculations, 3, 0, 1, 1))</f>
        <v/>
      </c>
      <c r="C2992" s="155">
        <f ca="1">OFFSET('IWP03'!Std11dot1CommonAreaCalculations, 3, 5, 1, 1)</f>
        <v>0</v>
      </c>
      <c r="D2992" s="155">
        <f ca="1">OFFSET('IWP03'!Std11dot1CommonAreaCalculations, 3, 7, 1, 1)</f>
        <v>0</v>
      </c>
      <c r="E2992" s="185">
        <f ca="1">IF(OFFSET('IWP03'!Std11dot1CommonAreaCalculations, 3, 9, 1, 1) = "", MINVALDBL, OFFSET('IWP03'!Std11dot1CommonAreaCalculations, 3, 9, 1, 1))</f>
        <v>-99999.99</v>
      </c>
    </row>
    <row r="2993" spans="1:5">
      <c r="A2993" s="206" t="s">
        <v>1194</v>
      </c>
      <c r="B2993" s="151" t="str">
        <f ca="1">IF(OFFSET('IWP03'!Std11dot1CommonAreaCalculations, 4, 0, 1, 1) = 0, "", OFFSET('IWP03'!Std11dot1CommonAreaCalculations, 4, 0, 1, 1))</f>
        <v/>
      </c>
      <c r="C2993" s="155">
        <f ca="1">OFFSET('IWP03'!Std11dot1CommonAreaCalculations, 4, 5, 1, 1)</f>
        <v>0</v>
      </c>
      <c r="D2993" s="155">
        <f ca="1">OFFSET('IWP03'!Std11dot1CommonAreaCalculations, 4, 7, 1, 1)</f>
        <v>0</v>
      </c>
      <c r="E2993" s="185">
        <f ca="1">IF(OFFSET('IWP03'!Std11dot1CommonAreaCalculations, 4, 9, 1, 1) = "", MINVALDBL, OFFSET('IWP03'!Std11dot1CommonAreaCalculations, 4, 9, 1, 1))</f>
        <v>-99999.99</v>
      </c>
    </row>
    <row r="2994" spans="1:5">
      <c r="A2994" s="206" t="s">
        <v>1307</v>
      </c>
      <c r="B2994" s="151" t="str">
        <f ca="1">IF(OFFSET('IWP04'!Std11dot1CommonAreaCalculations, 0, 0, 1, 1) = 0, "", OFFSET('IWP04'!Std11dot1CommonAreaCalculations, 0, 0, 1, 1))</f>
        <v/>
      </c>
      <c r="C2994" s="155">
        <f ca="1">OFFSET('IWP04'!Std11dot1CommonAreaCalculations, 0, 5, 1, 1)</f>
        <v>0</v>
      </c>
      <c r="D2994" s="155">
        <f ca="1">OFFSET('IWP04'!Std11dot1CommonAreaCalculations, 0, 7, 1, 1)</f>
        <v>0</v>
      </c>
      <c r="E2994" s="185">
        <f ca="1">IF(OFFSET('IWP04'!Std11dot1CommonAreaCalculations, 0, 9, 1, 1) = "", MINVALDBL, OFFSET('IWP04'!Std11dot1CommonAreaCalculations, 0, 9, 1, 1))</f>
        <v>-99999.99</v>
      </c>
    </row>
    <row r="2995" spans="1:5">
      <c r="A2995" s="206" t="s">
        <v>1307</v>
      </c>
      <c r="B2995" s="151" t="str">
        <f ca="1">IF(OFFSET('IWP04'!Std11dot1CommonAreaCalculations, 1, 0, 1, 1) = 0, "", OFFSET('IWP04'!Std11dot1CommonAreaCalculations, 1, 0, 1, 1))</f>
        <v/>
      </c>
      <c r="C2995" s="155">
        <f ca="1">OFFSET('IWP04'!Std11dot1CommonAreaCalculations, 1, 5, 1, 1)</f>
        <v>0</v>
      </c>
      <c r="D2995" s="155">
        <f ca="1">OFFSET('IWP04'!Std11dot1CommonAreaCalculations, 1, 7, 1, 1)</f>
        <v>0</v>
      </c>
      <c r="E2995" s="185">
        <f ca="1">IF(OFFSET('IWP04'!Std11dot1CommonAreaCalculations, 1, 9, 1, 1) = "", MINVALDBL, OFFSET('IWP04'!Std11dot1CommonAreaCalculations, 1, 9, 1, 1))</f>
        <v>-99999.99</v>
      </c>
    </row>
    <row r="2996" spans="1:5">
      <c r="A2996" s="206" t="s">
        <v>1307</v>
      </c>
      <c r="B2996" s="151" t="str">
        <f ca="1">IF(OFFSET('IWP04'!Std11dot1CommonAreaCalculations, 2, 0, 1, 1) = 0, "", OFFSET('IWP04'!Std11dot1CommonAreaCalculations, 2, 0, 1, 1))</f>
        <v/>
      </c>
      <c r="C2996" s="155">
        <f ca="1">OFFSET('IWP04'!Std11dot1CommonAreaCalculations, 2, 5, 1, 1)</f>
        <v>0</v>
      </c>
      <c r="D2996" s="155">
        <f ca="1">OFFSET('IWP04'!Std11dot1CommonAreaCalculations, 2, 7, 1, 1)</f>
        <v>0</v>
      </c>
      <c r="E2996" s="185">
        <f ca="1">IF(OFFSET('IWP04'!Std11dot1CommonAreaCalculations, 2, 9, 1, 1) = "", MINVALDBL, OFFSET('IWP04'!Std11dot1CommonAreaCalculations, 2, 9, 1, 1))</f>
        <v>-99999.99</v>
      </c>
    </row>
    <row r="2997" spans="1:5">
      <c r="A2997" s="206" t="s">
        <v>1307</v>
      </c>
      <c r="B2997" s="151" t="str">
        <f ca="1">IF(OFFSET('IWP04'!Std11dot1CommonAreaCalculations, 3, 0, 1, 1) = 0, "", OFFSET('IWP04'!Std11dot1CommonAreaCalculations, 3, 0, 1, 1))</f>
        <v/>
      </c>
      <c r="C2997" s="155">
        <f ca="1">OFFSET('IWP04'!Std11dot1CommonAreaCalculations, 3, 5, 1, 1)</f>
        <v>0</v>
      </c>
      <c r="D2997" s="155">
        <f ca="1">OFFSET('IWP04'!Std11dot1CommonAreaCalculations, 3, 7, 1, 1)</f>
        <v>0</v>
      </c>
      <c r="E2997" s="185">
        <f ca="1">IF(OFFSET('IWP04'!Std11dot1CommonAreaCalculations, 3, 9, 1, 1) = "", MINVALDBL, OFFSET('IWP04'!Std11dot1CommonAreaCalculations, 3, 9, 1, 1))</f>
        <v>-99999.99</v>
      </c>
    </row>
    <row r="2998" spans="1:5">
      <c r="A2998" s="206" t="s">
        <v>1307</v>
      </c>
      <c r="B2998" s="151" t="str">
        <f ca="1">IF(OFFSET('IWP04'!Std11dot1CommonAreaCalculations, 4, 0, 1, 1) = 0, "", OFFSET('IWP04'!Std11dot1CommonAreaCalculations, 4, 0, 1, 1))</f>
        <v/>
      </c>
      <c r="C2998" s="155">
        <f ca="1">OFFSET('IWP04'!Std11dot1CommonAreaCalculations, 4, 5, 1, 1)</f>
        <v>0</v>
      </c>
      <c r="D2998" s="155">
        <f ca="1">OFFSET('IWP04'!Std11dot1CommonAreaCalculations, 4, 7, 1, 1)</f>
        <v>0</v>
      </c>
      <c r="E2998" s="185">
        <f ca="1">IF(OFFSET('IWP04'!Std11dot1CommonAreaCalculations, 4, 9, 1, 1) = "", MINVALDBL, OFFSET('IWP04'!Std11dot1CommonAreaCalculations, 4, 9, 1, 1))</f>
        <v>-99999.99</v>
      </c>
    </row>
    <row r="2999" spans="1:5">
      <c r="A2999" s="206" t="s">
        <v>1308</v>
      </c>
      <c r="B2999" s="151" t="str">
        <f ca="1">IF(OFFSET('IWP05'!Std11dot1CommonAreaCalculations, 0, 0, 1, 1) = 0, "", OFFSET('IWP05'!Std11dot1CommonAreaCalculations, 0, 0, 1, 1))</f>
        <v/>
      </c>
      <c r="C2999" s="155">
        <f ca="1">OFFSET('IWP05'!Std11dot1CommonAreaCalculations, 0, 5, 1, 1)</f>
        <v>0</v>
      </c>
      <c r="D2999" s="155">
        <f ca="1">OFFSET('IWP05'!Std11dot1CommonAreaCalculations, 0, 7, 1, 1)</f>
        <v>0</v>
      </c>
      <c r="E2999" s="185">
        <f ca="1">IF(OFFSET('IWP05'!Std11dot1CommonAreaCalculations, 0, 9, 1, 1) = "", MINVALDBL, OFFSET('IWP05'!Std11dot1CommonAreaCalculations, 0, 9, 1, 1))</f>
        <v>-99999.99</v>
      </c>
    </row>
    <row r="3000" spans="1:5">
      <c r="A3000" s="206" t="s">
        <v>1308</v>
      </c>
      <c r="B3000" s="151" t="str">
        <f ca="1">IF(OFFSET('IWP05'!Std11dot1CommonAreaCalculations, 1, 0, 1, 1) = 0, "", OFFSET('IWP05'!Std11dot1CommonAreaCalculations, 1, 0, 1, 1))</f>
        <v/>
      </c>
      <c r="C3000" s="155">
        <f ca="1">OFFSET('IWP05'!Std11dot1CommonAreaCalculations, 1, 5, 1, 1)</f>
        <v>0</v>
      </c>
      <c r="D3000" s="155">
        <f ca="1">OFFSET('IWP05'!Std11dot1CommonAreaCalculations, 1, 7, 1, 1)</f>
        <v>0</v>
      </c>
      <c r="E3000" s="185">
        <f ca="1">IF(OFFSET('IWP05'!Std11dot1CommonAreaCalculations, 1, 9, 1, 1) = "", MINVALDBL, OFFSET('IWP05'!Std11dot1CommonAreaCalculations, 1, 9, 1, 1))</f>
        <v>-99999.99</v>
      </c>
    </row>
    <row r="3001" spans="1:5">
      <c r="A3001" s="206" t="s">
        <v>1308</v>
      </c>
      <c r="B3001" s="151" t="str">
        <f ca="1">IF(OFFSET('IWP05'!Std11dot1CommonAreaCalculations, 2, 0, 1, 1) = 0, "", OFFSET('IWP05'!Std11dot1CommonAreaCalculations, 2, 0, 1, 1))</f>
        <v/>
      </c>
      <c r="C3001" s="155">
        <f ca="1">OFFSET('IWP05'!Std11dot1CommonAreaCalculations, 2, 5, 1, 1)</f>
        <v>0</v>
      </c>
      <c r="D3001" s="155">
        <f ca="1">OFFSET('IWP05'!Std11dot1CommonAreaCalculations, 2, 7, 1, 1)</f>
        <v>0</v>
      </c>
      <c r="E3001" s="185">
        <f ca="1">IF(OFFSET('IWP05'!Std11dot1CommonAreaCalculations, 2, 9, 1, 1) = "", MINVALDBL, OFFSET('IWP05'!Std11dot1CommonAreaCalculations, 2, 9, 1, 1))</f>
        <v>-99999.99</v>
      </c>
    </row>
    <row r="3002" spans="1:5">
      <c r="A3002" s="206" t="s">
        <v>1308</v>
      </c>
      <c r="B3002" s="151" t="str">
        <f ca="1">IF(OFFSET('IWP05'!Std11dot1CommonAreaCalculations, 3, 0, 1, 1) = 0, "", OFFSET('IWP05'!Std11dot1CommonAreaCalculations, 3, 0, 1, 1))</f>
        <v/>
      </c>
      <c r="C3002" s="155">
        <f ca="1">OFFSET('IWP05'!Std11dot1CommonAreaCalculations, 3, 5, 1, 1)</f>
        <v>0</v>
      </c>
      <c r="D3002" s="155">
        <f ca="1">OFFSET('IWP05'!Std11dot1CommonAreaCalculations, 3, 7, 1, 1)</f>
        <v>0</v>
      </c>
      <c r="E3002" s="185">
        <f ca="1">IF(OFFSET('IWP05'!Std11dot1CommonAreaCalculations, 3, 9, 1, 1) = "", MINVALDBL, OFFSET('IWP05'!Std11dot1CommonAreaCalculations, 3, 9, 1, 1))</f>
        <v>-99999.99</v>
      </c>
    </row>
    <row r="3003" spans="1:5">
      <c r="A3003" s="206" t="s">
        <v>1308</v>
      </c>
      <c r="B3003" s="151" t="str">
        <f ca="1">IF(OFFSET('IWP05'!Std11dot1CommonAreaCalculations, 4, 0, 1, 1) = 0, "", OFFSET('IWP05'!Std11dot1CommonAreaCalculations, 4, 0, 1, 1))</f>
        <v/>
      </c>
      <c r="C3003" s="155">
        <f ca="1">OFFSET('IWP05'!Std11dot1CommonAreaCalculations, 4, 5, 1, 1)</f>
        <v>0</v>
      </c>
      <c r="D3003" s="155">
        <f ca="1">OFFSET('IWP05'!Std11dot1CommonAreaCalculations, 4, 7, 1, 1)</f>
        <v>0</v>
      </c>
      <c r="E3003" s="185">
        <f ca="1">IF(OFFSET('IWP05'!Std11dot1CommonAreaCalculations, 4, 9, 1, 1) = "", MINVALDBL, OFFSET('IWP05'!Std11dot1CommonAreaCalculations, 4, 9, 1, 1))</f>
        <v>-99999.99</v>
      </c>
    </row>
    <row r="3004" spans="1:5">
      <c r="A3004" s="206" t="s">
        <v>1309</v>
      </c>
      <c r="B3004" s="151" t="str">
        <f ca="1">IF(OFFSET('IWP06'!Std11dot1CommonAreaCalculations, 0, 0, 1, 1) = 0, "", OFFSET('IWP06'!Std11dot1CommonAreaCalculations, 0, 0, 1, 1))</f>
        <v/>
      </c>
      <c r="C3004" s="155">
        <f ca="1">OFFSET('IWP06'!Std11dot1CommonAreaCalculations, 0, 5, 1, 1)</f>
        <v>0</v>
      </c>
      <c r="D3004" s="155">
        <f ca="1">OFFSET('IWP06'!Std11dot1CommonAreaCalculations, 0, 7, 1, 1)</f>
        <v>0</v>
      </c>
      <c r="E3004" s="185">
        <f ca="1">IF(OFFSET('IWP06'!Std11dot1CommonAreaCalculations, 0, 9, 1, 1) = "", MINVALDBL, OFFSET('IWP06'!Std11dot1CommonAreaCalculations, 0, 9, 1, 1))</f>
        <v>-99999.99</v>
      </c>
    </row>
    <row r="3005" spans="1:5">
      <c r="A3005" s="206" t="s">
        <v>1309</v>
      </c>
      <c r="B3005" s="151" t="str">
        <f ca="1">IF(OFFSET('IWP06'!Std11dot1CommonAreaCalculations, 1, 0, 1, 1) = 0, "", OFFSET('IWP06'!Std11dot1CommonAreaCalculations, 1, 0, 1, 1))</f>
        <v/>
      </c>
      <c r="C3005" s="155">
        <f ca="1">OFFSET('IWP06'!Std11dot1CommonAreaCalculations, 1, 5, 1, 1)</f>
        <v>0</v>
      </c>
      <c r="D3005" s="155">
        <f ca="1">OFFSET('IWP06'!Std11dot1CommonAreaCalculations, 1, 7, 1, 1)</f>
        <v>0</v>
      </c>
      <c r="E3005" s="185">
        <f ca="1">IF(OFFSET('IWP06'!Std11dot1CommonAreaCalculations, 1, 9, 1, 1) = "", MINVALDBL, OFFSET('IWP06'!Std11dot1CommonAreaCalculations, 1, 9, 1, 1))</f>
        <v>-99999.99</v>
      </c>
    </row>
    <row r="3006" spans="1:5">
      <c r="A3006" s="206" t="s">
        <v>1309</v>
      </c>
      <c r="B3006" s="151" t="str">
        <f ca="1">IF(OFFSET('IWP06'!Std11dot1CommonAreaCalculations, 2, 0, 1, 1) = 0, "", OFFSET('IWP06'!Std11dot1CommonAreaCalculations, 2, 0, 1, 1))</f>
        <v/>
      </c>
      <c r="C3006" s="155">
        <f ca="1">OFFSET('IWP06'!Std11dot1CommonAreaCalculations, 2, 5, 1, 1)</f>
        <v>0</v>
      </c>
      <c r="D3006" s="155">
        <f ca="1">OFFSET('IWP06'!Std11dot1CommonAreaCalculations, 2, 7, 1, 1)</f>
        <v>0</v>
      </c>
      <c r="E3006" s="185">
        <f ca="1">IF(OFFSET('IWP06'!Std11dot1CommonAreaCalculations, 2, 9, 1, 1) = "", MINVALDBL, OFFSET('IWP06'!Std11dot1CommonAreaCalculations, 2, 9, 1, 1))</f>
        <v>-99999.99</v>
      </c>
    </row>
    <row r="3007" spans="1:5">
      <c r="A3007" s="206" t="s">
        <v>1309</v>
      </c>
      <c r="B3007" s="151" t="str">
        <f ca="1">IF(OFFSET('IWP06'!Std11dot1CommonAreaCalculations, 3, 0, 1, 1) = 0, "", OFFSET('IWP06'!Std11dot1CommonAreaCalculations, 3, 0, 1, 1))</f>
        <v/>
      </c>
      <c r="C3007" s="155">
        <f ca="1">OFFSET('IWP06'!Std11dot1CommonAreaCalculations, 3, 5, 1, 1)</f>
        <v>0</v>
      </c>
      <c r="D3007" s="155">
        <f ca="1">OFFSET('IWP06'!Std11dot1CommonAreaCalculations, 3, 7, 1, 1)</f>
        <v>0</v>
      </c>
      <c r="E3007" s="185">
        <f ca="1">IF(OFFSET('IWP06'!Std11dot1CommonAreaCalculations, 3, 9, 1, 1) = "", MINVALDBL, OFFSET('IWP06'!Std11dot1CommonAreaCalculations, 3, 9, 1, 1))</f>
        <v>-99999.99</v>
      </c>
    </row>
    <row r="3008" spans="1:5">
      <c r="A3008" s="206" t="s">
        <v>1309</v>
      </c>
      <c r="B3008" s="151" t="str">
        <f ca="1">IF(OFFSET('IWP06'!Std11dot1CommonAreaCalculations, 4, 0, 1, 1) = 0, "", OFFSET('IWP06'!Std11dot1CommonAreaCalculations, 4, 0, 1, 1))</f>
        <v/>
      </c>
      <c r="C3008" s="155">
        <f ca="1">OFFSET('IWP06'!Std11dot1CommonAreaCalculations, 4, 5, 1, 1)</f>
        <v>0</v>
      </c>
      <c r="D3008" s="155">
        <f ca="1">OFFSET('IWP06'!Std11dot1CommonAreaCalculations, 4, 7, 1, 1)</f>
        <v>0</v>
      </c>
      <c r="E3008" s="185">
        <f ca="1">IF(OFFSET('IWP06'!Std11dot1CommonAreaCalculations, 4, 9, 1, 1) = "", MINVALDBL, OFFSET('IWP06'!Std11dot1CommonAreaCalculations, 4, 9, 1, 1))</f>
        <v>-99999.99</v>
      </c>
    </row>
    <row r="3009" spans="1:5">
      <c r="A3009" s="206" t="s">
        <v>1310</v>
      </c>
      <c r="B3009" s="151" t="str">
        <f ca="1">IF(OFFSET('IWP07'!Std11dot1CommonAreaCalculations, 0, 0, 1, 1) = 0, "", OFFSET('IWP07'!Std11dot1CommonAreaCalculations, 0, 0, 1, 1))</f>
        <v/>
      </c>
      <c r="C3009" s="155">
        <f ca="1">OFFSET('IWP07'!Std11dot1CommonAreaCalculations, 0, 5, 1, 1)</f>
        <v>0</v>
      </c>
      <c r="D3009" s="155">
        <f ca="1">OFFSET('IWP07'!Std11dot1CommonAreaCalculations, 0, 7, 1, 1)</f>
        <v>0</v>
      </c>
      <c r="E3009" s="185">
        <f ca="1">IF(OFFSET('IWP07'!Std11dot1CommonAreaCalculations, 0, 9, 1, 1) = "", MINVALDBL, OFFSET('IWP07'!Std11dot1CommonAreaCalculations, 0, 9, 1, 1))</f>
        <v>-99999.99</v>
      </c>
    </row>
    <row r="3010" spans="1:5">
      <c r="A3010" s="206" t="s">
        <v>1310</v>
      </c>
      <c r="B3010" s="151" t="str">
        <f ca="1">IF(OFFSET('IWP07'!Std11dot1CommonAreaCalculations, 1, 0, 1, 1) = 0, "", OFFSET('IWP07'!Std11dot1CommonAreaCalculations, 1, 0, 1, 1))</f>
        <v/>
      </c>
      <c r="C3010" s="155">
        <f ca="1">OFFSET('IWP07'!Std11dot1CommonAreaCalculations, 1, 5, 1, 1)</f>
        <v>0</v>
      </c>
      <c r="D3010" s="155">
        <f ca="1">OFFSET('IWP07'!Std11dot1CommonAreaCalculations, 1, 7, 1, 1)</f>
        <v>0</v>
      </c>
      <c r="E3010" s="185">
        <f ca="1">IF(OFFSET('IWP07'!Std11dot1CommonAreaCalculations, 1, 9, 1, 1) = "", MINVALDBL, OFFSET('IWP07'!Std11dot1CommonAreaCalculations, 1, 9, 1, 1))</f>
        <v>-99999.99</v>
      </c>
    </row>
    <row r="3011" spans="1:5">
      <c r="A3011" s="206" t="s">
        <v>1310</v>
      </c>
      <c r="B3011" s="151" t="str">
        <f ca="1">IF(OFFSET('IWP07'!Std11dot1CommonAreaCalculations, 2, 0, 1, 1) = 0, "", OFFSET('IWP07'!Std11dot1CommonAreaCalculations, 2, 0, 1, 1))</f>
        <v/>
      </c>
      <c r="C3011" s="155">
        <f ca="1">OFFSET('IWP07'!Std11dot1CommonAreaCalculations, 2, 5, 1, 1)</f>
        <v>0</v>
      </c>
      <c r="D3011" s="155">
        <f ca="1">OFFSET('IWP07'!Std11dot1CommonAreaCalculations, 2, 7, 1, 1)</f>
        <v>0</v>
      </c>
      <c r="E3011" s="185">
        <f ca="1">IF(OFFSET('IWP07'!Std11dot1CommonAreaCalculations, 2, 9, 1, 1) = "", MINVALDBL, OFFSET('IWP07'!Std11dot1CommonAreaCalculations, 2, 9, 1, 1))</f>
        <v>-99999.99</v>
      </c>
    </row>
    <row r="3012" spans="1:5">
      <c r="A3012" s="206" t="s">
        <v>1310</v>
      </c>
      <c r="B3012" s="151" t="str">
        <f ca="1">IF(OFFSET('IWP07'!Std11dot1CommonAreaCalculations, 3, 0, 1, 1) = 0, "", OFFSET('IWP07'!Std11dot1CommonAreaCalculations, 3, 0, 1, 1))</f>
        <v/>
      </c>
      <c r="C3012" s="155">
        <f ca="1">OFFSET('IWP07'!Std11dot1CommonAreaCalculations, 3, 5, 1, 1)</f>
        <v>0</v>
      </c>
      <c r="D3012" s="155">
        <f ca="1">OFFSET('IWP07'!Std11dot1CommonAreaCalculations, 3, 7, 1, 1)</f>
        <v>0</v>
      </c>
      <c r="E3012" s="185">
        <f ca="1">IF(OFFSET('IWP07'!Std11dot1CommonAreaCalculations, 3, 9, 1, 1) = "", MINVALDBL, OFFSET('IWP07'!Std11dot1CommonAreaCalculations, 3, 9, 1, 1))</f>
        <v>-99999.99</v>
      </c>
    </row>
    <row r="3013" spans="1:5">
      <c r="A3013" s="206" t="s">
        <v>1310</v>
      </c>
      <c r="B3013" s="151" t="str">
        <f ca="1">IF(OFFSET('IWP07'!Std11dot1CommonAreaCalculations, 4, 0, 1, 1) = 0, "", OFFSET('IWP07'!Std11dot1CommonAreaCalculations, 4, 0, 1, 1))</f>
        <v/>
      </c>
      <c r="C3013" s="155">
        <f ca="1">OFFSET('IWP07'!Std11dot1CommonAreaCalculations, 4, 5, 1, 1)</f>
        <v>0</v>
      </c>
      <c r="D3013" s="155">
        <f ca="1">OFFSET('IWP07'!Std11dot1CommonAreaCalculations, 4, 7, 1, 1)</f>
        <v>0</v>
      </c>
      <c r="E3013" s="185">
        <f ca="1">IF(OFFSET('IWP07'!Std11dot1CommonAreaCalculations, 4, 9, 1, 1) = "", MINVALDBL, OFFSET('IWP07'!Std11dot1CommonAreaCalculations, 4, 9, 1, 1))</f>
        <v>-99999.99</v>
      </c>
    </row>
    <row r="3014" spans="1:5">
      <c r="A3014" s="206" t="s">
        <v>1311</v>
      </c>
      <c r="B3014" s="151" t="str">
        <f ca="1">IF(OFFSET('IWP08'!Std11dot1CommonAreaCalculations, 0, 0, 1, 1) = 0, "", OFFSET('IWP08'!Std11dot1CommonAreaCalculations, 0, 0, 1, 1))</f>
        <v/>
      </c>
      <c r="C3014" s="155">
        <f ca="1">OFFSET('IWP08'!Std11dot1CommonAreaCalculations, 0, 5, 1, 1)</f>
        <v>0</v>
      </c>
      <c r="D3014" s="155">
        <f ca="1">OFFSET('IWP08'!Std11dot1CommonAreaCalculations, 0, 7, 1, 1)</f>
        <v>0</v>
      </c>
      <c r="E3014" s="185">
        <f ca="1">IF(OFFSET('IWP08'!Std11dot1CommonAreaCalculations, 0, 9, 1, 1) = "", MINVALDBL, OFFSET('IWP08'!Std11dot1CommonAreaCalculations, 0, 9, 1, 1))</f>
        <v>-99999.99</v>
      </c>
    </row>
    <row r="3015" spans="1:5">
      <c r="A3015" s="206" t="s">
        <v>1311</v>
      </c>
      <c r="B3015" s="151" t="str">
        <f ca="1">IF(OFFSET('IWP08'!Std11dot1CommonAreaCalculations, 1, 0, 1, 1) = 0, "", OFFSET('IWP08'!Std11dot1CommonAreaCalculations, 1, 0, 1, 1))</f>
        <v/>
      </c>
      <c r="C3015" s="155">
        <f ca="1">OFFSET('IWP08'!Std11dot1CommonAreaCalculations, 1, 5, 1, 1)</f>
        <v>0</v>
      </c>
      <c r="D3015" s="155">
        <f ca="1">OFFSET('IWP08'!Std11dot1CommonAreaCalculations, 1, 7, 1, 1)</f>
        <v>0</v>
      </c>
      <c r="E3015" s="185">
        <f ca="1">IF(OFFSET('IWP08'!Std11dot1CommonAreaCalculations, 1, 9, 1, 1) = "", MINVALDBL, OFFSET('IWP08'!Std11dot1CommonAreaCalculations, 1, 9, 1, 1))</f>
        <v>-99999.99</v>
      </c>
    </row>
    <row r="3016" spans="1:5">
      <c r="A3016" s="206" t="s">
        <v>1311</v>
      </c>
      <c r="B3016" s="151" t="str">
        <f ca="1">IF(OFFSET('IWP08'!Std11dot1CommonAreaCalculations, 2, 0, 1, 1) = 0, "", OFFSET('IWP08'!Std11dot1CommonAreaCalculations, 2, 0, 1, 1))</f>
        <v/>
      </c>
      <c r="C3016" s="155">
        <f ca="1">OFFSET('IWP08'!Std11dot1CommonAreaCalculations, 2, 5, 1, 1)</f>
        <v>0</v>
      </c>
      <c r="D3016" s="155">
        <f ca="1">OFFSET('IWP08'!Std11dot1CommonAreaCalculations, 2, 7, 1, 1)</f>
        <v>0</v>
      </c>
      <c r="E3016" s="185">
        <f ca="1">IF(OFFSET('IWP08'!Std11dot1CommonAreaCalculations, 2, 9, 1, 1) = "", MINVALDBL, OFFSET('IWP08'!Std11dot1CommonAreaCalculations, 2, 9, 1, 1))</f>
        <v>-99999.99</v>
      </c>
    </row>
    <row r="3017" spans="1:5">
      <c r="A3017" s="206" t="s">
        <v>1311</v>
      </c>
      <c r="B3017" s="151" t="str">
        <f ca="1">IF(OFFSET('IWP08'!Std11dot1CommonAreaCalculations, 3, 0, 1, 1) = 0, "", OFFSET('IWP08'!Std11dot1CommonAreaCalculations, 3, 0, 1, 1))</f>
        <v/>
      </c>
      <c r="C3017" s="155">
        <f ca="1">OFFSET('IWP08'!Std11dot1CommonAreaCalculations, 3, 5, 1, 1)</f>
        <v>0</v>
      </c>
      <c r="D3017" s="155">
        <f ca="1">OFFSET('IWP08'!Std11dot1CommonAreaCalculations, 3, 7, 1, 1)</f>
        <v>0</v>
      </c>
      <c r="E3017" s="185">
        <f ca="1">IF(OFFSET('IWP08'!Std11dot1CommonAreaCalculations, 3, 9, 1, 1) = "", MINVALDBL, OFFSET('IWP08'!Std11dot1CommonAreaCalculations, 3, 9, 1, 1))</f>
        <v>-99999.99</v>
      </c>
    </row>
    <row r="3018" spans="1:5">
      <c r="A3018" s="206" t="s">
        <v>1311</v>
      </c>
      <c r="B3018" s="151" t="str">
        <f ca="1">IF(OFFSET('IWP08'!Std11dot1CommonAreaCalculations, 4, 0, 1, 1) = 0, "", OFFSET('IWP08'!Std11dot1CommonAreaCalculations, 4, 0, 1, 1))</f>
        <v/>
      </c>
      <c r="C3018" s="155">
        <f ca="1">OFFSET('IWP08'!Std11dot1CommonAreaCalculations, 4, 5, 1, 1)</f>
        <v>0</v>
      </c>
      <c r="D3018" s="155">
        <f ca="1">OFFSET('IWP08'!Std11dot1CommonAreaCalculations, 4, 7, 1, 1)</f>
        <v>0</v>
      </c>
      <c r="E3018" s="185">
        <f ca="1">IF(OFFSET('IWP08'!Std11dot1CommonAreaCalculations, 4, 9, 1, 1) = "", MINVALDBL, OFFSET('IWP08'!Std11dot1CommonAreaCalculations, 4, 9, 1, 1))</f>
        <v>-99999.99</v>
      </c>
    </row>
    <row r="3019" spans="1:5">
      <c r="A3019" s="206" t="s">
        <v>1312</v>
      </c>
      <c r="B3019" s="151" t="str">
        <f ca="1">IF(OFFSET('IWP09'!Std11dot1CommonAreaCalculations, 0, 0, 1, 1) = 0, "", OFFSET('IWP09'!Std11dot1CommonAreaCalculations, 0, 0, 1, 1))</f>
        <v/>
      </c>
      <c r="C3019" s="155">
        <f ca="1">OFFSET('IWP09'!Std11dot1CommonAreaCalculations, 0, 5, 1, 1)</f>
        <v>0</v>
      </c>
      <c r="D3019" s="155">
        <f ca="1">OFFSET('IWP09'!Std11dot1CommonAreaCalculations, 0, 7, 1, 1)</f>
        <v>0</v>
      </c>
      <c r="E3019" s="185">
        <f ca="1">IF(OFFSET('IWP09'!Std11dot1CommonAreaCalculations, 0, 9, 1, 1) = "", MINVALDBL, OFFSET('IWP09'!Std11dot1CommonAreaCalculations, 0, 9, 1, 1))</f>
        <v>-99999.99</v>
      </c>
    </row>
    <row r="3020" spans="1:5">
      <c r="A3020" s="206" t="s">
        <v>1312</v>
      </c>
      <c r="B3020" s="151" t="str">
        <f ca="1">IF(OFFSET('IWP09'!Std11dot1CommonAreaCalculations, 1, 0, 1, 1) = 0, "", OFFSET('IWP09'!Std11dot1CommonAreaCalculations, 1, 0, 1, 1))</f>
        <v/>
      </c>
      <c r="C3020" s="155">
        <f ca="1">OFFSET('IWP09'!Std11dot1CommonAreaCalculations, 1, 5, 1, 1)</f>
        <v>0</v>
      </c>
      <c r="D3020" s="155">
        <f ca="1">OFFSET('IWP09'!Std11dot1CommonAreaCalculations, 1, 7, 1, 1)</f>
        <v>0</v>
      </c>
      <c r="E3020" s="185">
        <f ca="1">IF(OFFSET('IWP09'!Std11dot1CommonAreaCalculations, 1, 9, 1, 1) = "", MINVALDBL, OFFSET('IWP09'!Std11dot1CommonAreaCalculations, 1, 9, 1, 1))</f>
        <v>-99999.99</v>
      </c>
    </row>
    <row r="3021" spans="1:5">
      <c r="A3021" s="206" t="s">
        <v>1312</v>
      </c>
      <c r="B3021" s="151" t="str">
        <f ca="1">IF(OFFSET('IWP09'!Std11dot1CommonAreaCalculations, 2, 0, 1, 1) = 0, "", OFFSET('IWP09'!Std11dot1CommonAreaCalculations, 2, 0, 1, 1))</f>
        <v/>
      </c>
      <c r="C3021" s="155">
        <f ca="1">OFFSET('IWP09'!Std11dot1CommonAreaCalculations, 2, 5, 1, 1)</f>
        <v>0</v>
      </c>
      <c r="D3021" s="155">
        <f ca="1">OFFSET('IWP09'!Std11dot1CommonAreaCalculations, 2, 7, 1, 1)</f>
        <v>0</v>
      </c>
      <c r="E3021" s="185">
        <f ca="1">IF(OFFSET('IWP09'!Std11dot1CommonAreaCalculations, 2, 9, 1, 1) = "", MINVALDBL, OFFSET('IWP09'!Std11dot1CommonAreaCalculations, 2, 9, 1, 1))</f>
        <v>-99999.99</v>
      </c>
    </row>
    <row r="3022" spans="1:5">
      <c r="A3022" s="206" t="s">
        <v>1312</v>
      </c>
      <c r="B3022" s="151" t="str">
        <f ca="1">IF(OFFSET('IWP09'!Std11dot1CommonAreaCalculations, 3, 0, 1, 1) = 0, "", OFFSET('IWP09'!Std11dot1CommonAreaCalculations, 3, 0, 1, 1))</f>
        <v/>
      </c>
      <c r="C3022" s="155">
        <f ca="1">OFFSET('IWP09'!Std11dot1CommonAreaCalculations, 3, 5, 1, 1)</f>
        <v>0</v>
      </c>
      <c r="D3022" s="155">
        <f ca="1">OFFSET('IWP09'!Std11dot1CommonAreaCalculations, 3, 7, 1, 1)</f>
        <v>0</v>
      </c>
      <c r="E3022" s="185">
        <f ca="1">IF(OFFSET('IWP09'!Std11dot1CommonAreaCalculations, 3, 9, 1, 1) = "", MINVALDBL, OFFSET('IWP09'!Std11dot1CommonAreaCalculations, 3, 9, 1, 1))</f>
        <v>-99999.99</v>
      </c>
    </row>
    <row r="3023" spans="1:5">
      <c r="A3023" s="206" t="s">
        <v>1312</v>
      </c>
      <c r="B3023" s="151" t="str">
        <f ca="1">IF(OFFSET('IWP09'!Std11dot1CommonAreaCalculations, 4, 0, 1, 1) = 0, "", OFFSET('IWP09'!Std11dot1CommonAreaCalculations, 4, 0, 1, 1))</f>
        <v/>
      </c>
      <c r="C3023" s="155">
        <f ca="1">OFFSET('IWP09'!Std11dot1CommonAreaCalculations, 4, 5, 1, 1)</f>
        <v>0</v>
      </c>
      <c r="D3023" s="155">
        <f ca="1">OFFSET('IWP09'!Std11dot1CommonAreaCalculations, 4, 7, 1, 1)</f>
        <v>0</v>
      </c>
      <c r="E3023" s="185">
        <f ca="1">IF(OFFSET('IWP09'!Std11dot1CommonAreaCalculations, 4, 9, 1, 1) = "", MINVALDBL, OFFSET('IWP09'!Std11dot1CommonAreaCalculations, 4, 9, 1, 1))</f>
        <v>-99999.99</v>
      </c>
    </row>
    <row r="3024" spans="1:5">
      <c r="A3024" s="206" t="s">
        <v>1313</v>
      </c>
      <c r="B3024" s="151" t="str">
        <f ca="1">IF(OFFSET('IWP10'!Std11dot1CommonAreaCalculations, 0, 0, 1, 1) = 0, "", OFFSET('IWP10'!Std11dot1CommonAreaCalculations, 0, 0, 1, 1))</f>
        <v/>
      </c>
      <c r="C3024" s="155">
        <f ca="1">OFFSET('IWP10'!Std11dot1CommonAreaCalculations, 0, 5, 1, 1)</f>
        <v>0</v>
      </c>
      <c r="D3024" s="155">
        <f ca="1">OFFSET('IWP10'!Std11dot1CommonAreaCalculations, 0, 7, 1, 1)</f>
        <v>0</v>
      </c>
      <c r="E3024" s="185">
        <f ca="1">IF(OFFSET('IWP10'!Std11dot1CommonAreaCalculations, 0, 9, 1, 1) = "", MINVALDBL, OFFSET('IWP10'!Std11dot1CommonAreaCalculations, 0, 9, 1, 1))</f>
        <v>-99999.99</v>
      </c>
    </row>
    <row r="3025" spans="1:5">
      <c r="A3025" s="206" t="s">
        <v>1313</v>
      </c>
      <c r="B3025" s="151" t="str">
        <f ca="1">IF(OFFSET('IWP10'!Std11dot1CommonAreaCalculations, 1, 0, 1, 1) = 0, "", OFFSET('IWP10'!Std11dot1CommonAreaCalculations, 1, 0, 1, 1))</f>
        <v/>
      </c>
      <c r="C3025" s="155">
        <f ca="1">OFFSET('IWP10'!Std11dot1CommonAreaCalculations, 1, 5, 1, 1)</f>
        <v>0</v>
      </c>
      <c r="D3025" s="155">
        <f ca="1">OFFSET('IWP10'!Std11dot1CommonAreaCalculations, 1, 7, 1, 1)</f>
        <v>0</v>
      </c>
      <c r="E3025" s="185">
        <f ca="1">IF(OFFSET('IWP10'!Std11dot1CommonAreaCalculations, 1, 9, 1, 1) = "", MINVALDBL, OFFSET('IWP10'!Std11dot1CommonAreaCalculations, 1, 9, 1, 1))</f>
        <v>-99999.99</v>
      </c>
    </row>
    <row r="3026" spans="1:5">
      <c r="A3026" s="206" t="s">
        <v>1313</v>
      </c>
      <c r="B3026" s="151" t="str">
        <f ca="1">IF(OFFSET('IWP10'!Std11dot1CommonAreaCalculations, 2, 0, 1, 1) = 0, "", OFFSET('IWP10'!Std11dot1CommonAreaCalculations, 2, 0, 1, 1))</f>
        <v/>
      </c>
      <c r="C3026" s="155">
        <f ca="1">OFFSET('IWP10'!Std11dot1CommonAreaCalculations, 2, 5, 1, 1)</f>
        <v>0</v>
      </c>
      <c r="D3026" s="155">
        <f ca="1">OFFSET('IWP10'!Std11dot1CommonAreaCalculations, 2, 7, 1, 1)</f>
        <v>0</v>
      </c>
      <c r="E3026" s="185">
        <f ca="1">IF(OFFSET('IWP10'!Std11dot1CommonAreaCalculations, 2, 9, 1, 1) = "", MINVALDBL, OFFSET('IWP10'!Std11dot1CommonAreaCalculations, 2, 9, 1, 1))</f>
        <v>-99999.99</v>
      </c>
    </row>
    <row r="3027" spans="1:5">
      <c r="A3027" s="206" t="s">
        <v>1313</v>
      </c>
      <c r="B3027" s="151" t="str">
        <f ca="1">IF(OFFSET('IWP10'!Std11dot1CommonAreaCalculations, 3, 0, 1, 1) = 0, "", OFFSET('IWP10'!Std11dot1CommonAreaCalculations, 3, 0, 1, 1))</f>
        <v/>
      </c>
      <c r="C3027" s="155">
        <f ca="1">OFFSET('IWP10'!Std11dot1CommonAreaCalculations, 3, 5, 1, 1)</f>
        <v>0</v>
      </c>
      <c r="D3027" s="155">
        <f ca="1">OFFSET('IWP10'!Std11dot1CommonAreaCalculations, 3, 7, 1, 1)</f>
        <v>0</v>
      </c>
      <c r="E3027" s="185">
        <f ca="1">IF(OFFSET('IWP10'!Std11dot1CommonAreaCalculations, 3, 9, 1, 1) = "", MINVALDBL, OFFSET('IWP10'!Std11dot1CommonAreaCalculations, 3, 9, 1, 1))</f>
        <v>-99999.99</v>
      </c>
    </row>
    <row r="3028" spans="1:5">
      <c r="A3028" s="206" t="s">
        <v>1313</v>
      </c>
      <c r="B3028" s="151" t="str">
        <f ca="1">IF(OFFSET('IWP10'!Std11dot1CommonAreaCalculations, 4, 0, 1, 1) = 0, "", OFFSET('IWP10'!Std11dot1CommonAreaCalculations, 4, 0, 1, 1))</f>
        <v/>
      </c>
      <c r="C3028" s="155">
        <f ca="1">OFFSET('IWP10'!Std11dot1CommonAreaCalculations, 4, 5, 1, 1)</f>
        <v>0</v>
      </c>
      <c r="D3028" s="155">
        <f ca="1">OFFSET('IWP10'!Std11dot1CommonAreaCalculations, 4, 7, 1, 1)</f>
        <v>0</v>
      </c>
      <c r="E3028" s="185">
        <f ca="1">IF(OFFSET('IWP10'!Std11dot1CommonAreaCalculations, 4, 9, 1, 1) = "", MINVALDBL, OFFSET('IWP10'!Std11dot1CommonAreaCalculations, 4, 9, 1, 1))</f>
        <v>-99999.99</v>
      </c>
    </row>
    <row r="3029" spans="1:5">
      <c r="A3029" s="206" t="s">
        <v>1314</v>
      </c>
      <c r="B3029" s="151" t="str">
        <f ca="1">IF(OFFSET('IWP11'!Std11dot1CommonAreaCalculations, 0, 0, 1, 1) = 0, "", OFFSET('IWP11'!Std11dot1CommonAreaCalculations, 0, 0, 1, 1))</f>
        <v/>
      </c>
      <c r="C3029" s="155">
        <f ca="1">OFFSET('IWP11'!Std11dot1CommonAreaCalculations, 0, 5, 1, 1)</f>
        <v>0</v>
      </c>
      <c r="D3029" s="155">
        <f ca="1">OFFSET('IWP11'!Std11dot1CommonAreaCalculations, 0, 7, 1, 1)</f>
        <v>0</v>
      </c>
      <c r="E3029" s="185">
        <f ca="1">IF(OFFSET('IWP11'!Std11dot1CommonAreaCalculations, 0, 9, 1, 1) = "", MINVALDBL, OFFSET('IWP11'!Std11dot1CommonAreaCalculations, 0, 9, 1, 1))</f>
        <v>-99999.99</v>
      </c>
    </row>
    <row r="3030" spans="1:5">
      <c r="A3030" s="206" t="s">
        <v>1314</v>
      </c>
      <c r="B3030" s="151" t="str">
        <f ca="1">IF(OFFSET('IWP11'!Std11dot1CommonAreaCalculations, 1, 0, 1, 1) = 0, "", OFFSET('IWP11'!Std11dot1CommonAreaCalculations, 1, 0, 1, 1))</f>
        <v/>
      </c>
      <c r="C3030" s="155">
        <f ca="1">OFFSET('IWP11'!Std11dot1CommonAreaCalculations, 1, 5, 1, 1)</f>
        <v>0</v>
      </c>
      <c r="D3030" s="155">
        <f ca="1">OFFSET('IWP11'!Std11dot1CommonAreaCalculations, 1, 7, 1, 1)</f>
        <v>0</v>
      </c>
      <c r="E3030" s="185">
        <f ca="1">IF(OFFSET('IWP11'!Std11dot1CommonAreaCalculations, 1, 9, 1, 1) = "", MINVALDBL, OFFSET('IWP11'!Std11dot1CommonAreaCalculations, 1, 9, 1, 1))</f>
        <v>-99999.99</v>
      </c>
    </row>
    <row r="3031" spans="1:5">
      <c r="A3031" s="206" t="s">
        <v>1314</v>
      </c>
      <c r="B3031" s="151" t="str">
        <f ca="1">IF(OFFSET('IWP11'!Std11dot1CommonAreaCalculations, 2, 0, 1, 1) = 0, "", OFFSET('IWP11'!Std11dot1CommonAreaCalculations, 2, 0, 1, 1))</f>
        <v/>
      </c>
      <c r="C3031" s="155">
        <f ca="1">OFFSET('IWP11'!Std11dot1CommonAreaCalculations, 2, 5, 1, 1)</f>
        <v>0</v>
      </c>
      <c r="D3031" s="155">
        <f ca="1">OFFSET('IWP11'!Std11dot1CommonAreaCalculations, 2, 7, 1, 1)</f>
        <v>0</v>
      </c>
      <c r="E3031" s="185">
        <f ca="1">IF(OFFSET('IWP11'!Std11dot1CommonAreaCalculations, 2, 9, 1, 1) = "", MINVALDBL, OFFSET('IWP11'!Std11dot1CommonAreaCalculations, 2, 9, 1, 1))</f>
        <v>-99999.99</v>
      </c>
    </row>
    <row r="3032" spans="1:5">
      <c r="A3032" s="206" t="s">
        <v>1314</v>
      </c>
      <c r="B3032" s="151" t="str">
        <f ca="1">IF(OFFSET('IWP11'!Std11dot1CommonAreaCalculations, 3, 0, 1, 1) = 0, "", OFFSET('IWP11'!Std11dot1CommonAreaCalculations, 3, 0, 1, 1))</f>
        <v/>
      </c>
      <c r="C3032" s="155">
        <f ca="1">OFFSET('IWP11'!Std11dot1CommonAreaCalculations, 3, 5, 1, 1)</f>
        <v>0</v>
      </c>
      <c r="D3032" s="155">
        <f ca="1">OFFSET('IWP11'!Std11dot1CommonAreaCalculations, 3, 7, 1, 1)</f>
        <v>0</v>
      </c>
      <c r="E3032" s="185">
        <f ca="1">IF(OFFSET('IWP11'!Std11dot1CommonAreaCalculations, 3, 9, 1, 1) = "", MINVALDBL, OFFSET('IWP11'!Std11dot1CommonAreaCalculations, 3, 9, 1, 1))</f>
        <v>-99999.99</v>
      </c>
    </row>
    <row r="3033" spans="1:5">
      <c r="A3033" s="206" t="s">
        <v>1314</v>
      </c>
      <c r="B3033" s="151" t="str">
        <f ca="1">IF(OFFSET('IWP11'!Std11dot1CommonAreaCalculations, 4, 0, 1, 1) = 0, "", OFFSET('IWP11'!Std11dot1CommonAreaCalculations, 4, 0, 1, 1))</f>
        <v/>
      </c>
      <c r="C3033" s="155">
        <f ca="1">OFFSET('IWP11'!Std11dot1CommonAreaCalculations, 4, 5, 1, 1)</f>
        <v>0</v>
      </c>
      <c r="D3033" s="155">
        <f ca="1">OFFSET('IWP11'!Std11dot1CommonAreaCalculations, 4, 7, 1, 1)</f>
        <v>0</v>
      </c>
      <c r="E3033" s="185">
        <f ca="1">IF(OFFSET('IWP11'!Std11dot1CommonAreaCalculations, 4, 9, 1, 1) = "", MINVALDBL, OFFSET('IWP11'!Std11dot1CommonAreaCalculations, 4, 9, 1, 1))</f>
        <v>-99999.99</v>
      </c>
    </row>
    <row r="3034" spans="1:5">
      <c r="A3034" s="206" t="s">
        <v>1315</v>
      </c>
      <c r="B3034" s="151" t="str">
        <f ca="1">IF(OFFSET('IWP12'!Std11dot1CommonAreaCalculations, 0, 0, 1, 1) = 0, "", OFFSET('IWP12'!Std11dot1CommonAreaCalculations, 0, 0, 1, 1))</f>
        <v/>
      </c>
      <c r="C3034" s="155">
        <f ca="1">OFFSET('IWP12'!Std11dot1CommonAreaCalculations, 0, 5, 1, 1)</f>
        <v>0</v>
      </c>
      <c r="D3034" s="155">
        <f ca="1">OFFSET('IWP12'!Std11dot1CommonAreaCalculations, 0, 7, 1, 1)</f>
        <v>0</v>
      </c>
      <c r="E3034" s="185">
        <f ca="1">IF(OFFSET('IWP12'!Std11dot1CommonAreaCalculations, 0, 9, 1, 1) = "", MINVALDBL, OFFSET('IWP12'!Std11dot1CommonAreaCalculations, 0, 9, 1, 1))</f>
        <v>-99999.99</v>
      </c>
    </row>
    <row r="3035" spans="1:5">
      <c r="A3035" s="206" t="s">
        <v>1315</v>
      </c>
      <c r="B3035" s="151" t="str">
        <f ca="1">IF(OFFSET('IWP12'!Std11dot1CommonAreaCalculations, 1, 0, 1, 1) = 0, "", OFFSET('IWP12'!Std11dot1CommonAreaCalculations, 1, 0, 1, 1))</f>
        <v/>
      </c>
      <c r="C3035" s="155">
        <f ca="1">OFFSET('IWP12'!Std11dot1CommonAreaCalculations, 1, 5, 1, 1)</f>
        <v>0</v>
      </c>
      <c r="D3035" s="155">
        <f ca="1">OFFSET('IWP12'!Std11dot1CommonAreaCalculations, 1, 7, 1, 1)</f>
        <v>0</v>
      </c>
      <c r="E3035" s="185">
        <f ca="1">IF(OFFSET('IWP12'!Std11dot1CommonAreaCalculations, 1, 9, 1, 1) = "", MINVALDBL, OFFSET('IWP12'!Std11dot1CommonAreaCalculations, 1, 9, 1, 1))</f>
        <v>-99999.99</v>
      </c>
    </row>
    <row r="3036" spans="1:5">
      <c r="A3036" s="206" t="s">
        <v>1315</v>
      </c>
      <c r="B3036" s="151" t="str">
        <f ca="1">IF(OFFSET('IWP12'!Std11dot1CommonAreaCalculations, 2, 0, 1, 1) = 0, "", OFFSET('IWP12'!Std11dot1CommonAreaCalculations, 2, 0, 1, 1))</f>
        <v/>
      </c>
      <c r="C3036" s="155">
        <f ca="1">OFFSET('IWP12'!Std11dot1CommonAreaCalculations, 2, 5, 1, 1)</f>
        <v>0</v>
      </c>
      <c r="D3036" s="155">
        <f ca="1">OFFSET('IWP12'!Std11dot1CommonAreaCalculations, 2, 7, 1, 1)</f>
        <v>0</v>
      </c>
      <c r="E3036" s="185">
        <f ca="1">IF(OFFSET('IWP12'!Std11dot1CommonAreaCalculations, 2, 9, 1, 1) = "", MINVALDBL, OFFSET('IWP12'!Std11dot1CommonAreaCalculations, 2, 9, 1, 1))</f>
        <v>-99999.99</v>
      </c>
    </row>
    <row r="3037" spans="1:5">
      <c r="A3037" s="206" t="s">
        <v>1315</v>
      </c>
      <c r="B3037" s="151" t="str">
        <f ca="1">IF(OFFSET('IWP12'!Std11dot1CommonAreaCalculations, 3, 0, 1, 1) = 0, "", OFFSET('IWP12'!Std11dot1CommonAreaCalculations, 3, 0, 1, 1))</f>
        <v/>
      </c>
      <c r="C3037" s="155">
        <f ca="1">OFFSET('IWP12'!Std11dot1CommonAreaCalculations, 3, 5, 1, 1)</f>
        <v>0</v>
      </c>
      <c r="D3037" s="155">
        <f ca="1">OFFSET('IWP12'!Std11dot1CommonAreaCalculations, 3, 7, 1, 1)</f>
        <v>0</v>
      </c>
      <c r="E3037" s="185">
        <f ca="1">IF(OFFSET('IWP12'!Std11dot1CommonAreaCalculations, 3, 9, 1, 1) = "", MINVALDBL, OFFSET('IWP12'!Std11dot1CommonAreaCalculations, 3, 9, 1, 1))</f>
        <v>-99999.99</v>
      </c>
    </row>
    <row r="3038" spans="1:5">
      <c r="A3038" s="206" t="s">
        <v>1315</v>
      </c>
      <c r="B3038" s="151" t="str">
        <f ca="1">IF(OFFSET('IWP12'!Std11dot1CommonAreaCalculations, 4, 0, 1, 1) = 0, "", OFFSET('IWP12'!Std11dot1CommonAreaCalculations, 4, 0, 1, 1))</f>
        <v/>
      </c>
      <c r="C3038" s="155">
        <f ca="1">OFFSET('IWP12'!Std11dot1CommonAreaCalculations, 4, 5, 1, 1)</f>
        <v>0</v>
      </c>
      <c r="D3038" s="155">
        <f ca="1">OFFSET('IWP12'!Std11dot1CommonAreaCalculations, 4, 7, 1, 1)</f>
        <v>0</v>
      </c>
      <c r="E3038" s="185">
        <f ca="1">IF(OFFSET('IWP12'!Std11dot1CommonAreaCalculations, 4, 9, 1, 1) = "", MINVALDBL, OFFSET('IWP12'!Std11dot1CommonAreaCalculations, 4, 9, 1, 1))</f>
        <v>-99999.99</v>
      </c>
    </row>
    <row r="3039" spans="1:5">
      <c r="A3039" s="206" t="s">
        <v>1316</v>
      </c>
      <c r="B3039" s="151" t="str">
        <f ca="1">IF(OFFSET('IWP13'!Std11dot1CommonAreaCalculations, 0, 0, 1, 1) = 0, "", OFFSET('IWP13'!Std11dot1CommonAreaCalculations, 0, 0, 1, 1))</f>
        <v/>
      </c>
      <c r="C3039" s="155">
        <f ca="1">OFFSET('IWP13'!Std11dot1CommonAreaCalculations, 0, 5, 1, 1)</f>
        <v>0</v>
      </c>
      <c r="D3039" s="155">
        <f ca="1">OFFSET('IWP13'!Std11dot1CommonAreaCalculations, 0, 7, 1, 1)</f>
        <v>0</v>
      </c>
      <c r="E3039" s="185">
        <f ca="1">IF(OFFSET('IWP13'!Std11dot1CommonAreaCalculations, 0, 9, 1, 1) = "", MINVALDBL, OFFSET('IWP13'!Std11dot1CommonAreaCalculations, 0, 9, 1, 1))</f>
        <v>-99999.99</v>
      </c>
    </row>
    <row r="3040" spans="1:5">
      <c r="A3040" s="206" t="s">
        <v>1316</v>
      </c>
      <c r="B3040" s="151" t="str">
        <f ca="1">IF(OFFSET('IWP13'!Std11dot1CommonAreaCalculations, 1, 0, 1, 1) = 0, "", OFFSET('IWP13'!Std11dot1CommonAreaCalculations, 1, 0, 1, 1))</f>
        <v/>
      </c>
      <c r="C3040" s="155">
        <f ca="1">OFFSET('IWP13'!Std11dot1CommonAreaCalculations, 1, 5, 1, 1)</f>
        <v>0</v>
      </c>
      <c r="D3040" s="155">
        <f ca="1">OFFSET('IWP13'!Std11dot1CommonAreaCalculations, 1, 7, 1, 1)</f>
        <v>0</v>
      </c>
      <c r="E3040" s="185">
        <f ca="1">IF(OFFSET('IWP13'!Std11dot1CommonAreaCalculations, 1, 9, 1, 1) = "", MINVALDBL, OFFSET('IWP13'!Std11dot1CommonAreaCalculations, 1, 9, 1, 1))</f>
        <v>-99999.99</v>
      </c>
    </row>
    <row r="3041" spans="1:5">
      <c r="A3041" s="206" t="s">
        <v>1316</v>
      </c>
      <c r="B3041" s="151" t="str">
        <f ca="1">IF(OFFSET('IWP13'!Std11dot1CommonAreaCalculations, 2, 0, 1, 1) = 0, "", OFFSET('IWP13'!Std11dot1CommonAreaCalculations, 2, 0, 1, 1))</f>
        <v/>
      </c>
      <c r="C3041" s="155">
        <f ca="1">OFFSET('IWP13'!Std11dot1CommonAreaCalculations, 2, 5, 1, 1)</f>
        <v>0</v>
      </c>
      <c r="D3041" s="155">
        <f ca="1">OFFSET('IWP13'!Std11dot1CommonAreaCalculations, 2, 7, 1, 1)</f>
        <v>0</v>
      </c>
      <c r="E3041" s="185">
        <f ca="1">IF(OFFSET('IWP13'!Std11dot1CommonAreaCalculations, 2, 9, 1, 1) = "", MINVALDBL, OFFSET('IWP13'!Std11dot1CommonAreaCalculations, 2, 9, 1, 1))</f>
        <v>-99999.99</v>
      </c>
    </row>
    <row r="3042" spans="1:5">
      <c r="A3042" s="206" t="s">
        <v>1316</v>
      </c>
      <c r="B3042" s="151" t="str">
        <f ca="1">IF(OFFSET('IWP13'!Std11dot1CommonAreaCalculations, 3, 0, 1, 1) = 0, "", OFFSET('IWP13'!Std11dot1CommonAreaCalculations, 3, 0, 1, 1))</f>
        <v/>
      </c>
      <c r="C3042" s="155">
        <f ca="1">OFFSET('IWP13'!Std11dot1CommonAreaCalculations, 3, 5, 1, 1)</f>
        <v>0</v>
      </c>
      <c r="D3042" s="155">
        <f ca="1">OFFSET('IWP13'!Std11dot1CommonAreaCalculations, 3, 7, 1, 1)</f>
        <v>0</v>
      </c>
      <c r="E3042" s="185">
        <f ca="1">IF(OFFSET('IWP13'!Std11dot1CommonAreaCalculations, 3, 9, 1, 1) = "", MINVALDBL, OFFSET('IWP13'!Std11dot1CommonAreaCalculations, 3, 9, 1, 1))</f>
        <v>-99999.99</v>
      </c>
    </row>
    <row r="3043" spans="1:5">
      <c r="A3043" s="206" t="s">
        <v>1316</v>
      </c>
      <c r="B3043" s="151" t="str">
        <f ca="1">IF(OFFSET('IWP13'!Std11dot1CommonAreaCalculations, 4, 0, 1, 1) = 0, "", OFFSET('IWP13'!Std11dot1CommonAreaCalculations, 4, 0, 1, 1))</f>
        <v/>
      </c>
      <c r="C3043" s="155">
        <f ca="1">OFFSET('IWP13'!Std11dot1CommonAreaCalculations, 4, 5, 1, 1)</f>
        <v>0</v>
      </c>
      <c r="D3043" s="155">
        <f ca="1">OFFSET('IWP13'!Std11dot1CommonAreaCalculations, 4, 7, 1, 1)</f>
        <v>0</v>
      </c>
      <c r="E3043" s="185">
        <f ca="1">IF(OFFSET('IWP13'!Std11dot1CommonAreaCalculations, 4, 9, 1, 1) = "", MINVALDBL, OFFSET('IWP13'!Std11dot1CommonAreaCalculations, 4, 9, 1, 1))</f>
        <v>-99999.99</v>
      </c>
    </row>
    <row r="3044" spans="1:5">
      <c r="A3044" s="206" t="s">
        <v>1317</v>
      </c>
      <c r="B3044" s="151" t="str">
        <f ca="1">IF(OFFSET('IWP14'!Std11dot1CommonAreaCalculations, 0, 0, 1, 1) = 0, "", OFFSET('IWP14'!Std11dot1CommonAreaCalculations, 0, 0, 1, 1))</f>
        <v/>
      </c>
      <c r="C3044" s="155">
        <f ca="1">OFFSET('IWP14'!Std11dot1CommonAreaCalculations, 0, 5, 1, 1)</f>
        <v>0</v>
      </c>
      <c r="D3044" s="155">
        <f ca="1">OFFSET('IWP14'!Std11dot1CommonAreaCalculations, 0, 7, 1, 1)</f>
        <v>0</v>
      </c>
      <c r="E3044" s="185">
        <f ca="1">IF(OFFSET('IWP14'!Std11dot1CommonAreaCalculations, 0, 9, 1, 1) = "", MINVALDBL, OFFSET('IWP14'!Std11dot1CommonAreaCalculations, 0, 9, 1, 1))</f>
        <v>-99999.99</v>
      </c>
    </row>
    <row r="3045" spans="1:5">
      <c r="A3045" s="206" t="s">
        <v>1317</v>
      </c>
      <c r="B3045" s="151" t="str">
        <f ca="1">IF(OFFSET('IWP14'!Std11dot1CommonAreaCalculations, 1, 0, 1, 1) = 0, "", OFFSET('IWP14'!Std11dot1CommonAreaCalculations, 1, 0, 1, 1))</f>
        <v/>
      </c>
      <c r="C3045" s="155">
        <f ca="1">OFFSET('IWP14'!Std11dot1CommonAreaCalculations, 1, 5, 1, 1)</f>
        <v>0</v>
      </c>
      <c r="D3045" s="155">
        <f ca="1">OFFSET('IWP14'!Std11dot1CommonAreaCalculations, 1, 7, 1, 1)</f>
        <v>0</v>
      </c>
      <c r="E3045" s="185">
        <f ca="1">IF(OFFSET('IWP14'!Std11dot1CommonAreaCalculations, 1, 9, 1, 1) = "", MINVALDBL, OFFSET('IWP14'!Std11dot1CommonAreaCalculations, 1, 9, 1, 1))</f>
        <v>-99999.99</v>
      </c>
    </row>
    <row r="3046" spans="1:5">
      <c r="A3046" s="206" t="s">
        <v>1317</v>
      </c>
      <c r="B3046" s="151" t="str">
        <f ca="1">IF(OFFSET('IWP14'!Std11dot1CommonAreaCalculations, 2, 0, 1, 1) = 0, "", OFFSET('IWP14'!Std11dot1CommonAreaCalculations, 2, 0, 1, 1))</f>
        <v/>
      </c>
      <c r="C3046" s="155">
        <f ca="1">OFFSET('IWP14'!Std11dot1CommonAreaCalculations, 2, 5, 1, 1)</f>
        <v>0</v>
      </c>
      <c r="D3046" s="155">
        <f ca="1">OFFSET('IWP14'!Std11dot1CommonAreaCalculations, 2, 7, 1, 1)</f>
        <v>0</v>
      </c>
      <c r="E3046" s="185">
        <f ca="1">IF(OFFSET('IWP14'!Std11dot1CommonAreaCalculations, 2, 9, 1, 1) = "", MINVALDBL, OFFSET('IWP14'!Std11dot1CommonAreaCalculations, 2, 9, 1, 1))</f>
        <v>-99999.99</v>
      </c>
    </row>
    <row r="3047" spans="1:5">
      <c r="A3047" s="206" t="s">
        <v>1317</v>
      </c>
      <c r="B3047" s="151" t="str">
        <f ca="1">IF(OFFSET('IWP14'!Std11dot1CommonAreaCalculations, 3, 0, 1, 1) = 0, "", OFFSET('IWP14'!Std11dot1CommonAreaCalculations, 3, 0, 1, 1))</f>
        <v/>
      </c>
      <c r="C3047" s="155">
        <f ca="1">OFFSET('IWP14'!Std11dot1CommonAreaCalculations, 3, 5, 1, 1)</f>
        <v>0</v>
      </c>
      <c r="D3047" s="155">
        <f ca="1">OFFSET('IWP14'!Std11dot1CommonAreaCalculations, 3, 7, 1, 1)</f>
        <v>0</v>
      </c>
      <c r="E3047" s="185">
        <f ca="1">IF(OFFSET('IWP14'!Std11dot1CommonAreaCalculations, 3, 9, 1, 1) = "", MINVALDBL, OFFSET('IWP14'!Std11dot1CommonAreaCalculations, 3, 9, 1, 1))</f>
        <v>-99999.99</v>
      </c>
    </row>
    <row r="3048" spans="1:5">
      <c r="A3048" s="206" t="s">
        <v>1317</v>
      </c>
      <c r="B3048" s="151" t="str">
        <f ca="1">IF(OFFSET('IWP14'!Std11dot1CommonAreaCalculations, 4, 0, 1, 1) = 0, "", OFFSET('IWP14'!Std11dot1CommonAreaCalculations, 4, 0, 1, 1))</f>
        <v/>
      </c>
      <c r="C3048" s="155">
        <f ca="1">OFFSET('IWP14'!Std11dot1CommonAreaCalculations, 4, 5, 1, 1)</f>
        <v>0</v>
      </c>
      <c r="D3048" s="155">
        <f ca="1">OFFSET('IWP14'!Std11dot1CommonAreaCalculations, 4, 7, 1, 1)</f>
        <v>0</v>
      </c>
      <c r="E3048" s="185">
        <f ca="1">IF(OFFSET('IWP14'!Std11dot1CommonAreaCalculations, 4, 9, 1, 1) = "", MINVALDBL, OFFSET('IWP14'!Std11dot1CommonAreaCalculations, 4, 9, 1, 1))</f>
        <v>-99999.99</v>
      </c>
    </row>
    <row r="3049" spans="1:5">
      <c r="A3049" s="206" t="s">
        <v>1318</v>
      </c>
      <c r="B3049" s="151" t="str">
        <f ca="1">IF(OFFSET('IWP15'!Std11dot1CommonAreaCalculations, 0, 0, 1, 1) = 0, "", OFFSET('IWP15'!Std11dot1CommonAreaCalculations, 0, 0, 1, 1))</f>
        <v/>
      </c>
      <c r="C3049" s="155">
        <f ca="1">OFFSET('IWP15'!Std11dot1CommonAreaCalculations, 0, 5, 1, 1)</f>
        <v>0</v>
      </c>
      <c r="D3049" s="155">
        <f ca="1">OFFSET('IWP15'!Std11dot1CommonAreaCalculations, 0, 7, 1, 1)</f>
        <v>0</v>
      </c>
      <c r="E3049" s="185">
        <f ca="1">IF(OFFSET('IWP15'!Std11dot1CommonAreaCalculations, 0, 9, 1, 1) = "", MINVALDBL, OFFSET('IWP15'!Std11dot1CommonAreaCalculations, 0, 9, 1, 1))</f>
        <v>-99999.99</v>
      </c>
    </row>
    <row r="3050" spans="1:5">
      <c r="A3050" s="206" t="s">
        <v>1318</v>
      </c>
      <c r="B3050" s="151" t="str">
        <f ca="1">IF(OFFSET('IWP15'!Std11dot1CommonAreaCalculations, 1, 0, 1, 1) = 0, "", OFFSET('IWP15'!Std11dot1CommonAreaCalculations, 1, 0, 1, 1))</f>
        <v/>
      </c>
      <c r="C3050" s="155">
        <f ca="1">OFFSET('IWP15'!Std11dot1CommonAreaCalculations, 1, 5, 1, 1)</f>
        <v>0</v>
      </c>
      <c r="D3050" s="155">
        <f ca="1">OFFSET('IWP15'!Std11dot1CommonAreaCalculations, 1, 7, 1, 1)</f>
        <v>0</v>
      </c>
      <c r="E3050" s="185">
        <f ca="1">IF(OFFSET('IWP15'!Std11dot1CommonAreaCalculations, 1, 9, 1, 1) = "", MINVALDBL, OFFSET('IWP15'!Std11dot1CommonAreaCalculations, 1, 9, 1, 1))</f>
        <v>-99999.99</v>
      </c>
    </row>
    <row r="3051" spans="1:5">
      <c r="A3051" s="206" t="s">
        <v>1318</v>
      </c>
      <c r="B3051" s="151" t="str">
        <f ca="1">IF(OFFSET('IWP15'!Std11dot1CommonAreaCalculations, 2, 0, 1, 1) = 0, "", OFFSET('IWP15'!Std11dot1CommonAreaCalculations, 2, 0, 1, 1))</f>
        <v/>
      </c>
      <c r="C3051" s="155">
        <f ca="1">OFFSET('IWP15'!Std11dot1CommonAreaCalculations, 2, 5, 1, 1)</f>
        <v>0</v>
      </c>
      <c r="D3051" s="155">
        <f ca="1">OFFSET('IWP15'!Std11dot1CommonAreaCalculations, 2, 7, 1, 1)</f>
        <v>0</v>
      </c>
      <c r="E3051" s="185">
        <f ca="1">IF(OFFSET('IWP15'!Std11dot1CommonAreaCalculations, 2, 9, 1, 1) = "", MINVALDBL, OFFSET('IWP15'!Std11dot1CommonAreaCalculations, 2, 9, 1, 1))</f>
        <v>-99999.99</v>
      </c>
    </row>
    <row r="3052" spans="1:5">
      <c r="A3052" s="206" t="s">
        <v>1318</v>
      </c>
      <c r="B3052" s="151" t="str">
        <f ca="1">IF(OFFSET('IWP15'!Std11dot1CommonAreaCalculations, 3, 0, 1, 1) = 0, "", OFFSET('IWP15'!Std11dot1CommonAreaCalculations, 3, 0, 1, 1))</f>
        <v/>
      </c>
      <c r="C3052" s="155">
        <f ca="1">OFFSET('IWP15'!Std11dot1CommonAreaCalculations, 3, 5, 1, 1)</f>
        <v>0</v>
      </c>
      <c r="D3052" s="155">
        <f ca="1">OFFSET('IWP15'!Std11dot1CommonAreaCalculations, 3, 7, 1, 1)</f>
        <v>0</v>
      </c>
      <c r="E3052" s="185">
        <f ca="1">IF(OFFSET('IWP15'!Std11dot1CommonAreaCalculations, 3, 9, 1, 1) = "", MINVALDBL, OFFSET('IWP15'!Std11dot1CommonAreaCalculations, 3, 9, 1, 1))</f>
        <v>-99999.99</v>
      </c>
    </row>
    <row r="3053" spans="1:5">
      <c r="A3053" s="206" t="s">
        <v>1318</v>
      </c>
      <c r="B3053" s="151" t="str">
        <f ca="1">IF(OFFSET('IWP15'!Std11dot1CommonAreaCalculations, 4, 0, 1, 1) = 0, "", OFFSET('IWP15'!Std11dot1CommonAreaCalculations, 4, 0, 1, 1))</f>
        <v/>
      </c>
      <c r="C3053" s="155">
        <f ca="1">OFFSET('IWP15'!Std11dot1CommonAreaCalculations, 4, 5, 1, 1)</f>
        <v>0</v>
      </c>
      <c r="D3053" s="155">
        <f ca="1">OFFSET('IWP15'!Std11dot1CommonAreaCalculations, 4, 7, 1, 1)</f>
        <v>0</v>
      </c>
      <c r="E3053" s="185">
        <f ca="1">IF(OFFSET('IWP15'!Std11dot1CommonAreaCalculations, 4, 9, 1, 1) = "", MINVALDBL, OFFSET('IWP15'!Std11dot1CommonAreaCalculations, 4, 9, 1, 1))</f>
        <v>-99999.99</v>
      </c>
    </row>
    <row r="3054" spans="1:5">
      <c r="A3054" s="206" t="s">
        <v>1319</v>
      </c>
      <c r="B3054" s="151" t="str">
        <f ca="1">IF(OFFSET('IWP16'!Std11dot1CommonAreaCalculations, 0, 0, 1, 1) = 0, "", OFFSET('IWP16'!Std11dot1CommonAreaCalculations, 0, 0, 1, 1))</f>
        <v/>
      </c>
      <c r="C3054" s="155">
        <f ca="1">OFFSET('IWP16'!Std11dot1CommonAreaCalculations, 0, 5, 1, 1)</f>
        <v>0</v>
      </c>
      <c r="D3054" s="155">
        <f ca="1">OFFSET('IWP16'!Std11dot1CommonAreaCalculations, 0, 7, 1, 1)</f>
        <v>0</v>
      </c>
      <c r="E3054" s="185">
        <f ca="1">IF(OFFSET('IWP16'!Std11dot1CommonAreaCalculations, 0, 9, 1, 1) = "", MINVALDBL, OFFSET('IWP16'!Std11dot1CommonAreaCalculations, 0, 9, 1, 1))</f>
        <v>-99999.99</v>
      </c>
    </row>
    <row r="3055" spans="1:5">
      <c r="A3055" s="206" t="s">
        <v>1319</v>
      </c>
      <c r="B3055" s="151" t="str">
        <f ca="1">IF(OFFSET('IWP16'!Std11dot1CommonAreaCalculations, 1, 0, 1, 1) = 0, "", OFFSET('IWP16'!Std11dot1CommonAreaCalculations, 1, 0, 1, 1))</f>
        <v/>
      </c>
      <c r="C3055" s="155">
        <f ca="1">OFFSET('IWP16'!Std11dot1CommonAreaCalculations, 1, 5, 1, 1)</f>
        <v>0</v>
      </c>
      <c r="D3055" s="155">
        <f ca="1">OFFSET('IWP16'!Std11dot1CommonAreaCalculations, 1, 7, 1, 1)</f>
        <v>0</v>
      </c>
      <c r="E3055" s="185">
        <f ca="1">IF(OFFSET('IWP16'!Std11dot1CommonAreaCalculations, 1, 9, 1, 1) = "", MINVALDBL, OFFSET('IWP16'!Std11dot1CommonAreaCalculations, 1, 9, 1, 1))</f>
        <v>-99999.99</v>
      </c>
    </row>
    <row r="3056" spans="1:5">
      <c r="A3056" s="206" t="s">
        <v>1319</v>
      </c>
      <c r="B3056" s="151" t="str">
        <f ca="1">IF(OFFSET('IWP16'!Std11dot1CommonAreaCalculations, 2, 0, 1, 1) = 0, "", OFFSET('IWP16'!Std11dot1CommonAreaCalculations, 2, 0, 1, 1))</f>
        <v/>
      </c>
      <c r="C3056" s="155">
        <f ca="1">OFFSET('IWP16'!Std11dot1CommonAreaCalculations, 2, 5, 1, 1)</f>
        <v>0</v>
      </c>
      <c r="D3056" s="155">
        <f ca="1">OFFSET('IWP16'!Std11dot1CommonAreaCalculations, 2, 7, 1, 1)</f>
        <v>0</v>
      </c>
      <c r="E3056" s="185">
        <f ca="1">IF(OFFSET('IWP16'!Std11dot1CommonAreaCalculations, 2, 9, 1, 1) = "", MINVALDBL, OFFSET('IWP16'!Std11dot1CommonAreaCalculations, 2, 9, 1, 1))</f>
        <v>-99999.99</v>
      </c>
    </row>
    <row r="3057" spans="1:5">
      <c r="A3057" s="206" t="s">
        <v>1319</v>
      </c>
      <c r="B3057" s="151" t="str">
        <f ca="1">IF(OFFSET('IWP16'!Std11dot1CommonAreaCalculations, 3, 0, 1, 1) = 0, "", OFFSET('IWP16'!Std11dot1CommonAreaCalculations, 3, 0, 1, 1))</f>
        <v/>
      </c>
      <c r="C3057" s="155">
        <f ca="1">OFFSET('IWP16'!Std11dot1CommonAreaCalculations, 3, 5, 1, 1)</f>
        <v>0</v>
      </c>
      <c r="D3057" s="155">
        <f ca="1">OFFSET('IWP16'!Std11dot1CommonAreaCalculations, 3, 7, 1, 1)</f>
        <v>0</v>
      </c>
      <c r="E3057" s="185">
        <f ca="1">IF(OFFSET('IWP16'!Std11dot1CommonAreaCalculations, 3, 9, 1, 1) = "", MINVALDBL, OFFSET('IWP16'!Std11dot1CommonAreaCalculations, 3, 9, 1, 1))</f>
        <v>-99999.99</v>
      </c>
    </row>
    <row r="3058" spans="1:5">
      <c r="A3058" s="206" t="s">
        <v>1319</v>
      </c>
      <c r="B3058" s="151" t="str">
        <f ca="1">IF(OFFSET('IWP16'!Std11dot1CommonAreaCalculations, 4, 0, 1, 1) = 0, "", OFFSET('IWP16'!Std11dot1CommonAreaCalculations, 4, 0, 1, 1))</f>
        <v/>
      </c>
      <c r="C3058" s="155">
        <f ca="1">OFFSET('IWP16'!Std11dot1CommonAreaCalculations, 4, 5, 1, 1)</f>
        <v>0</v>
      </c>
      <c r="D3058" s="155">
        <f ca="1">OFFSET('IWP16'!Std11dot1CommonAreaCalculations, 4, 7, 1, 1)</f>
        <v>0</v>
      </c>
      <c r="E3058" s="185">
        <f ca="1">IF(OFFSET('IWP16'!Std11dot1CommonAreaCalculations, 4, 9, 1, 1) = "", MINVALDBL, OFFSET('IWP16'!Std11dot1CommonAreaCalculations, 4, 9, 1, 1))</f>
        <v>-99999.99</v>
      </c>
    </row>
    <row r="3059" spans="1:5">
      <c r="A3059" s="206" t="s">
        <v>1320</v>
      </c>
      <c r="B3059" s="151" t="str">
        <f ca="1">IF(OFFSET('IWP17'!Std11dot1CommonAreaCalculations, 0, 0, 1, 1) = 0, "", OFFSET('IWP17'!Std11dot1CommonAreaCalculations, 0, 0, 1, 1))</f>
        <v/>
      </c>
      <c r="C3059" s="155">
        <f ca="1">OFFSET('IWP17'!Std11dot1CommonAreaCalculations, 0, 5, 1, 1)</f>
        <v>0</v>
      </c>
      <c r="D3059" s="155">
        <f ca="1">OFFSET('IWP17'!Std11dot1CommonAreaCalculations, 0, 7, 1, 1)</f>
        <v>0</v>
      </c>
      <c r="E3059" s="185">
        <f ca="1">IF(OFFSET('IWP17'!Std11dot1CommonAreaCalculations, 0, 9, 1, 1) = "", MINVALDBL, OFFSET('IWP17'!Std11dot1CommonAreaCalculations, 0, 9, 1, 1))</f>
        <v>-99999.99</v>
      </c>
    </row>
    <row r="3060" spans="1:5">
      <c r="A3060" s="206" t="s">
        <v>1320</v>
      </c>
      <c r="B3060" s="151" t="str">
        <f ca="1">IF(OFFSET('IWP17'!Std11dot1CommonAreaCalculations, 1, 0, 1, 1) = 0, "", OFFSET('IWP17'!Std11dot1CommonAreaCalculations, 1, 0, 1, 1))</f>
        <v/>
      </c>
      <c r="C3060" s="155">
        <f ca="1">OFFSET('IWP17'!Std11dot1CommonAreaCalculations, 1, 5, 1, 1)</f>
        <v>0</v>
      </c>
      <c r="D3060" s="155">
        <f ca="1">OFFSET('IWP17'!Std11dot1CommonAreaCalculations, 1, 7, 1, 1)</f>
        <v>0</v>
      </c>
      <c r="E3060" s="185">
        <f ca="1">IF(OFFSET('IWP17'!Std11dot1CommonAreaCalculations, 1, 9, 1, 1) = "", MINVALDBL, OFFSET('IWP17'!Std11dot1CommonAreaCalculations, 1, 9, 1, 1))</f>
        <v>-99999.99</v>
      </c>
    </row>
    <row r="3061" spans="1:5">
      <c r="A3061" s="206" t="s">
        <v>1320</v>
      </c>
      <c r="B3061" s="151" t="str">
        <f ca="1">IF(OFFSET('IWP17'!Std11dot1CommonAreaCalculations, 2, 0, 1, 1) = 0, "", OFFSET('IWP17'!Std11dot1CommonAreaCalculations, 2, 0, 1, 1))</f>
        <v/>
      </c>
      <c r="C3061" s="155">
        <f ca="1">OFFSET('IWP17'!Std11dot1CommonAreaCalculations, 2, 5, 1, 1)</f>
        <v>0</v>
      </c>
      <c r="D3061" s="155">
        <f ca="1">OFFSET('IWP17'!Std11dot1CommonAreaCalculations, 2, 7, 1, 1)</f>
        <v>0</v>
      </c>
      <c r="E3061" s="185">
        <f ca="1">IF(OFFSET('IWP17'!Std11dot1CommonAreaCalculations, 2, 9, 1, 1) = "", MINVALDBL, OFFSET('IWP17'!Std11dot1CommonAreaCalculations, 2, 9, 1, 1))</f>
        <v>-99999.99</v>
      </c>
    </row>
    <row r="3062" spans="1:5">
      <c r="A3062" s="206" t="s">
        <v>1320</v>
      </c>
      <c r="B3062" s="151" t="str">
        <f ca="1">IF(OFFSET('IWP17'!Std11dot1CommonAreaCalculations, 3, 0, 1, 1) = 0, "", OFFSET('IWP17'!Std11dot1CommonAreaCalculations, 3, 0, 1, 1))</f>
        <v/>
      </c>
      <c r="C3062" s="155">
        <f ca="1">OFFSET('IWP17'!Std11dot1CommonAreaCalculations, 3, 5, 1, 1)</f>
        <v>0</v>
      </c>
      <c r="D3062" s="155">
        <f ca="1">OFFSET('IWP17'!Std11dot1CommonAreaCalculations, 3, 7, 1, 1)</f>
        <v>0</v>
      </c>
      <c r="E3062" s="185">
        <f ca="1">IF(OFFSET('IWP17'!Std11dot1CommonAreaCalculations, 3, 9, 1, 1) = "", MINVALDBL, OFFSET('IWP17'!Std11dot1CommonAreaCalculations, 3, 9, 1, 1))</f>
        <v>-99999.99</v>
      </c>
    </row>
    <row r="3063" spans="1:5">
      <c r="A3063" s="206" t="s">
        <v>1320</v>
      </c>
      <c r="B3063" s="151" t="str">
        <f ca="1">IF(OFFSET('IWP17'!Std11dot1CommonAreaCalculations, 4, 0, 1, 1) = 0, "", OFFSET('IWP17'!Std11dot1CommonAreaCalculations, 4, 0, 1, 1))</f>
        <v/>
      </c>
      <c r="C3063" s="155">
        <f ca="1">OFFSET('IWP17'!Std11dot1CommonAreaCalculations, 4, 5, 1, 1)</f>
        <v>0</v>
      </c>
      <c r="D3063" s="155">
        <f ca="1">OFFSET('IWP17'!Std11dot1CommonAreaCalculations, 4, 7, 1, 1)</f>
        <v>0</v>
      </c>
      <c r="E3063" s="185">
        <f ca="1">IF(OFFSET('IWP17'!Std11dot1CommonAreaCalculations, 4, 9, 1, 1) = "", MINVALDBL, OFFSET('IWP17'!Std11dot1CommonAreaCalculations, 4, 9, 1, 1))</f>
        <v>-99999.99</v>
      </c>
    </row>
    <row r="3064" spans="1:5">
      <c r="A3064" s="206" t="s">
        <v>1321</v>
      </c>
      <c r="B3064" s="151" t="str">
        <f ca="1">IF(OFFSET('IWP18'!Std11dot1CommonAreaCalculations, 0, 0, 1, 1) = 0, "", OFFSET('IWP18'!Std11dot1CommonAreaCalculations, 0, 0, 1, 1))</f>
        <v/>
      </c>
      <c r="C3064" s="155">
        <f ca="1">OFFSET('IWP18'!Std11dot1CommonAreaCalculations, 0, 5, 1, 1)</f>
        <v>0</v>
      </c>
      <c r="D3064" s="155">
        <f ca="1">OFFSET('IWP18'!Std11dot1CommonAreaCalculations, 0, 7, 1, 1)</f>
        <v>0</v>
      </c>
      <c r="E3064" s="185">
        <f ca="1">IF(OFFSET('IWP18'!Std11dot1CommonAreaCalculations, 0, 9, 1, 1) = "", MINVALDBL, OFFSET('IWP18'!Std11dot1CommonAreaCalculations, 0, 9, 1, 1))</f>
        <v>-99999.99</v>
      </c>
    </row>
    <row r="3065" spans="1:5">
      <c r="A3065" s="206" t="s">
        <v>1321</v>
      </c>
      <c r="B3065" s="151" t="str">
        <f ca="1">IF(OFFSET('IWP18'!Std11dot1CommonAreaCalculations, 1, 0, 1, 1) = 0, "", OFFSET('IWP18'!Std11dot1CommonAreaCalculations, 1, 0, 1, 1))</f>
        <v/>
      </c>
      <c r="C3065" s="155">
        <f ca="1">OFFSET('IWP18'!Std11dot1CommonAreaCalculations, 1, 5, 1, 1)</f>
        <v>0</v>
      </c>
      <c r="D3065" s="155">
        <f ca="1">OFFSET('IWP18'!Std11dot1CommonAreaCalculations, 1, 7, 1, 1)</f>
        <v>0</v>
      </c>
      <c r="E3065" s="185">
        <f ca="1">IF(OFFSET('IWP18'!Std11dot1CommonAreaCalculations, 1, 9, 1, 1) = "", MINVALDBL, OFFSET('IWP18'!Std11dot1CommonAreaCalculations, 1, 9, 1, 1))</f>
        <v>-99999.99</v>
      </c>
    </row>
    <row r="3066" spans="1:5">
      <c r="A3066" s="206" t="s">
        <v>1321</v>
      </c>
      <c r="B3066" s="151" t="str">
        <f ca="1">IF(OFFSET('IWP18'!Std11dot1CommonAreaCalculations, 2, 0, 1, 1) = 0, "", OFFSET('IWP18'!Std11dot1CommonAreaCalculations, 2, 0, 1, 1))</f>
        <v/>
      </c>
      <c r="C3066" s="155">
        <f ca="1">OFFSET('IWP18'!Std11dot1CommonAreaCalculations, 2, 5, 1, 1)</f>
        <v>0</v>
      </c>
      <c r="D3066" s="155">
        <f ca="1">OFFSET('IWP18'!Std11dot1CommonAreaCalculations, 2, 7, 1, 1)</f>
        <v>0</v>
      </c>
      <c r="E3066" s="185">
        <f ca="1">IF(OFFSET('IWP18'!Std11dot1CommonAreaCalculations, 2, 9, 1, 1) = "", MINVALDBL, OFFSET('IWP18'!Std11dot1CommonAreaCalculations, 2, 9, 1, 1))</f>
        <v>-99999.99</v>
      </c>
    </row>
    <row r="3067" spans="1:5">
      <c r="A3067" s="206" t="s">
        <v>1321</v>
      </c>
      <c r="B3067" s="151" t="str">
        <f ca="1">IF(OFFSET('IWP18'!Std11dot1CommonAreaCalculations, 3, 0, 1, 1) = 0, "", OFFSET('IWP18'!Std11dot1CommonAreaCalculations, 3, 0, 1, 1))</f>
        <v/>
      </c>
      <c r="C3067" s="155">
        <f ca="1">OFFSET('IWP18'!Std11dot1CommonAreaCalculations, 3, 5, 1, 1)</f>
        <v>0</v>
      </c>
      <c r="D3067" s="155">
        <f ca="1">OFFSET('IWP18'!Std11dot1CommonAreaCalculations, 3, 7, 1, 1)</f>
        <v>0</v>
      </c>
      <c r="E3067" s="185">
        <f ca="1">IF(OFFSET('IWP18'!Std11dot1CommonAreaCalculations, 3, 9, 1, 1) = "", MINVALDBL, OFFSET('IWP18'!Std11dot1CommonAreaCalculations, 3, 9, 1, 1))</f>
        <v>-99999.99</v>
      </c>
    </row>
    <row r="3068" spans="1:5">
      <c r="A3068" s="206" t="s">
        <v>1321</v>
      </c>
      <c r="B3068" s="151" t="str">
        <f ca="1">IF(OFFSET('IWP18'!Std11dot1CommonAreaCalculations, 4, 0, 1, 1) = 0, "", OFFSET('IWP18'!Std11dot1CommonAreaCalculations, 4, 0, 1, 1))</f>
        <v/>
      </c>
      <c r="C3068" s="155">
        <f ca="1">OFFSET('IWP18'!Std11dot1CommonAreaCalculations, 4, 5, 1, 1)</f>
        <v>0</v>
      </c>
      <c r="D3068" s="155">
        <f ca="1">OFFSET('IWP18'!Std11dot1CommonAreaCalculations, 4, 7, 1, 1)</f>
        <v>0</v>
      </c>
      <c r="E3068" s="185">
        <f ca="1">IF(OFFSET('IWP18'!Std11dot1CommonAreaCalculations, 4, 9, 1, 1) = "", MINVALDBL, OFFSET('IWP18'!Std11dot1CommonAreaCalculations, 4, 9, 1, 1))</f>
        <v>-99999.99</v>
      </c>
    </row>
    <row r="3069" spans="1:5">
      <c r="A3069" s="206" t="s">
        <v>1322</v>
      </c>
      <c r="B3069" s="151" t="str">
        <f ca="1">IF(OFFSET('IWP19'!Std11dot1CommonAreaCalculations, 0, 0, 1, 1) = 0, "", OFFSET('IWP19'!Std11dot1CommonAreaCalculations, 0, 0, 1, 1))</f>
        <v/>
      </c>
      <c r="C3069" s="155">
        <f ca="1">OFFSET('IWP19'!Std11dot1CommonAreaCalculations, 0, 5, 1, 1)</f>
        <v>0</v>
      </c>
      <c r="D3069" s="155">
        <f ca="1">OFFSET('IWP19'!Std11dot1CommonAreaCalculations, 0, 7, 1, 1)</f>
        <v>0</v>
      </c>
      <c r="E3069" s="185">
        <f ca="1">IF(OFFSET('IWP19'!Std11dot1CommonAreaCalculations, 0, 9, 1, 1) = "", MINVALDBL, OFFSET('IWP19'!Std11dot1CommonAreaCalculations, 0, 9, 1, 1))</f>
        <v>-99999.99</v>
      </c>
    </row>
    <row r="3070" spans="1:5">
      <c r="A3070" s="206" t="s">
        <v>1322</v>
      </c>
      <c r="B3070" s="151" t="str">
        <f ca="1">IF(OFFSET('IWP19'!Std11dot1CommonAreaCalculations, 1, 0, 1, 1) = 0, "", OFFSET('IWP19'!Std11dot1CommonAreaCalculations, 1, 0, 1, 1))</f>
        <v/>
      </c>
      <c r="C3070" s="155">
        <f ca="1">OFFSET('IWP19'!Std11dot1CommonAreaCalculations, 1, 5, 1, 1)</f>
        <v>0</v>
      </c>
      <c r="D3070" s="155">
        <f ca="1">OFFSET('IWP19'!Std11dot1CommonAreaCalculations, 1, 7, 1, 1)</f>
        <v>0</v>
      </c>
      <c r="E3070" s="185">
        <f ca="1">IF(OFFSET('IWP19'!Std11dot1CommonAreaCalculations, 1, 9, 1, 1) = "", MINVALDBL, OFFSET('IWP19'!Std11dot1CommonAreaCalculations, 1, 9, 1, 1))</f>
        <v>-99999.99</v>
      </c>
    </row>
    <row r="3071" spans="1:5">
      <c r="A3071" s="206" t="s">
        <v>1322</v>
      </c>
      <c r="B3071" s="151" t="str">
        <f ca="1">IF(OFFSET('IWP19'!Std11dot1CommonAreaCalculations, 2, 0, 1, 1) = 0, "", OFFSET('IWP19'!Std11dot1CommonAreaCalculations, 2, 0, 1, 1))</f>
        <v/>
      </c>
      <c r="C3071" s="155">
        <f ca="1">OFFSET('IWP19'!Std11dot1CommonAreaCalculations, 2, 5, 1, 1)</f>
        <v>0</v>
      </c>
      <c r="D3071" s="155">
        <f ca="1">OFFSET('IWP19'!Std11dot1CommonAreaCalculations, 2, 7, 1, 1)</f>
        <v>0</v>
      </c>
      <c r="E3071" s="185">
        <f ca="1">IF(OFFSET('IWP19'!Std11dot1CommonAreaCalculations, 2, 9, 1, 1) = "", MINVALDBL, OFFSET('IWP19'!Std11dot1CommonAreaCalculations, 2, 9, 1, 1))</f>
        <v>-99999.99</v>
      </c>
    </row>
    <row r="3072" spans="1:5">
      <c r="A3072" s="206" t="s">
        <v>1322</v>
      </c>
      <c r="B3072" s="151" t="str">
        <f ca="1">IF(OFFSET('IWP19'!Std11dot1CommonAreaCalculations, 3, 0, 1, 1) = 0, "", OFFSET('IWP19'!Std11dot1CommonAreaCalculations, 3, 0, 1, 1))</f>
        <v/>
      </c>
      <c r="C3072" s="155">
        <f ca="1">OFFSET('IWP19'!Std11dot1CommonAreaCalculations, 3, 5, 1, 1)</f>
        <v>0</v>
      </c>
      <c r="D3072" s="155">
        <f ca="1">OFFSET('IWP19'!Std11dot1CommonAreaCalculations, 3, 7, 1, 1)</f>
        <v>0</v>
      </c>
      <c r="E3072" s="185">
        <f ca="1">IF(OFFSET('IWP19'!Std11dot1CommonAreaCalculations, 3, 9, 1, 1) = "", MINVALDBL, OFFSET('IWP19'!Std11dot1CommonAreaCalculations, 3, 9, 1, 1))</f>
        <v>-99999.99</v>
      </c>
    </row>
    <row r="3073" spans="1:5">
      <c r="A3073" s="206" t="s">
        <v>1322</v>
      </c>
      <c r="B3073" s="151" t="str">
        <f ca="1">IF(OFFSET('IWP19'!Std11dot1CommonAreaCalculations, 4, 0, 1, 1) = 0, "", OFFSET('IWP19'!Std11dot1CommonAreaCalculations, 4, 0, 1, 1))</f>
        <v/>
      </c>
      <c r="C3073" s="155">
        <f ca="1">OFFSET('IWP19'!Std11dot1CommonAreaCalculations, 4, 5, 1, 1)</f>
        <v>0</v>
      </c>
      <c r="D3073" s="155">
        <f ca="1">OFFSET('IWP19'!Std11dot1CommonAreaCalculations, 4, 7, 1, 1)</f>
        <v>0</v>
      </c>
      <c r="E3073" s="185">
        <f ca="1">IF(OFFSET('IWP19'!Std11dot1CommonAreaCalculations, 4, 9, 1, 1) = "", MINVALDBL, OFFSET('IWP19'!Std11dot1CommonAreaCalculations, 4, 9, 1, 1))</f>
        <v>-99999.99</v>
      </c>
    </row>
    <row r="3074" spans="1:5">
      <c r="A3074" s="206" t="s">
        <v>1323</v>
      </c>
      <c r="B3074" s="151" t="str">
        <f ca="1">IF(OFFSET('IWP20'!Std11dot1CommonAreaCalculations, 0, 0, 1, 1) = 0, "", OFFSET('IWP20'!Std11dot1CommonAreaCalculations, 0, 0, 1, 1))</f>
        <v/>
      </c>
      <c r="C3074" s="155">
        <f ca="1">OFFSET('IWP20'!Std11dot1CommonAreaCalculations, 0, 5, 1, 1)</f>
        <v>0</v>
      </c>
      <c r="D3074" s="155">
        <f ca="1">OFFSET('IWP20'!Std11dot1CommonAreaCalculations, 0, 7, 1, 1)</f>
        <v>0</v>
      </c>
      <c r="E3074" s="185">
        <f ca="1">IF(OFFSET('IWP20'!Std11dot1CommonAreaCalculations, 0, 9, 1, 1) = "", MINVALDBL, OFFSET('IWP20'!Std11dot1CommonAreaCalculations, 0, 9, 1, 1))</f>
        <v>-99999.99</v>
      </c>
    </row>
    <row r="3075" spans="1:5">
      <c r="A3075" s="206" t="s">
        <v>1323</v>
      </c>
      <c r="B3075" s="151" t="str">
        <f ca="1">IF(OFFSET('IWP20'!Std11dot1CommonAreaCalculations, 1, 0, 1, 1) = 0, "", OFFSET('IWP20'!Std11dot1CommonAreaCalculations, 1, 0, 1, 1))</f>
        <v/>
      </c>
      <c r="C3075" s="155">
        <f ca="1">OFFSET('IWP20'!Std11dot1CommonAreaCalculations, 1, 5, 1, 1)</f>
        <v>0</v>
      </c>
      <c r="D3075" s="155">
        <f ca="1">OFFSET('IWP20'!Std11dot1CommonAreaCalculations, 1, 7, 1, 1)</f>
        <v>0</v>
      </c>
      <c r="E3075" s="185">
        <f ca="1">IF(OFFSET('IWP20'!Std11dot1CommonAreaCalculations, 1, 9, 1, 1) = "", MINVALDBL, OFFSET('IWP20'!Std11dot1CommonAreaCalculations, 1, 9, 1, 1))</f>
        <v>-99999.99</v>
      </c>
    </row>
    <row r="3076" spans="1:5">
      <c r="A3076" s="206" t="s">
        <v>1323</v>
      </c>
      <c r="B3076" s="151" t="str">
        <f ca="1">IF(OFFSET('IWP20'!Std11dot1CommonAreaCalculations, 2, 0, 1, 1) = 0, "", OFFSET('IWP20'!Std11dot1CommonAreaCalculations, 2, 0, 1, 1))</f>
        <v/>
      </c>
      <c r="C3076" s="155">
        <f ca="1">OFFSET('IWP20'!Std11dot1CommonAreaCalculations, 2, 5, 1, 1)</f>
        <v>0</v>
      </c>
      <c r="D3076" s="155">
        <f ca="1">OFFSET('IWP20'!Std11dot1CommonAreaCalculations, 2, 7, 1, 1)</f>
        <v>0</v>
      </c>
      <c r="E3076" s="185">
        <f ca="1">IF(OFFSET('IWP20'!Std11dot1CommonAreaCalculations, 2, 9, 1, 1) = "", MINVALDBL, OFFSET('IWP20'!Std11dot1CommonAreaCalculations, 2, 9, 1, 1))</f>
        <v>-99999.99</v>
      </c>
    </row>
    <row r="3077" spans="1:5">
      <c r="A3077" s="206" t="s">
        <v>1323</v>
      </c>
      <c r="B3077" s="151" t="str">
        <f ca="1">IF(OFFSET('IWP20'!Std11dot1CommonAreaCalculations, 3, 0, 1, 1) = 0, "", OFFSET('IWP20'!Std11dot1CommonAreaCalculations, 3, 0, 1, 1))</f>
        <v/>
      </c>
      <c r="C3077" s="155">
        <f ca="1">OFFSET('IWP20'!Std11dot1CommonAreaCalculations, 3, 5, 1, 1)</f>
        <v>0</v>
      </c>
      <c r="D3077" s="155">
        <f ca="1">OFFSET('IWP20'!Std11dot1CommonAreaCalculations, 3, 7, 1, 1)</f>
        <v>0</v>
      </c>
      <c r="E3077" s="185">
        <f ca="1">IF(OFFSET('IWP20'!Std11dot1CommonAreaCalculations, 3, 9, 1, 1) = "", MINVALDBL, OFFSET('IWP20'!Std11dot1CommonAreaCalculations, 3, 9, 1, 1))</f>
        <v>-99999.99</v>
      </c>
    </row>
    <row r="3078" spans="1:5">
      <c r="A3078" s="206" t="s">
        <v>1323</v>
      </c>
      <c r="B3078" s="151" t="str">
        <f ca="1">IF(OFFSET('IWP20'!Std11dot1CommonAreaCalculations, 4, 0, 1, 1) = 0, "", OFFSET('IWP20'!Std11dot1CommonAreaCalculations, 4, 0, 1, 1))</f>
        <v/>
      </c>
      <c r="C3078" s="155">
        <f ca="1">OFFSET('IWP20'!Std11dot1CommonAreaCalculations, 4, 5, 1, 1)</f>
        <v>0</v>
      </c>
      <c r="D3078" s="155">
        <f ca="1">OFFSET('IWP20'!Std11dot1CommonAreaCalculations, 4, 7, 1, 1)</f>
        <v>0</v>
      </c>
      <c r="E3078" s="185">
        <f ca="1">IF(OFFSET('IWP20'!Std11dot1CommonAreaCalculations, 4, 9, 1, 1) = "", MINVALDBL, OFFSET('IWP20'!Std11dot1CommonAreaCalculations, 4, 9, 1, 1))</f>
        <v>-99999.99</v>
      </c>
    </row>
    <row r="3079" spans="1:5">
      <c r="A3079" s="206" t="s">
        <v>1324</v>
      </c>
      <c r="B3079" s="151" t="str">
        <f ca="1">IF(OFFSET('IWP21'!Std11dot1CommonAreaCalculations, 0, 0, 1, 1) = 0, "", OFFSET('IWP21'!Std11dot1CommonAreaCalculations, 0, 0, 1, 1))</f>
        <v/>
      </c>
      <c r="C3079" s="155">
        <f ca="1">OFFSET('IWP21'!Std11dot1CommonAreaCalculations, 0, 5, 1, 1)</f>
        <v>0</v>
      </c>
      <c r="D3079" s="155">
        <f ca="1">OFFSET('IWP21'!Std11dot1CommonAreaCalculations, 0, 7, 1, 1)</f>
        <v>0</v>
      </c>
      <c r="E3079" s="185">
        <f ca="1">IF(OFFSET('IWP21'!Std11dot1CommonAreaCalculations, 0, 9, 1, 1) = "", MINVALDBL, OFFSET('IWP21'!Std11dot1CommonAreaCalculations, 0, 9, 1, 1))</f>
        <v>-99999.99</v>
      </c>
    </row>
    <row r="3080" spans="1:5">
      <c r="A3080" s="206" t="s">
        <v>1324</v>
      </c>
      <c r="B3080" s="151" t="str">
        <f ca="1">IF(OFFSET('IWP21'!Std11dot1CommonAreaCalculations, 1, 0, 1, 1) = 0, "", OFFSET('IWP21'!Std11dot1CommonAreaCalculations, 1, 0, 1, 1))</f>
        <v/>
      </c>
      <c r="C3080" s="155">
        <f ca="1">OFFSET('IWP21'!Std11dot1CommonAreaCalculations, 1, 5, 1, 1)</f>
        <v>0</v>
      </c>
      <c r="D3080" s="155">
        <f ca="1">OFFSET('IWP21'!Std11dot1CommonAreaCalculations, 1, 7, 1, 1)</f>
        <v>0</v>
      </c>
      <c r="E3080" s="185">
        <f ca="1">IF(OFFSET('IWP21'!Std11dot1CommonAreaCalculations, 1, 9, 1, 1) = "", MINVALDBL, OFFSET('IWP21'!Std11dot1CommonAreaCalculations, 1, 9, 1, 1))</f>
        <v>-99999.99</v>
      </c>
    </row>
    <row r="3081" spans="1:5">
      <c r="A3081" s="206" t="s">
        <v>1324</v>
      </c>
      <c r="B3081" s="151" t="str">
        <f ca="1">IF(OFFSET('IWP21'!Std11dot1CommonAreaCalculations, 2, 0, 1, 1) = 0, "", OFFSET('IWP21'!Std11dot1CommonAreaCalculations, 2, 0, 1, 1))</f>
        <v/>
      </c>
      <c r="C3081" s="155">
        <f ca="1">OFFSET('IWP21'!Std11dot1CommonAreaCalculations, 2, 5, 1, 1)</f>
        <v>0</v>
      </c>
      <c r="D3081" s="155">
        <f ca="1">OFFSET('IWP21'!Std11dot1CommonAreaCalculations, 2, 7, 1, 1)</f>
        <v>0</v>
      </c>
      <c r="E3081" s="185">
        <f ca="1">IF(OFFSET('IWP21'!Std11dot1CommonAreaCalculations, 2, 9, 1, 1) = "", MINVALDBL, OFFSET('IWP21'!Std11dot1CommonAreaCalculations, 2, 9, 1, 1))</f>
        <v>-99999.99</v>
      </c>
    </row>
    <row r="3082" spans="1:5">
      <c r="A3082" s="206" t="s">
        <v>1324</v>
      </c>
      <c r="B3082" s="151" t="str">
        <f ca="1">IF(OFFSET('IWP21'!Std11dot1CommonAreaCalculations, 3, 0, 1, 1) = 0, "", OFFSET('IWP21'!Std11dot1CommonAreaCalculations, 3, 0, 1, 1))</f>
        <v/>
      </c>
      <c r="C3082" s="155">
        <f ca="1">OFFSET('IWP21'!Std11dot1CommonAreaCalculations, 3, 5, 1, 1)</f>
        <v>0</v>
      </c>
      <c r="D3082" s="155">
        <f ca="1">OFFSET('IWP21'!Std11dot1CommonAreaCalculations, 3, 7, 1, 1)</f>
        <v>0</v>
      </c>
      <c r="E3082" s="185">
        <f ca="1">IF(OFFSET('IWP21'!Std11dot1CommonAreaCalculations, 3, 9, 1, 1) = "", MINVALDBL, OFFSET('IWP21'!Std11dot1CommonAreaCalculations, 3, 9, 1, 1))</f>
        <v>-99999.99</v>
      </c>
    </row>
    <row r="3083" spans="1:5">
      <c r="A3083" s="206" t="s">
        <v>1324</v>
      </c>
      <c r="B3083" s="151" t="str">
        <f ca="1">IF(OFFSET('IWP21'!Std11dot1CommonAreaCalculations, 4, 0, 1, 1) = 0, "", OFFSET('IWP21'!Std11dot1CommonAreaCalculations, 4, 0, 1, 1))</f>
        <v/>
      </c>
      <c r="C3083" s="155">
        <f ca="1">OFFSET('IWP21'!Std11dot1CommonAreaCalculations, 4, 5, 1, 1)</f>
        <v>0</v>
      </c>
      <c r="D3083" s="155">
        <f ca="1">OFFSET('IWP21'!Std11dot1CommonAreaCalculations, 4, 7, 1, 1)</f>
        <v>0</v>
      </c>
      <c r="E3083" s="185">
        <f ca="1">IF(OFFSET('IWP21'!Std11dot1CommonAreaCalculations, 4, 9, 1, 1) = "", MINVALDBL, OFFSET('IWP21'!Std11dot1CommonAreaCalculations, 4, 9, 1, 1))</f>
        <v>-99999.99</v>
      </c>
    </row>
    <row r="3084" spans="1:5">
      <c r="A3084" s="206" t="s">
        <v>1325</v>
      </c>
      <c r="B3084" s="151" t="str">
        <f ca="1">IF(OFFSET('IWP22'!Std11dot1CommonAreaCalculations, 0, 0, 1, 1) = 0, "", OFFSET('IWP22'!Std11dot1CommonAreaCalculations, 0, 0, 1, 1))</f>
        <v/>
      </c>
      <c r="C3084" s="155">
        <f ca="1">OFFSET('IWP22'!Std11dot1CommonAreaCalculations, 0, 5, 1, 1)</f>
        <v>0</v>
      </c>
      <c r="D3084" s="155">
        <f ca="1">OFFSET('IWP22'!Std11dot1CommonAreaCalculations, 0, 7, 1, 1)</f>
        <v>0</v>
      </c>
      <c r="E3084" s="185">
        <f ca="1">IF(OFFSET('IWP22'!Std11dot1CommonAreaCalculations, 0, 9, 1, 1) = "", MINVALDBL, OFFSET('IWP22'!Std11dot1CommonAreaCalculations, 0, 9, 1, 1))</f>
        <v>-99999.99</v>
      </c>
    </row>
    <row r="3085" spans="1:5">
      <c r="A3085" s="206" t="s">
        <v>1325</v>
      </c>
      <c r="B3085" s="151" t="str">
        <f ca="1">IF(OFFSET('IWP22'!Std11dot1CommonAreaCalculations, 1, 0, 1, 1) = 0, "", OFFSET('IWP22'!Std11dot1CommonAreaCalculations, 1, 0, 1, 1))</f>
        <v/>
      </c>
      <c r="C3085" s="155">
        <f ca="1">OFFSET('IWP22'!Std11dot1CommonAreaCalculations, 1, 5, 1, 1)</f>
        <v>0</v>
      </c>
      <c r="D3085" s="155">
        <f ca="1">OFFSET('IWP22'!Std11dot1CommonAreaCalculations, 1, 7, 1, 1)</f>
        <v>0</v>
      </c>
      <c r="E3085" s="185">
        <f ca="1">IF(OFFSET('IWP22'!Std11dot1CommonAreaCalculations, 1, 9, 1, 1) = "", MINVALDBL, OFFSET('IWP22'!Std11dot1CommonAreaCalculations, 1, 9, 1, 1))</f>
        <v>-99999.99</v>
      </c>
    </row>
    <row r="3086" spans="1:5">
      <c r="A3086" s="206" t="s">
        <v>1325</v>
      </c>
      <c r="B3086" s="151" t="str">
        <f ca="1">IF(OFFSET('IWP22'!Std11dot1CommonAreaCalculations, 2, 0, 1, 1) = 0, "", OFFSET('IWP22'!Std11dot1CommonAreaCalculations, 2, 0, 1, 1))</f>
        <v/>
      </c>
      <c r="C3086" s="155">
        <f ca="1">OFFSET('IWP22'!Std11dot1CommonAreaCalculations, 2, 5, 1, 1)</f>
        <v>0</v>
      </c>
      <c r="D3086" s="155">
        <f ca="1">OFFSET('IWP22'!Std11dot1CommonAreaCalculations, 2, 7, 1, 1)</f>
        <v>0</v>
      </c>
      <c r="E3086" s="185">
        <f ca="1">IF(OFFSET('IWP22'!Std11dot1CommonAreaCalculations, 2, 9, 1, 1) = "", MINVALDBL, OFFSET('IWP22'!Std11dot1CommonAreaCalculations, 2, 9, 1, 1))</f>
        <v>-99999.99</v>
      </c>
    </row>
    <row r="3087" spans="1:5">
      <c r="A3087" s="206" t="s">
        <v>1325</v>
      </c>
      <c r="B3087" s="151" t="str">
        <f ca="1">IF(OFFSET('IWP22'!Std11dot1CommonAreaCalculations, 3, 0, 1, 1) = 0, "", OFFSET('IWP22'!Std11dot1CommonAreaCalculations, 3, 0, 1, 1))</f>
        <v/>
      </c>
      <c r="C3087" s="155">
        <f ca="1">OFFSET('IWP22'!Std11dot1CommonAreaCalculations, 3, 5, 1, 1)</f>
        <v>0</v>
      </c>
      <c r="D3087" s="155">
        <f ca="1">OFFSET('IWP22'!Std11dot1CommonAreaCalculations, 3, 7, 1, 1)</f>
        <v>0</v>
      </c>
      <c r="E3087" s="185">
        <f ca="1">IF(OFFSET('IWP22'!Std11dot1CommonAreaCalculations, 3, 9, 1, 1) = "", MINVALDBL, OFFSET('IWP22'!Std11dot1CommonAreaCalculations, 3, 9, 1, 1))</f>
        <v>-99999.99</v>
      </c>
    </row>
    <row r="3088" spans="1:5">
      <c r="A3088" s="206" t="s">
        <v>1325</v>
      </c>
      <c r="B3088" s="151" t="str">
        <f ca="1">IF(OFFSET('IWP22'!Std11dot1CommonAreaCalculations, 4, 0, 1, 1) = 0, "", OFFSET('IWP22'!Std11dot1CommonAreaCalculations, 4, 0, 1, 1))</f>
        <v/>
      </c>
      <c r="C3088" s="155">
        <f ca="1">OFFSET('IWP22'!Std11dot1CommonAreaCalculations, 4, 5, 1, 1)</f>
        <v>0</v>
      </c>
      <c r="D3088" s="155">
        <f ca="1">OFFSET('IWP22'!Std11dot1CommonAreaCalculations, 4, 7, 1, 1)</f>
        <v>0</v>
      </c>
      <c r="E3088" s="185">
        <f ca="1">IF(OFFSET('IWP22'!Std11dot1CommonAreaCalculations, 4, 9, 1, 1) = "", MINVALDBL, OFFSET('IWP22'!Std11dot1CommonAreaCalculations, 4, 9, 1, 1))</f>
        <v>-99999.99</v>
      </c>
    </row>
    <row r="3089" spans="1:5">
      <c r="A3089" s="206" t="s">
        <v>1326</v>
      </c>
      <c r="B3089" s="151" t="str">
        <f ca="1">IF(OFFSET('IWP23'!Std11dot1CommonAreaCalculations, 0, 0, 1, 1) = 0, "", OFFSET('IWP23'!Std11dot1CommonAreaCalculations, 0, 0, 1, 1))</f>
        <v/>
      </c>
      <c r="C3089" s="155">
        <f ca="1">OFFSET('IWP23'!Std11dot1CommonAreaCalculations, 0, 5, 1, 1)</f>
        <v>0</v>
      </c>
      <c r="D3089" s="155">
        <f ca="1">OFFSET('IWP23'!Std11dot1CommonAreaCalculations, 0, 7, 1, 1)</f>
        <v>0</v>
      </c>
      <c r="E3089" s="185">
        <f ca="1">IF(OFFSET('IWP23'!Std11dot1CommonAreaCalculations, 0, 9, 1, 1) = "", MINVALDBL, OFFSET('IWP23'!Std11dot1CommonAreaCalculations, 0, 9, 1, 1))</f>
        <v>-99999.99</v>
      </c>
    </row>
    <row r="3090" spans="1:5">
      <c r="A3090" s="206" t="s">
        <v>1326</v>
      </c>
      <c r="B3090" s="151" t="str">
        <f ca="1">IF(OFFSET('IWP23'!Std11dot1CommonAreaCalculations, 1, 0, 1, 1) = 0, "", OFFSET('IWP23'!Std11dot1CommonAreaCalculations, 1, 0, 1, 1))</f>
        <v/>
      </c>
      <c r="C3090" s="155">
        <f ca="1">OFFSET('IWP23'!Std11dot1CommonAreaCalculations, 1, 5, 1, 1)</f>
        <v>0</v>
      </c>
      <c r="D3090" s="155">
        <f ca="1">OFFSET('IWP23'!Std11dot1CommonAreaCalculations, 1, 7, 1, 1)</f>
        <v>0</v>
      </c>
      <c r="E3090" s="185">
        <f ca="1">IF(OFFSET('IWP23'!Std11dot1CommonAreaCalculations, 1, 9, 1, 1) = "", MINVALDBL, OFFSET('IWP23'!Std11dot1CommonAreaCalculations, 1, 9, 1, 1))</f>
        <v>-99999.99</v>
      </c>
    </row>
    <row r="3091" spans="1:5">
      <c r="A3091" s="206" t="s">
        <v>1326</v>
      </c>
      <c r="B3091" s="151" t="str">
        <f ca="1">IF(OFFSET('IWP23'!Std11dot1CommonAreaCalculations, 2, 0, 1, 1) = 0, "", OFFSET('IWP23'!Std11dot1CommonAreaCalculations, 2, 0, 1, 1))</f>
        <v/>
      </c>
      <c r="C3091" s="155">
        <f ca="1">OFFSET('IWP23'!Std11dot1CommonAreaCalculations, 2, 5, 1, 1)</f>
        <v>0</v>
      </c>
      <c r="D3091" s="155">
        <f ca="1">OFFSET('IWP23'!Std11dot1CommonAreaCalculations, 2, 7, 1, 1)</f>
        <v>0</v>
      </c>
      <c r="E3091" s="185">
        <f ca="1">IF(OFFSET('IWP23'!Std11dot1CommonAreaCalculations, 2, 9, 1, 1) = "", MINVALDBL, OFFSET('IWP23'!Std11dot1CommonAreaCalculations, 2, 9, 1, 1))</f>
        <v>-99999.99</v>
      </c>
    </row>
    <row r="3092" spans="1:5">
      <c r="A3092" s="206" t="s">
        <v>1326</v>
      </c>
      <c r="B3092" s="151" t="str">
        <f ca="1">IF(OFFSET('IWP23'!Std11dot1CommonAreaCalculations, 3, 0, 1, 1) = 0, "", OFFSET('IWP23'!Std11dot1CommonAreaCalculations, 3, 0, 1, 1))</f>
        <v/>
      </c>
      <c r="C3092" s="155">
        <f ca="1">OFFSET('IWP23'!Std11dot1CommonAreaCalculations, 3, 5, 1, 1)</f>
        <v>0</v>
      </c>
      <c r="D3092" s="155">
        <f ca="1">OFFSET('IWP23'!Std11dot1CommonAreaCalculations, 3, 7, 1, 1)</f>
        <v>0</v>
      </c>
      <c r="E3092" s="185">
        <f ca="1">IF(OFFSET('IWP23'!Std11dot1CommonAreaCalculations, 3, 9, 1, 1) = "", MINVALDBL, OFFSET('IWP23'!Std11dot1CommonAreaCalculations, 3, 9, 1, 1))</f>
        <v>-99999.99</v>
      </c>
    </row>
    <row r="3093" spans="1:5">
      <c r="A3093" s="206" t="s">
        <v>1326</v>
      </c>
      <c r="B3093" s="151" t="str">
        <f ca="1">IF(OFFSET('IWP23'!Std11dot1CommonAreaCalculations, 4, 0, 1, 1) = 0, "", OFFSET('IWP23'!Std11dot1CommonAreaCalculations, 4, 0, 1, 1))</f>
        <v/>
      </c>
      <c r="C3093" s="155">
        <f ca="1">OFFSET('IWP23'!Std11dot1CommonAreaCalculations, 4, 5, 1, 1)</f>
        <v>0</v>
      </c>
      <c r="D3093" s="155">
        <f ca="1">OFFSET('IWP23'!Std11dot1CommonAreaCalculations, 4, 7, 1, 1)</f>
        <v>0</v>
      </c>
      <c r="E3093" s="185">
        <f ca="1">IF(OFFSET('IWP23'!Std11dot1CommonAreaCalculations, 4, 9, 1, 1) = "", MINVALDBL, OFFSET('IWP23'!Std11dot1CommonAreaCalculations, 4, 9, 1, 1))</f>
        <v>-99999.99</v>
      </c>
    </row>
    <row r="3094" spans="1:5">
      <c r="A3094" s="206" t="s">
        <v>1327</v>
      </c>
      <c r="B3094" s="151" t="str">
        <f ca="1">IF(OFFSET('IWP24'!Std11dot1CommonAreaCalculations, 0, 0, 1, 1) = 0, "", OFFSET('IWP24'!Std11dot1CommonAreaCalculations, 0, 0, 1, 1))</f>
        <v/>
      </c>
      <c r="C3094" s="155">
        <f ca="1">OFFSET('IWP24'!Std11dot1CommonAreaCalculations, 0, 5, 1, 1)</f>
        <v>0</v>
      </c>
      <c r="D3094" s="155">
        <f ca="1">OFFSET('IWP24'!Std11dot1CommonAreaCalculations, 0, 7, 1, 1)</f>
        <v>0</v>
      </c>
      <c r="E3094" s="185">
        <f ca="1">IF(OFFSET('IWP24'!Std11dot1CommonAreaCalculations, 0, 9, 1, 1) = "", MINVALDBL, OFFSET('IWP24'!Std11dot1CommonAreaCalculations, 0, 9, 1, 1))</f>
        <v>-99999.99</v>
      </c>
    </row>
    <row r="3095" spans="1:5">
      <c r="A3095" s="206" t="s">
        <v>1327</v>
      </c>
      <c r="B3095" s="151" t="str">
        <f ca="1">IF(OFFSET('IWP24'!Std11dot1CommonAreaCalculations, 1, 0, 1, 1) = 0, "", OFFSET('IWP24'!Std11dot1CommonAreaCalculations, 1, 0, 1, 1))</f>
        <v/>
      </c>
      <c r="C3095" s="155">
        <f ca="1">OFFSET('IWP24'!Std11dot1CommonAreaCalculations, 1, 5, 1, 1)</f>
        <v>0</v>
      </c>
      <c r="D3095" s="155">
        <f ca="1">OFFSET('IWP24'!Std11dot1CommonAreaCalculations, 1, 7, 1, 1)</f>
        <v>0</v>
      </c>
      <c r="E3095" s="185">
        <f ca="1">IF(OFFSET('IWP24'!Std11dot1CommonAreaCalculations, 1, 9, 1, 1) = "", MINVALDBL, OFFSET('IWP24'!Std11dot1CommonAreaCalculations, 1, 9, 1, 1))</f>
        <v>-99999.99</v>
      </c>
    </row>
    <row r="3096" spans="1:5">
      <c r="A3096" s="206" t="s">
        <v>1327</v>
      </c>
      <c r="B3096" s="151" t="str">
        <f ca="1">IF(OFFSET('IWP24'!Std11dot1CommonAreaCalculations, 2, 0, 1, 1) = 0, "", OFFSET('IWP24'!Std11dot1CommonAreaCalculations, 2, 0, 1, 1))</f>
        <v/>
      </c>
      <c r="C3096" s="155">
        <f ca="1">OFFSET('IWP24'!Std11dot1CommonAreaCalculations, 2, 5, 1, 1)</f>
        <v>0</v>
      </c>
      <c r="D3096" s="155">
        <f ca="1">OFFSET('IWP24'!Std11dot1CommonAreaCalculations, 2, 7, 1, 1)</f>
        <v>0</v>
      </c>
      <c r="E3096" s="185">
        <f ca="1">IF(OFFSET('IWP24'!Std11dot1CommonAreaCalculations, 2, 9, 1, 1) = "", MINVALDBL, OFFSET('IWP24'!Std11dot1CommonAreaCalculations, 2, 9, 1, 1))</f>
        <v>-99999.99</v>
      </c>
    </row>
    <row r="3097" spans="1:5">
      <c r="A3097" s="206" t="s">
        <v>1327</v>
      </c>
      <c r="B3097" s="151" t="str">
        <f ca="1">IF(OFFSET('IWP24'!Std11dot1CommonAreaCalculations, 3, 0, 1, 1) = 0, "", OFFSET('IWP24'!Std11dot1CommonAreaCalculations, 3, 0, 1, 1))</f>
        <v/>
      </c>
      <c r="C3097" s="155">
        <f ca="1">OFFSET('IWP24'!Std11dot1CommonAreaCalculations, 3, 5, 1, 1)</f>
        <v>0</v>
      </c>
      <c r="D3097" s="155">
        <f ca="1">OFFSET('IWP24'!Std11dot1CommonAreaCalculations, 3, 7, 1, 1)</f>
        <v>0</v>
      </c>
      <c r="E3097" s="185">
        <f ca="1">IF(OFFSET('IWP24'!Std11dot1CommonAreaCalculations, 3, 9, 1, 1) = "", MINVALDBL, OFFSET('IWP24'!Std11dot1CommonAreaCalculations, 3, 9, 1, 1))</f>
        <v>-99999.99</v>
      </c>
    </row>
    <row r="3098" spans="1:5">
      <c r="A3098" s="206" t="s">
        <v>1327</v>
      </c>
      <c r="B3098" s="151" t="str">
        <f ca="1">IF(OFFSET('IWP24'!Std11dot1CommonAreaCalculations, 4, 0, 1, 1) = 0, "", OFFSET('IWP24'!Std11dot1CommonAreaCalculations, 4, 0, 1, 1))</f>
        <v/>
      </c>
      <c r="C3098" s="155">
        <f ca="1">OFFSET('IWP24'!Std11dot1CommonAreaCalculations, 4, 5, 1, 1)</f>
        <v>0</v>
      </c>
      <c r="D3098" s="155">
        <f ca="1">OFFSET('IWP24'!Std11dot1CommonAreaCalculations, 4, 7, 1, 1)</f>
        <v>0</v>
      </c>
      <c r="E3098" s="185">
        <f ca="1">IF(OFFSET('IWP24'!Std11dot1CommonAreaCalculations, 4, 9, 1, 1) = "", MINVALDBL, OFFSET('IWP24'!Std11dot1CommonAreaCalculations, 4, 9, 1, 1))</f>
        <v>-99999.99</v>
      </c>
    </row>
    <row r="3099" spans="1:5">
      <c r="A3099" s="206" t="s">
        <v>1328</v>
      </c>
      <c r="B3099" s="151" t="str">
        <f ca="1">IF(OFFSET('IWP25'!Std11dot1CommonAreaCalculations, 0, 0, 1, 1) = 0, "", OFFSET('IWP25'!Std11dot1CommonAreaCalculations, 0, 0, 1, 1))</f>
        <v/>
      </c>
      <c r="C3099" s="155">
        <f ca="1">OFFSET('IWP25'!Std11dot1CommonAreaCalculations, 0, 5, 1, 1)</f>
        <v>0</v>
      </c>
      <c r="D3099" s="155">
        <f ca="1">OFFSET('IWP25'!Std11dot1CommonAreaCalculations, 0, 7, 1, 1)</f>
        <v>0</v>
      </c>
      <c r="E3099" s="185">
        <f ca="1">IF(OFFSET('IWP25'!Std11dot1CommonAreaCalculations, 0, 9, 1, 1) = "", MINVALDBL, OFFSET('IWP25'!Std11dot1CommonAreaCalculations, 0, 9, 1, 1))</f>
        <v>-99999.99</v>
      </c>
    </row>
    <row r="3100" spans="1:5">
      <c r="A3100" s="206" t="s">
        <v>1328</v>
      </c>
      <c r="B3100" s="151" t="str">
        <f ca="1">IF(OFFSET('IWP25'!Std11dot1CommonAreaCalculations, 1, 0, 1, 1) = 0, "", OFFSET('IWP25'!Std11dot1CommonAreaCalculations, 1, 0, 1, 1))</f>
        <v/>
      </c>
      <c r="C3100" s="155">
        <f ca="1">OFFSET('IWP25'!Std11dot1CommonAreaCalculations, 1, 5, 1, 1)</f>
        <v>0</v>
      </c>
      <c r="D3100" s="155">
        <f ca="1">OFFSET('IWP25'!Std11dot1CommonAreaCalculations, 1, 7, 1, 1)</f>
        <v>0</v>
      </c>
      <c r="E3100" s="185">
        <f ca="1">IF(OFFSET('IWP25'!Std11dot1CommonAreaCalculations, 1, 9, 1, 1) = "", MINVALDBL, OFFSET('IWP25'!Std11dot1CommonAreaCalculations, 1, 9, 1, 1))</f>
        <v>-99999.99</v>
      </c>
    </row>
    <row r="3101" spans="1:5">
      <c r="A3101" s="206" t="s">
        <v>1328</v>
      </c>
      <c r="B3101" s="151" t="str">
        <f ca="1">IF(OFFSET('IWP25'!Std11dot1CommonAreaCalculations, 2, 0, 1, 1) = 0, "", OFFSET('IWP25'!Std11dot1CommonAreaCalculations, 2, 0, 1, 1))</f>
        <v/>
      </c>
      <c r="C3101" s="155">
        <f ca="1">OFFSET('IWP25'!Std11dot1CommonAreaCalculations, 2, 5, 1, 1)</f>
        <v>0</v>
      </c>
      <c r="D3101" s="155">
        <f ca="1">OFFSET('IWP25'!Std11dot1CommonAreaCalculations, 2, 7, 1, 1)</f>
        <v>0</v>
      </c>
      <c r="E3101" s="185">
        <f ca="1">IF(OFFSET('IWP25'!Std11dot1CommonAreaCalculations, 2, 9, 1, 1) = "", MINVALDBL, OFFSET('IWP25'!Std11dot1CommonAreaCalculations, 2, 9, 1, 1))</f>
        <v>-99999.99</v>
      </c>
    </row>
    <row r="3102" spans="1:5">
      <c r="A3102" s="206" t="s">
        <v>1328</v>
      </c>
      <c r="B3102" s="151" t="str">
        <f ca="1">IF(OFFSET('IWP25'!Std11dot1CommonAreaCalculations, 3, 0, 1, 1) = 0, "", OFFSET('IWP25'!Std11dot1CommonAreaCalculations, 3, 0, 1, 1))</f>
        <v/>
      </c>
      <c r="C3102" s="155">
        <f ca="1">OFFSET('IWP25'!Std11dot1CommonAreaCalculations, 3, 5, 1, 1)</f>
        <v>0</v>
      </c>
      <c r="D3102" s="155">
        <f ca="1">OFFSET('IWP25'!Std11dot1CommonAreaCalculations, 3, 7, 1, 1)</f>
        <v>0</v>
      </c>
      <c r="E3102" s="185">
        <f ca="1">IF(OFFSET('IWP25'!Std11dot1CommonAreaCalculations, 3, 9, 1, 1) = "", MINVALDBL, OFFSET('IWP25'!Std11dot1CommonAreaCalculations, 3, 9, 1, 1))</f>
        <v>-99999.99</v>
      </c>
    </row>
    <row r="3103" spans="1:5">
      <c r="A3103" s="206" t="s">
        <v>1328</v>
      </c>
      <c r="B3103" s="151" t="str">
        <f ca="1">IF(OFFSET('IWP25'!Std11dot1CommonAreaCalculations, 4, 0, 1, 1) = 0, "", OFFSET('IWP25'!Std11dot1CommonAreaCalculations, 4, 0, 1, 1))</f>
        <v/>
      </c>
      <c r="C3103" s="155">
        <f ca="1">OFFSET('IWP25'!Std11dot1CommonAreaCalculations, 4, 5, 1, 1)</f>
        <v>0</v>
      </c>
      <c r="D3103" s="155">
        <f ca="1">OFFSET('IWP25'!Std11dot1CommonAreaCalculations, 4, 7, 1, 1)</f>
        <v>0</v>
      </c>
      <c r="E3103" s="185">
        <f ca="1">IF(OFFSET('IWP25'!Std11dot1CommonAreaCalculations, 4, 9, 1, 1) = "", MINVALDBL, OFFSET('IWP25'!Std11dot1CommonAreaCalculations, 4, 9, 1, 1))</f>
        <v>-99999.99</v>
      </c>
    </row>
    <row r="3104" spans="1:5">
      <c r="A3104" s="206" t="s">
        <v>1329</v>
      </c>
      <c r="B3104" s="151" t="str">
        <f ca="1">IF(OFFSET('IWP26'!Std11dot1CommonAreaCalculations, 0, 0, 1, 1) = 0, "", OFFSET('IWP26'!Std11dot1CommonAreaCalculations, 0, 0, 1, 1))</f>
        <v/>
      </c>
      <c r="C3104" s="155">
        <f ca="1">OFFSET('IWP26'!Std11dot1CommonAreaCalculations, 0, 5, 1, 1)</f>
        <v>0</v>
      </c>
      <c r="D3104" s="155">
        <f ca="1">OFFSET('IWP26'!Std11dot1CommonAreaCalculations, 0, 7, 1, 1)</f>
        <v>0</v>
      </c>
      <c r="E3104" s="185">
        <f ca="1">IF(OFFSET('IWP26'!Std11dot1CommonAreaCalculations, 0, 9, 1, 1) = "", MINVALDBL, OFFSET('IWP26'!Std11dot1CommonAreaCalculations, 0, 9, 1, 1))</f>
        <v>-99999.99</v>
      </c>
    </row>
    <row r="3105" spans="1:5">
      <c r="A3105" s="206" t="s">
        <v>1329</v>
      </c>
      <c r="B3105" s="151" t="str">
        <f ca="1">IF(OFFSET('IWP26'!Std11dot1CommonAreaCalculations, 1, 0, 1, 1) = 0, "", OFFSET('IWP26'!Std11dot1CommonAreaCalculations, 1, 0, 1, 1))</f>
        <v/>
      </c>
      <c r="C3105" s="155">
        <f ca="1">OFFSET('IWP26'!Std11dot1CommonAreaCalculations, 1, 5, 1, 1)</f>
        <v>0</v>
      </c>
      <c r="D3105" s="155">
        <f ca="1">OFFSET('IWP26'!Std11dot1CommonAreaCalculations, 1, 7, 1, 1)</f>
        <v>0</v>
      </c>
      <c r="E3105" s="185">
        <f ca="1">IF(OFFSET('IWP26'!Std11dot1CommonAreaCalculations, 1, 9, 1, 1) = "", MINVALDBL, OFFSET('IWP26'!Std11dot1CommonAreaCalculations, 1, 9, 1, 1))</f>
        <v>-99999.99</v>
      </c>
    </row>
    <row r="3106" spans="1:5">
      <c r="A3106" s="206" t="s">
        <v>1329</v>
      </c>
      <c r="B3106" s="151" t="str">
        <f ca="1">IF(OFFSET('IWP26'!Std11dot1CommonAreaCalculations, 2, 0, 1, 1) = 0, "", OFFSET('IWP26'!Std11dot1CommonAreaCalculations, 2, 0, 1, 1))</f>
        <v/>
      </c>
      <c r="C3106" s="155">
        <f ca="1">OFFSET('IWP26'!Std11dot1CommonAreaCalculations, 2, 5, 1, 1)</f>
        <v>0</v>
      </c>
      <c r="D3106" s="155">
        <f ca="1">OFFSET('IWP26'!Std11dot1CommonAreaCalculations, 2, 7, 1, 1)</f>
        <v>0</v>
      </c>
      <c r="E3106" s="185">
        <f ca="1">IF(OFFSET('IWP26'!Std11dot1CommonAreaCalculations, 2, 9, 1, 1) = "", MINVALDBL, OFFSET('IWP26'!Std11dot1CommonAreaCalculations, 2, 9, 1, 1))</f>
        <v>-99999.99</v>
      </c>
    </row>
    <row r="3107" spans="1:5">
      <c r="A3107" s="206" t="s">
        <v>1329</v>
      </c>
      <c r="B3107" s="151" t="str">
        <f ca="1">IF(OFFSET('IWP26'!Std11dot1CommonAreaCalculations, 3, 0, 1, 1) = 0, "", OFFSET('IWP26'!Std11dot1CommonAreaCalculations, 3, 0, 1, 1))</f>
        <v/>
      </c>
      <c r="C3107" s="155">
        <f ca="1">OFFSET('IWP26'!Std11dot1CommonAreaCalculations, 3, 5, 1, 1)</f>
        <v>0</v>
      </c>
      <c r="D3107" s="155">
        <f ca="1">OFFSET('IWP26'!Std11dot1CommonAreaCalculations, 3, 7, 1, 1)</f>
        <v>0</v>
      </c>
      <c r="E3107" s="185">
        <f ca="1">IF(OFFSET('IWP26'!Std11dot1CommonAreaCalculations, 3, 9, 1, 1) = "", MINVALDBL, OFFSET('IWP26'!Std11dot1CommonAreaCalculations, 3, 9, 1, 1))</f>
        <v>-99999.99</v>
      </c>
    </row>
    <row r="3108" spans="1:5">
      <c r="A3108" s="206" t="s">
        <v>1329</v>
      </c>
      <c r="B3108" s="151" t="str">
        <f ca="1">IF(OFFSET('IWP26'!Std11dot1CommonAreaCalculations, 4, 0, 1, 1) = 0, "", OFFSET('IWP26'!Std11dot1CommonAreaCalculations, 4, 0, 1, 1))</f>
        <v/>
      </c>
      <c r="C3108" s="155">
        <f ca="1">OFFSET('IWP26'!Std11dot1CommonAreaCalculations, 4, 5, 1, 1)</f>
        <v>0</v>
      </c>
      <c r="D3108" s="155">
        <f ca="1">OFFSET('IWP26'!Std11dot1CommonAreaCalculations, 4, 7, 1, 1)</f>
        <v>0</v>
      </c>
      <c r="E3108" s="185">
        <f ca="1">IF(OFFSET('IWP26'!Std11dot1CommonAreaCalculations, 4, 9, 1, 1) = "", MINVALDBL, OFFSET('IWP26'!Std11dot1CommonAreaCalculations, 4, 9, 1, 1))</f>
        <v>-99999.99</v>
      </c>
    </row>
    <row r="3109" spans="1:5">
      <c r="A3109" s="206" t="s">
        <v>1330</v>
      </c>
      <c r="B3109" s="151" t="str">
        <f ca="1">IF(OFFSET('IWP27'!Std11dot1CommonAreaCalculations, 0, 0, 1, 1) = 0, "", OFFSET('IWP27'!Std11dot1CommonAreaCalculations, 0, 0, 1, 1))</f>
        <v/>
      </c>
      <c r="C3109" s="155">
        <f ca="1">OFFSET('IWP27'!Std11dot1CommonAreaCalculations, 0, 5, 1, 1)</f>
        <v>0</v>
      </c>
      <c r="D3109" s="155">
        <f ca="1">OFFSET('IWP27'!Std11dot1CommonAreaCalculations, 0, 7, 1, 1)</f>
        <v>0</v>
      </c>
      <c r="E3109" s="185">
        <f ca="1">IF(OFFSET('IWP27'!Std11dot1CommonAreaCalculations, 0, 9, 1, 1) = "", MINVALDBL, OFFSET('IWP27'!Std11dot1CommonAreaCalculations, 0, 9, 1, 1))</f>
        <v>-99999.99</v>
      </c>
    </row>
    <row r="3110" spans="1:5">
      <c r="A3110" s="206" t="s">
        <v>1330</v>
      </c>
      <c r="B3110" s="151" t="str">
        <f ca="1">IF(OFFSET('IWP27'!Std11dot1CommonAreaCalculations, 1, 0, 1, 1) = 0, "", OFFSET('IWP27'!Std11dot1CommonAreaCalculations, 1, 0, 1, 1))</f>
        <v/>
      </c>
      <c r="C3110" s="155">
        <f ca="1">OFFSET('IWP27'!Std11dot1CommonAreaCalculations, 1, 5, 1, 1)</f>
        <v>0</v>
      </c>
      <c r="D3110" s="155">
        <f ca="1">OFFSET('IWP27'!Std11dot1CommonAreaCalculations, 1, 7, 1, 1)</f>
        <v>0</v>
      </c>
      <c r="E3110" s="185">
        <f ca="1">IF(OFFSET('IWP27'!Std11dot1CommonAreaCalculations, 1, 9, 1, 1) = "", MINVALDBL, OFFSET('IWP27'!Std11dot1CommonAreaCalculations, 1, 9, 1, 1))</f>
        <v>-99999.99</v>
      </c>
    </row>
    <row r="3111" spans="1:5">
      <c r="A3111" s="206" t="s">
        <v>1330</v>
      </c>
      <c r="B3111" s="151" t="str">
        <f ca="1">IF(OFFSET('IWP27'!Std11dot1CommonAreaCalculations, 2, 0, 1, 1) = 0, "", OFFSET('IWP27'!Std11dot1CommonAreaCalculations, 2, 0, 1, 1))</f>
        <v/>
      </c>
      <c r="C3111" s="155">
        <f ca="1">OFFSET('IWP27'!Std11dot1CommonAreaCalculations, 2, 5, 1, 1)</f>
        <v>0</v>
      </c>
      <c r="D3111" s="155">
        <f ca="1">OFFSET('IWP27'!Std11dot1CommonAreaCalculations, 2, 7, 1, 1)</f>
        <v>0</v>
      </c>
      <c r="E3111" s="185">
        <f ca="1">IF(OFFSET('IWP27'!Std11dot1CommonAreaCalculations, 2, 9, 1, 1) = "", MINVALDBL, OFFSET('IWP27'!Std11dot1CommonAreaCalculations, 2, 9, 1, 1))</f>
        <v>-99999.99</v>
      </c>
    </row>
    <row r="3112" spans="1:5">
      <c r="A3112" s="206" t="s">
        <v>1330</v>
      </c>
      <c r="B3112" s="151" t="str">
        <f ca="1">IF(OFFSET('IWP27'!Std11dot1CommonAreaCalculations, 3, 0, 1, 1) = 0, "", OFFSET('IWP27'!Std11dot1CommonAreaCalculations, 3, 0, 1, 1))</f>
        <v/>
      </c>
      <c r="C3112" s="155">
        <f ca="1">OFFSET('IWP27'!Std11dot1CommonAreaCalculations, 3, 5, 1, 1)</f>
        <v>0</v>
      </c>
      <c r="D3112" s="155">
        <f ca="1">OFFSET('IWP27'!Std11dot1CommonAreaCalculations, 3, 7, 1, 1)</f>
        <v>0</v>
      </c>
      <c r="E3112" s="185">
        <f ca="1">IF(OFFSET('IWP27'!Std11dot1CommonAreaCalculations, 3, 9, 1, 1) = "", MINVALDBL, OFFSET('IWP27'!Std11dot1CommonAreaCalculations, 3, 9, 1, 1))</f>
        <v>-99999.99</v>
      </c>
    </row>
    <row r="3113" spans="1:5">
      <c r="A3113" s="206" t="s">
        <v>1330</v>
      </c>
      <c r="B3113" s="151" t="str">
        <f ca="1">IF(OFFSET('IWP27'!Std11dot1CommonAreaCalculations, 4, 0, 1, 1) = 0, "", OFFSET('IWP27'!Std11dot1CommonAreaCalculations, 4, 0, 1, 1))</f>
        <v/>
      </c>
      <c r="C3113" s="155">
        <f ca="1">OFFSET('IWP27'!Std11dot1CommonAreaCalculations, 4, 5, 1, 1)</f>
        <v>0</v>
      </c>
      <c r="D3113" s="155">
        <f ca="1">OFFSET('IWP27'!Std11dot1CommonAreaCalculations, 4, 7, 1, 1)</f>
        <v>0</v>
      </c>
      <c r="E3113" s="185">
        <f ca="1">IF(OFFSET('IWP27'!Std11dot1CommonAreaCalculations, 4, 9, 1, 1) = "", MINVALDBL, OFFSET('IWP27'!Std11dot1CommonAreaCalculations, 4, 9, 1, 1))</f>
        <v>-99999.99</v>
      </c>
    </row>
    <row r="3114" spans="1:5">
      <c r="A3114" s="206" t="s">
        <v>1331</v>
      </c>
      <c r="B3114" s="151" t="str">
        <f ca="1">IF(OFFSET('IWP28'!Std11dot1CommonAreaCalculations, 0, 0, 1, 1) = 0, "", OFFSET('IWP28'!Std11dot1CommonAreaCalculations, 0, 0, 1, 1))</f>
        <v/>
      </c>
      <c r="C3114" s="155">
        <f ca="1">OFFSET('IWP28'!Std11dot1CommonAreaCalculations, 0, 5, 1, 1)</f>
        <v>0</v>
      </c>
      <c r="D3114" s="155">
        <f ca="1">OFFSET('IWP28'!Std11dot1CommonAreaCalculations, 0, 7, 1, 1)</f>
        <v>0</v>
      </c>
      <c r="E3114" s="185">
        <f ca="1">IF(OFFSET('IWP28'!Std11dot1CommonAreaCalculations, 0, 9, 1, 1) = "", MINVALDBL, OFFSET('IWP28'!Std11dot1CommonAreaCalculations, 0, 9, 1, 1))</f>
        <v>-99999.99</v>
      </c>
    </row>
    <row r="3115" spans="1:5">
      <c r="A3115" s="206" t="s">
        <v>1331</v>
      </c>
      <c r="B3115" s="151" t="str">
        <f ca="1">IF(OFFSET('IWP28'!Std11dot1CommonAreaCalculations, 1, 0, 1, 1) = 0, "", OFFSET('IWP28'!Std11dot1CommonAreaCalculations, 1, 0, 1, 1))</f>
        <v/>
      </c>
      <c r="C3115" s="155">
        <f ca="1">OFFSET('IWP28'!Std11dot1CommonAreaCalculations, 1, 5, 1, 1)</f>
        <v>0</v>
      </c>
      <c r="D3115" s="155">
        <f ca="1">OFFSET('IWP28'!Std11dot1CommonAreaCalculations, 1, 7, 1, 1)</f>
        <v>0</v>
      </c>
      <c r="E3115" s="185">
        <f ca="1">IF(OFFSET('IWP28'!Std11dot1CommonAreaCalculations, 1, 9, 1, 1) = "", MINVALDBL, OFFSET('IWP28'!Std11dot1CommonAreaCalculations, 1, 9, 1, 1))</f>
        <v>-99999.99</v>
      </c>
    </row>
    <row r="3116" spans="1:5">
      <c r="A3116" s="206" t="s">
        <v>1331</v>
      </c>
      <c r="B3116" s="151" t="str">
        <f ca="1">IF(OFFSET('IWP28'!Std11dot1CommonAreaCalculations, 2, 0, 1, 1) = 0, "", OFFSET('IWP28'!Std11dot1CommonAreaCalculations, 2, 0, 1, 1))</f>
        <v/>
      </c>
      <c r="C3116" s="155">
        <f ca="1">OFFSET('IWP28'!Std11dot1CommonAreaCalculations, 2, 5, 1, 1)</f>
        <v>0</v>
      </c>
      <c r="D3116" s="155">
        <f ca="1">OFFSET('IWP28'!Std11dot1CommonAreaCalculations, 2, 7, 1, 1)</f>
        <v>0</v>
      </c>
      <c r="E3116" s="185">
        <f ca="1">IF(OFFSET('IWP28'!Std11dot1CommonAreaCalculations, 2, 9, 1, 1) = "", MINVALDBL, OFFSET('IWP28'!Std11dot1CommonAreaCalculations, 2, 9, 1, 1))</f>
        <v>-99999.99</v>
      </c>
    </row>
    <row r="3117" spans="1:5">
      <c r="A3117" s="206" t="s">
        <v>1331</v>
      </c>
      <c r="B3117" s="151" t="str">
        <f ca="1">IF(OFFSET('IWP28'!Std11dot1CommonAreaCalculations, 3, 0, 1, 1) = 0, "", OFFSET('IWP28'!Std11dot1CommonAreaCalculations, 3, 0, 1, 1))</f>
        <v/>
      </c>
      <c r="C3117" s="155">
        <f ca="1">OFFSET('IWP28'!Std11dot1CommonAreaCalculations, 3, 5, 1, 1)</f>
        <v>0</v>
      </c>
      <c r="D3117" s="155">
        <f ca="1">OFFSET('IWP28'!Std11dot1CommonAreaCalculations, 3, 7, 1, 1)</f>
        <v>0</v>
      </c>
      <c r="E3117" s="185">
        <f ca="1">IF(OFFSET('IWP28'!Std11dot1CommonAreaCalculations, 3, 9, 1, 1) = "", MINVALDBL, OFFSET('IWP28'!Std11dot1CommonAreaCalculations, 3, 9, 1, 1))</f>
        <v>-99999.99</v>
      </c>
    </row>
    <row r="3118" spans="1:5">
      <c r="A3118" s="206" t="s">
        <v>1331</v>
      </c>
      <c r="B3118" s="151" t="str">
        <f ca="1">IF(OFFSET('IWP28'!Std11dot1CommonAreaCalculations, 4, 0, 1, 1) = 0, "", OFFSET('IWP28'!Std11dot1CommonAreaCalculations, 4, 0, 1, 1))</f>
        <v/>
      </c>
      <c r="C3118" s="155">
        <f ca="1">OFFSET('IWP28'!Std11dot1CommonAreaCalculations, 4, 5, 1, 1)</f>
        <v>0</v>
      </c>
      <c r="D3118" s="155">
        <f ca="1">OFFSET('IWP28'!Std11dot1CommonAreaCalculations, 4, 7, 1, 1)</f>
        <v>0</v>
      </c>
      <c r="E3118" s="185">
        <f ca="1">IF(OFFSET('IWP28'!Std11dot1CommonAreaCalculations, 4, 9, 1, 1) = "", MINVALDBL, OFFSET('IWP28'!Std11dot1CommonAreaCalculations, 4, 9, 1, 1))</f>
        <v>-99999.99</v>
      </c>
    </row>
    <row r="3119" spans="1:5">
      <c r="A3119" s="206" t="s">
        <v>1332</v>
      </c>
      <c r="B3119" s="151" t="str">
        <f ca="1">IF(OFFSET('IWP29'!Std11dot1CommonAreaCalculations, 0, 0, 1, 1) = 0, "", OFFSET('IWP29'!Std11dot1CommonAreaCalculations, 0, 0, 1, 1))</f>
        <v/>
      </c>
      <c r="C3119" s="155">
        <f ca="1">OFFSET('IWP29'!Std11dot1CommonAreaCalculations, 0, 5, 1, 1)</f>
        <v>0</v>
      </c>
      <c r="D3119" s="155">
        <f ca="1">OFFSET('IWP29'!Std11dot1CommonAreaCalculations, 0, 7, 1, 1)</f>
        <v>0</v>
      </c>
      <c r="E3119" s="185">
        <f ca="1">IF(OFFSET('IWP29'!Std11dot1CommonAreaCalculations, 0, 9, 1, 1) = "", MINVALDBL, OFFSET('IWP29'!Std11dot1CommonAreaCalculations, 0, 9, 1, 1))</f>
        <v>-99999.99</v>
      </c>
    </row>
    <row r="3120" spans="1:5">
      <c r="A3120" s="206" t="s">
        <v>1332</v>
      </c>
      <c r="B3120" s="151" t="str">
        <f ca="1">IF(OFFSET('IWP29'!Std11dot1CommonAreaCalculations, 1, 0, 1, 1) = 0, "", OFFSET('IWP29'!Std11dot1CommonAreaCalculations, 1, 0, 1, 1))</f>
        <v/>
      </c>
      <c r="C3120" s="155">
        <f ca="1">OFFSET('IWP29'!Std11dot1CommonAreaCalculations, 1, 5, 1, 1)</f>
        <v>0</v>
      </c>
      <c r="D3120" s="155">
        <f ca="1">OFFSET('IWP29'!Std11dot1CommonAreaCalculations, 1, 7, 1, 1)</f>
        <v>0</v>
      </c>
      <c r="E3120" s="185">
        <f ca="1">IF(OFFSET('IWP29'!Std11dot1CommonAreaCalculations, 1, 9, 1, 1) = "", MINVALDBL, OFFSET('IWP29'!Std11dot1CommonAreaCalculations, 1, 9, 1, 1))</f>
        <v>-99999.99</v>
      </c>
    </row>
    <row r="3121" spans="1:10">
      <c r="A3121" s="206" t="s">
        <v>1332</v>
      </c>
      <c r="B3121" s="151" t="str">
        <f ca="1">IF(OFFSET('IWP29'!Std11dot1CommonAreaCalculations, 2, 0, 1, 1) = 0, "", OFFSET('IWP29'!Std11dot1CommonAreaCalculations, 2, 0, 1, 1))</f>
        <v/>
      </c>
      <c r="C3121" s="155">
        <f ca="1">OFFSET('IWP29'!Std11dot1CommonAreaCalculations, 2, 5, 1, 1)</f>
        <v>0</v>
      </c>
      <c r="D3121" s="155">
        <f ca="1">OFFSET('IWP29'!Std11dot1CommonAreaCalculations, 2, 7, 1, 1)</f>
        <v>0</v>
      </c>
      <c r="E3121" s="185">
        <f ca="1">IF(OFFSET('IWP29'!Std11dot1CommonAreaCalculations, 2, 9, 1, 1) = "", MINVALDBL, OFFSET('IWP29'!Std11dot1CommonAreaCalculations, 2, 9, 1, 1))</f>
        <v>-99999.99</v>
      </c>
    </row>
    <row r="3122" spans="1:10">
      <c r="A3122" s="206" t="s">
        <v>1332</v>
      </c>
      <c r="B3122" s="151" t="str">
        <f ca="1">IF(OFFSET('IWP29'!Std11dot1CommonAreaCalculations, 3, 0, 1, 1) = 0, "", OFFSET('IWP29'!Std11dot1CommonAreaCalculations, 3, 0, 1, 1))</f>
        <v/>
      </c>
      <c r="C3122" s="155">
        <f ca="1">OFFSET('IWP29'!Std11dot1CommonAreaCalculations, 3, 5, 1, 1)</f>
        <v>0</v>
      </c>
      <c r="D3122" s="155">
        <f ca="1">OFFSET('IWP29'!Std11dot1CommonAreaCalculations, 3, 7, 1, 1)</f>
        <v>0</v>
      </c>
      <c r="E3122" s="185">
        <f ca="1">IF(OFFSET('IWP29'!Std11dot1CommonAreaCalculations, 3, 9, 1, 1) = "", MINVALDBL, OFFSET('IWP29'!Std11dot1CommonAreaCalculations, 3, 9, 1, 1))</f>
        <v>-99999.99</v>
      </c>
    </row>
    <row r="3123" spans="1:10">
      <c r="A3123" s="206" t="s">
        <v>1332</v>
      </c>
      <c r="B3123" s="151" t="str">
        <f ca="1">IF(OFFSET('IWP29'!Std11dot1CommonAreaCalculations, 4, 0, 1, 1) = 0, "", OFFSET('IWP29'!Std11dot1CommonAreaCalculations, 4, 0, 1, 1))</f>
        <v/>
      </c>
      <c r="C3123" s="155">
        <f ca="1">OFFSET('IWP29'!Std11dot1CommonAreaCalculations, 4, 5, 1, 1)</f>
        <v>0</v>
      </c>
      <c r="D3123" s="155">
        <f ca="1">OFFSET('IWP29'!Std11dot1CommonAreaCalculations, 4, 7, 1, 1)</f>
        <v>0</v>
      </c>
      <c r="E3123" s="185">
        <f ca="1">IF(OFFSET('IWP29'!Std11dot1CommonAreaCalculations, 4, 9, 1, 1) = "", MINVALDBL, OFFSET('IWP29'!Std11dot1CommonAreaCalculations, 4, 9, 1, 1))</f>
        <v>-99999.99</v>
      </c>
    </row>
    <row r="3124" spans="1:10">
      <c r="A3124" s="206" t="s">
        <v>1333</v>
      </c>
      <c r="B3124" s="151" t="str">
        <f ca="1">IF(OFFSET('IWP30'!Std11dot1CommonAreaCalculations, 0, 0, 1, 1) = 0, "", OFFSET('IWP30'!Std11dot1CommonAreaCalculations, 0, 0, 1, 1))</f>
        <v/>
      </c>
      <c r="C3124" s="155">
        <f ca="1">OFFSET('IWP30'!Std11dot1CommonAreaCalculations, 0, 5, 1, 1)</f>
        <v>0</v>
      </c>
      <c r="D3124" s="155">
        <f ca="1">OFFSET('IWP30'!Std11dot1CommonAreaCalculations, 0, 7, 1, 1)</f>
        <v>0</v>
      </c>
      <c r="E3124" s="185">
        <f ca="1">IF(OFFSET('IWP30'!Std11dot1CommonAreaCalculations, 0, 9, 1, 1) = "", MINVALDBL, OFFSET('IWP30'!Std11dot1CommonAreaCalculations, 0, 9, 1, 1))</f>
        <v>-99999.99</v>
      </c>
    </row>
    <row r="3125" spans="1:10">
      <c r="A3125" s="206" t="s">
        <v>1333</v>
      </c>
      <c r="B3125" s="151" t="str">
        <f ca="1">IF(OFFSET('IWP30'!Std11dot1CommonAreaCalculations, 1, 0, 1, 1) = 0, "", OFFSET('IWP30'!Std11dot1CommonAreaCalculations, 1, 0, 1, 1))</f>
        <v/>
      </c>
      <c r="C3125" s="155">
        <f ca="1">OFFSET('IWP30'!Std11dot1CommonAreaCalculations, 1, 5, 1, 1)</f>
        <v>0</v>
      </c>
      <c r="D3125" s="155">
        <f ca="1">OFFSET('IWP30'!Std11dot1CommonAreaCalculations, 1, 7, 1, 1)</f>
        <v>0</v>
      </c>
      <c r="E3125" s="185">
        <f ca="1">IF(OFFSET('IWP30'!Std11dot1CommonAreaCalculations, 1, 9, 1, 1) = "", MINVALDBL, OFFSET('IWP30'!Std11dot1CommonAreaCalculations, 1, 9, 1, 1))</f>
        <v>-99999.99</v>
      </c>
    </row>
    <row r="3126" spans="1:10">
      <c r="A3126" s="206" t="s">
        <v>1333</v>
      </c>
      <c r="B3126" s="151" t="str">
        <f ca="1">IF(OFFSET('IWP30'!Std11dot1CommonAreaCalculations, 2, 0, 1, 1) = 0, "", OFFSET('IWP30'!Std11dot1CommonAreaCalculations, 2, 0, 1, 1))</f>
        <v/>
      </c>
      <c r="C3126" s="155">
        <f ca="1">OFFSET('IWP30'!Std11dot1CommonAreaCalculations, 2, 5, 1, 1)</f>
        <v>0</v>
      </c>
      <c r="D3126" s="155">
        <f ca="1">OFFSET('IWP30'!Std11dot1CommonAreaCalculations, 2, 7, 1, 1)</f>
        <v>0</v>
      </c>
      <c r="E3126" s="185">
        <f ca="1">IF(OFFSET('IWP30'!Std11dot1CommonAreaCalculations, 2, 9, 1, 1) = "", MINVALDBL, OFFSET('IWP30'!Std11dot1CommonAreaCalculations, 2, 9, 1, 1))</f>
        <v>-99999.99</v>
      </c>
    </row>
    <row r="3127" spans="1:10">
      <c r="A3127" s="206" t="s">
        <v>1333</v>
      </c>
      <c r="B3127" s="151" t="str">
        <f ca="1">IF(OFFSET('IWP30'!Std11dot1CommonAreaCalculations, 3, 0, 1, 1) = 0, "", OFFSET('IWP30'!Std11dot1CommonAreaCalculations, 3, 0, 1, 1))</f>
        <v/>
      </c>
      <c r="C3127" s="155">
        <f ca="1">OFFSET('IWP30'!Std11dot1CommonAreaCalculations, 3, 5, 1, 1)</f>
        <v>0</v>
      </c>
      <c r="D3127" s="155">
        <f ca="1">OFFSET('IWP30'!Std11dot1CommonAreaCalculations, 3, 7, 1, 1)</f>
        <v>0</v>
      </c>
      <c r="E3127" s="185">
        <f ca="1">IF(OFFSET('IWP30'!Std11dot1CommonAreaCalculations, 3, 9, 1, 1) = "", MINVALDBL, OFFSET('IWP30'!Std11dot1CommonAreaCalculations, 3, 9, 1, 1))</f>
        <v>-99999.99</v>
      </c>
    </row>
    <row r="3128" spans="1:10" ht="15" thickBot="1">
      <c r="A3128" s="156" t="s">
        <v>1333</v>
      </c>
      <c r="B3128" s="171" t="str">
        <f ca="1">IF(OFFSET('IWP30'!Std11dot1CommonAreaCalculations, 4, 0, 1, 1) = 0, "", OFFSET('IWP30'!Std11dot1CommonAreaCalculations, 4, 0, 1, 1))</f>
        <v/>
      </c>
      <c r="C3128" s="174">
        <f ca="1">OFFSET('IWP30'!Std11dot1CommonAreaCalculations, 4, 5, 1, 1)</f>
        <v>0</v>
      </c>
      <c r="D3128" s="174">
        <f ca="1">OFFSET('IWP30'!Std11dot1CommonAreaCalculations, 4, 7, 1, 1)</f>
        <v>0</v>
      </c>
      <c r="E3128" s="186">
        <f ca="1">IF(OFFSET('IWP30'!Std11dot1CommonAreaCalculations, 4, 9, 1, 1) = "", MINVALDBL, OFFSET('IWP30'!Std11dot1CommonAreaCalculations, 4, 9, 1, 1))</f>
        <v>-99999.99</v>
      </c>
    </row>
    <row r="3130" spans="1:10" ht="15" thickBot="1">
      <c r="A3130" t="s">
        <v>1264</v>
      </c>
    </row>
    <row r="3131" spans="1:10" s="62" customFormat="1" ht="29">
      <c r="A3131" s="153" t="s">
        <v>1057</v>
      </c>
      <c r="B3131" s="312" t="s">
        <v>1202</v>
      </c>
      <c r="C3131" s="312" t="s">
        <v>1203</v>
      </c>
      <c r="D3131" s="312" t="s">
        <v>1204</v>
      </c>
      <c r="E3131" s="312" t="s">
        <v>1205</v>
      </c>
      <c r="F3131" s="312" t="s">
        <v>1206</v>
      </c>
      <c r="G3131" s="312" t="s">
        <v>1525</v>
      </c>
      <c r="H3131" s="312" t="s">
        <v>1207</v>
      </c>
      <c r="I3131" s="312" t="s">
        <v>1208</v>
      </c>
      <c r="J3131" s="311" t="s">
        <v>1209</v>
      </c>
    </row>
    <row r="3132" spans="1:10">
      <c r="A3132" s="206" t="s">
        <v>1060</v>
      </c>
      <c r="B3132" s="157">
        <f ca="1">IF(OFFSET('IWP01'!Std11dot4Hospitalization, 0, 0, 1, 1) = DATE(1900,1,0),DATE(1900,1,1),OFFSET('IWP01'!Std11dot4Hospitalization, 0, 0, 1, 1))</f>
        <v>1</v>
      </c>
      <c r="C3132" s="157">
        <f ca="1">IF(OFFSET('IWP01'!Std11dot4Hospitalization, 0, 1, 1, 1) = DATE(1900,1,0),DATE(1900,1,1),OFFSET('IWP01'!Std11dot4Hospitalization, 0, 1, 1, 1))</f>
        <v>1</v>
      </c>
      <c r="D3132" s="13">
        <f ca="1">OFFSET('IWP01'!Std11dot4Hospitalization, 0, 2, 1, 1)</f>
        <v>0</v>
      </c>
      <c r="E3132" s="155">
        <f ca="1">OFFSET('IWP01'!Std11dot4Hospitalization, 0, 3, 1, 1)</f>
        <v>0</v>
      </c>
      <c r="F3132" s="155">
        <f ca="1">OFFSET('IWP01'!Std11dot4Hospitalization, 0,5, 1, 1)</f>
        <v>0</v>
      </c>
      <c r="G3132" s="155">
        <f ca="1">OFFSET('IWP01'!Std11dot4Hospitalization, 0,7, 1, 1)</f>
        <v>0</v>
      </c>
      <c r="H3132" s="155">
        <f ca="1">IF(OFFSET('IWP01'!Std11dot4Hospitalization, 0,8, 1, 1)="",0,OFFSET('IWP01'!Std11dot4Hospitalization, 0,8, 1, 1))</f>
        <v>0</v>
      </c>
      <c r="I3132" s="157">
        <f ca="1">IF(OFFSET('IWP01'!Std11dot4Hospitalization, 0, 10, 1, 1) = DATE(1900,1,0),DATE(1900,1,1),OFFSET('IWP01'!Std11dot4Hospitalization, 0, 10, 1, 1))</f>
        <v>1</v>
      </c>
      <c r="J3132" s="158">
        <f ca="1">IF(OFFSET('IWP01'!Std11dot4Hospitalization, 0, 12, 1, 1) = DATE(1900,1,0),DATE(1900,1,1),OFFSET('IWP01'!Std11dot4Hospitalization, 0, 12, 1, 1))</f>
        <v>1</v>
      </c>
    </row>
    <row r="3133" spans="1:10">
      <c r="A3133" s="206" t="s">
        <v>1060</v>
      </c>
      <c r="B3133" s="157">
        <f ca="1">IF(OFFSET('IWP01'!Std11dot4Hospitalization, 1, 0, 1, 1) = DATE(1900,1,0),DATE(1900,1,1),OFFSET('IWP01'!Std11dot4Hospitalization, 1, 0, 1, 1))</f>
        <v>1</v>
      </c>
      <c r="C3133" s="157">
        <f ca="1">IF(OFFSET('IWP01'!Std11dot4Hospitalization, 1, 1, 1, 1) = DATE(1900,1,0),DATE(1900,1,1),OFFSET('IWP01'!Std11dot4Hospitalization, 1, 1, 1, 1))</f>
        <v>1</v>
      </c>
      <c r="D3133" s="13">
        <f ca="1">OFFSET('IWP01'!Std11dot4Hospitalization, 1, 2, 1, 1)</f>
        <v>0</v>
      </c>
      <c r="E3133" s="155">
        <f ca="1">OFFSET('IWP01'!Std11dot4Hospitalization, 1, 3, 1, 1)</f>
        <v>0</v>
      </c>
      <c r="F3133" s="155">
        <f ca="1">OFFSET('IWP01'!Std11dot4Hospitalization, 1,5, 1, 1)</f>
        <v>0</v>
      </c>
      <c r="G3133" s="155">
        <f ca="1">OFFSET('IWP01'!Std11dot4Hospitalization, 1,7, 1, 1)</f>
        <v>0</v>
      </c>
      <c r="H3133" s="155">
        <f ca="1">IF(OFFSET('IWP01'!Std11dot4Hospitalization, 1,8, 1, 1)="",0,OFFSET('IWP01'!Std11dot4Hospitalization, 1,8, 1, 1))</f>
        <v>0</v>
      </c>
      <c r="I3133" s="157">
        <f ca="1">IF(OFFSET('IWP01'!Std11dot4Hospitalization, 1, 10, 1, 1) = DATE(1900,1,0),DATE(1900,1,1),OFFSET('IWP01'!Std11dot4Hospitalization, 1, 10, 1, 1))</f>
        <v>1</v>
      </c>
      <c r="J3133" s="158">
        <f ca="1">IF(OFFSET('IWP01'!Std11dot4Hospitalization, 1, 12, 1, 1) = DATE(1900,1,0),DATE(1900,1,1),OFFSET('IWP01'!Std11dot4Hospitalization, 1, 12, 1, 1))</f>
        <v>1</v>
      </c>
    </row>
    <row r="3134" spans="1:10">
      <c r="A3134" s="206" t="s">
        <v>1060</v>
      </c>
      <c r="B3134" s="157">
        <f ca="1">IF(OFFSET('IWP01'!Std11dot4Hospitalization, 2, 0, 1, 1) = DATE(1900,1,0),DATE(1900,1,1),OFFSET('IWP01'!Std11dot4Hospitalization, 2, 0, 1, 1))</f>
        <v>1</v>
      </c>
      <c r="C3134" s="157">
        <f ca="1">IF(OFFSET('IWP01'!Std11dot4Hospitalization, 2, 1, 1, 1) = DATE(1900,1,0),DATE(1900,1,1),OFFSET('IWP01'!Std11dot4Hospitalization, 2, 1, 1, 1))</f>
        <v>1</v>
      </c>
      <c r="D3134" s="13">
        <f ca="1">OFFSET('IWP01'!Std11dot4Hospitalization, 2, 2, 1, 1)</f>
        <v>0</v>
      </c>
      <c r="E3134" s="155">
        <f ca="1">OFFSET('IWP01'!Std11dot4Hospitalization, 2, 3, 1, 1)</f>
        <v>0</v>
      </c>
      <c r="F3134" s="155">
        <f ca="1">OFFSET('IWP01'!Std11dot4Hospitalization, 2,5, 1, 1)</f>
        <v>0</v>
      </c>
      <c r="G3134" s="155">
        <f ca="1">OFFSET('IWP01'!Std11dot4Hospitalization, 2,7, 1, 1)</f>
        <v>0</v>
      </c>
      <c r="H3134" s="155">
        <f ca="1">IF(OFFSET('IWP01'!Std11dot4Hospitalization, 2,8, 1, 1)="",0,OFFSET('IWP01'!Std11dot4Hospitalization, 2,8, 1, 1))</f>
        <v>0</v>
      </c>
      <c r="I3134" s="157">
        <f ca="1">IF(OFFSET('IWP01'!Std11dot4Hospitalization, 2, 10, 1, 1) = DATE(1900,1,0),DATE(1900,1,1),OFFSET('IWP01'!Std11dot4Hospitalization, 2, 10, 1, 1))</f>
        <v>1</v>
      </c>
      <c r="J3134" s="158">
        <f ca="1">IF(OFFSET('IWP01'!Std11dot4Hospitalization, 2, 12, 1, 1) = DATE(1900,1,0),DATE(1900,1,1),OFFSET('IWP01'!Std11dot4Hospitalization, 2, 12, 1, 1))</f>
        <v>1</v>
      </c>
    </row>
    <row r="3135" spans="1:10">
      <c r="A3135" s="206" t="s">
        <v>1060</v>
      </c>
      <c r="B3135" s="157">
        <f ca="1">IF(OFFSET('IWP01'!Std11dot4Hospitalization, 3, 0, 1, 1) = DATE(1900,1,0),DATE(1900,1,1),OFFSET('IWP01'!Std11dot4Hospitalization, 3, 0, 1, 1))</f>
        <v>1</v>
      </c>
      <c r="C3135" s="157">
        <f ca="1">IF(OFFSET('IWP01'!Std11dot4Hospitalization, 3, 1, 1, 1) = DATE(1900,1,0),DATE(1900,1,1),OFFSET('IWP01'!Std11dot4Hospitalization, 3, 1, 1, 1))</f>
        <v>1</v>
      </c>
      <c r="D3135" s="13">
        <f ca="1">OFFSET('IWP01'!Std11dot4Hospitalization, 3, 2, 1, 1)</f>
        <v>0</v>
      </c>
      <c r="E3135" s="155">
        <f ca="1">OFFSET('IWP01'!Std11dot4Hospitalization, 3, 3, 1, 1)</f>
        <v>0</v>
      </c>
      <c r="F3135" s="155">
        <f ca="1">OFFSET('IWP01'!Std11dot4Hospitalization, 3,5, 1, 1)</f>
        <v>0</v>
      </c>
      <c r="G3135" s="155">
        <f ca="1">OFFSET('IWP01'!Std11dot4Hospitalization, 3,7, 1, 1)</f>
        <v>0</v>
      </c>
      <c r="H3135" s="155">
        <f ca="1">IF(OFFSET('IWP01'!Std11dot4Hospitalization, 3,8, 1, 1)="",0,OFFSET('IWP01'!Std11dot4Hospitalization, 3,8, 1, 1))</f>
        <v>0</v>
      </c>
      <c r="I3135" s="157">
        <f ca="1">IF(OFFSET('IWP01'!Std11dot4Hospitalization, 3, 10, 1, 1) = DATE(1900,1,0),DATE(1900,1,1),OFFSET('IWP01'!Std11dot4Hospitalization, 3, 10, 1, 1))</f>
        <v>1</v>
      </c>
      <c r="J3135" s="158">
        <f ca="1">IF(OFFSET('IWP01'!Std11dot4Hospitalization, 3, 12, 1, 1) = DATE(1900,1,0),DATE(1900,1,1),OFFSET('IWP01'!Std11dot4Hospitalization, 3, 12, 1, 1))</f>
        <v>1</v>
      </c>
    </row>
    <row r="3136" spans="1:10">
      <c r="A3136" s="206" t="s">
        <v>1060</v>
      </c>
      <c r="B3136" s="157">
        <f ca="1">IF(OFFSET('IWP01'!Std11dot4Hospitalization, 4, 0, 1, 1) = DATE(1900,1,0),DATE(1900,1,1),OFFSET('IWP01'!Std11dot4Hospitalization, 4, 0, 1, 1))</f>
        <v>1</v>
      </c>
      <c r="C3136" s="157">
        <f ca="1">IF(OFFSET('IWP01'!Std11dot4Hospitalization, 4, 1, 1, 1) = DATE(1900,1,0),DATE(1900,1,1),OFFSET('IWP01'!Std11dot4Hospitalization, 4, 1, 1, 1))</f>
        <v>1</v>
      </c>
      <c r="D3136" s="13">
        <f ca="1">OFFSET('IWP01'!Std11dot4Hospitalization, 4, 2, 1, 1)</f>
        <v>0</v>
      </c>
      <c r="E3136" s="155">
        <f ca="1">OFFSET('IWP01'!Std11dot4Hospitalization, 4, 3, 1, 1)</f>
        <v>0</v>
      </c>
      <c r="F3136" s="155">
        <f ca="1">OFFSET('IWP01'!Std11dot4Hospitalization, 4,5, 1, 1)</f>
        <v>0</v>
      </c>
      <c r="G3136" s="155">
        <f ca="1">OFFSET('IWP01'!Std11dot4Hospitalization, 4,7, 1, 1)</f>
        <v>0</v>
      </c>
      <c r="H3136" s="155">
        <f ca="1">IF(OFFSET('IWP01'!Std11dot4Hospitalization, 4,8, 1, 1)="",0,OFFSET('IWP01'!Std11dot4Hospitalization, 4,8, 1, 1))</f>
        <v>0</v>
      </c>
      <c r="I3136" s="157">
        <f ca="1">IF(OFFSET('IWP01'!Std11dot4Hospitalization, 4, 10, 1, 1) = DATE(1900,1,0),DATE(1900,1,1),OFFSET('IWP01'!Std11dot4Hospitalization, 4, 10, 1, 1))</f>
        <v>1</v>
      </c>
      <c r="J3136" s="158">
        <f ca="1">IF(OFFSET('IWP01'!Std11dot4Hospitalization, 4, 12, 1, 1) = DATE(1900,1,0),DATE(1900,1,1),OFFSET('IWP01'!Std11dot4Hospitalization, 4, 12, 1, 1))</f>
        <v>1</v>
      </c>
    </row>
    <row r="3137" spans="1:10">
      <c r="A3137" s="206" t="s">
        <v>1060</v>
      </c>
      <c r="B3137" s="157">
        <f ca="1">IF(OFFSET('IWP01'!Std11dot4Hospitalization, 5, 0, 1, 1) = DATE(1900,1,0),DATE(1900,1,1),OFFSET('IWP01'!Std11dot4Hospitalization, 5, 0, 1, 1))</f>
        <v>1</v>
      </c>
      <c r="C3137" s="157">
        <f ca="1">IF(OFFSET('IWP01'!Std11dot4Hospitalization, 5, 1, 1, 1) = DATE(1900,1,0),DATE(1900,1,1),OFFSET('IWP01'!Std11dot4Hospitalization, 5, 1, 1, 1))</f>
        <v>1</v>
      </c>
      <c r="D3137" s="13">
        <f ca="1">OFFSET('IWP01'!Std11dot4Hospitalization, 5, 2, 1, 1)</f>
        <v>0</v>
      </c>
      <c r="E3137" s="155">
        <f ca="1">OFFSET('IWP01'!Std11dot4Hospitalization, 5, 3, 1, 1)</f>
        <v>0</v>
      </c>
      <c r="F3137" s="155">
        <f ca="1">OFFSET('IWP01'!Std11dot4Hospitalization, 5,5, 1, 1)</f>
        <v>0</v>
      </c>
      <c r="G3137" s="155">
        <f ca="1">OFFSET('IWP01'!Std11dot4Hospitalization, 5,7, 1, 1)</f>
        <v>0</v>
      </c>
      <c r="H3137" s="155">
        <f ca="1">IF(OFFSET('IWP01'!Std11dot4Hospitalization, 5,8, 1, 1)="",0,OFFSET('IWP01'!Std11dot4Hospitalization, 5,8, 1, 1))</f>
        <v>0</v>
      </c>
      <c r="I3137" s="157">
        <f ca="1">IF(OFFSET('IWP01'!Std11dot4Hospitalization, 5, 10, 1, 1) = DATE(1900,1,0),DATE(1900,1,1),OFFSET('IWP01'!Std11dot4Hospitalization, 5, 10, 1, 1))</f>
        <v>1</v>
      </c>
      <c r="J3137" s="158">
        <f ca="1">IF(OFFSET('IWP01'!Std11dot4Hospitalization, 5, 12, 1, 1) = DATE(1900,1,0),DATE(1900,1,1),OFFSET('IWP01'!Std11dot4Hospitalization, 5, 12, 1, 1))</f>
        <v>1</v>
      </c>
    </row>
    <row r="3138" spans="1:10">
      <c r="A3138" s="206" t="s">
        <v>1193</v>
      </c>
      <c r="B3138" s="157">
        <f ca="1">IF(OFFSET('IWP02'!Std11dot4Hospitalization, 0, 0, 1, 1) = DATE(1900,1,0),DATE(1900,1,1),OFFSET('IWP02'!Std11dot4Hospitalization, 0, 0, 1, 1))</f>
        <v>1</v>
      </c>
      <c r="C3138" s="157">
        <f ca="1">IF(OFFSET('IWP02'!Std11dot4Hospitalization, 0, 1, 1, 1) = DATE(1900,1,0),DATE(1900,1,1),OFFSET('IWP02'!Std11dot4Hospitalization, 0, 1, 1, 1))</f>
        <v>1</v>
      </c>
      <c r="D3138" s="13">
        <f ca="1">OFFSET('IWP02'!Std11dot4Hospitalization, 0, 2, 1, 1)</f>
        <v>0</v>
      </c>
      <c r="E3138" s="155">
        <f ca="1">OFFSET('IWP02'!Std11dot4Hospitalization, 0, 3, 1, 1)</f>
        <v>0</v>
      </c>
      <c r="F3138" s="155">
        <f ca="1">OFFSET('IWP02'!Std11dot4Hospitalization, 0,5, 1, 1)</f>
        <v>0</v>
      </c>
      <c r="G3138" s="155">
        <f ca="1">OFFSET('IWP02'!Std11dot4Hospitalization, 0,7, 1, 1)</f>
        <v>0</v>
      </c>
      <c r="H3138" s="155">
        <f ca="1">IF(OFFSET('IWP02'!Std11dot4Hospitalization, 0,8, 1, 1)="",0,OFFSET('IWP02'!Std11dot4Hospitalization, 0,8, 1, 1))</f>
        <v>0</v>
      </c>
      <c r="I3138" s="157">
        <f ca="1">IF(OFFSET('IWP02'!Std11dot4Hospitalization, 0, 10, 1, 1) = DATE(1900,1,0),DATE(1900,1,1),OFFSET('IWP02'!Std11dot4Hospitalization, 0, 10, 1, 1))</f>
        <v>1</v>
      </c>
      <c r="J3138" s="158">
        <f ca="1">IF(OFFSET('IWP02'!Std11dot4Hospitalization, 0, 12, 1, 1) = DATE(1900,1,0),DATE(1900,1,1),OFFSET('IWP02'!Std11dot4Hospitalization, 0, 12, 1, 1))</f>
        <v>1</v>
      </c>
    </row>
    <row r="3139" spans="1:10">
      <c r="A3139" s="206" t="s">
        <v>1193</v>
      </c>
      <c r="B3139" s="157">
        <f ca="1">IF(OFFSET('IWP02'!Std11dot4Hospitalization, 1, 0, 1, 1) = DATE(1900,1,0),DATE(1900,1,1),OFFSET('IWP02'!Std11dot4Hospitalization, 1, 0, 1, 1))</f>
        <v>1</v>
      </c>
      <c r="C3139" s="157">
        <f ca="1">IF(OFFSET('IWP02'!Std11dot4Hospitalization, 1, 1, 1, 1) = DATE(1900,1,0),DATE(1900,1,1),OFFSET('IWP02'!Std11dot4Hospitalization, 1, 1, 1, 1))</f>
        <v>1</v>
      </c>
      <c r="D3139" s="13">
        <f ca="1">OFFSET('IWP02'!Std11dot4Hospitalization, 1, 2, 1, 1)</f>
        <v>0</v>
      </c>
      <c r="E3139" s="155">
        <f ca="1">OFFSET('IWP02'!Std11dot4Hospitalization, 1, 3, 1, 1)</f>
        <v>0</v>
      </c>
      <c r="F3139" s="155">
        <f ca="1">OFFSET('IWP02'!Std11dot4Hospitalization, 1,5, 1, 1)</f>
        <v>0</v>
      </c>
      <c r="G3139" s="155">
        <f ca="1">OFFSET('IWP02'!Std11dot4Hospitalization, 1,7, 1, 1)</f>
        <v>0</v>
      </c>
      <c r="H3139" s="155">
        <f ca="1">IF(OFFSET('IWP02'!Std11dot4Hospitalization, 1,8, 1, 1)="",0,OFFSET('IWP02'!Std11dot4Hospitalization, 1,8, 1, 1))</f>
        <v>0</v>
      </c>
      <c r="I3139" s="157">
        <f ca="1">IF(OFFSET('IWP02'!Std11dot4Hospitalization, 1, 10, 1, 1) = DATE(1900,1,0),DATE(1900,1,1),OFFSET('IWP02'!Std11dot4Hospitalization, 1, 10, 1, 1))</f>
        <v>1</v>
      </c>
      <c r="J3139" s="158">
        <f ca="1">IF(OFFSET('IWP02'!Std11dot4Hospitalization, 1, 12, 1, 1) = DATE(1900,1,0),DATE(1900,1,1),OFFSET('IWP02'!Std11dot4Hospitalization, 1, 12, 1, 1))</f>
        <v>1</v>
      </c>
    </row>
    <row r="3140" spans="1:10">
      <c r="A3140" s="206" t="s">
        <v>1193</v>
      </c>
      <c r="B3140" s="157">
        <f ca="1">IF(OFFSET('IWP02'!Std11dot4Hospitalization, 2, 0, 1, 1) = DATE(1900,1,0),DATE(1900,1,1),OFFSET('IWP02'!Std11dot4Hospitalization, 2, 0, 1, 1))</f>
        <v>1</v>
      </c>
      <c r="C3140" s="157">
        <f ca="1">IF(OFFSET('IWP02'!Std11dot4Hospitalization, 2, 1, 1, 1) = DATE(1900,1,0),DATE(1900,1,1),OFFSET('IWP02'!Std11dot4Hospitalization, 2, 1, 1, 1))</f>
        <v>1</v>
      </c>
      <c r="D3140" s="13">
        <f ca="1">OFFSET('IWP02'!Std11dot4Hospitalization, 2, 2, 1, 1)</f>
        <v>0</v>
      </c>
      <c r="E3140" s="155">
        <f ca="1">OFFSET('IWP02'!Std11dot4Hospitalization, 2, 3, 1, 1)</f>
        <v>0</v>
      </c>
      <c r="F3140" s="155">
        <f ca="1">OFFSET('IWP02'!Std11dot4Hospitalization, 2,5, 1, 1)</f>
        <v>0</v>
      </c>
      <c r="G3140" s="155">
        <f ca="1">OFFSET('IWP02'!Std11dot4Hospitalization, 2,7, 1, 1)</f>
        <v>0</v>
      </c>
      <c r="H3140" s="155">
        <f ca="1">IF(OFFSET('IWP02'!Std11dot4Hospitalization, 2,8, 1, 1)="",0,OFFSET('IWP02'!Std11dot4Hospitalization, 2,8, 1, 1))</f>
        <v>0</v>
      </c>
      <c r="I3140" s="157">
        <f ca="1">IF(OFFSET('IWP02'!Std11dot4Hospitalization, 2, 10, 1, 1) = DATE(1900,1,0),DATE(1900,1,1),OFFSET('IWP02'!Std11dot4Hospitalization, 2, 10, 1, 1))</f>
        <v>1</v>
      </c>
      <c r="J3140" s="158">
        <f ca="1">IF(OFFSET('IWP02'!Std11dot4Hospitalization, 2, 12, 1, 1) = DATE(1900,1,0),DATE(1900,1,1),OFFSET('IWP02'!Std11dot4Hospitalization, 2, 12, 1, 1))</f>
        <v>1</v>
      </c>
    </row>
    <row r="3141" spans="1:10">
      <c r="A3141" s="206" t="s">
        <v>1193</v>
      </c>
      <c r="B3141" s="157">
        <f ca="1">IF(OFFSET('IWP02'!Std11dot4Hospitalization, 3, 0, 1, 1) = DATE(1900,1,0),DATE(1900,1,1),OFFSET('IWP02'!Std11dot4Hospitalization, 3, 0, 1, 1))</f>
        <v>1</v>
      </c>
      <c r="C3141" s="157">
        <f ca="1">IF(OFFSET('IWP02'!Std11dot4Hospitalization, 3, 1, 1, 1) = DATE(1900,1,0),DATE(1900,1,1),OFFSET('IWP02'!Std11dot4Hospitalization, 3, 1, 1, 1))</f>
        <v>1</v>
      </c>
      <c r="D3141" s="13">
        <f ca="1">OFFSET('IWP02'!Std11dot4Hospitalization, 3, 2, 1, 1)</f>
        <v>0</v>
      </c>
      <c r="E3141" s="155">
        <f ca="1">OFFSET('IWP02'!Std11dot4Hospitalization, 3, 3, 1, 1)</f>
        <v>0</v>
      </c>
      <c r="F3141" s="155">
        <f ca="1">OFFSET('IWP02'!Std11dot4Hospitalization, 3,5, 1, 1)</f>
        <v>0</v>
      </c>
      <c r="G3141" s="155">
        <f ca="1">OFFSET('IWP02'!Std11dot4Hospitalization, 3,7, 1, 1)</f>
        <v>0</v>
      </c>
      <c r="H3141" s="155">
        <f ca="1">IF(OFFSET('IWP02'!Std11dot4Hospitalization, 3,8, 1, 1)="",0,OFFSET('IWP02'!Std11dot4Hospitalization, 3,8, 1, 1))</f>
        <v>0</v>
      </c>
      <c r="I3141" s="157">
        <f ca="1">IF(OFFSET('IWP02'!Std11dot4Hospitalization, 3, 10, 1, 1) = DATE(1900,1,0),DATE(1900,1,1),OFFSET('IWP02'!Std11dot4Hospitalization, 3, 10, 1, 1))</f>
        <v>1</v>
      </c>
      <c r="J3141" s="158">
        <f ca="1">IF(OFFSET('IWP02'!Std11dot4Hospitalization, 3, 12, 1, 1) = DATE(1900,1,0),DATE(1900,1,1),OFFSET('IWP02'!Std11dot4Hospitalization, 3, 12, 1, 1))</f>
        <v>1</v>
      </c>
    </row>
    <row r="3142" spans="1:10">
      <c r="A3142" s="206" t="s">
        <v>1193</v>
      </c>
      <c r="B3142" s="157">
        <f ca="1">IF(OFFSET('IWP02'!Std11dot4Hospitalization, 4, 0, 1, 1) = DATE(1900,1,0),DATE(1900,1,1),OFFSET('IWP02'!Std11dot4Hospitalization, 4, 0, 1, 1))</f>
        <v>1</v>
      </c>
      <c r="C3142" s="157">
        <f ca="1">IF(OFFSET('IWP02'!Std11dot4Hospitalization, 4, 1, 1, 1) = DATE(1900,1,0),DATE(1900,1,1),OFFSET('IWP02'!Std11dot4Hospitalization, 4, 1, 1, 1))</f>
        <v>1</v>
      </c>
      <c r="D3142" s="13">
        <f ca="1">OFFSET('IWP02'!Std11dot4Hospitalization, 4, 2, 1, 1)</f>
        <v>0</v>
      </c>
      <c r="E3142" s="155">
        <f ca="1">OFFSET('IWP02'!Std11dot4Hospitalization, 4, 3, 1, 1)</f>
        <v>0</v>
      </c>
      <c r="F3142" s="155">
        <f ca="1">OFFSET('IWP02'!Std11dot4Hospitalization, 4,5, 1, 1)</f>
        <v>0</v>
      </c>
      <c r="G3142" s="155">
        <f ca="1">OFFSET('IWP02'!Std11dot4Hospitalization, 4,7, 1, 1)</f>
        <v>0</v>
      </c>
      <c r="H3142" s="155">
        <f ca="1">IF(OFFSET('IWP02'!Std11dot4Hospitalization, 4,8, 1, 1)="",0,OFFSET('IWP02'!Std11dot4Hospitalization, 4,8, 1, 1))</f>
        <v>0</v>
      </c>
      <c r="I3142" s="157">
        <f ca="1">IF(OFFSET('IWP02'!Std11dot4Hospitalization, 4, 10, 1, 1) = DATE(1900,1,0),DATE(1900,1,1),OFFSET('IWP02'!Std11dot4Hospitalization, 4, 10, 1, 1))</f>
        <v>1</v>
      </c>
      <c r="J3142" s="158">
        <f ca="1">IF(OFFSET('IWP02'!Std11dot4Hospitalization, 4, 12, 1, 1) = DATE(1900,1,0),DATE(1900,1,1),OFFSET('IWP02'!Std11dot4Hospitalization, 4, 12, 1, 1))</f>
        <v>1</v>
      </c>
    </row>
    <row r="3143" spans="1:10">
      <c r="A3143" s="206" t="s">
        <v>1193</v>
      </c>
      <c r="B3143" s="157">
        <f ca="1">IF(OFFSET('IWP02'!Std11dot4Hospitalization, 5, 0, 1, 1) = DATE(1900,1,0),DATE(1900,1,1),OFFSET('IWP02'!Std11dot4Hospitalization, 5, 0, 1, 1))</f>
        <v>1</v>
      </c>
      <c r="C3143" s="157">
        <f ca="1">IF(OFFSET('IWP02'!Std11dot4Hospitalization, 5, 1, 1, 1) = DATE(1900,1,0),DATE(1900,1,1),OFFSET('IWP02'!Std11dot4Hospitalization, 5, 1, 1, 1))</f>
        <v>1</v>
      </c>
      <c r="D3143" s="13">
        <f ca="1">OFFSET('IWP02'!Std11dot4Hospitalization, 5, 2, 1, 1)</f>
        <v>0</v>
      </c>
      <c r="E3143" s="155">
        <f ca="1">OFFSET('IWP02'!Std11dot4Hospitalization, 5, 3, 1, 1)</f>
        <v>0</v>
      </c>
      <c r="F3143" s="155">
        <f ca="1">OFFSET('IWP02'!Std11dot4Hospitalization, 5,5, 1, 1)</f>
        <v>0</v>
      </c>
      <c r="G3143" s="155">
        <f ca="1">OFFSET('IWP02'!Std11dot4Hospitalization, 5,7, 1, 1)</f>
        <v>0</v>
      </c>
      <c r="H3143" s="155">
        <f ca="1">IF(OFFSET('IWP02'!Std11dot4Hospitalization, 5,8, 1, 1)="",0,OFFSET('IWP02'!Std11dot4Hospitalization, 5,8, 1, 1))</f>
        <v>0</v>
      </c>
      <c r="I3143" s="157">
        <f ca="1">IF(OFFSET('IWP02'!Std11dot4Hospitalization, 5, 10, 1, 1) = DATE(1900,1,0),DATE(1900,1,1),OFFSET('IWP02'!Std11dot4Hospitalization, 5, 10, 1, 1))</f>
        <v>1</v>
      </c>
      <c r="J3143" s="158">
        <f ca="1">IF(OFFSET('IWP02'!Std11dot4Hospitalization, 5, 12, 1, 1) = DATE(1900,1,0),DATE(1900,1,1),OFFSET('IWP02'!Std11dot4Hospitalization, 5, 12, 1, 1))</f>
        <v>1</v>
      </c>
    </row>
    <row r="3144" spans="1:10">
      <c r="A3144" s="206" t="s">
        <v>1194</v>
      </c>
      <c r="B3144" s="157">
        <f ca="1">IF(OFFSET('IWP03'!Std11dot4Hospitalization, 0, 0, 1, 1) = DATE(1900,1,0),DATE(1900,1,1),OFFSET('IWP03'!Std11dot4Hospitalization, 0, 0, 1, 1))</f>
        <v>1</v>
      </c>
      <c r="C3144" s="157">
        <f ca="1">IF(OFFSET('IWP03'!Std11dot4Hospitalization, 0, 1, 1, 1) = DATE(1900,1,0),DATE(1900,1,1),OFFSET('IWP03'!Std11dot4Hospitalization, 0, 1, 1, 1))</f>
        <v>1</v>
      </c>
      <c r="D3144" s="13">
        <f ca="1">OFFSET('IWP03'!Std11dot4Hospitalization, 0, 2, 1, 1)</f>
        <v>0</v>
      </c>
      <c r="E3144" s="155">
        <f ca="1">OFFSET('IWP03'!Std11dot4Hospitalization, 0, 3, 1, 1)</f>
        <v>0</v>
      </c>
      <c r="F3144" s="155">
        <f ca="1">OFFSET('IWP03'!Std11dot4Hospitalization, 0,5, 1, 1)</f>
        <v>0</v>
      </c>
      <c r="G3144" s="155">
        <f ca="1">OFFSET('IWP03'!Std11dot4Hospitalization, 0,7, 1, 1)</f>
        <v>0</v>
      </c>
      <c r="H3144" s="155">
        <f ca="1">IF(OFFSET('IWP03'!Std11dot4Hospitalization, 0,8, 1, 1)="",0,OFFSET('IWP03'!Std11dot4Hospitalization, 0,8, 1, 1))</f>
        <v>0</v>
      </c>
      <c r="I3144" s="157">
        <f ca="1">IF(OFFSET('IWP03'!Std11dot4Hospitalization, 0, 10, 1, 1) = DATE(1900,1,0),DATE(1900,1,1),OFFSET('IWP03'!Std11dot4Hospitalization, 0, 10, 1, 1))</f>
        <v>1</v>
      </c>
      <c r="J3144" s="158">
        <f ca="1">IF(OFFSET('IWP03'!Std11dot4Hospitalization, 0, 12, 1, 1) = DATE(1900,1,0),DATE(1900,1,1),OFFSET('IWP03'!Std11dot4Hospitalization, 0, 12, 1, 1))</f>
        <v>1</v>
      </c>
    </row>
    <row r="3145" spans="1:10">
      <c r="A3145" s="206" t="s">
        <v>1194</v>
      </c>
      <c r="B3145" s="157">
        <f ca="1">IF(OFFSET('IWP03'!Std11dot4Hospitalization, 1, 0, 1, 1) = DATE(1900,1,0),DATE(1900,1,1),OFFSET('IWP03'!Std11dot4Hospitalization, 1, 0, 1, 1))</f>
        <v>1</v>
      </c>
      <c r="C3145" s="157">
        <f ca="1">IF(OFFSET('IWP03'!Std11dot4Hospitalization, 1, 1, 1, 1) = DATE(1900,1,0),DATE(1900,1,1),OFFSET('IWP03'!Std11dot4Hospitalization, 1, 1, 1, 1))</f>
        <v>1</v>
      </c>
      <c r="D3145" s="13">
        <f ca="1">OFFSET('IWP03'!Std11dot4Hospitalization, 1, 2, 1, 1)</f>
        <v>0</v>
      </c>
      <c r="E3145" s="155">
        <f ca="1">OFFSET('IWP03'!Std11dot4Hospitalization, 1, 3, 1, 1)</f>
        <v>0</v>
      </c>
      <c r="F3145" s="155">
        <f ca="1">OFFSET('IWP03'!Std11dot4Hospitalization, 1,5, 1, 1)</f>
        <v>0</v>
      </c>
      <c r="G3145" s="155">
        <f ca="1">OFFSET('IWP03'!Std11dot4Hospitalization, 1,7, 1, 1)</f>
        <v>0</v>
      </c>
      <c r="H3145" s="155">
        <f ca="1">IF(OFFSET('IWP03'!Std11dot4Hospitalization, 1,8, 1, 1)="",0,OFFSET('IWP03'!Std11dot4Hospitalization, 1,8, 1, 1))</f>
        <v>0</v>
      </c>
      <c r="I3145" s="157">
        <f ca="1">IF(OFFSET('IWP03'!Std11dot4Hospitalization, 1, 10, 1, 1) = DATE(1900,1,0),DATE(1900,1,1),OFFSET('IWP03'!Std11dot4Hospitalization, 1, 10, 1, 1))</f>
        <v>1</v>
      </c>
      <c r="J3145" s="158">
        <f ca="1">IF(OFFSET('IWP03'!Std11dot4Hospitalization, 1, 12, 1, 1) = DATE(1900,1,0),DATE(1900,1,1),OFFSET('IWP03'!Std11dot4Hospitalization, 1, 12, 1, 1))</f>
        <v>1</v>
      </c>
    </row>
    <row r="3146" spans="1:10">
      <c r="A3146" s="206" t="s">
        <v>1194</v>
      </c>
      <c r="B3146" s="157">
        <f ca="1">IF(OFFSET('IWP03'!Std11dot4Hospitalization, 2, 0, 1, 1) = DATE(1900,1,0),DATE(1900,1,1),OFFSET('IWP03'!Std11dot4Hospitalization, 2, 0, 1, 1))</f>
        <v>1</v>
      </c>
      <c r="C3146" s="157">
        <f ca="1">IF(OFFSET('IWP03'!Std11dot4Hospitalization, 2, 1, 1, 1) = DATE(1900,1,0),DATE(1900,1,1),OFFSET('IWP03'!Std11dot4Hospitalization, 2, 1, 1, 1))</f>
        <v>1</v>
      </c>
      <c r="D3146" s="13">
        <f ca="1">OFFSET('IWP03'!Std11dot4Hospitalization, 2, 2, 1, 1)</f>
        <v>0</v>
      </c>
      <c r="E3146" s="155">
        <f ca="1">OFFSET('IWP03'!Std11dot4Hospitalization, 2, 3, 1, 1)</f>
        <v>0</v>
      </c>
      <c r="F3146" s="155">
        <f ca="1">OFFSET('IWP03'!Std11dot4Hospitalization, 2,5, 1, 1)</f>
        <v>0</v>
      </c>
      <c r="G3146" s="155">
        <f ca="1">OFFSET('IWP03'!Std11dot4Hospitalization, 2,7, 1, 1)</f>
        <v>0</v>
      </c>
      <c r="H3146" s="155">
        <f ca="1">IF(OFFSET('IWP03'!Std11dot4Hospitalization, 2,8, 1, 1)="",0,OFFSET('IWP03'!Std11dot4Hospitalization, 2,8, 1, 1))</f>
        <v>0</v>
      </c>
      <c r="I3146" s="157">
        <f ca="1">IF(OFFSET('IWP03'!Std11dot4Hospitalization, 2, 10, 1, 1) = DATE(1900,1,0),DATE(1900,1,1),OFFSET('IWP03'!Std11dot4Hospitalization, 2, 10, 1, 1))</f>
        <v>1</v>
      </c>
      <c r="J3146" s="158">
        <f ca="1">IF(OFFSET('IWP03'!Std11dot4Hospitalization, 2, 12, 1, 1) = DATE(1900,1,0),DATE(1900,1,1),OFFSET('IWP03'!Std11dot4Hospitalization, 2, 12, 1, 1))</f>
        <v>1</v>
      </c>
    </row>
    <row r="3147" spans="1:10">
      <c r="A3147" s="206" t="s">
        <v>1194</v>
      </c>
      <c r="B3147" s="157">
        <f ca="1">IF(OFFSET('IWP03'!Std11dot4Hospitalization, 3, 0, 1, 1) = DATE(1900,1,0),DATE(1900,1,1),OFFSET('IWP03'!Std11dot4Hospitalization, 3, 0, 1, 1))</f>
        <v>1</v>
      </c>
      <c r="C3147" s="157">
        <f ca="1">IF(OFFSET('IWP03'!Std11dot4Hospitalization, 3, 1, 1, 1) = DATE(1900,1,0),DATE(1900,1,1),OFFSET('IWP03'!Std11dot4Hospitalization, 3, 1, 1, 1))</f>
        <v>1</v>
      </c>
      <c r="D3147" s="13">
        <f ca="1">OFFSET('IWP03'!Std11dot4Hospitalization, 3, 2, 1, 1)</f>
        <v>0</v>
      </c>
      <c r="E3147" s="155">
        <f ca="1">OFFSET('IWP03'!Std11dot4Hospitalization, 3, 3, 1, 1)</f>
        <v>0</v>
      </c>
      <c r="F3147" s="155">
        <f ca="1">OFFSET('IWP03'!Std11dot4Hospitalization, 3,5, 1, 1)</f>
        <v>0</v>
      </c>
      <c r="G3147" s="155">
        <f ca="1">OFFSET('IWP03'!Std11dot4Hospitalization, 3,7, 1, 1)</f>
        <v>0</v>
      </c>
      <c r="H3147" s="155">
        <f ca="1">IF(OFFSET('IWP03'!Std11dot4Hospitalization, 3,8, 1, 1)="",0,OFFSET('IWP03'!Std11dot4Hospitalization, 3,8, 1, 1))</f>
        <v>0</v>
      </c>
      <c r="I3147" s="157">
        <f ca="1">IF(OFFSET('IWP03'!Std11dot4Hospitalization, 3, 10, 1, 1) = DATE(1900,1,0),DATE(1900,1,1),OFFSET('IWP03'!Std11dot4Hospitalization, 3, 10, 1, 1))</f>
        <v>1</v>
      </c>
      <c r="J3147" s="158">
        <f ca="1">IF(OFFSET('IWP03'!Std11dot4Hospitalization, 3, 12, 1, 1) = DATE(1900,1,0),DATE(1900,1,1),OFFSET('IWP03'!Std11dot4Hospitalization, 3, 12, 1, 1))</f>
        <v>1</v>
      </c>
    </row>
    <row r="3148" spans="1:10">
      <c r="A3148" s="206" t="s">
        <v>1194</v>
      </c>
      <c r="B3148" s="157">
        <f ca="1">IF(OFFSET('IWP03'!Std11dot4Hospitalization, 4, 0, 1, 1) = DATE(1900,1,0),DATE(1900,1,1),OFFSET('IWP03'!Std11dot4Hospitalization, 4, 0, 1, 1))</f>
        <v>1</v>
      </c>
      <c r="C3148" s="157">
        <f ca="1">IF(OFFSET('IWP03'!Std11dot4Hospitalization, 4, 1, 1, 1) = DATE(1900,1,0),DATE(1900,1,1),OFFSET('IWP03'!Std11dot4Hospitalization, 4, 1, 1, 1))</f>
        <v>1</v>
      </c>
      <c r="D3148" s="13">
        <f ca="1">OFFSET('IWP03'!Std11dot4Hospitalization, 4, 2, 1, 1)</f>
        <v>0</v>
      </c>
      <c r="E3148" s="155">
        <f ca="1">OFFSET('IWP03'!Std11dot4Hospitalization, 4, 3, 1, 1)</f>
        <v>0</v>
      </c>
      <c r="F3148" s="155">
        <f ca="1">OFFSET('IWP03'!Std11dot4Hospitalization, 4,5, 1, 1)</f>
        <v>0</v>
      </c>
      <c r="G3148" s="155">
        <f ca="1">OFFSET('IWP03'!Std11dot4Hospitalization, 4,7, 1, 1)</f>
        <v>0</v>
      </c>
      <c r="H3148" s="155">
        <f ca="1">IF(OFFSET('IWP03'!Std11dot4Hospitalization, 4,8, 1, 1)="",0,OFFSET('IWP03'!Std11dot4Hospitalization, 4,8, 1, 1))</f>
        <v>0</v>
      </c>
      <c r="I3148" s="157">
        <f ca="1">IF(OFFSET('IWP03'!Std11dot4Hospitalization, 4, 10, 1, 1) = DATE(1900,1,0),DATE(1900,1,1),OFFSET('IWP03'!Std11dot4Hospitalization, 4, 10, 1, 1))</f>
        <v>1</v>
      </c>
      <c r="J3148" s="158">
        <f ca="1">IF(OFFSET('IWP03'!Std11dot4Hospitalization, 4, 12, 1, 1) = DATE(1900,1,0),DATE(1900,1,1),OFFSET('IWP03'!Std11dot4Hospitalization, 4, 12, 1, 1))</f>
        <v>1</v>
      </c>
    </row>
    <row r="3149" spans="1:10">
      <c r="A3149" s="206" t="s">
        <v>1194</v>
      </c>
      <c r="B3149" s="157">
        <f ca="1">IF(OFFSET('IWP03'!Std11dot4Hospitalization, 5, 0, 1, 1) = DATE(1900,1,0),DATE(1900,1,1),OFFSET('IWP03'!Std11dot4Hospitalization, 5, 0, 1, 1))</f>
        <v>1</v>
      </c>
      <c r="C3149" s="157">
        <f ca="1">IF(OFFSET('IWP03'!Std11dot4Hospitalization, 5, 1, 1, 1) = DATE(1900,1,0),DATE(1900,1,1),OFFSET('IWP03'!Std11dot4Hospitalization, 5, 1, 1, 1))</f>
        <v>1</v>
      </c>
      <c r="D3149" s="13">
        <f ca="1">OFFSET('IWP03'!Std11dot4Hospitalization, 5, 2, 1, 1)</f>
        <v>0</v>
      </c>
      <c r="E3149" s="155">
        <f ca="1">OFFSET('IWP03'!Std11dot4Hospitalization, 5, 3, 1, 1)</f>
        <v>0</v>
      </c>
      <c r="F3149" s="155">
        <f ca="1">OFFSET('IWP03'!Std11dot4Hospitalization, 5,5, 1, 1)</f>
        <v>0</v>
      </c>
      <c r="G3149" s="155">
        <f ca="1">OFFSET('IWP03'!Std11dot4Hospitalization, 5,7, 1, 1)</f>
        <v>0</v>
      </c>
      <c r="H3149" s="155">
        <f ca="1">IF(OFFSET('IWP03'!Std11dot4Hospitalization, 5,8, 1, 1)="",0,OFFSET('IWP03'!Std11dot4Hospitalization, 5,8, 1, 1))</f>
        <v>0</v>
      </c>
      <c r="I3149" s="157">
        <f ca="1">IF(OFFSET('IWP03'!Std11dot4Hospitalization, 5, 10, 1, 1) = DATE(1900,1,0),DATE(1900,1,1),OFFSET('IWP03'!Std11dot4Hospitalization, 5, 10, 1, 1))</f>
        <v>1</v>
      </c>
      <c r="J3149" s="158">
        <f ca="1">IF(OFFSET('IWP03'!Std11dot4Hospitalization, 5, 12, 1, 1) = DATE(1900,1,0),DATE(1900,1,1),OFFSET('IWP03'!Std11dot4Hospitalization, 5, 12, 1, 1))</f>
        <v>1</v>
      </c>
    </row>
    <row r="3150" spans="1:10">
      <c r="A3150" s="206" t="s">
        <v>1307</v>
      </c>
      <c r="B3150" s="157">
        <f ca="1">IF(OFFSET('IWP04'!Std11dot4Hospitalization, 0, 0, 1, 1) = DATE(1900,1,0),DATE(1900,1,1),OFFSET('IWP04'!Std11dot4Hospitalization, 0, 0, 1, 1))</f>
        <v>1</v>
      </c>
      <c r="C3150" s="157">
        <f ca="1">IF(OFFSET('IWP04'!Std11dot4Hospitalization, 0, 1, 1, 1) = DATE(1900,1,0),DATE(1900,1,1),OFFSET('IWP04'!Std11dot4Hospitalization, 0, 1, 1, 1))</f>
        <v>1</v>
      </c>
      <c r="D3150" s="13">
        <f ca="1">OFFSET('IWP04'!Std11dot4Hospitalization, 0, 2, 1, 1)</f>
        <v>0</v>
      </c>
      <c r="E3150" s="155">
        <f ca="1">OFFSET('IWP04'!Std11dot4Hospitalization, 0, 3, 1, 1)</f>
        <v>0</v>
      </c>
      <c r="F3150" s="155">
        <f ca="1">OFFSET('IWP04'!Std11dot4Hospitalization, 0,5, 1, 1)</f>
        <v>0</v>
      </c>
      <c r="G3150" s="155">
        <f ca="1">OFFSET('IWP04'!Std11dot4Hospitalization, 0,7, 1, 1)</f>
        <v>0</v>
      </c>
      <c r="H3150" s="155">
        <f ca="1">IF(OFFSET('IWP04'!Std11dot4Hospitalization, 0,8, 1, 1)="",0,OFFSET('IWP04'!Std11dot4Hospitalization, 0,8, 1, 1))</f>
        <v>0</v>
      </c>
      <c r="I3150" s="157">
        <f ca="1">IF(OFFSET('IWP04'!Std11dot4Hospitalization, 0, 10, 1, 1) = DATE(1900,1,0),DATE(1900,1,1),OFFSET('IWP04'!Std11dot4Hospitalization, 0, 10, 1, 1))</f>
        <v>1</v>
      </c>
      <c r="J3150" s="158">
        <f ca="1">IF(OFFSET('IWP04'!Std11dot4Hospitalization, 0, 12, 1, 1) = DATE(1900,1,0),DATE(1900,1,1),OFFSET('IWP04'!Std11dot4Hospitalization, 0, 12, 1, 1))</f>
        <v>1</v>
      </c>
    </row>
    <row r="3151" spans="1:10">
      <c r="A3151" s="206" t="s">
        <v>1307</v>
      </c>
      <c r="B3151" s="157">
        <f ca="1">IF(OFFSET('IWP04'!Std11dot4Hospitalization, 1, 0, 1, 1) = DATE(1900,1,0),DATE(1900,1,1),OFFSET('IWP04'!Std11dot4Hospitalization, 1, 0, 1, 1))</f>
        <v>1</v>
      </c>
      <c r="C3151" s="157">
        <f ca="1">IF(OFFSET('IWP04'!Std11dot4Hospitalization, 1, 1, 1, 1) = DATE(1900,1,0),DATE(1900,1,1),OFFSET('IWP04'!Std11dot4Hospitalization, 1, 1, 1, 1))</f>
        <v>1</v>
      </c>
      <c r="D3151" s="13">
        <f ca="1">OFFSET('IWP04'!Std11dot4Hospitalization, 1, 2, 1, 1)</f>
        <v>0</v>
      </c>
      <c r="E3151" s="155">
        <f ca="1">OFFSET('IWP04'!Std11dot4Hospitalization, 1, 3, 1, 1)</f>
        <v>0</v>
      </c>
      <c r="F3151" s="155">
        <f ca="1">OFFSET('IWP04'!Std11dot4Hospitalization, 1,5, 1, 1)</f>
        <v>0</v>
      </c>
      <c r="G3151" s="155">
        <f ca="1">OFFSET('IWP04'!Std11dot4Hospitalization, 1,7, 1, 1)</f>
        <v>0</v>
      </c>
      <c r="H3151" s="155">
        <f ca="1">IF(OFFSET('IWP04'!Std11dot4Hospitalization, 1,8, 1, 1)="",0,OFFSET('IWP04'!Std11dot4Hospitalization, 1,8, 1, 1))</f>
        <v>0</v>
      </c>
      <c r="I3151" s="157">
        <f ca="1">IF(OFFSET('IWP04'!Std11dot4Hospitalization, 1, 10, 1, 1) = DATE(1900,1,0),DATE(1900,1,1),OFFSET('IWP04'!Std11dot4Hospitalization, 1, 10, 1, 1))</f>
        <v>1</v>
      </c>
      <c r="J3151" s="158">
        <f ca="1">IF(OFFSET('IWP04'!Std11dot4Hospitalization, 1, 12, 1, 1) = DATE(1900,1,0),DATE(1900,1,1),OFFSET('IWP04'!Std11dot4Hospitalization, 1, 12, 1, 1))</f>
        <v>1</v>
      </c>
    </row>
    <row r="3152" spans="1:10">
      <c r="A3152" s="206" t="s">
        <v>1307</v>
      </c>
      <c r="B3152" s="157">
        <f ca="1">IF(OFFSET('IWP04'!Std11dot4Hospitalization, 2, 0, 1, 1) = DATE(1900,1,0),DATE(1900,1,1),OFFSET('IWP04'!Std11dot4Hospitalization, 2, 0, 1, 1))</f>
        <v>1</v>
      </c>
      <c r="C3152" s="157">
        <f ca="1">IF(OFFSET('IWP04'!Std11dot4Hospitalization, 2, 1, 1, 1) = DATE(1900,1,0),DATE(1900,1,1),OFFSET('IWP04'!Std11dot4Hospitalization, 2, 1, 1, 1))</f>
        <v>1</v>
      </c>
      <c r="D3152" s="13">
        <f ca="1">OFFSET('IWP04'!Std11dot4Hospitalization, 2, 2, 1, 1)</f>
        <v>0</v>
      </c>
      <c r="E3152" s="155">
        <f ca="1">OFFSET('IWP04'!Std11dot4Hospitalization, 2, 3, 1, 1)</f>
        <v>0</v>
      </c>
      <c r="F3152" s="155">
        <f ca="1">OFFSET('IWP04'!Std11dot4Hospitalization, 2,5, 1, 1)</f>
        <v>0</v>
      </c>
      <c r="G3152" s="155">
        <f ca="1">OFFSET('IWP04'!Std11dot4Hospitalization, 2,7, 1, 1)</f>
        <v>0</v>
      </c>
      <c r="H3152" s="155">
        <f ca="1">IF(OFFSET('IWP04'!Std11dot4Hospitalization, 2,8, 1, 1)="",0,OFFSET('IWP04'!Std11dot4Hospitalization, 2,8, 1, 1))</f>
        <v>0</v>
      </c>
      <c r="I3152" s="157">
        <f ca="1">IF(OFFSET('IWP04'!Std11dot4Hospitalization, 2, 10, 1, 1) = DATE(1900,1,0),DATE(1900,1,1),OFFSET('IWP04'!Std11dot4Hospitalization, 2, 10, 1, 1))</f>
        <v>1</v>
      </c>
      <c r="J3152" s="158">
        <f ca="1">IF(OFFSET('IWP04'!Std11dot4Hospitalization, 2, 12, 1, 1) = DATE(1900,1,0),DATE(1900,1,1),OFFSET('IWP04'!Std11dot4Hospitalization, 2, 12, 1, 1))</f>
        <v>1</v>
      </c>
    </row>
    <row r="3153" spans="1:10">
      <c r="A3153" s="206" t="s">
        <v>1307</v>
      </c>
      <c r="B3153" s="157">
        <f ca="1">IF(OFFSET('IWP04'!Std11dot4Hospitalization, 3, 0, 1, 1) = DATE(1900,1,0),DATE(1900,1,1),OFFSET('IWP04'!Std11dot4Hospitalization, 3, 0, 1, 1))</f>
        <v>1</v>
      </c>
      <c r="C3153" s="157">
        <f ca="1">IF(OFFSET('IWP04'!Std11dot4Hospitalization, 3, 1, 1, 1) = DATE(1900,1,0),DATE(1900,1,1),OFFSET('IWP04'!Std11dot4Hospitalization, 3, 1, 1, 1))</f>
        <v>1</v>
      </c>
      <c r="D3153" s="13">
        <f ca="1">OFFSET('IWP04'!Std11dot4Hospitalization, 3, 2, 1, 1)</f>
        <v>0</v>
      </c>
      <c r="E3153" s="155">
        <f ca="1">OFFSET('IWP04'!Std11dot4Hospitalization, 3, 3, 1, 1)</f>
        <v>0</v>
      </c>
      <c r="F3153" s="155">
        <f ca="1">OFFSET('IWP04'!Std11dot4Hospitalization, 3,5, 1, 1)</f>
        <v>0</v>
      </c>
      <c r="G3153" s="155">
        <f ca="1">OFFSET('IWP04'!Std11dot4Hospitalization, 3,7, 1, 1)</f>
        <v>0</v>
      </c>
      <c r="H3153" s="155">
        <f ca="1">IF(OFFSET('IWP04'!Std11dot4Hospitalization, 3,8, 1, 1)="",0,OFFSET('IWP04'!Std11dot4Hospitalization, 3,8, 1, 1))</f>
        <v>0</v>
      </c>
      <c r="I3153" s="157">
        <f ca="1">IF(OFFSET('IWP04'!Std11dot4Hospitalization, 3, 10, 1, 1) = DATE(1900,1,0),DATE(1900,1,1),OFFSET('IWP04'!Std11dot4Hospitalization, 3, 10, 1, 1))</f>
        <v>1</v>
      </c>
      <c r="J3153" s="158">
        <f ca="1">IF(OFFSET('IWP04'!Std11dot4Hospitalization, 3, 12, 1, 1) = DATE(1900,1,0),DATE(1900,1,1),OFFSET('IWP04'!Std11dot4Hospitalization, 3, 12, 1, 1))</f>
        <v>1</v>
      </c>
    </row>
    <row r="3154" spans="1:10">
      <c r="A3154" s="206" t="s">
        <v>1307</v>
      </c>
      <c r="B3154" s="157">
        <f ca="1">IF(OFFSET('IWP04'!Std11dot4Hospitalization, 4, 0, 1, 1) = DATE(1900,1,0),DATE(1900,1,1),OFFSET('IWP04'!Std11dot4Hospitalization, 4, 0, 1, 1))</f>
        <v>1</v>
      </c>
      <c r="C3154" s="157">
        <f ca="1">IF(OFFSET('IWP04'!Std11dot4Hospitalization, 4, 1, 1, 1) = DATE(1900,1,0),DATE(1900,1,1),OFFSET('IWP04'!Std11dot4Hospitalization, 4, 1, 1, 1))</f>
        <v>1</v>
      </c>
      <c r="D3154" s="13">
        <f ca="1">OFFSET('IWP04'!Std11dot4Hospitalization, 4, 2, 1, 1)</f>
        <v>0</v>
      </c>
      <c r="E3154" s="155">
        <f ca="1">OFFSET('IWP04'!Std11dot4Hospitalization, 4, 3, 1, 1)</f>
        <v>0</v>
      </c>
      <c r="F3154" s="155">
        <f ca="1">OFFSET('IWP04'!Std11dot4Hospitalization, 4,5, 1, 1)</f>
        <v>0</v>
      </c>
      <c r="G3154" s="155">
        <f ca="1">OFFSET('IWP04'!Std11dot4Hospitalization, 4,7, 1, 1)</f>
        <v>0</v>
      </c>
      <c r="H3154" s="155">
        <f ca="1">IF(OFFSET('IWP04'!Std11dot4Hospitalization, 4,8, 1, 1)="",0,OFFSET('IWP04'!Std11dot4Hospitalization, 4,8, 1, 1))</f>
        <v>0</v>
      </c>
      <c r="I3154" s="157">
        <f ca="1">IF(OFFSET('IWP04'!Std11dot4Hospitalization, 4, 10, 1, 1) = DATE(1900,1,0),DATE(1900,1,1),OFFSET('IWP04'!Std11dot4Hospitalization, 4, 10, 1, 1))</f>
        <v>1</v>
      </c>
      <c r="J3154" s="158">
        <f ca="1">IF(OFFSET('IWP04'!Std11dot4Hospitalization, 4, 12, 1, 1) = DATE(1900,1,0),DATE(1900,1,1),OFFSET('IWP04'!Std11dot4Hospitalization, 4, 12, 1, 1))</f>
        <v>1</v>
      </c>
    </row>
    <row r="3155" spans="1:10">
      <c r="A3155" s="206" t="s">
        <v>1307</v>
      </c>
      <c r="B3155" s="157">
        <f ca="1">IF(OFFSET('IWP04'!Std11dot4Hospitalization, 5, 0, 1, 1) = DATE(1900,1,0),DATE(1900,1,1),OFFSET('IWP04'!Std11dot4Hospitalization, 5, 0, 1, 1))</f>
        <v>1</v>
      </c>
      <c r="C3155" s="157">
        <f ca="1">IF(OFFSET('IWP04'!Std11dot4Hospitalization, 5, 1, 1, 1) = DATE(1900,1,0),DATE(1900,1,1),OFFSET('IWP04'!Std11dot4Hospitalization, 5, 1, 1, 1))</f>
        <v>1</v>
      </c>
      <c r="D3155" s="13">
        <f ca="1">OFFSET('IWP04'!Std11dot4Hospitalization, 5, 2, 1, 1)</f>
        <v>0</v>
      </c>
      <c r="E3155" s="155">
        <f ca="1">OFFSET('IWP04'!Std11dot4Hospitalization, 5, 3, 1, 1)</f>
        <v>0</v>
      </c>
      <c r="F3155" s="155">
        <f ca="1">OFFSET('IWP04'!Std11dot4Hospitalization, 5,5, 1, 1)</f>
        <v>0</v>
      </c>
      <c r="G3155" s="155">
        <f ca="1">OFFSET('IWP04'!Std11dot4Hospitalization, 5,7, 1, 1)</f>
        <v>0</v>
      </c>
      <c r="H3155" s="155">
        <f ca="1">IF(OFFSET('IWP04'!Std11dot4Hospitalization, 5,8, 1, 1)="",0,OFFSET('IWP04'!Std11dot4Hospitalization, 5,8, 1, 1))</f>
        <v>0</v>
      </c>
      <c r="I3155" s="157">
        <f ca="1">IF(OFFSET('IWP04'!Std11dot4Hospitalization, 5, 10, 1, 1) = DATE(1900,1,0),DATE(1900,1,1),OFFSET('IWP04'!Std11dot4Hospitalization, 5, 10, 1, 1))</f>
        <v>1</v>
      </c>
      <c r="J3155" s="158">
        <f ca="1">IF(OFFSET('IWP04'!Std11dot4Hospitalization, 5, 12, 1, 1) = DATE(1900,1,0),DATE(1900,1,1),OFFSET('IWP04'!Std11dot4Hospitalization, 5, 12, 1, 1))</f>
        <v>1</v>
      </c>
    </row>
    <row r="3156" spans="1:10">
      <c r="A3156" s="206" t="s">
        <v>1308</v>
      </c>
      <c r="B3156" s="157">
        <f ca="1">IF(OFFSET('IWP05'!Std11dot4Hospitalization, 0, 0, 1, 1) = DATE(1900,1,0),DATE(1900,1,1),OFFSET('IWP05'!Std11dot4Hospitalization, 0, 0, 1, 1))</f>
        <v>1</v>
      </c>
      <c r="C3156" s="157">
        <f ca="1">IF(OFFSET('IWP05'!Std11dot4Hospitalization, 0, 1, 1, 1) = DATE(1900,1,0),DATE(1900,1,1),OFFSET('IWP05'!Std11dot4Hospitalization, 0, 1, 1, 1))</f>
        <v>1</v>
      </c>
      <c r="D3156" s="13">
        <f ca="1">OFFSET('IWP05'!Std11dot4Hospitalization, 0, 2, 1, 1)</f>
        <v>0</v>
      </c>
      <c r="E3156" s="155">
        <f ca="1">OFFSET('IWP05'!Std11dot4Hospitalization, 0, 3, 1, 1)</f>
        <v>0</v>
      </c>
      <c r="F3156" s="155">
        <f ca="1">OFFSET('IWP05'!Std11dot4Hospitalization, 0,5, 1, 1)</f>
        <v>0</v>
      </c>
      <c r="G3156" s="155">
        <f ca="1">OFFSET('IWP05'!Std11dot4Hospitalization, 0,7, 1, 1)</f>
        <v>0</v>
      </c>
      <c r="H3156" s="155">
        <f ca="1">IF(OFFSET('IWP05'!Std11dot4Hospitalization, 0,8, 1, 1)="",0,OFFSET('IWP05'!Std11dot4Hospitalization, 0,8, 1, 1))</f>
        <v>0</v>
      </c>
      <c r="I3156" s="157">
        <f ca="1">IF(OFFSET('IWP05'!Std11dot4Hospitalization, 0, 10, 1, 1) = DATE(1900,1,0),DATE(1900,1,1),OFFSET('IWP05'!Std11dot4Hospitalization, 0, 10, 1, 1))</f>
        <v>1</v>
      </c>
      <c r="J3156" s="158">
        <f ca="1">IF(OFFSET('IWP05'!Std11dot4Hospitalization, 0, 12, 1, 1) = DATE(1900,1,0),DATE(1900,1,1),OFFSET('IWP05'!Std11dot4Hospitalization, 0, 12, 1, 1))</f>
        <v>1</v>
      </c>
    </row>
    <row r="3157" spans="1:10">
      <c r="A3157" s="206" t="s">
        <v>1308</v>
      </c>
      <c r="B3157" s="157">
        <f ca="1">IF(OFFSET('IWP05'!Std11dot4Hospitalization, 1, 0, 1, 1) = DATE(1900,1,0),DATE(1900,1,1),OFFSET('IWP05'!Std11dot4Hospitalization, 1, 0, 1, 1))</f>
        <v>1</v>
      </c>
      <c r="C3157" s="157">
        <f ca="1">IF(OFFSET('IWP05'!Std11dot4Hospitalization, 1, 1, 1, 1) = DATE(1900,1,0),DATE(1900,1,1),OFFSET('IWP05'!Std11dot4Hospitalization, 1, 1, 1, 1))</f>
        <v>1</v>
      </c>
      <c r="D3157" s="13">
        <f ca="1">OFFSET('IWP05'!Std11dot4Hospitalization, 1, 2, 1, 1)</f>
        <v>0</v>
      </c>
      <c r="E3157" s="155">
        <f ca="1">OFFSET('IWP05'!Std11dot4Hospitalization, 1, 3, 1, 1)</f>
        <v>0</v>
      </c>
      <c r="F3157" s="155">
        <f ca="1">OFFSET('IWP05'!Std11dot4Hospitalization, 1,5, 1, 1)</f>
        <v>0</v>
      </c>
      <c r="G3157" s="155">
        <f ca="1">OFFSET('IWP05'!Std11dot4Hospitalization, 1,7, 1, 1)</f>
        <v>0</v>
      </c>
      <c r="H3157" s="155">
        <f ca="1">IF(OFFSET('IWP05'!Std11dot4Hospitalization, 1,8, 1, 1)="",0,OFFSET('IWP05'!Std11dot4Hospitalization, 1,8, 1, 1))</f>
        <v>0</v>
      </c>
      <c r="I3157" s="157">
        <f ca="1">IF(OFFSET('IWP05'!Std11dot4Hospitalization, 1, 10, 1, 1) = DATE(1900,1,0),DATE(1900,1,1),OFFSET('IWP05'!Std11dot4Hospitalization, 1, 10, 1, 1))</f>
        <v>1</v>
      </c>
      <c r="J3157" s="158">
        <f ca="1">IF(OFFSET('IWP05'!Std11dot4Hospitalization, 1, 12, 1, 1) = DATE(1900,1,0),DATE(1900,1,1),OFFSET('IWP05'!Std11dot4Hospitalization, 1, 12, 1, 1))</f>
        <v>1</v>
      </c>
    </row>
    <row r="3158" spans="1:10">
      <c r="A3158" s="206" t="s">
        <v>1308</v>
      </c>
      <c r="B3158" s="157">
        <f ca="1">IF(OFFSET('IWP05'!Std11dot4Hospitalization, 2, 0, 1, 1) = DATE(1900,1,0),DATE(1900,1,1),OFFSET('IWP05'!Std11dot4Hospitalization, 2, 0, 1, 1))</f>
        <v>1</v>
      </c>
      <c r="C3158" s="157">
        <f ca="1">IF(OFFSET('IWP05'!Std11dot4Hospitalization, 2, 1, 1, 1) = DATE(1900,1,0),DATE(1900,1,1),OFFSET('IWP05'!Std11dot4Hospitalization, 2, 1, 1, 1))</f>
        <v>1</v>
      </c>
      <c r="D3158" s="13">
        <f ca="1">OFFSET('IWP05'!Std11dot4Hospitalization, 2, 2, 1, 1)</f>
        <v>0</v>
      </c>
      <c r="E3158" s="155">
        <f ca="1">OFFSET('IWP05'!Std11dot4Hospitalization, 2, 3, 1, 1)</f>
        <v>0</v>
      </c>
      <c r="F3158" s="155">
        <f ca="1">OFFSET('IWP05'!Std11dot4Hospitalization, 2,5, 1, 1)</f>
        <v>0</v>
      </c>
      <c r="G3158" s="155">
        <f ca="1">OFFSET('IWP05'!Std11dot4Hospitalization, 2,7, 1, 1)</f>
        <v>0</v>
      </c>
      <c r="H3158" s="155">
        <f ca="1">IF(OFFSET('IWP05'!Std11dot4Hospitalization, 2,8, 1, 1)="",0,OFFSET('IWP05'!Std11dot4Hospitalization, 2,8, 1, 1))</f>
        <v>0</v>
      </c>
      <c r="I3158" s="157">
        <f ca="1">IF(OFFSET('IWP05'!Std11dot4Hospitalization, 2, 10, 1, 1) = DATE(1900,1,0),DATE(1900,1,1),OFFSET('IWP05'!Std11dot4Hospitalization, 2, 10, 1, 1))</f>
        <v>1</v>
      </c>
      <c r="J3158" s="158">
        <f ca="1">IF(OFFSET('IWP05'!Std11dot4Hospitalization, 2, 12, 1, 1) = DATE(1900,1,0),DATE(1900,1,1),OFFSET('IWP05'!Std11dot4Hospitalization, 2, 12, 1, 1))</f>
        <v>1</v>
      </c>
    </row>
    <row r="3159" spans="1:10">
      <c r="A3159" s="206" t="s">
        <v>1308</v>
      </c>
      <c r="B3159" s="157">
        <f ca="1">IF(OFFSET('IWP05'!Std11dot4Hospitalization, 3, 0, 1, 1) = DATE(1900,1,0),DATE(1900,1,1),OFFSET('IWP05'!Std11dot4Hospitalization, 3, 0, 1, 1))</f>
        <v>1</v>
      </c>
      <c r="C3159" s="157">
        <f ca="1">IF(OFFSET('IWP05'!Std11dot4Hospitalization, 3, 1, 1, 1) = DATE(1900,1,0),DATE(1900,1,1),OFFSET('IWP05'!Std11dot4Hospitalization, 3, 1, 1, 1))</f>
        <v>1</v>
      </c>
      <c r="D3159" s="13">
        <f ca="1">OFFSET('IWP05'!Std11dot4Hospitalization, 3, 2, 1, 1)</f>
        <v>0</v>
      </c>
      <c r="E3159" s="155">
        <f ca="1">OFFSET('IWP05'!Std11dot4Hospitalization, 3, 3, 1, 1)</f>
        <v>0</v>
      </c>
      <c r="F3159" s="155">
        <f ca="1">OFFSET('IWP05'!Std11dot4Hospitalization, 3,5, 1, 1)</f>
        <v>0</v>
      </c>
      <c r="G3159" s="155">
        <f ca="1">OFFSET('IWP05'!Std11dot4Hospitalization, 3,7, 1, 1)</f>
        <v>0</v>
      </c>
      <c r="H3159" s="155">
        <f ca="1">IF(OFFSET('IWP05'!Std11dot4Hospitalization, 3,8, 1, 1)="",0,OFFSET('IWP05'!Std11dot4Hospitalization, 3,8, 1, 1))</f>
        <v>0</v>
      </c>
      <c r="I3159" s="157">
        <f ca="1">IF(OFFSET('IWP05'!Std11dot4Hospitalization, 3, 10, 1, 1) = DATE(1900,1,0),DATE(1900,1,1),OFFSET('IWP05'!Std11dot4Hospitalization, 3, 10, 1, 1))</f>
        <v>1</v>
      </c>
      <c r="J3159" s="158">
        <f ca="1">IF(OFFSET('IWP05'!Std11dot4Hospitalization, 3, 12, 1, 1) = DATE(1900,1,0),DATE(1900,1,1),OFFSET('IWP05'!Std11dot4Hospitalization, 3, 12, 1, 1))</f>
        <v>1</v>
      </c>
    </row>
    <row r="3160" spans="1:10">
      <c r="A3160" s="206" t="s">
        <v>1308</v>
      </c>
      <c r="B3160" s="157">
        <f ca="1">IF(OFFSET('IWP05'!Std11dot4Hospitalization, 4, 0, 1, 1) = DATE(1900,1,0),DATE(1900,1,1),OFFSET('IWP05'!Std11dot4Hospitalization, 4, 0, 1, 1))</f>
        <v>1</v>
      </c>
      <c r="C3160" s="157">
        <f ca="1">IF(OFFSET('IWP05'!Std11dot4Hospitalization, 4, 1, 1, 1) = DATE(1900,1,0),DATE(1900,1,1),OFFSET('IWP05'!Std11dot4Hospitalization, 4, 1, 1, 1))</f>
        <v>1</v>
      </c>
      <c r="D3160" s="13">
        <f ca="1">OFFSET('IWP05'!Std11dot4Hospitalization, 4, 2, 1, 1)</f>
        <v>0</v>
      </c>
      <c r="E3160" s="155">
        <f ca="1">OFFSET('IWP05'!Std11dot4Hospitalization, 4, 3, 1, 1)</f>
        <v>0</v>
      </c>
      <c r="F3160" s="155">
        <f ca="1">OFFSET('IWP05'!Std11dot4Hospitalization, 4,5, 1, 1)</f>
        <v>0</v>
      </c>
      <c r="G3160" s="155">
        <f ca="1">OFFSET('IWP05'!Std11dot4Hospitalization, 4,7, 1, 1)</f>
        <v>0</v>
      </c>
      <c r="H3160" s="155">
        <f ca="1">IF(OFFSET('IWP05'!Std11dot4Hospitalization, 4,8, 1, 1)="",0,OFFSET('IWP05'!Std11dot4Hospitalization, 4,8, 1, 1))</f>
        <v>0</v>
      </c>
      <c r="I3160" s="157">
        <f ca="1">IF(OFFSET('IWP05'!Std11dot4Hospitalization, 4, 10, 1, 1) = DATE(1900,1,0),DATE(1900,1,1),OFFSET('IWP05'!Std11dot4Hospitalization, 4, 10, 1, 1))</f>
        <v>1</v>
      </c>
      <c r="J3160" s="158">
        <f ca="1">IF(OFFSET('IWP05'!Std11dot4Hospitalization, 4, 12, 1, 1) = DATE(1900,1,0),DATE(1900,1,1),OFFSET('IWP05'!Std11dot4Hospitalization, 4, 12, 1, 1))</f>
        <v>1</v>
      </c>
    </row>
    <row r="3161" spans="1:10">
      <c r="A3161" s="206" t="s">
        <v>1308</v>
      </c>
      <c r="B3161" s="157">
        <f ca="1">IF(OFFSET('IWP05'!Std11dot4Hospitalization, 5, 0, 1, 1) = DATE(1900,1,0),DATE(1900,1,1),OFFSET('IWP05'!Std11dot4Hospitalization, 5, 0, 1, 1))</f>
        <v>1</v>
      </c>
      <c r="C3161" s="157">
        <f ca="1">IF(OFFSET('IWP05'!Std11dot4Hospitalization, 5, 1, 1, 1) = DATE(1900,1,0),DATE(1900,1,1),OFFSET('IWP05'!Std11dot4Hospitalization, 5, 1, 1, 1))</f>
        <v>1</v>
      </c>
      <c r="D3161" s="13">
        <f ca="1">OFFSET('IWP05'!Std11dot4Hospitalization, 5, 2, 1, 1)</f>
        <v>0</v>
      </c>
      <c r="E3161" s="155">
        <f ca="1">OFFSET('IWP05'!Std11dot4Hospitalization, 5, 3, 1, 1)</f>
        <v>0</v>
      </c>
      <c r="F3161" s="155">
        <f ca="1">OFFSET('IWP05'!Std11dot4Hospitalization, 5,5, 1, 1)</f>
        <v>0</v>
      </c>
      <c r="G3161" s="155">
        <f ca="1">OFFSET('IWP05'!Std11dot4Hospitalization, 5,7, 1, 1)</f>
        <v>0</v>
      </c>
      <c r="H3161" s="155">
        <f ca="1">IF(OFFSET('IWP05'!Std11dot4Hospitalization, 5,8, 1, 1)="",0,OFFSET('IWP05'!Std11dot4Hospitalization, 5,8, 1, 1))</f>
        <v>0</v>
      </c>
      <c r="I3161" s="157">
        <f ca="1">IF(OFFSET('IWP05'!Std11dot4Hospitalization, 5, 10, 1, 1) = DATE(1900,1,0),DATE(1900,1,1),OFFSET('IWP05'!Std11dot4Hospitalization, 5, 10, 1, 1))</f>
        <v>1</v>
      </c>
      <c r="J3161" s="158">
        <f ca="1">IF(OFFSET('IWP05'!Std11dot4Hospitalization, 5, 12, 1, 1) = DATE(1900,1,0),DATE(1900,1,1),OFFSET('IWP05'!Std11dot4Hospitalization, 5, 12, 1, 1))</f>
        <v>1</v>
      </c>
    </row>
    <row r="3162" spans="1:10">
      <c r="A3162" s="206" t="s">
        <v>1309</v>
      </c>
      <c r="B3162" s="157">
        <f ca="1">IF(OFFSET('IWP06'!Std11dot4Hospitalization, 0, 0, 1, 1) = DATE(1900,1,0),DATE(1900,1,1),OFFSET('IWP06'!Std11dot4Hospitalization, 0, 0, 1, 1))</f>
        <v>1</v>
      </c>
      <c r="C3162" s="157">
        <f ca="1">IF(OFFSET('IWP06'!Std11dot4Hospitalization, 0, 1, 1, 1) = DATE(1900,1,0),DATE(1900,1,1),OFFSET('IWP06'!Std11dot4Hospitalization, 0, 1, 1, 1))</f>
        <v>1</v>
      </c>
      <c r="D3162" s="13">
        <f ca="1">OFFSET('IWP06'!Std11dot4Hospitalization, 0, 2, 1, 1)</f>
        <v>0</v>
      </c>
      <c r="E3162" s="155">
        <f ca="1">OFFSET('IWP06'!Std11dot4Hospitalization, 0, 3, 1, 1)</f>
        <v>0</v>
      </c>
      <c r="F3162" s="155">
        <f ca="1">OFFSET('IWP06'!Std11dot4Hospitalization, 0,5, 1, 1)</f>
        <v>0</v>
      </c>
      <c r="G3162" s="155">
        <f ca="1">OFFSET('IWP06'!Std11dot4Hospitalization, 0,7, 1, 1)</f>
        <v>0</v>
      </c>
      <c r="H3162" s="155">
        <f ca="1">IF(OFFSET('IWP06'!Std11dot4Hospitalization, 0,8, 1, 1)="",0,OFFSET('IWP06'!Std11dot4Hospitalization, 0,8, 1, 1))</f>
        <v>0</v>
      </c>
      <c r="I3162" s="157">
        <f ca="1">IF(OFFSET('IWP06'!Std11dot4Hospitalization, 0, 10, 1, 1) = DATE(1900,1,0),DATE(1900,1,1),OFFSET('IWP06'!Std11dot4Hospitalization, 0, 10, 1, 1))</f>
        <v>1</v>
      </c>
      <c r="J3162" s="158">
        <f ca="1">IF(OFFSET('IWP06'!Std11dot4Hospitalization, 0, 12, 1, 1) = DATE(1900,1,0),DATE(1900,1,1),OFFSET('IWP06'!Std11dot4Hospitalization, 0, 12, 1, 1))</f>
        <v>1</v>
      </c>
    </row>
    <row r="3163" spans="1:10">
      <c r="A3163" s="206" t="s">
        <v>1309</v>
      </c>
      <c r="B3163" s="157">
        <f ca="1">IF(OFFSET('IWP06'!Std11dot4Hospitalization, 1, 0, 1, 1) = DATE(1900,1,0),DATE(1900,1,1),OFFSET('IWP06'!Std11dot4Hospitalization, 1, 0, 1, 1))</f>
        <v>1</v>
      </c>
      <c r="C3163" s="157">
        <f ca="1">IF(OFFSET('IWP06'!Std11dot4Hospitalization, 1, 1, 1, 1) = DATE(1900,1,0),DATE(1900,1,1),OFFSET('IWP06'!Std11dot4Hospitalization, 1, 1, 1, 1))</f>
        <v>1</v>
      </c>
      <c r="D3163" s="13">
        <f ca="1">OFFSET('IWP06'!Std11dot4Hospitalization, 1, 2, 1, 1)</f>
        <v>0</v>
      </c>
      <c r="E3163" s="155">
        <f ca="1">OFFSET('IWP06'!Std11dot4Hospitalization, 1, 3, 1, 1)</f>
        <v>0</v>
      </c>
      <c r="F3163" s="155">
        <f ca="1">OFFSET('IWP06'!Std11dot4Hospitalization, 1,5, 1, 1)</f>
        <v>0</v>
      </c>
      <c r="G3163" s="155">
        <f ca="1">OFFSET('IWP06'!Std11dot4Hospitalization, 1,7, 1, 1)</f>
        <v>0</v>
      </c>
      <c r="H3163" s="155">
        <f ca="1">IF(OFFSET('IWP06'!Std11dot4Hospitalization, 1,8, 1, 1)="",0,OFFSET('IWP06'!Std11dot4Hospitalization, 1,8, 1, 1))</f>
        <v>0</v>
      </c>
      <c r="I3163" s="157">
        <f ca="1">IF(OFFSET('IWP06'!Std11dot4Hospitalization, 1, 10, 1, 1) = DATE(1900,1,0),DATE(1900,1,1),OFFSET('IWP06'!Std11dot4Hospitalization, 1, 10, 1, 1))</f>
        <v>1</v>
      </c>
      <c r="J3163" s="158">
        <f ca="1">IF(OFFSET('IWP06'!Std11dot4Hospitalization, 1, 12, 1, 1) = DATE(1900,1,0),DATE(1900,1,1),OFFSET('IWP06'!Std11dot4Hospitalization, 1, 12, 1, 1))</f>
        <v>1</v>
      </c>
    </row>
    <row r="3164" spans="1:10">
      <c r="A3164" s="206" t="s">
        <v>1309</v>
      </c>
      <c r="B3164" s="157">
        <f ca="1">IF(OFFSET('IWP06'!Std11dot4Hospitalization, 2, 0, 1, 1) = DATE(1900,1,0),DATE(1900,1,1),OFFSET('IWP06'!Std11dot4Hospitalization, 2, 0, 1, 1))</f>
        <v>1</v>
      </c>
      <c r="C3164" s="157">
        <f ca="1">IF(OFFSET('IWP06'!Std11dot4Hospitalization, 2, 1, 1, 1) = DATE(1900,1,0),DATE(1900,1,1),OFFSET('IWP06'!Std11dot4Hospitalization, 2, 1, 1, 1))</f>
        <v>1</v>
      </c>
      <c r="D3164" s="13">
        <f ca="1">OFFSET('IWP06'!Std11dot4Hospitalization, 2, 2, 1, 1)</f>
        <v>0</v>
      </c>
      <c r="E3164" s="155">
        <f ca="1">OFFSET('IWP06'!Std11dot4Hospitalization, 2, 3, 1, 1)</f>
        <v>0</v>
      </c>
      <c r="F3164" s="155">
        <f ca="1">OFFSET('IWP06'!Std11dot4Hospitalization, 2,5, 1, 1)</f>
        <v>0</v>
      </c>
      <c r="G3164" s="155">
        <f ca="1">OFFSET('IWP06'!Std11dot4Hospitalization, 2,7, 1, 1)</f>
        <v>0</v>
      </c>
      <c r="H3164" s="155">
        <f ca="1">IF(OFFSET('IWP06'!Std11dot4Hospitalization, 2,8, 1, 1)="",0,OFFSET('IWP06'!Std11dot4Hospitalization, 2,8, 1, 1))</f>
        <v>0</v>
      </c>
      <c r="I3164" s="157">
        <f ca="1">IF(OFFSET('IWP06'!Std11dot4Hospitalization, 2, 10, 1, 1) = DATE(1900,1,0),DATE(1900,1,1),OFFSET('IWP06'!Std11dot4Hospitalization, 2, 10, 1, 1))</f>
        <v>1</v>
      </c>
      <c r="J3164" s="158">
        <f ca="1">IF(OFFSET('IWP06'!Std11dot4Hospitalization, 2, 12, 1, 1) = DATE(1900,1,0),DATE(1900,1,1),OFFSET('IWP06'!Std11dot4Hospitalization, 2, 12, 1, 1))</f>
        <v>1</v>
      </c>
    </row>
    <row r="3165" spans="1:10">
      <c r="A3165" s="206" t="s">
        <v>1309</v>
      </c>
      <c r="B3165" s="157">
        <f ca="1">IF(OFFSET('IWP06'!Std11dot4Hospitalization, 3, 0, 1, 1) = DATE(1900,1,0),DATE(1900,1,1),OFFSET('IWP06'!Std11dot4Hospitalization, 3, 0, 1, 1))</f>
        <v>1</v>
      </c>
      <c r="C3165" s="157">
        <f ca="1">IF(OFFSET('IWP06'!Std11dot4Hospitalization, 3, 1, 1, 1) = DATE(1900,1,0),DATE(1900,1,1),OFFSET('IWP06'!Std11dot4Hospitalization, 3, 1, 1, 1))</f>
        <v>1</v>
      </c>
      <c r="D3165" s="13">
        <f ca="1">OFFSET('IWP06'!Std11dot4Hospitalization, 3, 2, 1, 1)</f>
        <v>0</v>
      </c>
      <c r="E3165" s="155">
        <f ca="1">OFFSET('IWP06'!Std11dot4Hospitalization, 3, 3, 1, 1)</f>
        <v>0</v>
      </c>
      <c r="F3165" s="155">
        <f ca="1">OFFSET('IWP06'!Std11dot4Hospitalization, 3,5, 1, 1)</f>
        <v>0</v>
      </c>
      <c r="G3165" s="155">
        <f ca="1">OFFSET('IWP06'!Std11dot4Hospitalization, 3,7, 1, 1)</f>
        <v>0</v>
      </c>
      <c r="H3165" s="155">
        <f ca="1">IF(OFFSET('IWP06'!Std11dot4Hospitalization, 3,8, 1, 1)="",0,OFFSET('IWP06'!Std11dot4Hospitalization, 3,8, 1, 1))</f>
        <v>0</v>
      </c>
      <c r="I3165" s="157">
        <f ca="1">IF(OFFSET('IWP06'!Std11dot4Hospitalization, 3, 10, 1, 1) = DATE(1900,1,0),DATE(1900,1,1),OFFSET('IWP06'!Std11dot4Hospitalization, 3, 10, 1, 1))</f>
        <v>1</v>
      </c>
      <c r="J3165" s="158">
        <f ca="1">IF(OFFSET('IWP06'!Std11dot4Hospitalization, 3, 12, 1, 1) = DATE(1900,1,0),DATE(1900,1,1),OFFSET('IWP06'!Std11dot4Hospitalization, 3, 12, 1, 1))</f>
        <v>1</v>
      </c>
    </row>
    <row r="3166" spans="1:10">
      <c r="A3166" s="206" t="s">
        <v>1309</v>
      </c>
      <c r="B3166" s="157">
        <f ca="1">IF(OFFSET('IWP06'!Std11dot4Hospitalization, 4, 0, 1, 1) = DATE(1900,1,0),DATE(1900,1,1),OFFSET('IWP06'!Std11dot4Hospitalization, 4, 0, 1, 1))</f>
        <v>1</v>
      </c>
      <c r="C3166" s="157">
        <f ca="1">IF(OFFSET('IWP06'!Std11dot4Hospitalization, 4, 1, 1, 1) = DATE(1900,1,0),DATE(1900,1,1),OFFSET('IWP06'!Std11dot4Hospitalization, 4, 1, 1, 1))</f>
        <v>1</v>
      </c>
      <c r="D3166" s="13">
        <f ca="1">OFFSET('IWP06'!Std11dot4Hospitalization, 4, 2, 1, 1)</f>
        <v>0</v>
      </c>
      <c r="E3166" s="155">
        <f ca="1">OFFSET('IWP06'!Std11dot4Hospitalization, 4, 3, 1, 1)</f>
        <v>0</v>
      </c>
      <c r="F3166" s="155">
        <f ca="1">OFFSET('IWP06'!Std11dot4Hospitalization, 4,5, 1, 1)</f>
        <v>0</v>
      </c>
      <c r="G3166" s="155">
        <f ca="1">OFFSET('IWP06'!Std11dot4Hospitalization, 4,7, 1, 1)</f>
        <v>0</v>
      </c>
      <c r="H3166" s="155">
        <f ca="1">IF(OFFSET('IWP06'!Std11dot4Hospitalization, 4,8, 1, 1)="",0,OFFSET('IWP06'!Std11dot4Hospitalization, 4,8, 1, 1))</f>
        <v>0</v>
      </c>
      <c r="I3166" s="157">
        <f ca="1">IF(OFFSET('IWP06'!Std11dot4Hospitalization, 4, 10, 1, 1) = DATE(1900,1,0),DATE(1900,1,1),OFFSET('IWP06'!Std11dot4Hospitalization, 4, 10, 1, 1))</f>
        <v>1</v>
      </c>
      <c r="J3166" s="158">
        <f ca="1">IF(OFFSET('IWP06'!Std11dot4Hospitalization, 4, 12, 1, 1) = DATE(1900,1,0),DATE(1900,1,1),OFFSET('IWP06'!Std11dot4Hospitalization, 4, 12, 1, 1))</f>
        <v>1</v>
      </c>
    </row>
    <row r="3167" spans="1:10">
      <c r="A3167" s="206" t="s">
        <v>1309</v>
      </c>
      <c r="B3167" s="157">
        <f ca="1">IF(OFFSET('IWP06'!Std11dot4Hospitalization, 5, 0, 1, 1) = DATE(1900,1,0),DATE(1900,1,1),OFFSET('IWP06'!Std11dot4Hospitalization, 5, 0, 1, 1))</f>
        <v>1</v>
      </c>
      <c r="C3167" s="157">
        <f ca="1">IF(OFFSET('IWP06'!Std11dot4Hospitalization, 5, 1, 1, 1) = DATE(1900,1,0),DATE(1900,1,1),OFFSET('IWP06'!Std11dot4Hospitalization, 5, 1, 1, 1))</f>
        <v>1</v>
      </c>
      <c r="D3167" s="13">
        <f ca="1">OFFSET('IWP06'!Std11dot4Hospitalization, 5, 2, 1, 1)</f>
        <v>0</v>
      </c>
      <c r="E3167" s="155">
        <f ca="1">OFFSET('IWP06'!Std11dot4Hospitalization, 5, 3, 1, 1)</f>
        <v>0</v>
      </c>
      <c r="F3167" s="155">
        <f ca="1">OFFSET('IWP06'!Std11dot4Hospitalization, 5,5, 1, 1)</f>
        <v>0</v>
      </c>
      <c r="G3167" s="155">
        <f ca="1">OFFSET('IWP06'!Std11dot4Hospitalization, 5,7, 1, 1)</f>
        <v>0</v>
      </c>
      <c r="H3167" s="155">
        <f ca="1">IF(OFFSET('IWP06'!Std11dot4Hospitalization, 5,8, 1, 1)="",0,OFFSET('IWP06'!Std11dot4Hospitalization, 5,8, 1, 1))</f>
        <v>0</v>
      </c>
      <c r="I3167" s="157">
        <f ca="1">IF(OFFSET('IWP06'!Std11dot4Hospitalization, 5, 10, 1, 1) = DATE(1900,1,0),DATE(1900,1,1),OFFSET('IWP06'!Std11dot4Hospitalization, 5, 10, 1, 1))</f>
        <v>1</v>
      </c>
      <c r="J3167" s="158">
        <f ca="1">IF(OFFSET('IWP06'!Std11dot4Hospitalization, 5, 12, 1, 1) = DATE(1900,1,0),DATE(1900,1,1),OFFSET('IWP06'!Std11dot4Hospitalization, 5, 12, 1, 1))</f>
        <v>1</v>
      </c>
    </row>
    <row r="3168" spans="1:10">
      <c r="A3168" s="206" t="s">
        <v>1310</v>
      </c>
      <c r="B3168" s="157">
        <f ca="1">IF(OFFSET('IWP07'!Std11dot4Hospitalization, 0, 0, 1, 1) = DATE(1900,1,0),DATE(1900,1,1),OFFSET('IWP07'!Std11dot4Hospitalization, 0, 0, 1, 1))</f>
        <v>1</v>
      </c>
      <c r="C3168" s="157">
        <f ca="1">IF(OFFSET('IWP07'!Std11dot4Hospitalization, 0, 1, 1, 1) = DATE(1900,1,0),DATE(1900,1,1),OFFSET('IWP07'!Std11dot4Hospitalization, 0, 1, 1, 1))</f>
        <v>1</v>
      </c>
      <c r="D3168" s="13">
        <f ca="1">OFFSET('IWP07'!Std11dot4Hospitalization, 0, 2, 1, 1)</f>
        <v>0</v>
      </c>
      <c r="E3168" s="155">
        <f ca="1">OFFSET('IWP07'!Std11dot4Hospitalization, 0, 3, 1, 1)</f>
        <v>0</v>
      </c>
      <c r="F3168" s="155">
        <f ca="1">OFFSET('IWP07'!Std11dot4Hospitalization, 0,5, 1, 1)</f>
        <v>0</v>
      </c>
      <c r="G3168" s="155">
        <f ca="1">OFFSET('IWP07'!Std11dot4Hospitalization, 0,7, 1, 1)</f>
        <v>0</v>
      </c>
      <c r="H3168" s="155">
        <f ca="1">IF(OFFSET('IWP07'!Std11dot4Hospitalization, 0,8, 1, 1)="",0,OFFSET('IWP07'!Std11dot4Hospitalization, 0,8, 1, 1))</f>
        <v>0</v>
      </c>
      <c r="I3168" s="157">
        <f ca="1">IF(OFFSET('IWP07'!Std11dot4Hospitalization, 0, 10, 1, 1) = DATE(1900,1,0),DATE(1900,1,1),OFFSET('IWP07'!Std11dot4Hospitalization, 0, 10, 1, 1))</f>
        <v>1</v>
      </c>
      <c r="J3168" s="158">
        <f ca="1">IF(OFFSET('IWP07'!Std11dot4Hospitalization, 0, 12, 1, 1) = DATE(1900,1,0),DATE(1900,1,1),OFFSET('IWP07'!Std11dot4Hospitalization, 0, 12, 1, 1))</f>
        <v>1</v>
      </c>
    </row>
    <row r="3169" spans="1:10">
      <c r="A3169" s="206" t="s">
        <v>1310</v>
      </c>
      <c r="B3169" s="157">
        <f ca="1">IF(OFFSET('IWP07'!Std11dot4Hospitalization, 1, 0, 1, 1) = DATE(1900,1,0),DATE(1900,1,1),OFFSET('IWP07'!Std11dot4Hospitalization, 1, 0, 1, 1))</f>
        <v>1</v>
      </c>
      <c r="C3169" s="157">
        <f ca="1">IF(OFFSET('IWP07'!Std11dot4Hospitalization, 1, 1, 1, 1) = DATE(1900,1,0),DATE(1900,1,1),OFFSET('IWP07'!Std11dot4Hospitalization, 1, 1, 1, 1))</f>
        <v>1</v>
      </c>
      <c r="D3169" s="13">
        <f ca="1">OFFSET('IWP07'!Std11dot4Hospitalization, 1, 2, 1, 1)</f>
        <v>0</v>
      </c>
      <c r="E3169" s="155">
        <f ca="1">OFFSET('IWP07'!Std11dot4Hospitalization, 1, 3, 1, 1)</f>
        <v>0</v>
      </c>
      <c r="F3169" s="155">
        <f ca="1">OFFSET('IWP07'!Std11dot4Hospitalization, 1,5, 1, 1)</f>
        <v>0</v>
      </c>
      <c r="G3169" s="155">
        <f ca="1">OFFSET('IWP07'!Std11dot4Hospitalization, 1,7, 1, 1)</f>
        <v>0</v>
      </c>
      <c r="H3169" s="155">
        <f ca="1">IF(OFFSET('IWP07'!Std11dot4Hospitalization, 1,8, 1, 1)="",0,OFFSET('IWP07'!Std11dot4Hospitalization, 1,8, 1, 1))</f>
        <v>0</v>
      </c>
      <c r="I3169" s="157">
        <f ca="1">IF(OFFSET('IWP07'!Std11dot4Hospitalization, 1, 10, 1, 1) = DATE(1900,1,0),DATE(1900,1,1),OFFSET('IWP07'!Std11dot4Hospitalization, 1, 10, 1, 1))</f>
        <v>1</v>
      </c>
      <c r="J3169" s="158">
        <f ca="1">IF(OFFSET('IWP07'!Std11dot4Hospitalization, 1, 12, 1, 1) = DATE(1900,1,0),DATE(1900,1,1),OFFSET('IWP07'!Std11dot4Hospitalization, 1, 12, 1, 1))</f>
        <v>1</v>
      </c>
    </row>
    <row r="3170" spans="1:10">
      <c r="A3170" s="206" t="s">
        <v>1310</v>
      </c>
      <c r="B3170" s="157">
        <f ca="1">IF(OFFSET('IWP07'!Std11dot4Hospitalization, 2, 0, 1, 1) = DATE(1900,1,0),DATE(1900,1,1),OFFSET('IWP07'!Std11dot4Hospitalization, 2, 0, 1, 1))</f>
        <v>1</v>
      </c>
      <c r="C3170" s="157">
        <f ca="1">IF(OFFSET('IWP07'!Std11dot4Hospitalization, 2, 1, 1, 1) = DATE(1900,1,0),DATE(1900,1,1),OFFSET('IWP07'!Std11dot4Hospitalization, 2, 1, 1, 1))</f>
        <v>1</v>
      </c>
      <c r="D3170" s="13">
        <f ca="1">OFFSET('IWP07'!Std11dot4Hospitalization, 2, 2, 1, 1)</f>
        <v>0</v>
      </c>
      <c r="E3170" s="155">
        <f ca="1">OFFSET('IWP07'!Std11dot4Hospitalization, 2, 3, 1, 1)</f>
        <v>0</v>
      </c>
      <c r="F3170" s="155">
        <f ca="1">OFFSET('IWP07'!Std11dot4Hospitalization, 2,5, 1, 1)</f>
        <v>0</v>
      </c>
      <c r="G3170" s="155">
        <f ca="1">OFFSET('IWP07'!Std11dot4Hospitalization, 2,7, 1, 1)</f>
        <v>0</v>
      </c>
      <c r="H3170" s="155">
        <f ca="1">IF(OFFSET('IWP07'!Std11dot4Hospitalization, 2,8, 1, 1)="",0,OFFSET('IWP07'!Std11dot4Hospitalization, 2,8, 1, 1))</f>
        <v>0</v>
      </c>
      <c r="I3170" s="157">
        <f ca="1">IF(OFFSET('IWP07'!Std11dot4Hospitalization, 2, 10, 1, 1) = DATE(1900,1,0),DATE(1900,1,1),OFFSET('IWP07'!Std11dot4Hospitalization, 2, 10, 1, 1))</f>
        <v>1</v>
      </c>
      <c r="J3170" s="158">
        <f ca="1">IF(OFFSET('IWP07'!Std11dot4Hospitalization, 2, 12, 1, 1) = DATE(1900,1,0),DATE(1900,1,1),OFFSET('IWP07'!Std11dot4Hospitalization, 2, 12, 1, 1))</f>
        <v>1</v>
      </c>
    </row>
    <row r="3171" spans="1:10">
      <c r="A3171" s="206" t="s">
        <v>1310</v>
      </c>
      <c r="B3171" s="157">
        <f ca="1">IF(OFFSET('IWP07'!Std11dot4Hospitalization, 3, 0, 1, 1) = DATE(1900,1,0),DATE(1900,1,1),OFFSET('IWP07'!Std11dot4Hospitalization, 3, 0, 1, 1))</f>
        <v>1</v>
      </c>
      <c r="C3171" s="157">
        <f ca="1">IF(OFFSET('IWP07'!Std11dot4Hospitalization, 3, 1, 1, 1) = DATE(1900,1,0),DATE(1900,1,1),OFFSET('IWP07'!Std11dot4Hospitalization, 3, 1, 1, 1))</f>
        <v>1</v>
      </c>
      <c r="D3171" s="13">
        <f ca="1">OFFSET('IWP07'!Std11dot4Hospitalization, 3, 2, 1, 1)</f>
        <v>0</v>
      </c>
      <c r="E3171" s="155">
        <f ca="1">OFFSET('IWP07'!Std11dot4Hospitalization, 3, 3, 1, 1)</f>
        <v>0</v>
      </c>
      <c r="F3171" s="155">
        <f ca="1">OFFSET('IWP07'!Std11dot4Hospitalization, 3,5, 1, 1)</f>
        <v>0</v>
      </c>
      <c r="G3171" s="155">
        <f ca="1">OFFSET('IWP07'!Std11dot4Hospitalization, 3,7, 1, 1)</f>
        <v>0</v>
      </c>
      <c r="H3171" s="155">
        <f ca="1">IF(OFFSET('IWP07'!Std11dot4Hospitalization, 3,8, 1, 1)="",0,OFFSET('IWP07'!Std11dot4Hospitalization, 3,8, 1, 1))</f>
        <v>0</v>
      </c>
      <c r="I3171" s="157">
        <f ca="1">IF(OFFSET('IWP07'!Std11dot4Hospitalization, 3, 10, 1, 1) = DATE(1900,1,0),DATE(1900,1,1),OFFSET('IWP07'!Std11dot4Hospitalization, 3, 10, 1, 1))</f>
        <v>1</v>
      </c>
      <c r="J3171" s="158">
        <f ca="1">IF(OFFSET('IWP07'!Std11dot4Hospitalization, 3, 12, 1, 1) = DATE(1900,1,0),DATE(1900,1,1),OFFSET('IWP07'!Std11dot4Hospitalization, 3, 12, 1, 1))</f>
        <v>1</v>
      </c>
    </row>
    <row r="3172" spans="1:10">
      <c r="A3172" s="206" t="s">
        <v>1310</v>
      </c>
      <c r="B3172" s="157">
        <f ca="1">IF(OFFSET('IWP07'!Std11dot4Hospitalization, 4, 0, 1, 1) = DATE(1900,1,0),DATE(1900,1,1),OFFSET('IWP07'!Std11dot4Hospitalization, 4, 0, 1, 1))</f>
        <v>1</v>
      </c>
      <c r="C3172" s="157">
        <f ca="1">IF(OFFSET('IWP07'!Std11dot4Hospitalization, 4, 1, 1, 1) = DATE(1900,1,0),DATE(1900,1,1),OFFSET('IWP07'!Std11dot4Hospitalization, 4, 1, 1, 1))</f>
        <v>1</v>
      </c>
      <c r="D3172" s="13">
        <f ca="1">OFFSET('IWP07'!Std11dot4Hospitalization, 4, 2, 1, 1)</f>
        <v>0</v>
      </c>
      <c r="E3172" s="155">
        <f ca="1">OFFSET('IWP07'!Std11dot4Hospitalization, 4, 3, 1, 1)</f>
        <v>0</v>
      </c>
      <c r="F3172" s="155">
        <f ca="1">OFFSET('IWP07'!Std11dot4Hospitalization, 4,5, 1, 1)</f>
        <v>0</v>
      </c>
      <c r="G3172" s="155">
        <f ca="1">OFFSET('IWP07'!Std11dot4Hospitalization, 4,7, 1, 1)</f>
        <v>0</v>
      </c>
      <c r="H3172" s="155">
        <f ca="1">IF(OFFSET('IWP07'!Std11dot4Hospitalization, 4,8, 1, 1)="",0,OFFSET('IWP07'!Std11dot4Hospitalization, 4,8, 1, 1))</f>
        <v>0</v>
      </c>
      <c r="I3172" s="157">
        <f ca="1">IF(OFFSET('IWP07'!Std11dot4Hospitalization, 4, 10, 1, 1) = DATE(1900,1,0),DATE(1900,1,1),OFFSET('IWP07'!Std11dot4Hospitalization, 4, 10, 1, 1))</f>
        <v>1</v>
      </c>
      <c r="J3172" s="158">
        <f ca="1">IF(OFFSET('IWP07'!Std11dot4Hospitalization, 4, 12, 1, 1) = DATE(1900,1,0),DATE(1900,1,1),OFFSET('IWP07'!Std11dot4Hospitalization, 4, 12, 1, 1))</f>
        <v>1</v>
      </c>
    </row>
    <row r="3173" spans="1:10">
      <c r="A3173" s="206" t="s">
        <v>1310</v>
      </c>
      <c r="B3173" s="157">
        <f ca="1">IF(OFFSET('IWP07'!Std11dot4Hospitalization, 5, 0, 1, 1) = DATE(1900,1,0),DATE(1900,1,1),OFFSET('IWP07'!Std11dot4Hospitalization, 5, 0, 1, 1))</f>
        <v>1</v>
      </c>
      <c r="C3173" s="157">
        <f ca="1">IF(OFFSET('IWP07'!Std11dot4Hospitalization, 5, 1, 1, 1) = DATE(1900,1,0),DATE(1900,1,1),OFFSET('IWP07'!Std11dot4Hospitalization, 5, 1, 1, 1))</f>
        <v>1</v>
      </c>
      <c r="D3173" s="13">
        <f ca="1">OFFSET('IWP07'!Std11dot4Hospitalization, 5, 2, 1, 1)</f>
        <v>0</v>
      </c>
      <c r="E3173" s="155">
        <f ca="1">OFFSET('IWP07'!Std11dot4Hospitalization, 5, 3, 1, 1)</f>
        <v>0</v>
      </c>
      <c r="F3173" s="155">
        <f ca="1">OFFSET('IWP07'!Std11dot4Hospitalization, 5,5, 1, 1)</f>
        <v>0</v>
      </c>
      <c r="G3173" s="155">
        <f ca="1">OFFSET('IWP07'!Std11dot4Hospitalization, 5,7, 1, 1)</f>
        <v>0</v>
      </c>
      <c r="H3173" s="155">
        <f ca="1">IF(OFFSET('IWP07'!Std11dot4Hospitalization, 5,8, 1, 1)="",0,OFFSET('IWP07'!Std11dot4Hospitalization, 5,8, 1, 1))</f>
        <v>0</v>
      </c>
      <c r="I3173" s="157">
        <f ca="1">IF(OFFSET('IWP07'!Std11dot4Hospitalization, 5, 10, 1, 1) = DATE(1900,1,0),DATE(1900,1,1),OFFSET('IWP07'!Std11dot4Hospitalization, 5, 10, 1, 1))</f>
        <v>1</v>
      </c>
      <c r="J3173" s="158">
        <f ca="1">IF(OFFSET('IWP07'!Std11dot4Hospitalization, 5, 12, 1, 1) = DATE(1900,1,0),DATE(1900,1,1),OFFSET('IWP07'!Std11dot4Hospitalization, 5, 12, 1, 1))</f>
        <v>1</v>
      </c>
    </row>
    <row r="3174" spans="1:10">
      <c r="A3174" s="206" t="s">
        <v>1311</v>
      </c>
      <c r="B3174" s="157">
        <f ca="1">IF(OFFSET('IWP08'!Std11dot4Hospitalization, 0, 0, 1, 1) = DATE(1900,1,0),DATE(1900,1,1),OFFSET('IWP08'!Std11dot4Hospitalization, 0, 0, 1, 1))</f>
        <v>1</v>
      </c>
      <c r="C3174" s="157">
        <f ca="1">IF(OFFSET('IWP08'!Std11dot4Hospitalization, 0, 1, 1, 1) = DATE(1900,1,0),DATE(1900,1,1),OFFSET('IWP08'!Std11dot4Hospitalization, 0, 1, 1, 1))</f>
        <v>1</v>
      </c>
      <c r="D3174" s="13">
        <f ca="1">OFFSET('IWP08'!Std11dot4Hospitalization, 0, 2, 1, 1)</f>
        <v>0</v>
      </c>
      <c r="E3174" s="155">
        <f ca="1">OFFSET('IWP08'!Std11dot4Hospitalization, 0, 3, 1, 1)</f>
        <v>0</v>
      </c>
      <c r="F3174" s="155">
        <f ca="1">OFFSET('IWP08'!Std11dot4Hospitalization, 0,5, 1, 1)</f>
        <v>0</v>
      </c>
      <c r="G3174" s="155">
        <f ca="1">OFFSET('IWP08'!Std11dot4Hospitalization, 0,7, 1, 1)</f>
        <v>0</v>
      </c>
      <c r="H3174" s="155">
        <f ca="1">IF(OFFSET('IWP08'!Std11dot4Hospitalization, 0,8, 1, 1)="",0,OFFSET('IWP08'!Std11dot4Hospitalization, 0,8, 1, 1))</f>
        <v>0</v>
      </c>
      <c r="I3174" s="157">
        <f ca="1">IF(OFFSET('IWP08'!Std11dot4Hospitalization, 0, 10, 1, 1) = DATE(1900,1,0),DATE(1900,1,1),OFFSET('IWP08'!Std11dot4Hospitalization, 0, 10, 1, 1))</f>
        <v>1</v>
      </c>
      <c r="J3174" s="158">
        <f ca="1">IF(OFFSET('IWP08'!Std11dot4Hospitalization, 0, 12, 1, 1) = DATE(1900,1,0),DATE(1900,1,1),OFFSET('IWP08'!Std11dot4Hospitalization, 0, 12, 1, 1))</f>
        <v>1</v>
      </c>
    </row>
    <row r="3175" spans="1:10">
      <c r="A3175" s="206" t="s">
        <v>1311</v>
      </c>
      <c r="B3175" s="157">
        <f ca="1">IF(OFFSET('IWP08'!Std11dot4Hospitalization, 1, 0, 1, 1) = DATE(1900,1,0),DATE(1900,1,1),OFFSET('IWP08'!Std11dot4Hospitalization, 1, 0, 1, 1))</f>
        <v>1</v>
      </c>
      <c r="C3175" s="157">
        <f ca="1">IF(OFFSET('IWP08'!Std11dot4Hospitalization, 1, 1, 1, 1) = DATE(1900,1,0),DATE(1900,1,1),OFFSET('IWP08'!Std11dot4Hospitalization, 1, 1, 1, 1))</f>
        <v>1</v>
      </c>
      <c r="D3175" s="13">
        <f ca="1">OFFSET('IWP08'!Std11dot4Hospitalization, 1, 2, 1, 1)</f>
        <v>0</v>
      </c>
      <c r="E3175" s="155">
        <f ca="1">OFFSET('IWP08'!Std11dot4Hospitalization, 1, 3, 1, 1)</f>
        <v>0</v>
      </c>
      <c r="F3175" s="155">
        <f ca="1">OFFSET('IWP08'!Std11dot4Hospitalization, 1,5, 1, 1)</f>
        <v>0</v>
      </c>
      <c r="G3175" s="155">
        <f ca="1">OFFSET('IWP08'!Std11dot4Hospitalization, 1,7, 1, 1)</f>
        <v>0</v>
      </c>
      <c r="H3175" s="155">
        <f ca="1">IF(OFFSET('IWP08'!Std11dot4Hospitalization, 1,8, 1, 1)="",0,OFFSET('IWP08'!Std11dot4Hospitalization, 1,8, 1, 1))</f>
        <v>0</v>
      </c>
      <c r="I3175" s="157">
        <f ca="1">IF(OFFSET('IWP08'!Std11dot4Hospitalization, 1, 10, 1, 1) = DATE(1900,1,0),DATE(1900,1,1),OFFSET('IWP08'!Std11dot4Hospitalization, 1, 10, 1, 1))</f>
        <v>1</v>
      </c>
      <c r="J3175" s="158">
        <f ca="1">IF(OFFSET('IWP08'!Std11dot4Hospitalization, 1, 12, 1, 1) = DATE(1900,1,0),DATE(1900,1,1),OFFSET('IWP08'!Std11dot4Hospitalization, 1, 12, 1, 1))</f>
        <v>1</v>
      </c>
    </row>
    <row r="3176" spans="1:10">
      <c r="A3176" s="206" t="s">
        <v>1311</v>
      </c>
      <c r="B3176" s="157">
        <f ca="1">IF(OFFSET('IWP08'!Std11dot4Hospitalization, 2, 0, 1, 1) = DATE(1900,1,0),DATE(1900,1,1),OFFSET('IWP08'!Std11dot4Hospitalization, 2, 0, 1, 1))</f>
        <v>1</v>
      </c>
      <c r="C3176" s="157">
        <f ca="1">IF(OFFSET('IWP08'!Std11dot4Hospitalization, 2, 1, 1, 1) = DATE(1900,1,0),DATE(1900,1,1),OFFSET('IWP08'!Std11dot4Hospitalization, 2, 1, 1, 1))</f>
        <v>1</v>
      </c>
      <c r="D3176" s="13">
        <f ca="1">OFFSET('IWP08'!Std11dot4Hospitalization, 2, 2, 1, 1)</f>
        <v>0</v>
      </c>
      <c r="E3176" s="155">
        <f ca="1">OFFSET('IWP08'!Std11dot4Hospitalization, 2, 3, 1, 1)</f>
        <v>0</v>
      </c>
      <c r="F3176" s="155">
        <f ca="1">OFFSET('IWP08'!Std11dot4Hospitalization, 2,5, 1, 1)</f>
        <v>0</v>
      </c>
      <c r="G3176" s="155">
        <f ca="1">OFFSET('IWP08'!Std11dot4Hospitalization, 2,7, 1, 1)</f>
        <v>0</v>
      </c>
      <c r="H3176" s="155">
        <f ca="1">IF(OFFSET('IWP08'!Std11dot4Hospitalization, 2,8, 1, 1)="",0,OFFSET('IWP08'!Std11dot4Hospitalization, 2,8, 1, 1))</f>
        <v>0</v>
      </c>
      <c r="I3176" s="157">
        <f ca="1">IF(OFFSET('IWP08'!Std11dot4Hospitalization, 2, 10, 1, 1) = DATE(1900,1,0),DATE(1900,1,1),OFFSET('IWP08'!Std11dot4Hospitalization, 2, 10, 1, 1))</f>
        <v>1</v>
      </c>
      <c r="J3176" s="158">
        <f ca="1">IF(OFFSET('IWP08'!Std11dot4Hospitalization, 2, 12, 1, 1) = DATE(1900,1,0),DATE(1900,1,1),OFFSET('IWP08'!Std11dot4Hospitalization, 2, 12, 1, 1))</f>
        <v>1</v>
      </c>
    </row>
    <row r="3177" spans="1:10">
      <c r="A3177" s="206" t="s">
        <v>1311</v>
      </c>
      <c r="B3177" s="157">
        <f ca="1">IF(OFFSET('IWP08'!Std11dot4Hospitalization, 3, 0, 1, 1) = DATE(1900,1,0),DATE(1900,1,1),OFFSET('IWP08'!Std11dot4Hospitalization, 3, 0, 1, 1))</f>
        <v>1</v>
      </c>
      <c r="C3177" s="157">
        <f ca="1">IF(OFFSET('IWP08'!Std11dot4Hospitalization, 3, 1, 1, 1) = DATE(1900,1,0),DATE(1900,1,1),OFFSET('IWP08'!Std11dot4Hospitalization, 3, 1, 1, 1))</f>
        <v>1</v>
      </c>
      <c r="D3177" s="13">
        <f ca="1">OFFSET('IWP08'!Std11dot4Hospitalization, 3, 2, 1, 1)</f>
        <v>0</v>
      </c>
      <c r="E3177" s="155">
        <f ca="1">OFFSET('IWP08'!Std11dot4Hospitalization, 3, 3, 1, 1)</f>
        <v>0</v>
      </c>
      <c r="F3177" s="155">
        <f ca="1">OFFSET('IWP08'!Std11dot4Hospitalization, 3,5, 1, 1)</f>
        <v>0</v>
      </c>
      <c r="G3177" s="155">
        <f ca="1">OFFSET('IWP08'!Std11dot4Hospitalization, 3,7, 1, 1)</f>
        <v>0</v>
      </c>
      <c r="H3177" s="155">
        <f ca="1">IF(OFFSET('IWP08'!Std11dot4Hospitalization, 3,8, 1, 1)="",0,OFFSET('IWP08'!Std11dot4Hospitalization, 3,8, 1, 1))</f>
        <v>0</v>
      </c>
      <c r="I3177" s="157">
        <f ca="1">IF(OFFSET('IWP08'!Std11dot4Hospitalization, 3, 10, 1, 1) = DATE(1900,1,0),DATE(1900,1,1),OFFSET('IWP08'!Std11dot4Hospitalization, 3, 10, 1, 1))</f>
        <v>1</v>
      </c>
      <c r="J3177" s="158">
        <f ca="1">IF(OFFSET('IWP08'!Std11dot4Hospitalization, 3, 12, 1, 1) = DATE(1900,1,0),DATE(1900,1,1),OFFSET('IWP08'!Std11dot4Hospitalization, 3, 12, 1, 1))</f>
        <v>1</v>
      </c>
    </row>
    <row r="3178" spans="1:10">
      <c r="A3178" s="206" t="s">
        <v>1311</v>
      </c>
      <c r="B3178" s="157">
        <f ca="1">IF(OFFSET('IWP08'!Std11dot4Hospitalization, 4, 0, 1, 1) = DATE(1900,1,0),DATE(1900,1,1),OFFSET('IWP08'!Std11dot4Hospitalization, 4, 0, 1, 1))</f>
        <v>1</v>
      </c>
      <c r="C3178" s="157">
        <f ca="1">IF(OFFSET('IWP08'!Std11dot4Hospitalization, 4, 1, 1, 1) = DATE(1900,1,0),DATE(1900,1,1),OFFSET('IWP08'!Std11dot4Hospitalization, 4, 1, 1, 1))</f>
        <v>1</v>
      </c>
      <c r="D3178" s="13">
        <f ca="1">OFFSET('IWP08'!Std11dot4Hospitalization, 4, 2, 1, 1)</f>
        <v>0</v>
      </c>
      <c r="E3178" s="155">
        <f ca="1">OFFSET('IWP08'!Std11dot4Hospitalization, 4, 3, 1, 1)</f>
        <v>0</v>
      </c>
      <c r="F3178" s="155">
        <f ca="1">OFFSET('IWP08'!Std11dot4Hospitalization, 4,5, 1, 1)</f>
        <v>0</v>
      </c>
      <c r="G3178" s="155">
        <f ca="1">OFFSET('IWP08'!Std11dot4Hospitalization, 4,7, 1, 1)</f>
        <v>0</v>
      </c>
      <c r="H3178" s="155">
        <f ca="1">IF(OFFSET('IWP08'!Std11dot4Hospitalization, 4,8, 1, 1)="",0,OFFSET('IWP08'!Std11dot4Hospitalization, 4,8, 1, 1))</f>
        <v>0</v>
      </c>
      <c r="I3178" s="157">
        <f ca="1">IF(OFFSET('IWP08'!Std11dot4Hospitalization, 4, 10, 1, 1) = DATE(1900,1,0),DATE(1900,1,1),OFFSET('IWP08'!Std11dot4Hospitalization, 4, 10, 1, 1))</f>
        <v>1</v>
      </c>
      <c r="J3178" s="158">
        <f ca="1">IF(OFFSET('IWP08'!Std11dot4Hospitalization, 4, 12, 1, 1) = DATE(1900,1,0),DATE(1900,1,1),OFFSET('IWP08'!Std11dot4Hospitalization, 4, 12, 1, 1))</f>
        <v>1</v>
      </c>
    </row>
    <row r="3179" spans="1:10">
      <c r="A3179" s="206" t="s">
        <v>1311</v>
      </c>
      <c r="B3179" s="157">
        <f ca="1">IF(OFFSET('IWP08'!Std11dot4Hospitalization, 5, 0, 1, 1) = DATE(1900,1,0),DATE(1900,1,1),OFFSET('IWP08'!Std11dot4Hospitalization, 5, 0, 1, 1))</f>
        <v>1</v>
      </c>
      <c r="C3179" s="157">
        <f ca="1">IF(OFFSET('IWP08'!Std11dot4Hospitalization, 5, 1, 1, 1) = DATE(1900,1,0),DATE(1900,1,1),OFFSET('IWP08'!Std11dot4Hospitalization, 5, 1, 1, 1))</f>
        <v>1</v>
      </c>
      <c r="D3179" s="13">
        <f ca="1">OFFSET('IWP08'!Std11dot4Hospitalization, 5, 2, 1, 1)</f>
        <v>0</v>
      </c>
      <c r="E3179" s="155">
        <f ca="1">OFFSET('IWP08'!Std11dot4Hospitalization, 5, 3, 1, 1)</f>
        <v>0</v>
      </c>
      <c r="F3179" s="155">
        <f ca="1">OFFSET('IWP08'!Std11dot4Hospitalization, 5,5, 1, 1)</f>
        <v>0</v>
      </c>
      <c r="G3179" s="155">
        <f ca="1">OFFSET('IWP08'!Std11dot4Hospitalization, 5,7, 1, 1)</f>
        <v>0</v>
      </c>
      <c r="H3179" s="155">
        <f ca="1">IF(OFFSET('IWP08'!Std11dot4Hospitalization, 5,8, 1, 1)="",0,OFFSET('IWP08'!Std11dot4Hospitalization, 5,8, 1, 1))</f>
        <v>0</v>
      </c>
      <c r="I3179" s="157">
        <f ca="1">IF(OFFSET('IWP08'!Std11dot4Hospitalization, 5, 10, 1, 1) = DATE(1900,1,0),DATE(1900,1,1),OFFSET('IWP08'!Std11dot4Hospitalization, 5, 10, 1, 1))</f>
        <v>1</v>
      </c>
      <c r="J3179" s="158">
        <f ca="1">IF(OFFSET('IWP08'!Std11dot4Hospitalization, 5, 12, 1, 1) = DATE(1900,1,0),DATE(1900,1,1),OFFSET('IWP08'!Std11dot4Hospitalization, 5, 12, 1, 1))</f>
        <v>1</v>
      </c>
    </row>
    <row r="3180" spans="1:10">
      <c r="A3180" s="206" t="s">
        <v>1312</v>
      </c>
      <c r="B3180" s="157">
        <f ca="1">IF(OFFSET('IWP09'!Std11dot4Hospitalization, 0, 0, 1, 1) = DATE(1900,1,0),DATE(1900,1,1),OFFSET('IWP09'!Std11dot4Hospitalization, 0, 0, 1, 1))</f>
        <v>1</v>
      </c>
      <c r="C3180" s="157">
        <f ca="1">IF(OFFSET('IWP09'!Std11dot4Hospitalization, 0, 1, 1, 1) = DATE(1900,1,0),DATE(1900,1,1),OFFSET('IWP09'!Std11dot4Hospitalization, 0, 1, 1, 1))</f>
        <v>1</v>
      </c>
      <c r="D3180" s="13">
        <f ca="1">OFFSET('IWP09'!Std11dot4Hospitalization, 0, 2, 1, 1)</f>
        <v>0</v>
      </c>
      <c r="E3180" s="155">
        <f ca="1">OFFSET('IWP09'!Std11dot4Hospitalization, 0, 3, 1, 1)</f>
        <v>0</v>
      </c>
      <c r="F3180" s="155">
        <f ca="1">OFFSET('IWP09'!Std11dot4Hospitalization, 0,5, 1, 1)</f>
        <v>0</v>
      </c>
      <c r="G3180" s="155">
        <f ca="1">OFFSET('IWP09'!Std11dot4Hospitalization, 0,7, 1, 1)</f>
        <v>0</v>
      </c>
      <c r="H3180" s="155">
        <f ca="1">IF(OFFSET('IWP09'!Std11dot4Hospitalization, 0,8, 1, 1)="",0,OFFSET('IWP09'!Std11dot4Hospitalization, 0,8, 1, 1))</f>
        <v>0</v>
      </c>
      <c r="I3180" s="157">
        <f ca="1">IF(OFFSET('IWP09'!Std11dot4Hospitalization, 0, 10, 1, 1) = DATE(1900,1,0),DATE(1900,1,1),OFFSET('IWP09'!Std11dot4Hospitalization, 0, 10, 1, 1))</f>
        <v>1</v>
      </c>
      <c r="J3180" s="158">
        <f ca="1">IF(OFFSET('IWP09'!Std11dot4Hospitalization, 0, 12, 1, 1) = DATE(1900,1,0),DATE(1900,1,1),OFFSET('IWP09'!Std11dot4Hospitalization, 0, 12, 1, 1))</f>
        <v>1</v>
      </c>
    </row>
    <row r="3181" spans="1:10">
      <c r="A3181" s="206" t="s">
        <v>1312</v>
      </c>
      <c r="B3181" s="157">
        <f ca="1">IF(OFFSET('IWP09'!Std11dot4Hospitalization, 1, 0, 1, 1) = DATE(1900,1,0),DATE(1900,1,1),OFFSET('IWP09'!Std11dot4Hospitalization, 1, 0, 1, 1))</f>
        <v>1</v>
      </c>
      <c r="C3181" s="157">
        <f ca="1">IF(OFFSET('IWP09'!Std11dot4Hospitalization, 1, 1, 1, 1) = DATE(1900,1,0),DATE(1900,1,1),OFFSET('IWP09'!Std11dot4Hospitalization, 1, 1, 1, 1))</f>
        <v>1</v>
      </c>
      <c r="D3181" s="13">
        <f ca="1">OFFSET('IWP09'!Std11dot4Hospitalization, 1, 2, 1, 1)</f>
        <v>0</v>
      </c>
      <c r="E3181" s="155">
        <f ca="1">OFFSET('IWP09'!Std11dot4Hospitalization, 1, 3, 1, 1)</f>
        <v>0</v>
      </c>
      <c r="F3181" s="155">
        <f ca="1">OFFSET('IWP09'!Std11dot4Hospitalization, 1,5, 1, 1)</f>
        <v>0</v>
      </c>
      <c r="G3181" s="155">
        <f ca="1">OFFSET('IWP09'!Std11dot4Hospitalization, 1,7, 1, 1)</f>
        <v>0</v>
      </c>
      <c r="H3181" s="155">
        <f ca="1">IF(OFFSET('IWP09'!Std11dot4Hospitalization, 1,8, 1, 1)="",0,OFFSET('IWP09'!Std11dot4Hospitalization, 1,8, 1, 1))</f>
        <v>0</v>
      </c>
      <c r="I3181" s="157">
        <f ca="1">IF(OFFSET('IWP09'!Std11dot4Hospitalization, 1, 10, 1, 1) = DATE(1900,1,0),DATE(1900,1,1),OFFSET('IWP09'!Std11dot4Hospitalization, 1, 10, 1, 1))</f>
        <v>1</v>
      </c>
      <c r="J3181" s="158">
        <f ca="1">IF(OFFSET('IWP09'!Std11dot4Hospitalization, 1, 12, 1, 1) = DATE(1900,1,0),DATE(1900,1,1),OFFSET('IWP09'!Std11dot4Hospitalization, 1, 12, 1, 1))</f>
        <v>1</v>
      </c>
    </row>
    <row r="3182" spans="1:10">
      <c r="A3182" s="206" t="s">
        <v>1312</v>
      </c>
      <c r="B3182" s="157">
        <f ca="1">IF(OFFSET('IWP09'!Std11dot4Hospitalization, 2, 0, 1, 1) = DATE(1900,1,0),DATE(1900,1,1),OFFSET('IWP09'!Std11dot4Hospitalization, 2, 0, 1, 1))</f>
        <v>1</v>
      </c>
      <c r="C3182" s="157">
        <f ca="1">IF(OFFSET('IWP09'!Std11dot4Hospitalization, 2, 1, 1, 1) = DATE(1900,1,0),DATE(1900,1,1),OFFSET('IWP09'!Std11dot4Hospitalization, 2, 1, 1, 1))</f>
        <v>1</v>
      </c>
      <c r="D3182" s="13">
        <f ca="1">OFFSET('IWP09'!Std11dot4Hospitalization, 2, 2, 1, 1)</f>
        <v>0</v>
      </c>
      <c r="E3182" s="155">
        <f ca="1">OFFSET('IWP09'!Std11dot4Hospitalization, 2, 3, 1, 1)</f>
        <v>0</v>
      </c>
      <c r="F3182" s="155">
        <f ca="1">OFFSET('IWP09'!Std11dot4Hospitalization, 2,5, 1, 1)</f>
        <v>0</v>
      </c>
      <c r="G3182" s="155">
        <f ca="1">OFFSET('IWP09'!Std11dot4Hospitalization, 2,7, 1, 1)</f>
        <v>0</v>
      </c>
      <c r="H3182" s="155">
        <f ca="1">IF(OFFSET('IWP09'!Std11dot4Hospitalization, 2,8, 1, 1)="",0,OFFSET('IWP09'!Std11dot4Hospitalization, 2,8, 1, 1))</f>
        <v>0</v>
      </c>
      <c r="I3182" s="157">
        <f ca="1">IF(OFFSET('IWP09'!Std11dot4Hospitalization, 2, 10, 1, 1) = DATE(1900,1,0),DATE(1900,1,1),OFFSET('IWP09'!Std11dot4Hospitalization, 2, 10, 1, 1))</f>
        <v>1</v>
      </c>
      <c r="J3182" s="158">
        <f ca="1">IF(OFFSET('IWP09'!Std11dot4Hospitalization, 2, 12, 1, 1) = DATE(1900,1,0),DATE(1900,1,1),OFFSET('IWP09'!Std11dot4Hospitalization, 2, 12, 1, 1))</f>
        <v>1</v>
      </c>
    </row>
    <row r="3183" spans="1:10">
      <c r="A3183" s="206" t="s">
        <v>1312</v>
      </c>
      <c r="B3183" s="157">
        <f ca="1">IF(OFFSET('IWP09'!Std11dot4Hospitalization, 3, 0, 1, 1) = DATE(1900,1,0),DATE(1900,1,1),OFFSET('IWP09'!Std11dot4Hospitalization, 3, 0, 1, 1))</f>
        <v>1</v>
      </c>
      <c r="C3183" s="157">
        <f ca="1">IF(OFFSET('IWP09'!Std11dot4Hospitalization, 3, 1, 1, 1) = DATE(1900,1,0),DATE(1900,1,1),OFFSET('IWP09'!Std11dot4Hospitalization, 3, 1, 1, 1))</f>
        <v>1</v>
      </c>
      <c r="D3183" s="13">
        <f ca="1">OFFSET('IWP09'!Std11dot4Hospitalization, 3, 2, 1, 1)</f>
        <v>0</v>
      </c>
      <c r="E3183" s="155">
        <f ca="1">OFFSET('IWP09'!Std11dot4Hospitalization, 3, 3, 1, 1)</f>
        <v>0</v>
      </c>
      <c r="F3183" s="155">
        <f ca="1">OFFSET('IWP09'!Std11dot4Hospitalization, 3,5, 1, 1)</f>
        <v>0</v>
      </c>
      <c r="G3183" s="155">
        <f ca="1">OFFSET('IWP09'!Std11dot4Hospitalization, 3,7, 1, 1)</f>
        <v>0</v>
      </c>
      <c r="H3183" s="155">
        <f ca="1">IF(OFFSET('IWP09'!Std11dot4Hospitalization, 3,8, 1, 1)="",0,OFFSET('IWP09'!Std11dot4Hospitalization, 3,8, 1, 1))</f>
        <v>0</v>
      </c>
      <c r="I3183" s="157">
        <f ca="1">IF(OFFSET('IWP09'!Std11dot4Hospitalization, 3, 10, 1, 1) = DATE(1900,1,0),DATE(1900,1,1),OFFSET('IWP09'!Std11dot4Hospitalization, 3, 10, 1, 1))</f>
        <v>1</v>
      </c>
      <c r="J3183" s="158">
        <f ca="1">IF(OFFSET('IWP09'!Std11dot4Hospitalization, 3, 12, 1, 1) = DATE(1900,1,0),DATE(1900,1,1),OFFSET('IWP09'!Std11dot4Hospitalization, 3, 12, 1, 1))</f>
        <v>1</v>
      </c>
    </row>
    <row r="3184" spans="1:10">
      <c r="A3184" s="206" t="s">
        <v>1312</v>
      </c>
      <c r="B3184" s="157">
        <f ca="1">IF(OFFSET('IWP09'!Std11dot4Hospitalization, 4, 0, 1, 1) = DATE(1900,1,0),DATE(1900,1,1),OFFSET('IWP09'!Std11dot4Hospitalization, 4, 0, 1, 1))</f>
        <v>1</v>
      </c>
      <c r="C3184" s="157">
        <f ca="1">IF(OFFSET('IWP09'!Std11dot4Hospitalization, 4, 1, 1, 1) = DATE(1900,1,0),DATE(1900,1,1),OFFSET('IWP09'!Std11dot4Hospitalization, 4, 1, 1, 1))</f>
        <v>1</v>
      </c>
      <c r="D3184" s="13">
        <f ca="1">OFFSET('IWP09'!Std11dot4Hospitalization, 4, 2, 1, 1)</f>
        <v>0</v>
      </c>
      <c r="E3184" s="155">
        <f ca="1">OFFSET('IWP09'!Std11dot4Hospitalization, 4, 3, 1, 1)</f>
        <v>0</v>
      </c>
      <c r="F3184" s="155">
        <f ca="1">OFFSET('IWP09'!Std11dot4Hospitalization, 4,5, 1, 1)</f>
        <v>0</v>
      </c>
      <c r="G3184" s="155">
        <f ca="1">OFFSET('IWP09'!Std11dot4Hospitalization, 4,7, 1, 1)</f>
        <v>0</v>
      </c>
      <c r="H3184" s="155">
        <f ca="1">IF(OFFSET('IWP09'!Std11dot4Hospitalization, 4,8, 1, 1)="",0,OFFSET('IWP09'!Std11dot4Hospitalization, 4,8, 1, 1))</f>
        <v>0</v>
      </c>
      <c r="I3184" s="157">
        <f ca="1">IF(OFFSET('IWP09'!Std11dot4Hospitalization, 4, 10, 1, 1) = DATE(1900,1,0),DATE(1900,1,1),OFFSET('IWP09'!Std11dot4Hospitalization, 4, 10, 1, 1))</f>
        <v>1</v>
      </c>
      <c r="J3184" s="158">
        <f ca="1">IF(OFFSET('IWP09'!Std11dot4Hospitalization, 4, 12, 1, 1) = DATE(1900,1,0),DATE(1900,1,1),OFFSET('IWP09'!Std11dot4Hospitalization, 4, 12, 1, 1))</f>
        <v>1</v>
      </c>
    </row>
    <row r="3185" spans="1:10">
      <c r="A3185" s="206" t="s">
        <v>1312</v>
      </c>
      <c r="B3185" s="157">
        <f ca="1">IF(OFFSET('IWP09'!Std11dot4Hospitalization, 5, 0, 1, 1) = DATE(1900,1,0),DATE(1900,1,1),OFFSET('IWP09'!Std11dot4Hospitalization, 5, 0, 1, 1))</f>
        <v>1</v>
      </c>
      <c r="C3185" s="157">
        <f ca="1">IF(OFFSET('IWP09'!Std11dot4Hospitalization, 5, 1, 1, 1) = DATE(1900,1,0),DATE(1900,1,1),OFFSET('IWP09'!Std11dot4Hospitalization, 5, 1, 1, 1))</f>
        <v>1</v>
      </c>
      <c r="D3185" s="13">
        <f ca="1">OFFSET('IWP09'!Std11dot4Hospitalization, 5, 2, 1, 1)</f>
        <v>0</v>
      </c>
      <c r="E3185" s="155">
        <f ca="1">OFFSET('IWP09'!Std11dot4Hospitalization, 5, 3, 1, 1)</f>
        <v>0</v>
      </c>
      <c r="F3185" s="155">
        <f ca="1">OFFSET('IWP09'!Std11dot4Hospitalization, 5,5, 1, 1)</f>
        <v>0</v>
      </c>
      <c r="G3185" s="155">
        <f ca="1">OFFSET('IWP09'!Std11dot4Hospitalization, 5,7, 1, 1)</f>
        <v>0</v>
      </c>
      <c r="H3185" s="155">
        <f ca="1">IF(OFFSET('IWP09'!Std11dot4Hospitalization, 5,8, 1, 1)="",0,OFFSET('IWP09'!Std11dot4Hospitalization, 5,8, 1, 1))</f>
        <v>0</v>
      </c>
      <c r="I3185" s="157">
        <f ca="1">IF(OFFSET('IWP09'!Std11dot4Hospitalization, 5, 10, 1, 1) = DATE(1900,1,0),DATE(1900,1,1),OFFSET('IWP09'!Std11dot4Hospitalization, 5, 10, 1, 1))</f>
        <v>1</v>
      </c>
      <c r="J3185" s="158">
        <f ca="1">IF(OFFSET('IWP09'!Std11dot4Hospitalization, 5, 12, 1, 1) = DATE(1900,1,0),DATE(1900,1,1),OFFSET('IWP09'!Std11dot4Hospitalization, 5, 12, 1, 1))</f>
        <v>1</v>
      </c>
    </row>
    <row r="3186" spans="1:10">
      <c r="A3186" s="206" t="s">
        <v>1313</v>
      </c>
      <c r="B3186" s="157">
        <f ca="1">IF(OFFSET('IWP10'!Std11dot4Hospitalization, 0, 0, 1, 1) = DATE(1900,1,0),DATE(1900,1,1),OFFSET('IWP10'!Std11dot4Hospitalization, 0, 0, 1, 1))</f>
        <v>1</v>
      </c>
      <c r="C3186" s="157">
        <f ca="1">IF(OFFSET('IWP10'!Std11dot4Hospitalization, 0, 1, 1, 1) = DATE(1900,1,0),DATE(1900,1,1),OFFSET('IWP10'!Std11dot4Hospitalization, 0, 1, 1, 1))</f>
        <v>1</v>
      </c>
      <c r="D3186" s="13">
        <f ca="1">OFFSET('IWP10'!Std11dot4Hospitalization, 0, 2, 1, 1)</f>
        <v>0</v>
      </c>
      <c r="E3186" s="155">
        <f ca="1">OFFSET('IWP10'!Std11dot4Hospitalization, 0, 3, 1, 1)</f>
        <v>0</v>
      </c>
      <c r="F3186" s="155">
        <f ca="1">OFFSET('IWP10'!Std11dot4Hospitalization, 0,5, 1, 1)</f>
        <v>0</v>
      </c>
      <c r="G3186" s="155">
        <f ca="1">OFFSET('IWP10'!Std11dot4Hospitalization, 0,7, 1, 1)</f>
        <v>0</v>
      </c>
      <c r="H3186" s="155">
        <f ca="1">IF(OFFSET('IWP10'!Std11dot4Hospitalization, 0,8, 1, 1)="",0,OFFSET('IWP10'!Std11dot4Hospitalization, 0,8, 1, 1))</f>
        <v>0</v>
      </c>
      <c r="I3186" s="157">
        <f ca="1">IF(OFFSET('IWP10'!Std11dot4Hospitalization, 0, 10, 1, 1) = DATE(1900,1,0),DATE(1900,1,1),OFFSET('IWP10'!Std11dot4Hospitalization, 0, 10, 1, 1))</f>
        <v>1</v>
      </c>
      <c r="J3186" s="158">
        <f ca="1">IF(OFFSET('IWP10'!Std11dot4Hospitalization, 0, 12, 1, 1) = DATE(1900,1,0),DATE(1900,1,1),OFFSET('IWP10'!Std11dot4Hospitalization, 0, 12, 1, 1))</f>
        <v>1</v>
      </c>
    </row>
    <row r="3187" spans="1:10">
      <c r="A3187" s="206" t="s">
        <v>1313</v>
      </c>
      <c r="B3187" s="157">
        <f ca="1">IF(OFFSET('IWP10'!Std11dot4Hospitalization, 1, 0, 1, 1) = DATE(1900,1,0),DATE(1900,1,1),OFFSET('IWP10'!Std11dot4Hospitalization, 1, 0, 1, 1))</f>
        <v>1</v>
      </c>
      <c r="C3187" s="157">
        <f ca="1">IF(OFFSET('IWP10'!Std11dot4Hospitalization, 1, 1, 1, 1) = DATE(1900,1,0),DATE(1900,1,1),OFFSET('IWP10'!Std11dot4Hospitalization, 1, 1, 1, 1))</f>
        <v>1</v>
      </c>
      <c r="D3187" s="13">
        <f ca="1">OFFSET('IWP10'!Std11dot4Hospitalization, 1, 2, 1, 1)</f>
        <v>0</v>
      </c>
      <c r="E3187" s="155">
        <f ca="1">OFFSET('IWP10'!Std11dot4Hospitalization, 1, 3, 1, 1)</f>
        <v>0</v>
      </c>
      <c r="F3187" s="155">
        <f ca="1">OFFSET('IWP10'!Std11dot4Hospitalization, 1,5, 1, 1)</f>
        <v>0</v>
      </c>
      <c r="G3187" s="155">
        <f ca="1">OFFSET('IWP10'!Std11dot4Hospitalization, 1,7, 1, 1)</f>
        <v>0</v>
      </c>
      <c r="H3187" s="155">
        <f ca="1">IF(OFFSET('IWP10'!Std11dot4Hospitalization, 1,8, 1, 1)="",0,OFFSET('IWP10'!Std11dot4Hospitalization, 1,8, 1, 1))</f>
        <v>0</v>
      </c>
      <c r="I3187" s="157">
        <f ca="1">IF(OFFSET('IWP10'!Std11dot4Hospitalization, 1, 10, 1, 1) = DATE(1900,1,0),DATE(1900,1,1),OFFSET('IWP10'!Std11dot4Hospitalization, 1, 10, 1, 1))</f>
        <v>1</v>
      </c>
      <c r="J3187" s="158">
        <f ca="1">IF(OFFSET('IWP10'!Std11dot4Hospitalization, 1, 12, 1, 1) = DATE(1900,1,0),DATE(1900,1,1),OFFSET('IWP10'!Std11dot4Hospitalization, 1, 12, 1, 1))</f>
        <v>1</v>
      </c>
    </row>
    <row r="3188" spans="1:10">
      <c r="A3188" s="206" t="s">
        <v>1313</v>
      </c>
      <c r="B3188" s="157">
        <f ca="1">IF(OFFSET('IWP10'!Std11dot4Hospitalization, 2, 0, 1, 1) = DATE(1900,1,0),DATE(1900,1,1),OFFSET('IWP10'!Std11dot4Hospitalization, 2, 0, 1, 1))</f>
        <v>1</v>
      </c>
      <c r="C3188" s="157">
        <f ca="1">IF(OFFSET('IWP10'!Std11dot4Hospitalization, 2, 1, 1, 1) = DATE(1900,1,0),DATE(1900,1,1),OFFSET('IWP10'!Std11dot4Hospitalization, 2, 1, 1, 1))</f>
        <v>1</v>
      </c>
      <c r="D3188" s="13">
        <f ca="1">OFFSET('IWP10'!Std11dot4Hospitalization, 2, 2, 1, 1)</f>
        <v>0</v>
      </c>
      <c r="E3188" s="155">
        <f ca="1">OFFSET('IWP10'!Std11dot4Hospitalization, 2, 3, 1, 1)</f>
        <v>0</v>
      </c>
      <c r="F3188" s="155">
        <f ca="1">OFFSET('IWP10'!Std11dot4Hospitalization, 2,5, 1, 1)</f>
        <v>0</v>
      </c>
      <c r="G3188" s="155">
        <f ca="1">OFFSET('IWP10'!Std11dot4Hospitalization, 2,7, 1, 1)</f>
        <v>0</v>
      </c>
      <c r="H3188" s="155">
        <f ca="1">IF(OFFSET('IWP10'!Std11dot4Hospitalization, 2,8, 1, 1)="",0,OFFSET('IWP10'!Std11dot4Hospitalization, 2,8, 1, 1))</f>
        <v>0</v>
      </c>
      <c r="I3188" s="157">
        <f ca="1">IF(OFFSET('IWP10'!Std11dot4Hospitalization, 2, 10, 1, 1) = DATE(1900,1,0),DATE(1900,1,1),OFFSET('IWP10'!Std11dot4Hospitalization, 2, 10, 1, 1))</f>
        <v>1</v>
      </c>
      <c r="J3188" s="158">
        <f ca="1">IF(OFFSET('IWP10'!Std11dot4Hospitalization, 2, 12, 1, 1) = DATE(1900,1,0),DATE(1900,1,1),OFFSET('IWP10'!Std11dot4Hospitalization, 2, 12, 1, 1))</f>
        <v>1</v>
      </c>
    </row>
    <row r="3189" spans="1:10">
      <c r="A3189" s="206" t="s">
        <v>1313</v>
      </c>
      <c r="B3189" s="157">
        <f ca="1">IF(OFFSET('IWP10'!Std11dot4Hospitalization, 3, 0, 1, 1) = DATE(1900,1,0),DATE(1900,1,1),OFFSET('IWP10'!Std11dot4Hospitalization, 3, 0, 1, 1))</f>
        <v>1</v>
      </c>
      <c r="C3189" s="157">
        <f ca="1">IF(OFFSET('IWP10'!Std11dot4Hospitalization, 3, 1, 1, 1) = DATE(1900,1,0),DATE(1900,1,1),OFFSET('IWP10'!Std11dot4Hospitalization, 3, 1, 1, 1))</f>
        <v>1</v>
      </c>
      <c r="D3189" s="13">
        <f ca="1">OFFSET('IWP10'!Std11dot4Hospitalization, 3, 2, 1, 1)</f>
        <v>0</v>
      </c>
      <c r="E3189" s="155">
        <f ca="1">OFFSET('IWP10'!Std11dot4Hospitalization, 3, 3, 1, 1)</f>
        <v>0</v>
      </c>
      <c r="F3189" s="155">
        <f ca="1">OFFSET('IWP10'!Std11dot4Hospitalization, 3,5, 1, 1)</f>
        <v>0</v>
      </c>
      <c r="G3189" s="155">
        <f ca="1">OFFSET('IWP10'!Std11dot4Hospitalization, 3,7, 1, 1)</f>
        <v>0</v>
      </c>
      <c r="H3189" s="155">
        <f ca="1">IF(OFFSET('IWP10'!Std11dot4Hospitalization, 3,8, 1, 1)="",0,OFFSET('IWP10'!Std11dot4Hospitalization, 3,8, 1, 1))</f>
        <v>0</v>
      </c>
      <c r="I3189" s="157">
        <f ca="1">IF(OFFSET('IWP10'!Std11dot4Hospitalization, 3, 10, 1, 1) = DATE(1900,1,0),DATE(1900,1,1),OFFSET('IWP10'!Std11dot4Hospitalization, 3, 10, 1, 1))</f>
        <v>1</v>
      </c>
      <c r="J3189" s="158">
        <f ca="1">IF(OFFSET('IWP10'!Std11dot4Hospitalization, 3, 12, 1, 1) = DATE(1900,1,0),DATE(1900,1,1),OFFSET('IWP10'!Std11dot4Hospitalization, 3, 12, 1, 1))</f>
        <v>1</v>
      </c>
    </row>
    <row r="3190" spans="1:10">
      <c r="A3190" s="206" t="s">
        <v>1313</v>
      </c>
      <c r="B3190" s="157">
        <f ca="1">IF(OFFSET('IWP10'!Std11dot4Hospitalization, 4, 0, 1, 1) = DATE(1900,1,0),DATE(1900,1,1),OFFSET('IWP10'!Std11dot4Hospitalization, 4, 0, 1, 1))</f>
        <v>1</v>
      </c>
      <c r="C3190" s="157">
        <f ca="1">IF(OFFSET('IWP10'!Std11dot4Hospitalization, 4, 1, 1, 1) = DATE(1900,1,0),DATE(1900,1,1),OFFSET('IWP10'!Std11dot4Hospitalization, 4, 1, 1, 1))</f>
        <v>1</v>
      </c>
      <c r="D3190" s="13">
        <f ca="1">OFFSET('IWP10'!Std11dot4Hospitalization, 4, 2, 1, 1)</f>
        <v>0</v>
      </c>
      <c r="E3190" s="155">
        <f ca="1">OFFSET('IWP10'!Std11dot4Hospitalization, 4, 3, 1, 1)</f>
        <v>0</v>
      </c>
      <c r="F3190" s="155">
        <f ca="1">OFFSET('IWP10'!Std11dot4Hospitalization, 4,5, 1, 1)</f>
        <v>0</v>
      </c>
      <c r="G3190" s="155">
        <f ca="1">OFFSET('IWP10'!Std11dot4Hospitalization, 4,7, 1, 1)</f>
        <v>0</v>
      </c>
      <c r="H3190" s="155">
        <f ca="1">IF(OFFSET('IWP10'!Std11dot4Hospitalization, 4,8, 1, 1)="",0,OFFSET('IWP10'!Std11dot4Hospitalization, 4,8, 1, 1))</f>
        <v>0</v>
      </c>
      <c r="I3190" s="157">
        <f ca="1">IF(OFFSET('IWP10'!Std11dot4Hospitalization, 4, 10, 1, 1) = DATE(1900,1,0),DATE(1900,1,1),OFFSET('IWP10'!Std11dot4Hospitalization, 4, 10, 1, 1))</f>
        <v>1</v>
      </c>
      <c r="J3190" s="158">
        <f ca="1">IF(OFFSET('IWP10'!Std11dot4Hospitalization, 4, 12, 1, 1) = DATE(1900,1,0),DATE(1900,1,1),OFFSET('IWP10'!Std11dot4Hospitalization, 4, 12, 1, 1))</f>
        <v>1</v>
      </c>
    </row>
    <row r="3191" spans="1:10">
      <c r="A3191" s="206" t="s">
        <v>1313</v>
      </c>
      <c r="B3191" s="157">
        <f ca="1">IF(OFFSET('IWP10'!Std11dot4Hospitalization, 5, 0, 1, 1) = DATE(1900,1,0),DATE(1900,1,1),OFFSET('IWP10'!Std11dot4Hospitalization, 5, 0, 1, 1))</f>
        <v>1</v>
      </c>
      <c r="C3191" s="157">
        <f ca="1">IF(OFFSET('IWP10'!Std11dot4Hospitalization, 5, 1, 1, 1) = DATE(1900,1,0),DATE(1900,1,1),OFFSET('IWP10'!Std11dot4Hospitalization, 5, 1, 1, 1))</f>
        <v>1</v>
      </c>
      <c r="D3191" s="13">
        <f ca="1">OFFSET('IWP10'!Std11dot4Hospitalization, 5, 2, 1, 1)</f>
        <v>0</v>
      </c>
      <c r="E3191" s="155">
        <f ca="1">OFFSET('IWP10'!Std11dot4Hospitalization, 5, 3, 1, 1)</f>
        <v>0</v>
      </c>
      <c r="F3191" s="155">
        <f ca="1">OFFSET('IWP10'!Std11dot4Hospitalization, 5,5, 1, 1)</f>
        <v>0</v>
      </c>
      <c r="G3191" s="155">
        <f ca="1">OFFSET('IWP10'!Std11dot4Hospitalization, 5,7, 1, 1)</f>
        <v>0</v>
      </c>
      <c r="H3191" s="155">
        <f ca="1">IF(OFFSET('IWP10'!Std11dot4Hospitalization, 5,8, 1, 1)="",0,OFFSET('IWP10'!Std11dot4Hospitalization, 5,8, 1, 1))</f>
        <v>0</v>
      </c>
      <c r="I3191" s="157">
        <f ca="1">IF(OFFSET('IWP10'!Std11dot4Hospitalization, 5, 10, 1, 1) = DATE(1900,1,0),DATE(1900,1,1),OFFSET('IWP10'!Std11dot4Hospitalization, 5, 10, 1, 1))</f>
        <v>1</v>
      </c>
      <c r="J3191" s="158">
        <f ca="1">IF(OFFSET('IWP10'!Std11dot4Hospitalization, 5, 12, 1, 1) = DATE(1900,1,0),DATE(1900,1,1),OFFSET('IWP10'!Std11dot4Hospitalization, 5, 12, 1, 1))</f>
        <v>1</v>
      </c>
    </row>
    <row r="3192" spans="1:10">
      <c r="A3192" s="206" t="s">
        <v>1314</v>
      </c>
      <c r="B3192" s="157">
        <f ca="1">IF(OFFSET('IWP11'!Std11dot4Hospitalization, 0, 0, 1, 1) = DATE(1900,1,0),DATE(1900,1,1),OFFSET('IWP11'!Std11dot4Hospitalization, 0, 0, 1, 1))</f>
        <v>1</v>
      </c>
      <c r="C3192" s="157">
        <f ca="1">IF(OFFSET('IWP11'!Std11dot4Hospitalization, 0, 1, 1, 1) = DATE(1900,1,0),DATE(1900,1,1),OFFSET('IWP11'!Std11dot4Hospitalization, 0, 1, 1, 1))</f>
        <v>1</v>
      </c>
      <c r="D3192" s="13">
        <f ca="1">OFFSET('IWP11'!Std11dot4Hospitalization, 0, 2, 1, 1)</f>
        <v>0</v>
      </c>
      <c r="E3192" s="155">
        <f ca="1">OFFSET('IWP11'!Std11dot4Hospitalization, 0, 3, 1, 1)</f>
        <v>0</v>
      </c>
      <c r="F3192" s="155">
        <f ca="1">OFFSET('IWP11'!Std11dot4Hospitalization, 0,5, 1, 1)</f>
        <v>0</v>
      </c>
      <c r="G3192" s="155">
        <f ca="1">OFFSET('IWP11'!Std11dot4Hospitalization, 0,7, 1, 1)</f>
        <v>0</v>
      </c>
      <c r="H3192" s="155">
        <f ca="1">IF(OFFSET('IWP11'!Std11dot4Hospitalization, 0,8, 1, 1)="",0,OFFSET('IWP11'!Std11dot4Hospitalization, 0,8, 1, 1))</f>
        <v>0</v>
      </c>
      <c r="I3192" s="157">
        <f ca="1">IF(OFFSET('IWP11'!Std11dot4Hospitalization, 0, 10, 1, 1) = DATE(1900,1,0),DATE(1900,1,1),OFFSET('IWP11'!Std11dot4Hospitalization, 0, 10, 1, 1))</f>
        <v>1</v>
      </c>
      <c r="J3192" s="158">
        <f ca="1">IF(OFFSET('IWP11'!Std11dot4Hospitalization, 0, 12, 1, 1) = DATE(1900,1,0),DATE(1900,1,1),OFFSET('IWP11'!Std11dot4Hospitalization, 0, 12, 1, 1))</f>
        <v>1</v>
      </c>
    </row>
    <row r="3193" spans="1:10">
      <c r="A3193" s="206" t="s">
        <v>1314</v>
      </c>
      <c r="B3193" s="157">
        <f ca="1">IF(OFFSET('IWP11'!Std11dot4Hospitalization, 1, 0, 1, 1) = DATE(1900,1,0),DATE(1900,1,1),OFFSET('IWP11'!Std11dot4Hospitalization, 1, 0, 1, 1))</f>
        <v>1</v>
      </c>
      <c r="C3193" s="157">
        <f ca="1">IF(OFFSET('IWP11'!Std11dot4Hospitalization, 1, 1, 1, 1) = DATE(1900,1,0),DATE(1900,1,1),OFFSET('IWP11'!Std11dot4Hospitalization, 1, 1, 1, 1))</f>
        <v>1</v>
      </c>
      <c r="D3193" s="13">
        <f ca="1">OFFSET('IWP11'!Std11dot4Hospitalization, 1, 2, 1, 1)</f>
        <v>0</v>
      </c>
      <c r="E3193" s="155">
        <f ca="1">OFFSET('IWP11'!Std11dot4Hospitalization, 1, 3, 1, 1)</f>
        <v>0</v>
      </c>
      <c r="F3193" s="155">
        <f ca="1">OFFSET('IWP11'!Std11dot4Hospitalization, 1,5, 1, 1)</f>
        <v>0</v>
      </c>
      <c r="G3193" s="155">
        <f ca="1">OFFSET('IWP11'!Std11dot4Hospitalization, 1,7, 1, 1)</f>
        <v>0</v>
      </c>
      <c r="H3193" s="155">
        <f ca="1">IF(OFFSET('IWP11'!Std11dot4Hospitalization, 1,8, 1, 1)="",0,OFFSET('IWP11'!Std11dot4Hospitalization, 1,8, 1, 1))</f>
        <v>0</v>
      </c>
      <c r="I3193" s="157">
        <f ca="1">IF(OFFSET('IWP11'!Std11dot4Hospitalization, 1, 10, 1, 1) = DATE(1900,1,0),DATE(1900,1,1),OFFSET('IWP11'!Std11dot4Hospitalization, 1, 10, 1, 1))</f>
        <v>1</v>
      </c>
      <c r="J3193" s="158">
        <f ca="1">IF(OFFSET('IWP11'!Std11dot4Hospitalization, 1, 12, 1, 1) = DATE(1900,1,0),DATE(1900,1,1),OFFSET('IWP11'!Std11dot4Hospitalization, 1, 12, 1, 1))</f>
        <v>1</v>
      </c>
    </row>
    <row r="3194" spans="1:10">
      <c r="A3194" s="206" t="s">
        <v>1314</v>
      </c>
      <c r="B3194" s="157">
        <f ca="1">IF(OFFSET('IWP11'!Std11dot4Hospitalization, 2, 0, 1, 1) = DATE(1900,1,0),DATE(1900,1,1),OFFSET('IWP11'!Std11dot4Hospitalization, 2, 0, 1, 1))</f>
        <v>1</v>
      </c>
      <c r="C3194" s="157">
        <f ca="1">IF(OFFSET('IWP11'!Std11dot4Hospitalization, 2, 1, 1, 1) = DATE(1900,1,0),DATE(1900,1,1),OFFSET('IWP11'!Std11dot4Hospitalization, 2, 1, 1, 1))</f>
        <v>1</v>
      </c>
      <c r="D3194" s="13">
        <f ca="1">OFFSET('IWP11'!Std11dot4Hospitalization, 2, 2, 1, 1)</f>
        <v>0</v>
      </c>
      <c r="E3194" s="155">
        <f ca="1">OFFSET('IWP11'!Std11dot4Hospitalization, 2, 3, 1, 1)</f>
        <v>0</v>
      </c>
      <c r="F3194" s="155">
        <f ca="1">OFFSET('IWP11'!Std11dot4Hospitalization, 2,5, 1, 1)</f>
        <v>0</v>
      </c>
      <c r="G3194" s="155">
        <f ca="1">OFFSET('IWP11'!Std11dot4Hospitalization, 2,7, 1, 1)</f>
        <v>0</v>
      </c>
      <c r="H3194" s="155">
        <f ca="1">IF(OFFSET('IWP11'!Std11dot4Hospitalization, 2,8, 1, 1)="",0,OFFSET('IWP11'!Std11dot4Hospitalization, 2,8, 1, 1))</f>
        <v>0</v>
      </c>
      <c r="I3194" s="157">
        <f ca="1">IF(OFFSET('IWP11'!Std11dot4Hospitalization, 2, 10, 1, 1) = DATE(1900,1,0),DATE(1900,1,1),OFFSET('IWP11'!Std11dot4Hospitalization, 2, 10, 1, 1))</f>
        <v>1</v>
      </c>
      <c r="J3194" s="158">
        <f ca="1">IF(OFFSET('IWP11'!Std11dot4Hospitalization, 2, 12, 1, 1) = DATE(1900,1,0),DATE(1900,1,1),OFFSET('IWP11'!Std11dot4Hospitalization, 2, 12, 1, 1))</f>
        <v>1</v>
      </c>
    </row>
    <row r="3195" spans="1:10">
      <c r="A3195" s="206" t="s">
        <v>1314</v>
      </c>
      <c r="B3195" s="157">
        <f ca="1">IF(OFFSET('IWP11'!Std11dot4Hospitalization, 3, 0, 1, 1) = DATE(1900,1,0),DATE(1900,1,1),OFFSET('IWP11'!Std11dot4Hospitalization, 3, 0, 1, 1))</f>
        <v>1</v>
      </c>
      <c r="C3195" s="157">
        <f ca="1">IF(OFFSET('IWP11'!Std11dot4Hospitalization, 3, 1, 1, 1) = DATE(1900,1,0),DATE(1900,1,1),OFFSET('IWP11'!Std11dot4Hospitalization, 3, 1, 1, 1))</f>
        <v>1</v>
      </c>
      <c r="D3195" s="13">
        <f ca="1">OFFSET('IWP11'!Std11dot4Hospitalization, 3, 2, 1, 1)</f>
        <v>0</v>
      </c>
      <c r="E3195" s="155">
        <f ca="1">OFFSET('IWP11'!Std11dot4Hospitalization, 3, 3, 1, 1)</f>
        <v>0</v>
      </c>
      <c r="F3195" s="155">
        <f ca="1">OFFSET('IWP11'!Std11dot4Hospitalization, 3,5, 1, 1)</f>
        <v>0</v>
      </c>
      <c r="G3195" s="155">
        <f ca="1">OFFSET('IWP11'!Std11dot4Hospitalization, 3,7, 1, 1)</f>
        <v>0</v>
      </c>
      <c r="H3195" s="155">
        <f ca="1">IF(OFFSET('IWP11'!Std11dot4Hospitalization, 3,8, 1, 1)="",0,OFFSET('IWP11'!Std11dot4Hospitalization, 3,8, 1, 1))</f>
        <v>0</v>
      </c>
      <c r="I3195" s="157">
        <f ca="1">IF(OFFSET('IWP11'!Std11dot4Hospitalization, 3, 10, 1, 1) = DATE(1900,1,0),DATE(1900,1,1),OFFSET('IWP11'!Std11dot4Hospitalization, 3, 10, 1, 1))</f>
        <v>1</v>
      </c>
      <c r="J3195" s="158">
        <f ca="1">IF(OFFSET('IWP11'!Std11dot4Hospitalization, 3, 12, 1, 1) = DATE(1900,1,0),DATE(1900,1,1),OFFSET('IWP11'!Std11dot4Hospitalization, 3, 12, 1, 1))</f>
        <v>1</v>
      </c>
    </row>
    <row r="3196" spans="1:10">
      <c r="A3196" s="206" t="s">
        <v>1314</v>
      </c>
      <c r="B3196" s="157">
        <f ca="1">IF(OFFSET('IWP11'!Std11dot4Hospitalization, 4, 0, 1, 1) = DATE(1900,1,0),DATE(1900,1,1),OFFSET('IWP11'!Std11dot4Hospitalization, 4, 0, 1, 1))</f>
        <v>1</v>
      </c>
      <c r="C3196" s="157">
        <f ca="1">IF(OFFSET('IWP11'!Std11dot4Hospitalization, 4, 1, 1, 1) = DATE(1900,1,0),DATE(1900,1,1),OFFSET('IWP11'!Std11dot4Hospitalization, 4, 1, 1, 1))</f>
        <v>1</v>
      </c>
      <c r="D3196" s="13">
        <f ca="1">OFFSET('IWP11'!Std11dot4Hospitalization, 4, 2, 1, 1)</f>
        <v>0</v>
      </c>
      <c r="E3196" s="155">
        <f ca="1">OFFSET('IWP11'!Std11dot4Hospitalization, 4, 3, 1, 1)</f>
        <v>0</v>
      </c>
      <c r="F3196" s="155">
        <f ca="1">OFFSET('IWP11'!Std11dot4Hospitalization, 4,5, 1, 1)</f>
        <v>0</v>
      </c>
      <c r="G3196" s="155">
        <f ca="1">OFFSET('IWP11'!Std11dot4Hospitalization, 4,7, 1, 1)</f>
        <v>0</v>
      </c>
      <c r="H3196" s="155">
        <f ca="1">IF(OFFSET('IWP11'!Std11dot4Hospitalization, 4,8, 1, 1)="",0,OFFSET('IWP11'!Std11dot4Hospitalization, 4,8, 1, 1))</f>
        <v>0</v>
      </c>
      <c r="I3196" s="157">
        <f ca="1">IF(OFFSET('IWP11'!Std11dot4Hospitalization, 4, 10, 1, 1) = DATE(1900,1,0),DATE(1900,1,1),OFFSET('IWP11'!Std11dot4Hospitalization, 4, 10, 1, 1))</f>
        <v>1</v>
      </c>
      <c r="J3196" s="158">
        <f ca="1">IF(OFFSET('IWP11'!Std11dot4Hospitalization, 4, 12, 1, 1) = DATE(1900,1,0),DATE(1900,1,1),OFFSET('IWP11'!Std11dot4Hospitalization, 4, 12, 1, 1))</f>
        <v>1</v>
      </c>
    </row>
    <row r="3197" spans="1:10">
      <c r="A3197" s="206" t="s">
        <v>1314</v>
      </c>
      <c r="B3197" s="157">
        <f ca="1">IF(OFFSET('IWP11'!Std11dot4Hospitalization, 5, 0, 1, 1) = DATE(1900,1,0),DATE(1900,1,1),OFFSET('IWP11'!Std11dot4Hospitalization, 5, 0, 1, 1))</f>
        <v>1</v>
      </c>
      <c r="C3197" s="157">
        <f ca="1">IF(OFFSET('IWP11'!Std11dot4Hospitalization, 5, 1, 1, 1) = DATE(1900,1,0),DATE(1900,1,1),OFFSET('IWP11'!Std11dot4Hospitalization, 5, 1, 1, 1))</f>
        <v>1</v>
      </c>
      <c r="D3197" s="13">
        <f ca="1">OFFSET('IWP11'!Std11dot4Hospitalization, 5, 2, 1, 1)</f>
        <v>0</v>
      </c>
      <c r="E3197" s="155">
        <f ca="1">OFFSET('IWP11'!Std11dot4Hospitalization, 5, 3, 1, 1)</f>
        <v>0</v>
      </c>
      <c r="F3197" s="155">
        <f ca="1">OFFSET('IWP11'!Std11dot4Hospitalization, 5,5, 1, 1)</f>
        <v>0</v>
      </c>
      <c r="G3197" s="155">
        <f ca="1">OFFSET('IWP11'!Std11dot4Hospitalization, 5,7, 1, 1)</f>
        <v>0</v>
      </c>
      <c r="H3197" s="155">
        <f ca="1">IF(OFFSET('IWP11'!Std11dot4Hospitalization, 5,8, 1, 1)="",0,OFFSET('IWP11'!Std11dot4Hospitalization, 5,8, 1, 1))</f>
        <v>0</v>
      </c>
      <c r="I3197" s="157">
        <f ca="1">IF(OFFSET('IWP11'!Std11dot4Hospitalization, 5, 10, 1, 1) = DATE(1900,1,0),DATE(1900,1,1),OFFSET('IWP11'!Std11dot4Hospitalization, 5, 10, 1, 1))</f>
        <v>1</v>
      </c>
      <c r="J3197" s="158">
        <f ca="1">IF(OFFSET('IWP11'!Std11dot4Hospitalization, 5, 12, 1, 1) = DATE(1900,1,0),DATE(1900,1,1),OFFSET('IWP11'!Std11dot4Hospitalization, 5, 12, 1, 1))</f>
        <v>1</v>
      </c>
    </row>
    <row r="3198" spans="1:10">
      <c r="A3198" s="206" t="s">
        <v>1315</v>
      </c>
      <c r="B3198" s="157">
        <f ca="1">IF(OFFSET('IWP12'!Std11dot4Hospitalization, 0, 0, 1, 1) = DATE(1900,1,0),DATE(1900,1,1),OFFSET('IWP12'!Std11dot4Hospitalization, 0, 0, 1, 1))</f>
        <v>1</v>
      </c>
      <c r="C3198" s="157">
        <f ca="1">IF(OFFSET('IWP12'!Std11dot4Hospitalization, 0, 1, 1, 1) = DATE(1900,1,0),DATE(1900,1,1),OFFSET('IWP12'!Std11dot4Hospitalization, 0, 1, 1, 1))</f>
        <v>1</v>
      </c>
      <c r="D3198" s="13">
        <f ca="1">OFFSET('IWP12'!Std11dot4Hospitalization, 0, 2, 1, 1)</f>
        <v>0</v>
      </c>
      <c r="E3198" s="155">
        <f ca="1">OFFSET('IWP12'!Std11dot4Hospitalization, 0, 3, 1, 1)</f>
        <v>0</v>
      </c>
      <c r="F3198" s="155">
        <f ca="1">OFFSET('IWP12'!Std11dot4Hospitalization, 0,5, 1, 1)</f>
        <v>0</v>
      </c>
      <c r="G3198" s="155">
        <f ca="1">OFFSET('IWP12'!Std11dot4Hospitalization, 0,7, 1, 1)</f>
        <v>0</v>
      </c>
      <c r="H3198" s="155">
        <f ca="1">IF(OFFSET('IWP12'!Std11dot4Hospitalization, 0,8, 1, 1)="",0,OFFSET('IWP12'!Std11dot4Hospitalization, 0,8, 1, 1))</f>
        <v>0</v>
      </c>
      <c r="I3198" s="157">
        <f ca="1">IF(OFFSET('IWP12'!Std11dot4Hospitalization, 0, 10, 1, 1) = DATE(1900,1,0),DATE(1900,1,1),OFFSET('IWP12'!Std11dot4Hospitalization, 0, 10, 1, 1))</f>
        <v>1</v>
      </c>
      <c r="J3198" s="158">
        <f ca="1">IF(OFFSET('IWP12'!Std11dot4Hospitalization, 0, 12, 1, 1) = DATE(1900,1,0),DATE(1900,1,1),OFFSET('IWP12'!Std11dot4Hospitalization, 0, 12, 1, 1))</f>
        <v>1</v>
      </c>
    </row>
    <row r="3199" spans="1:10">
      <c r="A3199" s="206" t="s">
        <v>1315</v>
      </c>
      <c r="B3199" s="157">
        <f ca="1">IF(OFFSET('IWP12'!Std11dot4Hospitalization, 1, 0, 1, 1) = DATE(1900,1,0),DATE(1900,1,1),OFFSET('IWP12'!Std11dot4Hospitalization, 1, 0, 1, 1))</f>
        <v>1</v>
      </c>
      <c r="C3199" s="157">
        <f ca="1">IF(OFFSET('IWP12'!Std11dot4Hospitalization, 1, 1, 1, 1) = DATE(1900,1,0),DATE(1900,1,1),OFFSET('IWP12'!Std11dot4Hospitalization, 1, 1, 1, 1))</f>
        <v>1</v>
      </c>
      <c r="D3199" s="13">
        <f ca="1">OFFSET('IWP12'!Std11dot4Hospitalization, 1, 2, 1, 1)</f>
        <v>0</v>
      </c>
      <c r="E3199" s="155">
        <f ca="1">OFFSET('IWP12'!Std11dot4Hospitalization, 1, 3, 1, 1)</f>
        <v>0</v>
      </c>
      <c r="F3199" s="155">
        <f ca="1">OFFSET('IWP12'!Std11dot4Hospitalization, 1,5, 1, 1)</f>
        <v>0</v>
      </c>
      <c r="G3199" s="155">
        <f ca="1">OFFSET('IWP12'!Std11dot4Hospitalization, 1,7, 1, 1)</f>
        <v>0</v>
      </c>
      <c r="H3199" s="155">
        <f ca="1">IF(OFFSET('IWP12'!Std11dot4Hospitalization, 1,8, 1, 1)="",0,OFFSET('IWP12'!Std11dot4Hospitalization, 1,8, 1, 1))</f>
        <v>0</v>
      </c>
      <c r="I3199" s="157">
        <f ca="1">IF(OFFSET('IWP12'!Std11dot4Hospitalization, 1, 10, 1, 1) = DATE(1900,1,0),DATE(1900,1,1),OFFSET('IWP12'!Std11dot4Hospitalization, 1, 10, 1, 1))</f>
        <v>1</v>
      </c>
      <c r="J3199" s="158">
        <f ca="1">IF(OFFSET('IWP12'!Std11dot4Hospitalization, 1, 12, 1, 1) = DATE(1900,1,0),DATE(1900,1,1),OFFSET('IWP12'!Std11dot4Hospitalization, 1, 12, 1, 1))</f>
        <v>1</v>
      </c>
    </row>
    <row r="3200" spans="1:10">
      <c r="A3200" s="206" t="s">
        <v>1315</v>
      </c>
      <c r="B3200" s="157">
        <f ca="1">IF(OFFSET('IWP12'!Std11dot4Hospitalization, 2, 0, 1, 1) = DATE(1900,1,0),DATE(1900,1,1),OFFSET('IWP12'!Std11dot4Hospitalization, 2, 0, 1, 1))</f>
        <v>1</v>
      </c>
      <c r="C3200" s="157">
        <f ca="1">IF(OFFSET('IWP12'!Std11dot4Hospitalization, 2, 1, 1, 1) = DATE(1900,1,0),DATE(1900,1,1),OFFSET('IWP12'!Std11dot4Hospitalization, 2, 1, 1, 1))</f>
        <v>1</v>
      </c>
      <c r="D3200" s="13">
        <f ca="1">OFFSET('IWP12'!Std11dot4Hospitalization, 2, 2, 1, 1)</f>
        <v>0</v>
      </c>
      <c r="E3200" s="155">
        <f ca="1">OFFSET('IWP12'!Std11dot4Hospitalization, 2, 3, 1, 1)</f>
        <v>0</v>
      </c>
      <c r="F3200" s="155">
        <f ca="1">OFFSET('IWP12'!Std11dot4Hospitalization, 2,5, 1, 1)</f>
        <v>0</v>
      </c>
      <c r="G3200" s="155">
        <f ca="1">OFFSET('IWP12'!Std11dot4Hospitalization, 2,7, 1, 1)</f>
        <v>0</v>
      </c>
      <c r="H3200" s="155">
        <f ca="1">IF(OFFSET('IWP12'!Std11dot4Hospitalization, 2,8, 1, 1)="",0,OFFSET('IWP12'!Std11dot4Hospitalization, 2,8, 1, 1))</f>
        <v>0</v>
      </c>
      <c r="I3200" s="157">
        <f ca="1">IF(OFFSET('IWP12'!Std11dot4Hospitalization, 2, 10, 1, 1) = DATE(1900,1,0),DATE(1900,1,1),OFFSET('IWP12'!Std11dot4Hospitalization, 2, 10, 1, 1))</f>
        <v>1</v>
      </c>
      <c r="J3200" s="158">
        <f ca="1">IF(OFFSET('IWP12'!Std11dot4Hospitalization, 2, 12, 1, 1) = DATE(1900,1,0),DATE(1900,1,1),OFFSET('IWP12'!Std11dot4Hospitalization, 2, 12, 1, 1))</f>
        <v>1</v>
      </c>
    </row>
    <row r="3201" spans="1:10">
      <c r="A3201" s="206" t="s">
        <v>1315</v>
      </c>
      <c r="B3201" s="157">
        <f ca="1">IF(OFFSET('IWP12'!Std11dot4Hospitalization, 3, 0, 1, 1) = DATE(1900,1,0),DATE(1900,1,1),OFFSET('IWP12'!Std11dot4Hospitalization, 3, 0, 1, 1))</f>
        <v>1</v>
      </c>
      <c r="C3201" s="157">
        <f ca="1">IF(OFFSET('IWP12'!Std11dot4Hospitalization, 3, 1, 1, 1) = DATE(1900,1,0),DATE(1900,1,1),OFFSET('IWP12'!Std11dot4Hospitalization, 3, 1, 1, 1))</f>
        <v>1</v>
      </c>
      <c r="D3201" s="13">
        <f ca="1">OFFSET('IWP12'!Std11dot4Hospitalization, 3, 2, 1, 1)</f>
        <v>0</v>
      </c>
      <c r="E3201" s="155">
        <f ca="1">OFFSET('IWP12'!Std11dot4Hospitalization, 3, 3, 1, 1)</f>
        <v>0</v>
      </c>
      <c r="F3201" s="155">
        <f ca="1">OFFSET('IWP12'!Std11dot4Hospitalization, 3,5, 1, 1)</f>
        <v>0</v>
      </c>
      <c r="G3201" s="155">
        <f ca="1">OFFSET('IWP12'!Std11dot4Hospitalization, 3,7, 1, 1)</f>
        <v>0</v>
      </c>
      <c r="H3201" s="155">
        <f ca="1">IF(OFFSET('IWP12'!Std11dot4Hospitalization, 3,8, 1, 1)="",0,OFFSET('IWP12'!Std11dot4Hospitalization, 3,8, 1, 1))</f>
        <v>0</v>
      </c>
      <c r="I3201" s="157">
        <f ca="1">IF(OFFSET('IWP12'!Std11dot4Hospitalization, 3, 10, 1, 1) = DATE(1900,1,0),DATE(1900,1,1),OFFSET('IWP12'!Std11dot4Hospitalization, 3, 10, 1, 1))</f>
        <v>1</v>
      </c>
      <c r="J3201" s="158">
        <f ca="1">IF(OFFSET('IWP12'!Std11dot4Hospitalization, 3, 12, 1, 1) = DATE(1900,1,0),DATE(1900,1,1),OFFSET('IWP12'!Std11dot4Hospitalization, 3, 12, 1, 1))</f>
        <v>1</v>
      </c>
    </row>
    <row r="3202" spans="1:10">
      <c r="A3202" s="206" t="s">
        <v>1315</v>
      </c>
      <c r="B3202" s="157">
        <f ca="1">IF(OFFSET('IWP12'!Std11dot4Hospitalization, 4, 0, 1, 1) = DATE(1900,1,0),DATE(1900,1,1),OFFSET('IWP12'!Std11dot4Hospitalization, 4, 0, 1, 1))</f>
        <v>1</v>
      </c>
      <c r="C3202" s="157">
        <f ca="1">IF(OFFSET('IWP12'!Std11dot4Hospitalization, 4, 1, 1, 1) = DATE(1900,1,0),DATE(1900,1,1),OFFSET('IWP12'!Std11dot4Hospitalization, 4, 1, 1, 1))</f>
        <v>1</v>
      </c>
      <c r="D3202" s="13">
        <f ca="1">OFFSET('IWP12'!Std11dot4Hospitalization, 4, 2, 1, 1)</f>
        <v>0</v>
      </c>
      <c r="E3202" s="155">
        <f ca="1">OFFSET('IWP12'!Std11dot4Hospitalization, 4, 3, 1, 1)</f>
        <v>0</v>
      </c>
      <c r="F3202" s="155">
        <f ca="1">OFFSET('IWP12'!Std11dot4Hospitalization, 4,5, 1, 1)</f>
        <v>0</v>
      </c>
      <c r="G3202" s="155">
        <f ca="1">OFFSET('IWP12'!Std11dot4Hospitalization, 4,7, 1, 1)</f>
        <v>0</v>
      </c>
      <c r="H3202" s="155">
        <f ca="1">IF(OFFSET('IWP12'!Std11dot4Hospitalization, 4,8, 1, 1)="",0,OFFSET('IWP12'!Std11dot4Hospitalization, 4,8, 1, 1))</f>
        <v>0</v>
      </c>
      <c r="I3202" s="157">
        <f ca="1">IF(OFFSET('IWP12'!Std11dot4Hospitalization, 4, 10, 1, 1) = DATE(1900,1,0),DATE(1900,1,1),OFFSET('IWP12'!Std11dot4Hospitalization, 4, 10, 1, 1))</f>
        <v>1</v>
      </c>
      <c r="J3202" s="158">
        <f ca="1">IF(OFFSET('IWP12'!Std11dot4Hospitalization, 4, 12, 1, 1) = DATE(1900,1,0),DATE(1900,1,1),OFFSET('IWP12'!Std11dot4Hospitalization, 4, 12, 1, 1))</f>
        <v>1</v>
      </c>
    </row>
    <row r="3203" spans="1:10">
      <c r="A3203" s="206" t="s">
        <v>1315</v>
      </c>
      <c r="B3203" s="157">
        <f ca="1">IF(OFFSET('IWP12'!Std11dot4Hospitalization, 5, 0, 1, 1) = DATE(1900,1,0),DATE(1900,1,1),OFFSET('IWP12'!Std11dot4Hospitalization, 5, 0, 1, 1))</f>
        <v>1</v>
      </c>
      <c r="C3203" s="157">
        <f ca="1">IF(OFFSET('IWP12'!Std11dot4Hospitalization, 5, 1, 1, 1) = DATE(1900,1,0),DATE(1900,1,1),OFFSET('IWP12'!Std11dot4Hospitalization, 5, 1, 1, 1))</f>
        <v>1</v>
      </c>
      <c r="D3203" s="13">
        <f ca="1">OFFSET('IWP12'!Std11dot4Hospitalization, 5, 2, 1, 1)</f>
        <v>0</v>
      </c>
      <c r="E3203" s="155">
        <f ca="1">OFFSET('IWP12'!Std11dot4Hospitalization, 5, 3, 1, 1)</f>
        <v>0</v>
      </c>
      <c r="F3203" s="155">
        <f ca="1">OFFSET('IWP12'!Std11dot4Hospitalization, 5,5, 1, 1)</f>
        <v>0</v>
      </c>
      <c r="G3203" s="155">
        <f ca="1">OFFSET('IWP12'!Std11dot4Hospitalization, 5,7, 1, 1)</f>
        <v>0</v>
      </c>
      <c r="H3203" s="155">
        <f ca="1">IF(OFFSET('IWP12'!Std11dot4Hospitalization, 5,8, 1, 1)="",0,OFFSET('IWP12'!Std11dot4Hospitalization, 5,8, 1, 1))</f>
        <v>0</v>
      </c>
      <c r="I3203" s="157">
        <f ca="1">IF(OFFSET('IWP12'!Std11dot4Hospitalization, 5, 10, 1, 1) = DATE(1900,1,0),DATE(1900,1,1),OFFSET('IWP12'!Std11dot4Hospitalization, 5, 10, 1, 1))</f>
        <v>1</v>
      </c>
      <c r="J3203" s="158">
        <f ca="1">IF(OFFSET('IWP12'!Std11dot4Hospitalization, 5, 12, 1, 1) = DATE(1900,1,0),DATE(1900,1,1),OFFSET('IWP12'!Std11dot4Hospitalization, 5, 12, 1, 1))</f>
        <v>1</v>
      </c>
    </row>
    <row r="3204" spans="1:10">
      <c r="A3204" s="206" t="s">
        <v>1316</v>
      </c>
      <c r="B3204" s="157">
        <f ca="1">IF(OFFSET('IWP13'!Std11dot4Hospitalization, 0, 0, 1, 1) = DATE(1900,1,0),DATE(1900,1,1),OFFSET('IWP13'!Std11dot4Hospitalization, 0, 0, 1, 1))</f>
        <v>1</v>
      </c>
      <c r="C3204" s="157">
        <f ca="1">IF(OFFSET('IWP13'!Std11dot4Hospitalization, 0, 1, 1, 1) = DATE(1900,1,0),DATE(1900,1,1),OFFSET('IWP13'!Std11dot4Hospitalization, 0, 1, 1, 1))</f>
        <v>1</v>
      </c>
      <c r="D3204" s="13">
        <f ca="1">OFFSET('IWP13'!Std11dot4Hospitalization, 0, 2, 1, 1)</f>
        <v>0</v>
      </c>
      <c r="E3204" s="155">
        <f ca="1">OFFSET('IWP13'!Std11dot4Hospitalization, 0, 3, 1, 1)</f>
        <v>0</v>
      </c>
      <c r="F3204" s="155">
        <f ca="1">OFFSET('IWP13'!Std11dot4Hospitalization, 0,5, 1, 1)</f>
        <v>0</v>
      </c>
      <c r="G3204" s="155">
        <f ca="1">OFFSET('IWP13'!Std11dot4Hospitalization, 0,7, 1, 1)</f>
        <v>0</v>
      </c>
      <c r="H3204" s="155">
        <f ca="1">IF(OFFSET('IWP13'!Std11dot4Hospitalization, 0,8, 1, 1)="",0,OFFSET('IWP13'!Std11dot4Hospitalization, 0,8, 1, 1))</f>
        <v>0</v>
      </c>
      <c r="I3204" s="157">
        <f ca="1">IF(OFFSET('IWP13'!Std11dot4Hospitalization, 0, 10, 1, 1) = DATE(1900,1,0),DATE(1900,1,1),OFFSET('IWP13'!Std11dot4Hospitalization, 0, 10, 1, 1))</f>
        <v>1</v>
      </c>
      <c r="J3204" s="158">
        <f ca="1">IF(OFFSET('IWP13'!Std11dot4Hospitalization, 0, 12, 1, 1) = DATE(1900,1,0),DATE(1900,1,1),OFFSET('IWP13'!Std11dot4Hospitalization, 0, 12, 1, 1))</f>
        <v>1</v>
      </c>
    </row>
    <row r="3205" spans="1:10">
      <c r="A3205" s="206" t="s">
        <v>1316</v>
      </c>
      <c r="B3205" s="157">
        <f ca="1">IF(OFFSET('IWP13'!Std11dot4Hospitalization, 1, 0, 1, 1) = DATE(1900,1,0),DATE(1900,1,1),OFFSET('IWP13'!Std11dot4Hospitalization, 1, 0, 1, 1))</f>
        <v>1</v>
      </c>
      <c r="C3205" s="157">
        <f ca="1">IF(OFFSET('IWP13'!Std11dot4Hospitalization, 1, 1, 1, 1) = DATE(1900,1,0),DATE(1900,1,1),OFFSET('IWP13'!Std11dot4Hospitalization, 1, 1, 1, 1))</f>
        <v>1</v>
      </c>
      <c r="D3205" s="13">
        <f ca="1">OFFSET('IWP13'!Std11dot4Hospitalization, 1, 2, 1, 1)</f>
        <v>0</v>
      </c>
      <c r="E3205" s="155">
        <f ca="1">OFFSET('IWP13'!Std11dot4Hospitalization, 1, 3, 1, 1)</f>
        <v>0</v>
      </c>
      <c r="F3205" s="155">
        <f ca="1">OFFSET('IWP13'!Std11dot4Hospitalization, 1,5, 1, 1)</f>
        <v>0</v>
      </c>
      <c r="G3205" s="155">
        <f ca="1">OFFSET('IWP13'!Std11dot4Hospitalization, 1,7, 1, 1)</f>
        <v>0</v>
      </c>
      <c r="H3205" s="155">
        <f ca="1">IF(OFFSET('IWP13'!Std11dot4Hospitalization, 1,8, 1, 1)="",0,OFFSET('IWP13'!Std11dot4Hospitalization, 1,8, 1, 1))</f>
        <v>0</v>
      </c>
      <c r="I3205" s="157">
        <f ca="1">IF(OFFSET('IWP13'!Std11dot4Hospitalization, 1, 10, 1, 1) = DATE(1900,1,0),DATE(1900,1,1),OFFSET('IWP13'!Std11dot4Hospitalization, 1, 10, 1, 1))</f>
        <v>1</v>
      </c>
      <c r="J3205" s="158">
        <f ca="1">IF(OFFSET('IWP13'!Std11dot4Hospitalization, 1, 12, 1, 1) = DATE(1900,1,0),DATE(1900,1,1),OFFSET('IWP13'!Std11dot4Hospitalization, 1, 12, 1, 1))</f>
        <v>1</v>
      </c>
    </row>
    <row r="3206" spans="1:10">
      <c r="A3206" s="206" t="s">
        <v>1316</v>
      </c>
      <c r="B3206" s="157">
        <f ca="1">IF(OFFSET('IWP13'!Std11dot4Hospitalization, 2, 0, 1, 1) = DATE(1900,1,0),DATE(1900,1,1),OFFSET('IWP13'!Std11dot4Hospitalization, 2, 0, 1, 1))</f>
        <v>1</v>
      </c>
      <c r="C3206" s="157">
        <f ca="1">IF(OFFSET('IWP13'!Std11dot4Hospitalization, 2, 1, 1, 1) = DATE(1900,1,0),DATE(1900,1,1),OFFSET('IWP13'!Std11dot4Hospitalization, 2, 1, 1, 1))</f>
        <v>1</v>
      </c>
      <c r="D3206" s="13">
        <f ca="1">OFFSET('IWP13'!Std11dot4Hospitalization, 2, 2, 1, 1)</f>
        <v>0</v>
      </c>
      <c r="E3206" s="155">
        <f ca="1">OFFSET('IWP13'!Std11dot4Hospitalization, 2, 3, 1, 1)</f>
        <v>0</v>
      </c>
      <c r="F3206" s="155">
        <f ca="1">OFFSET('IWP13'!Std11dot4Hospitalization, 2,5, 1, 1)</f>
        <v>0</v>
      </c>
      <c r="G3206" s="155">
        <f ca="1">OFFSET('IWP13'!Std11dot4Hospitalization, 2,7, 1, 1)</f>
        <v>0</v>
      </c>
      <c r="H3206" s="155">
        <f ca="1">IF(OFFSET('IWP13'!Std11dot4Hospitalization, 2,8, 1, 1)="",0,OFFSET('IWP13'!Std11dot4Hospitalization, 2,8, 1, 1))</f>
        <v>0</v>
      </c>
      <c r="I3206" s="157">
        <f ca="1">IF(OFFSET('IWP13'!Std11dot4Hospitalization, 2, 10, 1, 1) = DATE(1900,1,0),DATE(1900,1,1),OFFSET('IWP13'!Std11dot4Hospitalization, 2, 10, 1, 1))</f>
        <v>1</v>
      </c>
      <c r="J3206" s="158">
        <f ca="1">IF(OFFSET('IWP13'!Std11dot4Hospitalization, 2, 12, 1, 1) = DATE(1900,1,0),DATE(1900,1,1),OFFSET('IWP13'!Std11dot4Hospitalization, 2, 12, 1, 1))</f>
        <v>1</v>
      </c>
    </row>
    <row r="3207" spans="1:10">
      <c r="A3207" s="206" t="s">
        <v>1316</v>
      </c>
      <c r="B3207" s="157">
        <f ca="1">IF(OFFSET('IWP13'!Std11dot4Hospitalization, 3, 0, 1, 1) = DATE(1900,1,0),DATE(1900,1,1),OFFSET('IWP13'!Std11dot4Hospitalization, 3, 0, 1, 1))</f>
        <v>1</v>
      </c>
      <c r="C3207" s="157">
        <f ca="1">IF(OFFSET('IWP13'!Std11dot4Hospitalization, 3, 1, 1, 1) = DATE(1900,1,0),DATE(1900,1,1),OFFSET('IWP13'!Std11dot4Hospitalization, 3, 1, 1, 1))</f>
        <v>1</v>
      </c>
      <c r="D3207" s="13">
        <f ca="1">OFFSET('IWP13'!Std11dot4Hospitalization, 3, 2, 1, 1)</f>
        <v>0</v>
      </c>
      <c r="E3207" s="155">
        <f ca="1">OFFSET('IWP13'!Std11dot4Hospitalization, 3, 3, 1, 1)</f>
        <v>0</v>
      </c>
      <c r="F3207" s="155">
        <f ca="1">OFFSET('IWP13'!Std11dot4Hospitalization, 3,5, 1, 1)</f>
        <v>0</v>
      </c>
      <c r="G3207" s="155">
        <f ca="1">OFFSET('IWP13'!Std11dot4Hospitalization, 3,7, 1, 1)</f>
        <v>0</v>
      </c>
      <c r="H3207" s="155">
        <f ca="1">IF(OFFSET('IWP13'!Std11dot4Hospitalization, 3,8, 1, 1)="",0,OFFSET('IWP13'!Std11dot4Hospitalization, 3,8, 1, 1))</f>
        <v>0</v>
      </c>
      <c r="I3207" s="157">
        <f ca="1">IF(OFFSET('IWP13'!Std11dot4Hospitalization, 3, 10, 1, 1) = DATE(1900,1,0),DATE(1900,1,1),OFFSET('IWP13'!Std11dot4Hospitalization, 3, 10, 1, 1))</f>
        <v>1</v>
      </c>
      <c r="J3207" s="158">
        <f ca="1">IF(OFFSET('IWP13'!Std11dot4Hospitalization, 3, 12, 1, 1) = DATE(1900,1,0),DATE(1900,1,1),OFFSET('IWP13'!Std11dot4Hospitalization, 3, 12, 1, 1))</f>
        <v>1</v>
      </c>
    </row>
    <row r="3208" spans="1:10">
      <c r="A3208" s="206" t="s">
        <v>1316</v>
      </c>
      <c r="B3208" s="157">
        <f ca="1">IF(OFFSET('IWP13'!Std11dot4Hospitalization, 4, 0, 1, 1) = DATE(1900,1,0),DATE(1900,1,1),OFFSET('IWP13'!Std11dot4Hospitalization, 4, 0, 1, 1))</f>
        <v>1</v>
      </c>
      <c r="C3208" s="157">
        <f ca="1">IF(OFFSET('IWP13'!Std11dot4Hospitalization, 4, 1, 1, 1) = DATE(1900,1,0),DATE(1900,1,1),OFFSET('IWP13'!Std11dot4Hospitalization, 4, 1, 1, 1))</f>
        <v>1</v>
      </c>
      <c r="D3208" s="13">
        <f ca="1">OFFSET('IWP13'!Std11dot4Hospitalization, 4, 2, 1, 1)</f>
        <v>0</v>
      </c>
      <c r="E3208" s="155">
        <f ca="1">OFFSET('IWP13'!Std11dot4Hospitalization, 4, 3, 1, 1)</f>
        <v>0</v>
      </c>
      <c r="F3208" s="155">
        <f ca="1">OFFSET('IWP13'!Std11dot4Hospitalization, 4,5, 1, 1)</f>
        <v>0</v>
      </c>
      <c r="G3208" s="155">
        <f ca="1">OFFSET('IWP13'!Std11dot4Hospitalization, 4,7, 1, 1)</f>
        <v>0</v>
      </c>
      <c r="H3208" s="155">
        <f ca="1">IF(OFFSET('IWP13'!Std11dot4Hospitalization, 4,8, 1, 1)="",0,OFFSET('IWP13'!Std11dot4Hospitalization, 4,8, 1, 1))</f>
        <v>0</v>
      </c>
      <c r="I3208" s="157">
        <f ca="1">IF(OFFSET('IWP13'!Std11dot4Hospitalization, 4, 10, 1, 1) = DATE(1900,1,0),DATE(1900,1,1),OFFSET('IWP13'!Std11dot4Hospitalization, 4, 10, 1, 1))</f>
        <v>1</v>
      </c>
      <c r="J3208" s="158">
        <f ca="1">IF(OFFSET('IWP13'!Std11dot4Hospitalization, 4, 12, 1, 1) = DATE(1900,1,0),DATE(1900,1,1),OFFSET('IWP13'!Std11dot4Hospitalization, 4, 12, 1, 1))</f>
        <v>1</v>
      </c>
    </row>
    <row r="3209" spans="1:10">
      <c r="A3209" s="206" t="s">
        <v>1316</v>
      </c>
      <c r="B3209" s="157">
        <f ca="1">IF(OFFSET('IWP13'!Std11dot4Hospitalization, 5, 0, 1, 1) = DATE(1900,1,0),DATE(1900,1,1),OFFSET('IWP13'!Std11dot4Hospitalization, 5, 0, 1, 1))</f>
        <v>1</v>
      </c>
      <c r="C3209" s="157">
        <f ca="1">IF(OFFSET('IWP13'!Std11dot4Hospitalization, 5, 1, 1, 1) = DATE(1900,1,0),DATE(1900,1,1),OFFSET('IWP13'!Std11dot4Hospitalization, 5, 1, 1, 1))</f>
        <v>1</v>
      </c>
      <c r="D3209" s="13">
        <f ca="1">OFFSET('IWP13'!Std11dot4Hospitalization, 5, 2, 1, 1)</f>
        <v>0</v>
      </c>
      <c r="E3209" s="155">
        <f ca="1">OFFSET('IWP13'!Std11dot4Hospitalization, 5, 3, 1, 1)</f>
        <v>0</v>
      </c>
      <c r="F3209" s="155">
        <f ca="1">OFFSET('IWP13'!Std11dot4Hospitalization, 5,5, 1, 1)</f>
        <v>0</v>
      </c>
      <c r="G3209" s="155">
        <f ca="1">OFFSET('IWP13'!Std11dot4Hospitalization, 5,7, 1, 1)</f>
        <v>0</v>
      </c>
      <c r="H3209" s="155">
        <f ca="1">IF(OFFSET('IWP13'!Std11dot4Hospitalization, 5,8, 1, 1)="",0,OFFSET('IWP13'!Std11dot4Hospitalization, 5,8, 1, 1))</f>
        <v>0</v>
      </c>
      <c r="I3209" s="157">
        <f ca="1">IF(OFFSET('IWP13'!Std11dot4Hospitalization, 5, 10, 1, 1) = DATE(1900,1,0),DATE(1900,1,1),OFFSET('IWP13'!Std11dot4Hospitalization, 5, 10, 1, 1))</f>
        <v>1</v>
      </c>
      <c r="J3209" s="158">
        <f ca="1">IF(OFFSET('IWP13'!Std11dot4Hospitalization, 5, 12, 1, 1) = DATE(1900,1,0),DATE(1900,1,1),OFFSET('IWP13'!Std11dot4Hospitalization, 5, 12, 1, 1))</f>
        <v>1</v>
      </c>
    </row>
    <row r="3210" spans="1:10">
      <c r="A3210" s="206" t="s">
        <v>1317</v>
      </c>
      <c r="B3210" s="157">
        <f ca="1">IF(OFFSET('IWP14'!Std11dot4Hospitalization, 0, 0, 1, 1) = DATE(1900,1,0),DATE(1900,1,1),OFFSET('IWP14'!Std11dot4Hospitalization, 0, 0, 1, 1))</f>
        <v>1</v>
      </c>
      <c r="C3210" s="157">
        <f ca="1">IF(OFFSET('IWP14'!Std11dot4Hospitalization, 0, 1, 1, 1) = DATE(1900,1,0),DATE(1900,1,1),OFFSET('IWP14'!Std11dot4Hospitalization, 0, 1, 1, 1))</f>
        <v>1</v>
      </c>
      <c r="D3210" s="13">
        <f ca="1">OFFSET('IWP14'!Std11dot4Hospitalization, 0, 2, 1, 1)</f>
        <v>0</v>
      </c>
      <c r="E3210" s="155">
        <f ca="1">OFFSET('IWP14'!Std11dot4Hospitalization, 0, 3, 1, 1)</f>
        <v>0</v>
      </c>
      <c r="F3210" s="155">
        <f ca="1">OFFSET('IWP14'!Std11dot4Hospitalization, 0,5, 1, 1)</f>
        <v>0</v>
      </c>
      <c r="G3210" s="155">
        <f ca="1">OFFSET('IWP14'!Std11dot4Hospitalization, 0,7, 1, 1)</f>
        <v>0</v>
      </c>
      <c r="H3210" s="155">
        <f ca="1">IF(OFFSET('IWP14'!Std11dot4Hospitalization, 0,8, 1, 1)="",0,OFFSET('IWP14'!Std11dot4Hospitalization, 0,8, 1, 1))</f>
        <v>0</v>
      </c>
      <c r="I3210" s="157">
        <f ca="1">IF(OFFSET('IWP14'!Std11dot4Hospitalization, 0, 10, 1, 1) = DATE(1900,1,0),DATE(1900,1,1),OFFSET('IWP14'!Std11dot4Hospitalization, 0, 10, 1, 1))</f>
        <v>1</v>
      </c>
      <c r="J3210" s="158">
        <f ca="1">IF(OFFSET('IWP14'!Std11dot4Hospitalization, 0, 12, 1, 1) = DATE(1900,1,0),DATE(1900,1,1),OFFSET('IWP14'!Std11dot4Hospitalization, 0, 12, 1, 1))</f>
        <v>1</v>
      </c>
    </row>
    <row r="3211" spans="1:10">
      <c r="A3211" s="206" t="s">
        <v>1317</v>
      </c>
      <c r="B3211" s="157">
        <f ca="1">IF(OFFSET('IWP14'!Std11dot4Hospitalization, 1, 0, 1, 1) = DATE(1900,1,0),DATE(1900,1,1),OFFSET('IWP14'!Std11dot4Hospitalization, 1, 0, 1, 1))</f>
        <v>1</v>
      </c>
      <c r="C3211" s="157">
        <f ca="1">IF(OFFSET('IWP14'!Std11dot4Hospitalization, 1, 1, 1, 1) = DATE(1900,1,0),DATE(1900,1,1),OFFSET('IWP14'!Std11dot4Hospitalization, 1, 1, 1, 1))</f>
        <v>1</v>
      </c>
      <c r="D3211" s="13">
        <f ca="1">OFFSET('IWP14'!Std11dot4Hospitalization, 1, 2, 1, 1)</f>
        <v>0</v>
      </c>
      <c r="E3211" s="155">
        <f ca="1">OFFSET('IWP14'!Std11dot4Hospitalization, 1, 3, 1, 1)</f>
        <v>0</v>
      </c>
      <c r="F3211" s="155">
        <f ca="1">OFFSET('IWP14'!Std11dot4Hospitalization, 1,5, 1, 1)</f>
        <v>0</v>
      </c>
      <c r="G3211" s="155">
        <f ca="1">OFFSET('IWP14'!Std11dot4Hospitalization, 1,7, 1, 1)</f>
        <v>0</v>
      </c>
      <c r="H3211" s="155">
        <f ca="1">IF(OFFSET('IWP14'!Std11dot4Hospitalization, 1,8, 1, 1)="",0,OFFSET('IWP14'!Std11dot4Hospitalization, 1,8, 1, 1))</f>
        <v>0</v>
      </c>
      <c r="I3211" s="157">
        <f ca="1">IF(OFFSET('IWP14'!Std11dot4Hospitalization, 1, 10, 1, 1) = DATE(1900,1,0),DATE(1900,1,1),OFFSET('IWP14'!Std11dot4Hospitalization, 1, 10, 1, 1))</f>
        <v>1</v>
      </c>
      <c r="J3211" s="158">
        <f ca="1">IF(OFFSET('IWP14'!Std11dot4Hospitalization, 1, 12, 1, 1) = DATE(1900,1,0),DATE(1900,1,1),OFFSET('IWP14'!Std11dot4Hospitalization, 1, 12, 1, 1))</f>
        <v>1</v>
      </c>
    </row>
    <row r="3212" spans="1:10">
      <c r="A3212" s="206" t="s">
        <v>1317</v>
      </c>
      <c r="B3212" s="157">
        <f ca="1">IF(OFFSET('IWP14'!Std11dot4Hospitalization, 2, 0, 1, 1) = DATE(1900,1,0),DATE(1900,1,1),OFFSET('IWP14'!Std11dot4Hospitalization, 2, 0, 1, 1))</f>
        <v>1</v>
      </c>
      <c r="C3212" s="157">
        <f ca="1">IF(OFFSET('IWP14'!Std11dot4Hospitalization, 2, 1, 1, 1) = DATE(1900,1,0),DATE(1900,1,1),OFFSET('IWP14'!Std11dot4Hospitalization, 2, 1, 1, 1))</f>
        <v>1</v>
      </c>
      <c r="D3212" s="13">
        <f ca="1">OFFSET('IWP14'!Std11dot4Hospitalization, 2, 2, 1, 1)</f>
        <v>0</v>
      </c>
      <c r="E3212" s="155">
        <f ca="1">OFFSET('IWP14'!Std11dot4Hospitalization, 2, 3, 1, 1)</f>
        <v>0</v>
      </c>
      <c r="F3212" s="155">
        <f ca="1">OFFSET('IWP14'!Std11dot4Hospitalization, 2,5, 1, 1)</f>
        <v>0</v>
      </c>
      <c r="G3212" s="155">
        <f ca="1">OFFSET('IWP14'!Std11dot4Hospitalization, 2,7, 1, 1)</f>
        <v>0</v>
      </c>
      <c r="H3212" s="155">
        <f ca="1">IF(OFFSET('IWP14'!Std11dot4Hospitalization, 2,8, 1, 1)="",0,OFFSET('IWP14'!Std11dot4Hospitalization, 2,8, 1, 1))</f>
        <v>0</v>
      </c>
      <c r="I3212" s="157">
        <f ca="1">IF(OFFSET('IWP14'!Std11dot4Hospitalization, 2, 10, 1, 1) = DATE(1900,1,0),DATE(1900,1,1),OFFSET('IWP14'!Std11dot4Hospitalization, 2, 10, 1, 1))</f>
        <v>1</v>
      </c>
      <c r="J3212" s="158">
        <f ca="1">IF(OFFSET('IWP14'!Std11dot4Hospitalization, 2, 12, 1, 1) = DATE(1900,1,0),DATE(1900,1,1),OFFSET('IWP14'!Std11dot4Hospitalization, 2, 12, 1, 1))</f>
        <v>1</v>
      </c>
    </row>
    <row r="3213" spans="1:10">
      <c r="A3213" s="206" t="s">
        <v>1317</v>
      </c>
      <c r="B3213" s="157">
        <f ca="1">IF(OFFSET('IWP14'!Std11dot4Hospitalization, 3, 0, 1, 1) = DATE(1900,1,0),DATE(1900,1,1),OFFSET('IWP14'!Std11dot4Hospitalization, 3, 0, 1, 1))</f>
        <v>1</v>
      </c>
      <c r="C3213" s="157">
        <f ca="1">IF(OFFSET('IWP14'!Std11dot4Hospitalization, 3, 1, 1, 1) = DATE(1900,1,0),DATE(1900,1,1),OFFSET('IWP14'!Std11dot4Hospitalization, 3, 1, 1, 1))</f>
        <v>1</v>
      </c>
      <c r="D3213" s="13">
        <f ca="1">OFFSET('IWP14'!Std11dot4Hospitalization, 3, 2, 1, 1)</f>
        <v>0</v>
      </c>
      <c r="E3213" s="155">
        <f ca="1">OFFSET('IWP14'!Std11dot4Hospitalization, 3, 3, 1, 1)</f>
        <v>0</v>
      </c>
      <c r="F3213" s="155">
        <f ca="1">OFFSET('IWP14'!Std11dot4Hospitalization, 3,5, 1, 1)</f>
        <v>0</v>
      </c>
      <c r="G3213" s="155">
        <f ca="1">OFFSET('IWP14'!Std11dot4Hospitalization, 3,7, 1, 1)</f>
        <v>0</v>
      </c>
      <c r="H3213" s="155">
        <f ca="1">IF(OFFSET('IWP14'!Std11dot4Hospitalization, 3,8, 1, 1)="",0,OFFSET('IWP14'!Std11dot4Hospitalization, 3,8, 1, 1))</f>
        <v>0</v>
      </c>
      <c r="I3213" s="157">
        <f ca="1">IF(OFFSET('IWP14'!Std11dot4Hospitalization, 3, 10, 1, 1) = DATE(1900,1,0),DATE(1900,1,1),OFFSET('IWP14'!Std11dot4Hospitalization, 3, 10, 1, 1))</f>
        <v>1</v>
      </c>
      <c r="J3213" s="158">
        <f ca="1">IF(OFFSET('IWP14'!Std11dot4Hospitalization, 3, 12, 1, 1) = DATE(1900,1,0),DATE(1900,1,1),OFFSET('IWP14'!Std11dot4Hospitalization, 3, 12, 1, 1))</f>
        <v>1</v>
      </c>
    </row>
    <row r="3214" spans="1:10">
      <c r="A3214" s="206" t="s">
        <v>1317</v>
      </c>
      <c r="B3214" s="157">
        <f ca="1">IF(OFFSET('IWP14'!Std11dot4Hospitalization, 4, 0, 1, 1) = DATE(1900,1,0),DATE(1900,1,1),OFFSET('IWP14'!Std11dot4Hospitalization, 4, 0, 1, 1))</f>
        <v>1</v>
      </c>
      <c r="C3214" s="157">
        <f ca="1">IF(OFFSET('IWP14'!Std11dot4Hospitalization, 4, 1, 1, 1) = DATE(1900,1,0),DATE(1900,1,1),OFFSET('IWP14'!Std11dot4Hospitalization, 4, 1, 1, 1))</f>
        <v>1</v>
      </c>
      <c r="D3214" s="13">
        <f ca="1">OFFSET('IWP14'!Std11dot4Hospitalization, 4, 2, 1, 1)</f>
        <v>0</v>
      </c>
      <c r="E3214" s="155">
        <f ca="1">OFFSET('IWP14'!Std11dot4Hospitalization, 4, 3, 1, 1)</f>
        <v>0</v>
      </c>
      <c r="F3214" s="155">
        <f ca="1">OFFSET('IWP14'!Std11dot4Hospitalization, 4,5, 1, 1)</f>
        <v>0</v>
      </c>
      <c r="G3214" s="155">
        <f ca="1">OFFSET('IWP14'!Std11dot4Hospitalization, 4,7, 1, 1)</f>
        <v>0</v>
      </c>
      <c r="H3214" s="155">
        <f ca="1">IF(OFFSET('IWP14'!Std11dot4Hospitalization, 4,8, 1, 1)="",0,OFFSET('IWP14'!Std11dot4Hospitalization, 4,8, 1, 1))</f>
        <v>0</v>
      </c>
      <c r="I3214" s="157">
        <f ca="1">IF(OFFSET('IWP14'!Std11dot4Hospitalization, 4, 10, 1, 1) = DATE(1900,1,0),DATE(1900,1,1),OFFSET('IWP14'!Std11dot4Hospitalization, 4, 10, 1, 1))</f>
        <v>1</v>
      </c>
      <c r="J3214" s="158">
        <f ca="1">IF(OFFSET('IWP14'!Std11dot4Hospitalization, 4, 12, 1, 1) = DATE(1900,1,0),DATE(1900,1,1),OFFSET('IWP14'!Std11dot4Hospitalization, 4, 12, 1, 1))</f>
        <v>1</v>
      </c>
    </row>
    <row r="3215" spans="1:10">
      <c r="A3215" s="206" t="s">
        <v>1317</v>
      </c>
      <c r="B3215" s="157">
        <f ca="1">IF(OFFSET('IWP14'!Std11dot4Hospitalization, 5, 0, 1, 1) = DATE(1900,1,0),DATE(1900,1,1),OFFSET('IWP14'!Std11dot4Hospitalization, 5, 0, 1, 1))</f>
        <v>1</v>
      </c>
      <c r="C3215" s="157">
        <f ca="1">IF(OFFSET('IWP14'!Std11dot4Hospitalization, 5, 1, 1, 1) = DATE(1900,1,0),DATE(1900,1,1),OFFSET('IWP14'!Std11dot4Hospitalization, 5, 1, 1, 1))</f>
        <v>1</v>
      </c>
      <c r="D3215" s="13">
        <f ca="1">OFFSET('IWP14'!Std11dot4Hospitalization, 5, 2, 1, 1)</f>
        <v>0</v>
      </c>
      <c r="E3215" s="155">
        <f ca="1">OFFSET('IWP14'!Std11dot4Hospitalization, 5, 3, 1, 1)</f>
        <v>0</v>
      </c>
      <c r="F3215" s="155">
        <f ca="1">OFFSET('IWP14'!Std11dot4Hospitalization, 5,5, 1, 1)</f>
        <v>0</v>
      </c>
      <c r="G3215" s="155">
        <f ca="1">OFFSET('IWP14'!Std11dot4Hospitalization, 5,7, 1, 1)</f>
        <v>0</v>
      </c>
      <c r="H3215" s="155">
        <f ca="1">IF(OFFSET('IWP14'!Std11dot4Hospitalization, 5,8, 1, 1)="",0,OFFSET('IWP14'!Std11dot4Hospitalization, 5,8, 1, 1))</f>
        <v>0</v>
      </c>
      <c r="I3215" s="157">
        <f ca="1">IF(OFFSET('IWP14'!Std11dot4Hospitalization, 5, 10, 1, 1) = DATE(1900,1,0),DATE(1900,1,1),OFFSET('IWP14'!Std11dot4Hospitalization, 5, 10, 1, 1))</f>
        <v>1</v>
      </c>
      <c r="J3215" s="158">
        <f ca="1">IF(OFFSET('IWP14'!Std11dot4Hospitalization, 5, 12, 1, 1) = DATE(1900,1,0),DATE(1900,1,1),OFFSET('IWP14'!Std11dot4Hospitalization, 5, 12, 1, 1))</f>
        <v>1</v>
      </c>
    </row>
    <row r="3216" spans="1:10">
      <c r="A3216" s="206" t="s">
        <v>1318</v>
      </c>
      <c r="B3216" s="157">
        <f ca="1">IF(OFFSET('IWP15'!Std11dot4Hospitalization, 0, 0, 1, 1) = DATE(1900,1,0),DATE(1900,1,1),OFFSET('IWP15'!Std11dot4Hospitalization, 0, 0, 1, 1))</f>
        <v>1</v>
      </c>
      <c r="C3216" s="157">
        <f ca="1">IF(OFFSET('IWP15'!Std11dot4Hospitalization, 0, 1, 1, 1) = DATE(1900,1,0),DATE(1900,1,1),OFFSET('IWP15'!Std11dot4Hospitalization, 0, 1, 1, 1))</f>
        <v>1</v>
      </c>
      <c r="D3216" s="13">
        <f ca="1">OFFSET('IWP15'!Std11dot4Hospitalization, 0, 2, 1, 1)</f>
        <v>0</v>
      </c>
      <c r="E3216" s="155">
        <f ca="1">OFFSET('IWP15'!Std11dot4Hospitalization, 0, 3, 1, 1)</f>
        <v>0</v>
      </c>
      <c r="F3216" s="155">
        <f ca="1">OFFSET('IWP15'!Std11dot4Hospitalization, 0,5, 1, 1)</f>
        <v>0</v>
      </c>
      <c r="G3216" s="155">
        <f ca="1">OFFSET('IWP15'!Std11dot4Hospitalization, 0,7, 1, 1)</f>
        <v>0</v>
      </c>
      <c r="H3216" s="155">
        <f ca="1">IF(OFFSET('IWP15'!Std11dot4Hospitalization, 0,8, 1, 1)="",0,OFFSET('IWP15'!Std11dot4Hospitalization, 0,8, 1, 1))</f>
        <v>0</v>
      </c>
      <c r="I3216" s="157">
        <f ca="1">IF(OFFSET('IWP15'!Std11dot4Hospitalization, 0, 10, 1, 1) = DATE(1900,1,0),DATE(1900,1,1),OFFSET('IWP15'!Std11dot4Hospitalization, 0, 10, 1, 1))</f>
        <v>1</v>
      </c>
      <c r="J3216" s="158">
        <f ca="1">IF(OFFSET('IWP15'!Std11dot4Hospitalization, 0, 12, 1, 1) = DATE(1900,1,0),DATE(1900,1,1),OFFSET('IWP15'!Std11dot4Hospitalization, 0, 12, 1, 1))</f>
        <v>1</v>
      </c>
    </row>
    <row r="3217" spans="1:10">
      <c r="A3217" s="206" t="s">
        <v>1318</v>
      </c>
      <c r="B3217" s="157">
        <f ca="1">IF(OFFSET('IWP15'!Std11dot4Hospitalization, 1, 0, 1, 1) = DATE(1900,1,0),DATE(1900,1,1),OFFSET('IWP15'!Std11dot4Hospitalization, 1, 0, 1, 1))</f>
        <v>1</v>
      </c>
      <c r="C3217" s="157">
        <f ca="1">IF(OFFSET('IWP15'!Std11dot4Hospitalization, 1, 1, 1, 1) = DATE(1900,1,0),DATE(1900,1,1),OFFSET('IWP15'!Std11dot4Hospitalization, 1, 1, 1, 1))</f>
        <v>1</v>
      </c>
      <c r="D3217" s="13">
        <f ca="1">OFFSET('IWP15'!Std11dot4Hospitalization, 1, 2, 1, 1)</f>
        <v>0</v>
      </c>
      <c r="E3217" s="155">
        <f ca="1">OFFSET('IWP15'!Std11dot4Hospitalization, 1, 3, 1, 1)</f>
        <v>0</v>
      </c>
      <c r="F3217" s="155">
        <f ca="1">OFFSET('IWP15'!Std11dot4Hospitalization, 1,5, 1, 1)</f>
        <v>0</v>
      </c>
      <c r="G3217" s="155">
        <f ca="1">OFFSET('IWP15'!Std11dot4Hospitalization, 1,7, 1, 1)</f>
        <v>0</v>
      </c>
      <c r="H3217" s="155">
        <f ca="1">IF(OFFSET('IWP15'!Std11dot4Hospitalization, 1,8, 1, 1)="",0,OFFSET('IWP15'!Std11dot4Hospitalization, 1,8, 1, 1))</f>
        <v>0</v>
      </c>
      <c r="I3217" s="157">
        <f ca="1">IF(OFFSET('IWP15'!Std11dot4Hospitalization, 1, 10, 1, 1) = DATE(1900,1,0),DATE(1900,1,1),OFFSET('IWP15'!Std11dot4Hospitalization, 1, 10, 1, 1))</f>
        <v>1</v>
      </c>
      <c r="J3217" s="158">
        <f ca="1">IF(OFFSET('IWP15'!Std11dot4Hospitalization, 1, 12, 1, 1) = DATE(1900,1,0),DATE(1900,1,1),OFFSET('IWP15'!Std11dot4Hospitalization, 1, 12, 1, 1))</f>
        <v>1</v>
      </c>
    </row>
    <row r="3218" spans="1:10">
      <c r="A3218" s="206" t="s">
        <v>1318</v>
      </c>
      <c r="B3218" s="157">
        <f ca="1">IF(OFFSET('IWP15'!Std11dot4Hospitalization, 2, 0, 1, 1) = DATE(1900,1,0),DATE(1900,1,1),OFFSET('IWP15'!Std11dot4Hospitalization, 2, 0, 1, 1))</f>
        <v>1</v>
      </c>
      <c r="C3218" s="157">
        <f ca="1">IF(OFFSET('IWP15'!Std11dot4Hospitalization, 2, 1, 1, 1) = DATE(1900,1,0),DATE(1900,1,1),OFFSET('IWP15'!Std11dot4Hospitalization, 2, 1, 1, 1))</f>
        <v>1</v>
      </c>
      <c r="D3218" s="13">
        <f ca="1">OFFSET('IWP15'!Std11dot4Hospitalization, 2, 2, 1, 1)</f>
        <v>0</v>
      </c>
      <c r="E3218" s="155">
        <f ca="1">OFFSET('IWP15'!Std11dot4Hospitalization, 2, 3, 1, 1)</f>
        <v>0</v>
      </c>
      <c r="F3218" s="155">
        <f ca="1">OFFSET('IWP15'!Std11dot4Hospitalization, 2,5, 1, 1)</f>
        <v>0</v>
      </c>
      <c r="G3218" s="155">
        <f ca="1">OFFSET('IWP15'!Std11dot4Hospitalization, 2,7, 1, 1)</f>
        <v>0</v>
      </c>
      <c r="H3218" s="155">
        <f ca="1">IF(OFFSET('IWP15'!Std11dot4Hospitalization, 2,8, 1, 1)="",0,OFFSET('IWP15'!Std11dot4Hospitalization, 2,8, 1, 1))</f>
        <v>0</v>
      </c>
      <c r="I3218" s="157">
        <f ca="1">IF(OFFSET('IWP15'!Std11dot4Hospitalization, 2, 10, 1, 1) = DATE(1900,1,0),DATE(1900,1,1),OFFSET('IWP15'!Std11dot4Hospitalization, 2, 10, 1, 1))</f>
        <v>1</v>
      </c>
      <c r="J3218" s="158">
        <f ca="1">IF(OFFSET('IWP15'!Std11dot4Hospitalization, 2, 12, 1, 1) = DATE(1900,1,0),DATE(1900,1,1),OFFSET('IWP15'!Std11dot4Hospitalization, 2, 12, 1, 1))</f>
        <v>1</v>
      </c>
    </row>
    <row r="3219" spans="1:10">
      <c r="A3219" s="206" t="s">
        <v>1318</v>
      </c>
      <c r="B3219" s="157">
        <f ca="1">IF(OFFSET('IWP15'!Std11dot4Hospitalization, 3, 0, 1, 1) = DATE(1900,1,0),DATE(1900,1,1),OFFSET('IWP15'!Std11dot4Hospitalization, 3, 0, 1, 1))</f>
        <v>1</v>
      </c>
      <c r="C3219" s="157">
        <f ca="1">IF(OFFSET('IWP15'!Std11dot4Hospitalization, 3, 1, 1, 1) = DATE(1900,1,0),DATE(1900,1,1),OFFSET('IWP15'!Std11dot4Hospitalization, 3, 1, 1, 1))</f>
        <v>1</v>
      </c>
      <c r="D3219" s="13">
        <f ca="1">OFFSET('IWP15'!Std11dot4Hospitalization, 3, 2, 1, 1)</f>
        <v>0</v>
      </c>
      <c r="E3219" s="155">
        <f ca="1">OFFSET('IWP15'!Std11dot4Hospitalization, 3, 3, 1, 1)</f>
        <v>0</v>
      </c>
      <c r="F3219" s="155">
        <f ca="1">OFFSET('IWP15'!Std11dot4Hospitalization, 3,5, 1, 1)</f>
        <v>0</v>
      </c>
      <c r="G3219" s="155">
        <f ca="1">OFFSET('IWP15'!Std11dot4Hospitalization, 3,7, 1, 1)</f>
        <v>0</v>
      </c>
      <c r="H3219" s="155">
        <f ca="1">IF(OFFSET('IWP15'!Std11dot4Hospitalization, 3,8, 1, 1)="",0,OFFSET('IWP15'!Std11dot4Hospitalization, 3,8, 1, 1))</f>
        <v>0</v>
      </c>
      <c r="I3219" s="157">
        <f ca="1">IF(OFFSET('IWP15'!Std11dot4Hospitalization, 3, 10, 1, 1) = DATE(1900,1,0),DATE(1900,1,1),OFFSET('IWP15'!Std11dot4Hospitalization, 3, 10, 1, 1))</f>
        <v>1</v>
      </c>
      <c r="J3219" s="158">
        <f ca="1">IF(OFFSET('IWP15'!Std11dot4Hospitalization, 3, 12, 1, 1) = DATE(1900,1,0),DATE(1900,1,1),OFFSET('IWP15'!Std11dot4Hospitalization, 3, 12, 1, 1))</f>
        <v>1</v>
      </c>
    </row>
    <row r="3220" spans="1:10">
      <c r="A3220" s="206" t="s">
        <v>1318</v>
      </c>
      <c r="B3220" s="157">
        <f ca="1">IF(OFFSET('IWP15'!Std11dot4Hospitalization, 4, 0, 1, 1) = DATE(1900,1,0),DATE(1900,1,1),OFFSET('IWP15'!Std11dot4Hospitalization, 4, 0, 1, 1))</f>
        <v>1</v>
      </c>
      <c r="C3220" s="157">
        <f ca="1">IF(OFFSET('IWP15'!Std11dot4Hospitalization, 4, 1, 1, 1) = DATE(1900,1,0),DATE(1900,1,1),OFFSET('IWP15'!Std11dot4Hospitalization, 4, 1, 1, 1))</f>
        <v>1</v>
      </c>
      <c r="D3220" s="13">
        <f ca="1">OFFSET('IWP15'!Std11dot4Hospitalization, 4, 2, 1, 1)</f>
        <v>0</v>
      </c>
      <c r="E3220" s="155">
        <f ca="1">OFFSET('IWP15'!Std11dot4Hospitalization, 4, 3, 1, 1)</f>
        <v>0</v>
      </c>
      <c r="F3220" s="155">
        <f ca="1">OFFSET('IWP15'!Std11dot4Hospitalization, 4,5, 1, 1)</f>
        <v>0</v>
      </c>
      <c r="G3220" s="155">
        <f ca="1">OFFSET('IWP15'!Std11dot4Hospitalization, 4,7, 1, 1)</f>
        <v>0</v>
      </c>
      <c r="H3220" s="155">
        <f ca="1">IF(OFFSET('IWP15'!Std11dot4Hospitalization, 4,8, 1, 1)="",0,OFFSET('IWP15'!Std11dot4Hospitalization, 4,8, 1, 1))</f>
        <v>0</v>
      </c>
      <c r="I3220" s="157">
        <f ca="1">IF(OFFSET('IWP15'!Std11dot4Hospitalization, 4, 10, 1, 1) = DATE(1900,1,0),DATE(1900,1,1),OFFSET('IWP15'!Std11dot4Hospitalization, 4, 10, 1, 1))</f>
        <v>1</v>
      </c>
      <c r="J3220" s="158">
        <f ca="1">IF(OFFSET('IWP15'!Std11dot4Hospitalization, 4, 12, 1, 1) = DATE(1900,1,0),DATE(1900,1,1),OFFSET('IWP15'!Std11dot4Hospitalization, 4, 12, 1, 1))</f>
        <v>1</v>
      </c>
    </row>
    <row r="3221" spans="1:10">
      <c r="A3221" s="206" t="s">
        <v>1318</v>
      </c>
      <c r="B3221" s="157">
        <f ca="1">IF(OFFSET('IWP15'!Std11dot4Hospitalization, 5, 0, 1, 1) = DATE(1900,1,0),DATE(1900,1,1),OFFSET('IWP15'!Std11dot4Hospitalization, 5, 0, 1, 1))</f>
        <v>1</v>
      </c>
      <c r="C3221" s="157">
        <f ca="1">IF(OFFSET('IWP15'!Std11dot4Hospitalization, 5, 1, 1, 1) = DATE(1900,1,0),DATE(1900,1,1),OFFSET('IWP15'!Std11dot4Hospitalization, 5, 1, 1, 1))</f>
        <v>1</v>
      </c>
      <c r="D3221" s="13">
        <f ca="1">OFFSET('IWP15'!Std11dot4Hospitalization, 5, 2, 1, 1)</f>
        <v>0</v>
      </c>
      <c r="E3221" s="155">
        <f ca="1">OFFSET('IWP15'!Std11dot4Hospitalization, 5, 3, 1, 1)</f>
        <v>0</v>
      </c>
      <c r="F3221" s="155">
        <f ca="1">OFFSET('IWP15'!Std11dot4Hospitalization, 5,5, 1, 1)</f>
        <v>0</v>
      </c>
      <c r="G3221" s="155">
        <f ca="1">OFFSET('IWP15'!Std11dot4Hospitalization, 5,7, 1, 1)</f>
        <v>0</v>
      </c>
      <c r="H3221" s="155">
        <f ca="1">IF(OFFSET('IWP15'!Std11dot4Hospitalization, 5,8, 1, 1)="",0,OFFSET('IWP15'!Std11dot4Hospitalization, 5,8, 1, 1))</f>
        <v>0</v>
      </c>
      <c r="I3221" s="157">
        <f ca="1">IF(OFFSET('IWP15'!Std11dot4Hospitalization, 5, 10, 1, 1) = DATE(1900,1,0),DATE(1900,1,1),OFFSET('IWP15'!Std11dot4Hospitalization, 5, 10, 1, 1))</f>
        <v>1</v>
      </c>
      <c r="J3221" s="158">
        <f ca="1">IF(OFFSET('IWP15'!Std11dot4Hospitalization, 5, 12, 1, 1) = DATE(1900,1,0),DATE(1900,1,1),OFFSET('IWP15'!Std11dot4Hospitalization, 5, 12, 1, 1))</f>
        <v>1</v>
      </c>
    </row>
    <row r="3222" spans="1:10">
      <c r="A3222" s="206" t="s">
        <v>1319</v>
      </c>
      <c r="B3222" s="157">
        <f ca="1">IF(OFFSET('IWP16'!Std11dot4Hospitalization, 0, 0, 1, 1) = DATE(1900,1,0),DATE(1900,1,1),OFFSET('IWP16'!Std11dot4Hospitalization, 0, 0, 1, 1))</f>
        <v>1</v>
      </c>
      <c r="C3222" s="157">
        <f ca="1">IF(OFFSET('IWP16'!Std11dot4Hospitalization, 0, 1, 1, 1) = DATE(1900,1,0),DATE(1900,1,1),OFFSET('IWP16'!Std11dot4Hospitalization, 0, 1, 1, 1))</f>
        <v>1</v>
      </c>
      <c r="D3222" s="13">
        <f ca="1">OFFSET('IWP16'!Std11dot4Hospitalization, 0, 2, 1, 1)</f>
        <v>0</v>
      </c>
      <c r="E3222" s="155">
        <f ca="1">OFFSET('IWP16'!Std11dot4Hospitalization, 0, 3, 1, 1)</f>
        <v>0</v>
      </c>
      <c r="F3222" s="155">
        <f ca="1">OFFSET('IWP16'!Std11dot4Hospitalization, 0,5, 1, 1)</f>
        <v>0</v>
      </c>
      <c r="G3222" s="155">
        <f ca="1">OFFSET('IWP16'!Std11dot4Hospitalization, 0,7, 1, 1)</f>
        <v>0</v>
      </c>
      <c r="H3222" s="155">
        <f ca="1">IF(OFFSET('IWP16'!Std11dot4Hospitalization, 0,8, 1, 1)="",0,OFFSET('IWP16'!Std11dot4Hospitalization, 0,8, 1, 1))</f>
        <v>0</v>
      </c>
      <c r="I3222" s="157">
        <f ca="1">IF(OFFSET('IWP16'!Std11dot4Hospitalization, 0, 10, 1, 1) = DATE(1900,1,0),DATE(1900,1,1),OFFSET('IWP16'!Std11dot4Hospitalization, 0, 10, 1, 1))</f>
        <v>1</v>
      </c>
      <c r="J3222" s="158">
        <f ca="1">IF(OFFSET('IWP16'!Std11dot4Hospitalization, 0, 12, 1, 1) = DATE(1900,1,0),DATE(1900,1,1),OFFSET('IWP16'!Std11dot4Hospitalization, 0, 12, 1, 1))</f>
        <v>1</v>
      </c>
    </row>
    <row r="3223" spans="1:10">
      <c r="A3223" s="206" t="s">
        <v>1319</v>
      </c>
      <c r="B3223" s="157">
        <f ca="1">IF(OFFSET('IWP16'!Std11dot4Hospitalization, 1, 0, 1, 1) = DATE(1900,1,0),DATE(1900,1,1),OFFSET('IWP16'!Std11dot4Hospitalization, 1, 0, 1, 1))</f>
        <v>1</v>
      </c>
      <c r="C3223" s="157">
        <f ca="1">IF(OFFSET('IWP16'!Std11dot4Hospitalization, 1, 1, 1, 1) = DATE(1900,1,0),DATE(1900,1,1),OFFSET('IWP16'!Std11dot4Hospitalization, 1, 1, 1, 1))</f>
        <v>1</v>
      </c>
      <c r="D3223" s="13">
        <f ca="1">OFFSET('IWP16'!Std11dot4Hospitalization, 1, 2, 1, 1)</f>
        <v>0</v>
      </c>
      <c r="E3223" s="155">
        <f ca="1">OFFSET('IWP16'!Std11dot4Hospitalization, 1, 3, 1, 1)</f>
        <v>0</v>
      </c>
      <c r="F3223" s="155">
        <f ca="1">OFFSET('IWP16'!Std11dot4Hospitalization, 1,5, 1, 1)</f>
        <v>0</v>
      </c>
      <c r="G3223" s="155">
        <f ca="1">OFFSET('IWP16'!Std11dot4Hospitalization, 1,7, 1, 1)</f>
        <v>0</v>
      </c>
      <c r="H3223" s="155">
        <f ca="1">IF(OFFSET('IWP16'!Std11dot4Hospitalization, 1,8, 1, 1)="",0,OFFSET('IWP16'!Std11dot4Hospitalization, 1,8, 1, 1))</f>
        <v>0</v>
      </c>
      <c r="I3223" s="157">
        <f ca="1">IF(OFFSET('IWP16'!Std11dot4Hospitalization, 1, 10, 1, 1) = DATE(1900,1,0),DATE(1900,1,1),OFFSET('IWP16'!Std11dot4Hospitalization, 1, 10, 1, 1))</f>
        <v>1</v>
      </c>
      <c r="J3223" s="158">
        <f ca="1">IF(OFFSET('IWP16'!Std11dot4Hospitalization, 1, 12, 1, 1) = DATE(1900,1,0),DATE(1900,1,1),OFFSET('IWP16'!Std11dot4Hospitalization, 1, 12, 1, 1))</f>
        <v>1</v>
      </c>
    </row>
    <row r="3224" spans="1:10">
      <c r="A3224" s="206" t="s">
        <v>1319</v>
      </c>
      <c r="B3224" s="157">
        <f ca="1">IF(OFFSET('IWP16'!Std11dot4Hospitalization, 2, 0, 1, 1) = DATE(1900,1,0),DATE(1900,1,1),OFFSET('IWP16'!Std11dot4Hospitalization, 2, 0, 1, 1))</f>
        <v>1</v>
      </c>
      <c r="C3224" s="157">
        <f ca="1">IF(OFFSET('IWP16'!Std11dot4Hospitalization, 2, 1, 1, 1) = DATE(1900,1,0),DATE(1900,1,1),OFFSET('IWP16'!Std11dot4Hospitalization, 2, 1, 1, 1))</f>
        <v>1</v>
      </c>
      <c r="D3224" s="13">
        <f ca="1">OFFSET('IWP16'!Std11dot4Hospitalization, 2, 2, 1, 1)</f>
        <v>0</v>
      </c>
      <c r="E3224" s="155">
        <f ca="1">OFFSET('IWP16'!Std11dot4Hospitalization, 2, 3, 1, 1)</f>
        <v>0</v>
      </c>
      <c r="F3224" s="155">
        <f ca="1">OFFSET('IWP16'!Std11dot4Hospitalization, 2,5, 1, 1)</f>
        <v>0</v>
      </c>
      <c r="G3224" s="155">
        <f ca="1">OFFSET('IWP16'!Std11dot4Hospitalization, 2,7, 1, 1)</f>
        <v>0</v>
      </c>
      <c r="H3224" s="155">
        <f ca="1">IF(OFFSET('IWP16'!Std11dot4Hospitalization, 2,8, 1, 1)="",0,OFFSET('IWP16'!Std11dot4Hospitalization, 2,8, 1, 1))</f>
        <v>0</v>
      </c>
      <c r="I3224" s="157">
        <f ca="1">IF(OFFSET('IWP16'!Std11dot4Hospitalization, 2, 10, 1, 1) = DATE(1900,1,0),DATE(1900,1,1),OFFSET('IWP16'!Std11dot4Hospitalization, 2, 10, 1, 1))</f>
        <v>1</v>
      </c>
      <c r="J3224" s="158">
        <f ca="1">IF(OFFSET('IWP16'!Std11dot4Hospitalization, 2, 12, 1, 1) = DATE(1900,1,0),DATE(1900,1,1),OFFSET('IWP16'!Std11dot4Hospitalization, 2, 12, 1, 1))</f>
        <v>1</v>
      </c>
    </row>
    <row r="3225" spans="1:10">
      <c r="A3225" s="206" t="s">
        <v>1319</v>
      </c>
      <c r="B3225" s="157">
        <f ca="1">IF(OFFSET('IWP16'!Std11dot4Hospitalization, 3, 0, 1, 1) = DATE(1900,1,0),DATE(1900,1,1),OFFSET('IWP16'!Std11dot4Hospitalization, 3, 0, 1, 1))</f>
        <v>1</v>
      </c>
      <c r="C3225" s="157">
        <f ca="1">IF(OFFSET('IWP16'!Std11dot4Hospitalization, 3, 1, 1, 1) = DATE(1900,1,0),DATE(1900,1,1),OFFSET('IWP16'!Std11dot4Hospitalization, 3, 1, 1, 1))</f>
        <v>1</v>
      </c>
      <c r="D3225" s="13">
        <f ca="1">OFFSET('IWP16'!Std11dot4Hospitalization, 3, 2, 1, 1)</f>
        <v>0</v>
      </c>
      <c r="E3225" s="155">
        <f ca="1">OFFSET('IWP16'!Std11dot4Hospitalization, 3, 3, 1, 1)</f>
        <v>0</v>
      </c>
      <c r="F3225" s="155">
        <f ca="1">OFFSET('IWP16'!Std11dot4Hospitalization, 3,5, 1, 1)</f>
        <v>0</v>
      </c>
      <c r="G3225" s="155">
        <f ca="1">OFFSET('IWP16'!Std11dot4Hospitalization, 3,7, 1, 1)</f>
        <v>0</v>
      </c>
      <c r="H3225" s="155">
        <f ca="1">IF(OFFSET('IWP16'!Std11dot4Hospitalization, 3,8, 1, 1)="",0,OFFSET('IWP16'!Std11dot4Hospitalization, 3,8, 1, 1))</f>
        <v>0</v>
      </c>
      <c r="I3225" s="157">
        <f ca="1">IF(OFFSET('IWP16'!Std11dot4Hospitalization, 3, 10, 1, 1) = DATE(1900,1,0),DATE(1900,1,1),OFFSET('IWP16'!Std11dot4Hospitalization, 3, 10, 1, 1))</f>
        <v>1</v>
      </c>
      <c r="J3225" s="158">
        <f ca="1">IF(OFFSET('IWP16'!Std11dot4Hospitalization, 3, 12, 1, 1) = DATE(1900,1,0),DATE(1900,1,1),OFFSET('IWP16'!Std11dot4Hospitalization, 3, 12, 1, 1))</f>
        <v>1</v>
      </c>
    </row>
    <row r="3226" spans="1:10">
      <c r="A3226" s="206" t="s">
        <v>1319</v>
      </c>
      <c r="B3226" s="157">
        <f ca="1">IF(OFFSET('IWP16'!Std11dot4Hospitalization, 4, 0, 1, 1) = DATE(1900,1,0),DATE(1900,1,1),OFFSET('IWP16'!Std11dot4Hospitalization, 4, 0, 1, 1))</f>
        <v>1</v>
      </c>
      <c r="C3226" s="157">
        <f ca="1">IF(OFFSET('IWP16'!Std11dot4Hospitalization, 4, 1, 1, 1) = DATE(1900,1,0),DATE(1900,1,1),OFFSET('IWP16'!Std11dot4Hospitalization, 4, 1, 1, 1))</f>
        <v>1</v>
      </c>
      <c r="D3226" s="13">
        <f ca="1">OFFSET('IWP16'!Std11dot4Hospitalization, 4, 2, 1, 1)</f>
        <v>0</v>
      </c>
      <c r="E3226" s="155">
        <f ca="1">OFFSET('IWP16'!Std11dot4Hospitalization, 4, 3, 1, 1)</f>
        <v>0</v>
      </c>
      <c r="F3226" s="155">
        <f ca="1">OFFSET('IWP16'!Std11dot4Hospitalization, 4,5, 1, 1)</f>
        <v>0</v>
      </c>
      <c r="G3226" s="155">
        <f ca="1">OFFSET('IWP16'!Std11dot4Hospitalization, 4,7, 1, 1)</f>
        <v>0</v>
      </c>
      <c r="H3226" s="155">
        <f ca="1">IF(OFFSET('IWP16'!Std11dot4Hospitalization, 4,8, 1, 1)="",0,OFFSET('IWP16'!Std11dot4Hospitalization, 4,8, 1, 1))</f>
        <v>0</v>
      </c>
      <c r="I3226" s="157">
        <f ca="1">IF(OFFSET('IWP16'!Std11dot4Hospitalization, 4, 10, 1, 1) = DATE(1900,1,0),DATE(1900,1,1),OFFSET('IWP16'!Std11dot4Hospitalization, 4, 10, 1, 1))</f>
        <v>1</v>
      </c>
      <c r="J3226" s="158">
        <f ca="1">IF(OFFSET('IWP16'!Std11dot4Hospitalization, 4, 12, 1, 1) = DATE(1900,1,0),DATE(1900,1,1),OFFSET('IWP16'!Std11dot4Hospitalization, 4, 12, 1, 1))</f>
        <v>1</v>
      </c>
    </row>
    <row r="3227" spans="1:10">
      <c r="A3227" s="206" t="s">
        <v>1319</v>
      </c>
      <c r="B3227" s="157">
        <f ca="1">IF(OFFSET('IWP16'!Std11dot4Hospitalization, 5, 0, 1, 1) = DATE(1900,1,0),DATE(1900,1,1),OFFSET('IWP16'!Std11dot4Hospitalization, 5, 0, 1, 1))</f>
        <v>1</v>
      </c>
      <c r="C3227" s="157">
        <f ca="1">IF(OFFSET('IWP16'!Std11dot4Hospitalization, 5, 1, 1, 1) = DATE(1900,1,0),DATE(1900,1,1),OFFSET('IWP16'!Std11dot4Hospitalization, 5, 1, 1, 1))</f>
        <v>1</v>
      </c>
      <c r="D3227" s="13">
        <f ca="1">OFFSET('IWP16'!Std11dot4Hospitalization, 5, 2, 1, 1)</f>
        <v>0</v>
      </c>
      <c r="E3227" s="155">
        <f ca="1">OFFSET('IWP16'!Std11dot4Hospitalization, 5, 3, 1, 1)</f>
        <v>0</v>
      </c>
      <c r="F3227" s="155">
        <f ca="1">OFFSET('IWP16'!Std11dot4Hospitalization, 5,5, 1, 1)</f>
        <v>0</v>
      </c>
      <c r="G3227" s="155">
        <f ca="1">OFFSET('IWP16'!Std11dot4Hospitalization, 5,7, 1, 1)</f>
        <v>0</v>
      </c>
      <c r="H3227" s="155">
        <f ca="1">IF(OFFSET('IWP16'!Std11dot4Hospitalization, 5,8, 1, 1)="",0,OFFSET('IWP16'!Std11dot4Hospitalization, 5,8, 1, 1))</f>
        <v>0</v>
      </c>
      <c r="I3227" s="157">
        <f ca="1">IF(OFFSET('IWP16'!Std11dot4Hospitalization, 5, 10, 1, 1) = DATE(1900,1,0),DATE(1900,1,1),OFFSET('IWP16'!Std11dot4Hospitalization, 5, 10, 1, 1))</f>
        <v>1</v>
      </c>
      <c r="J3227" s="158">
        <f ca="1">IF(OFFSET('IWP16'!Std11dot4Hospitalization, 5, 12, 1, 1) = DATE(1900,1,0),DATE(1900,1,1),OFFSET('IWP16'!Std11dot4Hospitalization, 5, 12, 1, 1))</f>
        <v>1</v>
      </c>
    </row>
    <row r="3228" spans="1:10">
      <c r="A3228" s="206" t="s">
        <v>1320</v>
      </c>
      <c r="B3228" s="157">
        <f ca="1">IF(OFFSET('IWP17'!Std11dot4Hospitalization, 0, 0, 1, 1) = DATE(1900,1,0),DATE(1900,1,1),OFFSET('IWP17'!Std11dot4Hospitalization, 0, 0, 1, 1))</f>
        <v>1</v>
      </c>
      <c r="C3228" s="157">
        <f ca="1">IF(OFFSET('IWP17'!Std11dot4Hospitalization, 0, 1, 1, 1) = DATE(1900,1,0),DATE(1900,1,1),OFFSET('IWP17'!Std11dot4Hospitalization, 0, 1, 1, 1))</f>
        <v>1</v>
      </c>
      <c r="D3228" s="13">
        <f ca="1">OFFSET('IWP17'!Std11dot4Hospitalization, 0, 2, 1, 1)</f>
        <v>0</v>
      </c>
      <c r="E3228" s="155">
        <f ca="1">OFFSET('IWP17'!Std11dot4Hospitalization, 0, 3, 1, 1)</f>
        <v>0</v>
      </c>
      <c r="F3228" s="155">
        <f ca="1">OFFSET('IWP17'!Std11dot4Hospitalization, 0,5, 1, 1)</f>
        <v>0</v>
      </c>
      <c r="G3228" s="155">
        <f ca="1">OFFSET('IWP17'!Std11dot4Hospitalization, 0,7, 1, 1)</f>
        <v>0</v>
      </c>
      <c r="H3228" s="155">
        <f ca="1">IF(OFFSET('IWP17'!Std11dot4Hospitalization, 0,8, 1, 1)="",0,OFFSET('IWP17'!Std11dot4Hospitalization, 0,8, 1, 1))</f>
        <v>0</v>
      </c>
      <c r="I3228" s="157">
        <f ca="1">IF(OFFSET('IWP17'!Std11dot4Hospitalization, 0, 10, 1, 1) = DATE(1900,1,0),DATE(1900,1,1),OFFSET('IWP17'!Std11dot4Hospitalization, 0, 10, 1, 1))</f>
        <v>1</v>
      </c>
      <c r="J3228" s="158">
        <f ca="1">IF(OFFSET('IWP17'!Std11dot4Hospitalization, 0, 12, 1, 1) = DATE(1900,1,0),DATE(1900,1,1),OFFSET('IWP17'!Std11dot4Hospitalization, 0, 12, 1, 1))</f>
        <v>1</v>
      </c>
    </row>
    <row r="3229" spans="1:10">
      <c r="A3229" s="206" t="s">
        <v>1320</v>
      </c>
      <c r="B3229" s="157">
        <f ca="1">IF(OFFSET('IWP17'!Std11dot4Hospitalization, 1, 0, 1, 1) = DATE(1900,1,0),DATE(1900,1,1),OFFSET('IWP17'!Std11dot4Hospitalization, 1, 0, 1, 1))</f>
        <v>1</v>
      </c>
      <c r="C3229" s="157">
        <f ca="1">IF(OFFSET('IWP17'!Std11dot4Hospitalization, 1, 1, 1, 1) = DATE(1900,1,0),DATE(1900,1,1),OFFSET('IWP17'!Std11dot4Hospitalization, 1, 1, 1, 1))</f>
        <v>1</v>
      </c>
      <c r="D3229" s="13">
        <f ca="1">OFFSET('IWP17'!Std11dot4Hospitalization, 1, 2, 1, 1)</f>
        <v>0</v>
      </c>
      <c r="E3229" s="155">
        <f ca="1">OFFSET('IWP17'!Std11dot4Hospitalization, 1, 3, 1, 1)</f>
        <v>0</v>
      </c>
      <c r="F3229" s="155">
        <f ca="1">OFFSET('IWP17'!Std11dot4Hospitalization, 1,5, 1, 1)</f>
        <v>0</v>
      </c>
      <c r="G3229" s="155">
        <f ca="1">OFFSET('IWP17'!Std11dot4Hospitalization, 1,7, 1, 1)</f>
        <v>0</v>
      </c>
      <c r="H3229" s="155">
        <f ca="1">IF(OFFSET('IWP17'!Std11dot4Hospitalization, 1,8, 1, 1)="",0,OFFSET('IWP17'!Std11dot4Hospitalization, 1,8, 1, 1))</f>
        <v>0</v>
      </c>
      <c r="I3229" s="157">
        <f ca="1">IF(OFFSET('IWP17'!Std11dot4Hospitalization, 1, 10, 1, 1) = DATE(1900,1,0),DATE(1900,1,1),OFFSET('IWP17'!Std11dot4Hospitalization, 1, 10, 1, 1))</f>
        <v>1</v>
      </c>
      <c r="J3229" s="158">
        <f ca="1">IF(OFFSET('IWP17'!Std11dot4Hospitalization, 1, 12, 1, 1) = DATE(1900,1,0),DATE(1900,1,1),OFFSET('IWP17'!Std11dot4Hospitalization, 1, 12, 1, 1))</f>
        <v>1</v>
      </c>
    </row>
    <row r="3230" spans="1:10">
      <c r="A3230" s="206" t="s">
        <v>1320</v>
      </c>
      <c r="B3230" s="157">
        <f ca="1">IF(OFFSET('IWP17'!Std11dot4Hospitalization, 2, 0, 1, 1) = DATE(1900,1,0),DATE(1900,1,1),OFFSET('IWP17'!Std11dot4Hospitalization, 2, 0, 1, 1))</f>
        <v>1</v>
      </c>
      <c r="C3230" s="157">
        <f ca="1">IF(OFFSET('IWP17'!Std11dot4Hospitalization, 2, 1, 1, 1) = DATE(1900,1,0),DATE(1900,1,1),OFFSET('IWP17'!Std11dot4Hospitalization, 2, 1, 1, 1))</f>
        <v>1</v>
      </c>
      <c r="D3230" s="13">
        <f ca="1">OFFSET('IWP17'!Std11dot4Hospitalization, 2, 2, 1, 1)</f>
        <v>0</v>
      </c>
      <c r="E3230" s="155">
        <f ca="1">OFFSET('IWP17'!Std11dot4Hospitalization, 2, 3, 1, 1)</f>
        <v>0</v>
      </c>
      <c r="F3230" s="155">
        <f ca="1">OFFSET('IWP17'!Std11dot4Hospitalization, 2,5, 1, 1)</f>
        <v>0</v>
      </c>
      <c r="G3230" s="155">
        <f ca="1">OFFSET('IWP17'!Std11dot4Hospitalization, 2,7, 1, 1)</f>
        <v>0</v>
      </c>
      <c r="H3230" s="155">
        <f ca="1">IF(OFFSET('IWP17'!Std11dot4Hospitalization, 2,8, 1, 1)="",0,OFFSET('IWP17'!Std11dot4Hospitalization, 2,8, 1, 1))</f>
        <v>0</v>
      </c>
      <c r="I3230" s="157">
        <f ca="1">IF(OFFSET('IWP17'!Std11dot4Hospitalization, 2, 10, 1, 1) = DATE(1900,1,0),DATE(1900,1,1),OFFSET('IWP17'!Std11dot4Hospitalization, 2, 10, 1, 1))</f>
        <v>1</v>
      </c>
      <c r="J3230" s="158">
        <f ca="1">IF(OFFSET('IWP17'!Std11dot4Hospitalization, 2, 12, 1, 1) = DATE(1900,1,0),DATE(1900,1,1),OFFSET('IWP17'!Std11dot4Hospitalization, 2, 12, 1, 1))</f>
        <v>1</v>
      </c>
    </row>
    <row r="3231" spans="1:10">
      <c r="A3231" s="206" t="s">
        <v>1320</v>
      </c>
      <c r="B3231" s="157">
        <f ca="1">IF(OFFSET('IWP17'!Std11dot4Hospitalization, 3, 0, 1, 1) = DATE(1900,1,0),DATE(1900,1,1),OFFSET('IWP17'!Std11dot4Hospitalization, 3, 0, 1, 1))</f>
        <v>1</v>
      </c>
      <c r="C3231" s="157">
        <f ca="1">IF(OFFSET('IWP17'!Std11dot4Hospitalization, 3, 1, 1, 1) = DATE(1900,1,0),DATE(1900,1,1),OFFSET('IWP17'!Std11dot4Hospitalization, 3, 1, 1, 1))</f>
        <v>1</v>
      </c>
      <c r="D3231" s="13">
        <f ca="1">OFFSET('IWP17'!Std11dot4Hospitalization, 3, 2, 1, 1)</f>
        <v>0</v>
      </c>
      <c r="E3231" s="155">
        <f ca="1">OFFSET('IWP17'!Std11dot4Hospitalization, 3, 3, 1, 1)</f>
        <v>0</v>
      </c>
      <c r="F3231" s="155">
        <f ca="1">OFFSET('IWP17'!Std11dot4Hospitalization, 3,5, 1, 1)</f>
        <v>0</v>
      </c>
      <c r="G3231" s="155">
        <f ca="1">OFFSET('IWP17'!Std11dot4Hospitalization, 3,7, 1, 1)</f>
        <v>0</v>
      </c>
      <c r="H3231" s="155">
        <f ca="1">IF(OFFSET('IWP17'!Std11dot4Hospitalization, 3,8, 1, 1)="",0,OFFSET('IWP17'!Std11dot4Hospitalization, 3,8, 1, 1))</f>
        <v>0</v>
      </c>
      <c r="I3231" s="157">
        <f ca="1">IF(OFFSET('IWP17'!Std11dot4Hospitalization, 3, 10, 1, 1) = DATE(1900,1,0),DATE(1900,1,1),OFFSET('IWP17'!Std11dot4Hospitalization, 3, 10, 1, 1))</f>
        <v>1</v>
      </c>
      <c r="J3231" s="158">
        <f ca="1">IF(OFFSET('IWP17'!Std11dot4Hospitalization, 3, 12, 1, 1) = DATE(1900,1,0),DATE(1900,1,1),OFFSET('IWP17'!Std11dot4Hospitalization, 3, 12, 1, 1))</f>
        <v>1</v>
      </c>
    </row>
    <row r="3232" spans="1:10">
      <c r="A3232" s="206" t="s">
        <v>1320</v>
      </c>
      <c r="B3232" s="157">
        <f ca="1">IF(OFFSET('IWP17'!Std11dot4Hospitalization, 4, 0, 1, 1) = DATE(1900,1,0),DATE(1900,1,1),OFFSET('IWP17'!Std11dot4Hospitalization, 4, 0, 1, 1))</f>
        <v>1</v>
      </c>
      <c r="C3232" s="157">
        <f ca="1">IF(OFFSET('IWP17'!Std11dot4Hospitalization, 4, 1, 1, 1) = DATE(1900,1,0),DATE(1900,1,1),OFFSET('IWP17'!Std11dot4Hospitalization, 4, 1, 1, 1))</f>
        <v>1</v>
      </c>
      <c r="D3232" s="13">
        <f ca="1">OFFSET('IWP17'!Std11dot4Hospitalization, 4, 2, 1, 1)</f>
        <v>0</v>
      </c>
      <c r="E3232" s="155">
        <f ca="1">OFFSET('IWP17'!Std11dot4Hospitalization, 4, 3, 1, 1)</f>
        <v>0</v>
      </c>
      <c r="F3232" s="155">
        <f ca="1">OFFSET('IWP17'!Std11dot4Hospitalization, 4,5, 1, 1)</f>
        <v>0</v>
      </c>
      <c r="G3232" s="155">
        <f ca="1">OFFSET('IWP17'!Std11dot4Hospitalization, 4,7, 1, 1)</f>
        <v>0</v>
      </c>
      <c r="H3232" s="155">
        <f ca="1">IF(OFFSET('IWP17'!Std11dot4Hospitalization, 4,8, 1, 1)="",0,OFFSET('IWP17'!Std11dot4Hospitalization, 4,8, 1, 1))</f>
        <v>0</v>
      </c>
      <c r="I3232" s="157">
        <f ca="1">IF(OFFSET('IWP17'!Std11dot4Hospitalization, 4, 10, 1, 1) = DATE(1900,1,0),DATE(1900,1,1),OFFSET('IWP17'!Std11dot4Hospitalization, 4, 10, 1, 1))</f>
        <v>1</v>
      </c>
      <c r="J3232" s="158">
        <f ca="1">IF(OFFSET('IWP17'!Std11dot4Hospitalization, 4, 12, 1, 1) = DATE(1900,1,0),DATE(1900,1,1),OFFSET('IWP17'!Std11dot4Hospitalization, 4, 12, 1, 1))</f>
        <v>1</v>
      </c>
    </row>
    <row r="3233" spans="1:10">
      <c r="A3233" s="206" t="s">
        <v>1320</v>
      </c>
      <c r="B3233" s="157">
        <f ca="1">IF(OFFSET('IWP17'!Std11dot4Hospitalization, 5, 0, 1, 1) = DATE(1900,1,0),DATE(1900,1,1),OFFSET('IWP17'!Std11dot4Hospitalization, 5, 0, 1, 1))</f>
        <v>1</v>
      </c>
      <c r="C3233" s="157">
        <f ca="1">IF(OFFSET('IWP17'!Std11dot4Hospitalization, 5, 1, 1, 1) = DATE(1900,1,0),DATE(1900,1,1),OFFSET('IWP17'!Std11dot4Hospitalization, 5, 1, 1, 1))</f>
        <v>1</v>
      </c>
      <c r="D3233" s="13">
        <f ca="1">OFFSET('IWP17'!Std11dot4Hospitalization, 5, 2, 1, 1)</f>
        <v>0</v>
      </c>
      <c r="E3233" s="155">
        <f ca="1">OFFSET('IWP17'!Std11dot4Hospitalization, 5, 3, 1, 1)</f>
        <v>0</v>
      </c>
      <c r="F3233" s="155">
        <f ca="1">OFFSET('IWP17'!Std11dot4Hospitalization, 5,5, 1, 1)</f>
        <v>0</v>
      </c>
      <c r="G3233" s="155">
        <f ca="1">OFFSET('IWP17'!Std11dot4Hospitalization, 5,7, 1, 1)</f>
        <v>0</v>
      </c>
      <c r="H3233" s="155">
        <f ca="1">IF(OFFSET('IWP17'!Std11dot4Hospitalization, 5,8, 1, 1)="",0,OFFSET('IWP17'!Std11dot4Hospitalization, 5,8, 1, 1))</f>
        <v>0</v>
      </c>
      <c r="I3233" s="157">
        <f ca="1">IF(OFFSET('IWP17'!Std11dot4Hospitalization, 5, 10, 1, 1) = DATE(1900,1,0),DATE(1900,1,1),OFFSET('IWP17'!Std11dot4Hospitalization, 5, 10, 1, 1))</f>
        <v>1</v>
      </c>
      <c r="J3233" s="158">
        <f ca="1">IF(OFFSET('IWP17'!Std11dot4Hospitalization, 5, 12, 1, 1) = DATE(1900,1,0),DATE(1900,1,1),OFFSET('IWP17'!Std11dot4Hospitalization, 5, 12, 1, 1))</f>
        <v>1</v>
      </c>
    </row>
    <row r="3234" spans="1:10">
      <c r="A3234" s="206" t="s">
        <v>1321</v>
      </c>
      <c r="B3234" s="157">
        <f ca="1">IF(OFFSET('IWP18'!Std11dot4Hospitalization, 0, 0, 1, 1) = DATE(1900,1,0),DATE(1900,1,1),OFFSET('IWP18'!Std11dot4Hospitalization, 0, 0, 1, 1))</f>
        <v>1</v>
      </c>
      <c r="C3234" s="157">
        <f ca="1">IF(OFFSET('IWP18'!Std11dot4Hospitalization, 0, 1, 1, 1) = DATE(1900,1,0),DATE(1900,1,1),OFFSET('IWP18'!Std11dot4Hospitalization, 0, 1, 1, 1))</f>
        <v>1</v>
      </c>
      <c r="D3234" s="13">
        <f ca="1">OFFSET('IWP18'!Std11dot4Hospitalization, 0, 2, 1, 1)</f>
        <v>0</v>
      </c>
      <c r="E3234" s="155">
        <f ca="1">OFFSET('IWP18'!Std11dot4Hospitalization, 0, 3, 1, 1)</f>
        <v>0</v>
      </c>
      <c r="F3234" s="155">
        <f ca="1">OFFSET('IWP18'!Std11dot4Hospitalization, 0,5, 1, 1)</f>
        <v>0</v>
      </c>
      <c r="G3234" s="155">
        <f ca="1">OFFSET('IWP18'!Std11dot4Hospitalization, 0,7, 1, 1)</f>
        <v>0</v>
      </c>
      <c r="H3234" s="155">
        <f ca="1">IF(OFFSET('IWP18'!Std11dot4Hospitalization, 0,8, 1, 1)="",0,OFFSET('IWP18'!Std11dot4Hospitalization, 0,8, 1, 1))</f>
        <v>0</v>
      </c>
      <c r="I3234" s="157">
        <f ca="1">IF(OFFSET('IWP18'!Std11dot4Hospitalization, 0, 10, 1, 1) = DATE(1900,1,0),DATE(1900,1,1),OFFSET('IWP18'!Std11dot4Hospitalization, 0, 10, 1, 1))</f>
        <v>1</v>
      </c>
      <c r="J3234" s="158">
        <f ca="1">IF(OFFSET('IWP18'!Std11dot4Hospitalization, 0, 12, 1, 1) = DATE(1900,1,0),DATE(1900,1,1),OFFSET('IWP18'!Std11dot4Hospitalization, 0, 12, 1, 1))</f>
        <v>1</v>
      </c>
    </row>
    <row r="3235" spans="1:10">
      <c r="A3235" s="206" t="s">
        <v>1321</v>
      </c>
      <c r="B3235" s="157">
        <f ca="1">IF(OFFSET('IWP18'!Std11dot4Hospitalization, 1, 0, 1, 1) = DATE(1900,1,0),DATE(1900,1,1),OFFSET('IWP18'!Std11dot4Hospitalization, 1, 0, 1, 1))</f>
        <v>1</v>
      </c>
      <c r="C3235" s="157">
        <f ca="1">IF(OFFSET('IWP18'!Std11dot4Hospitalization, 1, 1, 1, 1) = DATE(1900,1,0),DATE(1900,1,1),OFFSET('IWP18'!Std11dot4Hospitalization, 1, 1, 1, 1))</f>
        <v>1</v>
      </c>
      <c r="D3235" s="13">
        <f ca="1">OFFSET('IWP18'!Std11dot4Hospitalization, 1, 2, 1, 1)</f>
        <v>0</v>
      </c>
      <c r="E3235" s="155">
        <f ca="1">OFFSET('IWP18'!Std11dot4Hospitalization, 1, 3, 1, 1)</f>
        <v>0</v>
      </c>
      <c r="F3235" s="155">
        <f ca="1">OFFSET('IWP18'!Std11dot4Hospitalization, 1,5, 1, 1)</f>
        <v>0</v>
      </c>
      <c r="G3235" s="155">
        <f ca="1">OFFSET('IWP18'!Std11dot4Hospitalization, 1,7, 1, 1)</f>
        <v>0</v>
      </c>
      <c r="H3235" s="155">
        <f ca="1">IF(OFFSET('IWP18'!Std11dot4Hospitalization, 1,8, 1, 1)="",0,OFFSET('IWP18'!Std11dot4Hospitalization, 1,8, 1, 1))</f>
        <v>0</v>
      </c>
      <c r="I3235" s="157">
        <f ca="1">IF(OFFSET('IWP18'!Std11dot4Hospitalization, 1, 10, 1, 1) = DATE(1900,1,0),DATE(1900,1,1),OFFSET('IWP18'!Std11dot4Hospitalization, 1, 10, 1, 1))</f>
        <v>1</v>
      </c>
      <c r="J3235" s="158">
        <f ca="1">IF(OFFSET('IWP18'!Std11dot4Hospitalization, 1, 12, 1, 1) = DATE(1900,1,0),DATE(1900,1,1),OFFSET('IWP18'!Std11dot4Hospitalization, 1, 12, 1, 1))</f>
        <v>1</v>
      </c>
    </row>
    <row r="3236" spans="1:10">
      <c r="A3236" s="206" t="s">
        <v>1321</v>
      </c>
      <c r="B3236" s="157">
        <f ca="1">IF(OFFSET('IWP18'!Std11dot4Hospitalization, 2, 0, 1, 1) = DATE(1900,1,0),DATE(1900,1,1),OFFSET('IWP18'!Std11dot4Hospitalization, 2, 0, 1, 1))</f>
        <v>1</v>
      </c>
      <c r="C3236" s="157">
        <f ca="1">IF(OFFSET('IWP18'!Std11dot4Hospitalization, 2, 1, 1, 1) = DATE(1900,1,0),DATE(1900,1,1),OFFSET('IWP18'!Std11dot4Hospitalization, 2, 1, 1, 1))</f>
        <v>1</v>
      </c>
      <c r="D3236" s="13">
        <f ca="1">OFFSET('IWP18'!Std11dot4Hospitalization, 2, 2, 1, 1)</f>
        <v>0</v>
      </c>
      <c r="E3236" s="155">
        <f ca="1">OFFSET('IWP18'!Std11dot4Hospitalization, 2, 3, 1, 1)</f>
        <v>0</v>
      </c>
      <c r="F3236" s="155">
        <f ca="1">OFFSET('IWP18'!Std11dot4Hospitalization, 2,5, 1, 1)</f>
        <v>0</v>
      </c>
      <c r="G3236" s="155">
        <f ca="1">OFFSET('IWP18'!Std11dot4Hospitalization, 2,7, 1, 1)</f>
        <v>0</v>
      </c>
      <c r="H3236" s="155">
        <f ca="1">IF(OFFSET('IWP18'!Std11dot4Hospitalization, 2,8, 1, 1)="",0,OFFSET('IWP18'!Std11dot4Hospitalization, 2,8, 1, 1))</f>
        <v>0</v>
      </c>
      <c r="I3236" s="157">
        <f ca="1">IF(OFFSET('IWP18'!Std11dot4Hospitalization, 2, 10, 1, 1) = DATE(1900,1,0),DATE(1900,1,1),OFFSET('IWP18'!Std11dot4Hospitalization, 2, 10, 1, 1))</f>
        <v>1</v>
      </c>
      <c r="J3236" s="158">
        <f ca="1">IF(OFFSET('IWP18'!Std11dot4Hospitalization, 2, 12, 1, 1) = DATE(1900,1,0),DATE(1900,1,1),OFFSET('IWP18'!Std11dot4Hospitalization, 2, 12, 1, 1))</f>
        <v>1</v>
      </c>
    </row>
    <row r="3237" spans="1:10">
      <c r="A3237" s="206" t="s">
        <v>1321</v>
      </c>
      <c r="B3237" s="157">
        <f ca="1">IF(OFFSET('IWP18'!Std11dot4Hospitalization, 3, 0, 1, 1) = DATE(1900,1,0),DATE(1900,1,1),OFFSET('IWP18'!Std11dot4Hospitalization, 3, 0, 1, 1))</f>
        <v>1</v>
      </c>
      <c r="C3237" s="157">
        <f ca="1">IF(OFFSET('IWP18'!Std11dot4Hospitalization, 3, 1, 1, 1) = DATE(1900,1,0),DATE(1900,1,1),OFFSET('IWP18'!Std11dot4Hospitalization, 3, 1, 1, 1))</f>
        <v>1</v>
      </c>
      <c r="D3237" s="13">
        <f ca="1">OFFSET('IWP18'!Std11dot4Hospitalization, 3, 2, 1, 1)</f>
        <v>0</v>
      </c>
      <c r="E3237" s="155">
        <f ca="1">OFFSET('IWP18'!Std11dot4Hospitalization, 3, 3, 1, 1)</f>
        <v>0</v>
      </c>
      <c r="F3237" s="155">
        <f ca="1">OFFSET('IWP18'!Std11dot4Hospitalization, 3,5, 1, 1)</f>
        <v>0</v>
      </c>
      <c r="G3237" s="155">
        <f ca="1">OFFSET('IWP18'!Std11dot4Hospitalization, 3,7, 1, 1)</f>
        <v>0</v>
      </c>
      <c r="H3237" s="155">
        <f ca="1">IF(OFFSET('IWP18'!Std11dot4Hospitalization, 3,8, 1, 1)="",0,OFFSET('IWP18'!Std11dot4Hospitalization, 3,8, 1, 1))</f>
        <v>0</v>
      </c>
      <c r="I3237" s="157">
        <f ca="1">IF(OFFSET('IWP18'!Std11dot4Hospitalization, 3, 10, 1, 1) = DATE(1900,1,0),DATE(1900,1,1),OFFSET('IWP18'!Std11dot4Hospitalization, 3, 10, 1, 1))</f>
        <v>1</v>
      </c>
      <c r="J3237" s="158">
        <f ca="1">IF(OFFSET('IWP18'!Std11dot4Hospitalization, 3, 12, 1, 1) = DATE(1900,1,0),DATE(1900,1,1),OFFSET('IWP18'!Std11dot4Hospitalization, 3, 12, 1, 1))</f>
        <v>1</v>
      </c>
    </row>
    <row r="3238" spans="1:10">
      <c r="A3238" s="206" t="s">
        <v>1321</v>
      </c>
      <c r="B3238" s="157">
        <f ca="1">IF(OFFSET('IWP18'!Std11dot4Hospitalization, 4, 0, 1, 1) = DATE(1900,1,0),DATE(1900,1,1),OFFSET('IWP18'!Std11dot4Hospitalization, 4, 0, 1, 1))</f>
        <v>1</v>
      </c>
      <c r="C3238" s="157">
        <f ca="1">IF(OFFSET('IWP18'!Std11dot4Hospitalization, 4, 1, 1, 1) = DATE(1900,1,0),DATE(1900,1,1),OFFSET('IWP18'!Std11dot4Hospitalization, 4, 1, 1, 1))</f>
        <v>1</v>
      </c>
      <c r="D3238" s="13">
        <f ca="1">OFFSET('IWP18'!Std11dot4Hospitalization, 4, 2, 1, 1)</f>
        <v>0</v>
      </c>
      <c r="E3238" s="155">
        <f ca="1">OFFSET('IWP18'!Std11dot4Hospitalization, 4, 3, 1, 1)</f>
        <v>0</v>
      </c>
      <c r="F3238" s="155">
        <f ca="1">OFFSET('IWP18'!Std11dot4Hospitalization, 4,5, 1, 1)</f>
        <v>0</v>
      </c>
      <c r="G3238" s="155">
        <f ca="1">OFFSET('IWP18'!Std11dot4Hospitalization, 4,7, 1, 1)</f>
        <v>0</v>
      </c>
      <c r="H3238" s="155">
        <f ca="1">IF(OFFSET('IWP18'!Std11dot4Hospitalization, 4,8, 1, 1)="",0,OFFSET('IWP18'!Std11dot4Hospitalization, 4,8, 1, 1))</f>
        <v>0</v>
      </c>
      <c r="I3238" s="157">
        <f ca="1">IF(OFFSET('IWP18'!Std11dot4Hospitalization, 4, 10, 1, 1) = DATE(1900,1,0),DATE(1900,1,1),OFFSET('IWP18'!Std11dot4Hospitalization, 4, 10, 1, 1))</f>
        <v>1</v>
      </c>
      <c r="J3238" s="158">
        <f ca="1">IF(OFFSET('IWP18'!Std11dot4Hospitalization, 4, 12, 1, 1) = DATE(1900,1,0),DATE(1900,1,1),OFFSET('IWP18'!Std11dot4Hospitalization, 4, 12, 1, 1))</f>
        <v>1</v>
      </c>
    </row>
    <row r="3239" spans="1:10">
      <c r="A3239" s="206" t="s">
        <v>1321</v>
      </c>
      <c r="B3239" s="157">
        <f ca="1">IF(OFFSET('IWP18'!Std11dot4Hospitalization, 5, 0, 1, 1) = DATE(1900,1,0),DATE(1900,1,1),OFFSET('IWP18'!Std11dot4Hospitalization, 5, 0, 1, 1))</f>
        <v>1</v>
      </c>
      <c r="C3239" s="157">
        <f ca="1">IF(OFFSET('IWP18'!Std11dot4Hospitalization, 5, 1, 1, 1) = DATE(1900,1,0),DATE(1900,1,1),OFFSET('IWP18'!Std11dot4Hospitalization, 5, 1, 1, 1))</f>
        <v>1</v>
      </c>
      <c r="D3239" s="13">
        <f ca="1">OFFSET('IWP18'!Std11dot4Hospitalization, 5, 2, 1, 1)</f>
        <v>0</v>
      </c>
      <c r="E3239" s="155">
        <f ca="1">OFFSET('IWP18'!Std11dot4Hospitalization, 5, 3, 1, 1)</f>
        <v>0</v>
      </c>
      <c r="F3239" s="155">
        <f ca="1">OFFSET('IWP18'!Std11dot4Hospitalization, 5,5, 1, 1)</f>
        <v>0</v>
      </c>
      <c r="G3239" s="155">
        <f ca="1">OFFSET('IWP18'!Std11dot4Hospitalization, 5,7, 1, 1)</f>
        <v>0</v>
      </c>
      <c r="H3239" s="155">
        <f ca="1">IF(OFFSET('IWP18'!Std11dot4Hospitalization, 5,8, 1, 1)="",0,OFFSET('IWP18'!Std11dot4Hospitalization, 5,8, 1, 1))</f>
        <v>0</v>
      </c>
      <c r="I3239" s="157">
        <f ca="1">IF(OFFSET('IWP18'!Std11dot4Hospitalization, 5, 10, 1, 1) = DATE(1900,1,0),DATE(1900,1,1),OFFSET('IWP18'!Std11dot4Hospitalization, 5, 10, 1, 1))</f>
        <v>1</v>
      </c>
      <c r="J3239" s="158">
        <f ca="1">IF(OFFSET('IWP18'!Std11dot4Hospitalization, 5, 12, 1, 1) = DATE(1900,1,0),DATE(1900,1,1),OFFSET('IWP18'!Std11dot4Hospitalization, 5, 12, 1, 1))</f>
        <v>1</v>
      </c>
    </row>
    <row r="3240" spans="1:10">
      <c r="A3240" s="206" t="s">
        <v>1322</v>
      </c>
      <c r="B3240" s="157">
        <f ca="1">IF(OFFSET('IWP19'!Std11dot4Hospitalization, 0, 0, 1, 1) = DATE(1900,1,0),DATE(1900,1,1),OFFSET('IWP19'!Std11dot4Hospitalization, 0, 0, 1, 1))</f>
        <v>1</v>
      </c>
      <c r="C3240" s="157">
        <f ca="1">IF(OFFSET('IWP19'!Std11dot4Hospitalization, 0, 1, 1, 1) = DATE(1900,1,0),DATE(1900,1,1),OFFSET('IWP19'!Std11dot4Hospitalization, 0, 1, 1, 1))</f>
        <v>1</v>
      </c>
      <c r="D3240" s="13">
        <f ca="1">OFFSET('IWP19'!Std11dot4Hospitalization, 0, 2, 1, 1)</f>
        <v>0</v>
      </c>
      <c r="E3240" s="155">
        <f ca="1">OFFSET('IWP19'!Std11dot4Hospitalization, 0, 3, 1, 1)</f>
        <v>0</v>
      </c>
      <c r="F3240" s="155">
        <f ca="1">OFFSET('IWP19'!Std11dot4Hospitalization, 0,5, 1, 1)</f>
        <v>0</v>
      </c>
      <c r="G3240" s="155">
        <f ca="1">OFFSET('IWP19'!Std11dot4Hospitalization, 0,7, 1, 1)</f>
        <v>0</v>
      </c>
      <c r="H3240" s="155">
        <f ca="1">IF(OFFSET('IWP19'!Std11dot4Hospitalization, 0,8, 1, 1)="",0,OFFSET('IWP19'!Std11dot4Hospitalization, 0,8, 1, 1))</f>
        <v>0</v>
      </c>
      <c r="I3240" s="157">
        <f ca="1">IF(OFFSET('IWP19'!Std11dot4Hospitalization, 0, 10, 1, 1) = DATE(1900,1,0),DATE(1900,1,1),OFFSET('IWP19'!Std11dot4Hospitalization, 0, 10, 1, 1))</f>
        <v>1</v>
      </c>
      <c r="J3240" s="158">
        <f ca="1">IF(OFFSET('IWP19'!Std11dot4Hospitalization, 0, 12, 1, 1) = DATE(1900,1,0),DATE(1900,1,1),OFFSET('IWP19'!Std11dot4Hospitalization, 0, 12, 1, 1))</f>
        <v>1</v>
      </c>
    </row>
    <row r="3241" spans="1:10">
      <c r="A3241" s="206" t="s">
        <v>1322</v>
      </c>
      <c r="B3241" s="157">
        <f ca="1">IF(OFFSET('IWP19'!Std11dot4Hospitalization, 1, 0, 1, 1) = DATE(1900,1,0),DATE(1900,1,1),OFFSET('IWP19'!Std11dot4Hospitalization, 1, 0, 1, 1))</f>
        <v>1</v>
      </c>
      <c r="C3241" s="157">
        <f ca="1">IF(OFFSET('IWP19'!Std11dot4Hospitalization, 1, 1, 1, 1) = DATE(1900,1,0),DATE(1900,1,1),OFFSET('IWP19'!Std11dot4Hospitalization, 1, 1, 1, 1))</f>
        <v>1</v>
      </c>
      <c r="D3241" s="13">
        <f ca="1">OFFSET('IWP19'!Std11dot4Hospitalization, 1, 2, 1, 1)</f>
        <v>0</v>
      </c>
      <c r="E3241" s="155">
        <f ca="1">OFFSET('IWP19'!Std11dot4Hospitalization, 1, 3, 1, 1)</f>
        <v>0</v>
      </c>
      <c r="F3241" s="155">
        <f ca="1">OFFSET('IWP19'!Std11dot4Hospitalization, 1,5, 1, 1)</f>
        <v>0</v>
      </c>
      <c r="G3241" s="155">
        <f ca="1">OFFSET('IWP19'!Std11dot4Hospitalization, 1,7, 1, 1)</f>
        <v>0</v>
      </c>
      <c r="H3241" s="155">
        <f ca="1">IF(OFFSET('IWP19'!Std11dot4Hospitalization, 1,8, 1, 1)="",0,OFFSET('IWP19'!Std11dot4Hospitalization, 1,8, 1, 1))</f>
        <v>0</v>
      </c>
      <c r="I3241" s="157">
        <f ca="1">IF(OFFSET('IWP19'!Std11dot4Hospitalization, 1, 10, 1, 1) = DATE(1900,1,0),DATE(1900,1,1),OFFSET('IWP19'!Std11dot4Hospitalization, 1, 10, 1, 1))</f>
        <v>1</v>
      </c>
      <c r="J3241" s="158">
        <f ca="1">IF(OFFSET('IWP19'!Std11dot4Hospitalization, 1, 12, 1, 1) = DATE(1900,1,0),DATE(1900,1,1),OFFSET('IWP19'!Std11dot4Hospitalization, 1, 12, 1, 1))</f>
        <v>1</v>
      </c>
    </row>
    <row r="3242" spans="1:10">
      <c r="A3242" s="206" t="s">
        <v>1322</v>
      </c>
      <c r="B3242" s="157">
        <f ca="1">IF(OFFSET('IWP19'!Std11dot4Hospitalization, 2, 0, 1, 1) = DATE(1900,1,0),DATE(1900,1,1),OFFSET('IWP19'!Std11dot4Hospitalization, 2, 0, 1, 1))</f>
        <v>1</v>
      </c>
      <c r="C3242" s="157">
        <f ca="1">IF(OFFSET('IWP19'!Std11dot4Hospitalization, 2, 1, 1, 1) = DATE(1900,1,0),DATE(1900,1,1),OFFSET('IWP19'!Std11dot4Hospitalization, 2, 1, 1, 1))</f>
        <v>1</v>
      </c>
      <c r="D3242" s="13">
        <f ca="1">OFFSET('IWP19'!Std11dot4Hospitalization, 2, 2, 1, 1)</f>
        <v>0</v>
      </c>
      <c r="E3242" s="155">
        <f ca="1">OFFSET('IWP19'!Std11dot4Hospitalization, 2, 3, 1, 1)</f>
        <v>0</v>
      </c>
      <c r="F3242" s="155">
        <f ca="1">OFFSET('IWP19'!Std11dot4Hospitalization, 2,5, 1, 1)</f>
        <v>0</v>
      </c>
      <c r="G3242" s="155">
        <f ca="1">OFFSET('IWP19'!Std11dot4Hospitalization, 2,7, 1, 1)</f>
        <v>0</v>
      </c>
      <c r="H3242" s="155">
        <f ca="1">IF(OFFSET('IWP19'!Std11dot4Hospitalization, 2,8, 1, 1)="",0,OFFSET('IWP19'!Std11dot4Hospitalization, 2,8, 1, 1))</f>
        <v>0</v>
      </c>
      <c r="I3242" s="157">
        <f ca="1">IF(OFFSET('IWP19'!Std11dot4Hospitalization, 2, 10, 1, 1) = DATE(1900,1,0),DATE(1900,1,1),OFFSET('IWP19'!Std11dot4Hospitalization, 2, 10, 1, 1))</f>
        <v>1</v>
      </c>
      <c r="J3242" s="158">
        <f ca="1">IF(OFFSET('IWP19'!Std11dot4Hospitalization, 2, 12, 1, 1) = DATE(1900,1,0),DATE(1900,1,1),OFFSET('IWP19'!Std11dot4Hospitalization, 2, 12, 1, 1))</f>
        <v>1</v>
      </c>
    </row>
    <row r="3243" spans="1:10">
      <c r="A3243" s="206" t="s">
        <v>1322</v>
      </c>
      <c r="B3243" s="157">
        <f ca="1">IF(OFFSET('IWP19'!Std11dot4Hospitalization, 3, 0, 1, 1) = DATE(1900,1,0),DATE(1900,1,1),OFFSET('IWP19'!Std11dot4Hospitalization, 3, 0, 1, 1))</f>
        <v>1</v>
      </c>
      <c r="C3243" s="157">
        <f ca="1">IF(OFFSET('IWP19'!Std11dot4Hospitalization, 3, 1, 1, 1) = DATE(1900,1,0),DATE(1900,1,1),OFFSET('IWP19'!Std11dot4Hospitalization, 3, 1, 1, 1))</f>
        <v>1</v>
      </c>
      <c r="D3243" s="13">
        <f ca="1">OFFSET('IWP19'!Std11dot4Hospitalization, 3, 2, 1, 1)</f>
        <v>0</v>
      </c>
      <c r="E3243" s="155">
        <f ca="1">OFFSET('IWP19'!Std11dot4Hospitalization, 3, 3, 1, 1)</f>
        <v>0</v>
      </c>
      <c r="F3243" s="155">
        <f ca="1">OFFSET('IWP19'!Std11dot4Hospitalization, 3,5, 1, 1)</f>
        <v>0</v>
      </c>
      <c r="G3243" s="155">
        <f ca="1">OFFSET('IWP19'!Std11dot4Hospitalization, 3,7, 1, 1)</f>
        <v>0</v>
      </c>
      <c r="H3243" s="155">
        <f ca="1">IF(OFFSET('IWP19'!Std11dot4Hospitalization, 3,8, 1, 1)="",0,OFFSET('IWP19'!Std11dot4Hospitalization, 3,8, 1, 1))</f>
        <v>0</v>
      </c>
      <c r="I3243" s="157">
        <f ca="1">IF(OFFSET('IWP19'!Std11dot4Hospitalization, 3, 10, 1, 1) = DATE(1900,1,0),DATE(1900,1,1),OFFSET('IWP19'!Std11dot4Hospitalization, 3, 10, 1, 1))</f>
        <v>1</v>
      </c>
      <c r="J3243" s="158">
        <f ca="1">IF(OFFSET('IWP19'!Std11dot4Hospitalization, 3, 12, 1, 1) = DATE(1900,1,0),DATE(1900,1,1),OFFSET('IWP19'!Std11dot4Hospitalization, 3, 12, 1, 1))</f>
        <v>1</v>
      </c>
    </row>
    <row r="3244" spans="1:10">
      <c r="A3244" s="206" t="s">
        <v>1322</v>
      </c>
      <c r="B3244" s="157">
        <f ca="1">IF(OFFSET('IWP19'!Std11dot4Hospitalization, 4, 0, 1, 1) = DATE(1900,1,0),DATE(1900,1,1),OFFSET('IWP19'!Std11dot4Hospitalization, 4, 0, 1, 1))</f>
        <v>1</v>
      </c>
      <c r="C3244" s="157">
        <f ca="1">IF(OFFSET('IWP19'!Std11dot4Hospitalization, 4, 1, 1, 1) = DATE(1900,1,0),DATE(1900,1,1),OFFSET('IWP19'!Std11dot4Hospitalization, 4, 1, 1, 1))</f>
        <v>1</v>
      </c>
      <c r="D3244" s="13">
        <f ca="1">OFFSET('IWP19'!Std11dot4Hospitalization, 4, 2, 1, 1)</f>
        <v>0</v>
      </c>
      <c r="E3244" s="155">
        <f ca="1">OFFSET('IWP19'!Std11dot4Hospitalization, 4, 3, 1, 1)</f>
        <v>0</v>
      </c>
      <c r="F3244" s="155">
        <f ca="1">OFFSET('IWP19'!Std11dot4Hospitalization, 4,5, 1, 1)</f>
        <v>0</v>
      </c>
      <c r="G3244" s="155">
        <f ca="1">OFFSET('IWP19'!Std11dot4Hospitalization, 4,7, 1, 1)</f>
        <v>0</v>
      </c>
      <c r="H3244" s="155">
        <f ca="1">IF(OFFSET('IWP19'!Std11dot4Hospitalization, 4,8, 1, 1)="",0,OFFSET('IWP19'!Std11dot4Hospitalization, 4,8, 1, 1))</f>
        <v>0</v>
      </c>
      <c r="I3244" s="157">
        <f ca="1">IF(OFFSET('IWP19'!Std11dot4Hospitalization, 4, 10, 1, 1) = DATE(1900,1,0),DATE(1900,1,1),OFFSET('IWP19'!Std11dot4Hospitalization, 4, 10, 1, 1))</f>
        <v>1</v>
      </c>
      <c r="J3244" s="158">
        <f ca="1">IF(OFFSET('IWP19'!Std11dot4Hospitalization, 4, 12, 1, 1) = DATE(1900,1,0),DATE(1900,1,1),OFFSET('IWP19'!Std11dot4Hospitalization, 4, 12, 1, 1))</f>
        <v>1</v>
      </c>
    </row>
    <row r="3245" spans="1:10">
      <c r="A3245" s="206" t="s">
        <v>1322</v>
      </c>
      <c r="B3245" s="157">
        <f ca="1">IF(OFFSET('IWP19'!Std11dot4Hospitalization, 5, 0, 1, 1) = DATE(1900,1,0),DATE(1900,1,1),OFFSET('IWP19'!Std11dot4Hospitalization, 5, 0, 1, 1))</f>
        <v>1</v>
      </c>
      <c r="C3245" s="157">
        <f ca="1">IF(OFFSET('IWP19'!Std11dot4Hospitalization, 5, 1, 1, 1) = DATE(1900,1,0),DATE(1900,1,1),OFFSET('IWP19'!Std11dot4Hospitalization, 5, 1, 1, 1))</f>
        <v>1</v>
      </c>
      <c r="D3245" s="13">
        <f ca="1">OFFSET('IWP19'!Std11dot4Hospitalization, 5, 2, 1, 1)</f>
        <v>0</v>
      </c>
      <c r="E3245" s="155">
        <f ca="1">OFFSET('IWP19'!Std11dot4Hospitalization, 5, 3, 1, 1)</f>
        <v>0</v>
      </c>
      <c r="F3245" s="155">
        <f ca="1">OFFSET('IWP19'!Std11dot4Hospitalization, 5,5, 1, 1)</f>
        <v>0</v>
      </c>
      <c r="G3245" s="155">
        <f ca="1">OFFSET('IWP19'!Std11dot4Hospitalization, 5,7, 1, 1)</f>
        <v>0</v>
      </c>
      <c r="H3245" s="155">
        <f ca="1">IF(OFFSET('IWP19'!Std11dot4Hospitalization, 5,8, 1, 1)="",0,OFFSET('IWP19'!Std11dot4Hospitalization, 5,8, 1, 1))</f>
        <v>0</v>
      </c>
      <c r="I3245" s="157">
        <f ca="1">IF(OFFSET('IWP19'!Std11dot4Hospitalization, 5, 10, 1, 1) = DATE(1900,1,0),DATE(1900,1,1),OFFSET('IWP19'!Std11dot4Hospitalization, 5, 10, 1, 1))</f>
        <v>1</v>
      </c>
      <c r="J3245" s="158">
        <f ca="1">IF(OFFSET('IWP19'!Std11dot4Hospitalization, 5, 12, 1, 1) = DATE(1900,1,0),DATE(1900,1,1),OFFSET('IWP19'!Std11dot4Hospitalization, 5, 12, 1, 1))</f>
        <v>1</v>
      </c>
    </row>
    <row r="3246" spans="1:10">
      <c r="A3246" s="206" t="s">
        <v>1323</v>
      </c>
      <c r="B3246" s="157">
        <f ca="1">IF(OFFSET('IWP20'!Std11dot4Hospitalization, 0, 0, 1, 1) = DATE(1900,1,0),DATE(1900,1,1),OFFSET('IWP20'!Std11dot4Hospitalization, 0, 0, 1, 1))</f>
        <v>1</v>
      </c>
      <c r="C3246" s="157">
        <f ca="1">IF(OFFSET('IWP20'!Std11dot4Hospitalization, 0, 1, 1, 1) = DATE(1900,1,0),DATE(1900,1,1),OFFSET('IWP20'!Std11dot4Hospitalization, 0, 1, 1, 1))</f>
        <v>1</v>
      </c>
      <c r="D3246" s="13">
        <f ca="1">OFFSET('IWP20'!Std11dot4Hospitalization, 0, 2, 1, 1)</f>
        <v>0</v>
      </c>
      <c r="E3246" s="155">
        <f ca="1">OFFSET('IWP20'!Std11dot4Hospitalization, 0, 3, 1, 1)</f>
        <v>0</v>
      </c>
      <c r="F3246" s="155">
        <f ca="1">OFFSET('IWP20'!Std11dot4Hospitalization, 0,5, 1, 1)</f>
        <v>0</v>
      </c>
      <c r="G3246" s="155">
        <f ca="1">OFFSET('IWP20'!Std11dot4Hospitalization, 0,7, 1, 1)</f>
        <v>0</v>
      </c>
      <c r="H3246" s="155">
        <f ca="1">IF(OFFSET('IWP20'!Std11dot4Hospitalization, 0,8, 1, 1)="",0,OFFSET('IWP20'!Std11dot4Hospitalization, 0,8, 1, 1))</f>
        <v>0</v>
      </c>
      <c r="I3246" s="157">
        <f ca="1">IF(OFFSET('IWP20'!Std11dot4Hospitalization, 0, 10, 1, 1) = DATE(1900,1,0),DATE(1900,1,1),OFFSET('IWP20'!Std11dot4Hospitalization, 0, 10, 1, 1))</f>
        <v>1</v>
      </c>
      <c r="J3246" s="158">
        <f ca="1">IF(OFFSET('IWP20'!Std11dot4Hospitalization, 0, 12, 1, 1) = DATE(1900,1,0),DATE(1900,1,1),OFFSET('IWP20'!Std11dot4Hospitalization, 0, 12, 1, 1))</f>
        <v>1</v>
      </c>
    </row>
    <row r="3247" spans="1:10">
      <c r="A3247" s="206" t="s">
        <v>1323</v>
      </c>
      <c r="B3247" s="157">
        <f ca="1">IF(OFFSET('IWP20'!Std11dot4Hospitalization, 1, 0, 1, 1) = DATE(1900,1,0),DATE(1900,1,1),OFFSET('IWP20'!Std11dot4Hospitalization, 1, 0, 1, 1))</f>
        <v>1</v>
      </c>
      <c r="C3247" s="157">
        <f ca="1">IF(OFFSET('IWP20'!Std11dot4Hospitalization, 1, 1, 1, 1) = DATE(1900,1,0),DATE(1900,1,1),OFFSET('IWP20'!Std11dot4Hospitalization, 1, 1, 1, 1))</f>
        <v>1</v>
      </c>
      <c r="D3247" s="13">
        <f ca="1">OFFSET('IWP20'!Std11dot4Hospitalization, 1, 2, 1, 1)</f>
        <v>0</v>
      </c>
      <c r="E3247" s="155">
        <f ca="1">OFFSET('IWP20'!Std11dot4Hospitalization, 1, 3, 1, 1)</f>
        <v>0</v>
      </c>
      <c r="F3247" s="155">
        <f ca="1">OFFSET('IWP20'!Std11dot4Hospitalization, 1,5, 1, 1)</f>
        <v>0</v>
      </c>
      <c r="G3247" s="155">
        <f ca="1">OFFSET('IWP20'!Std11dot4Hospitalization, 1,7, 1, 1)</f>
        <v>0</v>
      </c>
      <c r="H3247" s="155">
        <f ca="1">IF(OFFSET('IWP20'!Std11dot4Hospitalization, 1,8, 1, 1)="",0,OFFSET('IWP20'!Std11dot4Hospitalization, 1,8, 1, 1))</f>
        <v>0</v>
      </c>
      <c r="I3247" s="157">
        <f ca="1">IF(OFFSET('IWP20'!Std11dot4Hospitalization, 1, 10, 1, 1) = DATE(1900,1,0),DATE(1900,1,1),OFFSET('IWP20'!Std11dot4Hospitalization, 1, 10, 1, 1))</f>
        <v>1</v>
      </c>
      <c r="J3247" s="158">
        <f ca="1">IF(OFFSET('IWP20'!Std11dot4Hospitalization, 1, 12, 1, 1) = DATE(1900,1,0),DATE(1900,1,1),OFFSET('IWP20'!Std11dot4Hospitalization, 1, 12, 1, 1))</f>
        <v>1</v>
      </c>
    </row>
    <row r="3248" spans="1:10">
      <c r="A3248" s="206" t="s">
        <v>1323</v>
      </c>
      <c r="B3248" s="157">
        <f ca="1">IF(OFFSET('IWP20'!Std11dot4Hospitalization, 2, 0, 1, 1) = DATE(1900,1,0),DATE(1900,1,1),OFFSET('IWP20'!Std11dot4Hospitalization, 2, 0, 1, 1))</f>
        <v>1</v>
      </c>
      <c r="C3248" s="157">
        <f ca="1">IF(OFFSET('IWP20'!Std11dot4Hospitalization, 2, 1, 1, 1) = DATE(1900,1,0),DATE(1900,1,1),OFFSET('IWP20'!Std11dot4Hospitalization, 2, 1, 1, 1))</f>
        <v>1</v>
      </c>
      <c r="D3248" s="13">
        <f ca="1">OFFSET('IWP20'!Std11dot4Hospitalization, 2, 2, 1, 1)</f>
        <v>0</v>
      </c>
      <c r="E3248" s="155">
        <f ca="1">OFFSET('IWP20'!Std11dot4Hospitalization, 2, 3, 1, 1)</f>
        <v>0</v>
      </c>
      <c r="F3248" s="155">
        <f ca="1">OFFSET('IWP20'!Std11dot4Hospitalization, 2,5, 1, 1)</f>
        <v>0</v>
      </c>
      <c r="G3248" s="155">
        <f ca="1">OFFSET('IWP20'!Std11dot4Hospitalization, 2,7, 1, 1)</f>
        <v>0</v>
      </c>
      <c r="H3248" s="155">
        <f ca="1">IF(OFFSET('IWP20'!Std11dot4Hospitalization, 2,8, 1, 1)="",0,OFFSET('IWP20'!Std11dot4Hospitalization, 2,8, 1, 1))</f>
        <v>0</v>
      </c>
      <c r="I3248" s="157">
        <f ca="1">IF(OFFSET('IWP20'!Std11dot4Hospitalization, 2, 10, 1, 1) = DATE(1900,1,0),DATE(1900,1,1),OFFSET('IWP20'!Std11dot4Hospitalization, 2, 10, 1, 1))</f>
        <v>1</v>
      </c>
      <c r="J3248" s="158">
        <f ca="1">IF(OFFSET('IWP20'!Std11dot4Hospitalization, 2, 12, 1, 1) = DATE(1900,1,0),DATE(1900,1,1),OFFSET('IWP20'!Std11dot4Hospitalization, 2, 12, 1, 1))</f>
        <v>1</v>
      </c>
    </row>
    <row r="3249" spans="1:10">
      <c r="A3249" s="206" t="s">
        <v>1323</v>
      </c>
      <c r="B3249" s="157">
        <f ca="1">IF(OFFSET('IWP20'!Std11dot4Hospitalization, 3, 0, 1, 1) = DATE(1900,1,0),DATE(1900,1,1),OFFSET('IWP20'!Std11dot4Hospitalization, 3, 0, 1, 1))</f>
        <v>1</v>
      </c>
      <c r="C3249" s="157">
        <f ca="1">IF(OFFSET('IWP20'!Std11dot4Hospitalization, 3, 1, 1, 1) = DATE(1900,1,0),DATE(1900,1,1),OFFSET('IWP20'!Std11dot4Hospitalization, 3, 1, 1, 1))</f>
        <v>1</v>
      </c>
      <c r="D3249" s="13">
        <f ca="1">OFFSET('IWP20'!Std11dot4Hospitalization, 3, 2, 1, 1)</f>
        <v>0</v>
      </c>
      <c r="E3249" s="155">
        <f ca="1">OFFSET('IWP20'!Std11dot4Hospitalization, 3, 3, 1, 1)</f>
        <v>0</v>
      </c>
      <c r="F3249" s="155">
        <f ca="1">OFFSET('IWP20'!Std11dot4Hospitalization, 3,5, 1, 1)</f>
        <v>0</v>
      </c>
      <c r="G3249" s="155">
        <f ca="1">OFFSET('IWP20'!Std11dot4Hospitalization, 3,7, 1, 1)</f>
        <v>0</v>
      </c>
      <c r="H3249" s="155">
        <f ca="1">IF(OFFSET('IWP20'!Std11dot4Hospitalization, 3,8, 1, 1)="",0,OFFSET('IWP20'!Std11dot4Hospitalization, 3,8, 1, 1))</f>
        <v>0</v>
      </c>
      <c r="I3249" s="157">
        <f ca="1">IF(OFFSET('IWP20'!Std11dot4Hospitalization, 3, 10, 1, 1) = DATE(1900,1,0),DATE(1900,1,1),OFFSET('IWP20'!Std11dot4Hospitalization, 3, 10, 1, 1))</f>
        <v>1</v>
      </c>
      <c r="J3249" s="158">
        <f ca="1">IF(OFFSET('IWP20'!Std11dot4Hospitalization, 3, 12, 1, 1) = DATE(1900,1,0),DATE(1900,1,1),OFFSET('IWP20'!Std11dot4Hospitalization, 3, 12, 1, 1))</f>
        <v>1</v>
      </c>
    </row>
    <row r="3250" spans="1:10">
      <c r="A3250" s="206" t="s">
        <v>1323</v>
      </c>
      <c r="B3250" s="157">
        <f ca="1">IF(OFFSET('IWP20'!Std11dot4Hospitalization, 4, 0, 1, 1) = DATE(1900,1,0),DATE(1900,1,1),OFFSET('IWP20'!Std11dot4Hospitalization, 4, 0, 1, 1))</f>
        <v>1</v>
      </c>
      <c r="C3250" s="157">
        <f ca="1">IF(OFFSET('IWP20'!Std11dot4Hospitalization, 4, 1, 1, 1) = DATE(1900,1,0),DATE(1900,1,1),OFFSET('IWP20'!Std11dot4Hospitalization, 4, 1, 1, 1))</f>
        <v>1</v>
      </c>
      <c r="D3250" s="13">
        <f ca="1">OFFSET('IWP20'!Std11dot4Hospitalization, 4, 2, 1, 1)</f>
        <v>0</v>
      </c>
      <c r="E3250" s="155">
        <f ca="1">OFFSET('IWP20'!Std11dot4Hospitalization, 4, 3, 1, 1)</f>
        <v>0</v>
      </c>
      <c r="F3250" s="155">
        <f ca="1">OFFSET('IWP20'!Std11dot4Hospitalization, 4,5, 1, 1)</f>
        <v>0</v>
      </c>
      <c r="G3250" s="155">
        <f ca="1">OFFSET('IWP20'!Std11dot4Hospitalization, 4,7, 1, 1)</f>
        <v>0</v>
      </c>
      <c r="H3250" s="155">
        <f ca="1">IF(OFFSET('IWP20'!Std11dot4Hospitalization, 4,8, 1, 1)="",0,OFFSET('IWP20'!Std11dot4Hospitalization, 4,8, 1, 1))</f>
        <v>0</v>
      </c>
      <c r="I3250" s="157">
        <f ca="1">IF(OFFSET('IWP20'!Std11dot4Hospitalization, 4, 10, 1, 1) = DATE(1900,1,0),DATE(1900,1,1),OFFSET('IWP20'!Std11dot4Hospitalization, 4, 10, 1, 1))</f>
        <v>1</v>
      </c>
      <c r="J3250" s="158">
        <f ca="1">IF(OFFSET('IWP20'!Std11dot4Hospitalization, 4, 12, 1, 1) = DATE(1900,1,0),DATE(1900,1,1),OFFSET('IWP20'!Std11dot4Hospitalization, 4, 12, 1, 1))</f>
        <v>1</v>
      </c>
    </row>
    <row r="3251" spans="1:10">
      <c r="A3251" s="206" t="s">
        <v>1323</v>
      </c>
      <c r="B3251" s="157">
        <f ca="1">IF(OFFSET('IWP20'!Std11dot4Hospitalization, 5, 0, 1, 1) = DATE(1900,1,0),DATE(1900,1,1),OFFSET('IWP20'!Std11dot4Hospitalization, 5, 0, 1, 1))</f>
        <v>1</v>
      </c>
      <c r="C3251" s="157">
        <f ca="1">IF(OFFSET('IWP20'!Std11dot4Hospitalization, 5, 1, 1, 1) = DATE(1900,1,0),DATE(1900,1,1),OFFSET('IWP20'!Std11dot4Hospitalization, 5, 1, 1, 1))</f>
        <v>1</v>
      </c>
      <c r="D3251" s="13">
        <f ca="1">OFFSET('IWP20'!Std11dot4Hospitalization, 5, 2, 1, 1)</f>
        <v>0</v>
      </c>
      <c r="E3251" s="155">
        <f ca="1">OFFSET('IWP20'!Std11dot4Hospitalization, 5, 3, 1, 1)</f>
        <v>0</v>
      </c>
      <c r="F3251" s="155">
        <f ca="1">OFFSET('IWP20'!Std11dot4Hospitalization, 5,5, 1, 1)</f>
        <v>0</v>
      </c>
      <c r="G3251" s="155">
        <f ca="1">OFFSET('IWP20'!Std11dot4Hospitalization, 5,7, 1, 1)</f>
        <v>0</v>
      </c>
      <c r="H3251" s="155">
        <f ca="1">IF(OFFSET('IWP20'!Std11dot4Hospitalization, 5,8, 1, 1)="",0,OFFSET('IWP20'!Std11dot4Hospitalization, 5,8, 1, 1))</f>
        <v>0</v>
      </c>
      <c r="I3251" s="157">
        <f ca="1">IF(OFFSET('IWP20'!Std11dot4Hospitalization, 5, 10, 1, 1) = DATE(1900,1,0),DATE(1900,1,1),OFFSET('IWP20'!Std11dot4Hospitalization, 5, 10, 1, 1))</f>
        <v>1</v>
      </c>
      <c r="J3251" s="158">
        <f ca="1">IF(OFFSET('IWP20'!Std11dot4Hospitalization, 5, 12, 1, 1) = DATE(1900,1,0),DATE(1900,1,1),OFFSET('IWP20'!Std11dot4Hospitalization, 5, 12, 1, 1))</f>
        <v>1</v>
      </c>
    </row>
    <row r="3252" spans="1:10">
      <c r="A3252" s="206" t="s">
        <v>1324</v>
      </c>
      <c r="B3252" s="157">
        <f ca="1">IF(OFFSET('IWP21'!Std11dot4Hospitalization, 0, 0, 1, 1) = DATE(1900,1,0),DATE(1900,1,1),OFFSET('IWP21'!Std11dot4Hospitalization, 0, 0, 1, 1))</f>
        <v>1</v>
      </c>
      <c r="C3252" s="157">
        <f ca="1">IF(OFFSET('IWP21'!Std11dot4Hospitalization, 0, 1, 1, 1) = DATE(1900,1,0),DATE(1900,1,1),OFFSET('IWP21'!Std11dot4Hospitalization, 0, 1, 1, 1))</f>
        <v>1</v>
      </c>
      <c r="D3252" s="13">
        <f ca="1">OFFSET('IWP21'!Std11dot4Hospitalization, 0, 2, 1, 1)</f>
        <v>0</v>
      </c>
      <c r="E3252" s="155">
        <f ca="1">OFFSET('IWP21'!Std11dot4Hospitalization, 0, 3, 1, 1)</f>
        <v>0</v>
      </c>
      <c r="F3252" s="155">
        <f ca="1">OFFSET('IWP21'!Std11dot4Hospitalization, 0,5, 1, 1)</f>
        <v>0</v>
      </c>
      <c r="G3252" s="155">
        <f ca="1">OFFSET('IWP21'!Std11dot4Hospitalization, 0,7, 1, 1)</f>
        <v>0</v>
      </c>
      <c r="H3252" s="155">
        <f ca="1">IF(OFFSET('IWP21'!Std11dot4Hospitalization, 0,8, 1, 1)="",0,OFFSET('IWP21'!Std11dot4Hospitalization, 0,8, 1, 1))</f>
        <v>0</v>
      </c>
      <c r="I3252" s="157">
        <f ca="1">IF(OFFSET('IWP21'!Std11dot4Hospitalization, 0, 10, 1, 1) = DATE(1900,1,0),DATE(1900,1,1),OFFSET('IWP21'!Std11dot4Hospitalization, 0, 10, 1, 1))</f>
        <v>1</v>
      </c>
      <c r="J3252" s="158">
        <f ca="1">IF(OFFSET('IWP21'!Std11dot4Hospitalization, 0, 12, 1, 1) = DATE(1900,1,0),DATE(1900,1,1),OFFSET('IWP21'!Std11dot4Hospitalization, 0, 12, 1, 1))</f>
        <v>1</v>
      </c>
    </row>
    <row r="3253" spans="1:10">
      <c r="A3253" s="206" t="s">
        <v>1324</v>
      </c>
      <c r="B3253" s="157">
        <f ca="1">IF(OFFSET('IWP21'!Std11dot4Hospitalization, 1, 0, 1, 1) = DATE(1900,1,0),DATE(1900,1,1),OFFSET('IWP21'!Std11dot4Hospitalization, 1, 0, 1, 1))</f>
        <v>1</v>
      </c>
      <c r="C3253" s="157">
        <f ca="1">IF(OFFSET('IWP21'!Std11dot4Hospitalization, 1, 1, 1, 1) = DATE(1900,1,0),DATE(1900,1,1),OFFSET('IWP21'!Std11dot4Hospitalization, 1, 1, 1, 1))</f>
        <v>1</v>
      </c>
      <c r="D3253" s="13">
        <f ca="1">OFFSET('IWP21'!Std11dot4Hospitalization, 1, 2, 1, 1)</f>
        <v>0</v>
      </c>
      <c r="E3253" s="155">
        <f ca="1">OFFSET('IWP21'!Std11dot4Hospitalization, 1, 3, 1, 1)</f>
        <v>0</v>
      </c>
      <c r="F3253" s="155">
        <f ca="1">OFFSET('IWP21'!Std11dot4Hospitalization, 1,5, 1, 1)</f>
        <v>0</v>
      </c>
      <c r="G3253" s="155">
        <f ca="1">OFFSET('IWP21'!Std11dot4Hospitalization, 1,7, 1, 1)</f>
        <v>0</v>
      </c>
      <c r="H3253" s="155">
        <f ca="1">IF(OFFSET('IWP21'!Std11dot4Hospitalization, 1,8, 1, 1)="",0,OFFSET('IWP21'!Std11dot4Hospitalization, 1,8, 1, 1))</f>
        <v>0</v>
      </c>
      <c r="I3253" s="157">
        <f ca="1">IF(OFFSET('IWP21'!Std11dot4Hospitalization, 1, 10, 1, 1) = DATE(1900,1,0),DATE(1900,1,1),OFFSET('IWP21'!Std11dot4Hospitalization, 1, 10, 1, 1))</f>
        <v>1</v>
      </c>
      <c r="J3253" s="158">
        <f ca="1">IF(OFFSET('IWP21'!Std11dot4Hospitalization, 1, 12, 1, 1) = DATE(1900,1,0),DATE(1900,1,1),OFFSET('IWP21'!Std11dot4Hospitalization, 1, 12, 1, 1))</f>
        <v>1</v>
      </c>
    </row>
    <row r="3254" spans="1:10">
      <c r="A3254" s="206" t="s">
        <v>1324</v>
      </c>
      <c r="B3254" s="157">
        <f ca="1">IF(OFFSET('IWP21'!Std11dot4Hospitalization, 2, 0, 1, 1) = DATE(1900,1,0),DATE(1900,1,1),OFFSET('IWP21'!Std11dot4Hospitalization, 2, 0, 1, 1))</f>
        <v>1</v>
      </c>
      <c r="C3254" s="157">
        <f ca="1">IF(OFFSET('IWP21'!Std11dot4Hospitalization, 2, 1, 1, 1) = DATE(1900,1,0),DATE(1900,1,1),OFFSET('IWP21'!Std11dot4Hospitalization, 2, 1, 1, 1))</f>
        <v>1</v>
      </c>
      <c r="D3254" s="13">
        <f ca="1">OFFSET('IWP21'!Std11dot4Hospitalization, 2, 2, 1, 1)</f>
        <v>0</v>
      </c>
      <c r="E3254" s="155">
        <f ca="1">OFFSET('IWP21'!Std11dot4Hospitalization, 2, 3, 1, 1)</f>
        <v>0</v>
      </c>
      <c r="F3254" s="155">
        <f ca="1">OFFSET('IWP21'!Std11dot4Hospitalization, 2,5, 1, 1)</f>
        <v>0</v>
      </c>
      <c r="G3254" s="155">
        <f ca="1">OFFSET('IWP21'!Std11dot4Hospitalization, 2,7, 1, 1)</f>
        <v>0</v>
      </c>
      <c r="H3254" s="155">
        <f ca="1">IF(OFFSET('IWP21'!Std11dot4Hospitalization, 2,8, 1, 1)="",0,OFFSET('IWP21'!Std11dot4Hospitalization, 2,8, 1, 1))</f>
        <v>0</v>
      </c>
      <c r="I3254" s="157">
        <f ca="1">IF(OFFSET('IWP21'!Std11dot4Hospitalization, 2, 10, 1, 1) = DATE(1900,1,0),DATE(1900,1,1),OFFSET('IWP21'!Std11dot4Hospitalization, 2, 10, 1, 1))</f>
        <v>1</v>
      </c>
      <c r="J3254" s="158">
        <f ca="1">IF(OFFSET('IWP21'!Std11dot4Hospitalization, 2, 12, 1, 1) = DATE(1900,1,0),DATE(1900,1,1),OFFSET('IWP21'!Std11dot4Hospitalization, 2, 12, 1, 1))</f>
        <v>1</v>
      </c>
    </row>
    <row r="3255" spans="1:10">
      <c r="A3255" s="206" t="s">
        <v>1324</v>
      </c>
      <c r="B3255" s="157">
        <f ca="1">IF(OFFSET('IWP21'!Std11dot4Hospitalization, 3, 0, 1, 1) = DATE(1900,1,0),DATE(1900,1,1),OFFSET('IWP21'!Std11dot4Hospitalization, 3, 0, 1, 1))</f>
        <v>1</v>
      </c>
      <c r="C3255" s="157">
        <f ca="1">IF(OFFSET('IWP21'!Std11dot4Hospitalization, 3, 1, 1, 1) = DATE(1900,1,0),DATE(1900,1,1),OFFSET('IWP21'!Std11dot4Hospitalization, 3, 1, 1, 1))</f>
        <v>1</v>
      </c>
      <c r="D3255" s="13">
        <f ca="1">OFFSET('IWP21'!Std11dot4Hospitalization, 3, 2, 1, 1)</f>
        <v>0</v>
      </c>
      <c r="E3255" s="155">
        <f ca="1">OFFSET('IWP21'!Std11dot4Hospitalization, 3, 3, 1, 1)</f>
        <v>0</v>
      </c>
      <c r="F3255" s="155">
        <f ca="1">OFFSET('IWP21'!Std11dot4Hospitalization, 3,5, 1, 1)</f>
        <v>0</v>
      </c>
      <c r="G3255" s="155">
        <f ca="1">OFFSET('IWP21'!Std11dot4Hospitalization, 3,7, 1, 1)</f>
        <v>0</v>
      </c>
      <c r="H3255" s="155">
        <f ca="1">IF(OFFSET('IWP21'!Std11dot4Hospitalization, 3,8, 1, 1)="",0,OFFSET('IWP21'!Std11dot4Hospitalization, 3,8, 1, 1))</f>
        <v>0</v>
      </c>
      <c r="I3255" s="157">
        <f ca="1">IF(OFFSET('IWP21'!Std11dot4Hospitalization, 3, 10, 1, 1) = DATE(1900,1,0),DATE(1900,1,1),OFFSET('IWP21'!Std11dot4Hospitalization, 3, 10, 1, 1))</f>
        <v>1</v>
      </c>
      <c r="J3255" s="158">
        <f ca="1">IF(OFFSET('IWP21'!Std11dot4Hospitalization, 3, 12, 1, 1) = DATE(1900,1,0),DATE(1900,1,1),OFFSET('IWP21'!Std11dot4Hospitalization, 3, 12, 1, 1))</f>
        <v>1</v>
      </c>
    </row>
    <row r="3256" spans="1:10">
      <c r="A3256" s="206" t="s">
        <v>1324</v>
      </c>
      <c r="B3256" s="157">
        <f ca="1">IF(OFFSET('IWP21'!Std11dot4Hospitalization, 4, 0, 1, 1) = DATE(1900,1,0),DATE(1900,1,1),OFFSET('IWP21'!Std11dot4Hospitalization, 4, 0, 1, 1))</f>
        <v>1</v>
      </c>
      <c r="C3256" s="157">
        <f ca="1">IF(OFFSET('IWP21'!Std11dot4Hospitalization, 4, 1, 1, 1) = DATE(1900,1,0),DATE(1900,1,1),OFFSET('IWP21'!Std11dot4Hospitalization, 4, 1, 1, 1))</f>
        <v>1</v>
      </c>
      <c r="D3256" s="13">
        <f ca="1">OFFSET('IWP21'!Std11dot4Hospitalization, 4, 2, 1, 1)</f>
        <v>0</v>
      </c>
      <c r="E3256" s="155">
        <f ca="1">OFFSET('IWP21'!Std11dot4Hospitalization, 4, 3, 1, 1)</f>
        <v>0</v>
      </c>
      <c r="F3256" s="155">
        <f ca="1">OFFSET('IWP21'!Std11dot4Hospitalization, 4,5, 1, 1)</f>
        <v>0</v>
      </c>
      <c r="G3256" s="155">
        <f ca="1">OFFSET('IWP21'!Std11dot4Hospitalization, 4,7, 1, 1)</f>
        <v>0</v>
      </c>
      <c r="H3256" s="155">
        <f ca="1">IF(OFFSET('IWP21'!Std11dot4Hospitalization, 4,8, 1, 1)="",0,OFFSET('IWP21'!Std11dot4Hospitalization, 4,8, 1, 1))</f>
        <v>0</v>
      </c>
      <c r="I3256" s="157">
        <f ca="1">IF(OFFSET('IWP21'!Std11dot4Hospitalization, 4, 10, 1, 1) = DATE(1900,1,0),DATE(1900,1,1),OFFSET('IWP21'!Std11dot4Hospitalization, 4, 10, 1, 1))</f>
        <v>1</v>
      </c>
      <c r="J3256" s="158">
        <f ca="1">IF(OFFSET('IWP21'!Std11dot4Hospitalization, 4, 12, 1, 1) = DATE(1900,1,0),DATE(1900,1,1),OFFSET('IWP21'!Std11dot4Hospitalization, 4, 12, 1, 1))</f>
        <v>1</v>
      </c>
    </row>
    <row r="3257" spans="1:10">
      <c r="A3257" s="206" t="s">
        <v>1324</v>
      </c>
      <c r="B3257" s="157">
        <f ca="1">IF(OFFSET('IWP21'!Std11dot4Hospitalization, 5, 0, 1, 1) = DATE(1900,1,0),DATE(1900,1,1),OFFSET('IWP21'!Std11dot4Hospitalization, 5, 0, 1, 1))</f>
        <v>1</v>
      </c>
      <c r="C3257" s="157">
        <f ca="1">IF(OFFSET('IWP21'!Std11dot4Hospitalization, 5, 1, 1, 1) = DATE(1900,1,0),DATE(1900,1,1),OFFSET('IWP21'!Std11dot4Hospitalization, 5, 1, 1, 1))</f>
        <v>1</v>
      </c>
      <c r="D3257" s="13">
        <f ca="1">OFFSET('IWP21'!Std11dot4Hospitalization, 5, 2, 1, 1)</f>
        <v>0</v>
      </c>
      <c r="E3257" s="155">
        <f ca="1">OFFSET('IWP21'!Std11dot4Hospitalization, 5, 3, 1, 1)</f>
        <v>0</v>
      </c>
      <c r="F3257" s="155">
        <f ca="1">OFFSET('IWP21'!Std11dot4Hospitalization, 5,5, 1, 1)</f>
        <v>0</v>
      </c>
      <c r="G3257" s="155">
        <f ca="1">OFFSET('IWP21'!Std11dot4Hospitalization, 5,7, 1, 1)</f>
        <v>0</v>
      </c>
      <c r="H3257" s="155">
        <f ca="1">IF(OFFSET('IWP21'!Std11dot4Hospitalization, 5,8, 1, 1)="",0,OFFSET('IWP21'!Std11dot4Hospitalization, 5,8, 1, 1))</f>
        <v>0</v>
      </c>
      <c r="I3257" s="157">
        <f ca="1">IF(OFFSET('IWP21'!Std11dot4Hospitalization, 5, 10, 1, 1) = DATE(1900,1,0),DATE(1900,1,1),OFFSET('IWP21'!Std11dot4Hospitalization, 5, 10, 1, 1))</f>
        <v>1</v>
      </c>
      <c r="J3257" s="158">
        <f ca="1">IF(OFFSET('IWP21'!Std11dot4Hospitalization, 5, 12, 1, 1) = DATE(1900,1,0),DATE(1900,1,1),OFFSET('IWP21'!Std11dot4Hospitalization, 5, 12, 1, 1))</f>
        <v>1</v>
      </c>
    </row>
    <row r="3258" spans="1:10">
      <c r="A3258" s="206" t="s">
        <v>1325</v>
      </c>
      <c r="B3258" s="157">
        <f ca="1">IF(OFFSET('IWP22'!Std11dot4Hospitalization, 0, 0, 1, 1) = DATE(1900,1,0),DATE(1900,1,1),OFFSET('IWP22'!Std11dot4Hospitalization, 0, 0, 1, 1))</f>
        <v>1</v>
      </c>
      <c r="C3258" s="157">
        <f ca="1">IF(OFFSET('IWP22'!Std11dot4Hospitalization, 0, 1, 1, 1) = DATE(1900,1,0),DATE(1900,1,1),OFFSET('IWP22'!Std11dot4Hospitalization, 0, 1, 1, 1))</f>
        <v>1</v>
      </c>
      <c r="D3258" s="13">
        <f ca="1">OFFSET('IWP22'!Std11dot4Hospitalization, 0, 2, 1, 1)</f>
        <v>0</v>
      </c>
      <c r="E3258" s="155">
        <f ca="1">OFFSET('IWP22'!Std11dot4Hospitalization, 0, 3, 1, 1)</f>
        <v>0</v>
      </c>
      <c r="F3258" s="155">
        <f ca="1">OFFSET('IWP22'!Std11dot4Hospitalization, 0,5, 1, 1)</f>
        <v>0</v>
      </c>
      <c r="G3258" s="155">
        <f ca="1">OFFSET('IWP22'!Std11dot4Hospitalization, 0,7, 1, 1)</f>
        <v>0</v>
      </c>
      <c r="H3258" s="155">
        <f ca="1">IF(OFFSET('IWP22'!Std11dot4Hospitalization, 0,8, 1, 1)="",0,OFFSET('IWP22'!Std11dot4Hospitalization, 0,8, 1, 1))</f>
        <v>0</v>
      </c>
      <c r="I3258" s="157">
        <f ca="1">IF(OFFSET('IWP22'!Std11dot4Hospitalization, 0, 10, 1, 1) = DATE(1900,1,0),DATE(1900,1,1),OFFSET('IWP22'!Std11dot4Hospitalization, 0, 10, 1, 1))</f>
        <v>1</v>
      </c>
      <c r="J3258" s="158">
        <f ca="1">IF(OFFSET('IWP22'!Std11dot4Hospitalization, 0, 12, 1, 1) = DATE(1900,1,0),DATE(1900,1,1),OFFSET('IWP22'!Std11dot4Hospitalization, 0, 12, 1, 1))</f>
        <v>1</v>
      </c>
    </row>
    <row r="3259" spans="1:10">
      <c r="A3259" s="206" t="s">
        <v>1325</v>
      </c>
      <c r="B3259" s="157">
        <f ca="1">IF(OFFSET('IWP22'!Std11dot4Hospitalization, 1, 0, 1, 1) = DATE(1900,1,0),DATE(1900,1,1),OFFSET('IWP22'!Std11dot4Hospitalization, 1, 0, 1, 1))</f>
        <v>1</v>
      </c>
      <c r="C3259" s="157">
        <f ca="1">IF(OFFSET('IWP22'!Std11dot4Hospitalization, 1, 1, 1, 1) = DATE(1900,1,0),DATE(1900,1,1),OFFSET('IWP22'!Std11dot4Hospitalization, 1, 1, 1, 1))</f>
        <v>1</v>
      </c>
      <c r="D3259" s="13">
        <f ca="1">OFFSET('IWP22'!Std11dot4Hospitalization, 1, 2, 1, 1)</f>
        <v>0</v>
      </c>
      <c r="E3259" s="155">
        <f ca="1">OFFSET('IWP22'!Std11dot4Hospitalization, 1, 3, 1, 1)</f>
        <v>0</v>
      </c>
      <c r="F3259" s="155">
        <f ca="1">OFFSET('IWP22'!Std11dot4Hospitalization, 1,5, 1, 1)</f>
        <v>0</v>
      </c>
      <c r="G3259" s="155">
        <f ca="1">OFFSET('IWP22'!Std11dot4Hospitalization, 1,7, 1, 1)</f>
        <v>0</v>
      </c>
      <c r="H3259" s="155">
        <f ca="1">IF(OFFSET('IWP22'!Std11dot4Hospitalization, 1,8, 1, 1)="",0,OFFSET('IWP22'!Std11dot4Hospitalization, 1,8, 1, 1))</f>
        <v>0</v>
      </c>
      <c r="I3259" s="157">
        <f ca="1">IF(OFFSET('IWP22'!Std11dot4Hospitalization, 1, 10, 1, 1) = DATE(1900,1,0),DATE(1900,1,1),OFFSET('IWP22'!Std11dot4Hospitalization, 1, 10, 1, 1))</f>
        <v>1</v>
      </c>
      <c r="J3259" s="158">
        <f ca="1">IF(OFFSET('IWP22'!Std11dot4Hospitalization, 1, 12, 1, 1) = DATE(1900,1,0),DATE(1900,1,1),OFFSET('IWP22'!Std11dot4Hospitalization, 1, 12, 1, 1))</f>
        <v>1</v>
      </c>
    </row>
    <row r="3260" spans="1:10">
      <c r="A3260" s="206" t="s">
        <v>1325</v>
      </c>
      <c r="B3260" s="157">
        <f ca="1">IF(OFFSET('IWP22'!Std11dot4Hospitalization, 2, 0, 1, 1) = DATE(1900,1,0),DATE(1900,1,1),OFFSET('IWP22'!Std11dot4Hospitalization, 2, 0, 1, 1))</f>
        <v>1</v>
      </c>
      <c r="C3260" s="157">
        <f ca="1">IF(OFFSET('IWP22'!Std11dot4Hospitalization, 2, 1, 1, 1) = DATE(1900,1,0),DATE(1900,1,1),OFFSET('IWP22'!Std11dot4Hospitalization, 2, 1, 1, 1))</f>
        <v>1</v>
      </c>
      <c r="D3260" s="13">
        <f ca="1">OFFSET('IWP22'!Std11dot4Hospitalization, 2, 2, 1, 1)</f>
        <v>0</v>
      </c>
      <c r="E3260" s="155">
        <f ca="1">OFFSET('IWP22'!Std11dot4Hospitalization, 2, 3, 1, 1)</f>
        <v>0</v>
      </c>
      <c r="F3260" s="155">
        <f ca="1">OFFSET('IWP22'!Std11dot4Hospitalization, 2,5, 1, 1)</f>
        <v>0</v>
      </c>
      <c r="G3260" s="155">
        <f ca="1">OFFSET('IWP22'!Std11dot4Hospitalization, 2,7, 1, 1)</f>
        <v>0</v>
      </c>
      <c r="H3260" s="155">
        <f ca="1">IF(OFFSET('IWP22'!Std11dot4Hospitalization, 2,8, 1, 1)="",0,OFFSET('IWP22'!Std11dot4Hospitalization, 2,8, 1, 1))</f>
        <v>0</v>
      </c>
      <c r="I3260" s="157">
        <f ca="1">IF(OFFSET('IWP22'!Std11dot4Hospitalization, 2, 10, 1, 1) = DATE(1900,1,0),DATE(1900,1,1),OFFSET('IWP22'!Std11dot4Hospitalization, 2, 10, 1, 1))</f>
        <v>1</v>
      </c>
      <c r="J3260" s="158">
        <f ca="1">IF(OFFSET('IWP22'!Std11dot4Hospitalization, 2, 12, 1, 1) = DATE(1900,1,0),DATE(1900,1,1),OFFSET('IWP22'!Std11dot4Hospitalization, 2, 12, 1, 1))</f>
        <v>1</v>
      </c>
    </row>
    <row r="3261" spans="1:10">
      <c r="A3261" s="206" t="s">
        <v>1325</v>
      </c>
      <c r="B3261" s="157">
        <f ca="1">IF(OFFSET('IWP22'!Std11dot4Hospitalization, 3, 0, 1, 1) = DATE(1900,1,0),DATE(1900,1,1),OFFSET('IWP22'!Std11dot4Hospitalization, 3, 0, 1, 1))</f>
        <v>1</v>
      </c>
      <c r="C3261" s="157">
        <f ca="1">IF(OFFSET('IWP22'!Std11dot4Hospitalization, 3, 1, 1, 1) = DATE(1900,1,0),DATE(1900,1,1),OFFSET('IWP22'!Std11dot4Hospitalization, 3, 1, 1, 1))</f>
        <v>1</v>
      </c>
      <c r="D3261" s="13">
        <f ca="1">OFFSET('IWP22'!Std11dot4Hospitalization, 3, 2, 1, 1)</f>
        <v>0</v>
      </c>
      <c r="E3261" s="155">
        <f ca="1">OFFSET('IWP22'!Std11dot4Hospitalization, 3, 3, 1, 1)</f>
        <v>0</v>
      </c>
      <c r="F3261" s="155">
        <f ca="1">OFFSET('IWP22'!Std11dot4Hospitalization, 3,5, 1, 1)</f>
        <v>0</v>
      </c>
      <c r="G3261" s="155">
        <f ca="1">OFFSET('IWP22'!Std11dot4Hospitalization, 3,7, 1, 1)</f>
        <v>0</v>
      </c>
      <c r="H3261" s="155">
        <f ca="1">IF(OFFSET('IWP22'!Std11dot4Hospitalization, 3,8, 1, 1)="",0,OFFSET('IWP22'!Std11dot4Hospitalization, 3,8, 1, 1))</f>
        <v>0</v>
      </c>
      <c r="I3261" s="157">
        <f ca="1">IF(OFFSET('IWP22'!Std11dot4Hospitalization, 3, 10, 1, 1) = DATE(1900,1,0),DATE(1900,1,1),OFFSET('IWP22'!Std11dot4Hospitalization, 3, 10, 1, 1))</f>
        <v>1</v>
      </c>
      <c r="J3261" s="158">
        <f ca="1">IF(OFFSET('IWP22'!Std11dot4Hospitalization, 3, 12, 1, 1) = DATE(1900,1,0),DATE(1900,1,1),OFFSET('IWP22'!Std11dot4Hospitalization, 3, 12, 1, 1))</f>
        <v>1</v>
      </c>
    </row>
    <row r="3262" spans="1:10">
      <c r="A3262" s="206" t="s">
        <v>1325</v>
      </c>
      <c r="B3262" s="157">
        <f ca="1">IF(OFFSET('IWP22'!Std11dot4Hospitalization, 4, 0, 1, 1) = DATE(1900,1,0),DATE(1900,1,1),OFFSET('IWP22'!Std11dot4Hospitalization, 4, 0, 1, 1))</f>
        <v>1</v>
      </c>
      <c r="C3262" s="157">
        <f ca="1">IF(OFFSET('IWP22'!Std11dot4Hospitalization, 4, 1, 1, 1) = DATE(1900,1,0),DATE(1900,1,1),OFFSET('IWP22'!Std11dot4Hospitalization, 4, 1, 1, 1))</f>
        <v>1</v>
      </c>
      <c r="D3262" s="13">
        <f ca="1">OFFSET('IWP22'!Std11dot4Hospitalization, 4, 2, 1, 1)</f>
        <v>0</v>
      </c>
      <c r="E3262" s="155">
        <f ca="1">OFFSET('IWP22'!Std11dot4Hospitalization, 4, 3, 1, 1)</f>
        <v>0</v>
      </c>
      <c r="F3262" s="155">
        <f ca="1">OFFSET('IWP22'!Std11dot4Hospitalization, 4,5, 1, 1)</f>
        <v>0</v>
      </c>
      <c r="G3262" s="155">
        <f ca="1">OFFSET('IWP22'!Std11dot4Hospitalization, 4,7, 1, 1)</f>
        <v>0</v>
      </c>
      <c r="H3262" s="155">
        <f ca="1">IF(OFFSET('IWP22'!Std11dot4Hospitalization, 4,8, 1, 1)="",0,OFFSET('IWP22'!Std11dot4Hospitalization, 4,8, 1, 1))</f>
        <v>0</v>
      </c>
      <c r="I3262" s="157">
        <f ca="1">IF(OFFSET('IWP22'!Std11dot4Hospitalization, 4, 10, 1, 1) = DATE(1900,1,0),DATE(1900,1,1),OFFSET('IWP22'!Std11dot4Hospitalization, 4, 10, 1, 1))</f>
        <v>1</v>
      </c>
      <c r="J3262" s="158">
        <f ca="1">IF(OFFSET('IWP22'!Std11dot4Hospitalization, 4, 12, 1, 1) = DATE(1900,1,0),DATE(1900,1,1),OFFSET('IWP22'!Std11dot4Hospitalization, 4, 12, 1, 1))</f>
        <v>1</v>
      </c>
    </row>
    <row r="3263" spans="1:10">
      <c r="A3263" s="206" t="s">
        <v>1325</v>
      </c>
      <c r="B3263" s="157">
        <f ca="1">IF(OFFSET('IWP22'!Std11dot4Hospitalization, 5, 0, 1, 1) = DATE(1900,1,0),DATE(1900,1,1),OFFSET('IWP22'!Std11dot4Hospitalization, 5, 0, 1, 1))</f>
        <v>1</v>
      </c>
      <c r="C3263" s="157">
        <f ca="1">IF(OFFSET('IWP22'!Std11dot4Hospitalization, 5, 1, 1, 1) = DATE(1900,1,0),DATE(1900,1,1),OFFSET('IWP22'!Std11dot4Hospitalization, 5, 1, 1, 1))</f>
        <v>1</v>
      </c>
      <c r="D3263" s="13">
        <f ca="1">OFFSET('IWP22'!Std11dot4Hospitalization, 5, 2, 1, 1)</f>
        <v>0</v>
      </c>
      <c r="E3263" s="155">
        <f ca="1">OFFSET('IWP22'!Std11dot4Hospitalization, 5, 3, 1, 1)</f>
        <v>0</v>
      </c>
      <c r="F3263" s="155">
        <f ca="1">OFFSET('IWP22'!Std11dot4Hospitalization, 5,5, 1, 1)</f>
        <v>0</v>
      </c>
      <c r="G3263" s="155">
        <f ca="1">OFFSET('IWP22'!Std11dot4Hospitalization, 5,7, 1, 1)</f>
        <v>0</v>
      </c>
      <c r="H3263" s="155">
        <f ca="1">IF(OFFSET('IWP22'!Std11dot4Hospitalization, 5,8, 1, 1)="",0,OFFSET('IWP22'!Std11dot4Hospitalization, 5,8, 1, 1))</f>
        <v>0</v>
      </c>
      <c r="I3263" s="157">
        <f ca="1">IF(OFFSET('IWP22'!Std11dot4Hospitalization, 5, 10, 1, 1) = DATE(1900,1,0),DATE(1900,1,1),OFFSET('IWP22'!Std11dot4Hospitalization, 5, 10, 1, 1))</f>
        <v>1</v>
      </c>
      <c r="J3263" s="158">
        <f ca="1">IF(OFFSET('IWP22'!Std11dot4Hospitalization, 5, 12, 1, 1) = DATE(1900,1,0),DATE(1900,1,1),OFFSET('IWP22'!Std11dot4Hospitalization, 5, 12, 1, 1))</f>
        <v>1</v>
      </c>
    </row>
    <row r="3264" spans="1:10">
      <c r="A3264" s="206" t="s">
        <v>1326</v>
      </c>
      <c r="B3264" s="157">
        <f ca="1">IF(OFFSET('IWP23'!Std11dot4Hospitalization, 0, 0, 1, 1) = DATE(1900,1,0),DATE(1900,1,1),OFFSET('IWP23'!Std11dot4Hospitalization, 0, 0, 1, 1))</f>
        <v>1</v>
      </c>
      <c r="C3264" s="157">
        <f ca="1">IF(OFFSET('IWP23'!Std11dot4Hospitalization, 0, 1, 1, 1) = DATE(1900,1,0),DATE(1900,1,1),OFFSET('IWP23'!Std11dot4Hospitalization, 0, 1, 1, 1))</f>
        <v>1</v>
      </c>
      <c r="D3264" s="13">
        <f ca="1">OFFSET('IWP23'!Std11dot4Hospitalization, 0, 2, 1, 1)</f>
        <v>0</v>
      </c>
      <c r="E3264" s="155">
        <f ca="1">OFFSET('IWP23'!Std11dot4Hospitalization, 0, 3, 1, 1)</f>
        <v>0</v>
      </c>
      <c r="F3264" s="155">
        <f ca="1">OFFSET('IWP23'!Std11dot4Hospitalization, 0,5, 1, 1)</f>
        <v>0</v>
      </c>
      <c r="G3264" s="155">
        <f ca="1">OFFSET('IWP23'!Std11dot4Hospitalization, 0,7, 1, 1)</f>
        <v>0</v>
      </c>
      <c r="H3264" s="155">
        <f ca="1">IF(OFFSET('IWP23'!Std11dot4Hospitalization, 0,8, 1, 1)="",0,OFFSET('IWP23'!Std11dot4Hospitalization, 0,8, 1, 1))</f>
        <v>0</v>
      </c>
      <c r="I3264" s="157">
        <f ca="1">IF(OFFSET('IWP23'!Std11dot4Hospitalization, 0, 10, 1, 1) = DATE(1900,1,0),DATE(1900,1,1),OFFSET('IWP23'!Std11dot4Hospitalization, 0, 10, 1, 1))</f>
        <v>1</v>
      </c>
      <c r="J3264" s="158">
        <f ca="1">IF(OFFSET('IWP23'!Std11dot4Hospitalization, 0, 12, 1, 1) = DATE(1900,1,0),DATE(1900,1,1),OFFSET('IWP23'!Std11dot4Hospitalization, 0, 12, 1, 1))</f>
        <v>1</v>
      </c>
    </row>
    <row r="3265" spans="1:10">
      <c r="A3265" s="206" t="s">
        <v>1326</v>
      </c>
      <c r="B3265" s="157">
        <f ca="1">IF(OFFSET('IWP23'!Std11dot4Hospitalization, 1, 0, 1, 1) = DATE(1900,1,0),DATE(1900,1,1),OFFSET('IWP23'!Std11dot4Hospitalization, 1, 0, 1, 1))</f>
        <v>1</v>
      </c>
      <c r="C3265" s="157">
        <f ca="1">IF(OFFSET('IWP23'!Std11dot4Hospitalization, 1, 1, 1, 1) = DATE(1900,1,0),DATE(1900,1,1),OFFSET('IWP23'!Std11dot4Hospitalization, 1, 1, 1, 1))</f>
        <v>1</v>
      </c>
      <c r="D3265" s="13">
        <f ca="1">OFFSET('IWP23'!Std11dot4Hospitalization, 1, 2, 1, 1)</f>
        <v>0</v>
      </c>
      <c r="E3265" s="155">
        <f ca="1">OFFSET('IWP23'!Std11dot4Hospitalization, 1, 3, 1, 1)</f>
        <v>0</v>
      </c>
      <c r="F3265" s="155">
        <f ca="1">OFFSET('IWP23'!Std11dot4Hospitalization, 1,5, 1, 1)</f>
        <v>0</v>
      </c>
      <c r="G3265" s="155">
        <f ca="1">OFFSET('IWP23'!Std11dot4Hospitalization, 1,7, 1, 1)</f>
        <v>0</v>
      </c>
      <c r="H3265" s="155">
        <f ca="1">IF(OFFSET('IWP23'!Std11dot4Hospitalization, 1,8, 1, 1)="",0,OFFSET('IWP23'!Std11dot4Hospitalization, 1,8, 1, 1))</f>
        <v>0</v>
      </c>
      <c r="I3265" s="157">
        <f ca="1">IF(OFFSET('IWP23'!Std11dot4Hospitalization, 1, 10, 1, 1) = DATE(1900,1,0),DATE(1900,1,1),OFFSET('IWP23'!Std11dot4Hospitalization, 1, 10, 1, 1))</f>
        <v>1</v>
      </c>
      <c r="J3265" s="158">
        <f ca="1">IF(OFFSET('IWP23'!Std11dot4Hospitalization, 1, 12, 1, 1) = DATE(1900,1,0),DATE(1900,1,1),OFFSET('IWP23'!Std11dot4Hospitalization, 1, 12, 1, 1))</f>
        <v>1</v>
      </c>
    </row>
    <row r="3266" spans="1:10">
      <c r="A3266" s="206" t="s">
        <v>1326</v>
      </c>
      <c r="B3266" s="157">
        <f ca="1">IF(OFFSET('IWP23'!Std11dot4Hospitalization, 2, 0, 1, 1) = DATE(1900,1,0),DATE(1900,1,1),OFFSET('IWP23'!Std11dot4Hospitalization, 2, 0, 1, 1))</f>
        <v>1</v>
      </c>
      <c r="C3266" s="157">
        <f ca="1">IF(OFFSET('IWP23'!Std11dot4Hospitalization, 2, 1, 1, 1) = DATE(1900,1,0),DATE(1900,1,1),OFFSET('IWP23'!Std11dot4Hospitalization, 2, 1, 1, 1))</f>
        <v>1</v>
      </c>
      <c r="D3266" s="13">
        <f ca="1">OFFSET('IWP23'!Std11dot4Hospitalization, 2, 2, 1, 1)</f>
        <v>0</v>
      </c>
      <c r="E3266" s="155">
        <f ca="1">OFFSET('IWP23'!Std11dot4Hospitalization, 2, 3, 1, 1)</f>
        <v>0</v>
      </c>
      <c r="F3266" s="155">
        <f ca="1">OFFSET('IWP23'!Std11dot4Hospitalization, 2,5, 1, 1)</f>
        <v>0</v>
      </c>
      <c r="G3266" s="155">
        <f ca="1">OFFSET('IWP23'!Std11dot4Hospitalization, 2,7, 1, 1)</f>
        <v>0</v>
      </c>
      <c r="H3266" s="155">
        <f ca="1">IF(OFFSET('IWP23'!Std11dot4Hospitalization, 2,8, 1, 1)="",0,OFFSET('IWP23'!Std11dot4Hospitalization, 2,8, 1, 1))</f>
        <v>0</v>
      </c>
      <c r="I3266" s="157">
        <f ca="1">IF(OFFSET('IWP23'!Std11dot4Hospitalization, 2, 10, 1, 1) = DATE(1900,1,0),DATE(1900,1,1),OFFSET('IWP23'!Std11dot4Hospitalization, 2, 10, 1, 1))</f>
        <v>1</v>
      </c>
      <c r="J3266" s="158">
        <f ca="1">IF(OFFSET('IWP23'!Std11dot4Hospitalization, 2, 12, 1, 1) = DATE(1900,1,0),DATE(1900,1,1),OFFSET('IWP23'!Std11dot4Hospitalization, 2, 12, 1, 1))</f>
        <v>1</v>
      </c>
    </row>
    <row r="3267" spans="1:10">
      <c r="A3267" s="206" t="s">
        <v>1326</v>
      </c>
      <c r="B3267" s="157">
        <f ca="1">IF(OFFSET('IWP23'!Std11dot4Hospitalization, 3, 0, 1, 1) = DATE(1900,1,0),DATE(1900,1,1),OFFSET('IWP23'!Std11dot4Hospitalization, 3, 0, 1, 1))</f>
        <v>1</v>
      </c>
      <c r="C3267" s="157">
        <f ca="1">IF(OFFSET('IWP23'!Std11dot4Hospitalization, 3, 1, 1, 1) = DATE(1900,1,0),DATE(1900,1,1),OFFSET('IWP23'!Std11dot4Hospitalization, 3, 1, 1, 1))</f>
        <v>1</v>
      </c>
      <c r="D3267" s="13">
        <f ca="1">OFFSET('IWP23'!Std11dot4Hospitalization, 3, 2, 1, 1)</f>
        <v>0</v>
      </c>
      <c r="E3267" s="155">
        <f ca="1">OFFSET('IWP23'!Std11dot4Hospitalization, 3, 3, 1, 1)</f>
        <v>0</v>
      </c>
      <c r="F3267" s="155">
        <f ca="1">OFFSET('IWP23'!Std11dot4Hospitalization, 3,5, 1, 1)</f>
        <v>0</v>
      </c>
      <c r="G3267" s="155">
        <f ca="1">OFFSET('IWP23'!Std11dot4Hospitalization, 3,7, 1, 1)</f>
        <v>0</v>
      </c>
      <c r="H3267" s="155">
        <f ca="1">IF(OFFSET('IWP23'!Std11dot4Hospitalization, 3,8, 1, 1)="",0,OFFSET('IWP23'!Std11dot4Hospitalization, 3,8, 1, 1))</f>
        <v>0</v>
      </c>
      <c r="I3267" s="157">
        <f ca="1">IF(OFFSET('IWP23'!Std11dot4Hospitalization, 3, 10, 1, 1) = DATE(1900,1,0),DATE(1900,1,1),OFFSET('IWP23'!Std11dot4Hospitalization, 3, 10, 1, 1))</f>
        <v>1</v>
      </c>
      <c r="J3267" s="158">
        <f ca="1">IF(OFFSET('IWP23'!Std11dot4Hospitalization, 3, 12, 1, 1) = DATE(1900,1,0),DATE(1900,1,1),OFFSET('IWP23'!Std11dot4Hospitalization, 3, 12, 1, 1))</f>
        <v>1</v>
      </c>
    </row>
    <row r="3268" spans="1:10">
      <c r="A3268" s="206" t="s">
        <v>1326</v>
      </c>
      <c r="B3268" s="157">
        <f ca="1">IF(OFFSET('IWP23'!Std11dot4Hospitalization, 4, 0, 1, 1) = DATE(1900,1,0),DATE(1900,1,1),OFFSET('IWP23'!Std11dot4Hospitalization, 4, 0, 1, 1))</f>
        <v>1</v>
      </c>
      <c r="C3268" s="157">
        <f ca="1">IF(OFFSET('IWP23'!Std11dot4Hospitalization, 4, 1, 1, 1) = DATE(1900,1,0),DATE(1900,1,1),OFFSET('IWP23'!Std11dot4Hospitalization, 4, 1, 1, 1))</f>
        <v>1</v>
      </c>
      <c r="D3268" s="13">
        <f ca="1">OFFSET('IWP23'!Std11dot4Hospitalization, 4, 2, 1, 1)</f>
        <v>0</v>
      </c>
      <c r="E3268" s="155">
        <f ca="1">OFFSET('IWP23'!Std11dot4Hospitalization, 4, 3, 1, 1)</f>
        <v>0</v>
      </c>
      <c r="F3268" s="155">
        <f ca="1">OFFSET('IWP23'!Std11dot4Hospitalization, 4,5, 1, 1)</f>
        <v>0</v>
      </c>
      <c r="G3268" s="155">
        <f ca="1">OFFSET('IWP23'!Std11dot4Hospitalization, 4,7, 1, 1)</f>
        <v>0</v>
      </c>
      <c r="H3268" s="155">
        <f ca="1">IF(OFFSET('IWP23'!Std11dot4Hospitalization, 4,8, 1, 1)="",0,OFFSET('IWP23'!Std11dot4Hospitalization, 4,8, 1, 1))</f>
        <v>0</v>
      </c>
      <c r="I3268" s="157">
        <f ca="1">IF(OFFSET('IWP23'!Std11dot4Hospitalization, 4, 10, 1, 1) = DATE(1900,1,0),DATE(1900,1,1),OFFSET('IWP23'!Std11dot4Hospitalization, 4, 10, 1, 1))</f>
        <v>1</v>
      </c>
      <c r="J3268" s="158">
        <f ca="1">IF(OFFSET('IWP23'!Std11dot4Hospitalization, 4, 12, 1, 1) = DATE(1900,1,0),DATE(1900,1,1),OFFSET('IWP23'!Std11dot4Hospitalization, 4, 12, 1, 1))</f>
        <v>1</v>
      </c>
    </row>
    <row r="3269" spans="1:10">
      <c r="A3269" s="206" t="s">
        <v>1326</v>
      </c>
      <c r="B3269" s="157">
        <f ca="1">IF(OFFSET('IWP23'!Std11dot4Hospitalization, 5, 0, 1, 1) = DATE(1900,1,0),DATE(1900,1,1),OFFSET('IWP23'!Std11dot4Hospitalization, 5, 0, 1, 1))</f>
        <v>1</v>
      </c>
      <c r="C3269" s="157">
        <f ca="1">IF(OFFSET('IWP23'!Std11dot4Hospitalization, 5, 1, 1, 1) = DATE(1900,1,0),DATE(1900,1,1),OFFSET('IWP23'!Std11dot4Hospitalization, 5, 1, 1, 1))</f>
        <v>1</v>
      </c>
      <c r="D3269" s="13">
        <f ca="1">OFFSET('IWP23'!Std11dot4Hospitalization, 5, 2, 1, 1)</f>
        <v>0</v>
      </c>
      <c r="E3269" s="155">
        <f ca="1">OFFSET('IWP23'!Std11dot4Hospitalization, 5, 3, 1, 1)</f>
        <v>0</v>
      </c>
      <c r="F3269" s="155">
        <f ca="1">OFFSET('IWP23'!Std11dot4Hospitalization, 5,5, 1, 1)</f>
        <v>0</v>
      </c>
      <c r="G3269" s="155">
        <f ca="1">OFFSET('IWP23'!Std11dot4Hospitalization, 5,7, 1, 1)</f>
        <v>0</v>
      </c>
      <c r="H3269" s="155">
        <f ca="1">IF(OFFSET('IWP23'!Std11dot4Hospitalization, 5,8, 1, 1)="",0,OFFSET('IWP23'!Std11dot4Hospitalization, 5,8, 1, 1))</f>
        <v>0</v>
      </c>
      <c r="I3269" s="157">
        <f ca="1">IF(OFFSET('IWP23'!Std11dot4Hospitalization, 5, 10, 1, 1) = DATE(1900,1,0),DATE(1900,1,1),OFFSET('IWP23'!Std11dot4Hospitalization, 5, 10, 1, 1))</f>
        <v>1</v>
      </c>
      <c r="J3269" s="158">
        <f ca="1">IF(OFFSET('IWP23'!Std11dot4Hospitalization, 5, 12, 1, 1) = DATE(1900,1,0),DATE(1900,1,1),OFFSET('IWP23'!Std11dot4Hospitalization, 5, 12, 1, 1))</f>
        <v>1</v>
      </c>
    </row>
    <row r="3270" spans="1:10">
      <c r="A3270" s="206" t="s">
        <v>1327</v>
      </c>
      <c r="B3270" s="157">
        <f ca="1">IF(OFFSET('IWP24'!Std11dot4Hospitalization, 0, 0, 1, 1) = DATE(1900,1,0),DATE(1900,1,1),OFFSET('IWP24'!Std11dot4Hospitalization, 0, 0, 1, 1))</f>
        <v>1</v>
      </c>
      <c r="C3270" s="157">
        <f ca="1">IF(OFFSET('IWP24'!Std11dot4Hospitalization, 0, 1, 1, 1) = DATE(1900,1,0),DATE(1900,1,1),OFFSET('IWP24'!Std11dot4Hospitalization, 0, 1, 1, 1))</f>
        <v>1</v>
      </c>
      <c r="D3270" s="13">
        <f ca="1">OFFSET('IWP24'!Std11dot4Hospitalization, 0, 2, 1, 1)</f>
        <v>0</v>
      </c>
      <c r="E3270" s="155">
        <f ca="1">OFFSET('IWP24'!Std11dot4Hospitalization, 0, 3, 1, 1)</f>
        <v>0</v>
      </c>
      <c r="F3270" s="155">
        <f ca="1">OFFSET('IWP24'!Std11dot4Hospitalization, 0,5, 1, 1)</f>
        <v>0</v>
      </c>
      <c r="G3270" s="155">
        <f ca="1">OFFSET('IWP24'!Std11dot4Hospitalization, 0,7, 1, 1)</f>
        <v>0</v>
      </c>
      <c r="H3270" s="155">
        <f ca="1">IF(OFFSET('IWP24'!Std11dot4Hospitalization, 0,8, 1, 1)="",0,OFFSET('IWP24'!Std11dot4Hospitalization, 0,8, 1, 1))</f>
        <v>0</v>
      </c>
      <c r="I3270" s="157">
        <f ca="1">IF(OFFSET('IWP24'!Std11dot4Hospitalization, 0, 10, 1, 1) = DATE(1900,1,0),DATE(1900,1,1),OFFSET('IWP24'!Std11dot4Hospitalization, 0, 10, 1, 1))</f>
        <v>1</v>
      </c>
      <c r="J3270" s="158">
        <f ca="1">IF(OFFSET('IWP24'!Std11dot4Hospitalization, 0, 12, 1, 1) = DATE(1900,1,0),DATE(1900,1,1),OFFSET('IWP24'!Std11dot4Hospitalization, 0, 12, 1, 1))</f>
        <v>1</v>
      </c>
    </row>
    <row r="3271" spans="1:10">
      <c r="A3271" s="206" t="s">
        <v>1327</v>
      </c>
      <c r="B3271" s="157">
        <f ca="1">IF(OFFSET('IWP24'!Std11dot4Hospitalization, 1, 0, 1, 1) = DATE(1900,1,0),DATE(1900,1,1),OFFSET('IWP24'!Std11dot4Hospitalization, 1, 0, 1, 1))</f>
        <v>1</v>
      </c>
      <c r="C3271" s="157">
        <f ca="1">IF(OFFSET('IWP24'!Std11dot4Hospitalization, 1, 1, 1, 1) = DATE(1900,1,0),DATE(1900,1,1),OFFSET('IWP24'!Std11dot4Hospitalization, 1, 1, 1, 1))</f>
        <v>1</v>
      </c>
      <c r="D3271" s="13">
        <f ca="1">OFFSET('IWP24'!Std11dot4Hospitalization, 1, 2, 1, 1)</f>
        <v>0</v>
      </c>
      <c r="E3271" s="155">
        <f ca="1">OFFSET('IWP24'!Std11dot4Hospitalization, 1, 3, 1, 1)</f>
        <v>0</v>
      </c>
      <c r="F3271" s="155">
        <f ca="1">OFFSET('IWP24'!Std11dot4Hospitalization, 1,5, 1, 1)</f>
        <v>0</v>
      </c>
      <c r="G3271" s="155">
        <f ca="1">OFFSET('IWP24'!Std11dot4Hospitalization, 1,7, 1, 1)</f>
        <v>0</v>
      </c>
      <c r="H3271" s="155">
        <f ca="1">IF(OFFSET('IWP24'!Std11dot4Hospitalization, 1,8, 1, 1)="",0,OFFSET('IWP24'!Std11dot4Hospitalization, 1,8, 1, 1))</f>
        <v>0</v>
      </c>
      <c r="I3271" s="157">
        <f ca="1">IF(OFFSET('IWP24'!Std11dot4Hospitalization, 1, 10, 1, 1) = DATE(1900,1,0),DATE(1900,1,1),OFFSET('IWP24'!Std11dot4Hospitalization, 1, 10, 1, 1))</f>
        <v>1</v>
      </c>
      <c r="J3271" s="158">
        <f ca="1">IF(OFFSET('IWP24'!Std11dot4Hospitalization, 1, 12, 1, 1) = DATE(1900,1,0),DATE(1900,1,1),OFFSET('IWP24'!Std11dot4Hospitalization, 1, 12, 1, 1))</f>
        <v>1</v>
      </c>
    </row>
    <row r="3272" spans="1:10">
      <c r="A3272" s="206" t="s">
        <v>1327</v>
      </c>
      <c r="B3272" s="157">
        <f ca="1">IF(OFFSET('IWP24'!Std11dot4Hospitalization, 2, 0, 1, 1) = DATE(1900,1,0),DATE(1900,1,1),OFFSET('IWP24'!Std11dot4Hospitalization, 2, 0, 1, 1))</f>
        <v>1</v>
      </c>
      <c r="C3272" s="157">
        <f ca="1">IF(OFFSET('IWP24'!Std11dot4Hospitalization, 2, 1, 1, 1) = DATE(1900,1,0),DATE(1900,1,1),OFFSET('IWP24'!Std11dot4Hospitalization, 2, 1, 1, 1))</f>
        <v>1</v>
      </c>
      <c r="D3272" s="13">
        <f ca="1">OFFSET('IWP24'!Std11dot4Hospitalization, 2, 2, 1, 1)</f>
        <v>0</v>
      </c>
      <c r="E3272" s="155">
        <f ca="1">OFFSET('IWP24'!Std11dot4Hospitalization, 2, 3, 1, 1)</f>
        <v>0</v>
      </c>
      <c r="F3272" s="155">
        <f ca="1">OFFSET('IWP24'!Std11dot4Hospitalization, 2,5, 1, 1)</f>
        <v>0</v>
      </c>
      <c r="G3272" s="155">
        <f ca="1">OFFSET('IWP24'!Std11dot4Hospitalization, 2,7, 1, 1)</f>
        <v>0</v>
      </c>
      <c r="H3272" s="155">
        <f ca="1">IF(OFFSET('IWP24'!Std11dot4Hospitalization, 2,8, 1, 1)="",0,OFFSET('IWP24'!Std11dot4Hospitalization, 2,8, 1, 1))</f>
        <v>0</v>
      </c>
      <c r="I3272" s="157">
        <f ca="1">IF(OFFSET('IWP24'!Std11dot4Hospitalization, 2, 10, 1, 1) = DATE(1900,1,0),DATE(1900,1,1),OFFSET('IWP24'!Std11dot4Hospitalization, 2, 10, 1, 1))</f>
        <v>1</v>
      </c>
      <c r="J3272" s="158">
        <f ca="1">IF(OFFSET('IWP24'!Std11dot4Hospitalization, 2, 12, 1, 1) = DATE(1900,1,0),DATE(1900,1,1),OFFSET('IWP24'!Std11dot4Hospitalization, 2, 12, 1, 1))</f>
        <v>1</v>
      </c>
    </row>
    <row r="3273" spans="1:10">
      <c r="A3273" s="206" t="s">
        <v>1327</v>
      </c>
      <c r="B3273" s="157">
        <f ca="1">IF(OFFSET('IWP24'!Std11dot4Hospitalization, 3, 0, 1, 1) = DATE(1900,1,0),DATE(1900,1,1),OFFSET('IWP24'!Std11dot4Hospitalization, 3, 0, 1, 1))</f>
        <v>1</v>
      </c>
      <c r="C3273" s="157">
        <f ca="1">IF(OFFSET('IWP24'!Std11dot4Hospitalization, 3, 1, 1, 1) = DATE(1900,1,0),DATE(1900,1,1),OFFSET('IWP24'!Std11dot4Hospitalization, 3, 1, 1, 1))</f>
        <v>1</v>
      </c>
      <c r="D3273" s="13">
        <f ca="1">OFFSET('IWP24'!Std11dot4Hospitalization, 3, 2, 1, 1)</f>
        <v>0</v>
      </c>
      <c r="E3273" s="155">
        <f ca="1">OFFSET('IWP24'!Std11dot4Hospitalization, 3, 3, 1, 1)</f>
        <v>0</v>
      </c>
      <c r="F3273" s="155">
        <f ca="1">OFFSET('IWP24'!Std11dot4Hospitalization, 3,5, 1, 1)</f>
        <v>0</v>
      </c>
      <c r="G3273" s="155">
        <f ca="1">OFFSET('IWP24'!Std11dot4Hospitalization, 3,7, 1, 1)</f>
        <v>0</v>
      </c>
      <c r="H3273" s="155">
        <f ca="1">IF(OFFSET('IWP24'!Std11dot4Hospitalization, 3,8, 1, 1)="",0,OFFSET('IWP24'!Std11dot4Hospitalization, 3,8, 1, 1))</f>
        <v>0</v>
      </c>
      <c r="I3273" s="157">
        <f ca="1">IF(OFFSET('IWP24'!Std11dot4Hospitalization, 3, 10, 1, 1) = DATE(1900,1,0),DATE(1900,1,1),OFFSET('IWP24'!Std11dot4Hospitalization, 3, 10, 1, 1))</f>
        <v>1</v>
      </c>
      <c r="J3273" s="158">
        <f ca="1">IF(OFFSET('IWP24'!Std11dot4Hospitalization, 3, 12, 1, 1) = DATE(1900,1,0),DATE(1900,1,1),OFFSET('IWP24'!Std11dot4Hospitalization, 3, 12, 1, 1))</f>
        <v>1</v>
      </c>
    </row>
    <row r="3274" spans="1:10">
      <c r="A3274" s="206" t="s">
        <v>1327</v>
      </c>
      <c r="B3274" s="157">
        <f ca="1">IF(OFFSET('IWP24'!Std11dot4Hospitalization, 4, 0, 1, 1) = DATE(1900,1,0),DATE(1900,1,1),OFFSET('IWP24'!Std11dot4Hospitalization, 4, 0, 1, 1))</f>
        <v>1</v>
      </c>
      <c r="C3274" s="157">
        <f ca="1">IF(OFFSET('IWP24'!Std11dot4Hospitalization, 4, 1, 1, 1) = DATE(1900,1,0),DATE(1900,1,1),OFFSET('IWP24'!Std11dot4Hospitalization, 4, 1, 1, 1))</f>
        <v>1</v>
      </c>
      <c r="D3274" s="13">
        <f ca="1">OFFSET('IWP24'!Std11dot4Hospitalization, 4, 2, 1, 1)</f>
        <v>0</v>
      </c>
      <c r="E3274" s="155">
        <f ca="1">OFFSET('IWP24'!Std11dot4Hospitalization, 4, 3, 1, 1)</f>
        <v>0</v>
      </c>
      <c r="F3274" s="155">
        <f ca="1">OFFSET('IWP24'!Std11dot4Hospitalization, 4,5, 1, 1)</f>
        <v>0</v>
      </c>
      <c r="G3274" s="155">
        <f ca="1">OFFSET('IWP24'!Std11dot4Hospitalization, 4,7, 1, 1)</f>
        <v>0</v>
      </c>
      <c r="H3274" s="155">
        <f ca="1">IF(OFFSET('IWP24'!Std11dot4Hospitalization, 4,8, 1, 1)="",0,OFFSET('IWP24'!Std11dot4Hospitalization, 4,8, 1, 1))</f>
        <v>0</v>
      </c>
      <c r="I3274" s="157">
        <f ca="1">IF(OFFSET('IWP24'!Std11dot4Hospitalization, 4, 10, 1, 1) = DATE(1900,1,0),DATE(1900,1,1),OFFSET('IWP24'!Std11dot4Hospitalization, 4, 10, 1, 1))</f>
        <v>1</v>
      </c>
      <c r="J3274" s="158">
        <f ca="1">IF(OFFSET('IWP24'!Std11dot4Hospitalization, 4, 12, 1, 1) = DATE(1900,1,0),DATE(1900,1,1),OFFSET('IWP24'!Std11dot4Hospitalization, 4, 12, 1, 1))</f>
        <v>1</v>
      </c>
    </row>
    <row r="3275" spans="1:10">
      <c r="A3275" s="206" t="s">
        <v>1327</v>
      </c>
      <c r="B3275" s="157">
        <f ca="1">IF(OFFSET('IWP24'!Std11dot4Hospitalization, 5, 0, 1, 1) = DATE(1900,1,0),DATE(1900,1,1),OFFSET('IWP24'!Std11dot4Hospitalization, 5, 0, 1, 1))</f>
        <v>1</v>
      </c>
      <c r="C3275" s="157">
        <f ca="1">IF(OFFSET('IWP24'!Std11dot4Hospitalization, 5, 1, 1, 1) = DATE(1900,1,0),DATE(1900,1,1),OFFSET('IWP24'!Std11dot4Hospitalization, 5, 1, 1, 1))</f>
        <v>1</v>
      </c>
      <c r="D3275" s="13">
        <f ca="1">OFFSET('IWP24'!Std11dot4Hospitalization, 5, 2, 1, 1)</f>
        <v>0</v>
      </c>
      <c r="E3275" s="155">
        <f ca="1">OFFSET('IWP24'!Std11dot4Hospitalization, 5, 3, 1, 1)</f>
        <v>0</v>
      </c>
      <c r="F3275" s="155">
        <f ca="1">OFFSET('IWP24'!Std11dot4Hospitalization, 5,5, 1, 1)</f>
        <v>0</v>
      </c>
      <c r="G3275" s="155">
        <f ca="1">OFFSET('IWP24'!Std11dot4Hospitalization, 5,7, 1, 1)</f>
        <v>0</v>
      </c>
      <c r="H3275" s="155">
        <f ca="1">IF(OFFSET('IWP24'!Std11dot4Hospitalization, 5,8, 1, 1)="",0,OFFSET('IWP24'!Std11dot4Hospitalization, 5,8, 1, 1))</f>
        <v>0</v>
      </c>
      <c r="I3275" s="157">
        <f ca="1">IF(OFFSET('IWP24'!Std11dot4Hospitalization, 5, 10, 1, 1) = DATE(1900,1,0),DATE(1900,1,1),OFFSET('IWP24'!Std11dot4Hospitalization, 5, 10, 1, 1))</f>
        <v>1</v>
      </c>
      <c r="J3275" s="158">
        <f ca="1">IF(OFFSET('IWP24'!Std11dot4Hospitalization, 5, 12, 1, 1) = DATE(1900,1,0),DATE(1900,1,1),OFFSET('IWP24'!Std11dot4Hospitalization, 5, 12, 1, 1))</f>
        <v>1</v>
      </c>
    </row>
    <row r="3276" spans="1:10">
      <c r="A3276" s="206" t="s">
        <v>1328</v>
      </c>
      <c r="B3276" s="157">
        <f ca="1">IF(OFFSET('IWP25'!Std11dot4Hospitalization, 0, 0, 1, 1) = DATE(1900,1,0),DATE(1900,1,1),OFFSET('IWP25'!Std11dot4Hospitalization, 0, 0, 1, 1))</f>
        <v>1</v>
      </c>
      <c r="C3276" s="157">
        <f ca="1">IF(OFFSET('IWP25'!Std11dot4Hospitalization, 0, 1, 1, 1) = DATE(1900,1,0),DATE(1900,1,1),OFFSET('IWP25'!Std11dot4Hospitalization, 0, 1, 1, 1))</f>
        <v>1</v>
      </c>
      <c r="D3276" s="13">
        <f ca="1">OFFSET('IWP25'!Std11dot4Hospitalization, 0, 2, 1, 1)</f>
        <v>0</v>
      </c>
      <c r="E3276" s="155">
        <f ca="1">OFFSET('IWP25'!Std11dot4Hospitalization, 0, 3, 1, 1)</f>
        <v>0</v>
      </c>
      <c r="F3276" s="155">
        <f ca="1">OFFSET('IWP25'!Std11dot4Hospitalization, 0,5, 1, 1)</f>
        <v>0</v>
      </c>
      <c r="G3276" s="155">
        <f ca="1">OFFSET('IWP25'!Std11dot4Hospitalization, 0,7, 1, 1)</f>
        <v>0</v>
      </c>
      <c r="H3276" s="155">
        <f ca="1">IF(OFFSET('IWP25'!Std11dot4Hospitalization, 0,8, 1, 1)="",0,OFFSET('IWP25'!Std11dot4Hospitalization, 0,8, 1, 1))</f>
        <v>0</v>
      </c>
      <c r="I3276" s="157">
        <f ca="1">IF(OFFSET('IWP25'!Std11dot4Hospitalization, 0, 10, 1, 1) = DATE(1900,1,0),DATE(1900,1,1),OFFSET('IWP25'!Std11dot4Hospitalization, 0, 10, 1, 1))</f>
        <v>1</v>
      </c>
      <c r="J3276" s="158">
        <f ca="1">IF(OFFSET('IWP25'!Std11dot4Hospitalization, 0, 12, 1, 1) = DATE(1900,1,0),DATE(1900,1,1),OFFSET('IWP25'!Std11dot4Hospitalization, 0, 12, 1, 1))</f>
        <v>1</v>
      </c>
    </row>
    <row r="3277" spans="1:10">
      <c r="A3277" s="206" t="s">
        <v>1328</v>
      </c>
      <c r="B3277" s="157">
        <f ca="1">IF(OFFSET('IWP25'!Std11dot4Hospitalization, 1, 0, 1, 1) = DATE(1900,1,0),DATE(1900,1,1),OFFSET('IWP25'!Std11dot4Hospitalization, 1, 0, 1, 1))</f>
        <v>1</v>
      </c>
      <c r="C3277" s="157">
        <f ca="1">IF(OFFSET('IWP25'!Std11dot4Hospitalization, 1, 1, 1, 1) = DATE(1900,1,0),DATE(1900,1,1),OFFSET('IWP25'!Std11dot4Hospitalization, 1, 1, 1, 1))</f>
        <v>1</v>
      </c>
      <c r="D3277" s="13">
        <f ca="1">OFFSET('IWP25'!Std11dot4Hospitalization, 1, 2, 1, 1)</f>
        <v>0</v>
      </c>
      <c r="E3277" s="155">
        <f ca="1">OFFSET('IWP25'!Std11dot4Hospitalization, 1, 3, 1, 1)</f>
        <v>0</v>
      </c>
      <c r="F3277" s="155">
        <f ca="1">OFFSET('IWP25'!Std11dot4Hospitalization, 1,5, 1, 1)</f>
        <v>0</v>
      </c>
      <c r="G3277" s="155">
        <f ca="1">OFFSET('IWP25'!Std11dot4Hospitalization, 1,7, 1, 1)</f>
        <v>0</v>
      </c>
      <c r="H3277" s="155">
        <f ca="1">IF(OFFSET('IWP25'!Std11dot4Hospitalization, 1,8, 1, 1)="",0,OFFSET('IWP25'!Std11dot4Hospitalization, 1,8, 1, 1))</f>
        <v>0</v>
      </c>
      <c r="I3277" s="157">
        <f ca="1">IF(OFFSET('IWP25'!Std11dot4Hospitalization, 1, 10, 1, 1) = DATE(1900,1,0),DATE(1900,1,1),OFFSET('IWP25'!Std11dot4Hospitalization, 1, 10, 1, 1))</f>
        <v>1</v>
      </c>
      <c r="J3277" s="158">
        <f ca="1">IF(OFFSET('IWP25'!Std11dot4Hospitalization, 1, 12, 1, 1) = DATE(1900,1,0),DATE(1900,1,1),OFFSET('IWP25'!Std11dot4Hospitalization, 1, 12, 1, 1))</f>
        <v>1</v>
      </c>
    </row>
    <row r="3278" spans="1:10">
      <c r="A3278" s="206" t="s">
        <v>1328</v>
      </c>
      <c r="B3278" s="157">
        <f ca="1">IF(OFFSET('IWP25'!Std11dot4Hospitalization, 2, 0, 1, 1) = DATE(1900,1,0),DATE(1900,1,1),OFFSET('IWP25'!Std11dot4Hospitalization, 2, 0, 1, 1))</f>
        <v>1</v>
      </c>
      <c r="C3278" s="157">
        <f ca="1">IF(OFFSET('IWP25'!Std11dot4Hospitalization, 2, 1, 1, 1) = DATE(1900,1,0),DATE(1900,1,1),OFFSET('IWP25'!Std11dot4Hospitalization, 2, 1, 1, 1))</f>
        <v>1</v>
      </c>
      <c r="D3278" s="13">
        <f ca="1">OFFSET('IWP25'!Std11dot4Hospitalization, 2, 2, 1, 1)</f>
        <v>0</v>
      </c>
      <c r="E3278" s="155">
        <f ca="1">OFFSET('IWP25'!Std11dot4Hospitalization, 2, 3, 1, 1)</f>
        <v>0</v>
      </c>
      <c r="F3278" s="155">
        <f ca="1">OFFSET('IWP25'!Std11dot4Hospitalization, 2,5, 1, 1)</f>
        <v>0</v>
      </c>
      <c r="G3278" s="155">
        <f ca="1">OFFSET('IWP25'!Std11dot4Hospitalization, 2,7, 1, 1)</f>
        <v>0</v>
      </c>
      <c r="H3278" s="155">
        <f ca="1">IF(OFFSET('IWP25'!Std11dot4Hospitalization, 2,8, 1, 1)="",0,OFFSET('IWP25'!Std11dot4Hospitalization, 2,8, 1, 1))</f>
        <v>0</v>
      </c>
      <c r="I3278" s="157">
        <f ca="1">IF(OFFSET('IWP25'!Std11dot4Hospitalization, 2, 10, 1, 1) = DATE(1900,1,0),DATE(1900,1,1),OFFSET('IWP25'!Std11dot4Hospitalization, 2, 10, 1, 1))</f>
        <v>1</v>
      </c>
      <c r="J3278" s="158">
        <f ca="1">IF(OFFSET('IWP25'!Std11dot4Hospitalization, 2, 12, 1, 1) = DATE(1900,1,0),DATE(1900,1,1),OFFSET('IWP25'!Std11dot4Hospitalization, 2, 12, 1, 1))</f>
        <v>1</v>
      </c>
    </row>
    <row r="3279" spans="1:10">
      <c r="A3279" s="206" t="s">
        <v>1328</v>
      </c>
      <c r="B3279" s="157">
        <f ca="1">IF(OFFSET('IWP25'!Std11dot4Hospitalization, 3, 0, 1, 1) = DATE(1900,1,0),DATE(1900,1,1),OFFSET('IWP25'!Std11dot4Hospitalization, 3, 0, 1, 1))</f>
        <v>1</v>
      </c>
      <c r="C3279" s="157">
        <f ca="1">IF(OFFSET('IWP25'!Std11dot4Hospitalization, 3, 1, 1, 1) = DATE(1900,1,0),DATE(1900,1,1),OFFSET('IWP25'!Std11dot4Hospitalization, 3, 1, 1, 1))</f>
        <v>1</v>
      </c>
      <c r="D3279" s="13">
        <f ca="1">OFFSET('IWP25'!Std11dot4Hospitalization, 3, 2, 1, 1)</f>
        <v>0</v>
      </c>
      <c r="E3279" s="155">
        <f ca="1">OFFSET('IWP25'!Std11dot4Hospitalization, 3, 3, 1, 1)</f>
        <v>0</v>
      </c>
      <c r="F3279" s="155">
        <f ca="1">OFFSET('IWP25'!Std11dot4Hospitalization, 3,5, 1, 1)</f>
        <v>0</v>
      </c>
      <c r="G3279" s="155">
        <f ca="1">OFFSET('IWP25'!Std11dot4Hospitalization, 3,7, 1, 1)</f>
        <v>0</v>
      </c>
      <c r="H3279" s="155">
        <f ca="1">IF(OFFSET('IWP25'!Std11dot4Hospitalization, 3,8, 1, 1)="",0,OFFSET('IWP25'!Std11dot4Hospitalization, 3,8, 1, 1))</f>
        <v>0</v>
      </c>
      <c r="I3279" s="157">
        <f ca="1">IF(OFFSET('IWP25'!Std11dot4Hospitalization, 3, 10, 1, 1) = DATE(1900,1,0),DATE(1900,1,1),OFFSET('IWP25'!Std11dot4Hospitalization, 3, 10, 1, 1))</f>
        <v>1</v>
      </c>
      <c r="J3279" s="158">
        <f ca="1">IF(OFFSET('IWP25'!Std11dot4Hospitalization, 3, 12, 1, 1) = DATE(1900,1,0),DATE(1900,1,1),OFFSET('IWP25'!Std11dot4Hospitalization, 3, 12, 1, 1))</f>
        <v>1</v>
      </c>
    </row>
    <row r="3280" spans="1:10">
      <c r="A3280" s="206" t="s">
        <v>1328</v>
      </c>
      <c r="B3280" s="157">
        <f ca="1">IF(OFFSET('IWP25'!Std11dot4Hospitalization, 4, 0, 1, 1) = DATE(1900,1,0),DATE(1900,1,1),OFFSET('IWP25'!Std11dot4Hospitalization, 4, 0, 1, 1))</f>
        <v>1</v>
      </c>
      <c r="C3280" s="157">
        <f ca="1">IF(OFFSET('IWP25'!Std11dot4Hospitalization, 4, 1, 1, 1) = DATE(1900,1,0),DATE(1900,1,1),OFFSET('IWP25'!Std11dot4Hospitalization, 4, 1, 1, 1))</f>
        <v>1</v>
      </c>
      <c r="D3280" s="13">
        <f ca="1">OFFSET('IWP25'!Std11dot4Hospitalization, 4, 2, 1, 1)</f>
        <v>0</v>
      </c>
      <c r="E3280" s="155">
        <f ca="1">OFFSET('IWP25'!Std11dot4Hospitalization, 4, 3, 1, 1)</f>
        <v>0</v>
      </c>
      <c r="F3280" s="155">
        <f ca="1">OFFSET('IWP25'!Std11dot4Hospitalization, 4,5, 1, 1)</f>
        <v>0</v>
      </c>
      <c r="G3280" s="155">
        <f ca="1">OFFSET('IWP25'!Std11dot4Hospitalization, 4,7, 1, 1)</f>
        <v>0</v>
      </c>
      <c r="H3280" s="155">
        <f ca="1">IF(OFFSET('IWP25'!Std11dot4Hospitalization, 4,8, 1, 1)="",0,OFFSET('IWP25'!Std11dot4Hospitalization, 4,8, 1, 1))</f>
        <v>0</v>
      </c>
      <c r="I3280" s="157">
        <f ca="1">IF(OFFSET('IWP25'!Std11dot4Hospitalization, 4, 10, 1, 1) = DATE(1900,1,0),DATE(1900,1,1),OFFSET('IWP25'!Std11dot4Hospitalization, 4, 10, 1, 1))</f>
        <v>1</v>
      </c>
      <c r="J3280" s="158">
        <f ca="1">IF(OFFSET('IWP25'!Std11dot4Hospitalization, 4, 12, 1, 1) = DATE(1900,1,0),DATE(1900,1,1),OFFSET('IWP25'!Std11dot4Hospitalization, 4, 12, 1, 1))</f>
        <v>1</v>
      </c>
    </row>
    <row r="3281" spans="1:10">
      <c r="A3281" s="206" t="s">
        <v>1328</v>
      </c>
      <c r="B3281" s="157">
        <f ca="1">IF(OFFSET('IWP25'!Std11dot4Hospitalization, 5, 0, 1, 1) = DATE(1900,1,0),DATE(1900,1,1),OFFSET('IWP25'!Std11dot4Hospitalization, 5, 0, 1, 1))</f>
        <v>1</v>
      </c>
      <c r="C3281" s="157">
        <f ca="1">IF(OFFSET('IWP25'!Std11dot4Hospitalization, 5, 1, 1, 1) = DATE(1900,1,0),DATE(1900,1,1),OFFSET('IWP25'!Std11dot4Hospitalization, 5, 1, 1, 1))</f>
        <v>1</v>
      </c>
      <c r="D3281" s="13">
        <f ca="1">OFFSET('IWP25'!Std11dot4Hospitalization, 5, 2, 1, 1)</f>
        <v>0</v>
      </c>
      <c r="E3281" s="155">
        <f ca="1">OFFSET('IWP25'!Std11dot4Hospitalization, 5, 3, 1, 1)</f>
        <v>0</v>
      </c>
      <c r="F3281" s="155">
        <f ca="1">OFFSET('IWP25'!Std11dot4Hospitalization, 5,5, 1, 1)</f>
        <v>0</v>
      </c>
      <c r="G3281" s="155">
        <f ca="1">OFFSET('IWP25'!Std11dot4Hospitalization, 5,7, 1, 1)</f>
        <v>0</v>
      </c>
      <c r="H3281" s="155">
        <f ca="1">IF(OFFSET('IWP25'!Std11dot4Hospitalization, 5,8, 1, 1)="",0,OFFSET('IWP25'!Std11dot4Hospitalization, 5,8, 1, 1))</f>
        <v>0</v>
      </c>
      <c r="I3281" s="157">
        <f ca="1">IF(OFFSET('IWP25'!Std11dot4Hospitalization, 5, 10, 1, 1) = DATE(1900,1,0),DATE(1900,1,1),OFFSET('IWP25'!Std11dot4Hospitalization, 5, 10, 1, 1))</f>
        <v>1</v>
      </c>
      <c r="J3281" s="158">
        <f ca="1">IF(OFFSET('IWP25'!Std11dot4Hospitalization, 5, 12, 1, 1) = DATE(1900,1,0),DATE(1900,1,1),OFFSET('IWP25'!Std11dot4Hospitalization, 5, 12, 1, 1))</f>
        <v>1</v>
      </c>
    </row>
    <row r="3282" spans="1:10">
      <c r="A3282" s="206" t="s">
        <v>1329</v>
      </c>
      <c r="B3282" s="157">
        <f ca="1">IF(OFFSET('IWP26'!Std11dot4Hospitalization, 0, 0, 1, 1) = DATE(1900,1,0),DATE(1900,1,1),OFFSET('IWP26'!Std11dot4Hospitalization, 0, 0, 1, 1))</f>
        <v>1</v>
      </c>
      <c r="C3282" s="157">
        <f ca="1">IF(OFFSET('IWP26'!Std11dot4Hospitalization, 0, 1, 1, 1) = DATE(1900,1,0),DATE(1900,1,1),OFFSET('IWP26'!Std11dot4Hospitalization, 0, 1, 1, 1))</f>
        <v>1</v>
      </c>
      <c r="D3282" s="13">
        <f ca="1">OFFSET('IWP26'!Std11dot4Hospitalization, 0, 2, 1, 1)</f>
        <v>0</v>
      </c>
      <c r="E3282" s="155">
        <f ca="1">OFFSET('IWP26'!Std11dot4Hospitalization, 0, 3, 1, 1)</f>
        <v>0</v>
      </c>
      <c r="F3282" s="155">
        <f ca="1">OFFSET('IWP26'!Std11dot4Hospitalization, 0,5, 1, 1)</f>
        <v>0</v>
      </c>
      <c r="G3282" s="155">
        <f ca="1">OFFSET('IWP26'!Std11dot4Hospitalization, 0,7, 1, 1)</f>
        <v>0</v>
      </c>
      <c r="H3282" s="155">
        <f ca="1">IF(OFFSET('IWP26'!Std11dot4Hospitalization, 0,8, 1, 1)="",0,OFFSET('IWP26'!Std11dot4Hospitalization, 0,8, 1, 1))</f>
        <v>0</v>
      </c>
      <c r="I3282" s="157">
        <f ca="1">IF(OFFSET('IWP26'!Std11dot4Hospitalization, 0, 10, 1, 1) = DATE(1900,1,0),DATE(1900,1,1),OFFSET('IWP26'!Std11dot4Hospitalization, 0, 10, 1, 1))</f>
        <v>1</v>
      </c>
      <c r="J3282" s="158">
        <f ca="1">IF(OFFSET('IWP26'!Std11dot4Hospitalization, 0, 12, 1, 1) = DATE(1900,1,0),DATE(1900,1,1),OFFSET('IWP26'!Std11dot4Hospitalization, 0, 12, 1, 1))</f>
        <v>1</v>
      </c>
    </row>
    <row r="3283" spans="1:10">
      <c r="A3283" s="206" t="s">
        <v>1329</v>
      </c>
      <c r="B3283" s="157">
        <f ca="1">IF(OFFSET('IWP26'!Std11dot4Hospitalization, 1, 0, 1, 1) = DATE(1900,1,0),DATE(1900,1,1),OFFSET('IWP26'!Std11dot4Hospitalization, 1, 0, 1, 1))</f>
        <v>1</v>
      </c>
      <c r="C3283" s="157">
        <f ca="1">IF(OFFSET('IWP26'!Std11dot4Hospitalization, 1, 1, 1, 1) = DATE(1900,1,0),DATE(1900,1,1),OFFSET('IWP26'!Std11dot4Hospitalization, 1, 1, 1, 1))</f>
        <v>1</v>
      </c>
      <c r="D3283" s="13">
        <f ca="1">OFFSET('IWP26'!Std11dot4Hospitalization, 1, 2, 1, 1)</f>
        <v>0</v>
      </c>
      <c r="E3283" s="155">
        <f ca="1">OFFSET('IWP26'!Std11dot4Hospitalization, 1, 3, 1, 1)</f>
        <v>0</v>
      </c>
      <c r="F3283" s="155">
        <f ca="1">OFFSET('IWP26'!Std11dot4Hospitalization, 1,5, 1, 1)</f>
        <v>0</v>
      </c>
      <c r="G3283" s="155">
        <f ca="1">OFFSET('IWP26'!Std11dot4Hospitalization, 1,7, 1, 1)</f>
        <v>0</v>
      </c>
      <c r="H3283" s="155">
        <f ca="1">IF(OFFSET('IWP26'!Std11dot4Hospitalization, 1,8, 1, 1)="",0,OFFSET('IWP26'!Std11dot4Hospitalization, 1,8, 1, 1))</f>
        <v>0</v>
      </c>
      <c r="I3283" s="157">
        <f ca="1">IF(OFFSET('IWP26'!Std11dot4Hospitalization, 1, 10, 1, 1) = DATE(1900,1,0),DATE(1900,1,1),OFFSET('IWP26'!Std11dot4Hospitalization, 1, 10, 1, 1))</f>
        <v>1</v>
      </c>
      <c r="J3283" s="158">
        <f ca="1">IF(OFFSET('IWP26'!Std11dot4Hospitalization, 1, 12, 1, 1) = DATE(1900,1,0),DATE(1900,1,1),OFFSET('IWP26'!Std11dot4Hospitalization, 1, 12, 1, 1))</f>
        <v>1</v>
      </c>
    </row>
    <row r="3284" spans="1:10">
      <c r="A3284" s="206" t="s">
        <v>1329</v>
      </c>
      <c r="B3284" s="157">
        <f ca="1">IF(OFFSET('IWP26'!Std11dot4Hospitalization, 2, 0, 1, 1) = DATE(1900,1,0),DATE(1900,1,1),OFFSET('IWP26'!Std11dot4Hospitalization, 2, 0, 1, 1))</f>
        <v>1</v>
      </c>
      <c r="C3284" s="157">
        <f ca="1">IF(OFFSET('IWP26'!Std11dot4Hospitalization, 2, 1, 1, 1) = DATE(1900,1,0),DATE(1900,1,1),OFFSET('IWP26'!Std11dot4Hospitalization, 2, 1, 1, 1))</f>
        <v>1</v>
      </c>
      <c r="D3284" s="13">
        <f ca="1">OFFSET('IWP26'!Std11dot4Hospitalization, 2, 2, 1, 1)</f>
        <v>0</v>
      </c>
      <c r="E3284" s="155">
        <f ca="1">OFFSET('IWP26'!Std11dot4Hospitalization, 2, 3, 1, 1)</f>
        <v>0</v>
      </c>
      <c r="F3284" s="155">
        <f ca="1">OFFSET('IWP26'!Std11dot4Hospitalization, 2,5, 1, 1)</f>
        <v>0</v>
      </c>
      <c r="G3284" s="155">
        <f ca="1">OFFSET('IWP26'!Std11dot4Hospitalization, 2,7, 1, 1)</f>
        <v>0</v>
      </c>
      <c r="H3284" s="155">
        <f ca="1">IF(OFFSET('IWP26'!Std11dot4Hospitalization, 2,8, 1, 1)="",0,OFFSET('IWP26'!Std11dot4Hospitalization, 2,8, 1, 1))</f>
        <v>0</v>
      </c>
      <c r="I3284" s="157">
        <f ca="1">IF(OFFSET('IWP26'!Std11dot4Hospitalization, 2, 10, 1, 1) = DATE(1900,1,0),DATE(1900,1,1),OFFSET('IWP26'!Std11dot4Hospitalization, 2, 10, 1, 1))</f>
        <v>1</v>
      </c>
      <c r="J3284" s="158">
        <f ca="1">IF(OFFSET('IWP26'!Std11dot4Hospitalization, 2, 12, 1, 1) = DATE(1900,1,0),DATE(1900,1,1),OFFSET('IWP26'!Std11dot4Hospitalization, 2, 12, 1, 1))</f>
        <v>1</v>
      </c>
    </row>
    <row r="3285" spans="1:10">
      <c r="A3285" s="206" t="s">
        <v>1329</v>
      </c>
      <c r="B3285" s="157">
        <f ca="1">IF(OFFSET('IWP26'!Std11dot4Hospitalization, 3, 0, 1, 1) = DATE(1900,1,0),DATE(1900,1,1),OFFSET('IWP26'!Std11dot4Hospitalization, 3, 0, 1, 1))</f>
        <v>1</v>
      </c>
      <c r="C3285" s="157">
        <f ca="1">IF(OFFSET('IWP26'!Std11dot4Hospitalization, 3, 1, 1, 1) = DATE(1900,1,0),DATE(1900,1,1),OFFSET('IWP26'!Std11dot4Hospitalization, 3, 1, 1, 1))</f>
        <v>1</v>
      </c>
      <c r="D3285" s="13">
        <f ca="1">OFFSET('IWP26'!Std11dot4Hospitalization, 3, 2, 1, 1)</f>
        <v>0</v>
      </c>
      <c r="E3285" s="155">
        <f ca="1">OFFSET('IWP26'!Std11dot4Hospitalization, 3, 3, 1, 1)</f>
        <v>0</v>
      </c>
      <c r="F3285" s="155">
        <f ca="1">OFFSET('IWP26'!Std11dot4Hospitalization, 3,5, 1, 1)</f>
        <v>0</v>
      </c>
      <c r="G3285" s="155">
        <f ca="1">OFFSET('IWP26'!Std11dot4Hospitalization, 3,7, 1, 1)</f>
        <v>0</v>
      </c>
      <c r="H3285" s="155">
        <f ca="1">IF(OFFSET('IWP26'!Std11dot4Hospitalization, 3,8, 1, 1)="",0,OFFSET('IWP26'!Std11dot4Hospitalization, 3,8, 1, 1))</f>
        <v>0</v>
      </c>
      <c r="I3285" s="157">
        <f ca="1">IF(OFFSET('IWP26'!Std11dot4Hospitalization, 3, 10, 1, 1) = DATE(1900,1,0),DATE(1900,1,1),OFFSET('IWP26'!Std11dot4Hospitalization, 3, 10, 1, 1))</f>
        <v>1</v>
      </c>
      <c r="J3285" s="158">
        <f ca="1">IF(OFFSET('IWP26'!Std11dot4Hospitalization, 3, 12, 1, 1) = DATE(1900,1,0),DATE(1900,1,1),OFFSET('IWP26'!Std11dot4Hospitalization, 3, 12, 1, 1))</f>
        <v>1</v>
      </c>
    </row>
    <row r="3286" spans="1:10">
      <c r="A3286" s="206" t="s">
        <v>1329</v>
      </c>
      <c r="B3286" s="157">
        <f ca="1">IF(OFFSET('IWP26'!Std11dot4Hospitalization, 4, 0, 1, 1) = DATE(1900,1,0),DATE(1900,1,1),OFFSET('IWP26'!Std11dot4Hospitalization, 4, 0, 1, 1))</f>
        <v>1</v>
      </c>
      <c r="C3286" s="157">
        <f ca="1">IF(OFFSET('IWP26'!Std11dot4Hospitalization, 4, 1, 1, 1) = DATE(1900,1,0),DATE(1900,1,1),OFFSET('IWP26'!Std11dot4Hospitalization, 4, 1, 1, 1))</f>
        <v>1</v>
      </c>
      <c r="D3286" s="13">
        <f ca="1">OFFSET('IWP26'!Std11dot4Hospitalization, 4, 2, 1, 1)</f>
        <v>0</v>
      </c>
      <c r="E3286" s="155">
        <f ca="1">OFFSET('IWP26'!Std11dot4Hospitalization, 4, 3, 1, 1)</f>
        <v>0</v>
      </c>
      <c r="F3286" s="155">
        <f ca="1">OFFSET('IWP26'!Std11dot4Hospitalization, 4,5, 1, 1)</f>
        <v>0</v>
      </c>
      <c r="G3286" s="155">
        <f ca="1">OFFSET('IWP26'!Std11dot4Hospitalization, 4,7, 1, 1)</f>
        <v>0</v>
      </c>
      <c r="H3286" s="155">
        <f ca="1">IF(OFFSET('IWP26'!Std11dot4Hospitalization, 4,8, 1, 1)="",0,OFFSET('IWP26'!Std11dot4Hospitalization, 4,8, 1, 1))</f>
        <v>0</v>
      </c>
      <c r="I3286" s="157">
        <f ca="1">IF(OFFSET('IWP26'!Std11dot4Hospitalization, 4, 10, 1, 1) = DATE(1900,1,0),DATE(1900,1,1),OFFSET('IWP26'!Std11dot4Hospitalization, 4, 10, 1, 1))</f>
        <v>1</v>
      </c>
      <c r="J3286" s="158">
        <f ca="1">IF(OFFSET('IWP26'!Std11dot4Hospitalization, 4, 12, 1, 1) = DATE(1900,1,0),DATE(1900,1,1),OFFSET('IWP26'!Std11dot4Hospitalization, 4, 12, 1, 1))</f>
        <v>1</v>
      </c>
    </row>
    <row r="3287" spans="1:10">
      <c r="A3287" s="206" t="s">
        <v>1329</v>
      </c>
      <c r="B3287" s="157">
        <f ca="1">IF(OFFSET('IWP26'!Std11dot4Hospitalization, 5, 0, 1, 1) = DATE(1900,1,0),DATE(1900,1,1),OFFSET('IWP26'!Std11dot4Hospitalization, 5, 0, 1, 1))</f>
        <v>1</v>
      </c>
      <c r="C3287" s="157">
        <f ca="1">IF(OFFSET('IWP26'!Std11dot4Hospitalization, 5, 1, 1, 1) = DATE(1900,1,0),DATE(1900,1,1),OFFSET('IWP26'!Std11dot4Hospitalization, 5, 1, 1, 1))</f>
        <v>1</v>
      </c>
      <c r="D3287" s="13">
        <f ca="1">OFFSET('IWP26'!Std11dot4Hospitalization, 5, 2, 1, 1)</f>
        <v>0</v>
      </c>
      <c r="E3287" s="155">
        <f ca="1">OFFSET('IWP26'!Std11dot4Hospitalization, 5, 3, 1, 1)</f>
        <v>0</v>
      </c>
      <c r="F3287" s="155">
        <f ca="1">OFFSET('IWP26'!Std11dot4Hospitalization, 5,5, 1, 1)</f>
        <v>0</v>
      </c>
      <c r="G3287" s="155">
        <f ca="1">OFFSET('IWP26'!Std11dot4Hospitalization, 5,7, 1, 1)</f>
        <v>0</v>
      </c>
      <c r="H3287" s="155">
        <f ca="1">IF(OFFSET('IWP26'!Std11dot4Hospitalization, 5,8, 1, 1)="",0,OFFSET('IWP26'!Std11dot4Hospitalization, 5,8, 1, 1))</f>
        <v>0</v>
      </c>
      <c r="I3287" s="157">
        <f ca="1">IF(OFFSET('IWP26'!Std11dot4Hospitalization, 5, 10, 1, 1) = DATE(1900,1,0),DATE(1900,1,1),OFFSET('IWP26'!Std11dot4Hospitalization, 5, 10, 1, 1))</f>
        <v>1</v>
      </c>
      <c r="J3287" s="158">
        <f ca="1">IF(OFFSET('IWP26'!Std11dot4Hospitalization, 5, 12, 1, 1) = DATE(1900,1,0),DATE(1900,1,1),OFFSET('IWP26'!Std11dot4Hospitalization, 5, 12, 1, 1))</f>
        <v>1</v>
      </c>
    </row>
    <row r="3288" spans="1:10">
      <c r="A3288" s="206" t="s">
        <v>1330</v>
      </c>
      <c r="B3288" s="157">
        <f ca="1">IF(OFFSET('IWP27'!Std11dot4Hospitalization, 0, 0, 1, 1) = DATE(1900,1,0),DATE(1900,1,1),OFFSET('IWP27'!Std11dot4Hospitalization, 0, 0, 1, 1))</f>
        <v>1</v>
      </c>
      <c r="C3288" s="157">
        <f ca="1">IF(OFFSET('IWP27'!Std11dot4Hospitalization, 0, 1, 1, 1) = DATE(1900,1,0),DATE(1900,1,1),OFFSET('IWP27'!Std11dot4Hospitalization, 0, 1, 1, 1))</f>
        <v>1</v>
      </c>
      <c r="D3288" s="13">
        <f ca="1">OFFSET('IWP27'!Std11dot4Hospitalization, 0, 2, 1, 1)</f>
        <v>0</v>
      </c>
      <c r="E3288" s="155">
        <f ca="1">OFFSET('IWP27'!Std11dot4Hospitalization, 0, 3, 1, 1)</f>
        <v>0</v>
      </c>
      <c r="F3288" s="155">
        <f ca="1">OFFSET('IWP27'!Std11dot4Hospitalization, 0,5, 1, 1)</f>
        <v>0</v>
      </c>
      <c r="G3288" s="155">
        <f ca="1">OFFSET('IWP27'!Std11dot4Hospitalization, 0,7, 1, 1)</f>
        <v>0</v>
      </c>
      <c r="H3288" s="155">
        <f ca="1">IF(OFFSET('IWP27'!Std11dot4Hospitalization, 0,8, 1, 1)="",0,OFFSET('IWP27'!Std11dot4Hospitalization, 0,8, 1, 1))</f>
        <v>0</v>
      </c>
      <c r="I3288" s="157">
        <f ca="1">IF(OFFSET('IWP27'!Std11dot4Hospitalization, 0, 10, 1, 1) = DATE(1900,1,0),DATE(1900,1,1),OFFSET('IWP27'!Std11dot4Hospitalization, 0, 10, 1, 1))</f>
        <v>1</v>
      </c>
      <c r="J3288" s="158">
        <f ca="1">IF(OFFSET('IWP27'!Std11dot4Hospitalization, 0, 12, 1, 1) = DATE(1900,1,0),DATE(1900,1,1),OFFSET('IWP27'!Std11dot4Hospitalization, 0, 12, 1, 1))</f>
        <v>1</v>
      </c>
    </row>
    <row r="3289" spans="1:10">
      <c r="A3289" s="206" t="s">
        <v>1330</v>
      </c>
      <c r="B3289" s="157">
        <f ca="1">IF(OFFSET('IWP27'!Std11dot4Hospitalization, 1, 0, 1, 1) = DATE(1900,1,0),DATE(1900,1,1),OFFSET('IWP27'!Std11dot4Hospitalization, 1, 0, 1, 1))</f>
        <v>1</v>
      </c>
      <c r="C3289" s="157">
        <f ca="1">IF(OFFSET('IWP27'!Std11dot4Hospitalization, 1, 1, 1, 1) = DATE(1900,1,0),DATE(1900,1,1),OFFSET('IWP27'!Std11dot4Hospitalization, 1, 1, 1, 1))</f>
        <v>1</v>
      </c>
      <c r="D3289" s="13">
        <f ca="1">OFFSET('IWP27'!Std11dot4Hospitalization, 1, 2, 1, 1)</f>
        <v>0</v>
      </c>
      <c r="E3289" s="155">
        <f ca="1">OFFSET('IWP27'!Std11dot4Hospitalization, 1, 3, 1, 1)</f>
        <v>0</v>
      </c>
      <c r="F3289" s="155">
        <f ca="1">OFFSET('IWP27'!Std11dot4Hospitalization, 1,5, 1, 1)</f>
        <v>0</v>
      </c>
      <c r="G3289" s="155">
        <f ca="1">OFFSET('IWP27'!Std11dot4Hospitalization, 1,7, 1, 1)</f>
        <v>0</v>
      </c>
      <c r="H3289" s="155">
        <f ca="1">IF(OFFSET('IWP27'!Std11dot4Hospitalization, 1,8, 1, 1)="",0,OFFSET('IWP27'!Std11dot4Hospitalization, 1,8, 1, 1))</f>
        <v>0</v>
      </c>
      <c r="I3289" s="157">
        <f ca="1">IF(OFFSET('IWP27'!Std11dot4Hospitalization, 1, 10, 1, 1) = DATE(1900,1,0),DATE(1900,1,1),OFFSET('IWP27'!Std11dot4Hospitalization, 1, 10, 1, 1))</f>
        <v>1</v>
      </c>
      <c r="J3289" s="158">
        <f ca="1">IF(OFFSET('IWP27'!Std11dot4Hospitalization, 1, 12, 1, 1) = DATE(1900,1,0),DATE(1900,1,1),OFFSET('IWP27'!Std11dot4Hospitalization, 1, 12, 1, 1))</f>
        <v>1</v>
      </c>
    </row>
    <row r="3290" spans="1:10">
      <c r="A3290" s="206" t="s">
        <v>1330</v>
      </c>
      <c r="B3290" s="157">
        <f ca="1">IF(OFFSET('IWP27'!Std11dot4Hospitalization, 2, 0, 1, 1) = DATE(1900,1,0),DATE(1900,1,1),OFFSET('IWP27'!Std11dot4Hospitalization, 2, 0, 1, 1))</f>
        <v>1</v>
      </c>
      <c r="C3290" s="157">
        <f ca="1">IF(OFFSET('IWP27'!Std11dot4Hospitalization, 2, 1, 1, 1) = DATE(1900,1,0),DATE(1900,1,1),OFFSET('IWP27'!Std11dot4Hospitalization, 2, 1, 1, 1))</f>
        <v>1</v>
      </c>
      <c r="D3290" s="13">
        <f ca="1">OFFSET('IWP27'!Std11dot4Hospitalization, 2, 2, 1, 1)</f>
        <v>0</v>
      </c>
      <c r="E3290" s="155">
        <f ca="1">OFFSET('IWP27'!Std11dot4Hospitalization, 2, 3, 1, 1)</f>
        <v>0</v>
      </c>
      <c r="F3290" s="155">
        <f ca="1">OFFSET('IWP27'!Std11dot4Hospitalization, 2,5, 1, 1)</f>
        <v>0</v>
      </c>
      <c r="G3290" s="155">
        <f ca="1">OFFSET('IWP27'!Std11dot4Hospitalization, 2,7, 1, 1)</f>
        <v>0</v>
      </c>
      <c r="H3290" s="155">
        <f ca="1">IF(OFFSET('IWP27'!Std11dot4Hospitalization, 2,8, 1, 1)="",0,OFFSET('IWP27'!Std11dot4Hospitalization, 2,8, 1, 1))</f>
        <v>0</v>
      </c>
      <c r="I3290" s="157">
        <f ca="1">IF(OFFSET('IWP27'!Std11dot4Hospitalization, 2, 10, 1, 1) = DATE(1900,1,0),DATE(1900,1,1),OFFSET('IWP27'!Std11dot4Hospitalization, 2, 10, 1, 1))</f>
        <v>1</v>
      </c>
      <c r="J3290" s="158">
        <f ca="1">IF(OFFSET('IWP27'!Std11dot4Hospitalization, 2, 12, 1, 1) = DATE(1900,1,0),DATE(1900,1,1),OFFSET('IWP27'!Std11dot4Hospitalization, 2, 12, 1, 1))</f>
        <v>1</v>
      </c>
    </row>
    <row r="3291" spans="1:10">
      <c r="A3291" s="206" t="s">
        <v>1330</v>
      </c>
      <c r="B3291" s="157">
        <f ca="1">IF(OFFSET('IWP27'!Std11dot4Hospitalization, 3, 0, 1, 1) = DATE(1900,1,0),DATE(1900,1,1),OFFSET('IWP27'!Std11dot4Hospitalization, 3, 0, 1, 1))</f>
        <v>1</v>
      </c>
      <c r="C3291" s="157">
        <f ca="1">IF(OFFSET('IWP27'!Std11dot4Hospitalization, 3, 1, 1, 1) = DATE(1900,1,0),DATE(1900,1,1),OFFSET('IWP27'!Std11dot4Hospitalization, 3, 1, 1, 1))</f>
        <v>1</v>
      </c>
      <c r="D3291" s="13">
        <f ca="1">OFFSET('IWP27'!Std11dot4Hospitalization, 3, 2, 1, 1)</f>
        <v>0</v>
      </c>
      <c r="E3291" s="155">
        <f ca="1">OFFSET('IWP27'!Std11dot4Hospitalization, 3, 3, 1, 1)</f>
        <v>0</v>
      </c>
      <c r="F3291" s="155">
        <f ca="1">OFFSET('IWP27'!Std11dot4Hospitalization, 3,5, 1, 1)</f>
        <v>0</v>
      </c>
      <c r="G3291" s="155">
        <f ca="1">OFFSET('IWP27'!Std11dot4Hospitalization, 3,7, 1, 1)</f>
        <v>0</v>
      </c>
      <c r="H3291" s="155">
        <f ca="1">IF(OFFSET('IWP27'!Std11dot4Hospitalization, 3,8, 1, 1)="",0,OFFSET('IWP27'!Std11dot4Hospitalization, 3,8, 1, 1))</f>
        <v>0</v>
      </c>
      <c r="I3291" s="157">
        <f ca="1">IF(OFFSET('IWP27'!Std11dot4Hospitalization, 3, 10, 1, 1) = DATE(1900,1,0),DATE(1900,1,1),OFFSET('IWP27'!Std11dot4Hospitalization, 3, 10, 1, 1))</f>
        <v>1</v>
      </c>
      <c r="J3291" s="158">
        <f ca="1">IF(OFFSET('IWP27'!Std11dot4Hospitalization, 3, 12, 1, 1) = DATE(1900,1,0),DATE(1900,1,1),OFFSET('IWP27'!Std11dot4Hospitalization, 3, 12, 1, 1))</f>
        <v>1</v>
      </c>
    </row>
    <row r="3292" spans="1:10">
      <c r="A3292" s="206" t="s">
        <v>1330</v>
      </c>
      <c r="B3292" s="157">
        <f ca="1">IF(OFFSET('IWP27'!Std11dot4Hospitalization, 4, 0, 1, 1) = DATE(1900,1,0),DATE(1900,1,1),OFFSET('IWP27'!Std11dot4Hospitalization, 4, 0, 1, 1))</f>
        <v>1</v>
      </c>
      <c r="C3292" s="157">
        <f ca="1">IF(OFFSET('IWP27'!Std11dot4Hospitalization, 4, 1, 1, 1) = DATE(1900,1,0),DATE(1900,1,1),OFFSET('IWP27'!Std11dot4Hospitalization, 4, 1, 1, 1))</f>
        <v>1</v>
      </c>
      <c r="D3292" s="13">
        <f ca="1">OFFSET('IWP27'!Std11dot4Hospitalization, 4, 2, 1, 1)</f>
        <v>0</v>
      </c>
      <c r="E3292" s="155">
        <f ca="1">OFFSET('IWP27'!Std11dot4Hospitalization, 4, 3, 1, 1)</f>
        <v>0</v>
      </c>
      <c r="F3292" s="155">
        <f ca="1">OFFSET('IWP27'!Std11dot4Hospitalization, 4,5, 1, 1)</f>
        <v>0</v>
      </c>
      <c r="G3292" s="155">
        <f ca="1">OFFSET('IWP27'!Std11dot4Hospitalization, 4,7, 1, 1)</f>
        <v>0</v>
      </c>
      <c r="H3292" s="155">
        <f ca="1">IF(OFFSET('IWP27'!Std11dot4Hospitalization, 4,8, 1, 1)="",0,OFFSET('IWP27'!Std11dot4Hospitalization, 4,8, 1, 1))</f>
        <v>0</v>
      </c>
      <c r="I3292" s="157">
        <f ca="1">IF(OFFSET('IWP27'!Std11dot4Hospitalization, 4, 10, 1, 1) = DATE(1900,1,0),DATE(1900,1,1),OFFSET('IWP27'!Std11dot4Hospitalization, 4, 10, 1, 1))</f>
        <v>1</v>
      </c>
      <c r="J3292" s="158">
        <f ca="1">IF(OFFSET('IWP27'!Std11dot4Hospitalization, 4, 12, 1, 1) = DATE(1900,1,0),DATE(1900,1,1),OFFSET('IWP27'!Std11dot4Hospitalization, 4, 12, 1, 1))</f>
        <v>1</v>
      </c>
    </row>
    <row r="3293" spans="1:10">
      <c r="A3293" s="206" t="s">
        <v>1330</v>
      </c>
      <c r="B3293" s="157">
        <f ca="1">IF(OFFSET('IWP27'!Std11dot4Hospitalization, 5, 0, 1, 1) = DATE(1900,1,0),DATE(1900,1,1),OFFSET('IWP27'!Std11dot4Hospitalization, 5, 0, 1, 1))</f>
        <v>1</v>
      </c>
      <c r="C3293" s="157">
        <f ca="1">IF(OFFSET('IWP27'!Std11dot4Hospitalization, 5, 1, 1, 1) = DATE(1900,1,0),DATE(1900,1,1),OFFSET('IWP27'!Std11dot4Hospitalization, 5, 1, 1, 1))</f>
        <v>1</v>
      </c>
      <c r="D3293" s="13">
        <f ca="1">OFFSET('IWP27'!Std11dot4Hospitalization, 5, 2, 1, 1)</f>
        <v>0</v>
      </c>
      <c r="E3293" s="155">
        <f ca="1">OFFSET('IWP27'!Std11dot4Hospitalization, 5, 3, 1, 1)</f>
        <v>0</v>
      </c>
      <c r="F3293" s="155">
        <f ca="1">OFFSET('IWP27'!Std11dot4Hospitalization, 5,5, 1, 1)</f>
        <v>0</v>
      </c>
      <c r="G3293" s="155">
        <f ca="1">OFFSET('IWP27'!Std11dot4Hospitalization, 5,7, 1, 1)</f>
        <v>0</v>
      </c>
      <c r="H3293" s="155">
        <f ca="1">IF(OFFSET('IWP27'!Std11dot4Hospitalization, 5,8, 1, 1)="",0,OFFSET('IWP27'!Std11dot4Hospitalization, 5,8, 1, 1))</f>
        <v>0</v>
      </c>
      <c r="I3293" s="157">
        <f ca="1">IF(OFFSET('IWP27'!Std11dot4Hospitalization, 5, 10, 1, 1) = DATE(1900,1,0),DATE(1900,1,1),OFFSET('IWP27'!Std11dot4Hospitalization, 5, 10, 1, 1))</f>
        <v>1</v>
      </c>
      <c r="J3293" s="158">
        <f ca="1">IF(OFFSET('IWP27'!Std11dot4Hospitalization, 5, 12, 1, 1) = DATE(1900,1,0),DATE(1900,1,1),OFFSET('IWP27'!Std11dot4Hospitalization, 5, 12, 1, 1))</f>
        <v>1</v>
      </c>
    </row>
    <row r="3294" spans="1:10">
      <c r="A3294" s="206" t="s">
        <v>1331</v>
      </c>
      <c r="B3294" s="157">
        <f ca="1">IF(OFFSET('IWP28'!Std11dot4Hospitalization, 0, 0, 1, 1) = DATE(1900,1,0),DATE(1900,1,1),OFFSET('IWP28'!Std11dot4Hospitalization, 0, 0, 1, 1))</f>
        <v>1</v>
      </c>
      <c r="C3294" s="157">
        <f ca="1">IF(OFFSET('IWP28'!Std11dot4Hospitalization, 0, 1, 1, 1) = DATE(1900,1,0),DATE(1900,1,1),OFFSET('IWP28'!Std11dot4Hospitalization, 0, 1, 1, 1))</f>
        <v>1</v>
      </c>
      <c r="D3294" s="13">
        <f ca="1">OFFSET('IWP28'!Std11dot4Hospitalization, 0, 2, 1, 1)</f>
        <v>0</v>
      </c>
      <c r="E3294" s="155">
        <f ca="1">OFFSET('IWP28'!Std11dot4Hospitalization, 0, 3, 1, 1)</f>
        <v>0</v>
      </c>
      <c r="F3294" s="155">
        <f ca="1">OFFSET('IWP28'!Std11dot4Hospitalization, 0,5, 1, 1)</f>
        <v>0</v>
      </c>
      <c r="G3294" s="155">
        <f ca="1">OFFSET('IWP28'!Std11dot4Hospitalization, 0,7, 1, 1)</f>
        <v>0</v>
      </c>
      <c r="H3294" s="155">
        <f ca="1">IF(OFFSET('IWP28'!Std11dot4Hospitalization, 0,8, 1, 1)="",0,OFFSET('IWP28'!Std11dot4Hospitalization, 0,8, 1, 1))</f>
        <v>0</v>
      </c>
      <c r="I3294" s="157">
        <f ca="1">IF(OFFSET('IWP28'!Std11dot4Hospitalization, 0, 10, 1, 1) = DATE(1900,1,0),DATE(1900,1,1),OFFSET('IWP28'!Std11dot4Hospitalization, 0, 10, 1, 1))</f>
        <v>1</v>
      </c>
      <c r="J3294" s="158">
        <f ca="1">IF(OFFSET('IWP28'!Std11dot4Hospitalization, 0, 12, 1, 1) = DATE(1900,1,0),DATE(1900,1,1),OFFSET('IWP28'!Std11dot4Hospitalization, 0, 12, 1, 1))</f>
        <v>1</v>
      </c>
    </row>
    <row r="3295" spans="1:10">
      <c r="A3295" s="206" t="s">
        <v>1331</v>
      </c>
      <c r="B3295" s="157">
        <f ca="1">IF(OFFSET('IWP28'!Std11dot4Hospitalization, 1, 0, 1, 1) = DATE(1900,1,0),DATE(1900,1,1),OFFSET('IWP28'!Std11dot4Hospitalization, 1, 0, 1, 1))</f>
        <v>1</v>
      </c>
      <c r="C3295" s="157">
        <f ca="1">IF(OFFSET('IWP28'!Std11dot4Hospitalization, 1, 1, 1, 1) = DATE(1900,1,0),DATE(1900,1,1),OFFSET('IWP28'!Std11dot4Hospitalization, 1, 1, 1, 1))</f>
        <v>1</v>
      </c>
      <c r="D3295" s="13">
        <f ca="1">OFFSET('IWP28'!Std11dot4Hospitalization, 1, 2, 1, 1)</f>
        <v>0</v>
      </c>
      <c r="E3295" s="155">
        <f ca="1">OFFSET('IWP28'!Std11dot4Hospitalization, 1, 3, 1, 1)</f>
        <v>0</v>
      </c>
      <c r="F3295" s="155">
        <f ca="1">OFFSET('IWP28'!Std11dot4Hospitalization, 1,5, 1, 1)</f>
        <v>0</v>
      </c>
      <c r="G3295" s="155">
        <f ca="1">OFFSET('IWP28'!Std11dot4Hospitalization, 1,7, 1, 1)</f>
        <v>0</v>
      </c>
      <c r="H3295" s="155">
        <f ca="1">IF(OFFSET('IWP28'!Std11dot4Hospitalization, 1,8, 1, 1)="",0,OFFSET('IWP28'!Std11dot4Hospitalization, 1,8, 1, 1))</f>
        <v>0</v>
      </c>
      <c r="I3295" s="157">
        <f ca="1">IF(OFFSET('IWP28'!Std11dot4Hospitalization, 1, 10, 1, 1) = DATE(1900,1,0),DATE(1900,1,1),OFFSET('IWP28'!Std11dot4Hospitalization, 1, 10, 1, 1))</f>
        <v>1</v>
      </c>
      <c r="J3295" s="158">
        <f ca="1">IF(OFFSET('IWP28'!Std11dot4Hospitalization, 1, 12, 1, 1) = DATE(1900,1,0),DATE(1900,1,1),OFFSET('IWP28'!Std11dot4Hospitalization, 1, 12, 1, 1))</f>
        <v>1</v>
      </c>
    </row>
    <row r="3296" spans="1:10">
      <c r="A3296" s="206" t="s">
        <v>1331</v>
      </c>
      <c r="B3296" s="157">
        <f ca="1">IF(OFFSET('IWP28'!Std11dot4Hospitalization, 2, 0, 1, 1) = DATE(1900,1,0),DATE(1900,1,1),OFFSET('IWP28'!Std11dot4Hospitalization, 2, 0, 1, 1))</f>
        <v>1</v>
      </c>
      <c r="C3296" s="157">
        <f ca="1">IF(OFFSET('IWP28'!Std11dot4Hospitalization, 2, 1, 1, 1) = DATE(1900,1,0),DATE(1900,1,1),OFFSET('IWP28'!Std11dot4Hospitalization, 2, 1, 1, 1))</f>
        <v>1</v>
      </c>
      <c r="D3296" s="13">
        <f ca="1">OFFSET('IWP28'!Std11dot4Hospitalization, 2, 2, 1, 1)</f>
        <v>0</v>
      </c>
      <c r="E3296" s="155">
        <f ca="1">OFFSET('IWP28'!Std11dot4Hospitalization, 2, 3, 1, 1)</f>
        <v>0</v>
      </c>
      <c r="F3296" s="155">
        <f ca="1">OFFSET('IWP28'!Std11dot4Hospitalization, 2,5, 1, 1)</f>
        <v>0</v>
      </c>
      <c r="G3296" s="155">
        <f ca="1">OFFSET('IWP28'!Std11dot4Hospitalization, 2,7, 1, 1)</f>
        <v>0</v>
      </c>
      <c r="H3296" s="155">
        <f ca="1">IF(OFFSET('IWP28'!Std11dot4Hospitalization, 2,8, 1, 1)="",0,OFFSET('IWP28'!Std11dot4Hospitalization, 2,8, 1, 1))</f>
        <v>0</v>
      </c>
      <c r="I3296" s="157">
        <f ca="1">IF(OFFSET('IWP28'!Std11dot4Hospitalization, 2, 10, 1, 1) = DATE(1900,1,0),DATE(1900,1,1),OFFSET('IWP28'!Std11dot4Hospitalization, 2, 10, 1, 1))</f>
        <v>1</v>
      </c>
      <c r="J3296" s="158">
        <f ca="1">IF(OFFSET('IWP28'!Std11dot4Hospitalization, 2, 12, 1, 1) = DATE(1900,1,0),DATE(1900,1,1),OFFSET('IWP28'!Std11dot4Hospitalization, 2, 12, 1, 1))</f>
        <v>1</v>
      </c>
    </row>
    <row r="3297" spans="1:10">
      <c r="A3297" s="206" t="s">
        <v>1331</v>
      </c>
      <c r="B3297" s="157">
        <f ca="1">IF(OFFSET('IWP28'!Std11dot4Hospitalization, 3, 0, 1, 1) = DATE(1900,1,0),DATE(1900,1,1),OFFSET('IWP28'!Std11dot4Hospitalization, 3, 0, 1, 1))</f>
        <v>1</v>
      </c>
      <c r="C3297" s="157">
        <f ca="1">IF(OFFSET('IWP28'!Std11dot4Hospitalization, 3, 1, 1, 1) = DATE(1900,1,0),DATE(1900,1,1),OFFSET('IWP28'!Std11dot4Hospitalization, 3, 1, 1, 1))</f>
        <v>1</v>
      </c>
      <c r="D3297" s="13">
        <f ca="1">OFFSET('IWP28'!Std11dot4Hospitalization, 3, 2, 1, 1)</f>
        <v>0</v>
      </c>
      <c r="E3297" s="155">
        <f ca="1">OFFSET('IWP28'!Std11dot4Hospitalization, 3, 3, 1, 1)</f>
        <v>0</v>
      </c>
      <c r="F3297" s="155">
        <f ca="1">OFFSET('IWP28'!Std11dot4Hospitalization, 3,5, 1, 1)</f>
        <v>0</v>
      </c>
      <c r="G3297" s="155">
        <f ca="1">OFFSET('IWP28'!Std11dot4Hospitalization, 3,7, 1, 1)</f>
        <v>0</v>
      </c>
      <c r="H3297" s="155">
        <f ca="1">IF(OFFSET('IWP28'!Std11dot4Hospitalization, 3,8, 1, 1)="",0,OFFSET('IWP28'!Std11dot4Hospitalization, 3,8, 1, 1))</f>
        <v>0</v>
      </c>
      <c r="I3297" s="157">
        <f ca="1">IF(OFFSET('IWP28'!Std11dot4Hospitalization, 3, 10, 1, 1) = DATE(1900,1,0),DATE(1900,1,1),OFFSET('IWP28'!Std11dot4Hospitalization, 3, 10, 1, 1))</f>
        <v>1</v>
      </c>
      <c r="J3297" s="158">
        <f ca="1">IF(OFFSET('IWP28'!Std11dot4Hospitalization, 3, 12, 1, 1) = DATE(1900,1,0),DATE(1900,1,1),OFFSET('IWP28'!Std11dot4Hospitalization, 3, 12, 1, 1))</f>
        <v>1</v>
      </c>
    </row>
    <row r="3298" spans="1:10">
      <c r="A3298" s="206" t="s">
        <v>1331</v>
      </c>
      <c r="B3298" s="157">
        <f ca="1">IF(OFFSET('IWP28'!Std11dot4Hospitalization, 4, 0, 1, 1) = DATE(1900,1,0),DATE(1900,1,1),OFFSET('IWP28'!Std11dot4Hospitalization, 4, 0, 1, 1))</f>
        <v>1</v>
      </c>
      <c r="C3298" s="157">
        <f ca="1">IF(OFFSET('IWP28'!Std11dot4Hospitalization, 4, 1, 1, 1) = DATE(1900,1,0),DATE(1900,1,1),OFFSET('IWP28'!Std11dot4Hospitalization, 4, 1, 1, 1))</f>
        <v>1</v>
      </c>
      <c r="D3298" s="13">
        <f ca="1">OFFSET('IWP28'!Std11dot4Hospitalization, 4, 2, 1, 1)</f>
        <v>0</v>
      </c>
      <c r="E3298" s="155">
        <f ca="1">OFFSET('IWP28'!Std11dot4Hospitalization, 4, 3, 1, 1)</f>
        <v>0</v>
      </c>
      <c r="F3298" s="155">
        <f ca="1">OFFSET('IWP28'!Std11dot4Hospitalization, 4,5, 1, 1)</f>
        <v>0</v>
      </c>
      <c r="G3298" s="155">
        <f ca="1">OFFSET('IWP28'!Std11dot4Hospitalization, 4,7, 1, 1)</f>
        <v>0</v>
      </c>
      <c r="H3298" s="155">
        <f ca="1">IF(OFFSET('IWP28'!Std11dot4Hospitalization, 4,8, 1, 1)="",0,OFFSET('IWP28'!Std11dot4Hospitalization, 4,8, 1, 1))</f>
        <v>0</v>
      </c>
      <c r="I3298" s="157">
        <f ca="1">IF(OFFSET('IWP28'!Std11dot4Hospitalization, 4, 10, 1, 1) = DATE(1900,1,0),DATE(1900,1,1),OFFSET('IWP28'!Std11dot4Hospitalization, 4, 10, 1, 1))</f>
        <v>1</v>
      </c>
      <c r="J3298" s="158">
        <f ca="1">IF(OFFSET('IWP28'!Std11dot4Hospitalization, 4, 12, 1, 1) = DATE(1900,1,0),DATE(1900,1,1),OFFSET('IWP28'!Std11dot4Hospitalization, 4, 12, 1, 1))</f>
        <v>1</v>
      </c>
    </row>
    <row r="3299" spans="1:10">
      <c r="A3299" s="206" t="s">
        <v>1331</v>
      </c>
      <c r="B3299" s="157">
        <f ca="1">IF(OFFSET('IWP28'!Std11dot4Hospitalization, 5, 0, 1, 1) = DATE(1900,1,0),DATE(1900,1,1),OFFSET('IWP28'!Std11dot4Hospitalization, 5, 0, 1, 1))</f>
        <v>1</v>
      </c>
      <c r="C3299" s="157">
        <f ca="1">IF(OFFSET('IWP28'!Std11dot4Hospitalization, 5, 1, 1, 1) = DATE(1900,1,0),DATE(1900,1,1),OFFSET('IWP28'!Std11dot4Hospitalization, 5, 1, 1, 1))</f>
        <v>1</v>
      </c>
      <c r="D3299" s="13">
        <f ca="1">OFFSET('IWP28'!Std11dot4Hospitalization, 5, 2, 1, 1)</f>
        <v>0</v>
      </c>
      <c r="E3299" s="155">
        <f ca="1">OFFSET('IWP28'!Std11dot4Hospitalization, 5, 3, 1, 1)</f>
        <v>0</v>
      </c>
      <c r="F3299" s="155">
        <f ca="1">OFFSET('IWP28'!Std11dot4Hospitalization, 5,5, 1, 1)</f>
        <v>0</v>
      </c>
      <c r="G3299" s="155">
        <f ca="1">OFFSET('IWP28'!Std11dot4Hospitalization, 5,7, 1, 1)</f>
        <v>0</v>
      </c>
      <c r="H3299" s="155">
        <f ca="1">IF(OFFSET('IWP28'!Std11dot4Hospitalization, 5,8, 1, 1)="",0,OFFSET('IWP28'!Std11dot4Hospitalization, 5,8, 1, 1))</f>
        <v>0</v>
      </c>
      <c r="I3299" s="157">
        <f ca="1">IF(OFFSET('IWP28'!Std11dot4Hospitalization, 5, 10, 1, 1) = DATE(1900,1,0),DATE(1900,1,1),OFFSET('IWP28'!Std11dot4Hospitalization, 5, 10, 1, 1))</f>
        <v>1</v>
      </c>
      <c r="J3299" s="158">
        <f ca="1">IF(OFFSET('IWP28'!Std11dot4Hospitalization, 5, 12, 1, 1) = DATE(1900,1,0),DATE(1900,1,1),OFFSET('IWP28'!Std11dot4Hospitalization, 5, 12, 1, 1))</f>
        <v>1</v>
      </c>
    </row>
    <row r="3300" spans="1:10">
      <c r="A3300" s="206" t="s">
        <v>1332</v>
      </c>
      <c r="B3300" s="157">
        <f ca="1">IF(OFFSET('IWP29'!Std11dot4Hospitalization, 0, 0, 1, 1) = DATE(1900,1,0),DATE(1900,1,1),OFFSET('IWP29'!Std11dot4Hospitalization, 0, 0, 1, 1))</f>
        <v>1</v>
      </c>
      <c r="C3300" s="157">
        <f ca="1">IF(OFFSET('IWP29'!Std11dot4Hospitalization, 0, 1, 1, 1) = DATE(1900,1,0),DATE(1900,1,1),OFFSET('IWP29'!Std11dot4Hospitalization, 0, 1, 1, 1))</f>
        <v>1</v>
      </c>
      <c r="D3300" s="13">
        <f ca="1">OFFSET('IWP29'!Std11dot4Hospitalization, 0, 2, 1, 1)</f>
        <v>0</v>
      </c>
      <c r="E3300" s="155">
        <f ca="1">OFFSET('IWP29'!Std11dot4Hospitalization, 0, 3, 1, 1)</f>
        <v>0</v>
      </c>
      <c r="F3300" s="155">
        <f ca="1">OFFSET('IWP29'!Std11dot4Hospitalization, 0,5, 1, 1)</f>
        <v>0</v>
      </c>
      <c r="G3300" s="155">
        <f ca="1">OFFSET('IWP29'!Std11dot4Hospitalization, 0,7, 1, 1)</f>
        <v>0</v>
      </c>
      <c r="H3300" s="155">
        <f ca="1">IF(OFFSET('IWP29'!Std11dot4Hospitalization, 0,8, 1, 1)="",0,OFFSET('IWP29'!Std11dot4Hospitalization, 0,8, 1, 1))</f>
        <v>0</v>
      </c>
      <c r="I3300" s="157">
        <f ca="1">IF(OFFSET('IWP29'!Std11dot4Hospitalization, 0, 10, 1, 1) = DATE(1900,1,0),DATE(1900,1,1),OFFSET('IWP29'!Std11dot4Hospitalization, 0, 10, 1, 1))</f>
        <v>1</v>
      </c>
      <c r="J3300" s="158">
        <f ca="1">IF(OFFSET('IWP29'!Std11dot4Hospitalization, 0, 12, 1, 1) = DATE(1900,1,0),DATE(1900,1,1),OFFSET('IWP29'!Std11dot4Hospitalization, 0, 12, 1, 1))</f>
        <v>1</v>
      </c>
    </row>
    <row r="3301" spans="1:10">
      <c r="A3301" s="206" t="s">
        <v>1332</v>
      </c>
      <c r="B3301" s="157">
        <f ca="1">IF(OFFSET('IWP29'!Std11dot4Hospitalization, 1, 0, 1, 1) = DATE(1900,1,0),DATE(1900,1,1),OFFSET('IWP29'!Std11dot4Hospitalization, 1, 0, 1, 1))</f>
        <v>1</v>
      </c>
      <c r="C3301" s="157">
        <f ca="1">IF(OFFSET('IWP29'!Std11dot4Hospitalization, 1, 1, 1, 1) = DATE(1900,1,0),DATE(1900,1,1),OFFSET('IWP29'!Std11dot4Hospitalization, 1, 1, 1, 1))</f>
        <v>1</v>
      </c>
      <c r="D3301" s="13">
        <f ca="1">OFFSET('IWP29'!Std11dot4Hospitalization, 1, 2, 1, 1)</f>
        <v>0</v>
      </c>
      <c r="E3301" s="155">
        <f ca="1">OFFSET('IWP29'!Std11dot4Hospitalization, 1, 3, 1, 1)</f>
        <v>0</v>
      </c>
      <c r="F3301" s="155">
        <f ca="1">OFFSET('IWP29'!Std11dot4Hospitalization, 1,5, 1, 1)</f>
        <v>0</v>
      </c>
      <c r="G3301" s="155">
        <f ca="1">OFFSET('IWP29'!Std11dot4Hospitalization, 1,7, 1, 1)</f>
        <v>0</v>
      </c>
      <c r="H3301" s="155">
        <f ca="1">IF(OFFSET('IWP29'!Std11dot4Hospitalization, 1,8, 1, 1)="",0,OFFSET('IWP29'!Std11dot4Hospitalization, 1,8, 1, 1))</f>
        <v>0</v>
      </c>
      <c r="I3301" s="157">
        <f ca="1">IF(OFFSET('IWP29'!Std11dot4Hospitalization, 1, 10, 1, 1) = DATE(1900,1,0),DATE(1900,1,1),OFFSET('IWP29'!Std11dot4Hospitalization, 1, 10, 1, 1))</f>
        <v>1</v>
      </c>
      <c r="J3301" s="158">
        <f ca="1">IF(OFFSET('IWP29'!Std11dot4Hospitalization, 1, 12, 1, 1) = DATE(1900,1,0),DATE(1900,1,1),OFFSET('IWP29'!Std11dot4Hospitalization, 1, 12, 1, 1))</f>
        <v>1</v>
      </c>
    </row>
    <row r="3302" spans="1:10">
      <c r="A3302" s="206" t="s">
        <v>1332</v>
      </c>
      <c r="B3302" s="157">
        <f ca="1">IF(OFFSET('IWP29'!Std11dot4Hospitalization, 2, 0, 1, 1) = DATE(1900,1,0),DATE(1900,1,1),OFFSET('IWP29'!Std11dot4Hospitalization, 2, 0, 1, 1))</f>
        <v>1</v>
      </c>
      <c r="C3302" s="157">
        <f ca="1">IF(OFFSET('IWP29'!Std11dot4Hospitalization, 2, 1, 1, 1) = DATE(1900,1,0),DATE(1900,1,1),OFFSET('IWP29'!Std11dot4Hospitalization, 2, 1, 1, 1))</f>
        <v>1</v>
      </c>
      <c r="D3302" s="13">
        <f ca="1">OFFSET('IWP29'!Std11dot4Hospitalization, 2, 2, 1, 1)</f>
        <v>0</v>
      </c>
      <c r="E3302" s="155">
        <f ca="1">OFFSET('IWP29'!Std11dot4Hospitalization, 2, 3, 1, 1)</f>
        <v>0</v>
      </c>
      <c r="F3302" s="155">
        <f ca="1">OFFSET('IWP29'!Std11dot4Hospitalization, 2,5, 1, 1)</f>
        <v>0</v>
      </c>
      <c r="G3302" s="155">
        <f ca="1">OFFSET('IWP29'!Std11dot4Hospitalization, 2,7, 1, 1)</f>
        <v>0</v>
      </c>
      <c r="H3302" s="155">
        <f ca="1">IF(OFFSET('IWP29'!Std11dot4Hospitalization, 2,8, 1, 1)="",0,OFFSET('IWP29'!Std11dot4Hospitalization, 2,8, 1, 1))</f>
        <v>0</v>
      </c>
      <c r="I3302" s="157">
        <f ca="1">IF(OFFSET('IWP29'!Std11dot4Hospitalization, 2, 10, 1, 1) = DATE(1900,1,0),DATE(1900,1,1),OFFSET('IWP29'!Std11dot4Hospitalization, 2, 10, 1, 1))</f>
        <v>1</v>
      </c>
      <c r="J3302" s="158">
        <f ca="1">IF(OFFSET('IWP29'!Std11dot4Hospitalization, 2, 12, 1, 1) = DATE(1900,1,0),DATE(1900,1,1),OFFSET('IWP29'!Std11dot4Hospitalization, 2, 12, 1, 1))</f>
        <v>1</v>
      </c>
    </row>
    <row r="3303" spans="1:10">
      <c r="A3303" s="206" t="s">
        <v>1332</v>
      </c>
      <c r="B3303" s="157">
        <f ca="1">IF(OFFSET('IWP29'!Std11dot4Hospitalization, 3, 0, 1, 1) = DATE(1900,1,0),DATE(1900,1,1),OFFSET('IWP29'!Std11dot4Hospitalization, 3, 0, 1, 1))</f>
        <v>1</v>
      </c>
      <c r="C3303" s="157">
        <f ca="1">IF(OFFSET('IWP29'!Std11dot4Hospitalization, 3, 1, 1, 1) = DATE(1900,1,0),DATE(1900,1,1),OFFSET('IWP29'!Std11dot4Hospitalization, 3, 1, 1, 1))</f>
        <v>1</v>
      </c>
      <c r="D3303" s="13">
        <f ca="1">OFFSET('IWP29'!Std11dot4Hospitalization, 3, 2, 1, 1)</f>
        <v>0</v>
      </c>
      <c r="E3303" s="155">
        <f ca="1">OFFSET('IWP29'!Std11dot4Hospitalization, 3, 3, 1, 1)</f>
        <v>0</v>
      </c>
      <c r="F3303" s="155">
        <f ca="1">OFFSET('IWP29'!Std11dot4Hospitalization, 3,5, 1, 1)</f>
        <v>0</v>
      </c>
      <c r="G3303" s="155">
        <f ca="1">OFFSET('IWP29'!Std11dot4Hospitalization, 3,7, 1, 1)</f>
        <v>0</v>
      </c>
      <c r="H3303" s="155">
        <f ca="1">IF(OFFSET('IWP29'!Std11dot4Hospitalization, 3,8, 1, 1)="",0,OFFSET('IWP29'!Std11dot4Hospitalization, 3,8, 1, 1))</f>
        <v>0</v>
      </c>
      <c r="I3303" s="157">
        <f ca="1">IF(OFFSET('IWP29'!Std11dot4Hospitalization, 3, 10, 1, 1) = DATE(1900,1,0),DATE(1900,1,1),OFFSET('IWP29'!Std11dot4Hospitalization, 3, 10, 1, 1))</f>
        <v>1</v>
      </c>
      <c r="J3303" s="158">
        <f ca="1">IF(OFFSET('IWP29'!Std11dot4Hospitalization, 3, 12, 1, 1) = DATE(1900,1,0),DATE(1900,1,1),OFFSET('IWP29'!Std11dot4Hospitalization, 3, 12, 1, 1))</f>
        <v>1</v>
      </c>
    </row>
    <row r="3304" spans="1:10">
      <c r="A3304" s="206" t="s">
        <v>1332</v>
      </c>
      <c r="B3304" s="157">
        <f ca="1">IF(OFFSET('IWP29'!Std11dot4Hospitalization, 4, 0, 1, 1) = DATE(1900,1,0),DATE(1900,1,1),OFFSET('IWP29'!Std11dot4Hospitalization, 4, 0, 1, 1))</f>
        <v>1</v>
      </c>
      <c r="C3304" s="157">
        <f ca="1">IF(OFFSET('IWP29'!Std11dot4Hospitalization, 4, 1, 1, 1) = DATE(1900,1,0),DATE(1900,1,1),OFFSET('IWP29'!Std11dot4Hospitalization, 4, 1, 1, 1))</f>
        <v>1</v>
      </c>
      <c r="D3304" s="13">
        <f ca="1">OFFSET('IWP29'!Std11dot4Hospitalization, 4, 2, 1, 1)</f>
        <v>0</v>
      </c>
      <c r="E3304" s="155">
        <f ca="1">OFFSET('IWP29'!Std11dot4Hospitalization, 4, 3, 1, 1)</f>
        <v>0</v>
      </c>
      <c r="F3304" s="155">
        <f ca="1">OFFSET('IWP29'!Std11dot4Hospitalization, 4,5, 1, 1)</f>
        <v>0</v>
      </c>
      <c r="G3304" s="155">
        <f ca="1">OFFSET('IWP29'!Std11dot4Hospitalization, 4,7, 1, 1)</f>
        <v>0</v>
      </c>
      <c r="H3304" s="155">
        <f ca="1">IF(OFFSET('IWP29'!Std11dot4Hospitalization, 4,8, 1, 1)="",0,OFFSET('IWP29'!Std11dot4Hospitalization, 4,8, 1, 1))</f>
        <v>0</v>
      </c>
      <c r="I3304" s="157">
        <f ca="1">IF(OFFSET('IWP29'!Std11dot4Hospitalization, 4, 10, 1, 1) = DATE(1900,1,0),DATE(1900,1,1),OFFSET('IWP29'!Std11dot4Hospitalization, 4, 10, 1, 1))</f>
        <v>1</v>
      </c>
      <c r="J3304" s="158">
        <f ca="1">IF(OFFSET('IWP29'!Std11dot4Hospitalization, 4, 12, 1, 1) = DATE(1900,1,0),DATE(1900,1,1),OFFSET('IWP29'!Std11dot4Hospitalization, 4, 12, 1, 1))</f>
        <v>1</v>
      </c>
    </row>
    <row r="3305" spans="1:10">
      <c r="A3305" s="206" t="s">
        <v>1332</v>
      </c>
      <c r="B3305" s="157">
        <f ca="1">IF(OFFSET('IWP29'!Std11dot4Hospitalization, 5, 0, 1, 1) = DATE(1900,1,0),DATE(1900,1,1),OFFSET('IWP29'!Std11dot4Hospitalization, 5, 0, 1, 1))</f>
        <v>1</v>
      </c>
      <c r="C3305" s="157">
        <f ca="1">IF(OFFSET('IWP29'!Std11dot4Hospitalization, 5, 1, 1, 1) = DATE(1900,1,0),DATE(1900,1,1),OFFSET('IWP29'!Std11dot4Hospitalization, 5, 1, 1, 1))</f>
        <v>1</v>
      </c>
      <c r="D3305" s="13">
        <f ca="1">OFFSET('IWP29'!Std11dot4Hospitalization, 5, 2, 1, 1)</f>
        <v>0</v>
      </c>
      <c r="E3305" s="155">
        <f ca="1">OFFSET('IWP29'!Std11dot4Hospitalization, 5, 3, 1, 1)</f>
        <v>0</v>
      </c>
      <c r="F3305" s="155">
        <f ca="1">OFFSET('IWP29'!Std11dot4Hospitalization, 5,5, 1, 1)</f>
        <v>0</v>
      </c>
      <c r="G3305" s="155">
        <f ca="1">OFFSET('IWP29'!Std11dot4Hospitalization, 5,7, 1, 1)</f>
        <v>0</v>
      </c>
      <c r="H3305" s="155">
        <f ca="1">IF(OFFSET('IWP29'!Std11dot4Hospitalization, 5,8, 1, 1)="",0,OFFSET('IWP29'!Std11dot4Hospitalization, 5,8, 1, 1))</f>
        <v>0</v>
      </c>
      <c r="I3305" s="157">
        <f ca="1">IF(OFFSET('IWP29'!Std11dot4Hospitalization, 5, 10, 1, 1) = DATE(1900,1,0),DATE(1900,1,1),OFFSET('IWP29'!Std11dot4Hospitalization, 5, 10, 1, 1))</f>
        <v>1</v>
      </c>
      <c r="J3305" s="158">
        <f ca="1">IF(OFFSET('IWP29'!Std11dot4Hospitalization, 5, 12, 1, 1) = DATE(1900,1,0),DATE(1900,1,1),OFFSET('IWP29'!Std11dot4Hospitalization, 5, 12, 1, 1))</f>
        <v>1</v>
      </c>
    </row>
    <row r="3306" spans="1:10">
      <c r="A3306" s="206" t="s">
        <v>1333</v>
      </c>
      <c r="B3306" s="157">
        <f ca="1">IF(OFFSET('IWP30'!Std11dot4Hospitalization, 0, 0, 1, 1) = DATE(1900,1,0),DATE(1900,1,1),OFFSET('IWP30'!Std11dot4Hospitalization, 0, 0, 1, 1))</f>
        <v>1</v>
      </c>
      <c r="C3306" s="157">
        <f ca="1">IF(OFFSET('IWP30'!Std11dot4Hospitalization, 0, 1, 1, 1) = DATE(1900,1,0),DATE(1900,1,1),OFFSET('IWP30'!Std11dot4Hospitalization, 0, 1, 1, 1))</f>
        <v>1</v>
      </c>
      <c r="D3306" s="13">
        <f ca="1">OFFSET('IWP30'!Std11dot4Hospitalization, 0, 2, 1, 1)</f>
        <v>0</v>
      </c>
      <c r="E3306" s="155">
        <f ca="1">OFFSET('IWP30'!Std11dot4Hospitalization, 0, 3, 1, 1)</f>
        <v>0</v>
      </c>
      <c r="F3306" s="155">
        <f ca="1">OFFSET('IWP30'!Std11dot4Hospitalization, 0,5, 1, 1)</f>
        <v>0</v>
      </c>
      <c r="G3306" s="155">
        <f ca="1">OFFSET('IWP30'!Std11dot4Hospitalization, 0,7, 1, 1)</f>
        <v>0</v>
      </c>
      <c r="H3306" s="155">
        <f ca="1">IF(OFFSET('IWP30'!Std11dot4Hospitalization, 0,8, 1, 1)="",0,OFFSET('IWP30'!Std11dot4Hospitalization, 0,8, 1, 1))</f>
        <v>0</v>
      </c>
      <c r="I3306" s="157">
        <f ca="1">IF(OFFSET('IWP30'!Std11dot4Hospitalization, 0, 10, 1, 1) = DATE(1900,1,0),DATE(1900,1,1),OFFSET('IWP30'!Std11dot4Hospitalization, 0, 10, 1, 1))</f>
        <v>1</v>
      </c>
      <c r="J3306" s="158">
        <f ca="1">IF(OFFSET('IWP30'!Std11dot4Hospitalization, 0, 12, 1, 1) = DATE(1900,1,0),DATE(1900,1,1),OFFSET('IWP30'!Std11dot4Hospitalization, 0, 12, 1, 1))</f>
        <v>1</v>
      </c>
    </row>
    <row r="3307" spans="1:10">
      <c r="A3307" s="206" t="s">
        <v>1333</v>
      </c>
      <c r="B3307" s="157">
        <f ca="1">IF(OFFSET('IWP30'!Std11dot4Hospitalization, 1, 0, 1, 1) = DATE(1900,1,0),DATE(1900,1,1),OFFSET('IWP30'!Std11dot4Hospitalization, 1, 0, 1, 1))</f>
        <v>1</v>
      </c>
      <c r="C3307" s="157">
        <f ca="1">IF(OFFSET('IWP30'!Std11dot4Hospitalization, 1, 1, 1, 1) = DATE(1900,1,0),DATE(1900,1,1),OFFSET('IWP30'!Std11dot4Hospitalization, 1, 1, 1, 1))</f>
        <v>1</v>
      </c>
      <c r="D3307" s="13">
        <f ca="1">OFFSET('IWP30'!Std11dot4Hospitalization, 1, 2, 1, 1)</f>
        <v>0</v>
      </c>
      <c r="E3307" s="155">
        <f ca="1">OFFSET('IWP30'!Std11dot4Hospitalization, 1, 3, 1, 1)</f>
        <v>0</v>
      </c>
      <c r="F3307" s="155">
        <f ca="1">OFFSET('IWP30'!Std11dot4Hospitalization, 1,5, 1, 1)</f>
        <v>0</v>
      </c>
      <c r="G3307" s="155">
        <f ca="1">OFFSET('IWP30'!Std11dot4Hospitalization, 1,7, 1, 1)</f>
        <v>0</v>
      </c>
      <c r="H3307" s="155">
        <f ca="1">IF(OFFSET('IWP30'!Std11dot4Hospitalization, 1,8, 1, 1)="",0,OFFSET('IWP30'!Std11dot4Hospitalization, 1,8, 1, 1))</f>
        <v>0</v>
      </c>
      <c r="I3307" s="157">
        <f ca="1">IF(OFFSET('IWP30'!Std11dot4Hospitalization, 1, 10, 1, 1) = DATE(1900,1,0),DATE(1900,1,1),OFFSET('IWP30'!Std11dot4Hospitalization, 1, 10, 1, 1))</f>
        <v>1</v>
      </c>
      <c r="J3307" s="158">
        <f ca="1">IF(OFFSET('IWP30'!Std11dot4Hospitalization, 1, 12, 1, 1) = DATE(1900,1,0),DATE(1900,1,1),OFFSET('IWP30'!Std11dot4Hospitalization, 1, 12, 1, 1))</f>
        <v>1</v>
      </c>
    </row>
    <row r="3308" spans="1:10">
      <c r="A3308" s="206" t="s">
        <v>1333</v>
      </c>
      <c r="B3308" s="157">
        <f ca="1">IF(OFFSET('IWP30'!Std11dot4Hospitalization, 2, 0, 1, 1) = DATE(1900,1,0),DATE(1900,1,1),OFFSET('IWP30'!Std11dot4Hospitalization, 2, 0, 1, 1))</f>
        <v>1</v>
      </c>
      <c r="C3308" s="157">
        <f ca="1">IF(OFFSET('IWP30'!Std11dot4Hospitalization, 2, 1, 1, 1) = DATE(1900,1,0),DATE(1900,1,1),OFFSET('IWP30'!Std11dot4Hospitalization, 2, 1, 1, 1))</f>
        <v>1</v>
      </c>
      <c r="D3308" s="13">
        <f ca="1">OFFSET('IWP30'!Std11dot4Hospitalization, 2, 2, 1, 1)</f>
        <v>0</v>
      </c>
      <c r="E3308" s="155">
        <f ca="1">OFFSET('IWP30'!Std11dot4Hospitalization, 2, 3, 1, 1)</f>
        <v>0</v>
      </c>
      <c r="F3308" s="155">
        <f ca="1">OFFSET('IWP30'!Std11dot4Hospitalization, 2,5, 1, 1)</f>
        <v>0</v>
      </c>
      <c r="G3308" s="155">
        <f ca="1">OFFSET('IWP30'!Std11dot4Hospitalization, 2,7, 1, 1)</f>
        <v>0</v>
      </c>
      <c r="H3308" s="155">
        <f ca="1">IF(OFFSET('IWP30'!Std11dot4Hospitalization, 2,8, 1, 1)="",0,OFFSET('IWP30'!Std11dot4Hospitalization, 2,8, 1, 1))</f>
        <v>0</v>
      </c>
      <c r="I3308" s="157">
        <f ca="1">IF(OFFSET('IWP30'!Std11dot4Hospitalization, 2, 10, 1, 1) = DATE(1900,1,0),DATE(1900,1,1),OFFSET('IWP30'!Std11dot4Hospitalization, 2, 10, 1, 1))</f>
        <v>1</v>
      </c>
      <c r="J3308" s="158">
        <f ca="1">IF(OFFSET('IWP30'!Std11dot4Hospitalization, 2, 12, 1, 1) = DATE(1900,1,0),DATE(1900,1,1),OFFSET('IWP30'!Std11dot4Hospitalization, 2, 12, 1, 1))</f>
        <v>1</v>
      </c>
    </row>
    <row r="3309" spans="1:10">
      <c r="A3309" s="206" t="s">
        <v>1333</v>
      </c>
      <c r="B3309" s="157">
        <f ca="1">IF(OFFSET('IWP30'!Std11dot4Hospitalization, 3, 0, 1, 1) = DATE(1900,1,0),DATE(1900,1,1),OFFSET('IWP30'!Std11dot4Hospitalization, 3, 0, 1, 1))</f>
        <v>1</v>
      </c>
      <c r="C3309" s="157">
        <f ca="1">IF(OFFSET('IWP30'!Std11dot4Hospitalization, 3, 1, 1, 1) = DATE(1900,1,0),DATE(1900,1,1),OFFSET('IWP30'!Std11dot4Hospitalization, 3, 1, 1, 1))</f>
        <v>1</v>
      </c>
      <c r="D3309" s="13">
        <f ca="1">OFFSET('IWP30'!Std11dot4Hospitalization, 3, 2, 1, 1)</f>
        <v>0</v>
      </c>
      <c r="E3309" s="155">
        <f ca="1">OFFSET('IWP30'!Std11dot4Hospitalization, 3, 3, 1, 1)</f>
        <v>0</v>
      </c>
      <c r="F3309" s="155">
        <f ca="1">OFFSET('IWP30'!Std11dot4Hospitalization, 3,5, 1, 1)</f>
        <v>0</v>
      </c>
      <c r="G3309" s="155">
        <f ca="1">OFFSET('IWP30'!Std11dot4Hospitalization, 3,7, 1, 1)</f>
        <v>0</v>
      </c>
      <c r="H3309" s="155">
        <f ca="1">IF(OFFSET('IWP30'!Std11dot4Hospitalization, 3,8, 1, 1)="",0,OFFSET('IWP30'!Std11dot4Hospitalization, 3,8, 1, 1))</f>
        <v>0</v>
      </c>
      <c r="I3309" s="157">
        <f ca="1">IF(OFFSET('IWP30'!Std11dot4Hospitalization, 3, 10, 1, 1) = DATE(1900,1,0),DATE(1900,1,1),OFFSET('IWP30'!Std11dot4Hospitalization, 3, 10, 1, 1))</f>
        <v>1</v>
      </c>
      <c r="J3309" s="158">
        <f ca="1">IF(OFFSET('IWP30'!Std11dot4Hospitalization, 3, 12, 1, 1) = DATE(1900,1,0),DATE(1900,1,1),OFFSET('IWP30'!Std11dot4Hospitalization, 3, 12, 1, 1))</f>
        <v>1</v>
      </c>
    </row>
    <row r="3310" spans="1:10">
      <c r="A3310" s="206" t="s">
        <v>1333</v>
      </c>
      <c r="B3310" s="157">
        <f ca="1">IF(OFFSET('IWP30'!Std11dot4Hospitalization, 4, 0, 1, 1) = DATE(1900,1,0),DATE(1900,1,1),OFFSET('IWP30'!Std11dot4Hospitalization, 4, 0, 1, 1))</f>
        <v>1</v>
      </c>
      <c r="C3310" s="157">
        <f ca="1">IF(OFFSET('IWP30'!Std11dot4Hospitalization, 4, 1, 1, 1) = DATE(1900,1,0),DATE(1900,1,1),OFFSET('IWP30'!Std11dot4Hospitalization, 4, 1, 1, 1))</f>
        <v>1</v>
      </c>
      <c r="D3310" s="13">
        <f ca="1">OFFSET('IWP30'!Std11dot4Hospitalization, 4, 2, 1, 1)</f>
        <v>0</v>
      </c>
      <c r="E3310" s="155">
        <f ca="1">OFFSET('IWP30'!Std11dot4Hospitalization, 4, 3, 1, 1)</f>
        <v>0</v>
      </c>
      <c r="F3310" s="155">
        <f ca="1">OFFSET('IWP30'!Std11dot4Hospitalization, 4,5, 1, 1)</f>
        <v>0</v>
      </c>
      <c r="G3310" s="155">
        <f ca="1">OFFSET('IWP30'!Std11dot4Hospitalization, 4,7, 1, 1)</f>
        <v>0</v>
      </c>
      <c r="H3310" s="155">
        <f ca="1">IF(OFFSET('IWP30'!Std11dot4Hospitalization, 4,8, 1, 1)="",0,OFFSET('IWP30'!Std11dot4Hospitalization, 4,8, 1, 1))</f>
        <v>0</v>
      </c>
      <c r="I3310" s="157">
        <f ca="1">IF(OFFSET('IWP30'!Std11dot4Hospitalization, 4, 10, 1, 1) = DATE(1900,1,0),DATE(1900,1,1),OFFSET('IWP30'!Std11dot4Hospitalization, 4, 10, 1, 1))</f>
        <v>1</v>
      </c>
      <c r="J3310" s="158">
        <f ca="1">IF(OFFSET('IWP30'!Std11dot4Hospitalization, 4, 12, 1, 1) = DATE(1900,1,0),DATE(1900,1,1),OFFSET('IWP30'!Std11dot4Hospitalization, 4, 12, 1, 1))</f>
        <v>1</v>
      </c>
    </row>
    <row r="3311" spans="1:10" ht="15" thickBot="1">
      <c r="A3311" s="156" t="s">
        <v>1333</v>
      </c>
      <c r="B3311" s="194">
        <f ca="1">IF(OFFSET('IWP30'!Std11dot4Hospitalization, 5, 0, 1, 1) = DATE(1900,1,0),DATE(1900,1,1),OFFSET('IWP30'!Std11dot4Hospitalization, 5, 0, 1, 1))</f>
        <v>1</v>
      </c>
      <c r="C3311" s="194">
        <f ca="1">IF(OFFSET('IWP30'!Std11dot4Hospitalization, 5, 1, 1, 1) = DATE(1900,1,0),DATE(1900,1,1),OFFSET('IWP30'!Std11dot4Hospitalization, 5, 1, 1, 1))</f>
        <v>1</v>
      </c>
      <c r="D3311" s="172">
        <f ca="1">OFFSET('IWP30'!Std11dot4Hospitalization, 5, 2, 1, 1)</f>
        <v>0</v>
      </c>
      <c r="E3311" s="174">
        <f ca="1">OFFSET('IWP30'!Std11dot4Hospitalization, 5, 3, 1, 1)</f>
        <v>0</v>
      </c>
      <c r="F3311" s="174">
        <f ca="1">OFFSET('IWP30'!Std11dot4Hospitalization, 5,5, 1, 1)</f>
        <v>0</v>
      </c>
      <c r="G3311" s="174">
        <f ca="1">OFFSET('IWP30'!Std11dot4Hospitalization, 5,7, 1, 1)</f>
        <v>0</v>
      </c>
      <c r="H3311" s="174">
        <f ca="1">IF(OFFSET('IWP30'!Std11dot4Hospitalization, 5,8, 1, 1)="",0,OFFSET('IWP30'!Std11dot4Hospitalization, 5,8, 1, 1))</f>
        <v>0</v>
      </c>
      <c r="I3311" s="194">
        <f ca="1">IF(OFFSET('IWP30'!Std11dot4Hospitalization, 5, 10, 1, 1) = DATE(1900,1,0),DATE(1900,1,1),OFFSET('IWP30'!Std11dot4Hospitalization, 5, 10, 1, 1))</f>
        <v>1</v>
      </c>
      <c r="J3311" s="159">
        <f ca="1">IF(OFFSET('IWP30'!Std11dot4Hospitalization, 5, 12, 1, 1) = DATE(1900,1,0),DATE(1900,1,1),OFFSET('IWP30'!Std11dot4Hospitalization, 5, 12, 1, 1))</f>
        <v>1</v>
      </c>
    </row>
  </sheetData>
  <sheetProtection algorithmName="SHA-512" hashValue="uOCIFSrdrKYbfxum68EaosGUsJUgyuTCfehgWYoazLjbr3rTPoCiTmfxrhmYGYs5Fl/OWD1RcJHA2t4W7pmJaQ==" saltValue="i+uJXULAry0INKW35Obwpg==" spinCount="100000" sheet="1" objects="1" scenarios="1" selectLockedCells="1"/>
  <customSheetViews>
    <customSheetView guid="{A81B7E59-6D30-48F0-895B-EADA4D6F68AC}" scale="90" state="hidden">
      <selection activeCell="G5" sqref="G5"/>
      <pageMargins left="0.7" right="0.7" top="0.75" bottom="0.75" header="0.3" footer="0.3"/>
      <pageSetup orientation="portrait" r:id="rId1"/>
    </customSheetView>
    <customSheetView guid="{B2091B36-14EA-49EC-93AF-D5AA205EF0C1}" scale="90" state="hidden">
      <pageMargins left="0.7" right="0.7" top="0.75" bottom="0.75" header="0.3" footer="0.3"/>
      <pageSetup orientation="portrait" r:id="rId2"/>
    </customSheetView>
    <customSheetView guid="{965C3FE4-50BF-43C0-B1D0-366B904E9BAB}" state="hidden" topLeftCell="A320">
      <selection activeCell="W329" sqref="W329:W353"/>
      <pageMargins left="0.7" right="0.7" top="0.75" bottom="0.75" header="0.3" footer="0.3"/>
      <pageSetup orientation="portrait" r:id="rId3"/>
    </customSheetView>
    <customSheetView guid="{5C7A2EDE-CAF2-41B7-8EBC-2EB35225299B}" state="hidden" topLeftCell="A320">
      <selection activeCell="W329" sqref="W329:W353"/>
      <pageMargins left="0.7" right="0.7" top="0.75" bottom="0.75" header="0.3" footer="0.3"/>
      <pageSetup orientation="portrait" r:id="rId4"/>
    </customSheetView>
    <customSheetView guid="{15DD4F60-D491-4D73-A014-FE6349F17583}" state="hidden" topLeftCell="A320">
      <selection activeCell="W329" sqref="W329:W353"/>
      <pageMargins left="0.7" right="0.7" top="0.75" bottom="0.75" header="0.3" footer="0.3"/>
      <pageSetup orientation="portrait" r:id="rId5"/>
    </customSheetView>
    <customSheetView guid="{A9399441-FD69-4FCC-BF3B-6E447DD9FB6A}" scale="90" state="hidden">
      <pageMargins left="0.7" right="0.7" top="0.75" bottom="0.75" header="0.3" footer="0.3"/>
      <pageSetup orientation="portrait" r:id="rId6"/>
    </customSheetView>
  </customSheetViews>
  <dataValidations count="1">
    <dataValidation type="textLength" operator="equal" allowBlank="1" showInputMessage="1" showErrorMessage="1" sqref="H6 K13:Q13 J708:J737 B7:B9" xr:uid="{00000000-0002-0000-2B00-000000000000}">
      <formula1>9</formula1>
    </dataValidation>
  </dataValidations>
  <pageMargins left="0.7" right="0.7" top="0.75" bottom="0.75" header="0.3" footer="0.3"/>
  <pageSetup orientation="portrait"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9"/>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4</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OGgi/GBuav3koS9ba0HV18LQ7WTdWdIjt9874/GvbUJb4bDpj/30DShNv4r47NYm1x7pmw23tF3RENu4noLGfg==" saltValue="FB8t2d/NCphub86vE3B++A=="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56" priority="2" operator="lessThan">
      <formula>0</formula>
    </cfRule>
  </conditionalFormatting>
  <conditionalFormatting sqref="I274:I277">
    <cfRule type="cellIs" dxfId="55" priority="1" operator="equal">
      <formula>0</formula>
    </cfRule>
  </conditionalFormatting>
  <dataValidations count="21">
    <dataValidation operator="greaterThanOrEqual" allowBlank="1" showInputMessage="1" showErrorMessage="1" sqref="K2 D144:E144 I144:K144 I156:K156 D156:E156" xr:uid="{00000000-0002-0000-0400-000000000000}"/>
    <dataValidation type="date" allowBlank="1" showInputMessage="1" showErrorMessage="1" errorTitle="Date Error" error="Date must be within Dates of Review Period." sqref="D37:E37 I37:K37" xr:uid="{00000000-0002-0000-0400-000001000000}">
      <formula1>$G$2</formula1>
      <formula2>$I$2</formula2>
    </dataValidation>
    <dataValidation type="decimal" operator="greaterThanOrEqual" allowBlank="1" showInputMessage="1" showErrorMessage="1" sqref="D242:E242" xr:uid="{00000000-0002-0000-0400-000002000000}">
      <formula1>MINVALDBL</formula1>
    </dataValidation>
    <dataValidation type="list" allowBlank="1" showInputMessage="1" showErrorMessage="1" promptTitle="X.6.a Entry Guidance" prompt="X.6.a cannot be &quot;NA&quot; if Column D above (Total Refund Due) is greater than $0.00." sqref="J243:K243" xr:uid="{00000000-0002-0000-04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0400-000004000000}">
      <formula1>A47</formula1>
    </dataValidation>
    <dataValidation type="whole" allowBlank="1" showInputMessage="1" showErrorMessage="1" sqref="H349:H354" xr:uid="{00000000-0002-0000-0400-000005000000}">
      <formula1>1</formula1>
      <formula2>31</formula2>
    </dataValidation>
    <dataValidation type="textLength" operator="greaterThan" allowBlank="1" showInputMessage="1" showErrorMessage="1" sqref="D3:D4" xr:uid="{00000000-0002-0000-0400-000006000000}">
      <formula1>1</formula1>
    </dataValidation>
    <dataValidation type="whole" allowBlank="1" showInputMessage="1" showErrorMessage="1" sqref="A2" xr:uid="{00000000-0002-0000-0400-000007000000}">
      <formula1>1</formula1>
      <formula2>99</formula2>
    </dataValidation>
    <dataValidation type="whole" operator="greaterThan" allowBlank="1" showInputMessage="1" showErrorMessage="1" sqref="E121:E130 A121:A130" xr:uid="{00000000-0002-0000-0400-000008000000}">
      <formula1>0</formula1>
    </dataValidation>
    <dataValidation type="textLength" operator="lessThanOrEqual" allowBlank="1" showInputMessage="1" showErrorMessage="1" sqref="N242:Q242 E196:K215 E172:K181 A295:E299 E225:K234" xr:uid="{00000000-0002-0000-0400-000009000000}">
      <formula1>255</formula1>
    </dataValidation>
    <dataValidation type="date" operator="greaterThan" allowBlank="1" showInputMessage="1" showErrorMessage="1" sqref="R242:S242" xr:uid="{00000000-0002-0000-0400-00000A000000}">
      <formula1>1</formula1>
    </dataValidation>
    <dataValidation type="whole" allowBlank="1" showInputMessage="1" showErrorMessage="1" sqref="C349:C354" xr:uid="{00000000-0002-0000-0400-00000B000000}">
      <formula1>1</formula1>
      <formula2>999</formula2>
    </dataValidation>
    <dataValidation type="decimal" operator="greaterThan" allowBlank="1" showInputMessage="1" showErrorMessage="1" sqref="J301:K301" xr:uid="{00000000-0002-0000-0400-00000C000000}">
      <formula1>0</formula1>
    </dataValidation>
    <dataValidation type="decimal" operator="greaterThanOrEqual" allowBlank="1" showInputMessage="1" showErrorMessage="1" sqref="F295:I299" xr:uid="{00000000-0002-0000-04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0400-00000E000000}">
      <formula1>0</formula1>
    </dataValidation>
    <dataValidation type="list" allowBlank="1" showInputMessage="1" showErrorMessage="1" sqref="B242" xr:uid="{00000000-0002-0000-0400-00000F000000}">
      <formula1>"DEATH,DISCHARGE"</formula1>
    </dataValidation>
    <dataValidation type="list" allowBlank="1" showInputMessage="1" showErrorMessage="1" sqref="J337:K341 K63:L65 K15:L16 G37 B37 J364:K365 J304:K305 J329:K334 J324 J53:K54 J56" xr:uid="{00000000-0002-0000-04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04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0400-000012000000}">
      <formula1>1</formula1>
    </dataValidation>
    <dataValidation type="date" operator="greaterThan" allowBlank="1" showInputMessage="1" showErrorMessage="1" errorTitle="Date Error" error="&quot;From&quot; date must be later than previous &quot;To&quot; date." sqref="A350:A354" xr:uid="{00000000-0002-0000-0400-000013000000}">
      <formula1>B349</formula1>
    </dataValidation>
    <dataValidation type="date" operator="greaterThanOrEqual" allowBlank="1" showInputMessage="1" showErrorMessage="1" errorTitle="Date Error" error="&quot;To&quot; date cannot be earlier than &quot;From&quot; date." sqref="B349:B354" xr:uid="{00000000-0002-0000-04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82977"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82978"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82979"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82980"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82981"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82982"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82983"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82984"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82985"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82986"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82987"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82988"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82989"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04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04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04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0400-000018000000}">
          <x14:formula1>
            <xm:f>'Samples (Print)'!B2</xm:f>
          </x14:formula1>
          <x14:formula2>
            <xm:f>'Samples (Print)'!D2</xm:f>
          </x14:formula2>
          <xm:sqref>A47:E47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8"/>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5</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wKDkNuEknUx4456POz8O9l0e/sbf4zoUqBDJsnEJ3P5dOAohYhrU9Wb9fP55WEx3MVo5uIxGm0WpYdz+UHezOQ==" saltValue="wZOu3xD+WeunZWOnG8MWmw=="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54" priority="2" operator="lessThan">
      <formula>0</formula>
    </cfRule>
  </conditionalFormatting>
  <conditionalFormatting sqref="I274:I277">
    <cfRule type="cellIs" dxfId="53" priority="1" operator="equal">
      <formula>0</formula>
    </cfRule>
  </conditionalFormatting>
  <dataValidations count="21">
    <dataValidation operator="greaterThanOrEqual" allowBlank="1" showInputMessage="1" showErrorMessage="1" sqref="K2 D144:E144 I144:K144 I156:K156 D156:E156" xr:uid="{00000000-0002-0000-0500-000000000000}"/>
    <dataValidation type="date" allowBlank="1" showInputMessage="1" showErrorMessage="1" errorTitle="Date Error" error="Date must be within Dates of Review Period." sqref="D37:E37 I37:K37" xr:uid="{00000000-0002-0000-0500-000001000000}">
      <formula1>$G$2</formula1>
      <formula2>$I$2</formula2>
    </dataValidation>
    <dataValidation type="decimal" operator="greaterThanOrEqual" allowBlank="1" showInputMessage="1" showErrorMessage="1" sqref="D242:E242" xr:uid="{00000000-0002-0000-0500-000002000000}">
      <formula1>MINVALDBL</formula1>
    </dataValidation>
    <dataValidation type="list" allowBlank="1" showInputMessage="1" showErrorMessage="1" promptTitle="X.6.a Entry Guidance" prompt="X.6.a cannot be &quot;NA&quot; if Column D above (Total Refund Due) is greater than $0.00." sqref="J243:K243" xr:uid="{00000000-0002-0000-05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0500-000004000000}">
      <formula1>A47</formula1>
    </dataValidation>
    <dataValidation type="whole" allowBlank="1" showInputMessage="1" showErrorMessage="1" sqref="H349:H354" xr:uid="{00000000-0002-0000-0500-000005000000}">
      <formula1>1</formula1>
      <formula2>31</formula2>
    </dataValidation>
    <dataValidation type="textLength" operator="greaterThan" allowBlank="1" showInputMessage="1" showErrorMessage="1" sqref="D3:D4" xr:uid="{00000000-0002-0000-0500-000006000000}">
      <formula1>1</formula1>
    </dataValidation>
    <dataValidation type="whole" allowBlank="1" showInputMessage="1" showErrorMessage="1" sqref="A2" xr:uid="{00000000-0002-0000-0500-000007000000}">
      <formula1>1</formula1>
      <formula2>99</formula2>
    </dataValidation>
    <dataValidation type="whole" operator="greaterThan" allowBlank="1" showInputMessage="1" showErrorMessage="1" sqref="E121:E130 A121:A130" xr:uid="{00000000-0002-0000-0500-000008000000}">
      <formula1>0</formula1>
    </dataValidation>
    <dataValidation type="textLength" operator="lessThanOrEqual" allowBlank="1" showInputMessage="1" showErrorMessage="1" sqref="N242:Q242 E196:K215 E172:K181 A295:E299 E225:K234" xr:uid="{00000000-0002-0000-0500-000009000000}">
      <formula1>255</formula1>
    </dataValidation>
    <dataValidation type="date" operator="greaterThan" allowBlank="1" showInputMessage="1" showErrorMessage="1" sqref="R242:S242" xr:uid="{00000000-0002-0000-0500-00000A000000}">
      <formula1>1</formula1>
    </dataValidation>
    <dataValidation type="whole" allowBlank="1" showInputMessage="1" showErrorMessage="1" sqref="C349:C354" xr:uid="{00000000-0002-0000-0500-00000B000000}">
      <formula1>1</formula1>
      <formula2>999</formula2>
    </dataValidation>
    <dataValidation type="decimal" operator="greaterThan" allowBlank="1" showInputMessage="1" showErrorMessage="1" sqref="J301:K301" xr:uid="{00000000-0002-0000-0500-00000C000000}">
      <formula1>0</formula1>
    </dataValidation>
    <dataValidation type="decimal" operator="greaterThanOrEqual" allowBlank="1" showInputMessage="1" showErrorMessage="1" sqref="F295:I299" xr:uid="{00000000-0002-0000-05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0500-00000E000000}">
      <formula1>0</formula1>
    </dataValidation>
    <dataValidation type="list" allowBlank="1" showInputMessage="1" showErrorMessage="1" sqref="B242" xr:uid="{00000000-0002-0000-0500-00000F000000}">
      <formula1>"DEATH,DISCHARGE"</formula1>
    </dataValidation>
    <dataValidation type="list" allowBlank="1" showInputMessage="1" showErrorMessage="1" sqref="J337:K341 K63:L65 K15:L16 G37 B37 J364:K365 J304:K305 J329:K334 J324 J53:K54 J56" xr:uid="{00000000-0002-0000-05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05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0500-000012000000}">
      <formula1>1</formula1>
    </dataValidation>
    <dataValidation type="date" operator="greaterThan" allowBlank="1" showInputMessage="1" showErrorMessage="1" errorTitle="Date Error" error="&quot;From&quot; date must be later than previous &quot;To&quot; date." sqref="A350:A354" xr:uid="{00000000-0002-0000-0500-000013000000}">
      <formula1>B349</formula1>
    </dataValidation>
    <dataValidation type="date" operator="greaterThanOrEqual" allowBlank="1" showInputMessage="1" showErrorMessage="1" errorTitle="Date Error" error="&quot;To&quot; date cannot be earlier than &quot;From&quot; date." sqref="B349:B354" xr:uid="{00000000-0002-0000-05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81953"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81954"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81955"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81956"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81957"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81958"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81959"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81960"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81961"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81962"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81963"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81964"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81965"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05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05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05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0500-000018000000}">
          <x14:formula1>
            <xm:f>'Samples (Print)'!B2</xm:f>
          </x14:formula1>
          <x14:formula2>
            <xm:f>'Samples (Print)'!D2</xm:f>
          </x14:formula2>
          <xm:sqref>A47:E47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7"/>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6</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G/F+OtmCElKmoO14O9dk0FUntCmxug6ujK4qJKWln/XJamGyTcg14ZAd0IyMhwfbzI6wrAdMFPvjz22yYg32vg==" saltValue="CMgeWURP/P4T8Tand5lMCw=="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52" priority="2" operator="lessThan">
      <formula>0</formula>
    </cfRule>
  </conditionalFormatting>
  <conditionalFormatting sqref="I274:I277">
    <cfRule type="cellIs" dxfId="51" priority="1" operator="equal">
      <formula>0</formula>
    </cfRule>
  </conditionalFormatting>
  <dataValidations count="21">
    <dataValidation operator="greaterThanOrEqual" allowBlank="1" showInputMessage="1" showErrorMessage="1" sqref="K2 D144:E144 I144:K144 I156:K156 D156:E156" xr:uid="{00000000-0002-0000-0600-000000000000}"/>
    <dataValidation type="date" allowBlank="1" showInputMessage="1" showErrorMessage="1" errorTitle="Date Error" error="Date must be within Dates of Review Period." sqref="D37:E37 I37:K37" xr:uid="{00000000-0002-0000-0600-000001000000}">
      <formula1>$G$2</formula1>
      <formula2>$I$2</formula2>
    </dataValidation>
    <dataValidation type="decimal" operator="greaterThanOrEqual" allowBlank="1" showInputMessage="1" showErrorMessage="1" sqref="D242:E242" xr:uid="{00000000-0002-0000-0600-000002000000}">
      <formula1>MINVALDBL</formula1>
    </dataValidation>
    <dataValidation type="list" allowBlank="1" showInputMessage="1" showErrorMessage="1" promptTitle="X.6.a Entry Guidance" prompt="X.6.a cannot be &quot;NA&quot; if Column D above (Total Refund Due) is greater than $0.00." sqref="J243:K243" xr:uid="{00000000-0002-0000-06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0600-000004000000}">
      <formula1>A47</formula1>
    </dataValidation>
    <dataValidation type="whole" allowBlank="1" showInputMessage="1" showErrorMessage="1" sqref="H349:H354" xr:uid="{00000000-0002-0000-0600-000005000000}">
      <formula1>1</formula1>
      <formula2>31</formula2>
    </dataValidation>
    <dataValidation type="textLength" operator="greaterThan" allowBlank="1" showInputMessage="1" showErrorMessage="1" sqref="D3:D4" xr:uid="{00000000-0002-0000-0600-000006000000}">
      <formula1>1</formula1>
    </dataValidation>
    <dataValidation type="whole" allowBlank="1" showInputMessage="1" showErrorMessage="1" sqref="A2" xr:uid="{00000000-0002-0000-0600-000007000000}">
      <formula1>1</formula1>
      <formula2>99</formula2>
    </dataValidation>
    <dataValidation type="whole" operator="greaterThan" allowBlank="1" showInputMessage="1" showErrorMessage="1" sqref="E121:E130 A121:A130" xr:uid="{00000000-0002-0000-0600-000008000000}">
      <formula1>0</formula1>
    </dataValidation>
    <dataValidation type="textLength" operator="lessThanOrEqual" allowBlank="1" showInputMessage="1" showErrorMessage="1" sqref="N242:Q242 E196:K215 E172:K181 A295:E299 E225:K234" xr:uid="{00000000-0002-0000-0600-000009000000}">
      <formula1>255</formula1>
    </dataValidation>
    <dataValidation type="date" operator="greaterThan" allowBlank="1" showInputMessage="1" showErrorMessage="1" sqref="R242:S242" xr:uid="{00000000-0002-0000-0600-00000A000000}">
      <formula1>1</formula1>
    </dataValidation>
    <dataValidation type="whole" allowBlank="1" showInputMessage="1" showErrorMessage="1" sqref="C349:C354" xr:uid="{00000000-0002-0000-0600-00000B000000}">
      <formula1>1</formula1>
      <formula2>999</formula2>
    </dataValidation>
    <dataValidation type="decimal" operator="greaterThan" allowBlank="1" showInputMessage="1" showErrorMessage="1" sqref="J301:K301" xr:uid="{00000000-0002-0000-0600-00000C000000}">
      <formula1>0</formula1>
    </dataValidation>
    <dataValidation type="decimal" operator="greaterThanOrEqual" allowBlank="1" showInputMessage="1" showErrorMessage="1" sqref="F295:I299" xr:uid="{00000000-0002-0000-06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0600-00000E000000}">
      <formula1>0</formula1>
    </dataValidation>
    <dataValidation type="list" allowBlank="1" showInputMessage="1" showErrorMessage="1" sqref="B242" xr:uid="{00000000-0002-0000-0600-00000F000000}">
      <formula1>"DEATH,DISCHARGE"</formula1>
    </dataValidation>
    <dataValidation type="list" allowBlank="1" showInputMessage="1" showErrorMessage="1" sqref="J337:K341 K63:L65 K15:L16 G37 B37 J364:K365 J304:K305 J329:K334 J324 J53:K54 J56" xr:uid="{00000000-0002-0000-06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06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0600-000012000000}">
      <formula1>1</formula1>
    </dataValidation>
    <dataValidation type="date" operator="greaterThan" allowBlank="1" showInputMessage="1" showErrorMessage="1" errorTitle="Date Error" error="&quot;From&quot; date must be later than previous &quot;To&quot; date." sqref="A350:A354" xr:uid="{00000000-0002-0000-0600-000013000000}">
      <formula1>B349</formula1>
    </dataValidation>
    <dataValidation type="date" operator="greaterThanOrEqual" allowBlank="1" showInputMessage="1" showErrorMessage="1" errorTitle="Date Error" error="&quot;To&quot; date cannot be earlier than &quot;From&quot; date." sqref="B349:B354" xr:uid="{00000000-0002-0000-06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80929"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80930"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80931"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80932"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80933"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80934"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80935"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80936"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80937"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80938"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80939"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80940"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80941"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06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06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06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0600-000018000000}">
          <x14:formula1>
            <xm:f>'Samples (Print)'!B2</xm:f>
          </x14:formula1>
          <x14:formula2>
            <xm:f>'Samples (Print)'!D2</xm:f>
          </x14:formula2>
          <xm:sqref>A47:E47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6"/>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7</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aAN4UAhKexCZtdvWbBfrfKEJvygl/y6LinvVrpO9x2XKKe6pfrLh17JGwYeQt+aTf8/Tbk9+qA5ola+JzoyIZg==" saltValue="qc4gv0c4ZWmPTvqU+LuOqw=="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50" priority="2" operator="lessThan">
      <formula>0</formula>
    </cfRule>
  </conditionalFormatting>
  <conditionalFormatting sqref="I274:I277">
    <cfRule type="cellIs" dxfId="49" priority="1" operator="equal">
      <formula>0</formula>
    </cfRule>
  </conditionalFormatting>
  <dataValidations count="21">
    <dataValidation operator="greaterThanOrEqual" allowBlank="1" showInputMessage="1" showErrorMessage="1" sqref="K2 D144:E144 I144:K144 I156:K156 D156:E156" xr:uid="{00000000-0002-0000-0700-000000000000}"/>
    <dataValidation type="date" allowBlank="1" showInputMessage="1" showErrorMessage="1" errorTitle="Date Error" error="Date must be within Dates of Review Period." sqref="D37:E37 I37:K37" xr:uid="{00000000-0002-0000-0700-000001000000}">
      <formula1>$G$2</formula1>
      <formula2>$I$2</formula2>
    </dataValidation>
    <dataValidation type="decimal" operator="greaterThanOrEqual" allowBlank="1" showInputMessage="1" showErrorMessage="1" sqref="D242:E242" xr:uid="{00000000-0002-0000-0700-000002000000}">
      <formula1>MINVALDBL</formula1>
    </dataValidation>
    <dataValidation type="list" allowBlank="1" showInputMessage="1" showErrorMessage="1" promptTitle="X.6.a Entry Guidance" prompt="X.6.a cannot be &quot;NA&quot; if Column D above (Total Refund Due) is greater than $0.00." sqref="J243:K243" xr:uid="{00000000-0002-0000-07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0700-000004000000}">
      <formula1>A47</formula1>
    </dataValidation>
    <dataValidation type="whole" allowBlank="1" showInputMessage="1" showErrorMessage="1" sqref="H349:H354" xr:uid="{00000000-0002-0000-0700-000005000000}">
      <formula1>1</formula1>
      <formula2>31</formula2>
    </dataValidation>
    <dataValidation type="textLength" operator="greaterThan" allowBlank="1" showInputMessage="1" showErrorMessage="1" sqref="D3:D4" xr:uid="{00000000-0002-0000-0700-000006000000}">
      <formula1>1</formula1>
    </dataValidation>
    <dataValidation type="whole" allowBlank="1" showInputMessage="1" showErrorMessage="1" sqref="A2" xr:uid="{00000000-0002-0000-0700-000007000000}">
      <formula1>1</formula1>
      <formula2>99</formula2>
    </dataValidation>
    <dataValidation type="whole" operator="greaterThan" allowBlank="1" showInputMessage="1" showErrorMessage="1" sqref="E121:E130 A121:A130" xr:uid="{00000000-0002-0000-0700-000008000000}">
      <formula1>0</formula1>
    </dataValidation>
    <dataValidation type="textLength" operator="lessThanOrEqual" allowBlank="1" showInputMessage="1" showErrorMessage="1" sqref="N242:Q242 E196:K215 E172:K181 A295:E299 E225:K234" xr:uid="{00000000-0002-0000-0700-000009000000}">
      <formula1>255</formula1>
    </dataValidation>
    <dataValidation type="date" operator="greaterThan" allowBlank="1" showInputMessage="1" showErrorMessage="1" sqref="R242:S242" xr:uid="{00000000-0002-0000-0700-00000A000000}">
      <formula1>1</formula1>
    </dataValidation>
    <dataValidation type="whole" allowBlank="1" showInputMessage="1" showErrorMessage="1" sqref="C349:C354" xr:uid="{00000000-0002-0000-0700-00000B000000}">
      <formula1>1</formula1>
      <formula2>999</formula2>
    </dataValidation>
    <dataValidation type="decimal" operator="greaterThan" allowBlank="1" showInputMessage="1" showErrorMessage="1" sqref="J301:K301" xr:uid="{00000000-0002-0000-0700-00000C000000}">
      <formula1>0</formula1>
    </dataValidation>
    <dataValidation type="decimal" operator="greaterThanOrEqual" allowBlank="1" showInputMessage="1" showErrorMessage="1" sqref="F295:I299" xr:uid="{00000000-0002-0000-07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0700-00000E000000}">
      <formula1>0</formula1>
    </dataValidation>
    <dataValidation type="list" allowBlank="1" showInputMessage="1" showErrorMessage="1" sqref="B242" xr:uid="{00000000-0002-0000-0700-00000F000000}">
      <formula1>"DEATH,DISCHARGE"</formula1>
    </dataValidation>
    <dataValidation type="list" allowBlank="1" showInputMessage="1" showErrorMessage="1" sqref="J337:K341 K63:L65 K15:L16 G37 B37 J364:K365 J304:K305 J329:K334 J324 J53:K54 J56" xr:uid="{00000000-0002-0000-07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07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0700-000012000000}">
      <formula1>1</formula1>
    </dataValidation>
    <dataValidation type="date" operator="greaterThan" allowBlank="1" showInputMessage="1" showErrorMessage="1" errorTitle="Date Error" error="&quot;From&quot; date must be later than previous &quot;To&quot; date." sqref="A350:A354" xr:uid="{00000000-0002-0000-0700-000013000000}">
      <formula1>B349</formula1>
    </dataValidation>
    <dataValidation type="date" operator="greaterThanOrEqual" allowBlank="1" showInputMessage="1" showErrorMessage="1" errorTitle="Date Error" error="&quot;To&quot; date cannot be earlier than &quot;From&quot; date." sqref="B349:B354" xr:uid="{00000000-0002-0000-07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79905"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79906"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79907"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79908"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79909"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79910"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79911"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79912"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79913"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79914"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79915"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79916"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79917"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07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07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07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0700-000018000000}">
          <x14:formula1>
            <xm:f>'Samples (Print)'!B2</xm:f>
          </x14:formula1>
          <x14:formula2>
            <xm:f>'Samples (Print)'!D2</xm:f>
          </x14:formula2>
          <xm:sqref>A47:E47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5"/>
  <dimension ref="A1:U372"/>
  <sheetViews>
    <sheetView zoomScaleNormal="100" workbookViewId="0">
      <selection activeCell="K2" sqref="K2"/>
    </sheetView>
  </sheetViews>
  <sheetFormatPr defaultColWidth="9.08984375" defaultRowHeight="14.5"/>
  <cols>
    <col min="1" max="2" width="10.6328125" customWidth="1"/>
    <col min="3" max="3" width="9.36328125" bestFit="1" customWidth="1"/>
    <col min="7" max="7" width="10.08984375" customWidth="1"/>
    <col min="8" max="8" width="9.36328125" bestFit="1" customWidth="1"/>
    <col min="9" max="10" width="11" customWidth="1"/>
    <col min="11" max="11" width="9.08984375" customWidth="1"/>
    <col min="14" max="14" width="11.36328125" bestFit="1" customWidth="1"/>
    <col min="17" max="17" width="10.08984375" bestFit="1" customWidth="1"/>
    <col min="19" max="19" width="9.08984375" customWidth="1"/>
    <col min="20" max="20" width="7.36328125" hidden="1" customWidth="1"/>
    <col min="21" max="21" width="9.08984375" customWidth="1"/>
  </cols>
  <sheetData>
    <row r="1" spans="1:21" s="12" customFormat="1" ht="27" customHeight="1" thickTop="1" thickBot="1">
      <c r="A1" s="15" t="s">
        <v>43</v>
      </c>
      <c r="B1" s="1329" t="s">
        <v>44</v>
      </c>
      <c r="C1" s="1330"/>
      <c r="D1" s="1327" t="s">
        <v>13</v>
      </c>
      <c r="E1" s="1328"/>
      <c r="F1" s="1327" t="s">
        <v>6</v>
      </c>
      <c r="G1" s="1355"/>
      <c r="H1" s="1355"/>
      <c r="I1" s="1328"/>
      <c r="J1" s="1327" t="s">
        <v>1384</v>
      </c>
      <c r="K1" s="1355"/>
      <c r="L1" s="1355"/>
      <c r="M1" s="1356"/>
      <c r="T1" s="12" t="s">
        <v>55</v>
      </c>
    </row>
    <row r="2" spans="1:21" ht="29.5" thickBot="1">
      <c r="A2" s="105">
        <v>8</v>
      </c>
      <c r="B2" s="1331">
        <f ca="1">INDIRECT("'Samples (Print)'!B" &amp; (4+SampleNumber))</f>
        <v>0</v>
      </c>
      <c r="C2" s="1332"/>
      <c r="D2" s="1347" t="str">
        <f ca="1">IF(ContractNumber&lt;&gt;0,"CCAD-RC","")</f>
        <v/>
      </c>
      <c r="E2" s="1348"/>
      <c r="F2" s="273" t="s">
        <v>10</v>
      </c>
      <c r="G2" s="271" t="str">
        <f ca="1">IF(INDIRECT("'Samples (Print)'!D" &amp; (4+SampleNumber))="","",INDIRECT("'Samples (Print)'!D" &amp; (4+SampleNumber)))</f>
        <v/>
      </c>
      <c r="H2" s="274" t="s">
        <v>12</v>
      </c>
      <c r="I2" s="272" t="str">
        <f ca="1">IF(INDIRECT("'Samples (Print)'!E" &amp; (4+SampleNumber))="","",INDIRECT("'Samples (Print)'!E" &amp; (4+SampleNumber)))</f>
        <v/>
      </c>
      <c r="J2" s="277" t="s">
        <v>1386</v>
      </c>
      <c r="K2" s="275"/>
      <c r="L2" s="278" t="s">
        <v>1385</v>
      </c>
      <c r="M2" s="276"/>
      <c r="T2" s="13">
        <f ca="1">INDIRECT("'Samples (Print)'!C" &amp; (4+SampleNumber))</f>
        <v>0</v>
      </c>
      <c r="U2" s="444">
        <f ca="1">ContractNumber</f>
        <v>0</v>
      </c>
    </row>
    <row r="3" spans="1:21" ht="15" customHeight="1">
      <c r="A3" s="1345" t="s">
        <v>3</v>
      </c>
      <c r="B3" s="1346"/>
      <c r="C3" s="7" t="s">
        <v>45</v>
      </c>
      <c r="D3" s="1339"/>
      <c r="E3" s="1340"/>
      <c r="F3" s="1340"/>
      <c r="G3" s="1341"/>
      <c r="H3" s="1333" t="s">
        <v>46</v>
      </c>
      <c r="I3" s="1334"/>
      <c r="J3" s="1335"/>
      <c r="K3" s="1336"/>
      <c r="L3" s="1357"/>
      <c r="M3" s="1358"/>
    </row>
    <row r="4" spans="1:21" ht="15" thickBot="1">
      <c r="A4" s="787"/>
      <c r="B4" s="788"/>
      <c r="C4" s="8" t="s">
        <v>47</v>
      </c>
      <c r="D4" s="1342"/>
      <c r="E4" s="1343"/>
      <c r="F4" s="1343"/>
      <c r="G4" s="1344"/>
      <c r="H4" s="1337"/>
      <c r="I4" s="1338"/>
      <c r="J4" s="1338"/>
      <c r="K4" s="815"/>
      <c r="L4" s="1359"/>
      <c r="M4" s="1360"/>
      <c r="T4" s="157"/>
    </row>
    <row r="5" spans="1:21" ht="17.25" customHeight="1" thickTop="1" thickBot="1">
      <c r="A5" s="1352" t="s">
        <v>324</v>
      </c>
      <c r="B5" s="1353"/>
      <c r="C5" s="1353"/>
      <c r="D5" s="1353"/>
      <c r="E5" s="1353"/>
      <c r="F5" s="1353"/>
      <c r="G5" s="1353"/>
      <c r="H5" s="1353"/>
      <c r="I5" s="1353"/>
      <c r="J5" s="1353"/>
      <c r="K5" s="1353"/>
      <c r="L5" s="1354"/>
    </row>
    <row r="6" spans="1:21" ht="30" customHeight="1" thickTop="1" thickBot="1">
      <c r="A6" s="762" t="s">
        <v>1287</v>
      </c>
      <c r="B6" s="493" t="s">
        <v>1397</v>
      </c>
      <c r="C6" s="494"/>
      <c r="D6" s="494"/>
      <c r="E6" s="494"/>
      <c r="F6" s="494"/>
      <c r="G6" s="494"/>
      <c r="H6" s="494"/>
      <c r="I6" s="494"/>
      <c r="J6" s="495"/>
      <c r="K6" s="593" t="s">
        <v>1212</v>
      </c>
      <c r="L6" s="594"/>
      <c r="T6" s="157"/>
    </row>
    <row r="7" spans="1:21" ht="30" customHeight="1" thickTop="1" thickBot="1">
      <c r="A7" s="765"/>
      <c r="B7" s="1349"/>
      <c r="C7" s="1350"/>
      <c r="D7" s="1350"/>
      <c r="E7" s="1350"/>
      <c r="F7" s="1350"/>
      <c r="G7" s="1350"/>
      <c r="H7" s="1350"/>
      <c r="I7" s="1350"/>
      <c r="J7" s="1351"/>
      <c r="K7" s="574"/>
      <c r="L7" s="575"/>
    </row>
    <row r="8" spans="1:21" ht="17.25" customHeight="1" thickTop="1">
      <c r="A8" s="762"/>
      <c r="B8" s="1008" t="s">
        <v>814</v>
      </c>
      <c r="C8" s="1009"/>
      <c r="D8" s="1009"/>
      <c r="E8" s="1009"/>
      <c r="F8" s="1009"/>
      <c r="G8" s="1009"/>
      <c r="H8" s="1009"/>
      <c r="I8" s="1009"/>
      <c r="J8" s="1009"/>
      <c r="K8" s="1009"/>
      <c r="L8" s="1010"/>
    </row>
    <row r="9" spans="1:21" ht="15.75" customHeight="1" thickBot="1">
      <c r="A9" s="764"/>
      <c r="B9" s="890"/>
      <c r="C9" s="891"/>
      <c r="D9" s="891"/>
      <c r="E9" s="891"/>
      <c r="F9" s="891"/>
      <c r="G9" s="891"/>
      <c r="H9" s="891"/>
      <c r="I9" s="891"/>
      <c r="J9" s="891"/>
      <c r="K9" s="891"/>
      <c r="L9" s="1370"/>
    </row>
    <row r="10" spans="1:21" ht="15.75" customHeight="1" thickTop="1" thickBot="1">
      <c r="A10" s="211"/>
      <c r="B10" s="1371" t="s">
        <v>1210</v>
      </c>
      <c r="C10" s="1372"/>
      <c r="D10" s="1372"/>
      <c r="E10" s="1372"/>
      <c r="F10" s="1372"/>
      <c r="G10" s="1372"/>
      <c r="H10" s="1372"/>
      <c r="I10" s="1372"/>
      <c r="J10" s="1372"/>
      <c r="K10" s="1373"/>
      <c r="L10" s="1374"/>
    </row>
    <row r="11" spans="1:21" ht="15.75" customHeight="1" thickTop="1" thickBot="1">
      <c r="A11" s="212"/>
      <c r="B11" s="1091" t="s">
        <v>1211</v>
      </c>
      <c r="C11" s="694"/>
      <c r="D11" s="694"/>
      <c r="E11" s="694"/>
      <c r="F11" s="694"/>
      <c r="G11" s="694"/>
      <c r="H11" s="694"/>
      <c r="I11" s="694"/>
      <c r="J11" s="694"/>
      <c r="K11" s="1373"/>
      <c r="L11" s="1374"/>
    </row>
    <row r="12" spans="1:21" ht="15.75" customHeight="1" thickTop="1" thickBot="1">
      <c r="A12" s="593" t="s">
        <v>728</v>
      </c>
      <c r="B12" s="1365"/>
      <c r="C12" s="1365"/>
      <c r="D12" s="1365"/>
      <c r="E12" s="1365"/>
      <c r="F12" s="1365"/>
      <c r="G12" s="1365"/>
      <c r="H12" s="1365"/>
      <c r="I12" s="1365"/>
      <c r="J12" s="1365"/>
      <c r="K12" s="1363"/>
      <c r="L12" s="1364"/>
    </row>
    <row r="13" spans="1:21" ht="16.5" customHeight="1" thickTop="1" thickBot="1">
      <c r="A13" s="1361" t="s">
        <v>386</v>
      </c>
      <c r="B13" s="1362"/>
      <c r="C13" s="1362"/>
      <c r="D13" s="1362"/>
      <c r="E13" s="1362"/>
      <c r="F13" s="1362"/>
      <c r="G13" s="1362"/>
      <c r="H13" s="1362"/>
      <c r="I13" s="1362"/>
      <c r="J13" s="1362"/>
      <c r="K13" s="1363"/>
      <c r="L13" s="1364"/>
    </row>
    <row r="14" spans="1:21" ht="16.5" customHeight="1" thickTop="1" thickBot="1">
      <c r="A14" s="1361" t="s">
        <v>387</v>
      </c>
      <c r="B14" s="1362"/>
      <c r="C14" s="1362"/>
      <c r="D14" s="1362"/>
      <c r="E14" s="1362"/>
      <c r="F14" s="1362"/>
      <c r="G14" s="1362"/>
      <c r="H14" s="1362"/>
      <c r="I14" s="1362"/>
      <c r="J14" s="1362"/>
      <c r="K14" s="574"/>
      <c r="L14" s="575"/>
    </row>
    <row r="15" spans="1:21" ht="15.75" hidden="1" customHeight="1" thickTop="1">
      <c r="A15" s="1325" t="s">
        <v>1416</v>
      </c>
      <c r="B15" s="1326"/>
      <c r="C15" s="1326"/>
      <c r="D15" s="1326"/>
      <c r="E15" s="1326"/>
      <c r="F15" s="1326"/>
      <c r="G15" s="1326"/>
      <c r="H15" s="1326"/>
      <c r="I15" s="1326"/>
      <c r="J15" s="1326"/>
      <c r="K15" s="1366" t="s">
        <v>1581</v>
      </c>
      <c r="L15" s="1367"/>
    </row>
    <row r="16" spans="1:21" ht="26.25" hidden="1" customHeight="1" thickBot="1">
      <c r="A16" s="1361" t="s">
        <v>325</v>
      </c>
      <c r="B16" s="1362"/>
      <c r="C16" s="1362"/>
      <c r="D16" s="1362"/>
      <c r="E16" s="1362"/>
      <c r="F16" s="1362"/>
      <c r="G16" s="1362"/>
      <c r="H16" s="1362"/>
      <c r="I16" s="1362"/>
      <c r="J16" s="1362"/>
      <c r="K16" s="1368"/>
      <c r="L16" s="1369"/>
    </row>
    <row r="17" spans="1:12" ht="32.25" customHeight="1" thickTop="1">
      <c r="A17" s="571" t="s">
        <v>326</v>
      </c>
      <c r="B17" s="572"/>
      <c r="C17" s="572"/>
      <c r="D17" s="572"/>
      <c r="E17" s="572"/>
      <c r="F17" s="572"/>
      <c r="G17" s="572"/>
      <c r="H17" s="572"/>
      <c r="I17" s="572"/>
      <c r="J17" s="573"/>
      <c r="K17" s="689" t="str">
        <f>IF(Std3NotCalc="","",IF(Std3NotCalc="N","NA",IF(ContractType="","",IF(COUNTBLANK(K12:K14)&gt;1,"", IF(ContractType = "CCAD-RC", IF(COUNTIF(K12:K14, "N") &gt; 0, "N", IF(Std3dot1c = "NA", "Y", "")), IF(Std3dot1c = "", "", IF(COUNTIF(K12:K15, "N") &gt; 0, "N", IF(COUNTIF(K12:K15, "Y") = 3, "Y", ""))))))))</f>
        <v/>
      </c>
      <c r="L17" s="690"/>
    </row>
    <row r="18" spans="1:12" ht="26.25" customHeight="1">
      <c r="A18" s="1455"/>
      <c r="B18" s="1456"/>
      <c r="C18" s="1456"/>
      <c r="D18" s="1456"/>
      <c r="E18" s="1456"/>
      <c r="F18" s="1456"/>
      <c r="G18" s="1456"/>
      <c r="H18" s="1456"/>
      <c r="I18" s="1456"/>
      <c r="J18" s="1457"/>
      <c r="K18" s="691"/>
      <c r="L18" s="692"/>
    </row>
    <row r="19" spans="1:12" ht="15" thickBot="1">
      <c r="A19" s="1458"/>
      <c r="B19" s="1459"/>
      <c r="C19" s="1459"/>
      <c r="D19" s="1459"/>
      <c r="E19" s="1459"/>
      <c r="F19" s="1459"/>
      <c r="G19" s="1459"/>
      <c r="H19" s="1459"/>
      <c r="I19" s="1459"/>
      <c r="J19" s="1460"/>
      <c r="K19" s="691"/>
      <c r="L19" s="692"/>
    </row>
    <row r="20" spans="1:12" ht="16.5" customHeight="1" thickTop="1" thickBot="1">
      <c r="A20" s="1375" t="s">
        <v>330</v>
      </c>
      <c r="B20" s="1376"/>
      <c r="C20" s="1322" t="s">
        <v>388</v>
      </c>
      <c r="D20" s="1323"/>
      <c r="E20" s="1323"/>
      <c r="F20" s="1323"/>
      <c r="G20" s="1323"/>
      <c r="H20" s="1323"/>
      <c r="I20" s="1323"/>
      <c r="J20" s="1323"/>
      <c r="K20" s="1323"/>
      <c r="L20" s="1324"/>
    </row>
    <row r="21" spans="1:12" ht="17.25" customHeight="1" thickTop="1">
      <c r="A21" s="1325" t="s">
        <v>728</v>
      </c>
      <c r="B21" s="1326"/>
      <c r="C21" s="1326"/>
      <c r="D21" s="1326"/>
      <c r="E21" s="1326"/>
      <c r="F21" s="1326"/>
      <c r="G21" s="1326"/>
      <c r="H21" s="1326"/>
      <c r="I21" s="1326"/>
      <c r="J21" s="1326"/>
      <c r="K21" s="1067"/>
      <c r="L21" s="515"/>
    </row>
    <row r="22" spans="1:12" ht="15" thickBot="1">
      <c r="A22" s="656" t="s">
        <v>389</v>
      </c>
      <c r="B22" s="657"/>
      <c r="C22" s="657"/>
      <c r="D22" s="657"/>
      <c r="E22" s="657"/>
      <c r="F22" s="657"/>
      <c r="G22" s="657"/>
      <c r="H22" s="657"/>
      <c r="I22" s="657"/>
      <c r="J22" s="657"/>
      <c r="K22" s="967"/>
      <c r="L22" s="517"/>
    </row>
    <row r="23" spans="1:12" ht="15" customHeight="1" thickTop="1">
      <c r="A23" s="656" t="s">
        <v>390</v>
      </c>
      <c r="B23" s="657"/>
      <c r="C23" s="657"/>
      <c r="D23" s="657"/>
      <c r="E23" s="657"/>
      <c r="F23" s="657"/>
      <c r="G23" s="657"/>
      <c r="H23" s="657"/>
      <c r="I23" s="657"/>
      <c r="J23" s="657"/>
      <c r="K23" s="1067"/>
      <c r="L23" s="515"/>
    </row>
    <row r="24" spans="1:12" ht="15" customHeight="1">
      <c r="A24" s="1300" t="s">
        <v>391</v>
      </c>
      <c r="B24" s="1301"/>
      <c r="C24" s="1301"/>
      <c r="D24" s="1301"/>
      <c r="E24" s="1301"/>
      <c r="F24" s="1301"/>
      <c r="G24" s="1301"/>
      <c r="H24" s="1301"/>
      <c r="I24" s="1301"/>
      <c r="J24" s="1301"/>
      <c r="K24" s="1068"/>
      <c r="L24" s="516"/>
    </row>
    <row r="25" spans="1:12" ht="15" customHeight="1">
      <c r="A25" s="1300" t="s">
        <v>392</v>
      </c>
      <c r="B25" s="1301"/>
      <c r="C25" s="1301"/>
      <c r="D25" s="1301"/>
      <c r="E25" s="1301"/>
      <c r="F25" s="1301"/>
      <c r="G25" s="1301"/>
      <c r="H25" s="1301"/>
      <c r="I25" s="1301"/>
      <c r="J25" s="1301"/>
      <c r="K25" s="1068"/>
      <c r="L25" s="516"/>
    </row>
    <row r="26" spans="1:12" ht="15" customHeight="1">
      <c r="A26" s="1300" t="s">
        <v>393</v>
      </c>
      <c r="B26" s="1301"/>
      <c r="C26" s="1301"/>
      <c r="D26" s="1301"/>
      <c r="E26" s="1301"/>
      <c r="F26" s="1301"/>
      <c r="G26" s="1301"/>
      <c r="H26" s="1301"/>
      <c r="I26" s="1301"/>
      <c r="J26" s="1301"/>
      <c r="K26" s="1068"/>
      <c r="L26" s="516"/>
    </row>
    <row r="27" spans="1:12" ht="15" customHeight="1">
      <c r="A27" s="1300" t="s">
        <v>394</v>
      </c>
      <c r="B27" s="1301"/>
      <c r="C27" s="1301"/>
      <c r="D27" s="1301"/>
      <c r="E27" s="1301"/>
      <c r="F27" s="1301"/>
      <c r="G27" s="1301"/>
      <c r="H27" s="1301"/>
      <c r="I27" s="1301"/>
      <c r="J27" s="1301"/>
      <c r="K27" s="1068"/>
      <c r="L27" s="516"/>
    </row>
    <row r="28" spans="1:12" ht="15" thickBot="1">
      <c r="A28" s="1300" t="s">
        <v>395</v>
      </c>
      <c r="B28" s="1301"/>
      <c r="C28" s="1301"/>
      <c r="D28" s="1301"/>
      <c r="E28" s="1301"/>
      <c r="F28" s="1301"/>
      <c r="G28" s="1301"/>
      <c r="H28" s="1301"/>
      <c r="I28" s="1301"/>
      <c r="J28" s="1301"/>
      <c r="K28" s="967"/>
      <c r="L28" s="517"/>
    </row>
    <row r="29" spans="1:12" ht="15.75" customHeight="1" thickTop="1" thickBot="1">
      <c r="A29" s="656" t="s">
        <v>396</v>
      </c>
      <c r="B29" s="657"/>
      <c r="C29" s="657"/>
      <c r="D29" s="657"/>
      <c r="E29" s="657"/>
      <c r="F29" s="657"/>
      <c r="G29" s="657"/>
      <c r="H29" s="657"/>
      <c r="I29" s="657"/>
      <c r="J29" s="657"/>
      <c r="K29" s="574"/>
      <c r="L29" s="575"/>
    </row>
    <row r="30" spans="1:12" ht="17.25" customHeight="1" thickTop="1">
      <c r="A30" s="1461" t="s">
        <v>331</v>
      </c>
      <c r="B30" s="1462"/>
      <c r="C30" s="1462"/>
      <c r="D30" s="1462"/>
      <c r="E30" s="1462"/>
      <c r="F30" s="1462"/>
      <c r="G30" s="1462"/>
      <c r="H30" s="1462"/>
      <c r="I30" s="1462"/>
      <c r="J30" s="1463"/>
      <c r="K30" s="689" t="str">
        <f>IF(K7 = "", "", IF(K7 = "N", "NA", IF(COUNTIF(K21:L29, "") &gt; 15, "", IF(COUNTIF(K21:L29, "Y") = 3, "Y", "N"))))</f>
        <v/>
      </c>
      <c r="L30" s="690"/>
    </row>
    <row r="31" spans="1:12" ht="16.5" customHeight="1" thickBot="1">
      <c r="A31" s="1464"/>
      <c r="B31" s="1465"/>
      <c r="C31" s="1465"/>
      <c r="D31" s="1465"/>
      <c r="E31" s="1465"/>
      <c r="F31" s="1465"/>
      <c r="G31" s="1465"/>
      <c r="H31" s="1465"/>
      <c r="I31" s="1465"/>
      <c r="J31" s="1466"/>
      <c r="K31" s="1053"/>
      <c r="L31" s="1054"/>
    </row>
    <row r="32" spans="1:12" ht="17.25" customHeight="1" thickTop="1" thickBot="1">
      <c r="A32" s="1317" t="s">
        <v>332</v>
      </c>
      <c r="B32" s="1318"/>
      <c r="C32" s="1318"/>
      <c r="D32" s="1318"/>
      <c r="E32" s="1318"/>
      <c r="F32" s="1318"/>
      <c r="G32" s="1318"/>
      <c r="H32" s="1318"/>
      <c r="I32" s="1318"/>
      <c r="J32" s="1318"/>
      <c r="K32" s="1319"/>
    </row>
    <row r="33" spans="1:14" ht="40.5" customHeight="1" thickTop="1" thickBot="1">
      <c r="A33" s="30" t="s">
        <v>333</v>
      </c>
      <c r="B33" s="1322" t="s">
        <v>1398</v>
      </c>
      <c r="C33" s="1323"/>
      <c r="D33" s="1323"/>
      <c r="E33" s="1323"/>
      <c r="F33" s="1323"/>
      <c r="G33" s="1323"/>
      <c r="H33" s="1323"/>
      <c r="I33" s="1323"/>
      <c r="J33" s="1323"/>
      <c r="K33" s="1324"/>
    </row>
    <row r="34" spans="1:14" ht="15.75" customHeight="1" thickTop="1">
      <c r="A34" s="1308" t="s">
        <v>397</v>
      </c>
      <c r="B34" s="1309"/>
      <c r="C34" s="1309"/>
      <c r="D34" s="1309"/>
      <c r="E34" s="1309"/>
      <c r="F34" s="1309"/>
      <c r="G34" s="1309"/>
      <c r="H34" s="1309"/>
      <c r="I34" s="1309"/>
      <c r="J34" s="1309"/>
      <c r="K34" s="1310"/>
    </row>
    <row r="35" spans="1:14" ht="42.75" customHeight="1" thickBot="1">
      <c r="A35" s="1311"/>
      <c r="B35" s="1312"/>
      <c r="C35" s="1312"/>
      <c r="D35" s="1312"/>
      <c r="E35" s="1312"/>
      <c r="F35" s="1312"/>
      <c r="G35" s="1312"/>
      <c r="H35" s="1312"/>
      <c r="I35" s="1312"/>
      <c r="J35" s="1312"/>
      <c r="K35" s="1313"/>
    </row>
    <row r="36" spans="1:14" ht="33.75" customHeight="1" thickTop="1">
      <c r="A36" s="1308" t="s">
        <v>1399</v>
      </c>
      <c r="B36" s="1309"/>
      <c r="C36" s="1309"/>
      <c r="D36" s="1309"/>
      <c r="E36" s="1309"/>
      <c r="F36" s="1309"/>
      <c r="G36" s="1309"/>
      <c r="H36" s="1309"/>
      <c r="I36" s="1309"/>
      <c r="J36" s="1309"/>
      <c r="K36" s="1310"/>
    </row>
    <row r="37" spans="1:14" ht="18.75" customHeight="1" thickBot="1">
      <c r="A37" s="96" t="s">
        <v>783</v>
      </c>
      <c r="B37" s="223"/>
      <c r="C37" s="33" t="s">
        <v>398</v>
      </c>
      <c r="D37" s="1320"/>
      <c r="E37" s="1320"/>
      <c r="F37" s="97" t="s">
        <v>784</v>
      </c>
      <c r="G37" s="223"/>
      <c r="H37" s="33" t="s">
        <v>398</v>
      </c>
      <c r="I37" s="1320"/>
      <c r="J37" s="1320"/>
      <c r="K37" s="1321"/>
    </row>
    <row r="38" spans="1:14" ht="31.5" customHeight="1" thickTop="1">
      <c r="A38" s="1467" t="s">
        <v>334</v>
      </c>
      <c r="B38" s="1468"/>
      <c r="C38" s="1468"/>
      <c r="D38" s="1468"/>
      <c r="E38" s="1468"/>
      <c r="F38" s="1468"/>
      <c r="G38" s="1468"/>
      <c r="H38" s="1468"/>
      <c r="I38" s="1469"/>
      <c r="J38" s="689" t="str">
        <f>IF(AND(Std4dot1Month1="",Std4dot1Month2=""),"",IF(AND(Std4dot1Month1="NA",Std4dot1Month2="NA"),"",IF(OR(Std4dot1Month1="N",Std4dot1Month2="N"),"N",IF(AND(Std4dot1Month1="Y",Std4dot1Month2&lt;&gt;""),"Y",IF(AND(Std4dot1Month2="Y",Std4dot1Month1&lt;&gt;""),"Y","")))))</f>
        <v/>
      </c>
      <c r="K38" s="690"/>
    </row>
    <row r="39" spans="1:14" ht="15.75" customHeight="1" thickBot="1">
      <c r="A39" s="1470"/>
      <c r="B39" s="1471"/>
      <c r="C39" s="1471"/>
      <c r="D39" s="1471"/>
      <c r="E39" s="1471"/>
      <c r="F39" s="1471"/>
      <c r="G39" s="1471"/>
      <c r="H39" s="1471"/>
      <c r="I39" s="1472"/>
      <c r="J39" s="691"/>
      <c r="K39" s="692"/>
    </row>
    <row r="40" spans="1:14" ht="30" customHeight="1" thickTop="1" thickBot="1">
      <c r="A40" s="939" t="s">
        <v>48</v>
      </c>
      <c r="B40" s="1314" t="s">
        <v>1400</v>
      </c>
      <c r="C40" s="1315"/>
      <c r="D40" s="1315"/>
      <c r="E40" s="1315"/>
      <c r="F40" s="1315"/>
      <c r="G40" s="1315"/>
      <c r="H40" s="1315"/>
      <c r="I40" s="1316"/>
      <c r="J40" s="944" t="s">
        <v>1212</v>
      </c>
      <c r="K40" s="945"/>
    </row>
    <row r="41" spans="1:14" ht="30" customHeight="1" thickTop="1" thickBot="1">
      <c r="A41" s="939"/>
      <c r="B41" s="813"/>
      <c r="C41" s="758"/>
      <c r="D41" s="758"/>
      <c r="E41" s="758"/>
      <c r="F41" s="758"/>
      <c r="G41" s="758"/>
      <c r="H41" s="758"/>
      <c r="I41" s="759"/>
      <c r="J41" s="574"/>
      <c r="K41" s="575"/>
    </row>
    <row r="42" spans="1:14" ht="15.75" customHeight="1" thickTop="1">
      <c r="A42" s="939"/>
      <c r="B42" s="1008" t="s">
        <v>1213</v>
      </c>
      <c r="C42" s="1009"/>
      <c r="D42" s="1009"/>
      <c r="E42" s="1009"/>
      <c r="F42" s="1009"/>
      <c r="G42" s="1009"/>
      <c r="H42" s="1009"/>
      <c r="I42" s="1009"/>
      <c r="J42" s="1009"/>
      <c r="K42" s="1010"/>
    </row>
    <row r="43" spans="1:14" ht="27" customHeight="1" thickBot="1">
      <c r="A43" s="940"/>
      <c r="B43" s="890"/>
      <c r="C43" s="891"/>
      <c r="D43" s="891"/>
      <c r="E43" s="891"/>
      <c r="F43" s="891"/>
      <c r="G43" s="891"/>
      <c r="H43" s="891"/>
      <c r="I43" s="891"/>
      <c r="J43" s="891"/>
      <c r="K43" s="1370"/>
      <c r="N43" s="101"/>
    </row>
    <row r="44" spans="1:14" ht="27" customHeight="1" thickTop="1" thickBot="1">
      <c r="A44" s="1287" t="s">
        <v>1469</v>
      </c>
      <c r="B44" s="954"/>
      <c r="C44" s="954"/>
      <c r="D44" s="954"/>
      <c r="E44" s="954"/>
      <c r="F44" s="954"/>
      <c r="G44" s="954"/>
      <c r="H44" s="954"/>
      <c r="I44" s="954"/>
      <c r="J44" s="954"/>
      <c r="K44" s="955"/>
      <c r="N44" s="101"/>
    </row>
    <row r="45" spans="1:14" ht="16.5" customHeight="1" thickTop="1" thickBot="1">
      <c r="A45" s="1294" t="s">
        <v>23</v>
      </c>
      <c r="B45" s="1295"/>
      <c r="C45" s="1295"/>
      <c r="D45" s="1295"/>
      <c r="E45" s="1295"/>
      <c r="F45" s="1295" t="s">
        <v>24</v>
      </c>
      <c r="G45" s="1295"/>
      <c r="H45" s="1295"/>
      <c r="I45" s="1295"/>
      <c r="J45" s="1295"/>
      <c r="K45" s="1296"/>
    </row>
    <row r="46" spans="1:14" ht="26.25" customHeight="1" thickBot="1">
      <c r="A46" s="1012" t="s">
        <v>399</v>
      </c>
      <c r="B46" s="1013"/>
      <c r="C46" s="1013"/>
      <c r="D46" s="1013"/>
      <c r="E46" s="1013"/>
      <c r="F46" s="1013" t="s">
        <v>400</v>
      </c>
      <c r="G46" s="1013"/>
      <c r="H46" s="1013"/>
      <c r="I46" s="1013"/>
      <c r="J46" s="1013"/>
      <c r="K46" s="1307"/>
    </row>
    <row r="47" spans="1:14" ht="16.5" customHeight="1" thickBot="1">
      <c r="A47" s="1270"/>
      <c r="B47" s="1268"/>
      <c r="C47" s="1268"/>
      <c r="D47" s="1268"/>
      <c r="E47" s="1268"/>
      <c r="F47" s="1268"/>
      <c r="G47" s="1268"/>
      <c r="H47" s="1268"/>
      <c r="I47" s="1268"/>
      <c r="J47" s="1268"/>
      <c r="K47" s="1269"/>
    </row>
    <row r="48" spans="1:14" ht="16.5" customHeight="1" thickBot="1">
      <c r="A48" s="1270"/>
      <c r="B48" s="1268"/>
      <c r="C48" s="1268"/>
      <c r="D48" s="1268"/>
      <c r="E48" s="1268"/>
      <c r="F48" s="1268"/>
      <c r="G48" s="1268"/>
      <c r="H48" s="1268"/>
      <c r="I48" s="1268"/>
      <c r="J48" s="1268"/>
      <c r="K48" s="1269"/>
    </row>
    <row r="49" spans="1:12" ht="16.5" customHeight="1" thickBot="1">
      <c r="A49" s="1270"/>
      <c r="B49" s="1268"/>
      <c r="C49" s="1268"/>
      <c r="D49" s="1268"/>
      <c r="E49" s="1268"/>
      <c r="F49" s="1268"/>
      <c r="G49" s="1268"/>
      <c r="H49" s="1268"/>
      <c r="I49" s="1268"/>
      <c r="J49" s="1268"/>
      <c r="K49" s="1269"/>
    </row>
    <row r="50" spans="1:12" ht="16.5" customHeight="1" thickBot="1">
      <c r="A50" s="1270"/>
      <c r="B50" s="1268"/>
      <c r="C50" s="1268"/>
      <c r="D50" s="1268"/>
      <c r="E50" s="1268"/>
      <c r="F50" s="1268"/>
      <c r="G50" s="1268"/>
      <c r="H50" s="1268"/>
      <c r="I50" s="1268"/>
      <c r="J50" s="1268"/>
      <c r="K50" s="1269"/>
    </row>
    <row r="51" spans="1:12" ht="47.25" customHeight="1" thickTop="1" thickBot="1">
      <c r="A51" s="909" t="s">
        <v>401</v>
      </c>
      <c r="B51" s="910"/>
      <c r="C51" s="910"/>
      <c r="D51" s="910"/>
      <c r="E51" s="910"/>
      <c r="F51" s="910"/>
      <c r="G51" s="910"/>
      <c r="H51" s="910"/>
      <c r="I51" s="910"/>
      <c r="J51" s="689" t="str">
        <f>IF(Std4dot2NotCalc = "", "", IF(Std4dot2NotCalc = "N", "NA", IF(COUNTBLANK(A47:A50) = 4, "", IF(AND(ABS(A47 - F47) &lt;= 7, ABS(A48 - F48) &lt;= 7, ABS(A49 - F49) &lt;= 7, ABS(A50 - F50) &lt;= 7), "Y", "N"))))</f>
        <v/>
      </c>
      <c r="K51" s="690"/>
    </row>
    <row r="52" spans="1:12" s="1" customFormat="1" ht="36.75" customHeight="1" thickTop="1" thickBot="1">
      <c r="A52" s="909" t="s">
        <v>1582</v>
      </c>
      <c r="B52" s="910"/>
      <c r="C52" s="910"/>
      <c r="D52" s="910"/>
      <c r="E52" s="910"/>
      <c r="F52" s="910"/>
      <c r="G52" s="910"/>
      <c r="H52" s="910"/>
      <c r="I52" s="910"/>
      <c r="J52" s="910"/>
      <c r="K52" s="911"/>
    </row>
    <row r="53" spans="1:12" s="4" customFormat="1" ht="25.5" customHeight="1" thickTop="1">
      <c r="A53" s="912" t="s">
        <v>1583</v>
      </c>
      <c r="B53" s="913"/>
      <c r="C53" s="913"/>
      <c r="D53" s="913"/>
      <c r="E53" s="913"/>
      <c r="F53" s="913"/>
      <c r="G53" s="913"/>
      <c r="H53" s="913"/>
      <c r="I53" s="913"/>
      <c r="J53" s="916"/>
      <c r="K53" s="917"/>
    </row>
    <row r="54" spans="1:12" s="4" customFormat="1" ht="42" customHeight="1" thickBot="1">
      <c r="A54" s="914" t="s">
        <v>1650</v>
      </c>
      <c r="B54" s="915"/>
      <c r="C54" s="915"/>
      <c r="D54" s="915"/>
      <c r="E54" s="915"/>
      <c r="F54" s="915"/>
      <c r="G54" s="915"/>
      <c r="H54" s="915"/>
      <c r="I54" s="915"/>
      <c r="J54" s="918"/>
      <c r="K54" s="919"/>
    </row>
    <row r="55" spans="1:12" s="1" customFormat="1" ht="36.75" customHeight="1" thickTop="1" thickBot="1">
      <c r="A55" s="909" t="s">
        <v>1584</v>
      </c>
      <c r="B55" s="910"/>
      <c r="C55" s="910"/>
      <c r="D55" s="910"/>
      <c r="E55" s="910"/>
      <c r="F55" s="910"/>
      <c r="G55" s="910"/>
      <c r="H55" s="910"/>
      <c r="I55" s="910"/>
      <c r="J55" s="910"/>
      <c r="K55" s="911"/>
    </row>
    <row r="56" spans="1:12" s="4" customFormat="1" ht="30" customHeight="1" thickTop="1">
      <c r="A56" s="920" t="s">
        <v>1654</v>
      </c>
      <c r="B56" s="921"/>
      <c r="C56" s="921"/>
      <c r="D56" s="921"/>
      <c r="E56" s="921"/>
      <c r="F56" s="921"/>
      <c r="G56" s="921"/>
      <c r="H56" s="921"/>
      <c r="I56" s="921"/>
      <c r="J56" s="916"/>
      <c r="K56" s="917"/>
    </row>
    <row r="57" spans="1:12" s="4" customFormat="1" ht="15.9" customHeight="1">
      <c r="A57" s="922" t="s">
        <v>1585</v>
      </c>
      <c r="B57" s="923"/>
      <c r="C57" s="923"/>
      <c r="D57" s="923"/>
      <c r="E57" s="923"/>
      <c r="F57" s="923"/>
      <c r="G57" s="923"/>
      <c r="H57" s="923"/>
      <c r="I57" s="923"/>
      <c r="J57" s="925"/>
      <c r="K57" s="926"/>
    </row>
    <row r="58" spans="1:12" s="1" customFormat="1" ht="15.9" customHeight="1" thickBot="1">
      <c r="A58" s="914" t="s">
        <v>1586</v>
      </c>
      <c r="B58" s="924"/>
      <c r="C58" s="924"/>
      <c r="D58" s="924"/>
      <c r="E58" s="924"/>
      <c r="F58" s="924"/>
      <c r="G58" s="924"/>
      <c r="H58" s="924"/>
      <c r="I58" s="924"/>
      <c r="J58" s="918"/>
      <c r="K58" s="919"/>
    </row>
    <row r="59" spans="1:12" ht="16.5" customHeight="1" thickTop="1" thickBot="1">
      <c r="A59" s="934" t="s">
        <v>120</v>
      </c>
      <c r="B59" s="935"/>
      <c r="C59" s="935"/>
      <c r="D59" s="935"/>
      <c r="E59" s="935"/>
      <c r="F59" s="935"/>
      <c r="G59" s="935"/>
      <c r="H59" s="935"/>
      <c r="I59" s="935"/>
      <c r="J59" s="935"/>
      <c r="K59" s="935"/>
      <c r="L59" s="936"/>
    </row>
    <row r="60" spans="1:12" ht="30" customHeight="1" thickTop="1" thickBot="1">
      <c r="A60" s="762" t="s">
        <v>255</v>
      </c>
      <c r="B60" s="988" t="s">
        <v>1387</v>
      </c>
      <c r="C60" s="755"/>
      <c r="D60" s="755"/>
      <c r="E60" s="755"/>
      <c r="F60" s="755"/>
      <c r="G60" s="755"/>
      <c r="H60" s="755"/>
      <c r="I60" s="755"/>
      <c r="J60" s="989"/>
      <c r="K60" s="944" t="s">
        <v>1212</v>
      </c>
      <c r="L60" s="945"/>
    </row>
    <row r="61" spans="1:12" ht="27.75" customHeight="1" thickTop="1" thickBot="1">
      <c r="A61" s="1303"/>
      <c r="B61" s="1288"/>
      <c r="C61" s="1289"/>
      <c r="D61" s="1289"/>
      <c r="E61" s="1289"/>
      <c r="F61" s="1289"/>
      <c r="G61" s="1289"/>
      <c r="H61" s="1289"/>
      <c r="I61" s="1289"/>
      <c r="J61" s="1290"/>
      <c r="K61" s="574"/>
      <c r="L61" s="575"/>
    </row>
    <row r="62" spans="1:12" ht="60" customHeight="1" thickTop="1" thickBot="1">
      <c r="A62" s="1303"/>
      <c r="B62" s="1304" t="s">
        <v>1587</v>
      </c>
      <c r="C62" s="1305"/>
      <c r="D62" s="1305"/>
      <c r="E62" s="1305"/>
      <c r="F62" s="1305"/>
      <c r="G62" s="1305"/>
      <c r="H62" s="1305"/>
      <c r="I62" s="1305"/>
      <c r="J62" s="1305"/>
      <c r="K62" s="1305"/>
      <c r="L62" s="1306"/>
    </row>
    <row r="63" spans="1:12" ht="31.5" customHeight="1" thickTop="1">
      <c r="A63" s="1297" t="s">
        <v>335</v>
      </c>
      <c r="B63" s="1298"/>
      <c r="C63" s="1298"/>
      <c r="D63" s="1298"/>
      <c r="E63" s="1298"/>
      <c r="F63" s="1298"/>
      <c r="G63" s="1298"/>
      <c r="H63" s="1298"/>
      <c r="I63" s="1298"/>
      <c r="J63" s="1299"/>
      <c r="K63" s="1067"/>
      <c r="L63" s="515"/>
    </row>
    <row r="64" spans="1:12">
      <c r="A64" s="1300" t="s">
        <v>1214</v>
      </c>
      <c r="B64" s="1301"/>
      <c r="C64" s="1301"/>
      <c r="D64" s="1301"/>
      <c r="E64" s="1301"/>
      <c r="F64" s="1301"/>
      <c r="G64" s="1301"/>
      <c r="H64" s="1301"/>
      <c r="I64" s="1301"/>
      <c r="J64" s="1302"/>
      <c r="K64" s="1068"/>
      <c r="L64" s="516"/>
    </row>
    <row r="65" spans="1:12" ht="27" customHeight="1" thickBot="1">
      <c r="A65" s="1300" t="s">
        <v>1588</v>
      </c>
      <c r="B65" s="1301"/>
      <c r="C65" s="1301"/>
      <c r="D65" s="1301"/>
      <c r="E65" s="1301"/>
      <c r="F65" s="1301"/>
      <c r="G65" s="1301"/>
      <c r="H65" s="1301"/>
      <c r="I65" s="1301"/>
      <c r="J65" s="1302"/>
      <c r="K65" s="1068"/>
      <c r="L65" s="516"/>
    </row>
    <row r="66" spans="1:12" ht="17.25" customHeight="1" thickTop="1" thickBot="1">
      <c r="A66" s="934" t="s">
        <v>336</v>
      </c>
      <c r="B66" s="935"/>
      <c r="C66" s="935"/>
      <c r="D66" s="935"/>
      <c r="E66" s="935"/>
      <c r="F66" s="935"/>
      <c r="G66" s="935"/>
      <c r="H66" s="935"/>
      <c r="I66" s="935"/>
      <c r="J66" s="935"/>
      <c r="K66" s="935"/>
      <c r="L66" s="936"/>
    </row>
    <row r="67" spans="1:12" ht="30" customHeight="1" thickTop="1" thickBot="1">
      <c r="A67" s="931" t="s">
        <v>337</v>
      </c>
      <c r="B67" s="988" t="s">
        <v>1388</v>
      </c>
      <c r="C67" s="755"/>
      <c r="D67" s="755"/>
      <c r="E67" s="755"/>
      <c r="F67" s="755"/>
      <c r="G67" s="755"/>
      <c r="H67" s="755"/>
      <c r="I67" s="755"/>
      <c r="J67" s="989"/>
      <c r="K67" s="944" t="s">
        <v>1212</v>
      </c>
      <c r="L67" s="945"/>
    </row>
    <row r="68" spans="1:12" ht="22.5" customHeight="1" thickTop="1" thickBot="1">
      <c r="A68" s="931"/>
      <c r="B68" s="1291"/>
      <c r="C68" s="1292"/>
      <c r="D68" s="1292"/>
      <c r="E68" s="1292"/>
      <c r="F68" s="1292"/>
      <c r="G68" s="1292"/>
      <c r="H68" s="1292"/>
      <c r="I68" s="1292"/>
      <c r="J68" s="1293"/>
      <c r="K68" s="1274"/>
      <c r="L68" s="1274"/>
    </row>
    <row r="69" spans="1:12" ht="15" customHeight="1" thickTop="1" thickBot="1">
      <c r="A69" s="931"/>
      <c r="B69" s="691" t="s">
        <v>1231</v>
      </c>
      <c r="C69" s="1473"/>
      <c r="D69" s="1473"/>
      <c r="E69" s="1473"/>
      <c r="F69" s="1473"/>
      <c r="G69" s="1473"/>
      <c r="H69" s="1473"/>
      <c r="I69" s="1473"/>
      <c r="J69" s="1473"/>
      <c r="K69" s="1473"/>
      <c r="L69" s="692"/>
    </row>
    <row r="70" spans="1:12" ht="15" customHeight="1" thickTop="1" thickBot="1">
      <c r="A70" s="931"/>
      <c r="B70" s="691"/>
      <c r="C70" s="1473"/>
      <c r="D70" s="1473"/>
      <c r="E70" s="1473"/>
      <c r="F70" s="1473"/>
      <c r="G70" s="1473"/>
      <c r="H70" s="1473"/>
      <c r="I70" s="1473"/>
      <c r="J70" s="1473"/>
      <c r="K70" s="1473"/>
      <c r="L70" s="692"/>
    </row>
    <row r="71" spans="1:12" ht="15" customHeight="1" thickTop="1" thickBot="1">
      <c r="A71" s="931"/>
      <c r="B71" s="691"/>
      <c r="C71" s="1473"/>
      <c r="D71" s="1473"/>
      <c r="E71" s="1473"/>
      <c r="F71" s="1473"/>
      <c r="G71" s="1473"/>
      <c r="H71" s="1473"/>
      <c r="I71" s="1473"/>
      <c r="J71" s="1473"/>
      <c r="K71" s="1473"/>
      <c r="L71" s="692"/>
    </row>
    <row r="72" spans="1:12" ht="15" customHeight="1" thickTop="1" thickBot="1">
      <c r="A72" s="931"/>
      <c r="B72" s="691"/>
      <c r="C72" s="1473"/>
      <c r="D72" s="1473"/>
      <c r="E72" s="1473"/>
      <c r="F72" s="1473"/>
      <c r="G72" s="1473"/>
      <c r="H72" s="1473"/>
      <c r="I72" s="1473"/>
      <c r="J72" s="1473"/>
      <c r="K72" s="1473"/>
      <c r="L72" s="692"/>
    </row>
    <row r="73" spans="1:12" ht="15" customHeight="1" thickTop="1" thickBot="1">
      <c r="A73" s="931"/>
      <c r="B73" s="1053"/>
      <c r="C73" s="1474"/>
      <c r="D73" s="1474"/>
      <c r="E73" s="1474"/>
      <c r="F73" s="1474"/>
      <c r="G73" s="1474"/>
      <c r="H73" s="1474"/>
      <c r="I73" s="1474"/>
      <c r="J73" s="1474"/>
      <c r="K73" s="1474"/>
      <c r="L73" s="1054"/>
    </row>
    <row r="74" spans="1:12" ht="15" customHeight="1" thickTop="1">
      <c r="A74" s="1275" t="s">
        <v>1288</v>
      </c>
      <c r="B74" s="1276"/>
      <c r="C74" s="1276"/>
      <c r="D74" s="1276"/>
      <c r="E74" s="1276"/>
      <c r="F74" s="1276"/>
      <c r="G74" s="1276"/>
      <c r="H74" s="1276"/>
      <c r="I74" s="1276"/>
      <c r="J74" s="1276"/>
      <c r="K74" s="1276"/>
      <c r="L74" s="1277"/>
    </row>
    <row r="75" spans="1:12" ht="15" customHeight="1">
      <c r="A75" s="710" t="s">
        <v>402</v>
      </c>
      <c r="B75" s="711"/>
      <c r="C75" s="711"/>
      <c r="D75" s="711"/>
      <c r="E75" s="711"/>
      <c r="F75" s="711"/>
      <c r="G75" s="711"/>
      <c r="H75" s="711"/>
      <c r="I75" s="711"/>
      <c r="J75" s="711"/>
      <c r="K75" s="711"/>
      <c r="L75" s="712"/>
    </row>
    <row r="76" spans="1:12" ht="15" customHeight="1">
      <c r="A76" s="710" t="s">
        <v>403</v>
      </c>
      <c r="B76" s="711"/>
      <c r="C76" s="711"/>
      <c r="D76" s="711"/>
      <c r="E76" s="711"/>
      <c r="F76" s="711"/>
      <c r="G76" s="711"/>
      <c r="H76" s="711"/>
      <c r="I76" s="711"/>
      <c r="J76" s="711"/>
      <c r="K76" s="711"/>
      <c r="L76" s="712"/>
    </row>
    <row r="77" spans="1:12" ht="15" customHeight="1">
      <c r="A77" s="710" t="s">
        <v>404</v>
      </c>
      <c r="B77" s="711"/>
      <c r="C77" s="711"/>
      <c r="D77" s="711"/>
      <c r="E77" s="711"/>
      <c r="F77" s="711"/>
      <c r="G77" s="711"/>
      <c r="H77" s="711"/>
      <c r="I77" s="711"/>
      <c r="J77" s="711"/>
      <c r="K77" s="711"/>
      <c r="L77" s="712"/>
    </row>
    <row r="78" spans="1:12" ht="15" customHeight="1">
      <c r="A78" s="710" t="s">
        <v>405</v>
      </c>
      <c r="B78" s="711"/>
      <c r="C78" s="711"/>
      <c r="D78" s="711"/>
      <c r="E78" s="711"/>
      <c r="F78" s="711"/>
      <c r="G78" s="711"/>
      <c r="H78" s="711"/>
      <c r="I78" s="711"/>
      <c r="J78" s="711"/>
      <c r="K78" s="711"/>
      <c r="L78" s="712"/>
    </row>
    <row r="79" spans="1:12" ht="26.25" customHeight="1" thickBot="1">
      <c r="A79" s="533" t="s">
        <v>406</v>
      </c>
      <c r="B79" s="534"/>
      <c r="C79" s="534"/>
      <c r="D79" s="534"/>
      <c r="E79" s="534"/>
      <c r="F79" s="534"/>
      <c r="G79" s="534"/>
      <c r="H79" s="534"/>
      <c r="I79" s="534"/>
      <c r="J79" s="534"/>
      <c r="K79" s="534"/>
      <c r="L79" s="535"/>
    </row>
    <row r="80" spans="1:12" ht="17.25" customHeight="1" thickTop="1" thickBot="1">
      <c r="A80" s="992" t="s">
        <v>338</v>
      </c>
      <c r="B80" s="993"/>
      <c r="C80" s="993"/>
      <c r="D80" s="993"/>
      <c r="E80" s="38" t="s">
        <v>339</v>
      </c>
      <c r="F80" s="1234"/>
      <c r="G80" s="1235"/>
      <c r="H80" s="1230"/>
      <c r="I80" s="1230"/>
      <c r="J80" s="1230"/>
      <c r="K80" s="1230"/>
      <c r="L80" s="1231"/>
    </row>
    <row r="81" spans="1:14" ht="16.5" customHeight="1" thickBot="1">
      <c r="A81" s="1218" t="s">
        <v>340</v>
      </c>
      <c r="B81" s="1219"/>
      <c r="C81" s="1219"/>
      <c r="D81" s="1219"/>
      <c r="E81" s="39" t="s">
        <v>341</v>
      </c>
      <c r="F81" s="627">
        <v>0</v>
      </c>
      <c r="G81" s="628"/>
      <c r="H81" s="1230"/>
      <c r="I81" s="1230"/>
      <c r="J81" s="1230"/>
      <c r="K81" s="1230"/>
      <c r="L81" s="1231"/>
    </row>
    <row r="82" spans="1:14" ht="16.5" customHeight="1" thickBot="1">
      <c r="A82" s="1218" t="s">
        <v>150</v>
      </c>
      <c r="B82" s="1219"/>
      <c r="C82" s="1219"/>
      <c r="D82" s="1219"/>
      <c r="E82" s="39" t="s">
        <v>339</v>
      </c>
      <c r="F82" s="633">
        <f>F80 - ABS(F81)</f>
        <v>0</v>
      </c>
      <c r="G82" s="634"/>
      <c r="H82" s="1230"/>
      <c r="I82" s="1230"/>
      <c r="J82" s="1230"/>
      <c r="K82" s="1230"/>
      <c r="L82" s="1231"/>
    </row>
    <row r="83" spans="1:14" ht="16.5" customHeight="1" thickBot="1">
      <c r="A83" s="1220" t="s">
        <v>342</v>
      </c>
      <c r="B83" s="1221"/>
      <c r="C83" s="1221"/>
      <c r="D83" s="1221"/>
      <c r="E83" s="39" t="s">
        <v>339</v>
      </c>
      <c r="F83" s="627"/>
      <c r="G83" s="628"/>
      <c r="H83" s="1230"/>
      <c r="I83" s="1230"/>
      <c r="J83" s="1230"/>
      <c r="K83" s="1230"/>
      <c r="L83" s="1231"/>
    </row>
    <row r="84" spans="1:14" ht="16.5" customHeight="1" thickBot="1">
      <c r="A84" s="1220" t="s">
        <v>407</v>
      </c>
      <c r="B84" s="1221"/>
      <c r="C84" s="1221"/>
      <c r="D84" s="1221"/>
      <c r="E84" s="39" t="s">
        <v>339</v>
      </c>
      <c r="F84" s="633">
        <f>F83 - F82</f>
        <v>0</v>
      </c>
      <c r="G84" s="634"/>
      <c r="H84" s="1230"/>
      <c r="I84" s="1230"/>
      <c r="J84" s="1230"/>
      <c r="K84" s="1230"/>
      <c r="L84" s="1231"/>
      <c r="N84" s="40"/>
    </row>
    <row r="85" spans="1:14" ht="26.25" customHeight="1" thickBot="1">
      <c r="A85" s="1222" t="s">
        <v>343</v>
      </c>
      <c r="B85" s="1223"/>
      <c r="C85" s="1223"/>
      <c r="D85" s="1223"/>
      <c r="E85" s="1232"/>
      <c r="F85" s="1232"/>
      <c r="G85" s="1233"/>
      <c r="H85" s="1230"/>
      <c r="I85" s="1230"/>
      <c r="J85" s="1230"/>
      <c r="K85" s="1230"/>
      <c r="L85" s="1231"/>
    </row>
    <row r="86" spans="1:14" ht="31.5" customHeight="1" thickTop="1">
      <c r="A86" s="571" t="s">
        <v>408</v>
      </c>
      <c r="B86" s="572"/>
      <c r="C86" s="572"/>
      <c r="D86" s="572"/>
      <c r="E86" s="572"/>
      <c r="F86" s="572"/>
      <c r="G86" s="572"/>
      <c r="H86" s="572"/>
      <c r="I86" s="572"/>
      <c r="J86" s="573"/>
      <c r="K86" s="773" t="str">
        <f>IF(Std5NotCalc="","",IF(Std5NotCalc="N","NA", IF(Std7dot1NotCalc="","",IF(Std7dot1NotCalc="N","NA",IF(COUNTBLANK(F80:F83)&gt;2,"",IF(F84=0,"Y",E85))))))</f>
        <v/>
      </c>
      <c r="L86" s="1236"/>
    </row>
    <row r="87" spans="1:14" ht="30" customHeight="1">
      <c r="A87" s="1224" t="s">
        <v>1589</v>
      </c>
      <c r="B87" s="1225"/>
      <c r="C87" s="1225"/>
      <c r="D87" s="1225"/>
      <c r="E87" s="1225"/>
      <c r="F87" s="1225"/>
      <c r="G87" s="1225"/>
      <c r="H87" s="1225"/>
      <c r="I87" s="1225"/>
      <c r="J87" s="1226"/>
      <c r="K87" s="1237"/>
      <c r="L87" s="1238"/>
    </row>
    <row r="88" spans="1:14" ht="30" customHeight="1" thickBot="1">
      <c r="A88" s="1227"/>
      <c r="B88" s="1228"/>
      <c r="C88" s="1228"/>
      <c r="D88" s="1228"/>
      <c r="E88" s="1228"/>
      <c r="F88" s="1228"/>
      <c r="G88" s="1228"/>
      <c r="H88" s="1228"/>
      <c r="I88" s="1228"/>
      <c r="J88" s="1229"/>
      <c r="K88" s="1237"/>
      <c r="L88" s="1238"/>
    </row>
    <row r="89" spans="1:14" ht="16.5" customHeight="1" thickTop="1" thickBot="1">
      <c r="A89" s="821" t="s">
        <v>193</v>
      </c>
      <c r="B89" s="822"/>
      <c r="C89" s="822"/>
      <c r="D89" s="822"/>
      <c r="E89" s="822"/>
      <c r="F89" s="822"/>
      <c r="G89" s="822"/>
      <c r="H89" s="822"/>
      <c r="I89" s="822"/>
      <c r="J89" s="822"/>
      <c r="K89" s="822"/>
      <c r="L89" s="823"/>
    </row>
    <row r="90" spans="1:14" ht="30" customHeight="1" thickTop="1" thickBot="1">
      <c r="A90" s="638" t="s">
        <v>806</v>
      </c>
      <c r="B90" s="981" t="s">
        <v>1389</v>
      </c>
      <c r="C90" s="646"/>
      <c r="D90" s="646"/>
      <c r="E90" s="646"/>
      <c r="F90" s="646"/>
      <c r="G90" s="646"/>
      <c r="H90" s="646"/>
      <c r="I90" s="646"/>
      <c r="J90" s="647"/>
      <c r="K90" s="944" t="s">
        <v>1212</v>
      </c>
      <c r="L90" s="945"/>
    </row>
    <row r="91" spans="1:14" ht="25.5" customHeight="1" thickTop="1" thickBot="1">
      <c r="A91" s="1131"/>
      <c r="B91" s="949"/>
      <c r="C91" s="950"/>
      <c r="D91" s="950"/>
      <c r="E91" s="950"/>
      <c r="F91" s="950"/>
      <c r="G91" s="950"/>
      <c r="H91" s="950"/>
      <c r="I91" s="950"/>
      <c r="J91" s="951"/>
      <c r="K91" s="1243"/>
      <c r="L91" s="1244"/>
    </row>
    <row r="92" spans="1:14" ht="45" customHeight="1" thickTop="1" thickBot="1">
      <c r="A92" s="695"/>
      <c r="B92" s="1278" t="s">
        <v>1530</v>
      </c>
      <c r="C92" s="1279"/>
      <c r="D92" s="1279"/>
      <c r="E92" s="1279"/>
      <c r="F92" s="1279"/>
      <c r="G92" s="1279"/>
      <c r="H92" s="1279"/>
      <c r="I92" s="1279"/>
      <c r="J92" s="1279"/>
      <c r="K92" s="1279"/>
      <c r="L92" s="1280"/>
    </row>
    <row r="93" spans="1:14" ht="30" customHeight="1" thickTop="1" thickBot="1">
      <c r="A93" s="638" t="s">
        <v>807</v>
      </c>
      <c r="B93" s="981" t="s">
        <v>1390</v>
      </c>
      <c r="C93" s="646"/>
      <c r="D93" s="646"/>
      <c r="E93" s="646"/>
      <c r="F93" s="646"/>
      <c r="G93" s="646"/>
      <c r="H93" s="646"/>
      <c r="I93" s="646"/>
      <c r="J93" s="647"/>
      <c r="K93" s="944" t="s">
        <v>1212</v>
      </c>
      <c r="L93" s="945"/>
    </row>
    <row r="94" spans="1:14" ht="25.5" customHeight="1" thickTop="1" thickBot="1">
      <c r="A94" s="1131"/>
      <c r="B94" s="949"/>
      <c r="C94" s="950"/>
      <c r="D94" s="950"/>
      <c r="E94" s="950"/>
      <c r="F94" s="950"/>
      <c r="G94" s="950"/>
      <c r="H94" s="950"/>
      <c r="I94" s="950"/>
      <c r="J94" s="951"/>
      <c r="K94" s="1243"/>
      <c r="L94" s="1244"/>
    </row>
    <row r="95" spans="1:14" ht="30" customHeight="1" thickTop="1" thickBot="1">
      <c r="A95" s="695"/>
      <c r="B95" s="1271" t="s">
        <v>1531</v>
      </c>
      <c r="C95" s="1272"/>
      <c r="D95" s="1272"/>
      <c r="E95" s="1272"/>
      <c r="F95" s="1272"/>
      <c r="G95" s="1272"/>
      <c r="H95" s="1272"/>
      <c r="I95" s="1272"/>
      <c r="J95" s="1272"/>
      <c r="K95" s="1272"/>
      <c r="L95" s="1273"/>
    </row>
    <row r="96" spans="1:14" ht="15" customHeight="1" thickTop="1" thickBot="1">
      <c r="A96" s="1281" t="s">
        <v>414</v>
      </c>
      <c r="B96" s="1282"/>
      <c r="C96" s="1282"/>
      <c r="D96" s="1282"/>
      <c r="E96" s="1282"/>
      <c r="F96" s="1282"/>
      <c r="G96" s="1282"/>
      <c r="H96" s="1282"/>
      <c r="I96" s="1282"/>
      <c r="J96" s="1282"/>
      <c r="K96" s="1282"/>
      <c r="L96" s="1283"/>
    </row>
    <row r="97" spans="1:13" ht="39.75" customHeight="1" thickTop="1">
      <c r="A97" s="762"/>
      <c r="B97" s="1284" t="s">
        <v>792</v>
      </c>
      <c r="C97" s="1285"/>
      <c r="D97" s="1285"/>
      <c r="E97" s="1285"/>
      <c r="F97" s="1285"/>
      <c r="G97" s="1285"/>
      <c r="H97" s="1285"/>
      <c r="I97" s="1285"/>
      <c r="J97" s="1285"/>
      <c r="K97" s="1285"/>
      <c r="L97" s="1286"/>
    </row>
    <row r="98" spans="1:13" ht="26.25" customHeight="1">
      <c r="A98" s="939"/>
      <c r="B98" s="530" t="s">
        <v>813</v>
      </c>
      <c r="C98" s="531"/>
      <c r="D98" s="531"/>
      <c r="E98" s="531"/>
      <c r="F98" s="531"/>
      <c r="G98" s="531"/>
      <c r="H98" s="531"/>
      <c r="I98" s="531"/>
      <c r="J98" s="531"/>
      <c r="K98" s="531"/>
      <c r="L98" s="532"/>
    </row>
    <row r="99" spans="1:13" ht="16.5" customHeight="1">
      <c r="A99" s="939"/>
      <c r="B99" s="530" t="s">
        <v>793</v>
      </c>
      <c r="C99" s="531"/>
      <c r="D99" s="531"/>
      <c r="E99" s="531"/>
      <c r="F99" s="531"/>
      <c r="G99" s="531"/>
      <c r="H99" s="531"/>
      <c r="I99" s="531"/>
      <c r="J99" s="531"/>
      <c r="K99" s="531"/>
      <c r="L99" s="532"/>
    </row>
    <row r="100" spans="1:13" ht="15" customHeight="1">
      <c r="A100" s="939"/>
      <c r="B100" s="530" t="s">
        <v>794</v>
      </c>
      <c r="C100" s="531"/>
      <c r="D100" s="531"/>
      <c r="E100" s="531"/>
      <c r="F100" s="531"/>
      <c r="G100" s="531"/>
      <c r="H100" s="531"/>
      <c r="I100" s="531"/>
      <c r="J100" s="531"/>
      <c r="K100" s="531"/>
      <c r="L100" s="532"/>
    </row>
    <row r="101" spans="1:13" ht="16.5" customHeight="1">
      <c r="A101" s="939"/>
      <c r="B101" s="530" t="s">
        <v>795</v>
      </c>
      <c r="C101" s="531"/>
      <c r="D101" s="531"/>
      <c r="E101" s="531"/>
      <c r="F101" s="531"/>
      <c r="G101" s="531"/>
      <c r="H101" s="531"/>
      <c r="I101" s="531"/>
      <c r="J101" s="531"/>
      <c r="K101" s="531"/>
      <c r="L101" s="532"/>
    </row>
    <row r="102" spans="1:13" ht="27" customHeight="1" thickBot="1">
      <c r="A102" s="940"/>
      <c r="B102" s="1240" t="s">
        <v>805</v>
      </c>
      <c r="C102" s="1241"/>
      <c r="D102" s="1241"/>
      <c r="E102" s="1241"/>
      <c r="F102" s="1241"/>
      <c r="G102" s="1241"/>
      <c r="H102" s="1241"/>
      <c r="I102" s="1241"/>
      <c r="J102" s="1241"/>
      <c r="K102" s="1241"/>
      <c r="L102" s="1242"/>
    </row>
    <row r="103" spans="1:13" ht="16.5" customHeight="1" thickTop="1" thickBot="1">
      <c r="A103" s="493" t="s">
        <v>414</v>
      </c>
      <c r="B103" s="494"/>
      <c r="C103" s="494"/>
      <c r="D103" s="494"/>
      <c r="E103" s="494"/>
      <c r="F103" s="494"/>
      <c r="G103" s="494"/>
      <c r="H103" s="494"/>
      <c r="I103" s="494"/>
      <c r="J103" s="494"/>
      <c r="K103" s="494"/>
      <c r="L103" s="495"/>
      <c r="M103" s="41"/>
    </row>
    <row r="104" spans="1:13" ht="16.5" customHeight="1" thickBot="1">
      <c r="A104" s="1206" t="s">
        <v>156</v>
      </c>
      <c r="B104" s="1207"/>
      <c r="C104" s="1207"/>
      <c r="D104" s="1207"/>
      <c r="E104" s="1208"/>
      <c r="F104" s="927"/>
      <c r="G104" s="927"/>
      <c r="H104" s="927"/>
      <c r="I104" s="47" t="s">
        <v>344</v>
      </c>
      <c r="J104" s="47" t="s">
        <v>339</v>
      </c>
      <c r="K104" s="663"/>
      <c r="L104" s="664"/>
      <c r="M104" s="41"/>
    </row>
    <row r="105" spans="1:13" ht="16.5" customHeight="1" thickBot="1">
      <c r="A105" s="928" t="s">
        <v>415</v>
      </c>
      <c r="B105" s="929"/>
      <c r="C105" s="929"/>
      <c r="D105" s="929"/>
      <c r="E105" s="929"/>
      <c r="F105" s="929"/>
      <c r="G105" s="929"/>
      <c r="H105" s="930"/>
      <c r="I105" s="44" t="s">
        <v>345</v>
      </c>
      <c r="J105" s="45" t="s">
        <v>346</v>
      </c>
      <c r="K105" s="1211">
        <f>Std9TotDepsInTrans</f>
        <v>0</v>
      </c>
      <c r="L105" s="1212"/>
      <c r="M105" s="41"/>
    </row>
    <row r="106" spans="1:13" ht="16.5" customHeight="1" thickBot="1">
      <c r="A106" s="928" t="s">
        <v>416</v>
      </c>
      <c r="B106" s="929"/>
      <c r="C106" s="929"/>
      <c r="D106" s="929"/>
      <c r="E106" s="929"/>
      <c r="F106" s="929"/>
      <c r="G106" s="929"/>
      <c r="H106" s="930"/>
      <c r="I106" s="44" t="s">
        <v>347</v>
      </c>
      <c r="J106" s="45" t="s">
        <v>348</v>
      </c>
      <c r="K106" s="1211">
        <f>Std9TotOutsChks</f>
        <v>0</v>
      </c>
      <c r="L106" s="1212"/>
      <c r="M106" s="41"/>
    </row>
    <row r="107" spans="1:13" ht="15.75" customHeight="1" thickBot="1">
      <c r="A107" s="928" t="s">
        <v>160</v>
      </c>
      <c r="B107" s="929"/>
      <c r="C107" s="929"/>
      <c r="D107" s="929"/>
      <c r="E107" s="929"/>
      <c r="F107" s="929"/>
      <c r="G107" s="929"/>
      <c r="H107" s="43" t="s">
        <v>417</v>
      </c>
      <c r="I107" s="44" t="s">
        <v>349</v>
      </c>
      <c r="J107" s="45" t="s">
        <v>339</v>
      </c>
      <c r="K107" s="1211">
        <f>K104 + K105 - K106</f>
        <v>0</v>
      </c>
      <c r="L107" s="1212"/>
      <c r="M107" s="41"/>
    </row>
    <row r="108" spans="1:13" ht="16.5" customHeight="1" thickBot="1">
      <c r="A108" s="1213" t="s">
        <v>419</v>
      </c>
      <c r="B108" s="1214"/>
      <c r="C108" s="1214"/>
      <c r="D108" s="1214"/>
      <c r="E108" s="1214"/>
      <c r="F108" s="1214"/>
      <c r="G108" s="1216"/>
      <c r="H108" s="1217"/>
      <c r="I108" s="44" t="s">
        <v>350</v>
      </c>
      <c r="J108" s="45" t="s">
        <v>339</v>
      </c>
      <c r="K108" s="663"/>
      <c r="L108" s="664"/>
      <c r="M108" s="41"/>
    </row>
    <row r="109" spans="1:13" ht="16.5" customHeight="1" thickBot="1">
      <c r="A109" s="928" t="s">
        <v>162</v>
      </c>
      <c r="B109" s="929"/>
      <c r="C109" s="929"/>
      <c r="D109" s="929"/>
      <c r="E109" s="929"/>
      <c r="F109" s="929"/>
      <c r="G109" s="929"/>
      <c r="H109" s="929"/>
      <c r="I109" s="929"/>
      <c r="J109" s="929"/>
      <c r="K109" s="929"/>
      <c r="L109" s="1215"/>
      <c r="M109" s="41"/>
    </row>
    <row r="110" spans="1:13" ht="15" thickBot="1">
      <c r="A110" s="1209" t="s">
        <v>163</v>
      </c>
      <c r="B110" s="1210"/>
      <c r="C110" s="1210"/>
      <c r="D110" s="1210"/>
      <c r="E110" s="1210" t="s">
        <v>351</v>
      </c>
      <c r="F110" s="1210" t="s">
        <v>339</v>
      </c>
      <c r="G110" s="1210"/>
      <c r="H110" s="43" t="s">
        <v>418</v>
      </c>
      <c r="I110" s="44" t="s">
        <v>351</v>
      </c>
      <c r="J110" s="45" t="s">
        <v>339</v>
      </c>
      <c r="K110" s="1211">
        <f>K107 + K108</f>
        <v>0</v>
      </c>
      <c r="L110" s="1212"/>
      <c r="M110" s="41"/>
    </row>
    <row r="111" spans="1:13" ht="16.5" customHeight="1" thickBot="1">
      <c r="A111" s="1209" t="s">
        <v>165</v>
      </c>
      <c r="B111" s="1210"/>
      <c r="C111" s="1210"/>
      <c r="D111" s="1210"/>
      <c r="E111" s="1210"/>
      <c r="F111" s="1210"/>
      <c r="G111" s="1216"/>
      <c r="H111" s="1217"/>
      <c r="I111" s="44" t="s">
        <v>352</v>
      </c>
      <c r="J111" s="45" t="s">
        <v>339</v>
      </c>
      <c r="K111" s="663"/>
      <c r="L111" s="664"/>
      <c r="M111" s="41"/>
    </row>
    <row r="112" spans="1:13" ht="16.5" customHeight="1" thickBot="1">
      <c r="A112" s="928" t="s">
        <v>166</v>
      </c>
      <c r="B112" s="929"/>
      <c r="C112" s="929"/>
      <c r="D112" s="929"/>
      <c r="E112" s="929"/>
      <c r="F112" s="929"/>
      <c r="G112" s="929"/>
      <c r="H112" s="930"/>
      <c r="I112" s="44" t="s">
        <v>353</v>
      </c>
      <c r="J112" s="45" t="s">
        <v>346</v>
      </c>
      <c r="K112" s="663"/>
      <c r="L112" s="664"/>
      <c r="M112" s="41"/>
    </row>
    <row r="113" spans="1:13" ht="16.5" customHeight="1" thickBot="1">
      <c r="A113" s="928" t="s">
        <v>175</v>
      </c>
      <c r="B113" s="929"/>
      <c r="C113" s="929"/>
      <c r="D113" s="929"/>
      <c r="E113" s="929" t="s">
        <v>354</v>
      </c>
      <c r="F113" s="929" t="s">
        <v>348</v>
      </c>
      <c r="G113" s="929"/>
      <c r="H113" s="930"/>
      <c r="I113" s="44" t="s">
        <v>354</v>
      </c>
      <c r="J113" s="45" t="s">
        <v>348</v>
      </c>
      <c r="K113" s="663"/>
      <c r="L113" s="664"/>
      <c r="M113" s="41"/>
    </row>
    <row r="114" spans="1:13" ht="26.25" customHeight="1" thickBot="1">
      <c r="A114" s="928" t="s">
        <v>420</v>
      </c>
      <c r="B114" s="929"/>
      <c r="C114" s="929"/>
      <c r="D114" s="929"/>
      <c r="E114" s="929"/>
      <c r="F114" s="929"/>
      <c r="G114" s="929"/>
      <c r="H114" s="930"/>
      <c r="I114" s="44" t="s">
        <v>355</v>
      </c>
      <c r="J114" s="45" t="s">
        <v>348</v>
      </c>
      <c r="K114" s="663"/>
      <c r="L114" s="664"/>
      <c r="M114" s="41"/>
    </row>
    <row r="115" spans="1:13" ht="16.5" customHeight="1" thickBot="1">
      <c r="A115" s="1209" t="s">
        <v>179</v>
      </c>
      <c r="B115" s="1210"/>
      <c r="C115" s="1210"/>
      <c r="D115" s="1210"/>
      <c r="E115" s="1210"/>
      <c r="F115" s="1210"/>
      <c r="G115" s="1210"/>
      <c r="H115" s="43" t="s">
        <v>180</v>
      </c>
      <c r="I115" s="44" t="s">
        <v>356</v>
      </c>
      <c r="J115" s="45" t="s">
        <v>339</v>
      </c>
      <c r="K115" s="1211">
        <f>K111 + K112 - K113 - K114</f>
        <v>0</v>
      </c>
      <c r="L115" s="1212"/>
      <c r="M115" s="41"/>
    </row>
    <row r="116" spans="1:13" ht="15" thickBot="1">
      <c r="A116" s="1209" t="s">
        <v>421</v>
      </c>
      <c r="B116" s="1210"/>
      <c r="C116" s="1210"/>
      <c r="D116" s="1210"/>
      <c r="E116" s="1210"/>
      <c r="F116" s="1210"/>
      <c r="G116" s="1210"/>
      <c r="H116" s="43" t="s">
        <v>183</v>
      </c>
      <c r="I116" s="44" t="s">
        <v>357</v>
      </c>
      <c r="J116" s="45" t="s">
        <v>339</v>
      </c>
      <c r="K116" s="1211">
        <f>K110 - K115</f>
        <v>0</v>
      </c>
      <c r="L116" s="1212"/>
      <c r="M116" s="41"/>
    </row>
    <row r="117" spans="1:13" ht="17.25" customHeight="1" thickBot="1">
      <c r="A117" s="1379" t="s">
        <v>1232</v>
      </c>
      <c r="B117" s="1380"/>
      <c r="C117" s="1380"/>
      <c r="D117" s="1380"/>
      <c r="E117" s="1380"/>
      <c r="F117" s="1380"/>
      <c r="G117" s="1380"/>
      <c r="H117" s="1381"/>
      <c r="I117" s="44" t="s">
        <v>358</v>
      </c>
      <c r="J117" s="1377"/>
      <c r="K117" s="1377"/>
      <c r="L117" s="1378"/>
      <c r="M117" s="41"/>
    </row>
    <row r="118" spans="1:13" ht="26.25" customHeight="1" thickBot="1">
      <c r="A118" s="1382" t="s">
        <v>1215</v>
      </c>
      <c r="B118" s="1383"/>
      <c r="C118" s="1383"/>
      <c r="D118" s="1383"/>
      <c r="E118" s="1383"/>
      <c r="F118" s="1383"/>
      <c r="G118" s="1383"/>
      <c r="H118" s="1384"/>
      <c r="I118" s="46" t="s">
        <v>359</v>
      </c>
      <c r="J118" s="1385"/>
      <c r="K118" s="1385"/>
      <c r="L118" s="1386"/>
      <c r="M118" s="41"/>
    </row>
    <row r="119" spans="1:13" s="1" customFormat="1" ht="16.5" customHeight="1" thickTop="1" thickBot="1">
      <c r="A119" s="937" t="s">
        <v>188</v>
      </c>
      <c r="B119" s="588"/>
      <c r="C119" s="588"/>
      <c r="D119" s="938"/>
      <c r="E119" s="962" t="s">
        <v>188</v>
      </c>
      <c r="F119" s="675"/>
      <c r="G119" s="675"/>
      <c r="H119" s="963"/>
      <c r="I119" s="791" t="s">
        <v>189</v>
      </c>
      <c r="J119" s="666"/>
      <c r="K119" s="667"/>
    </row>
    <row r="120" spans="1:13" s="20" customFormat="1" ht="15.75" customHeight="1" thickBot="1">
      <c r="A120" s="25" t="s">
        <v>186</v>
      </c>
      <c r="B120" s="34" t="s">
        <v>54</v>
      </c>
      <c r="C120" s="964" t="s">
        <v>187</v>
      </c>
      <c r="D120" s="965"/>
      <c r="E120" s="26" t="s">
        <v>186</v>
      </c>
      <c r="F120" s="34" t="s">
        <v>54</v>
      </c>
      <c r="G120" s="964" t="s">
        <v>187</v>
      </c>
      <c r="H120" s="966"/>
      <c r="I120" s="27" t="s">
        <v>54</v>
      </c>
      <c r="J120" s="964" t="s">
        <v>187</v>
      </c>
      <c r="K120" s="965"/>
    </row>
    <row r="121" spans="1:13" s="1" customFormat="1" ht="16" thickBot="1">
      <c r="A121" s="218"/>
      <c r="B121" s="224"/>
      <c r="C121" s="581"/>
      <c r="D121" s="1239"/>
      <c r="E121" s="225"/>
      <c r="F121" s="224"/>
      <c r="G121" s="581"/>
      <c r="H121" s="1267"/>
      <c r="I121" s="226"/>
      <c r="J121" s="932"/>
      <c r="K121" s="933"/>
    </row>
    <row r="122" spans="1:13" s="1" customFormat="1" ht="15.75" customHeight="1" thickBot="1">
      <c r="A122" s="219"/>
      <c r="B122" s="224"/>
      <c r="C122" s="581"/>
      <c r="D122" s="1239"/>
      <c r="E122" s="225"/>
      <c r="F122" s="224"/>
      <c r="G122" s="581"/>
      <c r="H122" s="1267"/>
      <c r="I122" s="226"/>
      <c r="J122" s="932"/>
      <c r="K122" s="933"/>
    </row>
    <row r="123" spans="1:13" s="1" customFormat="1" ht="15.75" customHeight="1" thickBot="1">
      <c r="A123" s="219"/>
      <c r="B123" s="224"/>
      <c r="C123" s="581"/>
      <c r="D123" s="1239"/>
      <c r="E123" s="225"/>
      <c r="F123" s="224"/>
      <c r="G123" s="581"/>
      <c r="H123" s="1267"/>
      <c r="I123" s="226"/>
      <c r="J123" s="932"/>
      <c r="K123" s="933"/>
    </row>
    <row r="124" spans="1:13" s="1" customFormat="1" ht="15.75" customHeight="1" thickBot="1">
      <c r="A124" s="219"/>
      <c r="B124" s="224"/>
      <c r="C124" s="581"/>
      <c r="D124" s="1239"/>
      <c r="E124" s="225"/>
      <c r="F124" s="224"/>
      <c r="G124" s="581"/>
      <c r="H124" s="1267"/>
      <c r="I124" s="226"/>
      <c r="J124" s="932"/>
      <c r="K124" s="933"/>
    </row>
    <row r="125" spans="1:13" s="1" customFormat="1" ht="16" thickBot="1">
      <c r="A125" s="219"/>
      <c r="B125" s="224"/>
      <c r="C125" s="581"/>
      <c r="D125" s="1239"/>
      <c r="E125" s="225"/>
      <c r="F125" s="224"/>
      <c r="G125" s="581"/>
      <c r="H125" s="1267"/>
      <c r="I125" s="226"/>
      <c r="J125" s="932"/>
      <c r="K125" s="933"/>
    </row>
    <row r="126" spans="1:13" s="1" customFormat="1" ht="15.75" customHeight="1" thickBot="1">
      <c r="A126" s="219"/>
      <c r="B126" s="224"/>
      <c r="C126" s="581"/>
      <c r="D126" s="1239"/>
      <c r="E126" s="225"/>
      <c r="F126" s="224"/>
      <c r="G126" s="581"/>
      <c r="H126" s="1267"/>
      <c r="I126" s="226"/>
      <c r="J126" s="932"/>
      <c r="K126" s="933"/>
    </row>
    <row r="127" spans="1:13" s="1" customFormat="1" ht="16" thickBot="1">
      <c r="A127" s="219"/>
      <c r="B127" s="224"/>
      <c r="C127" s="581"/>
      <c r="D127" s="1239"/>
      <c r="E127" s="225"/>
      <c r="F127" s="224"/>
      <c r="G127" s="581"/>
      <c r="H127" s="1267"/>
      <c r="I127" s="226"/>
      <c r="J127" s="932"/>
      <c r="K127" s="933"/>
    </row>
    <row r="128" spans="1:13" s="1" customFormat="1" ht="15.75" customHeight="1" thickBot="1">
      <c r="A128" s="219"/>
      <c r="B128" s="224"/>
      <c r="C128" s="581"/>
      <c r="D128" s="1239"/>
      <c r="E128" s="225"/>
      <c r="F128" s="224"/>
      <c r="G128" s="581"/>
      <c r="H128" s="1267"/>
      <c r="I128" s="226"/>
      <c r="J128" s="932"/>
      <c r="K128" s="933"/>
    </row>
    <row r="129" spans="1:11" s="1" customFormat="1" ht="15.75" customHeight="1" thickBot="1">
      <c r="A129" s="219"/>
      <c r="B129" s="224"/>
      <c r="C129" s="581"/>
      <c r="D129" s="1239"/>
      <c r="E129" s="225"/>
      <c r="F129" s="224"/>
      <c r="G129" s="581"/>
      <c r="H129" s="1267"/>
      <c r="I129" s="226"/>
      <c r="J129" s="932"/>
      <c r="K129" s="933"/>
    </row>
    <row r="130" spans="1:11" s="1" customFormat="1" ht="16" thickBot="1">
      <c r="A130" s="218"/>
      <c r="B130" s="224"/>
      <c r="C130" s="581"/>
      <c r="D130" s="1239"/>
      <c r="E130" s="225"/>
      <c r="F130" s="224"/>
      <c r="G130" s="581"/>
      <c r="H130" s="1267"/>
      <c r="I130" s="226"/>
      <c r="J130" s="932"/>
      <c r="K130" s="933"/>
    </row>
    <row r="131" spans="1:11" s="1" customFormat="1" ht="15.75" customHeight="1" thickBot="1">
      <c r="A131" s="903" t="s">
        <v>140</v>
      </c>
      <c r="B131" s="904"/>
      <c r="C131" s="904"/>
      <c r="D131" s="904"/>
      <c r="E131" s="904"/>
      <c r="F131" s="904"/>
      <c r="G131" s="862">
        <f>SUM(C121:D130,G121:H130)</f>
        <v>0</v>
      </c>
      <c r="H131" s="1394"/>
      <c r="I131" s="35" t="s">
        <v>140</v>
      </c>
      <c r="J131" s="1395">
        <f>SUM(J121:K130)</f>
        <v>0</v>
      </c>
      <c r="K131" s="1396"/>
    </row>
    <row r="132" spans="1:11" ht="32.25" customHeight="1" thickTop="1">
      <c r="A132" s="571" t="s">
        <v>422</v>
      </c>
      <c r="B132" s="572"/>
      <c r="C132" s="572"/>
      <c r="D132" s="572"/>
      <c r="E132" s="572"/>
      <c r="F132" s="572"/>
      <c r="G132" s="572"/>
      <c r="H132" s="572"/>
      <c r="I132" s="573"/>
      <c r="J132" s="1397" t="str">
        <f>IF(Std5NotCalc="","",IF(Std5NotCalc="N","NA",IF(Std9dot1aNotCalc="","",IF(Std9dot1aNotCalc="N","NA",IF(Std9dot1bNotCalc="","",IF(Std9dot1bNotCalc="N","N",IF(K104="","",IF(Std9TrstFndAcctOvrShrt=0,"Y",IF(Std9TrstFndAcctOvrShrt&gt;0,Std9OvrShrtCorrctd,IF(OR(Std9OvrShrtCorrctd="Y",Std9ShrtUnreimbSvcChg="Y"),"Y",IF(AND(Std9OvrShrtCorrctd="N", Std9ShrtUnreimbSvcChg="N"),"N","")))))))))))</f>
        <v/>
      </c>
      <c r="K132" s="1398"/>
    </row>
    <row r="133" spans="1:11" ht="15" customHeight="1">
      <c r="A133" s="920" t="s">
        <v>1590</v>
      </c>
      <c r="B133" s="921"/>
      <c r="C133" s="921"/>
      <c r="D133" s="921"/>
      <c r="E133" s="921"/>
      <c r="F133" s="921"/>
      <c r="G133" s="921"/>
      <c r="H133" s="921"/>
      <c r="I133" s="1387"/>
      <c r="J133" s="1399"/>
      <c r="K133" s="1400"/>
    </row>
    <row r="134" spans="1:11" ht="15" customHeight="1">
      <c r="A134" s="920"/>
      <c r="B134" s="921"/>
      <c r="C134" s="921"/>
      <c r="D134" s="921"/>
      <c r="E134" s="921"/>
      <c r="F134" s="921"/>
      <c r="G134" s="921"/>
      <c r="H134" s="921"/>
      <c r="I134" s="1387"/>
      <c r="J134" s="1399"/>
      <c r="K134" s="1400"/>
    </row>
    <row r="135" spans="1:11" ht="15" customHeight="1">
      <c r="A135" s="920"/>
      <c r="B135" s="921"/>
      <c r="C135" s="921"/>
      <c r="D135" s="921"/>
      <c r="E135" s="921"/>
      <c r="F135" s="921"/>
      <c r="G135" s="921"/>
      <c r="H135" s="921"/>
      <c r="I135" s="1387"/>
      <c r="J135" s="1399"/>
      <c r="K135" s="1400"/>
    </row>
    <row r="136" spans="1:11" ht="15" customHeight="1">
      <c r="A136" s="920"/>
      <c r="B136" s="921"/>
      <c r="C136" s="921"/>
      <c r="D136" s="921"/>
      <c r="E136" s="921"/>
      <c r="F136" s="921"/>
      <c r="G136" s="921"/>
      <c r="H136" s="921"/>
      <c r="I136" s="1387"/>
      <c r="J136" s="1399"/>
      <c r="K136" s="1400"/>
    </row>
    <row r="137" spans="1:11" ht="15" thickBot="1">
      <c r="A137" s="787"/>
      <c r="B137" s="788"/>
      <c r="C137" s="788"/>
      <c r="D137" s="788"/>
      <c r="E137" s="788"/>
      <c r="F137" s="788"/>
      <c r="G137" s="788"/>
      <c r="H137" s="788"/>
      <c r="I137" s="908"/>
      <c r="J137" s="1399"/>
      <c r="K137" s="1400"/>
    </row>
    <row r="138" spans="1:11" ht="16.5" customHeight="1" thickTop="1" thickBot="1">
      <c r="A138" s="934" t="s">
        <v>360</v>
      </c>
      <c r="B138" s="935"/>
      <c r="C138" s="935"/>
      <c r="D138" s="935"/>
      <c r="E138" s="935"/>
      <c r="F138" s="935"/>
      <c r="G138" s="935"/>
      <c r="H138" s="935"/>
      <c r="I138" s="935"/>
      <c r="J138" s="935"/>
      <c r="K138" s="936"/>
    </row>
    <row r="139" spans="1:11" ht="30" customHeight="1" thickTop="1" thickBot="1">
      <c r="A139" s="762" t="s">
        <v>276</v>
      </c>
      <c r="B139" s="988" t="s">
        <v>1391</v>
      </c>
      <c r="C139" s="755"/>
      <c r="D139" s="755"/>
      <c r="E139" s="755"/>
      <c r="F139" s="755"/>
      <c r="G139" s="755"/>
      <c r="H139" s="755"/>
      <c r="I139" s="989"/>
      <c r="J139" s="944" t="s">
        <v>1212</v>
      </c>
      <c r="K139" s="945"/>
    </row>
    <row r="140" spans="1:11" ht="30" customHeight="1" thickTop="1" thickBot="1">
      <c r="A140" s="939"/>
      <c r="B140" s="813"/>
      <c r="C140" s="758"/>
      <c r="D140" s="758"/>
      <c r="E140" s="758"/>
      <c r="F140" s="758"/>
      <c r="G140" s="758"/>
      <c r="H140" s="758"/>
      <c r="I140" s="759"/>
      <c r="J140" s="1243"/>
      <c r="K140" s="1244"/>
    </row>
    <row r="141" spans="1:11" ht="15" thickTop="1">
      <c r="A141" s="939"/>
      <c r="B141" s="1039" t="s">
        <v>1415</v>
      </c>
      <c r="C141" s="1040"/>
      <c r="D141" s="1040"/>
      <c r="E141" s="1040"/>
      <c r="F141" s="1040"/>
      <c r="G141" s="1040"/>
      <c r="H141" s="1040"/>
      <c r="I141" s="1040"/>
      <c r="J141" s="1040"/>
      <c r="K141" s="1041"/>
    </row>
    <row r="142" spans="1:11">
      <c r="A142" s="939"/>
      <c r="B142" s="1388"/>
      <c r="C142" s="1389"/>
      <c r="D142" s="1389"/>
      <c r="E142" s="1389"/>
      <c r="F142" s="1389"/>
      <c r="G142" s="1389"/>
      <c r="H142" s="1389"/>
      <c r="I142" s="1389"/>
      <c r="J142" s="1389"/>
      <c r="K142" s="1390"/>
    </row>
    <row r="143" spans="1:11" ht="15" thickBot="1">
      <c r="A143" s="940"/>
      <c r="B143" s="1391"/>
      <c r="C143" s="1392"/>
      <c r="D143" s="1392"/>
      <c r="E143" s="1392"/>
      <c r="F143" s="1392"/>
      <c r="G143" s="1392"/>
      <c r="H143" s="1392"/>
      <c r="I143" s="1392"/>
      <c r="J143" s="1392"/>
      <c r="K143" s="1393"/>
    </row>
    <row r="144" spans="1:11" ht="16.5" customHeight="1" thickTop="1" thickBot="1">
      <c r="A144" s="968" t="s">
        <v>409</v>
      </c>
      <c r="B144" s="969"/>
      <c r="C144" s="969"/>
      <c r="D144" s="970" t="str">
        <f>IF(FiscalReviewFirstMonth=DATE(1900,1,0),"",FiscalReviewFirstMonth)</f>
        <v/>
      </c>
      <c r="E144" s="971"/>
      <c r="F144" s="968" t="s">
        <v>409</v>
      </c>
      <c r="G144" s="969"/>
      <c r="H144" s="969"/>
      <c r="I144" s="970" t="str">
        <f>IF(FiscalReviewSecondMonth=DATE(1900,1,0),"",FiscalReviewSecondMonth)</f>
        <v/>
      </c>
      <c r="J144" s="970"/>
      <c r="K144" s="971"/>
    </row>
    <row r="145" spans="1:11" ht="26.25" customHeight="1" thickBot="1">
      <c r="A145" s="1403" t="s">
        <v>410</v>
      </c>
      <c r="B145" s="1404"/>
      <c r="C145" s="1404"/>
      <c r="D145" s="1401"/>
      <c r="E145" s="1402"/>
      <c r="F145" s="1403" t="s">
        <v>410</v>
      </c>
      <c r="G145" s="1404"/>
      <c r="H145" s="1404"/>
      <c r="I145" s="1401"/>
      <c r="J145" s="1401"/>
      <c r="K145" s="1402"/>
    </row>
    <row r="146" spans="1:11" ht="48.75" customHeight="1" thickTop="1">
      <c r="A146" s="909" t="s">
        <v>411</v>
      </c>
      <c r="B146" s="910"/>
      <c r="C146" s="910"/>
      <c r="D146" s="910"/>
      <c r="E146" s="910"/>
      <c r="F146" s="910"/>
      <c r="G146" s="910"/>
      <c r="H146" s="910"/>
      <c r="I146" s="910"/>
      <c r="J146" s="689" t="str">
        <f>IF(Std5NotCalc="","",IF(Std5NotCalc="N","NA",IF(Std10dot1NotCalc="","",IF(Std10dot1NotCalc="N","NA",IF(AND(Std10dot1TotalAmt1="",Std10dot1TotalAmt2=""),"",IF(OR(Std10dot1TotalAmt1&lt;&gt;0,Std10dot1TotalAmt2&lt;&gt;0),"N","Y"))))))</f>
        <v/>
      </c>
      <c r="K146" s="690"/>
    </row>
    <row r="147" spans="1:11" ht="30" customHeight="1" thickBot="1">
      <c r="A147" s="1391" t="s">
        <v>1591</v>
      </c>
      <c r="B147" s="1392"/>
      <c r="C147" s="1392"/>
      <c r="D147" s="1392"/>
      <c r="E147" s="1392"/>
      <c r="F147" s="1392"/>
      <c r="G147" s="1392"/>
      <c r="H147" s="1392"/>
      <c r="I147" s="1393"/>
      <c r="J147" s="975"/>
      <c r="K147" s="976"/>
    </row>
    <row r="148" spans="1:11" ht="30" customHeight="1" thickTop="1" thickBot="1">
      <c r="A148" s="762" t="s">
        <v>279</v>
      </c>
      <c r="B148" s="988" t="s">
        <v>1470</v>
      </c>
      <c r="C148" s="755"/>
      <c r="D148" s="755"/>
      <c r="E148" s="755"/>
      <c r="F148" s="755"/>
      <c r="G148" s="755"/>
      <c r="H148" s="755"/>
      <c r="I148" s="989"/>
      <c r="J148" s="944" t="s">
        <v>1212</v>
      </c>
      <c r="K148" s="945"/>
    </row>
    <row r="149" spans="1:11" ht="15.5" thickTop="1" thickBot="1">
      <c r="A149" s="939"/>
      <c r="B149" s="1288"/>
      <c r="C149" s="1289"/>
      <c r="D149" s="1289"/>
      <c r="E149" s="1289"/>
      <c r="F149" s="1289"/>
      <c r="G149" s="1289"/>
      <c r="H149" s="1289"/>
      <c r="I149" s="1290"/>
      <c r="J149" s="967"/>
      <c r="K149" s="517"/>
    </row>
    <row r="150" spans="1:11" ht="15" customHeight="1" thickTop="1">
      <c r="A150" s="939"/>
      <c r="B150" s="1405" t="s">
        <v>1471</v>
      </c>
      <c r="C150" s="1406"/>
      <c r="D150" s="1406"/>
      <c r="E150" s="1406"/>
      <c r="F150" s="1406"/>
      <c r="G150" s="1406"/>
      <c r="H150" s="1406"/>
      <c r="I150" s="1406"/>
      <c r="J150" s="1406"/>
      <c r="K150" s="1407"/>
    </row>
    <row r="151" spans="1:11" ht="15" customHeight="1">
      <c r="A151" s="939"/>
      <c r="B151" s="1408"/>
      <c r="C151" s="1409"/>
      <c r="D151" s="1409"/>
      <c r="E151" s="1409"/>
      <c r="F151" s="1409"/>
      <c r="G151" s="1409"/>
      <c r="H151" s="1409"/>
      <c r="I151" s="1409"/>
      <c r="J151" s="1409"/>
      <c r="K151" s="1410"/>
    </row>
    <row r="152" spans="1:11" ht="15" customHeight="1">
      <c r="A152" s="939"/>
      <c r="B152" s="1408"/>
      <c r="C152" s="1409"/>
      <c r="D152" s="1409"/>
      <c r="E152" s="1409"/>
      <c r="F152" s="1409"/>
      <c r="G152" s="1409"/>
      <c r="H152" s="1409"/>
      <c r="I152" s="1409"/>
      <c r="J152" s="1409"/>
      <c r="K152" s="1410"/>
    </row>
    <row r="153" spans="1:11" ht="26.25" customHeight="1">
      <c r="A153" s="939"/>
      <c r="B153" s="1411" t="s">
        <v>1472</v>
      </c>
      <c r="C153" s="1412"/>
      <c r="D153" s="1412"/>
      <c r="E153" s="1412"/>
      <c r="F153" s="1412"/>
      <c r="G153" s="1412"/>
      <c r="H153" s="1412"/>
      <c r="I153" s="1412"/>
      <c r="J153" s="1412"/>
      <c r="K153" s="1413"/>
    </row>
    <row r="154" spans="1:11" ht="26.25" customHeight="1">
      <c r="A154" s="939"/>
      <c r="B154" s="656" t="s">
        <v>796</v>
      </c>
      <c r="C154" s="657"/>
      <c r="D154" s="657"/>
      <c r="E154" s="657"/>
      <c r="F154" s="657"/>
      <c r="G154" s="657"/>
      <c r="H154" s="657"/>
      <c r="I154" s="657"/>
      <c r="J154" s="657"/>
      <c r="K154" s="658"/>
    </row>
    <row r="155" spans="1:11" ht="26.25" customHeight="1" thickBot="1">
      <c r="A155" s="940"/>
      <c r="B155" s="959" t="s">
        <v>1401</v>
      </c>
      <c r="C155" s="960"/>
      <c r="D155" s="960"/>
      <c r="E155" s="960"/>
      <c r="F155" s="960"/>
      <c r="G155" s="960"/>
      <c r="H155" s="960"/>
      <c r="I155" s="960"/>
      <c r="J155" s="960"/>
      <c r="K155" s="961"/>
    </row>
    <row r="156" spans="1:11" ht="16.5" customHeight="1" thickTop="1" thickBot="1">
      <c r="A156" s="968" t="s">
        <v>409</v>
      </c>
      <c r="B156" s="969"/>
      <c r="C156" s="969"/>
      <c r="D156" s="970" t="str">
        <f>IF(FiscalReviewFirstMonth=DATE(1900,1,0),"",FiscalReviewFirstMonth)</f>
        <v/>
      </c>
      <c r="E156" s="971"/>
      <c r="F156" s="968" t="s">
        <v>409</v>
      </c>
      <c r="G156" s="969"/>
      <c r="H156" s="969"/>
      <c r="I156" s="970" t="str">
        <f>IF(FiscalReviewSecondMonth=DATE(1900,1,0),"",FiscalReviewSecondMonth)</f>
        <v/>
      </c>
      <c r="J156" s="970"/>
      <c r="K156" s="971"/>
    </row>
    <row r="157" spans="1:11" ht="30" customHeight="1" thickBot="1">
      <c r="A157" s="1403" t="s">
        <v>412</v>
      </c>
      <c r="B157" s="1404"/>
      <c r="C157" s="1404"/>
      <c r="D157" s="1401"/>
      <c r="E157" s="1402"/>
      <c r="F157" s="1403" t="s">
        <v>412</v>
      </c>
      <c r="G157" s="1404"/>
      <c r="H157" s="1404"/>
      <c r="I157" s="1401"/>
      <c r="J157" s="1401"/>
      <c r="K157" s="1402"/>
    </row>
    <row r="158" spans="1:11" ht="18.75" customHeight="1" thickTop="1" thickBot="1">
      <c r="A158" s="977" t="s">
        <v>413</v>
      </c>
      <c r="B158" s="978"/>
      <c r="C158" s="978"/>
      <c r="D158" s="978"/>
      <c r="E158" s="978"/>
      <c r="F158" s="978"/>
      <c r="G158" s="978"/>
      <c r="H158" s="978"/>
      <c r="I158" s="979"/>
      <c r="J158" s="689" t="str">
        <f>IF(Std5NotCalc="","",IF(Std5NotCalc="N","NA",IF(Std10dot2NotCalc="","",IF(Std10dot2NotCalc="N","NA",IF(AND(Std10dot2BankChgs1="",Std10dot2BankChgs2=""),"",IF(OR(Std10dot2BankChgs1&lt;&gt;0,Std10dot2BankChgs2&lt;&gt;0),"N",IF(Std10dot2BankChgs1=0,IF(OR(Std10dot2BankChgs2="",Std10dot2BankChgs2=0),"Y","N"),IF(Std10dot2BankChgs2=0,IF(OR(Std10dot2BankChgs1="",Std10dot2BankChgs1=0),"Y","N"),"E"))))))))</f>
        <v/>
      </c>
      <c r="K158" s="690"/>
    </row>
    <row r="159" spans="1:11" ht="18.75" customHeight="1" thickTop="1">
      <c r="A159" s="905" t="s">
        <v>1591</v>
      </c>
      <c r="B159" s="906"/>
      <c r="C159" s="906"/>
      <c r="D159" s="906"/>
      <c r="E159" s="906"/>
      <c r="F159" s="906"/>
      <c r="G159" s="906"/>
      <c r="H159" s="906"/>
      <c r="I159" s="907"/>
      <c r="J159" s="691"/>
      <c r="K159" s="692"/>
    </row>
    <row r="160" spans="1:11" ht="16.5" customHeight="1" thickBot="1">
      <c r="A160" s="787"/>
      <c r="B160" s="788"/>
      <c r="C160" s="788"/>
      <c r="D160" s="788"/>
      <c r="E160" s="788"/>
      <c r="F160" s="788"/>
      <c r="G160" s="788"/>
      <c r="H160" s="788"/>
      <c r="I160" s="908"/>
      <c r="J160" s="975"/>
      <c r="K160" s="976"/>
    </row>
    <row r="161" spans="1:11" ht="30" customHeight="1" thickTop="1" thickBot="1">
      <c r="A161" s="939" t="s">
        <v>284</v>
      </c>
      <c r="B161" s="981" t="s">
        <v>1467</v>
      </c>
      <c r="C161" s="982"/>
      <c r="D161" s="982"/>
      <c r="E161" s="982"/>
      <c r="F161" s="982"/>
      <c r="G161" s="982"/>
      <c r="H161" s="982"/>
      <c r="I161" s="983"/>
      <c r="J161" s="944" t="s">
        <v>1212</v>
      </c>
      <c r="K161" s="945"/>
    </row>
    <row r="162" spans="1:11" ht="30" customHeight="1" thickTop="1" thickBot="1">
      <c r="A162" s="940"/>
      <c r="B162" s="984"/>
      <c r="C162" s="985"/>
      <c r="D162" s="985"/>
      <c r="E162" s="985"/>
      <c r="F162" s="985"/>
      <c r="G162" s="985"/>
      <c r="H162" s="985"/>
      <c r="I162" s="986"/>
      <c r="J162" s="574"/>
      <c r="K162" s="987"/>
    </row>
    <row r="163" spans="1:11" ht="20.149999999999999" customHeight="1" thickTop="1">
      <c r="A163" s="102"/>
      <c r="B163" s="999" t="s">
        <v>1216</v>
      </c>
      <c r="C163" s="1000"/>
      <c r="D163" s="1000"/>
      <c r="E163" s="1000"/>
      <c r="F163" s="1000"/>
      <c r="G163" s="1000"/>
      <c r="H163" s="1000"/>
      <c r="I163" s="1000"/>
      <c r="J163" s="1000"/>
      <c r="K163" s="1001"/>
    </row>
    <row r="164" spans="1:11" ht="20.149999999999999" customHeight="1">
      <c r="A164" s="102"/>
      <c r="B164" s="1002"/>
      <c r="C164" s="1003"/>
      <c r="D164" s="1003"/>
      <c r="E164" s="1003"/>
      <c r="F164" s="1003"/>
      <c r="G164" s="1003"/>
      <c r="H164" s="1003"/>
      <c r="I164" s="1003"/>
      <c r="J164" s="1003"/>
      <c r="K164" s="1004"/>
    </row>
    <row r="165" spans="1:11" ht="20.149999999999999" customHeight="1" thickBot="1">
      <c r="A165" s="102"/>
      <c r="B165" s="1005"/>
      <c r="C165" s="1006"/>
      <c r="D165" s="1006"/>
      <c r="E165" s="1006"/>
      <c r="F165" s="1006"/>
      <c r="G165" s="1006"/>
      <c r="H165" s="1006"/>
      <c r="I165" s="1006"/>
      <c r="J165" s="1006"/>
      <c r="K165" s="1007"/>
    </row>
    <row r="166" spans="1:11" ht="20.149999999999999" customHeight="1" thickTop="1">
      <c r="A166" s="102"/>
      <c r="B166" s="1008" t="s">
        <v>1532</v>
      </c>
      <c r="C166" s="1009"/>
      <c r="D166" s="1009"/>
      <c r="E166" s="1009"/>
      <c r="F166" s="1009"/>
      <c r="G166" s="1009"/>
      <c r="H166" s="1009"/>
      <c r="I166" s="1009"/>
      <c r="J166" s="1009"/>
      <c r="K166" s="1010"/>
    </row>
    <row r="167" spans="1:11" ht="20.149999999999999" customHeight="1">
      <c r="A167" s="102"/>
      <c r="B167" s="888"/>
      <c r="C167" s="889"/>
      <c r="D167" s="889"/>
      <c r="E167" s="889"/>
      <c r="F167" s="889"/>
      <c r="G167" s="889"/>
      <c r="H167" s="889"/>
      <c r="I167" s="889"/>
      <c r="J167" s="889"/>
      <c r="K167" s="1011"/>
    </row>
    <row r="168" spans="1:11" ht="20.149999999999999" customHeight="1">
      <c r="A168" s="102"/>
      <c r="B168" s="972" t="s">
        <v>1533</v>
      </c>
      <c r="C168" s="973"/>
      <c r="D168" s="973"/>
      <c r="E168" s="973"/>
      <c r="F168" s="973"/>
      <c r="G168" s="973"/>
      <c r="H168" s="973"/>
      <c r="I168" s="973"/>
      <c r="J168" s="973"/>
      <c r="K168" s="974"/>
    </row>
    <row r="169" spans="1:11" ht="39.75" customHeight="1" thickBot="1">
      <c r="A169" s="30"/>
      <c r="B169" s="972" t="s">
        <v>1534</v>
      </c>
      <c r="C169" s="973"/>
      <c r="D169" s="973"/>
      <c r="E169" s="973"/>
      <c r="F169" s="973"/>
      <c r="G169" s="973"/>
      <c r="H169" s="973"/>
      <c r="I169" s="973"/>
      <c r="J169" s="973"/>
      <c r="K169" s="974"/>
    </row>
    <row r="170" spans="1:11" ht="16.5" customHeight="1" thickTop="1" thickBot="1">
      <c r="A170" s="992" t="s">
        <v>23</v>
      </c>
      <c r="B170" s="993"/>
      <c r="C170" s="993" t="s">
        <v>24</v>
      </c>
      <c r="D170" s="993"/>
      <c r="E170" s="1014" t="s">
        <v>25</v>
      </c>
      <c r="F170" s="1015"/>
      <c r="G170" s="1015"/>
      <c r="H170" s="1014" t="s">
        <v>26</v>
      </c>
      <c r="I170" s="1015"/>
      <c r="J170" s="1015"/>
      <c r="K170" s="1016"/>
    </row>
    <row r="171" spans="1:11" ht="15.75" customHeight="1" thickBot="1">
      <c r="A171" s="1012" t="s">
        <v>243</v>
      </c>
      <c r="B171" s="1013"/>
      <c r="C171" s="1013" t="s">
        <v>187</v>
      </c>
      <c r="D171" s="1013"/>
      <c r="E171" s="994" t="s">
        <v>802</v>
      </c>
      <c r="F171" s="995"/>
      <c r="G171" s="995"/>
      <c r="H171" s="994" t="s">
        <v>423</v>
      </c>
      <c r="I171" s="995"/>
      <c r="J171" s="995"/>
      <c r="K171" s="1416"/>
    </row>
    <row r="172" spans="1:11" ht="16.5" customHeight="1" thickBot="1">
      <c r="A172" s="990"/>
      <c r="B172" s="991"/>
      <c r="C172" s="1205"/>
      <c r="D172" s="1205"/>
      <c r="E172" s="980"/>
      <c r="F172" s="980"/>
      <c r="G172" s="980"/>
      <c r="H172" s="996"/>
      <c r="I172" s="997"/>
      <c r="J172" s="997"/>
      <c r="K172" s="998"/>
    </row>
    <row r="173" spans="1:11" ht="15.75" customHeight="1" thickBot="1">
      <c r="A173" s="990"/>
      <c r="B173" s="991"/>
      <c r="C173" s="1205"/>
      <c r="D173" s="1205"/>
      <c r="E173" s="980"/>
      <c r="F173" s="980"/>
      <c r="G173" s="980"/>
      <c r="H173" s="996"/>
      <c r="I173" s="997"/>
      <c r="J173" s="997"/>
      <c r="K173" s="998"/>
    </row>
    <row r="174" spans="1:11" ht="16.5" customHeight="1" thickBot="1">
      <c r="A174" s="990"/>
      <c r="B174" s="991"/>
      <c r="C174" s="1205"/>
      <c r="D174" s="1205"/>
      <c r="E174" s="980"/>
      <c r="F174" s="980"/>
      <c r="G174" s="980"/>
      <c r="H174" s="996"/>
      <c r="I174" s="997"/>
      <c r="J174" s="997"/>
      <c r="K174" s="998"/>
    </row>
    <row r="175" spans="1:11" ht="16.5" customHeight="1" thickBot="1">
      <c r="A175" s="990"/>
      <c r="B175" s="991"/>
      <c r="C175" s="1205"/>
      <c r="D175" s="1205"/>
      <c r="E175" s="980"/>
      <c r="F175" s="980"/>
      <c r="G175" s="980"/>
      <c r="H175" s="996"/>
      <c r="I175" s="997"/>
      <c r="J175" s="997"/>
      <c r="K175" s="998"/>
    </row>
    <row r="176" spans="1:11" ht="15.75" customHeight="1" thickBot="1">
      <c r="A176" s="990"/>
      <c r="B176" s="991"/>
      <c r="C176" s="1205"/>
      <c r="D176" s="1205"/>
      <c r="E176" s="980"/>
      <c r="F176" s="980"/>
      <c r="G176" s="980"/>
      <c r="H176" s="996"/>
      <c r="I176" s="997"/>
      <c r="J176" s="997"/>
      <c r="K176" s="998"/>
    </row>
    <row r="177" spans="1:11" ht="16.5" customHeight="1" thickBot="1">
      <c r="A177" s="990"/>
      <c r="B177" s="991"/>
      <c r="C177" s="1205"/>
      <c r="D177" s="1205"/>
      <c r="E177" s="980"/>
      <c r="F177" s="980"/>
      <c r="G177" s="980"/>
      <c r="H177" s="996"/>
      <c r="I177" s="997"/>
      <c r="J177" s="997"/>
      <c r="K177" s="998"/>
    </row>
    <row r="178" spans="1:11" ht="16.5" customHeight="1" thickBot="1">
      <c r="A178" s="990"/>
      <c r="B178" s="991"/>
      <c r="C178" s="1205"/>
      <c r="D178" s="1205"/>
      <c r="E178" s="980"/>
      <c r="F178" s="980"/>
      <c r="G178" s="980"/>
      <c r="H178" s="996"/>
      <c r="I178" s="997"/>
      <c r="J178" s="997"/>
      <c r="K178" s="998"/>
    </row>
    <row r="179" spans="1:11" ht="15.75" customHeight="1" thickBot="1">
      <c r="A179" s="990"/>
      <c r="B179" s="991"/>
      <c r="C179" s="1205"/>
      <c r="D179" s="1205"/>
      <c r="E179" s="980"/>
      <c r="F179" s="980"/>
      <c r="G179" s="980"/>
      <c r="H179" s="996"/>
      <c r="I179" s="997"/>
      <c r="J179" s="997"/>
      <c r="K179" s="998"/>
    </row>
    <row r="180" spans="1:11" ht="16.5" customHeight="1" thickBot="1">
      <c r="A180" s="990"/>
      <c r="B180" s="991"/>
      <c r="C180" s="1205"/>
      <c r="D180" s="1205"/>
      <c r="E180" s="980"/>
      <c r="F180" s="980"/>
      <c r="G180" s="980"/>
      <c r="H180" s="996"/>
      <c r="I180" s="997"/>
      <c r="J180" s="997"/>
      <c r="K180" s="998"/>
    </row>
    <row r="181" spans="1:11" ht="15.75" customHeight="1" thickBot="1">
      <c r="A181" s="990"/>
      <c r="B181" s="991"/>
      <c r="C181" s="1205"/>
      <c r="D181" s="1205"/>
      <c r="E181" s="980"/>
      <c r="F181" s="980"/>
      <c r="G181" s="980"/>
      <c r="H181" s="996"/>
      <c r="I181" s="997"/>
      <c r="J181" s="997"/>
      <c r="K181" s="998"/>
    </row>
    <row r="182" spans="1:11" ht="16" thickTop="1">
      <c r="A182" s="909" t="s">
        <v>424</v>
      </c>
      <c r="B182" s="910"/>
      <c r="C182" s="910"/>
      <c r="D182" s="910"/>
      <c r="E182" s="910"/>
      <c r="F182" s="910"/>
      <c r="G182" s="910"/>
      <c r="H182" s="910"/>
      <c r="I182" s="910"/>
      <c r="J182" s="689" t="str">
        <f>IF(Std5NotCalc = "", "", IF(Std5NotCalc = "N", "NA", IF(Std10dot3NotCalc = "", "", IF(Std10dot3NotCalc = "N", "NA", IF(SUM(C172:C181, 0) &gt; 0, "N", "Y")))))</f>
        <v/>
      </c>
      <c r="K182" s="690"/>
    </row>
    <row r="183" spans="1:11" ht="26.25" customHeight="1">
      <c r="A183" s="1261" t="s">
        <v>1592</v>
      </c>
      <c r="B183" s="1262"/>
      <c r="C183" s="1262"/>
      <c r="D183" s="1262"/>
      <c r="E183" s="1262"/>
      <c r="F183" s="1262"/>
      <c r="G183" s="1262"/>
      <c r="H183" s="1262"/>
      <c r="I183" s="1263"/>
      <c r="J183" s="691"/>
      <c r="K183" s="692"/>
    </row>
    <row r="184" spans="1:11" ht="15.75" customHeight="1" thickBot="1">
      <c r="A184" s="1264"/>
      <c r="B184" s="1265"/>
      <c r="C184" s="1265"/>
      <c r="D184" s="1265"/>
      <c r="E184" s="1265"/>
      <c r="F184" s="1265"/>
      <c r="G184" s="1265"/>
      <c r="H184" s="1265"/>
      <c r="I184" s="1266"/>
      <c r="J184" s="975"/>
      <c r="K184" s="976"/>
    </row>
    <row r="185" spans="1:11" ht="30" customHeight="1" thickTop="1" thickBot="1">
      <c r="A185" s="762" t="s">
        <v>287</v>
      </c>
      <c r="B185" s="988" t="s">
        <v>1402</v>
      </c>
      <c r="C185" s="755"/>
      <c r="D185" s="755"/>
      <c r="E185" s="755"/>
      <c r="F185" s="755"/>
      <c r="G185" s="755"/>
      <c r="H185" s="755"/>
      <c r="I185" s="989"/>
      <c r="J185" s="944" t="s">
        <v>1212</v>
      </c>
      <c r="K185" s="945"/>
    </row>
    <row r="186" spans="1:11" ht="30" customHeight="1" thickTop="1" thickBot="1">
      <c r="A186" s="939"/>
      <c r="B186" s="813"/>
      <c r="C186" s="758"/>
      <c r="D186" s="758"/>
      <c r="E186" s="758"/>
      <c r="F186" s="758"/>
      <c r="G186" s="758"/>
      <c r="H186" s="758"/>
      <c r="I186" s="759"/>
      <c r="J186" s="967"/>
      <c r="K186" s="517"/>
    </row>
    <row r="187" spans="1:11" ht="30" customHeight="1" thickTop="1">
      <c r="A187" s="939"/>
      <c r="B187" s="1414" t="s">
        <v>1289</v>
      </c>
      <c r="C187" s="1326"/>
      <c r="D187" s="1326"/>
      <c r="E187" s="1326"/>
      <c r="F187" s="1326"/>
      <c r="G187" s="1326"/>
      <c r="H187" s="1326"/>
      <c r="I187" s="1326"/>
      <c r="J187" s="1326"/>
      <c r="K187" s="1415"/>
    </row>
    <row r="188" spans="1:11" ht="15" customHeight="1" thickBot="1">
      <c r="A188" s="940"/>
      <c r="B188" s="956" t="s">
        <v>797</v>
      </c>
      <c r="C188" s="957"/>
      <c r="D188" s="957"/>
      <c r="E188" s="957"/>
      <c r="F188" s="957"/>
      <c r="G188" s="957"/>
      <c r="H188" s="957"/>
      <c r="I188" s="957"/>
      <c r="J188" s="957"/>
      <c r="K188" s="958"/>
    </row>
    <row r="189" spans="1:11" ht="39.75" customHeight="1" thickTop="1">
      <c r="A189" s="102"/>
      <c r="B189" s="941" t="s">
        <v>1403</v>
      </c>
      <c r="C189" s="942"/>
      <c r="D189" s="942"/>
      <c r="E189" s="942"/>
      <c r="F189" s="942"/>
      <c r="G189" s="942"/>
      <c r="H189" s="942"/>
      <c r="I189" s="942"/>
      <c r="J189" s="942"/>
      <c r="K189" s="943"/>
    </row>
    <row r="190" spans="1:11" ht="15" customHeight="1">
      <c r="A190" s="102"/>
      <c r="B190" s="656" t="s">
        <v>425</v>
      </c>
      <c r="C190" s="657"/>
      <c r="D190" s="657"/>
      <c r="E190" s="657"/>
      <c r="F190" s="657"/>
      <c r="G190" s="657"/>
      <c r="H190" s="657"/>
      <c r="I190" s="657"/>
      <c r="J190" s="657"/>
      <c r="K190" s="658"/>
    </row>
    <row r="191" spans="1:11" ht="53.25" customHeight="1">
      <c r="A191" s="102"/>
      <c r="B191" s="656" t="s">
        <v>426</v>
      </c>
      <c r="C191" s="657"/>
      <c r="D191" s="657"/>
      <c r="E191" s="657"/>
      <c r="F191" s="657"/>
      <c r="G191" s="657"/>
      <c r="H191" s="657"/>
      <c r="I191" s="657"/>
      <c r="J191" s="657"/>
      <c r="K191" s="658"/>
    </row>
    <row r="192" spans="1:11" ht="78" customHeight="1">
      <c r="A192" s="102"/>
      <c r="B192" s="656" t="s">
        <v>427</v>
      </c>
      <c r="C192" s="657"/>
      <c r="D192" s="657"/>
      <c r="E192" s="657"/>
      <c r="F192" s="657"/>
      <c r="G192" s="657"/>
      <c r="H192" s="657"/>
      <c r="I192" s="657"/>
      <c r="J192" s="657"/>
      <c r="K192" s="658"/>
    </row>
    <row r="193" spans="1:11" ht="64.5" customHeight="1" thickBot="1">
      <c r="A193" s="102"/>
      <c r="B193" s="656" t="s">
        <v>428</v>
      </c>
      <c r="C193" s="657"/>
      <c r="D193" s="657"/>
      <c r="E193" s="657"/>
      <c r="F193" s="657"/>
      <c r="G193" s="657"/>
      <c r="H193" s="657"/>
      <c r="I193" s="657"/>
      <c r="J193" s="657"/>
      <c r="K193" s="658"/>
    </row>
    <row r="194" spans="1:11" ht="16.5" customHeight="1" thickTop="1" thickBot="1">
      <c r="A194" s="992" t="s">
        <v>23</v>
      </c>
      <c r="B194" s="993"/>
      <c r="C194" s="993" t="s">
        <v>24</v>
      </c>
      <c r="D194" s="993"/>
      <c r="E194" s="1014" t="s">
        <v>25</v>
      </c>
      <c r="F194" s="1015"/>
      <c r="G194" s="1015"/>
      <c r="H194" s="1014" t="s">
        <v>26</v>
      </c>
      <c r="I194" s="1015"/>
      <c r="J194" s="1015"/>
      <c r="K194" s="1016"/>
    </row>
    <row r="195" spans="1:11" ht="15.75" customHeight="1" thickBot="1">
      <c r="A195" s="1012" t="s">
        <v>245</v>
      </c>
      <c r="B195" s="1013"/>
      <c r="C195" s="1013" t="s">
        <v>187</v>
      </c>
      <c r="D195" s="1013"/>
      <c r="E195" s="994" t="s">
        <v>802</v>
      </c>
      <c r="F195" s="995"/>
      <c r="G195" s="995"/>
      <c r="H195" s="994" t="s">
        <v>423</v>
      </c>
      <c r="I195" s="995"/>
      <c r="J195" s="995"/>
      <c r="K195" s="1416"/>
    </row>
    <row r="196" spans="1:11" ht="16.5" customHeight="1" thickBot="1">
      <c r="A196" s="990"/>
      <c r="B196" s="991"/>
      <c r="C196" s="1205"/>
      <c r="D196" s="1205"/>
      <c r="E196" s="980"/>
      <c r="F196" s="980"/>
      <c r="G196" s="980"/>
      <c r="H196" s="996"/>
      <c r="I196" s="997"/>
      <c r="J196" s="997"/>
      <c r="K196" s="998"/>
    </row>
    <row r="197" spans="1:11" ht="15.75" customHeight="1" thickBot="1">
      <c r="A197" s="990"/>
      <c r="B197" s="991"/>
      <c r="C197" s="1205"/>
      <c r="D197" s="1205"/>
      <c r="E197" s="980"/>
      <c r="F197" s="980"/>
      <c r="G197" s="980"/>
      <c r="H197" s="996"/>
      <c r="I197" s="997"/>
      <c r="J197" s="997"/>
      <c r="K197" s="998"/>
    </row>
    <row r="198" spans="1:11" ht="16.5" customHeight="1" thickBot="1">
      <c r="A198" s="990"/>
      <c r="B198" s="991"/>
      <c r="C198" s="1205"/>
      <c r="D198" s="1205"/>
      <c r="E198" s="980"/>
      <c r="F198" s="980"/>
      <c r="G198" s="980"/>
      <c r="H198" s="996"/>
      <c r="I198" s="997"/>
      <c r="J198" s="997"/>
      <c r="K198" s="998"/>
    </row>
    <row r="199" spans="1:11" ht="16.5" customHeight="1" thickBot="1">
      <c r="A199" s="990"/>
      <c r="B199" s="991"/>
      <c r="C199" s="1205"/>
      <c r="D199" s="1205"/>
      <c r="E199" s="980"/>
      <c r="F199" s="980"/>
      <c r="G199" s="980"/>
      <c r="H199" s="996"/>
      <c r="I199" s="997"/>
      <c r="J199" s="997"/>
      <c r="K199" s="998"/>
    </row>
    <row r="200" spans="1:11" ht="15.75" customHeight="1" thickBot="1">
      <c r="A200" s="990"/>
      <c r="B200" s="991"/>
      <c r="C200" s="1205"/>
      <c r="D200" s="1205"/>
      <c r="E200" s="980"/>
      <c r="F200" s="980"/>
      <c r="G200" s="980"/>
      <c r="H200" s="996"/>
      <c r="I200" s="997"/>
      <c r="J200" s="997"/>
      <c r="K200" s="998"/>
    </row>
    <row r="201" spans="1:11" ht="16.5" customHeight="1" thickBot="1">
      <c r="A201" s="990"/>
      <c r="B201" s="991"/>
      <c r="C201" s="1205"/>
      <c r="D201" s="1205"/>
      <c r="E201" s="980"/>
      <c r="F201" s="980"/>
      <c r="G201" s="980"/>
      <c r="H201" s="996"/>
      <c r="I201" s="997"/>
      <c r="J201" s="997"/>
      <c r="K201" s="998"/>
    </row>
    <row r="202" spans="1:11" ht="16.5" customHeight="1" thickBot="1">
      <c r="A202" s="990"/>
      <c r="B202" s="991"/>
      <c r="C202" s="1205"/>
      <c r="D202" s="1205"/>
      <c r="E202" s="980"/>
      <c r="F202" s="980"/>
      <c r="G202" s="980"/>
      <c r="H202" s="996"/>
      <c r="I202" s="997"/>
      <c r="J202" s="997"/>
      <c r="K202" s="998"/>
    </row>
    <row r="203" spans="1:11" ht="15.75" customHeight="1" thickBot="1">
      <c r="A203" s="990"/>
      <c r="B203" s="991"/>
      <c r="C203" s="1205"/>
      <c r="D203" s="1205"/>
      <c r="E203" s="980"/>
      <c r="F203" s="980"/>
      <c r="G203" s="980"/>
      <c r="H203" s="996"/>
      <c r="I203" s="997"/>
      <c r="J203" s="997"/>
      <c r="K203" s="998"/>
    </row>
    <row r="204" spans="1:11" ht="16.5" customHeight="1" thickBot="1">
      <c r="A204" s="990"/>
      <c r="B204" s="991"/>
      <c r="C204" s="1205"/>
      <c r="D204" s="1205"/>
      <c r="E204" s="980"/>
      <c r="F204" s="980"/>
      <c r="G204" s="980"/>
      <c r="H204" s="996"/>
      <c r="I204" s="997"/>
      <c r="J204" s="997"/>
      <c r="K204" s="998"/>
    </row>
    <row r="205" spans="1:11" ht="15.75" customHeight="1" thickBot="1">
      <c r="A205" s="990"/>
      <c r="B205" s="991"/>
      <c r="C205" s="1205"/>
      <c r="D205" s="1205"/>
      <c r="E205" s="980"/>
      <c r="F205" s="980"/>
      <c r="G205" s="980"/>
      <c r="H205" s="996"/>
      <c r="I205" s="997"/>
      <c r="J205" s="997"/>
      <c r="K205" s="998"/>
    </row>
    <row r="206" spans="1:11" ht="16.5" customHeight="1" thickBot="1">
      <c r="A206" s="990"/>
      <c r="B206" s="991"/>
      <c r="C206" s="1205"/>
      <c r="D206" s="1205"/>
      <c r="E206" s="980"/>
      <c r="F206" s="980"/>
      <c r="G206" s="980"/>
      <c r="H206" s="996"/>
      <c r="I206" s="997"/>
      <c r="J206" s="997"/>
      <c r="K206" s="998"/>
    </row>
    <row r="207" spans="1:11" ht="15.75" customHeight="1" thickBot="1">
      <c r="A207" s="990"/>
      <c r="B207" s="991"/>
      <c r="C207" s="1205"/>
      <c r="D207" s="1205"/>
      <c r="E207" s="980"/>
      <c r="F207" s="980"/>
      <c r="G207" s="980"/>
      <c r="H207" s="996"/>
      <c r="I207" s="997"/>
      <c r="J207" s="997"/>
      <c r="K207" s="998"/>
    </row>
    <row r="208" spans="1:11" ht="16.5" customHeight="1" thickBot="1">
      <c r="A208" s="990"/>
      <c r="B208" s="991"/>
      <c r="C208" s="1205"/>
      <c r="D208" s="1205"/>
      <c r="E208" s="980"/>
      <c r="F208" s="980"/>
      <c r="G208" s="980"/>
      <c r="H208" s="996"/>
      <c r="I208" s="997"/>
      <c r="J208" s="997"/>
      <c r="K208" s="998"/>
    </row>
    <row r="209" spans="1:11" ht="16.5" customHeight="1" thickBot="1">
      <c r="A209" s="990"/>
      <c r="B209" s="991"/>
      <c r="C209" s="1205"/>
      <c r="D209" s="1205"/>
      <c r="E209" s="980"/>
      <c r="F209" s="980"/>
      <c r="G209" s="980"/>
      <c r="H209" s="996"/>
      <c r="I209" s="997"/>
      <c r="J209" s="997"/>
      <c r="K209" s="998"/>
    </row>
    <row r="210" spans="1:11" ht="15.75" customHeight="1" thickBot="1">
      <c r="A210" s="990"/>
      <c r="B210" s="991"/>
      <c r="C210" s="1205"/>
      <c r="D210" s="1205"/>
      <c r="E210" s="980"/>
      <c r="F210" s="980"/>
      <c r="G210" s="980"/>
      <c r="H210" s="996"/>
      <c r="I210" s="997"/>
      <c r="J210" s="997"/>
      <c r="K210" s="998"/>
    </row>
    <row r="211" spans="1:11" ht="16.5" customHeight="1" thickBot="1">
      <c r="A211" s="990"/>
      <c r="B211" s="991"/>
      <c r="C211" s="1205"/>
      <c r="D211" s="1205"/>
      <c r="E211" s="980"/>
      <c r="F211" s="980"/>
      <c r="G211" s="980"/>
      <c r="H211" s="996"/>
      <c r="I211" s="997"/>
      <c r="J211" s="997"/>
      <c r="K211" s="998"/>
    </row>
    <row r="212" spans="1:11" ht="16.5" customHeight="1" thickBot="1">
      <c r="A212" s="990"/>
      <c r="B212" s="991"/>
      <c r="C212" s="1205"/>
      <c r="D212" s="1205"/>
      <c r="E212" s="980"/>
      <c r="F212" s="980"/>
      <c r="G212" s="980"/>
      <c r="H212" s="996"/>
      <c r="I212" s="997"/>
      <c r="J212" s="997"/>
      <c r="K212" s="998"/>
    </row>
    <row r="213" spans="1:11" ht="15.75" customHeight="1" thickBot="1">
      <c r="A213" s="990"/>
      <c r="B213" s="991"/>
      <c r="C213" s="1205"/>
      <c r="D213" s="1205"/>
      <c r="E213" s="980"/>
      <c r="F213" s="980"/>
      <c r="G213" s="980"/>
      <c r="H213" s="996"/>
      <c r="I213" s="997"/>
      <c r="J213" s="997"/>
      <c r="K213" s="998"/>
    </row>
    <row r="214" spans="1:11" ht="16.5" customHeight="1" thickBot="1">
      <c r="A214" s="990"/>
      <c r="B214" s="991"/>
      <c r="C214" s="1205"/>
      <c r="D214" s="1205"/>
      <c r="E214" s="980"/>
      <c r="F214" s="980"/>
      <c r="G214" s="980"/>
      <c r="H214" s="996"/>
      <c r="I214" s="997"/>
      <c r="J214" s="997"/>
      <c r="K214" s="998"/>
    </row>
    <row r="215" spans="1:11" ht="15.75" customHeight="1" thickBot="1">
      <c r="A215" s="990"/>
      <c r="B215" s="991"/>
      <c r="C215" s="1205"/>
      <c r="D215" s="1205"/>
      <c r="E215" s="980"/>
      <c r="F215" s="980"/>
      <c r="G215" s="980"/>
      <c r="H215" s="996"/>
      <c r="I215" s="997"/>
      <c r="J215" s="997"/>
      <c r="K215" s="998"/>
    </row>
    <row r="216" spans="1:11" ht="17.25" customHeight="1" thickTop="1">
      <c r="A216" s="909" t="s">
        <v>429</v>
      </c>
      <c r="B216" s="910"/>
      <c r="C216" s="910"/>
      <c r="D216" s="910"/>
      <c r="E216" s="910"/>
      <c r="F216" s="910"/>
      <c r="G216" s="910"/>
      <c r="H216" s="910"/>
      <c r="I216" s="911"/>
      <c r="J216" s="689" t="str">
        <f>IF(Std5NotCalc = "", "", IF(Std5NotCalc = "N", "NA", IF(Std10dot4NotCalc = "", "", IF(Std10dot4NotCalc = "N", "NA", IF(SUM(C196:C215, 0) &gt; 0, "N", "Y")))))</f>
        <v/>
      </c>
      <c r="K216" s="690"/>
    </row>
    <row r="217" spans="1:11" ht="25.5" customHeight="1" thickBot="1">
      <c r="A217" s="914" t="s">
        <v>1593</v>
      </c>
      <c r="B217" s="924"/>
      <c r="C217" s="924"/>
      <c r="D217" s="924"/>
      <c r="E217" s="924"/>
      <c r="F217" s="924"/>
      <c r="G217" s="924"/>
      <c r="H217" s="924"/>
      <c r="I217" s="1417"/>
      <c r="J217" s="1053"/>
      <c r="K217" s="1054"/>
    </row>
    <row r="218" spans="1:11" ht="15" customHeight="1" thickTop="1">
      <c r="A218" s="779" t="s">
        <v>297</v>
      </c>
      <c r="B218" s="1425" t="s">
        <v>798</v>
      </c>
      <c r="C218" s="1426"/>
      <c r="D218" s="1426"/>
      <c r="E218" s="1426"/>
      <c r="F218" s="1426"/>
      <c r="G218" s="1426"/>
      <c r="H218" s="1426"/>
      <c r="I218" s="1426"/>
      <c r="J218" s="1426"/>
      <c r="K218" s="1427"/>
    </row>
    <row r="219" spans="1:11" ht="15" customHeight="1">
      <c r="A219" s="598"/>
      <c r="B219" s="1425"/>
      <c r="C219" s="1426"/>
      <c r="D219" s="1426"/>
      <c r="E219" s="1426"/>
      <c r="F219" s="1426"/>
      <c r="G219" s="1426"/>
      <c r="H219" s="1426"/>
      <c r="I219" s="1426"/>
      <c r="J219" s="1426"/>
      <c r="K219" s="1427"/>
    </row>
    <row r="220" spans="1:11" ht="28.5" customHeight="1">
      <c r="A220" s="598"/>
      <c r="B220" s="656" t="s">
        <v>361</v>
      </c>
      <c r="C220" s="657"/>
      <c r="D220" s="657"/>
      <c r="E220" s="657"/>
      <c r="F220" s="657"/>
      <c r="G220" s="657"/>
      <c r="H220" s="657"/>
      <c r="I220" s="657"/>
      <c r="J220" s="657"/>
      <c r="K220" s="658"/>
    </row>
    <row r="221" spans="1:11" ht="50.15" customHeight="1" thickBot="1">
      <c r="A221" s="598"/>
      <c r="B221" s="1421" t="s">
        <v>362</v>
      </c>
      <c r="C221" s="1422"/>
      <c r="D221" s="1422"/>
      <c r="E221" s="1422"/>
      <c r="F221" s="1422"/>
      <c r="G221" s="1422"/>
      <c r="H221" s="1422"/>
      <c r="I221" s="1422"/>
      <c r="J221" s="1422"/>
      <c r="K221" s="1423"/>
    </row>
    <row r="222" spans="1:11" ht="40.5" customHeight="1" thickTop="1" thickBot="1">
      <c r="A222" s="1424" t="s">
        <v>799</v>
      </c>
      <c r="B222" s="1028"/>
      <c r="C222" s="1028"/>
      <c r="D222" s="1028"/>
      <c r="E222" s="1028"/>
      <c r="F222" s="1028"/>
      <c r="G222" s="1028"/>
      <c r="H222" s="1028"/>
      <c r="I222" s="1028"/>
      <c r="J222" s="1028"/>
      <c r="K222" s="1029"/>
    </row>
    <row r="223" spans="1:11" ht="16.5" customHeight="1" thickTop="1" thickBot="1">
      <c r="A223" s="992" t="s">
        <v>23</v>
      </c>
      <c r="B223" s="993"/>
      <c r="C223" s="993" t="s">
        <v>24</v>
      </c>
      <c r="D223" s="993"/>
      <c r="E223" s="1014" t="s">
        <v>25</v>
      </c>
      <c r="F223" s="1015"/>
      <c r="G223" s="1015"/>
      <c r="H223" s="1015"/>
      <c r="I223" s="1015"/>
      <c r="J223" s="1015"/>
      <c r="K223" s="1016"/>
    </row>
    <row r="224" spans="1:11" ht="15.75" customHeight="1" thickBot="1">
      <c r="A224" s="1012" t="s">
        <v>245</v>
      </c>
      <c r="B224" s="1013"/>
      <c r="C224" s="1013" t="s">
        <v>187</v>
      </c>
      <c r="D224" s="1013"/>
      <c r="E224" s="1418" t="s">
        <v>423</v>
      </c>
      <c r="F224" s="1419"/>
      <c r="G224" s="1419"/>
      <c r="H224" s="1419"/>
      <c r="I224" s="1419"/>
      <c r="J224" s="1419"/>
      <c r="K224" s="1420"/>
    </row>
    <row r="225" spans="1:19" ht="16.5" customHeight="1" thickBot="1">
      <c r="A225" s="990"/>
      <c r="B225" s="991"/>
      <c r="C225" s="1205"/>
      <c r="D225" s="1205"/>
      <c r="E225" s="996"/>
      <c r="F225" s="997"/>
      <c r="G225" s="997"/>
      <c r="H225" s="997"/>
      <c r="I225" s="997"/>
      <c r="J225" s="997"/>
      <c r="K225" s="998"/>
    </row>
    <row r="226" spans="1:19" ht="15.75" customHeight="1" thickBot="1">
      <c r="A226" s="990"/>
      <c r="B226" s="991"/>
      <c r="C226" s="1205"/>
      <c r="D226" s="1205"/>
      <c r="E226" s="996"/>
      <c r="F226" s="997"/>
      <c r="G226" s="997"/>
      <c r="H226" s="997"/>
      <c r="I226" s="997"/>
      <c r="J226" s="997"/>
      <c r="K226" s="998"/>
    </row>
    <row r="227" spans="1:19" ht="16.5" customHeight="1" thickBot="1">
      <c r="A227" s="990"/>
      <c r="B227" s="991"/>
      <c r="C227" s="1205"/>
      <c r="D227" s="1205"/>
      <c r="E227" s="996"/>
      <c r="F227" s="997"/>
      <c r="G227" s="997"/>
      <c r="H227" s="997"/>
      <c r="I227" s="997"/>
      <c r="J227" s="997"/>
      <c r="K227" s="998"/>
    </row>
    <row r="228" spans="1:19" ht="16.5" customHeight="1" thickBot="1">
      <c r="A228" s="990"/>
      <c r="B228" s="991"/>
      <c r="C228" s="1205"/>
      <c r="D228" s="1205"/>
      <c r="E228" s="996"/>
      <c r="F228" s="997"/>
      <c r="G228" s="997"/>
      <c r="H228" s="997"/>
      <c r="I228" s="997"/>
      <c r="J228" s="997"/>
      <c r="K228" s="998"/>
    </row>
    <row r="229" spans="1:19" ht="15.75" customHeight="1" thickBot="1">
      <c r="A229" s="990"/>
      <c r="B229" s="991"/>
      <c r="C229" s="1205"/>
      <c r="D229" s="1205"/>
      <c r="E229" s="996"/>
      <c r="F229" s="997"/>
      <c r="G229" s="997"/>
      <c r="H229" s="997"/>
      <c r="I229" s="997"/>
      <c r="J229" s="997"/>
      <c r="K229" s="998"/>
    </row>
    <row r="230" spans="1:19" ht="16.5" customHeight="1" thickBot="1">
      <c r="A230" s="990"/>
      <c r="B230" s="991"/>
      <c r="C230" s="1205"/>
      <c r="D230" s="1205"/>
      <c r="E230" s="996"/>
      <c r="F230" s="997"/>
      <c r="G230" s="997"/>
      <c r="H230" s="997"/>
      <c r="I230" s="997"/>
      <c r="J230" s="997"/>
      <c r="K230" s="998"/>
    </row>
    <row r="231" spans="1:19" ht="16.5" customHeight="1" thickBot="1">
      <c r="A231" s="990"/>
      <c r="B231" s="991"/>
      <c r="C231" s="1205"/>
      <c r="D231" s="1205"/>
      <c r="E231" s="996"/>
      <c r="F231" s="997"/>
      <c r="G231" s="997"/>
      <c r="H231" s="997"/>
      <c r="I231" s="997"/>
      <c r="J231" s="997"/>
      <c r="K231" s="998"/>
    </row>
    <row r="232" spans="1:19" ht="15.75" customHeight="1" thickBot="1">
      <c r="A232" s="990"/>
      <c r="B232" s="991"/>
      <c r="C232" s="1205"/>
      <c r="D232" s="1205"/>
      <c r="E232" s="996"/>
      <c r="F232" s="997"/>
      <c r="G232" s="997"/>
      <c r="H232" s="997"/>
      <c r="I232" s="997"/>
      <c r="J232" s="997"/>
      <c r="K232" s="998"/>
    </row>
    <row r="233" spans="1:19" ht="16.5" customHeight="1" thickBot="1">
      <c r="A233" s="990"/>
      <c r="B233" s="991"/>
      <c r="C233" s="1205"/>
      <c r="D233" s="1205"/>
      <c r="E233" s="996"/>
      <c r="F233" s="997"/>
      <c r="G233" s="997"/>
      <c r="H233" s="997"/>
      <c r="I233" s="997"/>
      <c r="J233" s="997"/>
      <c r="K233" s="998"/>
    </row>
    <row r="234" spans="1:19" ht="15.75" customHeight="1" thickBot="1">
      <c r="A234" s="990"/>
      <c r="B234" s="991"/>
      <c r="C234" s="1205"/>
      <c r="D234" s="1205"/>
      <c r="E234" s="996"/>
      <c r="F234" s="997"/>
      <c r="G234" s="997"/>
      <c r="H234" s="997"/>
      <c r="I234" s="997"/>
      <c r="J234" s="997"/>
      <c r="K234" s="998"/>
    </row>
    <row r="235" spans="1:19" ht="16" thickTop="1">
      <c r="A235" s="909" t="s">
        <v>430</v>
      </c>
      <c r="B235" s="910"/>
      <c r="C235" s="910"/>
      <c r="D235" s="910"/>
      <c r="E235" s="910"/>
      <c r="F235" s="910"/>
      <c r="G235" s="910"/>
      <c r="H235" s="910"/>
      <c r="I235" s="910"/>
      <c r="J235" s="689" t="str">
        <f>IF(Std5NotCalc = "", "", IF(Std5NotCalc = "N", "NA", IF(Std10dot4NotCalc = "", "", IF(Std10dot4NotCalc = "N", "NA", IF(SUM(C225:C234, 0) &gt; 0, "N", "Y")))))</f>
        <v/>
      </c>
      <c r="K235" s="690"/>
    </row>
    <row r="236" spans="1:19" ht="45" customHeight="1" thickBot="1">
      <c r="A236" s="787" t="s">
        <v>1594</v>
      </c>
      <c r="B236" s="788"/>
      <c r="C236" s="788"/>
      <c r="D236" s="788"/>
      <c r="E236" s="788"/>
      <c r="F236" s="788"/>
      <c r="G236" s="788"/>
      <c r="H236" s="788"/>
      <c r="I236" s="908"/>
      <c r="J236" s="691"/>
      <c r="K236" s="692"/>
    </row>
    <row r="237" spans="1:19" ht="30" customHeight="1" thickTop="1" thickBot="1">
      <c r="A237" s="931" t="s">
        <v>306</v>
      </c>
      <c r="B237" s="1043" t="s">
        <v>1659</v>
      </c>
      <c r="C237" s="1043"/>
      <c r="D237" s="1043"/>
      <c r="E237" s="1043"/>
      <c r="F237" s="1043"/>
      <c r="G237" s="1043"/>
      <c r="H237" s="1043"/>
      <c r="I237" s="1043"/>
      <c r="J237" s="1045" t="s">
        <v>1212</v>
      </c>
      <c r="K237" s="1045"/>
    </row>
    <row r="238" spans="1:19" ht="50.25" customHeight="1" thickTop="1" thickBot="1">
      <c r="A238" s="931"/>
      <c r="B238" s="1044"/>
      <c r="C238" s="1044"/>
      <c r="D238" s="1044"/>
      <c r="E238" s="1044"/>
      <c r="F238" s="1044"/>
      <c r="G238" s="1044"/>
      <c r="H238" s="1044"/>
      <c r="I238" s="1044"/>
      <c r="J238" s="1274"/>
      <c r="K238" s="1274"/>
    </row>
    <row r="239" spans="1:19" ht="15" customHeight="1" thickTop="1" thickBot="1">
      <c r="A239" s="931"/>
      <c r="B239" s="1257" t="s">
        <v>800</v>
      </c>
      <c r="C239" s="1257"/>
      <c r="D239" s="1257"/>
      <c r="E239" s="1257"/>
      <c r="F239" s="1257"/>
      <c r="G239" s="1257"/>
      <c r="H239" s="1257"/>
      <c r="I239" s="1257"/>
      <c r="J239" s="1257"/>
      <c r="K239" s="1257"/>
    </row>
    <row r="240" spans="1:19" ht="51.75" customHeight="1" thickTop="1" thickBot="1">
      <c r="A240" s="1448" t="s">
        <v>1302</v>
      </c>
      <c r="B240" s="1449"/>
      <c r="C240" s="1450"/>
      <c r="D240" s="493" t="s">
        <v>363</v>
      </c>
      <c r="E240" s="494"/>
      <c r="F240" s="493" t="s">
        <v>365</v>
      </c>
      <c r="G240" s="495"/>
      <c r="H240" s="493" t="s">
        <v>431</v>
      </c>
      <c r="I240" s="495"/>
      <c r="J240" s="493" t="s">
        <v>367</v>
      </c>
      <c r="K240" s="494"/>
      <c r="L240" s="493" t="s">
        <v>432</v>
      </c>
      <c r="M240" s="495"/>
      <c r="N240" s="981" t="s">
        <v>1303</v>
      </c>
      <c r="O240" s="982"/>
      <c r="P240" s="982"/>
      <c r="Q240" s="982"/>
      <c r="R240" s="493" t="s">
        <v>433</v>
      </c>
      <c r="S240" s="495"/>
    </row>
    <row r="241" spans="1:21" ht="90.75" customHeight="1" thickBot="1">
      <c r="A241" s="213" t="s">
        <v>54</v>
      </c>
      <c r="B241" s="1451" t="s">
        <v>1304</v>
      </c>
      <c r="C241" s="1452"/>
      <c r="D241" s="1445" t="s">
        <v>364</v>
      </c>
      <c r="E241" s="1446"/>
      <c r="F241" s="1258" t="s">
        <v>366</v>
      </c>
      <c r="G241" s="1259"/>
      <c r="H241" s="1247"/>
      <c r="I241" s="1248"/>
      <c r="J241" s="1445" t="s">
        <v>368</v>
      </c>
      <c r="K241" s="1446"/>
      <c r="L241" s="1247"/>
      <c r="M241" s="1248"/>
      <c r="N241" s="1245" t="s">
        <v>7</v>
      </c>
      <c r="O241" s="1246"/>
      <c r="P241" s="1246" t="s">
        <v>11</v>
      </c>
      <c r="Q241" s="1246"/>
      <c r="R241" s="1247"/>
      <c r="S241" s="1248"/>
      <c r="U241" s="42"/>
    </row>
    <row r="242" spans="1:21" ht="15" thickBot="1">
      <c r="A242" s="227"/>
      <c r="B242" s="1443"/>
      <c r="C242" s="1444"/>
      <c r="D242" s="1253"/>
      <c r="E242" s="1254"/>
      <c r="F242" s="1253"/>
      <c r="G242" s="1254"/>
      <c r="H242" s="1447">
        <f>D242 + F242</f>
        <v>0</v>
      </c>
      <c r="I242" s="856"/>
      <c r="J242" s="1253"/>
      <c r="K242" s="1254"/>
      <c r="L242" s="1260">
        <f>H242 - J242</f>
        <v>0</v>
      </c>
      <c r="M242" s="856"/>
      <c r="N242" s="1249"/>
      <c r="O242" s="1250"/>
      <c r="P242" s="1251"/>
      <c r="Q242" s="1252"/>
      <c r="R242" s="1255"/>
      <c r="S242" s="1256"/>
    </row>
    <row r="243" spans="1:21" ht="39.75" customHeight="1" thickTop="1" thickBot="1">
      <c r="A243" s="1486" t="s">
        <v>1217</v>
      </c>
      <c r="B243" s="1487"/>
      <c r="C243" s="1487"/>
      <c r="D243" s="1487"/>
      <c r="E243" s="1487"/>
      <c r="F243" s="1487"/>
      <c r="G243" s="1487"/>
      <c r="H243" s="1487"/>
      <c r="I243" s="1488"/>
      <c r="J243" s="574"/>
      <c r="K243" s="575"/>
      <c r="L243" s="36"/>
      <c r="M243" s="37"/>
      <c r="N243" s="37"/>
      <c r="O243" s="37"/>
      <c r="P243" s="37"/>
      <c r="Q243" s="9"/>
      <c r="R243" s="9"/>
      <c r="S243" s="9"/>
      <c r="T243" s="9"/>
    </row>
    <row r="244" spans="1:21" ht="27" customHeight="1" thickTop="1" thickBot="1">
      <c r="A244" s="1489" t="s">
        <v>434</v>
      </c>
      <c r="B244" s="1490"/>
      <c r="C244" s="1490"/>
      <c r="D244" s="1490"/>
      <c r="E244" s="1490"/>
      <c r="F244" s="1490"/>
      <c r="G244" s="1490"/>
      <c r="H244" s="1490"/>
      <c r="I244" s="1491"/>
      <c r="J244" s="1046" t="str">
        <f>IF(Std5NotCalc = "", "", IF(Std5NotCalc = "N", "NA",IF(Std10dot6NotCalc="","",IF(Std10dot6NotCalc="N","NA",IF(Std10dot6TotRfndDue&lt;=0,"NA",IF(Std10dot6AmtRfnd=0,"N",IF(AND(COUNTBLANK(N242:Q242)=4,Std10dot6AmtRfnd&gt;0),"N",IF(Std10dot6AmtRfnd&gt;0,"Y",""))))))))</f>
        <v/>
      </c>
      <c r="K244" s="1047"/>
      <c r="L244" s="10"/>
      <c r="M244" s="9"/>
      <c r="N244" s="9"/>
      <c r="O244" s="9"/>
      <c r="P244" s="9"/>
      <c r="Q244" s="9"/>
      <c r="R244" s="9"/>
      <c r="S244" s="9"/>
      <c r="T244" s="9"/>
    </row>
    <row r="245" spans="1:21" ht="27.75" customHeight="1" thickTop="1" thickBot="1">
      <c r="A245" s="1489" t="s">
        <v>435</v>
      </c>
      <c r="B245" s="1490"/>
      <c r="C245" s="1490"/>
      <c r="D245" s="1490"/>
      <c r="E245" s="1490"/>
      <c r="F245" s="1490"/>
      <c r="G245" s="1490"/>
      <c r="H245" s="1490"/>
      <c r="I245" s="1491"/>
      <c r="J245" s="1046" t="str">
        <f>IF(Std5NotCalc = "", "", IF(Std5NotCalc = "N", "NA",IF(Std10dot6NotCalc = "", "", IF(Std10dot6NotCalc = "N", "NA", IF(Std10dot6TotRfndDue &lt;= 0, "NA", IF(Std10dot6DminusE = 0, "Y", "N"))))))</f>
        <v/>
      </c>
      <c r="K245" s="1047"/>
      <c r="L245" s="10"/>
      <c r="M245" s="9"/>
      <c r="N245" s="9"/>
      <c r="O245" s="9"/>
      <c r="P245" s="9"/>
      <c r="Q245" s="9"/>
      <c r="R245" s="9"/>
      <c r="S245" s="9"/>
      <c r="T245" s="9"/>
    </row>
    <row r="246" spans="1:21" ht="33" customHeight="1" thickTop="1">
      <c r="A246" s="571" t="s">
        <v>1660</v>
      </c>
      <c r="B246" s="572"/>
      <c r="C246" s="572"/>
      <c r="D246" s="572"/>
      <c r="E246" s="572"/>
      <c r="F246" s="572"/>
      <c r="G246" s="572"/>
      <c r="H246" s="572"/>
      <c r="I246" s="573"/>
      <c r="J246" s="1397" t="str">
        <f>IF(Std5NotCalc = "", "", IF(Std5NotCalc = "N", "NA",IF(Std10dot6NotCalc="","",IF(Std10dot6NotCalc="N","NA",IF(AND(Std10dot6a ="NA", Std10dot6TotRfndDue&lt;=0), "NA", IF(AND(Std10dot6a ="NA", Std10dot6TotRfndDue&gt;0), "", IF(COUNTIF(J243:J245, "N") &gt; 0, "N", IF(COUNTIF(J243:J245, "Y") = 3, "Y", ""))))))))</f>
        <v/>
      </c>
      <c r="K246" s="1398"/>
      <c r="L246" s="10"/>
      <c r="M246" s="9"/>
      <c r="N246" s="9"/>
      <c r="O246" s="9"/>
      <c r="P246" s="9"/>
      <c r="Q246" s="9"/>
      <c r="R246" s="9"/>
      <c r="S246" s="9"/>
      <c r="T246" s="9"/>
      <c r="U246" s="9"/>
    </row>
    <row r="247" spans="1:21" ht="26.25" customHeight="1">
      <c r="A247" s="530" t="s">
        <v>1595</v>
      </c>
      <c r="B247" s="531"/>
      <c r="C247" s="531"/>
      <c r="D247" s="531"/>
      <c r="E247" s="531"/>
      <c r="F247" s="531"/>
      <c r="G247" s="531"/>
      <c r="H247" s="531"/>
      <c r="I247" s="532"/>
      <c r="J247" s="1399"/>
      <c r="K247" s="1400"/>
      <c r="L247" s="530"/>
      <c r="M247" s="531"/>
      <c r="N247" s="531"/>
      <c r="O247" s="531"/>
      <c r="P247" s="9"/>
      <c r="Q247" s="9"/>
      <c r="R247" s="9"/>
      <c r="S247" s="9"/>
      <c r="T247" s="9"/>
      <c r="U247" s="9"/>
    </row>
    <row r="248" spans="1:21" ht="26.25" customHeight="1" thickBot="1">
      <c r="A248" s="530" t="s">
        <v>1596</v>
      </c>
      <c r="B248" s="531"/>
      <c r="C248" s="531"/>
      <c r="D248" s="531"/>
      <c r="E248" s="531"/>
      <c r="F248" s="531"/>
      <c r="G248" s="531"/>
      <c r="H248" s="531"/>
      <c r="I248" s="532"/>
      <c r="J248" s="1399"/>
      <c r="K248" s="1400"/>
      <c r="L248" s="530"/>
      <c r="M248" s="531"/>
      <c r="N248" s="531"/>
      <c r="O248" s="531"/>
      <c r="P248" s="9"/>
      <c r="Q248" s="9"/>
      <c r="R248" s="9"/>
      <c r="S248" s="9"/>
      <c r="T248" s="9"/>
      <c r="U248" s="9"/>
    </row>
    <row r="249" spans="1:21" ht="16.5" customHeight="1" thickTop="1" thickBot="1">
      <c r="A249" s="934" t="s">
        <v>369</v>
      </c>
      <c r="B249" s="935"/>
      <c r="C249" s="935"/>
      <c r="D249" s="935"/>
      <c r="E249" s="935"/>
      <c r="F249" s="935"/>
      <c r="G249" s="935"/>
      <c r="H249" s="935"/>
      <c r="I249" s="935"/>
      <c r="J249" s="935"/>
      <c r="K249" s="936"/>
    </row>
    <row r="250" spans="1:21" ht="30" customHeight="1" thickTop="1" thickBot="1">
      <c r="A250" s="762" t="s">
        <v>1233</v>
      </c>
      <c r="B250" s="946" t="s">
        <v>1404</v>
      </c>
      <c r="C250" s="947"/>
      <c r="D250" s="947"/>
      <c r="E250" s="947"/>
      <c r="F250" s="947"/>
      <c r="G250" s="947"/>
      <c r="H250" s="947"/>
      <c r="I250" s="948"/>
      <c r="J250" s="944" t="s">
        <v>1212</v>
      </c>
      <c r="K250" s="945"/>
    </row>
    <row r="251" spans="1:21" ht="30" customHeight="1" thickTop="1" thickBot="1">
      <c r="A251" s="763"/>
      <c r="B251" s="775"/>
      <c r="C251" s="694"/>
      <c r="D251" s="694"/>
      <c r="E251" s="694"/>
      <c r="F251" s="694"/>
      <c r="G251" s="694"/>
      <c r="H251" s="694"/>
      <c r="I251" s="695"/>
      <c r="J251" s="1243"/>
      <c r="K251" s="1244"/>
    </row>
    <row r="252" spans="1:21" ht="30" customHeight="1" thickTop="1" thickBot="1">
      <c r="A252" s="1042"/>
      <c r="B252" s="952" t="s">
        <v>1535</v>
      </c>
      <c r="C252" s="953"/>
      <c r="D252" s="953"/>
      <c r="E252" s="953"/>
      <c r="F252" s="953"/>
      <c r="G252" s="953"/>
      <c r="H252" s="953"/>
      <c r="I252" s="953"/>
      <c r="J252" s="954"/>
      <c r="K252" s="955"/>
    </row>
    <row r="253" spans="1:21" ht="30" hidden="1" customHeight="1" thickTop="1" thickBot="1">
      <c r="A253" s="762" t="s">
        <v>1234</v>
      </c>
      <c r="B253" s="946" t="s">
        <v>1392</v>
      </c>
      <c r="C253" s="947"/>
      <c r="D253" s="947"/>
      <c r="E253" s="947"/>
      <c r="F253" s="947"/>
      <c r="G253" s="947"/>
      <c r="H253" s="947"/>
      <c r="I253" s="948"/>
      <c r="J253" s="944" t="s">
        <v>1212</v>
      </c>
      <c r="K253" s="945"/>
    </row>
    <row r="254" spans="1:21" ht="30" hidden="1" customHeight="1" thickTop="1" thickBot="1">
      <c r="A254" s="939"/>
      <c r="B254" s="949"/>
      <c r="C254" s="950"/>
      <c r="D254" s="950"/>
      <c r="E254" s="950"/>
      <c r="F254" s="950"/>
      <c r="G254" s="950"/>
      <c r="H254" s="950"/>
      <c r="I254" s="951"/>
      <c r="J254" s="1453" t="s">
        <v>73</v>
      </c>
      <c r="K254" s="1454"/>
    </row>
    <row r="255" spans="1:21" ht="30" hidden="1" customHeight="1" thickTop="1" thickBot="1">
      <c r="A255" s="1042"/>
      <c r="B255" s="952" t="s">
        <v>1536</v>
      </c>
      <c r="C255" s="953"/>
      <c r="D255" s="953"/>
      <c r="E255" s="953"/>
      <c r="F255" s="953"/>
      <c r="G255" s="953"/>
      <c r="H255" s="953"/>
      <c r="I255" s="953"/>
      <c r="J255" s="954"/>
      <c r="K255" s="955"/>
    </row>
    <row r="256" spans="1:21" ht="30" hidden="1" customHeight="1" thickTop="1" thickBot="1">
      <c r="A256" s="762" t="s">
        <v>1235</v>
      </c>
      <c r="B256" s="946" t="s">
        <v>1393</v>
      </c>
      <c r="C256" s="947"/>
      <c r="D256" s="947"/>
      <c r="E256" s="947"/>
      <c r="F256" s="947"/>
      <c r="G256" s="947"/>
      <c r="H256" s="947"/>
      <c r="I256" s="948"/>
      <c r="J256" s="944" t="s">
        <v>1212</v>
      </c>
      <c r="K256" s="945"/>
    </row>
    <row r="257" spans="1:19" ht="30" hidden="1" customHeight="1" thickTop="1" thickBot="1">
      <c r="A257" s="763"/>
      <c r="B257" s="949"/>
      <c r="C257" s="950"/>
      <c r="D257" s="950"/>
      <c r="E257" s="950"/>
      <c r="F257" s="950"/>
      <c r="G257" s="950"/>
      <c r="H257" s="950"/>
      <c r="I257" s="951"/>
      <c r="J257" s="1453" t="s">
        <v>73</v>
      </c>
      <c r="K257" s="1454"/>
    </row>
    <row r="258" spans="1:19" ht="30" hidden="1" customHeight="1" thickTop="1" thickBot="1">
      <c r="A258" s="1042"/>
      <c r="B258" s="952" t="s">
        <v>1218</v>
      </c>
      <c r="C258" s="953"/>
      <c r="D258" s="953"/>
      <c r="E258" s="953"/>
      <c r="F258" s="953"/>
      <c r="G258" s="953"/>
      <c r="H258" s="953"/>
      <c r="I258" s="953"/>
      <c r="J258" s="954"/>
      <c r="K258" s="955"/>
    </row>
    <row r="259" spans="1:19" ht="30" customHeight="1" thickTop="1" thickBot="1">
      <c r="A259" s="762" t="s">
        <v>1236</v>
      </c>
      <c r="B259" s="946" t="s">
        <v>1394</v>
      </c>
      <c r="C259" s="947"/>
      <c r="D259" s="947"/>
      <c r="E259" s="947"/>
      <c r="F259" s="947"/>
      <c r="G259" s="947"/>
      <c r="H259" s="947"/>
      <c r="I259" s="948"/>
      <c r="J259" s="944" t="s">
        <v>1212</v>
      </c>
      <c r="K259" s="945"/>
    </row>
    <row r="260" spans="1:19" ht="30" customHeight="1" thickTop="1" thickBot="1">
      <c r="A260" s="763"/>
      <c r="B260" s="949"/>
      <c r="C260" s="950"/>
      <c r="D260" s="950"/>
      <c r="E260" s="950"/>
      <c r="F260" s="950"/>
      <c r="G260" s="950"/>
      <c r="H260" s="950"/>
      <c r="I260" s="951"/>
      <c r="J260" s="1243"/>
      <c r="K260" s="1244"/>
    </row>
    <row r="261" spans="1:19" ht="30" customHeight="1" thickTop="1" thickBot="1">
      <c r="A261" s="1042"/>
      <c r="B261" s="952" t="s">
        <v>1290</v>
      </c>
      <c r="C261" s="953"/>
      <c r="D261" s="953"/>
      <c r="E261" s="953"/>
      <c r="F261" s="953"/>
      <c r="G261" s="953"/>
      <c r="H261" s="953"/>
      <c r="I261" s="953"/>
      <c r="J261" s="1055"/>
      <c r="K261" s="1056"/>
    </row>
    <row r="262" spans="1:19" ht="30" customHeight="1" thickTop="1" thickBot="1">
      <c r="A262" s="762" t="s">
        <v>1237</v>
      </c>
      <c r="B262" s="946" t="s">
        <v>1395</v>
      </c>
      <c r="C262" s="947"/>
      <c r="D262" s="947"/>
      <c r="E262" s="947"/>
      <c r="F262" s="947"/>
      <c r="G262" s="947"/>
      <c r="H262" s="947"/>
      <c r="I262" s="948"/>
      <c r="J262" s="944" t="s">
        <v>1212</v>
      </c>
      <c r="K262" s="945"/>
    </row>
    <row r="263" spans="1:19" ht="30" customHeight="1" thickTop="1" thickBot="1">
      <c r="A263" s="763"/>
      <c r="B263" s="949"/>
      <c r="C263" s="950"/>
      <c r="D263" s="950"/>
      <c r="E263" s="950"/>
      <c r="F263" s="950"/>
      <c r="G263" s="950"/>
      <c r="H263" s="950"/>
      <c r="I263" s="951"/>
      <c r="J263" s="1243"/>
      <c r="K263" s="1244"/>
    </row>
    <row r="264" spans="1:19" ht="30" customHeight="1" thickTop="1" thickBot="1">
      <c r="A264" s="1042"/>
      <c r="B264" s="952" t="s">
        <v>1291</v>
      </c>
      <c r="C264" s="953"/>
      <c r="D264" s="953"/>
      <c r="E264" s="953"/>
      <c r="F264" s="953"/>
      <c r="G264" s="953"/>
      <c r="H264" s="953"/>
      <c r="I264" s="953"/>
      <c r="J264" s="1055"/>
      <c r="K264" s="1056"/>
    </row>
    <row r="265" spans="1:19" ht="30" customHeight="1" thickTop="1" thickBot="1">
      <c r="A265" s="762" t="s">
        <v>1238</v>
      </c>
      <c r="B265" s="946" t="s">
        <v>1396</v>
      </c>
      <c r="C265" s="947"/>
      <c r="D265" s="947"/>
      <c r="E265" s="947"/>
      <c r="F265" s="947"/>
      <c r="G265" s="947"/>
      <c r="H265" s="947"/>
      <c r="I265" s="948"/>
      <c r="J265" s="944" t="s">
        <v>1212</v>
      </c>
      <c r="K265" s="945"/>
    </row>
    <row r="266" spans="1:19" ht="30" customHeight="1" thickTop="1" thickBot="1">
      <c r="A266" s="763"/>
      <c r="B266" s="949"/>
      <c r="C266" s="950"/>
      <c r="D266" s="950"/>
      <c r="E266" s="950"/>
      <c r="F266" s="950"/>
      <c r="G266" s="950"/>
      <c r="H266" s="950"/>
      <c r="I266" s="951"/>
      <c r="J266" s="1243"/>
      <c r="K266" s="1244"/>
    </row>
    <row r="267" spans="1:19" ht="15" customHeight="1" thickTop="1" thickBot="1">
      <c r="A267" s="1042"/>
      <c r="B267" s="953" t="s">
        <v>1292</v>
      </c>
      <c r="C267" s="953"/>
      <c r="D267" s="953"/>
      <c r="E267" s="953"/>
      <c r="F267" s="953"/>
      <c r="G267" s="953"/>
      <c r="H267" s="953"/>
      <c r="I267" s="953"/>
      <c r="J267" s="1055"/>
      <c r="K267" s="1056"/>
    </row>
    <row r="268" spans="1:19" ht="27" customHeight="1" thickTop="1">
      <c r="A268" s="847" t="s">
        <v>1405</v>
      </c>
      <c r="B268" s="1442"/>
      <c r="C268" s="1442"/>
      <c r="D268" s="1442"/>
      <c r="E268" s="1442"/>
      <c r="F268" s="1442"/>
      <c r="G268" s="1442"/>
      <c r="H268" s="1442"/>
      <c r="I268" s="1442"/>
      <c r="J268" s="1442"/>
      <c r="K268" s="848"/>
    </row>
    <row r="269" spans="1:19" ht="28.5" customHeight="1">
      <c r="A269" s="533" t="s">
        <v>1406</v>
      </c>
      <c r="B269" s="534"/>
      <c r="C269" s="534"/>
      <c r="D269" s="534"/>
      <c r="E269" s="534"/>
      <c r="F269" s="534"/>
      <c r="G269" s="534"/>
      <c r="H269" s="534"/>
      <c r="I269" s="534"/>
      <c r="J269" s="534"/>
      <c r="K269" s="535"/>
    </row>
    <row r="270" spans="1:19" ht="26.25" customHeight="1">
      <c r="A270" s="533" t="s">
        <v>436</v>
      </c>
      <c r="B270" s="534"/>
      <c r="C270" s="534"/>
      <c r="D270" s="534"/>
      <c r="E270" s="534"/>
      <c r="F270" s="534"/>
      <c r="G270" s="534"/>
      <c r="H270" s="534"/>
      <c r="I270" s="534"/>
      <c r="J270" s="534"/>
      <c r="K270" s="535"/>
    </row>
    <row r="271" spans="1:19" ht="37.5" customHeight="1" thickBot="1">
      <c r="A271" s="1162" t="s">
        <v>461</v>
      </c>
      <c r="B271" s="1163"/>
      <c r="C271" s="1163"/>
      <c r="D271" s="1163"/>
      <c r="E271" s="1163"/>
      <c r="F271" s="1163"/>
      <c r="G271" s="1163"/>
      <c r="H271" s="1163"/>
      <c r="I271" s="1163"/>
      <c r="J271" s="1163"/>
      <c r="K271" s="1164"/>
      <c r="L271" s="41"/>
    </row>
    <row r="272" spans="1:19" ht="16.5" customHeight="1" thickTop="1" thickBot="1">
      <c r="A272" s="1154" t="s">
        <v>1407</v>
      </c>
      <c r="B272" s="1155"/>
      <c r="C272" s="1155"/>
      <c r="D272" s="1155"/>
      <c r="E272" s="1155"/>
      <c r="F272" s="1155"/>
      <c r="G272" s="1155"/>
      <c r="H272" s="1155"/>
      <c r="I272" s="1155"/>
      <c r="J272" s="1155"/>
      <c r="K272" s="1156"/>
      <c r="L272" s="50"/>
      <c r="M272" s="50"/>
      <c r="N272" s="50"/>
      <c r="O272" s="50"/>
      <c r="P272" s="50"/>
      <c r="Q272" s="50"/>
      <c r="R272" s="50"/>
      <c r="S272" s="50"/>
    </row>
    <row r="273" spans="1:19" ht="39.75" customHeight="1" thickTop="1" thickBot="1">
      <c r="A273" s="1154"/>
      <c r="B273" s="1155"/>
      <c r="C273" s="1155"/>
      <c r="D273" s="1155"/>
      <c r="E273" s="1436"/>
      <c r="F273" s="51" t="s">
        <v>437</v>
      </c>
      <c r="G273" s="52" t="s">
        <v>438</v>
      </c>
      <c r="H273" s="51" t="s">
        <v>439</v>
      </c>
      <c r="I273" s="1165" t="s">
        <v>440</v>
      </c>
      <c r="J273" s="1061"/>
      <c r="K273" s="1062"/>
      <c r="L273" s="50"/>
      <c r="M273" s="50"/>
      <c r="N273" s="50"/>
      <c r="O273" s="50"/>
      <c r="P273" s="50"/>
      <c r="Q273" s="50"/>
      <c r="R273" s="50"/>
      <c r="S273" s="50"/>
    </row>
    <row r="274" spans="1:19" ht="15.5" thickTop="1" thickBot="1">
      <c r="A274" s="1437" t="s">
        <v>441</v>
      </c>
      <c r="B274" s="1438"/>
      <c r="C274" s="1438"/>
      <c r="D274" s="1438"/>
      <c r="E274" s="1439"/>
      <c r="F274" s="228"/>
      <c r="G274" s="229"/>
      <c r="H274" s="230"/>
      <c r="I274" s="1166" t="str">
        <f>IF(F274 = "Y", G274 * H274, "")</f>
        <v/>
      </c>
      <c r="J274" s="1167"/>
      <c r="K274" s="1168"/>
      <c r="L274" s="50"/>
      <c r="M274" s="50"/>
      <c r="N274" s="50"/>
      <c r="O274" s="50"/>
      <c r="P274" s="50"/>
      <c r="Q274" s="50"/>
      <c r="R274" s="50"/>
      <c r="S274" s="50"/>
    </row>
    <row r="275" spans="1:19" ht="15.75" customHeight="1" thickBot="1">
      <c r="A275" s="1175" t="s">
        <v>442</v>
      </c>
      <c r="B275" s="1176"/>
      <c r="C275" s="1176"/>
      <c r="D275" s="1176"/>
      <c r="E275" s="1177"/>
      <c r="F275" s="228"/>
      <c r="G275" s="231"/>
      <c r="H275" s="232"/>
      <c r="I275" s="1169" t="str">
        <f>IF(F275 = "Y", G275 * H275, "")</f>
        <v/>
      </c>
      <c r="J275" s="1170"/>
      <c r="K275" s="1171"/>
      <c r="L275" s="50"/>
      <c r="M275" s="50"/>
      <c r="N275" s="50"/>
      <c r="O275" s="50"/>
      <c r="P275" s="50"/>
      <c r="Q275" s="50"/>
      <c r="R275" s="50"/>
      <c r="S275" s="50"/>
    </row>
    <row r="276" spans="1:19" ht="15.75" customHeight="1" thickBot="1">
      <c r="A276" s="1178" t="s">
        <v>443</v>
      </c>
      <c r="B276" s="1179"/>
      <c r="C276" s="1179"/>
      <c r="D276" s="1179"/>
      <c r="E276" s="1180"/>
      <c r="F276" s="233"/>
      <c r="G276" s="234"/>
      <c r="H276" s="235"/>
      <c r="I276" s="1172" t="str">
        <f>IF(F276 = "Y", G276 * H276, "")</f>
        <v/>
      </c>
      <c r="J276" s="1173"/>
      <c r="K276" s="1174"/>
      <c r="L276" s="50"/>
      <c r="M276" s="50"/>
      <c r="N276" s="50"/>
      <c r="O276" s="50"/>
      <c r="P276" s="50"/>
      <c r="Q276" s="50"/>
      <c r="R276" s="50"/>
      <c r="S276" s="50"/>
    </row>
    <row r="277" spans="1:19" ht="16.5" customHeight="1" thickTop="1" thickBot="1">
      <c r="A277" s="1437" t="s">
        <v>444</v>
      </c>
      <c r="B277" s="1438"/>
      <c r="C277" s="1438"/>
      <c r="D277" s="1438"/>
      <c r="E277" s="1439"/>
      <c r="F277" s="236"/>
      <c r="G277" s="237"/>
      <c r="H277" s="237"/>
      <c r="I277" s="1166" t="str">
        <f>IF(F277 = "Y", G277 * H277, "")</f>
        <v/>
      </c>
      <c r="J277" s="1167"/>
      <c r="K277" s="1168"/>
      <c r="L277" s="50"/>
      <c r="M277" s="50"/>
      <c r="N277" s="53"/>
      <c r="O277" s="50"/>
      <c r="P277" s="50"/>
      <c r="Q277" s="50"/>
      <c r="R277" s="50"/>
      <c r="S277" s="50"/>
    </row>
    <row r="278" spans="1:19" ht="15" thickBot="1">
      <c r="A278" s="1190" t="s">
        <v>466</v>
      </c>
      <c r="B278" s="1191"/>
      <c r="C278" s="1191"/>
      <c r="D278" s="1191"/>
      <c r="E278" s="1192"/>
      <c r="F278" s="238"/>
      <c r="G278" s="1184"/>
      <c r="H278" s="1185"/>
      <c r="I278" s="1185"/>
      <c r="J278" s="1185"/>
      <c r="K278" s="1101"/>
      <c r="L278" s="50"/>
      <c r="M278" s="50"/>
      <c r="N278" s="50"/>
      <c r="O278" s="50"/>
      <c r="P278" s="50"/>
      <c r="Q278" s="50"/>
      <c r="R278" s="50"/>
      <c r="S278" s="50"/>
    </row>
    <row r="279" spans="1:19" ht="15.75" customHeight="1" thickBot="1">
      <c r="A279" s="1190" t="s">
        <v>467</v>
      </c>
      <c r="B279" s="1191"/>
      <c r="C279" s="1191"/>
      <c r="D279" s="1191"/>
      <c r="E279" s="1192"/>
      <c r="F279" s="238"/>
      <c r="G279" s="1186"/>
      <c r="H279" s="1187"/>
      <c r="I279" s="1187"/>
      <c r="J279" s="1187"/>
      <c r="K279" s="1072"/>
      <c r="L279" s="50"/>
      <c r="M279" s="50"/>
      <c r="N279" s="50"/>
      <c r="O279" s="50"/>
      <c r="P279" s="50"/>
      <c r="Q279" s="50"/>
      <c r="R279" s="50"/>
      <c r="S279" s="50"/>
    </row>
    <row r="280" spans="1:19" ht="15.75" customHeight="1" thickBot="1">
      <c r="A280" s="1190" t="s">
        <v>468</v>
      </c>
      <c r="B280" s="1191"/>
      <c r="C280" s="1191"/>
      <c r="D280" s="1191"/>
      <c r="E280" s="1192"/>
      <c r="F280" s="238"/>
      <c r="G280" s="1186"/>
      <c r="H280" s="1187"/>
      <c r="I280" s="1187"/>
      <c r="J280" s="1187"/>
      <c r="K280" s="1072"/>
      <c r="L280" s="50"/>
      <c r="M280" s="50"/>
      <c r="N280" s="50"/>
      <c r="O280" s="50"/>
      <c r="P280" s="50"/>
      <c r="Q280" s="50"/>
      <c r="R280" s="50"/>
      <c r="S280" s="50"/>
    </row>
    <row r="281" spans="1:19" ht="15" thickBot="1">
      <c r="A281" s="1175" t="s">
        <v>465</v>
      </c>
      <c r="B281" s="1176"/>
      <c r="C281" s="1176"/>
      <c r="D281" s="1176"/>
      <c r="E281" s="1177"/>
      <c r="F281" s="238"/>
      <c r="G281" s="1186"/>
      <c r="H281" s="1187"/>
      <c r="I281" s="1187"/>
      <c r="J281" s="1187"/>
      <c r="K281" s="1072"/>
      <c r="L281" s="50"/>
      <c r="M281" s="50"/>
      <c r="N281" s="50"/>
      <c r="O281" s="50"/>
      <c r="P281" s="50"/>
      <c r="Q281" s="50"/>
      <c r="R281" s="50"/>
      <c r="S281" s="50"/>
    </row>
    <row r="282" spans="1:19" ht="15" thickBot="1">
      <c r="A282" s="1190" t="s">
        <v>464</v>
      </c>
      <c r="B282" s="1191"/>
      <c r="C282" s="1191"/>
      <c r="D282" s="1191"/>
      <c r="E282" s="1192"/>
      <c r="F282" s="238"/>
      <c r="G282" s="1186"/>
      <c r="H282" s="1187"/>
      <c r="I282" s="1187"/>
      <c r="J282" s="1187"/>
      <c r="K282" s="1072"/>
      <c r="L282" s="50"/>
      <c r="M282" s="50"/>
      <c r="N282" s="50"/>
      <c r="O282" s="50"/>
      <c r="P282" s="50"/>
      <c r="Q282" s="50"/>
      <c r="R282" s="50"/>
      <c r="S282" s="50"/>
    </row>
    <row r="283" spans="1:19" ht="15" thickBot="1">
      <c r="A283" s="1190" t="s">
        <v>463</v>
      </c>
      <c r="B283" s="1191"/>
      <c r="C283" s="1191"/>
      <c r="D283" s="1191"/>
      <c r="E283" s="1192"/>
      <c r="F283" s="238"/>
      <c r="G283" s="1186"/>
      <c r="H283" s="1187"/>
      <c r="I283" s="1187"/>
      <c r="J283" s="1187"/>
      <c r="K283" s="1072"/>
      <c r="L283" s="50"/>
      <c r="M283" s="50"/>
      <c r="N283" s="50"/>
      <c r="O283" s="50"/>
      <c r="P283" s="50"/>
      <c r="Q283" s="50"/>
      <c r="R283" s="50"/>
      <c r="S283" s="50"/>
    </row>
    <row r="284" spans="1:19" ht="15" thickBot="1">
      <c r="A284" s="1190" t="s">
        <v>462</v>
      </c>
      <c r="B284" s="1191"/>
      <c r="C284" s="1191"/>
      <c r="D284" s="1191"/>
      <c r="E284" s="1192"/>
      <c r="F284" s="239"/>
      <c r="G284" s="1188"/>
      <c r="H284" s="1189"/>
      <c r="I284" s="1189"/>
      <c r="J284" s="1189"/>
      <c r="K284" s="1103"/>
      <c r="L284" s="50"/>
      <c r="M284" s="50"/>
      <c r="N284" s="50"/>
      <c r="O284" s="50"/>
      <c r="P284" s="50"/>
      <c r="Q284" s="50"/>
      <c r="R284" s="50"/>
      <c r="S284" s="50"/>
    </row>
    <row r="285" spans="1:19" s="55" customFormat="1" ht="17.25" customHeight="1" thickTop="1" thickBot="1">
      <c r="A285" s="1151" t="s">
        <v>445</v>
      </c>
      <c r="B285" s="1152"/>
      <c r="C285" s="1152"/>
      <c r="D285" s="1152"/>
      <c r="E285" s="1152"/>
      <c r="F285" s="1152"/>
      <c r="G285" s="1152"/>
      <c r="H285" s="1152"/>
      <c r="I285" s="1152"/>
      <c r="J285" s="1434">
        <f>SUM(I274:I278)</f>
        <v>0</v>
      </c>
      <c r="K285" s="1435"/>
      <c r="L285" s="54"/>
      <c r="M285" s="54"/>
      <c r="N285" s="54"/>
      <c r="O285" s="54"/>
      <c r="P285" s="54"/>
      <c r="Q285" s="54"/>
      <c r="R285" s="54"/>
      <c r="S285" s="54"/>
    </row>
    <row r="286" spans="1:19" s="284" customFormat="1" ht="14" thickTop="1" thickBot="1">
      <c r="A286" s="1151" t="s">
        <v>1466</v>
      </c>
      <c r="B286" s="1152"/>
      <c r="C286" s="1152"/>
      <c r="D286" s="1152"/>
      <c r="E286" s="1152"/>
      <c r="F286" s="1152"/>
      <c r="G286" s="1152"/>
      <c r="H286" s="1152"/>
      <c r="I286" s="1153"/>
      <c r="J286" s="1149"/>
      <c r="K286" s="1150"/>
    </row>
    <row r="287" spans="1:19" ht="16.5" customHeight="1" thickTop="1" thickBot="1">
      <c r="A287" s="1154" t="s">
        <v>446</v>
      </c>
      <c r="B287" s="1155"/>
      <c r="C287" s="1155"/>
      <c r="D287" s="1155"/>
      <c r="E287" s="1155"/>
      <c r="F287" s="1155"/>
      <c r="G287" s="1155"/>
      <c r="H287" s="1155"/>
      <c r="I287" s="1155"/>
      <c r="J287" s="1155"/>
      <c r="K287" s="1156"/>
      <c r="L287" s="54"/>
      <c r="M287" s="54"/>
      <c r="N287" s="54"/>
      <c r="O287" s="54"/>
      <c r="P287" s="54"/>
      <c r="Q287" s="54"/>
      <c r="R287" s="54"/>
      <c r="S287" s="54"/>
    </row>
    <row r="288" spans="1:19" ht="15.75" customHeight="1" thickTop="1">
      <c r="A288" s="1137" t="s">
        <v>447</v>
      </c>
      <c r="B288" s="1138"/>
      <c r="C288" s="1138"/>
      <c r="D288" s="1138"/>
      <c r="E288" s="1138"/>
      <c r="F288" s="1138"/>
      <c r="G288" s="1138"/>
      <c r="H288" s="1138"/>
      <c r="I288" s="1139"/>
      <c r="J288" s="1193">
        <f>J285 / 2</f>
        <v>0</v>
      </c>
      <c r="K288" s="1194"/>
      <c r="L288" s="54"/>
      <c r="M288" s="54"/>
      <c r="N288" s="54"/>
      <c r="O288" s="54"/>
      <c r="P288" s="54"/>
      <c r="Q288" s="54"/>
      <c r="R288" s="54"/>
      <c r="S288" s="54"/>
    </row>
    <row r="289" spans="1:19" ht="15" customHeight="1">
      <c r="A289" s="1199" t="s">
        <v>448</v>
      </c>
      <c r="B289" s="1200"/>
      <c r="C289" s="1200"/>
      <c r="D289" s="1200"/>
      <c r="E289" s="1200"/>
      <c r="F289" s="1200"/>
      <c r="G289" s="1200"/>
      <c r="H289" s="1200"/>
      <c r="I289" s="1201"/>
      <c r="J289" s="1195"/>
      <c r="K289" s="1196"/>
      <c r="L289" s="54"/>
      <c r="M289" s="54"/>
      <c r="N289" s="54"/>
      <c r="O289" s="54"/>
      <c r="P289" s="54"/>
      <c r="Q289" s="54"/>
      <c r="R289" s="54"/>
      <c r="S289" s="54"/>
    </row>
    <row r="290" spans="1:19" ht="26.25" customHeight="1" thickBot="1">
      <c r="A290" s="1202" t="s">
        <v>449</v>
      </c>
      <c r="B290" s="1203"/>
      <c r="C290" s="1203"/>
      <c r="D290" s="1203"/>
      <c r="E290" s="1203"/>
      <c r="F290" s="1203"/>
      <c r="G290" s="1203"/>
      <c r="H290" s="1203"/>
      <c r="I290" s="1204"/>
      <c r="J290" s="1197"/>
      <c r="K290" s="1198"/>
      <c r="L290" s="54"/>
      <c r="M290" s="54"/>
      <c r="N290" s="54"/>
      <c r="O290" s="54"/>
      <c r="P290" s="54"/>
      <c r="Q290" s="54"/>
      <c r="R290" s="54"/>
      <c r="S290" s="54"/>
    </row>
    <row r="291" spans="1:19" ht="16.5" customHeight="1" thickTop="1" thickBot="1">
      <c r="A291" s="1137" t="s">
        <v>450</v>
      </c>
      <c r="B291" s="1138"/>
      <c r="C291" s="1138"/>
      <c r="D291" s="1138"/>
      <c r="E291" s="1138"/>
      <c r="F291" s="1138"/>
      <c r="G291" s="1138"/>
      <c r="H291" s="1138"/>
      <c r="I291" s="1139"/>
      <c r="J291" s="1140" t="str">
        <f>J302</f>
        <v/>
      </c>
      <c r="K291" s="1141"/>
      <c r="L291" s="57"/>
      <c r="M291" s="54"/>
      <c r="N291" s="54"/>
      <c r="O291" s="54"/>
      <c r="P291" s="54"/>
      <c r="Q291" s="54"/>
      <c r="R291" s="54"/>
      <c r="S291" s="54"/>
    </row>
    <row r="292" spans="1:19" ht="16.5" customHeight="1" thickTop="1" thickBot="1">
      <c r="A292" s="1137" t="s">
        <v>451</v>
      </c>
      <c r="B292" s="1138"/>
      <c r="C292" s="1138"/>
      <c r="D292" s="1138"/>
      <c r="E292" s="1138"/>
      <c r="F292" s="1138"/>
      <c r="G292" s="1138"/>
      <c r="H292" s="1138"/>
      <c r="I292" s="1139"/>
      <c r="J292" s="1140" t="str">
        <f>IF(J291="","", J288+J291)</f>
        <v/>
      </c>
      <c r="K292" s="1141"/>
      <c r="L292" s="57"/>
      <c r="M292" s="54"/>
      <c r="N292" s="54"/>
      <c r="O292" s="54"/>
      <c r="P292" s="54"/>
      <c r="Q292" s="54"/>
      <c r="R292" s="54"/>
      <c r="S292" s="54"/>
    </row>
    <row r="293" spans="1:19" ht="16.5" customHeight="1" thickTop="1" thickBot="1">
      <c r="A293" s="1154" t="s">
        <v>452</v>
      </c>
      <c r="B293" s="1155"/>
      <c r="C293" s="1155"/>
      <c r="D293" s="1155"/>
      <c r="E293" s="1155"/>
      <c r="F293" s="1155"/>
      <c r="G293" s="1155"/>
      <c r="H293" s="1155"/>
      <c r="I293" s="1155"/>
      <c r="J293" s="1155"/>
      <c r="K293" s="1156"/>
      <c r="L293" s="54"/>
      <c r="M293" s="54"/>
      <c r="N293" s="54"/>
      <c r="O293" s="54"/>
      <c r="P293" s="54"/>
      <c r="Q293" s="54"/>
      <c r="R293" s="54"/>
      <c r="S293" s="54"/>
    </row>
    <row r="294" spans="1:19" ht="27" customHeight="1" thickTop="1" thickBot="1">
      <c r="A294" s="1440" t="s">
        <v>453</v>
      </c>
      <c r="B294" s="1441"/>
      <c r="C294" s="1441"/>
      <c r="D294" s="1441"/>
      <c r="E294" s="1182"/>
      <c r="F294" s="1181" t="s">
        <v>454</v>
      </c>
      <c r="G294" s="1182"/>
      <c r="H294" s="1181" t="s">
        <v>455</v>
      </c>
      <c r="I294" s="1182"/>
      <c r="J294" s="1181" t="s">
        <v>456</v>
      </c>
      <c r="K294" s="1183"/>
      <c r="L294" s="54"/>
      <c r="M294" s="54"/>
      <c r="N294" s="54"/>
      <c r="O294" s="54"/>
      <c r="P294" s="54"/>
      <c r="Q294" s="54"/>
      <c r="R294" s="54"/>
      <c r="S294" s="54"/>
    </row>
    <row r="295" spans="1:19" ht="15.5" thickTop="1" thickBot="1">
      <c r="A295" s="1157"/>
      <c r="B295" s="1158"/>
      <c r="C295" s="1158"/>
      <c r="D295" s="1158"/>
      <c r="E295" s="1158"/>
      <c r="F295" s="1159"/>
      <c r="G295" s="1159"/>
      <c r="H295" s="1159"/>
      <c r="I295" s="1159"/>
      <c r="J295" s="1160" t="str">
        <f>IF(F295 * H295 &gt; 0, F295 * H295,"")</f>
        <v/>
      </c>
      <c r="K295" s="1161"/>
      <c r="L295" s="54"/>
      <c r="M295" s="54"/>
      <c r="N295" s="54"/>
      <c r="O295" s="54"/>
      <c r="P295" s="54"/>
      <c r="Q295" s="54"/>
      <c r="R295" s="54"/>
      <c r="S295" s="54"/>
    </row>
    <row r="296" spans="1:19" ht="15" thickBot="1">
      <c r="A296" s="1133"/>
      <c r="B296" s="980"/>
      <c r="C296" s="980"/>
      <c r="D296" s="980"/>
      <c r="E296" s="980"/>
      <c r="F296" s="1134"/>
      <c r="G296" s="1134"/>
      <c r="H296" s="1134"/>
      <c r="I296" s="1134"/>
      <c r="J296" s="1135" t="str">
        <f>IF(F296 * H296 &gt; 0, F296 * H296,"")</f>
        <v/>
      </c>
      <c r="K296" s="1136"/>
      <c r="L296" s="54"/>
      <c r="M296" s="54"/>
      <c r="N296" s="54"/>
      <c r="O296" s="54"/>
      <c r="P296" s="54"/>
      <c r="Q296" s="54"/>
      <c r="R296" s="54"/>
      <c r="S296" s="54"/>
    </row>
    <row r="297" spans="1:19" ht="15" thickBot="1">
      <c r="A297" s="1133"/>
      <c r="B297" s="980"/>
      <c r="C297" s="980"/>
      <c r="D297" s="980"/>
      <c r="E297" s="980"/>
      <c r="F297" s="1134"/>
      <c r="G297" s="1134"/>
      <c r="H297" s="1134"/>
      <c r="I297" s="1134"/>
      <c r="J297" s="1135" t="str">
        <f>IF(F297 * H297 &gt; 0, F297 * H297,"")</f>
        <v/>
      </c>
      <c r="K297" s="1136"/>
      <c r="L297" s="54"/>
      <c r="M297" s="54"/>
      <c r="N297" s="54"/>
      <c r="O297" s="54"/>
      <c r="P297" s="54"/>
      <c r="Q297" s="54"/>
      <c r="R297" s="54"/>
      <c r="S297" s="54"/>
    </row>
    <row r="298" spans="1:19" ht="15" thickBot="1">
      <c r="A298" s="1133"/>
      <c r="B298" s="980"/>
      <c r="C298" s="980"/>
      <c r="D298" s="980"/>
      <c r="E298" s="980"/>
      <c r="F298" s="1134"/>
      <c r="G298" s="1134"/>
      <c r="H298" s="1134"/>
      <c r="I298" s="1134"/>
      <c r="J298" s="1135" t="str">
        <f>IF(F298 * H298 &gt; 0, F298 * H298,"")</f>
        <v/>
      </c>
      <c r="K298" s="1136"/>
      <c r="L298" s="54"/>
      <c r="M298" s="54"/>
      <c r="N298" s="54"/>
      <c r="O298" s="54"/>
      <c r="P298" s="54"/>
      <c r="Q298" s="54"/>
      <c r="R298" s="54"/>
      <c r="S298" s="54"/>
    </row>
    <row r="299" spans="1:19" ht="15" thickBot="1">
      <c r="A299" s="1147"/>
      <c r="B299" s="1148"/>
      <c r="C299" s="1148"/>
      <c r="D299" s="1148"/>
      <c r="E299" s="1148"/>
      <c r="F299" s="1428"/>
      <c r="G299" s="1428"/>
      <c r="H299" s="1428"/>
      <c r="I299" s="1428"/>
      <c r="J299" s="1429" t="str">
        <f>IF(F299 * H299 &gt; 0, F299 * H299,"")</f>
        <v/>
      </c>
      <c r="K299" s="1430"/>
      <c r="L299" s="54"/>
      <c r="M299" s="54"/>
      <c r="N299" s="54"/>
      <c r="O299" s="54"/>
      <c r="P299" s="54"/>
      <c r="Q299" s="54"/>
      <c r="R299" s="54"/>
      <c r="S299" s="54"/>
    </row>
    <row r="300" spans="1:19" ht="16.5" customHeight="1" thickTop="1" thickBot="1">
      <c r="A300" s="1137" t="s">
        <v>457</v>
      </c>
      <c r="B300" s="1138"/>
      <c r="C300" s="1138"/>
      <c r="D300" s="1138"/>
      <c r="E300" s="1138"/>
      <c r="F300" s="1138"/>
      <c r="G300" s="1138"/>
      <c r="H300" s="1138"/>
      <c r="I300" s="1139"/>
      <c r="J300" s="1140">
        <f>SUM(J295:J299)</f>
        <v>0</v>
      </c>
      <c r="K300" s="1141"/>
      <c r="L300" s="54"/>
      <c r="M300" s="54"/>
      <c r="N300" s="54"/>
      <c r="O300" s="54"/>
      <c r="P300" s="54"/>
      <c r="Q300" s="54"/>
      <c r="R300" s="54"/>
      <c r="S300" s="54"/>
    </row>
    <row r="301" spans="1:19" ht="16.5" customHeight="1" thickTop="1" thickBot="1">
      <c r="A301" s="1137" t="s">
        <v>458</v>
      </c>
      <c r="B301" s="1138"/>
      <c r="C301" s="1138"/>
      <c r="D301" s="1138"/>
      <c r="E301" s="1138"/>
      <c r="F301" s="1138"/>
      <c r="G301" s="1138"/>
      <c r="H301" s="1138"/>
      <c r="I301" s="1139"/>
      <c r="J301" s="1142"/>
      <c r="K301" s="1143"/>
      <c r="L301" s="54"/>
      <c r="M301" s="54"/>
      <c r="N301" s="54"/>
      <c r="O301" s="54"/>
      <c r="P301" s="54"/>
      <c r="Q301" s="54"/>
      <c r="R301" s="54"/>
      <c r="S301" s="54"/>
    </row>
    <row r="302" spans="1:19" ht="16.5" customHeight="1" thickTop="1" thickBot="1">
      <c r="A302" s="1144" t="s">
        <v>459</v>
      </c>
      <c r="B302" s="1145"/>
      <c r="C302" s="1145"/>
      <c r="D302" s="1145"/>
      <c r="E302" s="1145"/>
      <c r="F302" s="1145"/>
      <c r="G302" s="1145"/>
      <c r="H302" s="1145"/>
      <c r="I302" s="1146"/>
      <c r="J302" s="1140" t="str">
        <f>IF(J301 = "", "", IF(J300 = 0, 0, J300 / J301))</f>
        <v/>
      </c>
      <c r="K302" s="1141"/>
      <c r="L302" s="54"/>
      <c r="M302" s="54"/>
      <c r="N302" s="54"/>
      <c r="O302" s="54"/>
      <c r="P302" s="54"/>
      <c r="Q302" s="54"/>
      <c r="R302" s="54"/>
      <c r="S302" s="54"/>
    </row>
    <row r="303" spans="1:19" ht="16.5" customHeight="1" thickTop="1" thickBot="1">
      <c r="A303" s="1060" t="s">
        <v>1239</v>
      </c>
      <c r="B303" s="1061"/>
      <c r="C303" s="1061"/>
      <c r="D303" s="1061"/>
      <c r="E303" s="1061"/>
      <c r="F303" s="1061"/>
      <c r="G303" s="1061"/>
      <c r="H303" s="1061"/>
      <c r="I303" s="1061"/>
      <c r="J303" s="1061"/>
      <c r="K303" s="1062"/>
      <c r="L303" s="48"/>
      <c r="M303" s="56"/>
      <c r="N303" s="56"/>
      <c r="O303" s="56"/>
      <c r="P303" s="56"/>
      <c r="Q303" s="56"/>
      <c r="R303" s="56"/>
      <c r="S303" s="56"/>
    </row>
    <row r="304" spans="1:19" ht="27" customHeight="1" thickTop="1" thickBot="1">
      <c r="A304" s="1431" t="s">
        <v>469</v>
      </c>
      <c r="B304" s="1432"/>
      <c r="C304" s="1432"/>
      <c r="D304" s="1432"/>
      <c r="E304" s="1432"/>
      <c r="F304" s="1432"/>
      <c r="G304" s="1432"/>
      <c r="H304" s="1432"/>
      <c r="I304" s="1433"/>
      <c r="J304" s="1067"/>
      <c r="K304" s="515"/>
      <c r="L304" s="215"/>
      <c r="M304" s="56"/>
      <c r="N304" s="56"/>
      <c r="O304" s="56"/>
      <c r="P304" s="56"/>
      <c r="Q304" s="56"/>
      <c r="R304" s="56"/>
      <c r="S304" s="56"/>
    </row>
    <row r="305" spans="1:19" ht="28.5" customHeight="1" thickBot="1">
      <c r="A305" s="1122" t="s">
        <v>470</v>
      </c>
      <c r="B305" s="1123"/>
      <c r="C305" s="1123"/>
      <c r="D305" s="1123"/>
      <c r="E305" s="1123"/>
      <c r="F305" s="1123"/>
      <c r="G305" s="1123"/>
      <c r="H305" s="1123"/>
      <c r="I305" s="1124"/>
      <c r="J305" s="1125"/>
      <c r="K305" s="1126"/>
      <c r="L305" s="149"/>
      <c r="M305" s="56"/>
      <c r="N305" s="56"/>
      <c r="O305" s="56"/>
      <c r="P305" s="56"/>
      <c r="Q305" s="56"/>
      <c r="R305" s="56"/>
      <c r="S305" s="56"/>
    </row>
    <row r="306" spans="1:19" ht="27" customHeight="1" thickBot="1">
      <c r="A306" s="1122" t="s">
        <v>471</v>
      </c>
      <c r="B306" s="1123"/>
      <c r="C306" s="1123"/>
      <c r="D306" s="1123"/>
      <c r="E306" s="1123"/>
      <c r="F306" s="1123"/>
      <c r="G306" s="1123"/>
      <c r="H306" s="1123"/>
      <c r="I306" s="1124"/>
      <c r="J306" s="1113" t="str">
        <f>IF(Std11dot1dNotCalc = "", "", IF(Std11dot1dNotCalc = "N", "NA", IF(COUNTBLANK(F274:F284) &gt; 0, "", IF(COUNTIF(F274:F284, "N") &gt; 0, "N", "Y"))))</f>
        <v/>
      </c>
      <c r="K306" s="1114"/>
      <c r="L306" s="149"/>
      <c r="M306" s="56"/>
      <c r="N306" s="56"/>
      <c r="O306" s="56"/>
      <c r="P306" s="56"/>
      <c r="Q306" s="56"/>
      <c r="R306" s="56"/>
      <c r="S306" s="56"/>
    </row>
    <row r="307" spans="1:19" ht="27" customHeight="1" thickBot="1">
      <c r="A307" s="1122" t="s">
        <v>472</v>
      </c>
      <c r="B307" s="1123"/>
      <c r="C307" s="1123"/>
      <c r="D307" s="1123"/>
      <c r="E307" s="1123"/>
      <c r="F307" s="1123"/>
      <c r="G307" s="1123"/>
      <c r="H307" s="1123"/>
      <c r="I307" s="1124"/>
      <c r="J307" s="1113" t="str">
        <f>IF(Std11dot1AptGrandFthr="Y","NA",IF(Std11dot1dNotCalc = "", "", IF(Std11dot1dNotCalc = "N", "NA", IF(J285 &lt; 220, "N", "Y"))))</f>
        <v/>
      </c>
      <c r="K307" s="1114"/>
      <c r="L307" s="149"/>
      <c r="M307" s="56"/>
      <c r="N307" s="56"/>
      <c r="O307" s="56"/>
      <c r="P307" s="56"/>
      <c r="Q307" s="56"/>
      <c r="R307" s="56"/>
      <c r="S307" s="56"/>
    </row>
    <row r="308" spans="1:19" ht="27" customHeight="1" thickBot="1">
      <c r="A308" s="1122" t="s">
        <v>473</v>
      </c>
      <c r="B308" s="1123"/>
      <c r="C308" s="1123"/>
      <c r="D308" s="1123"/>
      <c r="E308" s="1123"/>
      <c r="F308" s="1123"/>
      <c r="G308" s="1123"/>
      <c r="H308" s="1123"/>
      <c r="I308" s="1124"/>
      <c r="J308" s="1051" t="str">
        <f>IF(Std11dot1dNotCalc = "", "", IF(Std11dot1dNotCalc = "N", "NA", IF(COUNTIF(F278:F280, "") &gt; 0, "", IF(COUNTIF(F278:F280, "N") &gt; 0, "N", "Y"))))</f>
        <v/>
      </c>
      <c r="K308" s="1052"/>
      <c r="L308" s="150"/>
      <c r="M308" s="56"/>
      <c r="N308" s="56"/>
      <c r="O308" s="56"/>
      <c r="P308" s="56"/>
      <c r="Q308" s="56"/>
      <c r="R308" s="56"/>
      <c r="S308" s="56"/>
    </row>
    <row r="309" spans="1:19" ht="15" customHeight="1">
      <c r="A309" s="1048" t="s">
        <v>474</v>
      </c>
      <c r="B309" s="1049"/>
      <c r="C309" s="1049"/>
      <c r="D309" s="1049"/>
      <c r="E309" s="1049"/>
      <c r="F309" s="1049"/>
      <c r="G309" s="1049"/>
      <c r="H309" s="1049"/>
      <c r="I309" s="1050"/>
      <c r="J309" s="1051" t="str">
        <f>IF(Std11dot1dNotCalc = "", "", IF(Std11dot1dNotCalc = "N", "NA", IF(COUNTIF(F282:F284, "") &gt; 0, "", IF(COUNTIF(F282:F284, "N") &gt; 0, "N", "Y"))))</f>
        <v/>
      </c>
      <c r="K309" s="1129"/>
      <c r="L309" s="150"/>
      <c r="M309" s="56"/>
      <c r="N309" s="56"/>
      <c r="O309" s="56"/>
      <c r="P309" s="56"/>
      <c r="Q309" s="56"/>
      <c r="R309" s="56"/>
    </row>
    <row r="310" spans="1:19">
      <c r="A310" s="710" t="s">
        <v>475</v>
      </c>
      <c r="B310" s="711"/>
      <c r="C310" s="711"/>
      <c r="D310" s="711"/>
      <c r="E310" s="711"/>
      <c r="F310" s="711"/>
      <c r="G310" s="711"/>
      <c r="H310" s="711"/>
      <c r="I310" s="712"/>
      <c r="J310" s="1130"/>
      <c r="K310" s="1131"/>
      <c r="L310" s="150"/>
      <c r="M310" s="56"/>
      <c r="N310" s="56"/>
      <c r="O310" s="56"/>
      <c r="P310" s="56"/>
      <c r="Q310" s="56"/>
      <c r="R310" s="56"/>
    </row>
    <row r="311" spans="1:19" ht="15" customHeight="1">
      <c r="A311" s="710" t="s">
        <v>476</v>
      </c>
      <c r="B311" s="711"/>
      <c r="C311" s="711"/>
      <c r="D311" s="711"/>
      <c r="E311" s="711"/>
      <c r="F311" s="711"/>
      <c r="G311" s="711"/>
      <c r="H311" s="711"/>
      <c r="I311" s="711"/>
      <c r="J311" s="1130"/>
      <c r="K311" s="1131"/>
      <c r="L311" s="150"/>
      <c r="M311" s="56"/>
      <c r="N311" s="56"/>
      <c r="O311" s="56"/>
      <c r="P311" s="56"/>
      <c r="Q311" s="56"/>
      <c r="R311" s="56"/>
    </row>
    <row r="312" spans="1:19" ht="15" thickBot="1">
      <c r="A312" s="710" t="s">
        <v>477</v>
      </c>
      <c r="B312" s="711"/>
      <c r="C312" s="711"/>
      <c r="D312" s="711"/>
      <c r="E312" s="711"/>
      <c r="F312" s="711"/>
      <c r="G312" s="711"/>
      <c r="H312" s="711"/>
      <c r="I312" s="711"/>
      <c r="J312" s="1130"/>
      <c r="K312" s="1131"/>
      <c r="L312" s="150"/>
      <c r="M312" s="56"/>
      <c r="N312" s="56"/>
      <c r="O312" s="56"/>
      <c r="P312" s="56"/>
      <c r="Q312" s="56"/>
      <c r="R312" s="56"/>
    </row>
    <row r="313" spans="1:19" ht="30" customHeight="1" thickBot="1">
      <c r="A313" s="1057" t="s">
        <v>1371</v>
      </c>
      <c r="B313" s="1058"/>
      <c r="C313" s="1058"/>
      <c r="D313" s="1058"/>
      <c r="E313" s="1058"/>
      <c r="F313" s="1058"/>
      <c r="G313" s="1058"/>
      <c r="H313" s="1058"/>
      <c r="I313" s="1059"/>
      <c r="J313" s="775"/>
      <c r="K313" s="695"/>
      <c r="L313" s="150"/>
      <c r="M313" s="56"/>
      <c r="N313" s="56"/>
      <c r="O313" s="56"/>
      <c r="P313" s="56"/>
      <c r="Q313" s="56"/>
      <c r="R313" s="56"/>
    </row>
    <row r="314" spans="1:19" ht="16.5" customHeight="1" thickTop="1" thickBot="1">
      <c r="A314" s="1060" t="s">
        <v>478</v>
      </c>
      <c r="B314" s="1132"/>
      <c r="C314" s="1132"/>
      <c r="D314" s="1132"/>
      <c r="E314" s="1132"/>
      <c r="F314" s="1132"/>
      <c r="G314" s="1132"/>
      <c r="H314" s="1132"/>
      <c r="I314" s="1132"/>
      <c r="J314" s="1132"/>
      <c r="K314" s="781"/>
      <c r="L314" s="150"/>
      <c r="M314" s="56"/>
      <c r="N314" s="56"/>
      <c r="O314" s="56"/>
      <c r="P314" s="56"/>
      <c r="Q314" s="56"/>
      <c r="R314" s="56"/>
    </row>
    <row r="315" spans="1:19" ht="27" customHeight="1" thickTop="1" thickBot="1">
      <c r="A315" s="1431" t="s">
        <v>479</v>
      </c>
      <c r="B315" s="1432"/>
      <c r="C315" s="1432"/>
      <c r="D315" s="1432"/>
      <c r="E315" s="1432"/>
      <c r="F315" s="1432"/>
      <c r="G315" s="1432"/>
      <c r="H315" s="1432"/>
      <c r="I315" s="1433"/>
      <c r="J315" s="1113" t="str">
        <f>IF(Std11dot1eNotCalc = "", "", IF(Std11dot1eNotCalc = "N", "NA", IF(OR(COUNTIF(F274:F277, "") &gt; 0, F281 = ""), "", IF(OR(COUNTIF(F274:F277, "N") &gt; 0, F281 = "N"), "N", "Y"))))</f>
        <v/>
      </c>
      <c r="K315" s="1114"/>
      <c r="L315" s="215"/>
      <c r="M315" s="56"/>
      <c r="N315" s="56"/>
      <c r="O315" s="56"/>
      <c r="P315" s="56"/>
      <c r="Q315" s="56"/>
      <c r="R315" s="56"/>
      <c r="S315" s="56"/>
    </row>
    <row r="316" spans="1:19" ht="28.5" customHeight="1" thickBot="1">
      <c r="A316" s="1122" t="s">
        <v>480</v>
      </c>
      <c r="B316" s="1123"/>
      <c r="C316" s="1123"/>
      <c r="D316" s="1123"/>
      <c r="E316" s="1123"/>
      <c r="F316" s="1123"/>
      <c r="G316" s="1123"/>
      <c r="H316" s="1123"/>
      <c r="I316" s="1124"/>
      <c r="J316" s="1113" t="str">
        <f>IF(Std11dot1eNotCalc = "", "", IF(Std11dot1eNotCalc = "N", "NA", IF(Std11dot1TotalPrivateSpace = 0, "", IF(Std11dot1TotalSquareFootagePerResident &lt; 350, "N", "Y"))))</f>
        <v/>
      </c>
      <c r="K316" s="1114"/>
      <c r="L316" s="48"/>
      <c r="M316" s="56"/>
      <c r="N316" s="56"/>
      <c r="O316" s="56"/>
      <c r="P316" s="56"/>
      <c r="Q316" s="56"/>
      <c r="R316" s="56"/>
      <c r="S316" s="56"/>
    </row>
    <row r="317" spans="1:19" ht="27" customHeight="1" thickBot="1">
      <c r="A317" s="1122" t="s">
        <v>481</v>
      </c>
      <c r="B317" s="1123"/>
      <c r="C317" s="1123"/>
      <c r="D317" s="1123"/>
      <c r="E317" s="1123"/>
      <c r="F317" s="1123"/>
      <c r="G317" s="1123"/>
      <c r="H317" s="1123"/>
      <c r="I317" s="1124"/>
      <c r="J317" s="1113" t="str">
        <f>IF(Std11dot1eNotCalc = "", "", IF(Std11dot1eNotCalc = "N", "NA", IF(COUNTIF(F278:F280, "") &gt; 0, "", IF(COUNTIF(F278:F280, "N") &gt; 0, "N", "Y"))))</f>
        <v/>
      </c>
      <c r="K317" s="1114"/>
      <c r="L317" s="48"/>
      <c r="M317" s="56"/>
      <c r="N317" s="56"/>
      <c r="O317" s="56"/>
      <c r="P317" s="56"/>
      <c r="Q317" s="56"/>
      <c r="R317" s="56"/>
      <c r="S317" s="56"/>
    </row>
    <row r="318" spans="1:19" ht="15" customHeight="1">
      <c r="A318" s="1048" t="s">
        <v>482</v>
      </c>
      <c r="B318" s="1049"/>
      <c r="C318" s="1049"/>
      <c r="D318" s="1049"/>
      <c r="E318" s="1049"/>
      <c r="F318" s="1049"/>
      <c r="G318" s="1049"/>
      <c r="H318" s="1049"/>
      <c r="I318" s="1050"/>
      <c r="J318" s="1051" t="str">
        <f>IF(Std11dot1eNotCalc = "", "", IF(Std11dot1eNotCalc = "N", "NA", IF(COUNTIF(F282:F284, "") &gt; 0, "", IF(COUNTIF(F282:F284, "N") &gt; 0, "N", "Y"))))</f>
        <v/>
      </c>
      <c r="K318" s="1052"/>
      <c r="L318" s="56"/>
      <c r="M318" s="56"/>
      <c r="N318" s="56"/>
      <c r="O318" s="56"/>
      <c r="P318" s="56"/>
      <c r="Q318" s="56"/>
      <c r="R318" s="56"/>
    </row>
    <row r="319" spans="1:19">
      <c r="A319" s="710" t="s">
        <v>483</v>
      </c>
      <c r="B319" s="711"/>
      <c r="C319" s="711"/>
      <c r="D319" s="711"/>
      <c r="E319" s="711"/>
      <c r="F319" s="711"/>
      <c r="G319" s="711"/>
      <c r="H319" s="711"/>
      <c r="I319" s="712"/>
      <c r="J319" s="691"/>
      <c r="K319" s="692"/>
      <c r="L319" s="56"/>
      <c r="M319" s="56"/>
      <c r="N319" s="56"/>
      <c r="O319" s="56"/>
      <c r="P319" s="56"/>
      <c r="Q319" s="56"/>
      <c r="R319" s="56"/>
    </row>
    <row r="320" spans="1:19" ht="15" customHeight="1">
      <c r="A320" s="710" t="s">
        <v>476</v>
      </c>
      <c r="B320" s="711"/>
      <c r="C320" s="711"/>
      <c r="D320" s="711"/>
      <c r="E320" s="711"/>
      <c r="F320" s="711"/>
      <c r="G320" s="711"/>
      <c r="H320" s="711"/>
      <c r="I320" s="711"/>
      <c r="J320" s="691"/>
      <c r="K320" s="692"/>
      <c r="L320" s="56"/>
      <c r="M320" s="56"/>
      <c r="N320" s="56"/>
      <c r="O320" s="56"/>
      <c r="P320" s="56"/>
      <c r="Q320" s="56"/>
      <c r="R320" s="56"/>
    </row>
    <row r="321" spans="1:19" ht="15" thickBot="1">
      <c r="A321" s="710" t="s">
        <v>477</v>
      </c>
      <c r="B321" s="711"/>
      <c r="C321" s="711"/>
      <c r="D321" s="711"/>
      <c r="E321" s="711"/>
      <c r="F321" s="711"/>
      <c r="G321" s="711"/>
      <c r="H321" s="711"/>
      <c r="I321" s="711"/>
      <c r="J321" s="691"/>
      <c r="K321" s="692"/>
      <c r="L321" s="56"/>
      <c r="M321" s="56"/>
      <c r="N321" s="56"/>
      <c r="O321" s="56"/>
      <c r="P321" s="56"/>
      <c r="Q321" s="56"/>
      <c r="R321" s="56"/>
    </row>
    <row r="322" spans="1:19" ht="26.25" customHeight="1" thickBot="1">
      <c r="A322" s="1057" t="s">
        <v>1372</v>
      </c>
      <c r="B322" s="1058"/>
      <c r="C322" s="1058"/>
      <c r="D322" s="1058"/>
      <c r="E322" s="1058"/>
      <c r="F322" s="1058"/>
      <c r="G322" s="1058"/>
      <c r="H322" s="1058"/>
      <c r="I322" s="1059"/>
      <c r="J322" s="1053"/>
      <c r="K322" s="1054"/>
      <c r="L322" s="56"/>
      <c r="M322" s="56"/>
      <c r="N322" s="56"/>
      <c r="O322" s="56"/>
      <c r="P322" s="56"/>
      <c r="Q322" s="56"/>
      <c r="R322" s="56"/>
    </row>
    <row r="323" spans="1:19" ht="15.5" thickTop="1" thickBot="1">
      <c r="A323" s="1060" t="s">
        <v>1240</v>
      </c>
      <c r="B323" s="1061"/>
      <c r="C323" s="1061"/>
      <c r="D323" s="1061"/>
      <c r="E323" s="1061"/>
      <c r="F323" s="1061"/>
      <c r="G323" s="1061"/>
      <c r="H323" s="1061"/>
      <c r="I323" s="1061"/>
      <c r="J323" s="1061"/>
      <c r="K323" s="1062"/>
      <c r="L323" s="54"/>
      <c r="M323" s="54"/>
      <c r="N323" s="54"/>
      <c r="O323" s="54"/>
      <c r="P323" s="54"/>
      <c r="Q323" s="54"/>
      <c r="R323" s="54"/>
      <c r="S323" s="54"/>
    </row>
    <row r="324" spans="1:19" ht="28.5" customHeight="1" thickTop="1" thickBot="1">
      <c r="A324" s="1122" t="s">
        <v>484</v>
      </c>
      <c r="B324" s="1123"/>
      <c r="C324" s="1123"/>
      <c r="D324" s="1123"/>
      <c r="E324" s="1123"/>
      <c r="F324" s="1123"/>
      <c r="G324" s="1123"/>
      <c r="H324" s="1123"/>
      <c r="I324" s="1124"/>
      <c r="J324" s="1067"/>
      <c r="K324" s="515"/>
      <c r="L324" s="56"/>
      <c r="M324" s="56"/>
      <c r="N324" s="56"/>
      <c r="O324" s="56"/>
      <c r="P324" s="56"/>
      <c r="Q324" s="56"/>
      <c r="R324" s="56"/>
      <c r="S324" s="56"/>
    </row>
    <row r="325" spans="1:19" ht="39" customHeight="1" thickBot="1">
      <c r="A325" s="1057" t="s">
        <v>460</v>
      </c>
      <c r="B325" s="1058"/>
      <c r="C325" s="1058"/>
      <c r="D325" s="1058"/>
      <c r="E325" s="1058"/>
      <c r="F325" s="1058"/>
      <c r="G325" s="1058"/>
      <c r="H325" s="1058"/>
      <c r="I325" s="1059"/>
      <c r="J325" s="967"/>
      <c r="K325" s="517"/>
      <c r="L325" s="49"/>
      <c r="M325" s="50"/>
      <c r="N325" s="50"/>
      <c r="O325" s="50"/>
      <c r="P325" s="50"/>
      <c r="Q325" s="50"/>
      <c r="R325" s="50"/>
      <c r="S325" s="50"/>
    </row>
    <row r="326" spans="1:19" ht="16.5" customHeight="1" thickTop="1">
      <c r="A326" s="909" t="s">
        <v>485</v>
      </c>
      <c r="B326" s="910"/>
      <c r="C326" s="910"/>
      <c r="D326" s="910"/>
      <c r="E326" s="910"/>
      <c r="F326" s="910"/>
      <c r="G326" s="910" t="s">
        <v>327</v>
      </c>
      <c r="H326" s="910" t="s">
        <v>328</v>
      </c>
      <c r="I326" s="910" t="s">
        <v>329</v>
      </c>
      <c r="J326" s="689" t="str">
        <f>IF(Std11dot1aNotCalc="","",IF(Std11dot1aNotCalc="N","NA", IF(Std11dot1bNotCalc = "", "", IF(Std11dot1bNotCalc = "Y", "NA", IF(COUNTBLANK(J304:J325) &gt; 11, "", IF(COUNTIF(J304:J325, "N") &gt; 0, "N", "Y"))))))</f>
        <v/>
      </c>
      <c r="K326" s="690"/>
      <c r="L326" s="147" t="str">
        <f>IF(Std11dot1aNotCalc="","",IF(Std11dot1aNotCalc="N","NA",IF(Std11dot1bNotCalc="","",IF(Std11dot1bNotCalc="Y","NA",IF(COUNTBLANK(J300:J314)&gt;5,"",IF(OR(J320="N",COUNTIF(J300:J314,"N")&gt;0),"N","Y"))))))</f>
        <v/>
      </c>
    </row>
    <row r="327" spans="1:19" ht="15" customHeight="1" thickBot="1">
      <c r="A327" s="1127" t="s">
        <v>1293</v>
      </c>
      <c r="B327" s="1128"/>
      <c r="C327" s="1128"/>
      <c r="D327" s="1128"/>
      <c r="E327" s="1128"/>
      <c r="F327" s="1128"/>
      <c r="G327" s="1128"/>
      <c r="H327" s="1128"/>
      <c r="I327" s="1128"/>
      <c r="J327" s="691"/>
      <c r="K327" s="692"/>
    </row>
    <row r="328" spans="1:19" ht="39" customHeight="1" thickTop="1" thickBot="1">
      <c r="A328" s="445" t="s">
        <v>370</v>
      </c>
      <c r="B328" s="1039" t="s">
        <v>1598</v>
      </c>
      <c r="C328" s="1040"/>
      <c r="D328" s="1040"/>
      <c r="E328" s="1040"/>
      <c r="F328" s="1040"/>
      <c r="G328" s="1040"/>
      <c r="H328" s="1040"/>
      <c r="I328" s="1040"/>
      <c r="J328" s="1040"/>
      <c r="K328" s="1041"/>
    </row>
    <row r="329" spans="1:19" ht="16.5" customHeight="1" thickTop="1">
      <c r="A329" s="909" t="s">
        <v>1378</v>
      </c>
      <c r="B329" s="910"/>
      <c r="C329" s="910"/>
      <c r="D329" s="910"/>
      <c r="E329" s="910"/>
      <c r="F329" s="910"/>
      <c r="G329" s="910"/>
      <c r="H329" s="910"/>
      <c r="I329" s="911"/>
      <c r="J329" s="1063"/>
      <c r="K329" s="1064"/>
    </row>
    <row r="330" spans="1:19">
      <c r="A330" s="1077" t="s">
        <v>1379</v>
      </c>
      <c r="B330" s="1078"/>
      <c r="C330" s="1078"/>
      <c r="D330" s="1078"/>
      <c r="E330" s="1078"/>
      <c r="F330" s="1078"/>
      <c r="G330" s="1078"/>
      <c r="H330" s="1078"/>
      <c r="I330" s="1079"/>
      <c r="J330" s="1065"/>
      <c r="K330" s="1066"/>
    </row>
    <row r="331" spans="1:19" ht="30" customHeight="1">
      <c r="A331" s="656" t="s">
        <v>1473</v>
      </c>
      <c r="B331" s="657"/>
      <c r="C331" s="657"/>
      <c r="D331" s="657"/>
      <c r="E331" s="657"/>
      <c r="F331" s="657"/>
      <c r="G331" s="657"/>
      <c r="H331" s="657"/>
      <c r="I331" s="658"/>
      <c r="J331" s="1065"/>
      <c r="K331" s="1066"/>
    </row>
    <row r="332" spans="1:19" ht="30" customHeight="1">
      <c r="A332" s="656" t="s">
        <v>1474</v>
      </c>
      <c r="B332" s="657"/>
      <c r="C332" s="657"/>
      <c r="D332" s="657"/>
      <c r="E332" s="657"/>
      <c r="F332" s="657"/>
      <c r="G332" s="657"/>
      <c r="H332" s="657"/>
      <c r="I332" s="658"/>
      <c r="J332" s="1065"/>
      <c r="K332" s="1066"/>
    </row>
    <row r="333" spans="1:19" ht="30" customHeight="1">
      <c r="A333" s="656" t="s">
        <v>1475</v>
      </c>
      <c r="B333" s="657"/>
      <c r="C333" s="657"/>
      <c r="D333" s="657"/>
      <c r="E333" s="657"/>
      <c r="F333" s="657"/>
      <c r="G333" s="657"/>
      <c r="H333" s="657"/>
      <c r="I333" s="658"/>
      <c r="J333" s="1065"/>
      <c r="K333" s="1066"/>
    </row>
    <row r="334" spans="1:19" ht="60" customHeight="1" thickBot="1">
      <c r="A334" s="656" t="s">
        <v>1599</v>
      </c>
      <c r="B334" s="657"/>
      <c r="C334" s="657"/>
      <c r="D334" s="657"/>
      <c r="E334" s="657"/>
      <c r="F334" s="657"/>
      <c r="G334" s="657"/>
      <c r="H334" s="657"/>
      <c r="I334" s="658"/>
      <c r="J334" s="1065"/>
      <c r="K334" s="1066"/>
    </row>
    <row r="335" spans="1:19" ht="15" thickTop="1">
      <c r="A335" s="762" t="s">
        <v>308</v>
      </c>
      <c r="B335" s="941"/>
      <c r="C335" s="942"/>
      <c r="D335" s="942"/>
      <c r="E335" s="942"/>
      <c r="F335" s="942"/>
      <c r="G335" s="942"/>
      <c r="H335" s="942"/>
      <c r="I335" s="942"/>
      <c r="J335" s="942"/>
      <c r="K335" s="943"/>
    </row>
    <row r="336" spans="1:19" ht="15" thickBot="1">
      <c r="A336" s="940"/>
      <c r="B336" s="959" t="s">
        <v>1476</v>
      </c>
      <c r="C336" s="960"/>
      <c r="D336" s="960"/>
      <c r="E336" s="960"/>
      <c r="F336" s="960"/>
      <c r="G336" s="960"/>
      <c r="H336" s="960"/>
      <c r="I336" s="960"/>
      <c r="J336" s="960"/>
      <c r="K336" s="961"/>
    </row>
    <row r="337" spans="1:20" ht="47.25" customHeight="1" thickTop="1">
      <c r="A337" s="909" t="s">
        <v>1408</v>
      </c>
      <c r="B337" s="910"/>
      <c r="C337" s="910"/>
      <c r="D337" s="910"/>
      <c r="E337" s="910"/>
      <c r="F337" s="910"/>
      <c r="G337" s="910"/>
      <c r="H337" s="910"/>
      <c r="I337" s="911"/>
      <c r="J337" s="1067"/>
      <c r="K337" s="515"/>
    </row>
    <row r="338" spans="1:20" ht="25.5" customHeight="1">
      <c r="A338" s="656" t="s">
        <v>1477</v>
      </c>
      <c r="B338" s="657"/>
      <c r="C338" s="657"/>
      <c r="D338" s="657"/>
      <c r="E338" s="657"/>
      <c r="F338" s="657"/>
      <c r="G338" s="657"/>
      <c r="H338" s="657"/>
      <c r="I338" s="658"/>
      <c r="J338" s="1068"/>
      <c r="K338" s="516"/>
    </row>
    <row r="339" spans="1:20" ht="38.25" customHeight="1">
      <c r="A339" s="656" t="s">
        <v>1478</v>
      </c>
      <c r="B339" s="657"/>
      <c r="C339" s="657"/>
      <c r="D339" s="657"/>
      <c r="E339" s="657"/>
      <c r="F339" s="657"/>
      <c r="G339" s="657"/>
      <c r="H339" s="657"/>
      <c r="I339" s="658"/>
      <c r="J339" s="1068"/>
      <c r="K339" s="516"/>
    </row>
    <row r="340" spans="1:20" ht="51" customHeight="1">
      <c r="A340" s="656" t="s">
        <v>1479</v>
      </c>
      <c r="B340" s="657"/>
      <c r="C340" s="657"/>
      <c r="D340" s="657"/>
      <c r="E340" s="657"/>
      <c r="F340" s="657"/>
      <c r="G340" s="657"/>
      <c r="H340" s="657"/>
      <c r="I340" s="658"/>
      <c r="J340" s="1068"/>
      <c r="K340" s="516"/>
    </row>
    <row r="341" spans="1:20" ht="75" customHeight="1" thickBot="1">
      <c r="A341" s="959" t="s">
        <v>1600</v>
      </c>
      <c r="B341" s="960"/>
      <c r="C341" s="960"/>
      <c r="D341" s="960"/>
      <c r="E341" s="960"/>
      <c r="F341" s="960"/>
      <c r="G341" s="960"/>
      <c r="H341" s="960"/>
      <c r="I341" s="961"/>
      <c r="J341" s="967"/>
      <c r="K341" s="517"/>
      <c r="L341" s="41"/>
    </row>
    <row r="342" spans="1:20" ht="25.5" customHeight="1" thickTop="1" thickBot="1">
      <c r="A342" s="103" t="s">
        <v>313</v>
      </c>
      <c r="B342" s="1090"/>
      <c r="C342" s="1090"/>
      <c r="D342" s="1090"/>
      <c r="E342" s="1090"/>
      <c r="F342" s="1090"/>
      <c r="G342" s="1090"/>
      <c r="H342" s="1090"/>
      <c r="I342" s="1090"/>
      <c r="J342" s="1090"/>
      <c r="K342" s="1090"/>
      <c r="L342" s="58"/>
      <c r="M342" s="4"/>
    </row>
    <row r="343" spans="1:20" ht="26.25" customHeight="1" thickTop="1">
      <c r="A343" s="656" t="s">
        <v>1409</v>
      </c>
      <c r="B343" s="657"/>
      <c r="C343" s="657"/>
      <c r="D343" s="657"/>
      <c r="E343" s="657"/>
      <c r="F343" s="657"/>
      <c r="G343" s="657"/>
      <c r="H343" s="657"/>
      <c r="I343" s="657"/>
      <c r="J343" s="657"/>
      <c r="K343" s="1024"/>
      <c r="L343" s="58"/>
      <c r="M343" s="4"/>
    </row>
    <row r="344" spans="1:20" ht="15" thickBot="1">
      <c r="A344" s="960" t="s">
        <v>1410</v>
      </c>
      <c r="B344" s="1025"/>
      <c r="C344" s="1025"/>
      <c r="D344" s="1025"/>
      <c r="E344" s="1025"/>
      <c r="F344" s="1025"/>
      <c r="G344" s="1025"/>
      <c r="H344" s="1025"/>
      <c r="I344" s="1025"/>
      <c r="J344" s="1025"/>
      <c r="K344" s="1026"/>
      <c r="L344" s="58"/>
      <c r="M344" s="4"/>
    </row>
    <row r="345" spans="1:20" ht="37.5" customHeight="1" thickTop="1" thickBot="1">
      <c r="A345" s="1069" t="s">
        <v>486</v>
      </c>
      <c r="B345" s="1070"/>
      <c r="C345" s="1073" t="s">
        <v>371</v>
      </c>
      <c r="D345" s="1086" t="s">
        <v>1601</v>
      </c>
      <c r="E345" s="1087"/>
      <c r="F345" s="1069" t="s">
        <v>1228</v>
      </c>
      <c r="G345" s="1070"/>
      <c r="H345" s="1032" t="s">
        <v>1229</v>
      </c>
      <c r="I345" s="1035" t="s">
        <v>1230</v>
      </c>
      <c r="J345" s="1036"/>
      <c r="K345" s="1475" t="s">
        <v>1424</v>
      </c>
      <c r="L345" s="1476"/>
      <c r="M345" s="1069" t="s">
        <v>1425</v>
      </c>
      <c r="N345" s="1481"/>
    </row>
    <row r="346" spans="1:20" ht="53.25" customHeight="1" thickBot="1">
      <c r="A346" s="1071"/>
      <c r="B346" s="1072"/>
      <c r="C346" s="1074"/>
      <c r="D346" s="1088"/>
      <c r="E346" s="1089"/>
      <c r="F346" s="1080"/>
      <c r="G346" s="1081"/>
      <c r="H346" s="1033"/>
      <c r="I346" s="1037"/>
      <c r="J346" s="1038"/>
      <c r="K346" s="1477"/>
      <c r="L346" s="1478"/>
      <c r="M346" s="1482"/>
      <c r="N346" s="1483"/>
    </row>
    <row r="347" spans="1:20" ht="45" customHeight="1" thickBot="1">
      <c r="A347" s="1071"/>
      <c r="B347" s="1072"/>
      <c r="C347" s="1074"/>
      <c r="D347" s="1088"/>
      <c r="E347" s="1089"/>
      <c r="F347" s="1080"/>
      <c r="G347" s="1081"/>
      <c r="H347" s="1034"/>
      <c r="I347" s="1037"/>
      <c r="J347" s="1038"/>
      <c r="K347" s="1477"/>
      <c r="L347" s="1478"/>
      <c r="M347" s="1482"/>
      <c r="N347" s="1483"/>
    </row>
    <row r="348" spans="1:20" ht="26.25" customHeight="1" thickBot="1">
      <c r="A348" s="214" t="s">
        <v>488</v>
      </c>
      <c r="B348" s="436" t="s">
        <v>487</v>
      </c>
      <c r="C348" s="1074"/>
      <c r="D348" s="1075" t="s">
        <v>372</v>
      </c>
      <c r="E348" s="1076"/>
      <c r="F348" s="1082"/>
      <c r="G348" s="1083"/>
      <c r="H348" s="1034"/>
      <c r="I348" s="1037"/>
      <c r="J348" s="1038"/>
      <c r="K348" s="1479"/>
      <c r="L348" s="1480"/>
      <c r="M348" s="1484"/>
      <c r="N348" s="1485"/>
      <c r="P348" s="4"/>
      <c r="Q348" s="4"/>
    </row>
    <row r="349" spans="1:20" ht="16.5" customHeight="1" thickTop="1" thickBot="1">
      <c r="A349" s="435"/>
      <c r="B349" s="428"/>
      <c r="C349" s="429"/>
      <c r="D349" s="1017"/>
      <c r="E349" s="1018"/>
      <c r="F349" s="1021"/>
      <c r="G349" s="1021"/>
      <c r="H349" s="430"/>
      <c r="I349" s="1030" t="str">
        <f>IF(COUNTBLANK(A349:H349)&gt;2,"",IF(H349="","",IF((F349/H349)*(C349)-(D349*C349)&lt;0,0,((F349/H349)*(C349))-(D349*C349))))</f>
        <v/>
      </c>
      <c r="J349" s="1030"/>
      <c r="K349" s="1084"/>
      <c r="L349" s="1085"/>
      <c r="M349" s="1084"/>
      <c r="N349" s="1085"/>
      <c r="O349" s="147" t="str">
        <f>IF(COUNTBLANK(A349:N349)=14,"NA",IF(I349&lt;&gt;"",IF(I349&gt;0,IF(COUNTBLANK(K349:N349)&gt;2,"E",IF(M349-K349&lt;=70,"Y","N")),""),"E"))</f>
        <v>NA</v>
      </c>
      <c r="P349" s="4"/>
      <c r="Q349" s="4"/>
      <c r="T349">
        <f t="shared" ref="T349:T354" si="0">M349 - K349</f>
        <v>0</v>
      </c>
    </row>
    <row r="350" spans="1:20" ht="15.5" thickTop="1" thickBot="1">
      <c r="A350" s="435"/>
      <c r="B350" s="428"/>
      <c r="C350" s="429"/>
      <c r="D350" s="1017"/>
      <c r="E350" s="1018"/>
      <c r="F350" s="1021"/>
      <c r="G350" s="1021"/>
      <c r="H350" s="430"/>
      <c r="I350" s="1030" t="str">
        <f t="shared" ref="I350:I354" si="1">IF(COUNTBLANK(A350:H350)&gt;2,"",IF(H350="","",IF((F350/H350)*(C350)-(D350*C350)&lt;0,0,((F350/H350)*(C350))-(D350*C350))))</f>
        <v/>
      </c>
      <c r="J350" s="1030"/>
      <c r="K350" s="1084"/>
      <c r="L350" s="1085"/>
      <c r="M350" s="1084"/>
      <c r="N350" s="1085"/>
      <c r="O350" s="147" t="str">
        <f t="shared" ref="O350:O354" si="2">IF(COUNTBLANK(A350:N350)=14,"NA",IF(I350&lt;&gt;"",IF(I350&gt;0,IF(COUNTBLANK(K350:N350)&gt;2,"E",IF(M350-K350&lt;=70,"Y","N")),""),"E"))</f>
        <v>NA</v>
      </c>
      <c r="P350" s="4"/>
      <c r="Q350" s="4"/>
      <c r="T350">
        <f t="shared" si="0"/>
        <v>0</v>
      </c>
    </row>
    <row r="351" spans="1:20" ht="15.5" thickTop="1" thickBot="1">
      <c r="A351" s="435"/>
      <c r="B351" s="428"/>
      <c r="C351" s="429"/>
      <c r="D351" s="1017"/>
      <c r="E351" s="1018"/>
      <c r="F351" s="1021"/>
      <c r="G351" s="1021"/>
      <c r="H351" s="430"/>
      <c r="I351" s="1030" t="str">
        <f t="shared" si="1"/>
        <v/>
      </c>
      <c r="J351" s="1030"/>
      <c r="K351" s="1084"/>
      <c r="L351" s="1085"/>
      <c r="M351" s="1084"/>
      <c r="N351" s="1085"/>
      <c r="O351" s="147" t="str">
        <f t="shared" si="2"/>
        <v>NA</v>
      </c>
      <c r="P351" s="4"/>
      <c r="Q351" s="4"/>
      <c r="T351">
        <f t="shared" si="0"/>
        <v>0</v>
      </c>
    </row>
    <row r="352" spans="1:20" ht="15.5" thickTop="1" thickBot="1">
      <c r="A352" s="435"/>
      <c r="B352" s="428"/>
      <c r="C352" s="429"/>
      <c r="D352" s="1017"/>
      <c r="E352" s="1018"/>
      <c r="F352" s="1021"/>
      <c r="G352" s="1021"/>
      <c r="H352" s="430"/>
      <c r="I352" s="1030" t="str">
        <f t="shared" si="1"/>
        <v/>
      </c>
      <c r="J352" s="1030"/>
      <c r="K352" s="1084"/>
      <c r="L352" s="1085"/>
      <c r="M352" s="1084"/>
      <c r="N352" s="1085"/>
      <c r="O352" s="147" t="str">
        <f t="shared" si="2"/>
        <v>NA</v>
      </c>
      <c r="P352" s="4"/>
      <c r="Q352" s="4"/>
      <c r="T352">
        <f t="shared" si="0"/>
        <v>0</v>
      </c>
    </row>
    <row r="353" spans="1:21" ht="15.5" thickTop="1" thickBot="1">
      <c r="A353" s="435"/>
      <c r="B353" s="428"/>
      <c r="C353" s="429"/>
      <c r="D353" s="1017"/>
      <c r="E353" s="1018"/>
      <c r="F353" s="1021"/>
      <c r="G353" s="1021"/>
      <c r="H353" s="430"/>
      <c r="I353" s="1030" t="str">
        <f t="shared" si="1"/>
        <v/>
      </c>
      <c r="J353" s="1030"/>
      <c r="K353" s="1084"/>
      <c r="L353" s="1085"/>
      <c r="M353" s="1084"/>
      <c r="N353" s="1085"/>
      <c r="O353" s="147" t="str">
        <f t="shared" si="2"/>
        <v>NA</v>
      </c>
      <c r="P353" s="4"/>
      <c r="Q353" s="4"/>
      <c r="T353">
        <f t="shared" si="0"/>
        <v>0</v>
      </c>
    </row>
    <row r="354" spans="1:21" ht="15.5" thickTop="1" thickBot="1">
      <c r="A354" s="437"/>
      <c r="B354" s="438"/>
      <c r="C354" s="431"/>
      <c r="D354" s="1019"/>
      <c r="E354" s="1020"/>
      <c r="F354" s="1021"/>
      <c r="G354" s="1021"/>
      <c r="H354" s="430"/>
      <c r="I354" s="1031" t="str">
        <f t="shared" si="1"/>
        <v/>
      </c>
      <c r="J354" s="1031"/>
      <c r="K354" s="1098"/>
      <c r="L354" s="1099"/>
      <c r="M354" s="1098"/>
      <c r="N354" s="1099"/>
      <c r="O354" s="147" t="str">
        <f t="shared" si="2"/>
        <v>NA</v>
      </c>
      <c r="P354" s="4"/>
      <c r="Q354" s="4"/>
      <c r="T354">
        <f t="shared" si="0"/>
        <v>0</v>
      </c>
    </row>
    <row r="355" spans="1:21" ht="63" customHeight="1" thickTop="1">
      <c r="A355" s="1120" t="s">
        <v>1411</v>
      </c>
      <c r="B355" s="1121"/>
      <c r="C355" s="1121"/>
      <c r="D355" s="1121"/>
      <c r="E355" s="1121"/>
      <c r="F355" s="1121"/>
      <c r="G355" s="1121"/>
      <c r="H355" s="1121"/>
      <c r="I355" s="1121"/>
      <c r="J355" s="691" t="str">
        <f>IF(COUNTIF(Std_XI4_Qual_E,"NA")=6,"NA",IF(COUNTIF(Std_XI4_Qual_E,"E")&gt;0,"",IF(COUNTIF(Std_XI4_Qual_E,"N")&gt;0,"N",IF(COUNTIF(Std_XI4_Qual_E,"Y")&gt;0,"Y","NA"))))</f>
        <v>NA</v>
      </c>
      <c r="K355" s="692"/>
      <c r="L355" s="148" t="str">
        <f>IF(Std11dot1aNotCalc = "", "", IF(Std11dot1aNotCalc = "Y", "NA", IF(COUNTBLANK(I349:I354) = 6, "NA", IF(SUMPRODUCT(--(I349:I354 = 0)) = 6 - COUNTBLANK(I349:I354), "NA", IF(SUMPRODUCT(--(T349:T354&gt;70)) &gt; 0, "N", IF(SUMPRODUCT(--(I349:I354&gt;0), --(K349:K354&lt;&gt;""), --(M349:M354&lt;&gt;"")) = COUNTIF(I349:I354, "&gt;0"), "Y", ""))))))</f>
        <v/>
      </c>
      <c r="M355" s="4"/>
      <c r="P355" s="4"/>
      <c r="Q355" s="4"/>
    </row>
    <row r="356" spans="1:21" ht="45" customHeight="1" thickBot="1">
      <c r="A356" s="959" t="s">
        <v>1602</v>
      </c>
      <c r="B356" s="960"/>
      <c r="C356" s="960"/>
      <c r="D356" s="960"/>
      <c r="E356" s="960"/>
      <c r="F356" s="960"/>
      <c r="G356" s="960"/>
      <c r="H356" s="960"/>
      <c r="I356" s="961"/>
      <c r="J356" s="1053"/>
      <c r="K356" s="1054"/>
      <c r="L356" s="58"/>
      <c r="M356" s="4"/>
      <c r="N356" s="4"/>
      <c r="O356" s="4"/>
      <c r="P356" s="4"/>
      <c r="Q356" s="4"/>
      <c r="R356" s="4"/>
      <c r="S356" s="4"/>
    </row>
    <row r="357" spans="1:21" ht="27" customHeight="1" thickTop="1" thickBot="1">
      <c r="A357" s="445" t="s">
        <v>316</v>
      </c>
      <c r="B357" s="1027" t="s">
        <v>801</v>
      </c>
      <c r="C357" s="1028"/>
      <c r="D357" s="1028"/>
      <c r="E357" s="1028"/>
      <c r="F357" s="1028"/>
      <c r="G357" s="1028"/>
      <c r="H357" s="1028"/>
      <c r="I357" s="1028"/>
      <c r="J357" s="1028"/>
      <c r="K357" s="1029"/>
      <c r="L357" s="58"/>
      <c r="M357" s="4"/>
      <c r="N357" s="4"/>
      <c r="O357" s="4"/>
      <c r="P357" s="4"/>
      <c r="Q357" s="4"/>
      <c r="R357" s="4"/>
      <c r="S357" s="4"/>
    </row>
    <row r="358" spans="1:21" ht="27" customHeight="1" thickTop="1">
      <c r="A358" s="941" t="s">
        <v>1412</v>
      </c>
      <c r="B358" s="942"/>
      <c r="C358" s="942"/>
      <c r="D358" s="942"/>
      <c r="E358" s="942"/>
      <c r="F358" s="942"/>
      <c r="G358" s="942"/>
      <c r="H358" s="942"/>
      <c r="I358" s="942"/>
      <c r="J358" s="942"/>
      <c r="K358" s="943"/>
      <c r="L358" s="58"/>
      <c r="M358" s="4"/>
      <c r="N358" s="4"/>
      <c r="O358" s="4"/>
      <c r="P358" s="4"/>
      <c r="Q358" s="4"/>
      <c r="R358" s="4"/>
      <c r="S358" s="4"/>
    </row>
    <row r="359" spans="1:21" ht="15.75" customHeight="1" thickBot="1">
      <c r="A359" s="959" t="s">
        <v>1413</v>
      </c>
      <c r="B359" s="1022"/>
      <c r="C359" s="1022"/>
      <c r="D359" s="1022"/>
      <c r="E359" s="1022"/>
      <c r="F359" s="1022"/>
      <c r="G359" s="1022"/>
      <c r="H359" s="1022"/>
      <c r="I359" s="1022"/>
      <c r="J359" s="1022"/>
      <c r="K359" s="1023"/>
      <c r="L359" s="58"/>
      <c r="M359" s="4"/>
      <c r="N359" s="4"/>
      <c r="O359" s="4"/>
      <c r="P359" s="4"/>
      <c r="Q359" s="4"/>
      <c r="R359" s="4"/>
      <c r="S359" s="4"/>
      <c r="T359" s="4"/>
      <c r="U359" s="4"/>
    </row>
    <row r="360" spans="1:21" ht="15.75" customHeight="1" thickTop="1" thickBot="1">
      <c r="A360" s="1069" t="s">
        <v>373</v>
      </c>
      <c r="B360" s="1070"/>
      <c r="C360" s="1117" t="s">
        <v>374</v>
      </c>
      <c r="D360" s="1118"/>
      <c r="E360" s="1118"/>
      <c r="F360" s="1118"/>
      <c r="G360" s="1118"/>
      <c r="H360" s="1119"/>
      <c r="I360" s="1117" t="s">
        <v>375</v>
      </c>
      <c r="J360" s="1118"/>
      <c r="K360" s="1118"/>
      <c r="L360" s="1118"/>
      <c r="M360" s="1118"/>
      <c r="N360" s="1119"/>
      <c r="O360" s="493" t="s">
        <v>376</v>
      </c>
      <c r="P360" s="494"/>
      <c r="Q360" s="494"/>
      <c r="R360" s="495"/>
      <c r="S360" s="4"/>
      <c r="T360" s="4"/>
      <c r="U360" s="4"/>
    </row>
    <row r="361" spans="1:21" ht="24.75" customHeight="1">
      <c r="A361" s="1071"/>
      <c r="B361" s="1072"/>
      <c r="C361" s="1100" t="s">
        <v>377</v>
      </c>
      <c r="D361" s="1101"/>
      <c r="E361" s="1100" t="s">
        <v>381</v>
      </c>
      <c r="F361" s="1101"/>
      <c r="G361" s="1100" t="s">
        <v>379</v>
      </c>
      <c r="H361" s="1101"/>
      <c r="I361" s="1100" t="s">
        <v>377</v>
      </c>
      <c r="J361" s="1101"/>
      <c r="K361" s="1100" t="s">
        <v>381</v>
      </c>
      <c r="L361" s="1101"/>
      <c r="M361" s="1100" t="s">
        <v>379</v>
      </c>
      <c r="N361" s="1101"/>
      <c r="O361" s="496"/>
      <c r="P361" s="497"/>
      <c r="Q361" s="497"/>
      <c r="R361" s="498"/>
      <c r="S361" s="4"/>
      <c r="T361" s="4"/>
      <c r="U361" s="4"/>
    </row>
    <row r="362" spans="1:21" ht="56.25" customHeight="1" thickBot="1">
      <c r="A362" s="1102"/>
      <c r="B362" s="1103"/>
      <c r="C362" s="1104" t="s">
        <v>378</v>
      </c>
      <c r="D362" s="1105"/>
      <c r="E362" s="1102"/>
      <c r="F362" s="1103"/>
      <c r="G362" s="1102"/>
      <c r="H362" s="1103"/>
      <c r="I362" s="1104" t="s">
        <v>380</v>
      </c>
      <c r="J362" s="1105"/>
      <c r="K362" s="1102"/>
      <c r="L362" s="1103"/>
      <c r="M362" s="1102"/>
      <c r="N362" s="1103"/>
      <c r="O362" s="1091" t="s">
        <v>7</v>
      </c>
      <c r="P362" s="1092"/>
      <c r="Q362" s="1092" t="s">
        <v>11</v>
      </c>
      <c r="R362" s="1093"/>
      <c r="S362" s="4"/>
      <c r="T362" s="4"/>
      <c r="U362" s="4"/>
    </row>
    <row r="363" spans="1:21" ht="15.5" thickTop="1" thickBot="1">
      <c r="A363" s="1108"/>
      <c r="B363" s="1109"/>
      <c r="C363" s="1106"/>
      <c r="D363" s="1107"/>
      <c r="E363" s="1106"/>
      <c r="F363" s="1107"/>
      <c r="G363" s="1108"/>
      <c r="H363" s="1109"/>
      <c r="I363" s="1106"/>
      <c r="J363" s="1107"/>
      <c r="K363" s="1106"/>
      <c r="L363" s="1107"/>
      <c r="M363" s="1108"/>
      <c r="N363" s="1109"/>
      <c r="O363" s="1094"/>
      <c r="P363" s="1095"/>
      <c r="Q363" s="1096"/>
      <c r="R363" s="1097"/>
      <c r="S363" s="4"/>
      <c r="T363" s="4"/>
      <c r="U363" s="4"/>
    </row>
    <row r="364" spans="1:21" ht="27.75" customHeight="1" thickTop="1" thickBot="1">
      <c r="A364" s="1122" t="s">
        <v>1374</v>
      </c>
      <c r="B364" s="1123"/>
      <c r="C364" s="1123"/>
      <c r="D364" s="1123"/>
      <c r="E364" s="1123"/>
      <c r="F364" s="1123"/>
      <c r="G364" s="1123"/>
      <c r="H364" s="1123"/>
      <c r="I364" s="1124"/>
      <c r="J364" s="1125"/>
      <c r="K364" s="1126"/>
      <c r="L364" s="9"/>
      <c r="M364" s="9"/>
      <c r="N364" s="9"/>
      <c r="O364" s="9"/>
      <c r="P364" s="9"/>
      <c r="Q364" s="9"/>
      <c r="R364" s="9"/>
      <c r="S364" s="9"/>
      <c r="T364" s="4"/>
      <c r="U364" s="4"/>
    </row>
    <row r="365" spans="1:21" ht="27" customHeight="1" thickBot="1">
      <c r="A365" s="1122" t="s">
        <v>382</v>
      </c>
      <c r="B365" s="1123"/>
      <c r="C365" s="1123"/>
      <c r="D365" s="1123"/>
      <c r="E365" s="1123"/>
      <c r="F365" s="1123"/>
      <c r="G365" s="1123"/>
      <c r="H365" s="1123"/>
      <c r="I365" s="1124"/>
      <c r="J365" s="1125"/>
      <c r="K365" s="1126"/>
      <c r="L365" s="9"/>
      <c r="M365" s="9"/>
      <c r="N365" s="9"/>
      <c r="O365" s="9"/>
      <c r="P365" s="9"/>
      <c r="Q365" s="9"/>
      <c r="R365" s="9"/>
      <c r="S365" s="9"/>
      <c r="T365" s="4"/>
      <c r="U365" s="4"/>
    </row>
    <row r="366" spans="1:21" ht="15" customHeight="1" thickBot="1">
      <c r="A366" s="1048" t="s">
        <v>383</v>
      </c>
      <c r="B366" s="1049"/>
      <c r="C366" s="1049"/>
      <c r="D366" s="1049"/>
      <c r="E366" s="1049"/>
      <c r="F366" s="1049"/>
      <c r="G366" s="1049"/>
      <c r="H366" s="1049"/>
      <c r="I366" s="1050"/>
      <c r="J366" s="1113" t="str">
        <f>IF(C363 = "", "NA", IF(E363 = C363, "Y", "N"))</f>
        <v>NA</v>
      </c>
      <c r="K366" s="1114"/>
      <c r="L366" s="9"/>
      <c r="M366" s="9"/>
      <c r="N366" s="9"/>
      <c r="O366" s="9"/>
      <c r="P366" s="9"/>
      <c r="Q366" s="9"/>
      <c r="R366" s="9"/>
      <c r="S366" s="9"/>
    </row>
    <row r="367" spans="1:21" ht="15" customHeight="1" thickBot="1">
      <c r="A367" s="710" t="s">
        <v>384</v>
      </c>
      <c r="B367" s="711"/>
      <c r="C367" s="711"/>
      <c r="D367" s="711"/>
      <c r="E367" s="711"/>
      <c r="F367" s="711"/>
      <c r="G367" s="711"/>
      <c r="H367" s="711"/>
      <c r="I367" s="712"/>
      <c r="J367" s="1113"/>
      <c r="K367" s="1114"/>
      <c r="L367" s="9"/>
      <c r="M367" s="9"/>
      <c r="N367" s="9"/>
      <c r="O367" s="9"/>
      <c r="P367" s="9"/>
      <c r="Q367" s="9"/>
      <c r="R367" s="9"/>
      <c r="S367" s="9"/>
    </row>
    <row r="368" spans="1:21" ht="15.75" customHeight="1" thickBot="1">
      <c r="A368" s="710" t="s">
        <v>385</v>
      </c>
      <c r="B368" s="711"/>
      <c r="C368" s="711"/>
      <c r="D368" s="711"/>
      <c r="E368" s="711"/>
      <c r="F368" s="711"/>
      <c r="G368" s="711"/>
      <c r="H368" s="711"/>
      <c r="I368" s="711"/>
      <c r="J368" s="1115" t="str">
        <f>IF(OR(I363 = "",I363 = 0), IF(OR(K363="",K363=0),"NA","N"), IF(K363 = I363, "Y", "N"))</f>
        <v>NA</v>
      </c>
      <c r="K368" s="1116"/>
      <c r="L368" s="9"/>
      <c r="M368" s="9"/>
      <c r="N368" s="9"/>
      <c r="O368" s="9"/>
      <c r="P368" s="9"/>
      <c r="Q368" s="9"/>
      <c r="R368" s="9"/>
      <c r="S368" s="9"/>
    </row>
    <row r="369" spans="1:19" ht="47.25" customHeight="1" thickTop="1">
      <c r="A369" s="909" t="s">
        <v>1414</v>
      </c>
      <c r="B369" s="910"/>
      <c r="C369" s="910"/>
      <c r="D369" s="910"/>
      <c r="E369" s="910"/>
      <c r="F369" s="910"/>
      <c r="G369" s="910"/>
      <c r="H369" s="910"/>
      <c r="I369" s="910"/>
      <c r="J369" s="689" t="str">
        <f>IF(Std10dot6NotCalc="N","NA",IF(Std11dot1bNotCalc = "", "", IF(Std11dot1bNotCalc = "Y", "NA",  IF(COUNTBLANK(J364:J368) &gt; 1, "", IF(COUNTIF(J364:J368, "N") &gt; 0, "N", IF(COUNTIF(J364:J368, "NA") = 4, "NA", "Y"))))))</f>
        <v/>
      </c>
      <c r="K369" s="1110"/>
      <c r="L369" s="9"/>
      <c r="M369" s="9"/>
      <c r="N369" s="9"/>
      <c r="O369" s="9"/>
      <c r="P369" s="9"/>
      <c r="Q369" s="9"/>
      <c r="R369" s="9"/>
      <c r="S369" s="9"/>
    </row>
    <row r="370" spans="1:19" ht="60" customHeight="1" thickBot="1">
      <c r="A370" s="959" t="s">
        <v>1603</v>
      </c>
      <c r="B370" s="960"/>
      <c r="C370" s="960"/>
      <c r="D370" s="960"/>
      <c r="E370" s="960"/>
      <c r="F370" s="960"/>
      <c r="G370" s="960"/>
      <c r="H370" s="960"/>
      <c r="I370" s="960"/>
      <c r="J370" s="1111"/>
      <c r="K370" s="1112"/>
      <c r="L370" s="9"/>
      <c r="M370" s="9"/>
      <c r="N370" s="9"/>
      <c r="O370" s="9"/>
      <c r="P370" s="9"/>
      <c r="Q370" s="9"/>
      <c r="R370" s="9"/>
      <c r="S370" s="9"/>
    </row>
    <row r="371" spans="1:19" ht="15" thickTop="1">
      <c r="A371" s="31"/>
      <c r="B371" s="31"/>
      <c r="C371" s="31"/>
      <c r="D371" s="31"/>
      <c r="E371" s="31"/>
      <c r="F371" s="31"/>
      <c r="G371" s="31"/>
      <c r="H371" s="31"/>
      <c r="I371" s="31"/>
      <c r="J371" s="31"/>
      <c r="K371" s="31"/>
      <c r="L371" s="9"/>
      <c r="M371" s="9"/>
      <c r="N371" s="9"/>
      <c r="O371" s="9"/>
      <c r="P371" s="9"/>
      <c r="Q371" s="9"/>
      <c r="R371" s="9"/>
      <c r="S371" s="9"/>
    </row>
    <row r="372" spans="1:19" ht="15.5">
      <c r="A372" s="32"/>
    </row>
  </sheetData>
  <sheetProtection algorithmName="SHA-512" hashValue="ryoR0olCRYHDT01SmVUy0LjQBUKoG9hIolA5PFGVVlEnvFeEjPeasExENLKbrruJfYvKt1gM3UCda3fIEmSQCQ==" saltValue="ISzSPFvc9xTw8TZIpzoahQ==" spinCount="100000" sheet="1" objects="1" scenarios="1" selectLockedCells="1"/>
  <dataConsolidate/>
  <customSheetViews>
    <customSheetView guid="{A81B7E59-6D30-48F0-895B-EADA4D6F68AC}" hiddenRows="1" hiddenColumns="1">
      <selection activeCell="K2" sqref="K2"/>
      <pageMargins left="0.5" right="0.5" top="1" bottom="0.75" header="0.25" footer="0.25"/>
      <pageSetup fitToHeight="37" orientation="landscape" r:id="rId1"/>
      <headerFooter>
        <oddHeader>&amp;L&amp;"Arial,Regular"&amp;8Texas Department
of Aging and
Disability Services&amp;C&amp;"Arial,Bold"&amp;12RESIDENTIAL CARE (RC)
INDIVIDUAL WORK PAPER&amp;R&amp;"Arial,Regular"&amp;8Form TBD
Page &amp;P</oddHeader>
      </headerFooter>
    </customSheetView>
  </customSheetViews>
  <mergeCells count="735">
    <mergeCell ref="B1:C1"/>
    <mergeCell ref="D1:E1"/>
    <mergeCell ref="F1:I1"/>
    <mergeCell ref="J1:M1"/>
    <mergeCell ref="B2:C2"/>
    <mergeCell ref="D2:E2"/>
    <mergeCell ref="A5:L5"/>
    <mergeCell ref="A6:A7"/>
    <mergeCell ref="B6:J7"/>
    <mergeCell ref="K6:L6"/>
    <mergeCell ref="K7:L7"/>
    <mergeCell ref="A8:A9"/>
    <mergeCell ref="B8:L9"/>
    <mergeCell ref="A3:B4"/>
    <mergeCell ref="D3:G3"/>
    <mergeCell ref="H3:K3"/>
    <mergeCell ref="L3:M4"/>
    <mergeCell ref="D4:G4"/>
    <mergeCell ref="H4:K4"/>
    <mergeCell ref="A14:J14"/>
    <mergeCell ref="K14:L14"/>
    <mergeCell ref="A15:J15"/>
    <mergeCell ref="K15:L16"/>
    <mergeCell ref="A16:J16"/>
    <mergeCell ref="A17:J19"/>
    <mergeCell ref="K17:L19"/>
    <mergeCell ref="B10:J10"/>
    <mergeCell ref="K10:L10"/>
    <mergeCell ref="B11:J11"/>
    <mergeCell ref="K11:L11"/>
    <mergeCell ref="A12:J12"/>
    <mergeCell ref="K12:L13"/>
    <mergeCell ref="A13:J13"/>
    <mergeCell ref="A27:J27"/>
    <mergeCell ref="A28:J28"/>
    <mergeCell ref="A29:J29"/>
    <mergeCell ref="K29:L29"/>
    <mergeCell ref="A30:J31"/>
    <mergeCell ref="K30:L31"/>
    <mergeCell ref="A20:B20"/>
    <mergeCell ref="C20:L20"/>
    <mergeCell ref="A21:J21"/>
    <mergeCell ref="K21:L22"/>
    <mergeCell ref="A22:J22"/>
    <mergeCell ref="A23:J23"/>
    <mergeCell ref="K23:L28"/>
    <mergeCell ref="A24:J24"/>
    <mergeCell ref="A25:J25"/>
    <mergeCell ref="A26:J26"/>
    <mergeCell ref="A38:I39"/>
    <mergeCell ref="J38:K39"/>
    <mergeCell ref="A40:A43"/>
    <mergeCell ref="B40:I41"/>
    <mergeCell ref="J40:K40"/>
    <mergeCell ref="J41:K41"/>
    <mergeCell ref="B42:K43"/>
    <mergeCell ref="A32:K32"/>
    <mergeCell ref="B33:K33"/>
    <mergeCell ref="A34:K34"/>
    <mergeCell ref="A35:K35"/>
    <mergeCell ref="A36:K36"/>
    <mergeCell ref="D37:E37"/>
    <mergeCell ref="I37:K37"/>
    <mergeCell ref="A48:E48"/>
    <mergeCell ref="F48:K48"/>
    <mergeCell ref="A49:E49"/>
    <mergeCell ref="F49:K49"/>
    <mergeCell ref="A50:E50"/>
    <mergeCell ref="F50:K50"/>
    <mergeCell ref="A44:K44"/>
    <mergeCell ref="A45:E45"/>
    <mergeCell ref="F45:K45"/>
    <mergeCell ref="A46:E46"/>
    <mergeCell ref="F46:K46"/>
    <mergeCell ref="A47:E47"/>
    <mergeCell ref="F47:K47"/>
    <mergeCell ref="A55:K55"/>
    <mergeCell ref="A56:I56"/>
    <mergeCell ref="J56:K58"/>
    <mergeCell ref="A57:I57"/>
    <mergeCell ref="A58:I58"/>
    <mergeCell ref="A59:L59"/>
    <mergeCell ref="A51:I51"/>
    <mergeCell ref="J51:K51"/>
    <mergeCell ref="A52:K52"/>
    <mergeCell ref="A53:I53"/>
    <mergeCell ref="J53:K54"/>
    <mergeCell ref="A54:I54"/>
    <mergeCell ref="A60:A62"/>
    <mergeCell ref="B60:J61"/>
    <mergeCell ref="K60:L60"/>
    <mergeCell ref="K61:L61"/>
    <mergeCell ref="B62:L62"/>
    <mergeCell ref="A63:J63"/>
    <mergeCell ref="K63:L65"/>
    <mergeCell ref="A64:J64"/>
    <mergeCell ref="A65:J65"/>
    <mergeCell ref="A74:L74"/>
    <mergeCell ref="A75:L75"/>
    <mergeCell ref="A76:L76"/>
    <mergeCell ref="A77:L77"/>
    <mergeCell ref="A78:L78"/>
    <mergeCell ref="A79:L79"/>
    <mergeCell ref="A66:L66"/>
    <mergeCell ref="A67:A73"/>
    <mergeCell ref="B67:J68"/>
    <mergeCell ref="K67:L67"/>
    <mergeCell ref="K68:L68"/>
    <mergeCell ref="B69:L73"/>
    <mergeCell ref="A80:D80"/>
    <mergeCell ref="F80:G80"/>
    <mergeCell ref="H80:L85"/>
    <mergeCell ref="A81:D81"/>
    <mergeCell ref="F81:G81"/>
    <mergeCell ref="A82:D82"/>
    <mergeCell ref="F82:G82"/>
    <mergeCell ref="A83:D83"/>
    <mergeCell ref="F83:G83"/>
    <mergeCell ref="A84:D84"/>
    <mergeCell ref="A89:L89"/>
    <mergeCell ref="A90:A92"/>
    <mergeCell ref="B90:J91"/>
    <mergeCell ref="K90:L90"/>
    <mergeCell ref="K91:L91"/>
    <mergeCell ref="B92:L92"/>
    <mergeCell ref="F84:G84"/>
    <mergeCell ref="A85:D85"/>
    <mergeCell ref="E85:G85"/>
    <mergeCell ref="A86:J86"/>
    <mergeCell ref="K86:L88"/>
    <mergeCell ref="A87:J88"/>
    <mergeCell ref="A97:A102"/>
    <mergeCell ref="B97:L97"/>
    <mergeCell ref="B98:L98"/>
    <mergeCell ref="B99:L99"/>
    <mergeCell ref="B100:L100"/>
    <mergeCell ref="B101:L101"/>
    <mergeCell ref="B102:L102"/>
    <mergeCell ref="A93:A95"/>
    <mergeCell ref="B93:J94"/>
    <mergeCell ref="K93:L93"/>
    <mergeCell ref="K94:L94"/>
    <mergeCell ref="B95:L95"/>
    <mergeCell ref="A96:L96"/>
    <mergeCell ref="A106:H106"/>
    <mergeCell ref="K106:L106"/>
    <mergeCell ref="A107:G107"/>
    <mergeCell ref="K107:L107"/>
    <mergeCell ref="A108:F108"/>
    <mergeCell ref="G108:H108"/>
    <mergeCell ref="K108:L108"/>
    <mergeCell ref="A103:L103"/>
    <mergeCell ref="A104:E104"/>
    <mergeCell ref="F104:H104"/>
    <mergeCell ref="K104:L104"/>
    <mergeCell ref="A105:H105"/>
    <mergeCell ref="K105:L105"/>
    <mergeCell ref="A112:H112"/>
    <mergeCell ref="K112:L112"/>
    <mergeCell ref="A113:H113"/>
    <mergeCell ref="K113:L113"/>
    <mergeCell ref="A114:H114"/>
    <mergeCell ref="K114:L114"/>
    <mergeCell ref="A109:L109"/>
    <mergeCell ref="A110:G110"/>
    <mergeCell ref="K110:L110"/>
    <mergeCell ref="A111:F111"/>
    <mergeCell ref="G111:H111"/>
    <mergeCell ref="K111:L111"/>
    <mergeCell ref="A118:H118"/>
    <mergeCell ref="J118:L118"/>
    <mergeCell ref="A119:D119"/>
    <mergeCell ref="E119:H119"/>
    <mergeCell ref="I119:K119"/>
    <mergeCell ref="C120:D120"/>
    <mergeCell ref="G120:H120"/>
    <mergeCell ref="J120:K120"/>
    <mergeCell ref="A115:G115"/>
    <mergeCell ref="K115:L115"/>
    <mergeCell ref="A116:G116"/>
    <mergeCell ref="K116:L116"/>
    <mergeCell ref="A117:H117"/>
    <mergeCell ref="J117:L117"/>
    <mergeCell ref="C123:D123"/>
    <mergeCell ref="G123:H123"/>
    <mergeCell ref="J123:K123"/>
    <mergeCell ref="C124:D124"/>
    <mergeCell ref="G124:H124"/>
    <mergeCell ref="J124:K124"/>
    <mergeCell ref="C121:D121"/>
    <mergeCell ref="G121:H121"/>
    <mergeCell ref="J121:K121"/>
    <mergeCell ref="C122:D122"/>
    <mergeCell ref="G122:H122"/>
    <mergeCell ref="J122:K122"/>
    <mergeCell ref="C127:D127"/>
    <mergeCell ref="G127:H127"/>
    <mergeCell ref="J127:K127"/>
    <mergeCell ref="C128:D128"/>
    <mergeCell ref="G128:H128"/>
    <mergeCell ref="J128:K128"/>
    <mergeCell ref="C125:D125"/>
    <mergeCell ref="G125:H125"/>
    <mergeCell ref="J125:K125"/>
    <mergeCell ref="C126:D126"/>
    <mergeCell ref="G126:H126"/>
    <mergeCell ref="J126:K126"/>
    <mergeCell ref="A131:F131"/>
    <mergeCell ref="G131:H131"/>
    <mergeCell ref="J131:K131"/>
    <mergeCell ref="A132:I132"/>
    <mergeCell ref="J132:K137"/>
    <mergeCell ref="A133:I137"/>
    <mergeCell ref="C129:D129"/>
    <mergeCell ref="G129:H129"/>
    <mergeCell ref="J129:K129"/>
    <mergeCell ref="C130:D130"/>
    <mergeCell ref="G130:H130"/>
    <mergeCell ref="J130:K130"/>
    <mergeCell ref="A144:C144"/>
    <mergeCell ref="D144:E144"/>
    <mergeCell ref="F144:H144"/>
    <mergeCell ref="I144:K144"/>
    <mergeCell ref="A145:C145"/>
    <mergeCell ref="D145:E145"/>
    <mergeCell ref="F145:H145"/>
    <mergeCell ref="I145:K145"/>
    <mergeCell ref="A138:K138"/>
    <mergeCell ref="A139:A143"/>
    <mergeCell ref="B139:I140"/>
    <mergeCell ref="J139:K139"/>
    <mergeCell ref="J140:K140"/>
    <mergeCell ref="B141:K143"/>
    <mergeCell ref="A146:I146"/>
    <mergeCell ref="J146:K147"/>
    <mergeCell ref="A147:I147"/>
    <mergeCell ref="A148:A155"/>
    <mergeCell ref="B148:I149"/>
    <mergeCell ref="J148:K148"/>
    <mergeCell ref="J149:K149"/>
    <mergeCell ref="B150:K152"/>
    <mergeCell ref="B153:K153"/>
    <mergeCell ref="B154:K154"/>
    <mergeCell ref="A158:I158"/>
    <mergeCell ref="J158:K160"/>
    <mergeCell ref="A159:I160"/>
    <mergeCell ref="A161:A162"/>
    <mergeCell ref="B161:I162"/>
    <mergeCell ref="J161:K161"/>
    <mergeCell ref="J162:K162"/>
    <mergeCell ref="B155:K155"/>
    <mergeCell ref="A156:C156"/>
    <mergeCell ref="D156:E156"/>
    <mergeCell ref="F156:H156"/>
    <mergeCell ref="I156:K156"/>
    <mergeCell ref="A157:C157"/>
    <mergeCell ref="D157:E157"/>
    <mergeCell ref="F157:H157"/>
    <mergeCell ref="I157:K157"/>
    <mergeCell ref="A171:B171"/>
    <mergeCell ref="C171:D171"/>
    <mergeCell ref="E171:G171"/>
    <mergeCell ref="H171:K171"/>
    <mergeCell ref="A172:B172"/>
    <mergeCell ref="C172:D172"/>
    <mergeCell ref="E172:G172"/>
    <mergeCell ref="H172:K172"/>
    <mergeCell ref="B163:K165"/>
    <mergeCell ref="B166:K167"/>
    <mergeCell ref="B168:K168"/>
    <mergeCell ref="B169:K169"/>
    <mergeCell ref="A170:B170"/>
    <mergeCell ref="C170:D170"/>
    <mergeCell ref="E170:G170"/>
    <mergeCell ref="H170:K170"/>
    <mergeCell ref="A175:B175"/>
    <mergeCell ref="C175:D175"/>
    <mergeCell ref="E175:G175"/>
    <mergeCell ref="H175:K175"/>
    <mergeCell ref="A176:B176"/>
    <mergeCell ref="C176:D176"/>
    <mergeCell ref="E176:G176"/>
    <mergeCell ref="H176:K176"/>
    <mergeCell ref="A173:B173"/>
    <mergeCell ref="C173:D173"/>
    <mergeCell ref="E173:G173"/>
    <mergeCell ref="H173:K173"/>
    <mergeCell ref="A174:B174"/>
    <mergeCell ref="C174:D174"/>
    <mergeCell ref="E174:G174"/>
    <mergeCell ref="H174:K174"/>
    <mergeCell ref="A179:B179"/>
    <mergeCell ref="C179:D179"/>
    <mergeCell ref="E179:G179"/>
    <mergeCell ref="H179:K179"/>
    <mergeCell ref="A180:B180"/>
    <mergeCell ref="C180:D180"/>
    <mergeCell ref="E180:G180"/>
    <mergeCell ref="H180:K180"/>
    <mergeCell ref="A177:B177"/>
    <mergeCell ref="C177:D177"/>
    <mergeCell ref="E177:G177"/>
    <mergeCell ref="H177:K177"/>
    <mergeCell ref="A178:B178"/>
    <mergeCell ref="C178:D178"/>
    <mergeCell ref="E178:G178"/>
    <mergeCell ref="H178:K178"/>
    <mergeCell ref="A185:A188"/>
    <mergeCell ref="B185:I186"/>
    <mergeCell ref="J185:K185"/>
    <mergeCell ref="J186:K186"/>
    <mergeCell ref="B187:K187"/>
    <mergeCell ref="B188:K188"/>
    <mergeCell ref="A181:B181"/>
    <mergeCell ref="C181:D181"/>
    <mergeCell ref="E181:G181"/>
    <mergeCell ref="H181:K181"/>
    <mergeCell ref="A182:I182"/>
    <mergeCell ref="J182:K184"/>
    <mergeCell ref="A183:I184"/>
    <mergeCell ref="B189:K189"/>
    <mergeCell ref="B190:K190"/>
    <mergeCell ref="B191:K191"/>
    <mergeCell ref="B192:K192"/>
    <mergeCell ref="B193:K193"/>
    <mergeCell ref="A194:B194"/>
    <mergeCell ref="C194:D194"/>
    <mergeCell ref="E194:G194"/>
    <mergeCell ref="H194:K194"/>
    <mergeCell ref="A197:B197"/>
    <mergeCell ref="C197:D197"/>
    <mergeCell ref="E197:G197"/>
    <mergeCell ref="H197:K197"/>
    <mergeCell ref="A198:B198"/>
    <mergeCell ref="C198:D198"/>
    <mergeCell ref="E198:G198"/>
    <mergeCell ref="H198:K198"/>
    <mergeCell ref="A195:B195"/>
    <mergeCell ref="C195:D195"/>
    <mergeCell ref="E195:G195"/>
    <mergeCell ref="H195:K195"/>
    <mergeCell ref="A196:B196"/>
    <mergeCell ref="C196:D196"/>
    <mergeCell ref="E196:G196"/>
    <mergeCell ref="H196:K196"/>
    <mergeCell ref="A201:B201"/>
    <mergeCell ref="C201:D201"/>
    <mergeCell ref="E201:G201"/>
    <mergeCell ref="H201:K201"/>
    <mergeCell ref="A202:B202"/>
    <mergeCell ref="C202:D202"/>
    <mergeCell ref="E202:G202"/>
    <mergeCell ref="H202:K202"/>
    <mergeCell ref="A199:B199"/>
    <mergeCell ref="C199:D199"/>
    <mergeCell ref="E199:G199"/>
    <mergeCell ref="H199:K199"/>
    <mergeCell ref="A200:B200"/>
    <mergeCell ref="C200:D200"/>
    <mergeCell ref="E200:G200"/>
    <mergeCell ref="H200:K200"/>
    <mergeCell ref="A205:B205"/>
    <mergeCell ref="C205:D205"/>
    <mergeCell ref="E205:G205"/>
    <mergeCell ref="H205:K205"/>
    <mergeCell ref="A206:B206"/>
    <mergeCell ref="C206:D206"/>
    <mergeCell ref="E206:G206"/>
    <mergeCell ref="H206:K206"/>
    <mergeCell ref="A203:B203"/>
    <mergeCell ref="C203:D203"/>
    <mergeCell ref="E203:G203"/>
    <mergeCell ref="H203:K203"/>
    <mergeCell ref="A204:B204"/>
    <mergeCell ref="C204:D204"/>
    <mergeCell ref="E204:G204"/>
    <mergeCell ref="H204:K204"/>
    <mergeCell ref="A209:B209"/>
    <mergeCell ref="C209:D209"/>
    <mergeCell ref="E209:G209"/>
    <mergeCell ref="H209:K209"/>
    <mergeCell ref="A210:B210"/>
    <mergeCell ref="C210:D210"/>
    <mergeCell ref="E210:G210"/>
    <mergeCell ref="H210:K210"/>
    <mergeCell ref="A207:B207"/>
    <mergeCell ref="C207:D207"/>
    <mergeCell ref="E207:G207"/>
    <mergeCell ref="H207:K207"/>
    <mergeCell ref="A208:B208"/>
    <mergeCell ref="C208:D208"/>
    <mergeCell ref="E208:G208"/>
    <mergeCell ref="H208:K208"/>
    <mergeCell ref="A213:B213"/>
    <mergeCell ref="C213:D213"/>
    <mergeCell ref="E213:G213"/>
    <mergeCell ref="H213:K213"/>
    <mergeCell ref="A214:B214"/>
    <mergeCell ref="C214:D214"/>
    <mergeCell ref="E214:G214"/>
    <mergeCell ref="H214:K214"/>
    <mergeCell ref="A211:B211"/>
    <mergeCell ref="C211:D211"/>
    <mergeCell ref="E211:G211"/>
    <mergeCell ref="H211:K211"/>
    <mergeCell ref="A212:B212"/>
    <mergeCell ref="C212:D212"/>
    <mergeCell ref="E212:G212"/>
    <mergeCell ref="H212:K212"/>
    <mergeCell ref="A218:A221"/>
    <mergeCell ref="B218:K219"/>
    <mergeCell ref="B220:K220"/>
    <mergeCell ref="B221:K221"/>
    <mergeCell ref="A222:K222"/>
    <mergeCell ref="A223:B223"/>
    <mergeCell ref="C223:D223"/>
    <mergeCell ref="E223:K223"/>
    <mergeCell ref="A215:B215"/>
    <mergeCell ref="C215:D215"/>
    <mergeCell ref="E215:G215"/>
    <mergeCell ref="H215:K215"/>
    <mergeCell ref="A216:I216"/>
    <mergeCell ref="J216:K217"/>
    <mergeCell ref="A217:I217"/>
    <mergeCell ref="A226:B226"/>
    <mergeCell ref="C226:D226"/>
    <mergeCell ref="E226:K226"/>
    <mergeCell ref="A227:B227"/>
    <mergeCell ref="C227:D227"/>
    <mergeCell ref="E227:K227"/>
    <mergeCell ref="A224:B224"/>
    <mergeCell ref="C224:D224"/>
    <mergeCell ref="E224:K224"/>
    <mergeCell ref="A225:B225"/>
    <mergeCell ref="C225:D225"/>
    <mergeCell ref="E225:K225"/>
    <mergeCell ref="A230:B230"/>
    <mergeCell ref="C230:D230"/>
    <mergeCell ref="E230:K230"/>
    <mergeCell ref="A231:B231"/>
    <mergeCell ref="C231:D231"/>
    <mergeCell ref="E231:K231"/>
    <mergeCell ref="A228:B228"/>
    <mergeCell ref="C228:D228"/>
    <mergeCell ref="E228:K228"/>
    <mergeCell ref="A229:B229"/>
    <mergeCell ref="C229:D229"/>
    <mergeCell ref="E229:K229"/>
    <mergeCell ref="A234:B234"/>
    <mergeCell ref="C234:D234"/>
    <mergeCell ref="E234:K234"/>
    <mergeCell ref="A235:I235"/>
    <mergeCell ref="J235:K236"/>
    <mergeCell ref="A236:I236"/>
    <mergeCell ref="A232:B232"/>
    <mergeCell ref="C232:D232"/>
    <mergeCell ref="E232:K232"/>
    <mergeCell ref="A233:B233"/>
    <mergeCell ref="C233:D233"/>
    <mergeCell ref="E233:K233"/>
    <mergeCell ref="A237:A239"/>
    <mergeCell ref="B237:I238"/>
    <mergeCell ref="J237:K237"/>
    <mergeCell ref="J238:K238"/>
    <mergeCell ref="B239:K239"/>
    <mergeCell ref="A240:C240"/>
    <mergeCell ref="D240:E240"/>
    <mergeCell ref="F240:G240"/>
    <mergeCell ref="H240:I241"/>
    <mergeCell ref="J240:K240"/>
    <mergeCell ref="L240:M241"/>
    <mergeCell ref="N240:Q240"/>
    <mergeCell ref="R240:S241"/>
    <mergeCell ref="B241:C241"/>
    <mergeCell ref="D241:E241"/>
    <mergeCell ref="F241:G241"/>
    <mergeCell ref="J241:K241"/>
    <mergeCell ref="N241:O241"/>
    <mergeCell ref="P241:Q241"/>
    <mergeCell ref="L247:O247"/>
    <mergeCell ref="A248:I248"/>
    <mergeCell ref="L248:O248"/>
    <mergeCell ref="N242:O242"/>
    <mergeCell ref="P242:Q242"/>
    <mergeCell ref="R242:S242"/>
    <mergeCell ref="A243:I243"/>
    <mergeCell ref="J243:K243"/>
    <mergeCell ref="A244:I244"/>
    <mergeCell ref="J244:K244"/>
    <mergeCell ref="B242:C242"/>
    <mergeCell ref="D242:E242"/>
    <mergeCell ref="F242:G242"/>
    <mergeCell ref="H242:I242"/>
    <mergeCell ref="J242:K242"/>
    <mergeCell ref="L242:M242"/>
    <mergeCell ref="A249:K249"/>
    <mergeCell ref="A250:A252"/>
    <mergeCell ref="B250:I251"/>
    <mergeCell ref="J250:K250"/>
    <mergeCell ref="J251:K251"/>
    <mergeCell ref="B252:K252"/>
    <mergeCell ref="A245:I245"/>
    <mergeCell ref="J245:K245"/>
    <mergeCell ref="A246:I246"/>
    <mergeCell ref="J246:K248"/>
    <mergeCell ref="A247:I247"/>
    <mergeCell ref="A253:A255"/>
    <mergeCell ref="B253:I254"/>
    <mergeCell ref="J253:K253"/>
    <mergeCell ref="J254:K254"/>
    <mergeCell ref="B255:K255"/>
    <mergeCell ref="A256:A258"/>
    <mergeCell ref="B256:I257"/>
    <mergeCell ref="J256:K256"/>
    <mergeCell ref="J257:K257"/>
    <mergeCell ref="B258:K258"/>
    <mergeCell ref="A265:A267"/>
    <mergeCell ref="B265:I266"/>
    <mergeCell ref="J265:K265"/>
    <mergeCell ref="J266:K266"/>
    <mergeCell ref="B267:K267"/>
    <mergeCell ref="A268:K268"/>
    <mergeCell ref="A259:A261"/>
    <mergeCell ref="B259:I260"/>
    <mergeCell ref="J259:K259"/>
    <mergeCell ref="J260:K260"/>
    <mergeCell ref="B261:K261"/>
    <mergeCell ref="A262:A264"/>
    <mergeCell ref="B262:I263"/>
    <mergeCell ref="J262:K262"/>
    <mergeCell ref="J263:K263"/>
    <mergeCell ref="B264:K264"/>
    <mergeCell ref="A274:E274"/>
    <mergeCell ref="I274:K274"/>
    <mergeCell ref="A275:E275"/>
    <mergeCell ref="I275:K275"/>
    <mergeCell ref="A276:E276"/>
    <mergeCell ref="I276:K276"/>
    <mergeCell ref="A269:K269"/>
    <mergeCell ref="A270:K270"/>
    <mergeCell ref="A271:K271"/>
    <mergeCell ref="A272:K272"/>
    <mergeCell ref="A273:E273"/>
    <mergeCell ref="I273:K273"/>
    <mergeCell ref="A277:E277"/>
    <mergeCell ref="I277:K277"/>
    <mergeCell ref="A278:E278"/>
    <mergeCell ref="G278:K284"/>
    <mergeCell ref="A279:E279"/>
    <mergeCell ref="A280:E280"/>
    <mergeCell ref="A281:E281"/>
    <mergeCell ref="A282:E282"/>
    <mergeCell ref="A283:E283"/>
    <mergeCell ref="A284:E284"/>
    <mergeCell ref="A285:I285"/>
    <mergeCell ref="J285:K285"/>
    <mergeCell ref="A286:I286"/>
    <mergeCell ref="J286:K286"/>
    <mergeCell ref="A287:K287"/>
    <mergeCell ref="A288:I288"/>
    <mergeCell ref="J288:K290"/>
    <mergeCell ref="A289:I289"/>
    <mergeCell ref="A290:I290"/>
    <mergeCell ref="A291:I291"/>
    <mergeCell ref="J291:K291"/>
    <mergeCell ref="A292:I292"/>
    <mergeCell ref="J292:K292"/>
    <mergeCell ref="A293:K293"/>
    <mergeCell ref="A294:E294"/>
    <mergeCell ref="F294:G294"/>
    <mergeCell ref="H294:I294"/>
    <mergeCell ref="J294:K294"/>
    <mergeCell ref="A297:E297"/>
    <mergeCell ref="F297:G297"/>
    <mergeCell ref="H297:I297"/>
    <mergeCell ref="J297:K297"/>
    <mergeCell ref="A298:E298"/>
    <mergeCell ref="F298:G298"/>
    <mergeCell ref="H298:I298"/>
    <mergeCell ref="J298:K298"/>
    <mergeCell ref="A295:E295"/>
    <mergeCell ref="F295:G295"/>
    <mergeCell ref="H295:I295"/>
    <mergeCell ref="J295:K295"/>
    <mergeCell ref="A296:E296"/>
    <mergeCell ref="F296:G296"/>
    <mergeCell ref="H296:I296"/>
    <mergeCell ref="J296:K296"/>
    <mergeCell ref="A301:I301"/>
    <mergeCell ref="J301:K301"/>
    <mergeCell ref="A302:I302"/>
    <mergeCell ref="J302:K302"/>
    <mergeCell ref="A303:K303"/>
    <mergeCell ref="A304:I304"/>
    <mergeCell ref="J304:K304"/>
    <mergeCell ref="A299:E299"/>
    <mergeCell ref="F299:G299"/>
    <mergeCell ref="H299:I299"/>
    <mergeCell ref="J299:K299"/>
    <mergeCell ref="A300:I300"/>
    <mergeCell ref="J300:K300"/>
    <mergeCell ref="A308:I308"/>
    <mergeCell ref="J308:K308"/>
    <mergeCell ref="A309:I309"/>
    <mergeCell ref="J309:K313"/>
    <mergeCell ref="A310:I310"/>
    <mergeCell ref="A311:I311"/>
    <mergeCell ref="A312:I312"/>
    <mergeCell ref="A313:I313"/>
    <mergeCell ref="A305:I305"/>
    <mergeCell ref="J305:K305"/>
    <mergeCell ref="A306:I306"/>
    <mergeCell ref="J306:K306"/>
    <mergeCell ref="A307:I307"/>
    <mergeCell ref="J307:K307"/>
    <mergeCell ref="A318:I318"/>
    <mergeCell ref="J318:K322"/>
    <mergeCell ref="A319:I319"/>
    <mergeCell ref="A320:I320"/>
    <mergeCell ref="A321:I321"/>
    <mergeCell ref="A322:I322"/>
    <mergeCell ref="A314:K314"/>
    <mergeCell ref="A315:I315"/>
    <mergeCell ref="J315:K315"/>
    <mergeCell ref="A316:I316"/>
    <mergeCell ref="J316:K316"/>
    <mergeCell ref="A317:I317"/>
    <mergeCell ref="J317:K317"/>
    <mergeCell ref="B328:K328"/>
    <mergeCell ref="A329:I329"/>
    <mergeCell ref="J329:K334"/>
    <mergeCell ref="A330:I330"/>
    <mergeCell ref="A331:I331"/>
    <mergeCell ref="A332:I332"/>
    <mergeCell ref="A333:I333"/>
    <mergeCell ref="A334:I334"/>
    <mergeCell ref="A323:K323"/>
    <mergeCell ref="A324:I324"/>
    <mergeCell ref="J324:K325"/>
    <mergeCell ref="A325:I325"/>
    <mergeCell ref="A326:I326"/>
    <mergeCell ref="J326:K327"/>
    <mergeCell ref="A327:I327"/>
    <mergeCell ref="A335:A336"/>
    <mergeCell ref="B335:K335"/>
    <mergeCell ref="B336:K336"/>
    <mergeCell ref="A337:I337"/>
    <mergeCell ref="J337:K341"/>
    <mergeCell ref="A338:I338"/>
    <mergeCell ref="A339:I339"/>
    <mergeCell ref="A340:I340"/>
    <mergeCell ref="A341:I341"/>
    <mergeCell ref="M345:N348"/>
    <mergeCell ref="D348:E348"/>
    <mergeCell ref="D349:E349"/>
    <mergeCell ref="F349:G349"/>
    <mergeCell ref="I349:J349"/>
    <mergeCell ref="K349:L349"/>
    <mergeCell ref="M349:N349"/>
    <mergeCell ref="B342:K342"/>
    <mergeCell ref="A343:K343"/>
    <mergeCell ref="A344:K344"/>
    <mergeCell ref="A345:B347"/>
    <mergeCell ref="C345:C348"/>
    <mergeCell ref="D345:E347"/>
    <mergeCell ref="F345:G348"/>
    <mergeCell ref="H345:H348"/>
    <mergeCell ref="I345:J348"/>
    <mergeCell ref="K345:L348"/>
    <mergeCell ref="D350:E350"/>
    <mergeCell ref="F350:G350"/>
    <mergeCell ref="I350:J350"/>
    <mergeCell ref="K350:L350"/>
    <mergeCell ref="M350:N350"/>
    <mergeCell ref="D351:E351"/>
    <mergeCell ref="F351:G351"/>
    <mergeCell ref="I351:J351"/>
    <mergeCell ref="K351:L351"/>
    <mergeCell ref="M351:N351"/>
    <mergeCell ref="D352:E352"/>
    <mergeCell ref="F352:G352"/>
    <mergeCell ref="I352:J352"/>
    <mergeCell ref="K352:L352"/>
    <mergeCell ref="M352:N352"/>
    <mergeCell ref="D353:E353"/>
    <mergeCell ref="F353:G353"/>
    <mergeCell ref="I353:J353"/>
    <mergeCell ref="K353:L353"/>
    <mergeCell ref="M353:N353"/>
    <mergeCell ref="B357:K357"/>
    <mergeCell ref="A358:K358"/>
    <mergeCell ref="A359:K359"/>
    <mergeCell ref="A360:B362"/>
    <mergeCell ref="C360:H360"/>
    <mergeCell ref="I360:N360"/>
    <mergeCell ref="D354:E354"/>
    <mergeCell ref="F354:G354"/>
    <mergeCell ref="I354:J354"/>
    <mergeCell ref="K354:L354"/>
    <mergeCell ref="M354:N354"/>
    <mergeCell ref="A355:I355"/>
    <mergeCell ref="J355:K356"/>
    <mergeCell ref="A356:I356"/>
    <mergeCell ref="O360:R361"/>
    <mergeCell ref="C361:D361"/>
    <mergeCell ref="E361:F362"/>
    <mergeCell ref="G361:H362"/>
    <mergeCell ref="I361:J361"/>
    <mergeCell ref="K361:L362"/>
    <mergeCell ref="M361:N362"/>
    <mergeCell ref="C362:D362"/>
    <mergeCell ref="I362:J362"/>
    <mergeCell ref="O362:P362"/>
    <mergeCell ref="Q362:R362"/>
    <mergeCell ref="A363:B363"/>
    <mergeCell ref="C363:D363"/>
    <mergeCell ref="E363:F363"/>
    <mergeCell ref="G363:H363"/>
    <mergeCell ref="I363:J363"/>
    <mergeCell ref="K363:L363"/>
    <mergeCell ref="M363:N363"/>
    <mergeCell ref="O363:P363"/>
    <mergeCell ref="Q363:R363"/>
    <mergeCell ref="A368:I368"/>
    <mergeCell ref="J368:K368"/>
    <mergeCell ref="A369:I369"/>
    <mergeCell ref="J369:K370"/>
    <mergeCell ref="A370:I370"/>
    <mergeCell ref="A364:I364"/>
    <mergeCell ref="J364:K364"/>
    <mergeCell ref="A365:I365"/>
    <mergeCell ref="J365:K365"/>
    <mergeCell ref="A366:I366"/>
    <mergeCell ref="J366:K367"/>
    <mergeCell ref="A367:I367"/>
  </mergeCells>
  <conditionalFormatting sqref="H242:I242 L242:M242">
    <cfRule type="cellIs" dxfId="48" priority="2" operator="lessThan">
      <formula>0</formula>
    </cfRule>
  </conditionalFormatting>
  <conditionalFormatting sqref="I274:I277">
    <cfRule type="cellIs" dxfId="47" priority="1" operator="equal">
      <formula>0</formula>
    </cfRule>
  </conditionalFormatting>
  <dataValidations count="21">
    <dataValidation operator="greaterThanOrEqual" allowBlank="1" showInputMessage="1" showErrorMessage="1" sqref="K2 D144:E144 I144:K144 I156:K156 D156:E156" xr:uid="{00000000-0002-0000-0800-000000000000}"/>
    <dataValidation type="date" allowBlank="1" showInputMessage="1" showErrorMessage="1" errorTitle="Date Error" error="Date must be within Dates of Review Period." sqref="D37:E37 I37:K37" xr:uid="{00000000-0002-0000-0800-000001000000}">
      <formula1>$G$2</formula1>
      <formula2>$I$2</formula2>
    </dataValidation>
    <dataValidation type="decimal" operator="greaterThanOrEqual" allowBlank="1" showInputMessage="1" showErrorMessage="1" sqref="D242:E242" xr:uid="{00000000-0002-0000-0800-000002000000}">
      <formula1>MINVALDBL</formula1>
    </dataValidation>
    <dataValidation type="list" allowBlank="1" showInputMessage="1" showErrorMessage="1" promptTitle="X.6.a Entry Guidance" prompt="X.6.a cannot be &quot;NA&quot; if Column D above (Total Refund Due) is greater than $0.00." sqref="J243:K243" xr:uid="{00000000-0002-0000-0800-000003000000}">
      <formula1>"Y,N,NA"</formula1>
    </dataValidation>
    <dataValidation type="date" operator="greaterThanOrEqual" allowBlank="1" showInputMessage="1" showErrorMessage="1" errorTitle="Date Error" error="Date new service plan implemented (Column B) cannot be prior to the date of identification of need for a service plan change (Column A)." sqref="F47:K50" xr:uid="{00000000-0002-0000-0800-000004000000}">
      <formula1>A47</formula1>
    </dataValidation>
    <dataValidation type="whole" allowBlank="1" showInputMessage="1" showErrorMessage="1" sqref="H349:H354" xr:uid="{00000000-0002-0000-0800-000005000000}">
      <formula1>1</formula1>
      <formula2>31</formula2>
    </dataValidation>
    <dataValidation type="textLength" operator="greaterThan" allowBlank="1" showInputMessage="1" showErrorMessage="1" sqref="D3:D4" xr:uid="{00000000-0002-0000-0800-000006000000}">
      <formula1>1</formula1>
    </dataValidation>
    <dataValidation type="whole" allowBlank="1" showInputMessage="1" showErrorMessage="1" sqref="A2" xr:uid="{00000000-0002-0000-0800-000007000000}">
      <formula1>1</formula1>
      <formula2>99</formula2>
    </dataValidation>
    <dataValidation type="whole" operator="greaterThan" allowBlank="1" showInputMessage="1" showErrorMessage="1" sqref="E121:E130 A121:A130" xr:uid="{00000000-0002-0000-0800-000008000000}">
      <formula1>0</formula1>
    </dataValidation>
    <dataValidation type="textLength" operator="lessThanOrEqual" allowBlank="1" showInputMessage="1" showErrorMessage="1" sqref="N242:Q242 E196:K215 E172:K181 A295:E299 E225:K234" xr:uid="{00000000-0002-0000-0800-000009000000}">
      <formula1>255</formula1>
    </dataValidation>
    <dataValidation type="date" operator="greaterThan" allowBlank="1" showInputMessage="1" showErrorMessage="1" sqref="R242:S242" xr:uid="{00000000-0002-0000-0800-00000A000000}">
      <formula1>1</formula1>
    </dataValidation>
    <dataValidation type="whole" allowBlank="1" showInputMessage="1" showErrorMessage="1" sqref="C349:C354" xr:uid="{00000000-0002-0000-0800-00000B000000}">
      <formula1>1</formula1>
      <formula2>999</formula2>
    </dataValidation>
    <dataValidation type="decimal" operator="greaterThan" allowBlank="1" showInputMessage="1" showErrorMessage="1" sqref="J301:K301" xr:uid="{00000000-0002-0000-0800-00000C000000}">
      <formula1>0</formula1>
    </dataValidation>
    <dataValidation type="decimal" operator="greaterThanOrEqual" allowBlank="1" showInputMessage="1" showErrorMessage="1" sqref="F295:I299" xr:uid="{00000000-0002-0000-0800-00000D000000}">
      <formula1>0.01</formula1>
    </dataValidation>
    <dataValidation type="decimal" operator="greaterThanOrEqual" allowBlank="1" showInputMessage="1" showErrorMessage="1" sqref="G274:H277 D157:E157 I157:K157 F83:G83 F81:G81 C121:D130 J121:K130 K112:L114 K108:L108 G121:H130 I145:K145 D145:E145 C196:D215 C172:D181 C225:D234 J242:K242 D349:G354 C363:F363 I363:L363 F242:G242" xr:uid="{00000000-0002-0000-0800-00000E000000}">
      <formula1>0</formula1>
    </dataValidation>
    <dataValidation type="list" allowBlank="1" showInputMessage="1" showErrorMessage="1" sqref="B242" xr:uid="{00000000-0002-0000-0800-00000F000000}">
      <formula1>"DEATH,DISCHARGE"</formula1>
    </dataValidation>
    <dataValidation type="list" allowBlank="1" showInputMessage="1" showErrorMessage="1" sqref="J337:K341 K63:L65 K15:L16 G37 B37 J364:K365 J304:K305 J329:K334 J324 J53:K54 J56" xr:uid="{00000000-0002-0000-0800-000010000000}">
      <formula1>"Y,N,NA"</formula1>
    </dataValidation>
    <dataValidation type="list" allowBlank="1" showInputMessage="1" showErrorMessage="1" sqref="J186:K187 J266:K266 J260:K260 J238:K238 K91:L91 J140:K140 J41:K41 K7:L7 K21:L29 K12:L14 K61:L61 J286:K286 E85:G85 K94:L94 J263:K263 K68:L68 F274:F284 H273 J270:K271 J251:K251 J254:K254 J257:K257 J162 J117:L118 J149:K149" xr:uid="{00000000-0002-0000-0800-000011000000}">
      <formula1>"Y,N"</formula1>
    </dataValidation>
    <dataValidation type="date" operator="greaterThanOrEqual" allowBlank="1" showInputMessage="1" showErrorMessage="1" sqref="A349 M2 A225:B234 K349:N354 B121:B130 K10:L11 M363:N363 I121:I130 F121:F130 G111:H111 G108:H108 F104:H104 A196:B215 A172:B181 A242 A363:B363 G363:H363" xr:uid="{00000000-0002-0000-0800-000012000000}">
      <formula1>1</formula1>
    </dataValidation>
    <dataValidation type="date" operator="greaterThan" allowBlank="1" showInputMessage="1" showErrorMessage="1" errorTitle="Date Error" error="&quot;From&quot; date must be later than previous &quot;To&quot; date." sqref="A350:A354" xr:uid="{00000000-0002-0000-0800-000013000000}">
      <formula1>B349</formula1>
    </dataValidation>
    <dataValidation type="date" operator="greaterThanOrEqual" allowBlank="1" showInputMessage="1" showErrorMessage="1" errorTitle="Date Error" error="&quot;To&quot; date cannot be earlier than &quot;From&quot; date." sqref="B349:B354" xr:uid="{00000000-0002-0000-0800-000014000000}">
      <formula1>A349</formula1>
    </dataValidation>
  </dataValidations>
  <pageMargins left="0.5" right="0.5" top="1" bottom="0.75" header="0.25" footer="0.25"/>
  <pageSetup fitToHeight="37" orientation="landscape" r:id="rId2"/>
  <headerFooter>
    <oddHeader>&amp;L&amp;"Arial,Regular"&amp;8Texas Department
of Aging and
Disability Services&amp;C&amp;"Arial,Bold"&amp;12RESIDENTIAL CARE (RC)
INDIVIDUAL WORK PAPER&amp;R&amp;"Arial,Regular"&amp;8Form TBD
Page &amp;P</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378881" r:id="rId5" name="Check Box 1">
              <controlPr defaultSize="0" autoFill="0" autoLine="0" autoPict="0">
                <anchor moveWithCells="1">
                  <from>
                    <xdr:col>2</xdr:col>
                    <xdr:colOff>215900</xdr:colOff>
                    <xdr:row>34</xdr:row>
                    <xdr:rowOff>0</xdr:rowOff>
                  </from>
                  <to>
                    <xdr:col>3</xdr:col>
                    <xdr:colOff>558800</xdr:colOff>
                    <xdr:row>34</xdr:row>
                    <xdr:rowOff>222250</xdr:rowOff>
                  </to>
                </anchor>
              </controlPr>
            </control>
          </mc:Choice>
        </mc:AlternateContent>
        <mc:AlternateContent xmlns:mc="http://schemas.openxmlformats.org/markup-compatibility/2006">
          <mc:Choice Requires="x14">
            <control shapeId="378882" r:id="rId6" name="Check Box 2">
              <controlPr defaultSize="0" autoFill="0" autoLine="0" autoPict="0">
                <anchor moveWithCells="1">
                  <from>
                    <xdr:col>0</xdr:col>
                    <xdr:colOff>25400</xdr:colOff>
                    <xdr:row>34</xdr:row>
                    <xdr:rowOff>0</xdr:rowOff>
                  </from>
                  <to>
                    <xdr:col>1</xdr:col>
                    <xdr:colOff>641350</xdr:colOff>
                    <xdr:row>34</xdr:row>
                    <xdr:rowOff>222250</xdr:rowOff>
                  </to>
                </anchor>
              </controlPr>
            </control>
          </mc:Choice>
        </mc:AlternateContent>
        <mc:AlternateContent xmlns:mc="http://schemas.openxmlformats.org/markup-compatibility/2006">
          <mc:Choice Requires="x14">
            <control shapeId="378883" r:id="rId7" name="Check Box 3">
              <controlPr defaultSize="0" autoFill="0" autoLine="0" autoPict="0">
                <anchor moveWithCells="1">
                  <from>
                    <xdr:col>4</xdr:col>
                    <xdr:colOff>31750</xdr:colOff>
                    <xdr:row>34</xdr:row>
                    <xdr:rowOff>0</xdr:rowOff>
                  </from>
                  <to>
                    <xdr:col>5</xdr:col>
                    <xdr:colOff>31750</xdr:colOff>
                    <xdr:row>34</xdr:row>
                    <xdr:rowOff>222250</xdr:rowOff>
                  </to>
                </anchor>
              </controlPr>
            </control>
          </mc:Choice>
        </mc:AlternateContent>
        <mc:AlternateContent xmlns:mc="http://schemas.openxmlformats.org/markup-compatibility/2006">
          <mc:Choice Requires="x14">
            <control shapeId="378884" r:id="rId8" name="Check Box 4">
              <controlPr defaultSize="0" autoFill="0" autoLine="0" autoPict="0">
                <anchor moveWithCells="1">
                  <from>
                    <xdr:col>5</xdr:col>
                    <xdr:colOff>107950</xdr:colOff>
                    <xdr:row>34</xdr:row>
                    <xdr:rowOff>0</xdr:rowOff>
                  </from>
                  <to>
                    <xdr:col>7</xdr:col>
                    <xdr:colOff>215900</xdr:colOff>
                    <xdr:row>34</xdr:row>
                    <xdr:rowOff>222250</xdr:rowOff>
                  </to>
                </anchor>
              </controlPr>
            </control>
          </mc:Choice>
        </mc:AlternateContent>
        <mc:AlternateContent xmlns:mc="http://schemas.openxmlformats.org/markup-compatibility/2006">
          <mc:Choice Requires="x14">
            <control shapeId="378885" r:id="rId9" name="Check Box 5">
              <controlPr defaultSize="0" autoFill="0" autoLine="0" autoPict="0">
                <anchor moveWithCells="1">
                  <from>
                    <xdr:col>7</xdr:col>
                    <xdr:colOff>349250</xdr:colOff>
                    <xdr:row>34</xdr:row>
                    <xdr:rowOff>0</xdr:rowOff>
                  </from>
                  <to>
                    <xdr:col>9</xdr:col>
                    <xdr:colOff>152400</xdr:colOff>
                    <xdr:row>34</xdr:row>
                    <xdr:rowOff>222250</xdr:rowOff>
                  </to>
                </anchor>
              </controlPr>
            </control>
          </mc:Choice>
        </mc:AlternateContent>
        <mc:AlternateContent xmlns:mc="http://schemas.openxmlformats.org/markup-compatibility/2006">
          <mc:Choice Requires="x14">
            <control shapeId="378886" r:id="rId10" name="Check Box 6">
              <controlPr defaultSize="0" autoFill="0" autoLine="0" autoPict="0">
                <anchor moveWithCells="1">
                  <from>
                    <xdr:col>9</xdr:col>
                    <xdr:colOff>368300</xdr:colOff>
                    <xdr:row>34</xdr:row>
                    <xdr:rowOff>0</xdr:rowOff>
                  </from>
                  <to>
                    <xdr:col>10</xdr:col>
                    <xdr:colOff>273050</xdr:colOff>
                    <xdr:row>34</xdr:row>
                    <xdr:rowOff>222250</xdr:rowOff>
                  </to>
                </anchor>
              </controlPr>
            </control>
          </mc:Choice>
        </mc:AlternateContent>
        <mc:AlternateContent xmlns:mc="http://schemas.openxmlformats.org/markup-compatibility/2006">
          <mc:Choice Requires="x14">
            <control shapeId="378887" r:id="rId11" name="Check Box 7">
              <controlPr defaultSize="0" autoFill="0" autoLine="0" autoPict="0">
                <anchor moveWithCells="1">
                  <from>
                    <xdr:col>0</xdr:col>
                    <xdr:colOff>25400</xdr:colOff>
                    <xdr:row>34</xdr:row>
                    <xdr:rowOff>254000</xdr:rowOff>
                  </from>
                  <to>
                    <xdr:col>0</xdr:col>
                    <xdr:colOff>596900</xdr:colOff>
                    <xdr:row>34</xdr:row>
                    <xdr:rowOff>463550</xdr:rowOff>
                  </to>
                </anchor>
              </controlPr>
            </control>
          </mc:Choice>
        </mc:AlternateContent>
        <mc:AlternateContent xmlns:mc="http://schemas.openxmlformats.org/markup-compatibility/2006">
          <mc:Choice Requires="x14">
            <control shapeId="378888" r:id="rId12" name="Check Box 8">
              <controlPr defaultSize="0" autoFill="0" autoLine="0" autoPict="0">
                <anchor moveWithCells="1">
                  <from>
                    <xdr:col>1</xdr:col>
                    <xdr:colOff>63500</xdr:colOff>
                    <xdr:row>34</xdr:row>
                    <xdr:rowOff>254000</xdr:rowOff>
                  </from>
                  <to>
                    <xdr:col>1</xdr:col>
                    <xdr:colOff>679450</xdr:colOff>
                    <xdr:row>34</xdr:row>
                    <xdr:rowOff>463550</xdr:rowOff>
                  </to>
                </anchor>
              </controlPr>
            </control>
          </mc:Choice>
        </mc:AlternateContent>
        <mc:AlternateContent xmlns:mc="http://schemas.openxmlformats.org/markup-compatibility/2006">
          <mc:Choice Requires="x14">
            <control shapeId="378889" r:id="rId13" name="Check Box 9">
              <controlPr defaultSize="0" autoFill="0" autoLine="0" autoPict="0">
                <anchor moveWithCells="1">
                  <from>
                    <xdr:col>2</xdr:col>
                    <xdr:colOff>146050</xdr:colOff>
                    <xdr:row>34</xdr:row>
                    <xdr:rowOff>254000</xdr:rowOff>
                  </from>
                  <to>
                    <xdr:col>3</xdr:col>
                    <xdr:colOff>222250</xdr:colOff>
                    <xdr:row>34</xdr:row>
                    <xdr:rowOff>463550</xdr:rowOff>
                  </to>
                </anchor>
              </controlPr>
            </control>
          </mc:Choice>
        </mc:AlternateContent>
        <mc:AlternateContent xmlns:mc="http://schemas.openxmlformats.org/markup-compatibility/2006">
          <mc:Choice Requires="x14">
            <control shapeId="378890" r:id="rId14" name="Check Box 10">
              <controlPr defaultSize="0" autoFill="0" autoLine="0" autoPict="0">
                <anchor moveWithCells="1">
                  <from>
                    <xdr:col>3</xdr:col>
                    <xdr:colOff>304800</xdr:colOff>
                    <xdr:row>34</xdr:row>
                    <xdr:rowOff>254000</xdr:rowOff>
                  </from>
                  <to>
                    <xdr:col>5</xdr:col>
                    <xdr:colOff>234950</xdr:colOff>
                    <xdr:row>34</xdr:row>
                    <xdr:rowOff>463550</xdr:rowOff>
                  </to>
                </anchor>
              </controlPr>
            </control>
          </mc:Choice>
        </mc:AlternateContent>
        <mc:AlternateContent xmlns:mc="http://schemas.openxmlformats.org/markup-compatibility/2006">
          <mc:Choice Requires="x14">
            <control shapeId="378891" r:id="rId15" name="Check Box 11">
              <controlPr defaultSize="0" autoFill="0" autoLine="0" autoPict="0">
                <anchor moveWithCells="1">
                  <from>
                    <xdr:col>5</xdr:col>
                    <xdr:colOff>311150</xdr:colOff>
                    <xdr:row>34</xdr:row>
                    <xdr:rowOff>254000</xdr:rowOff>
                  </from>
                  <to>
                    <xdr:col>7</xdr:col>
                    <xdr:colOff>146050</xdr:colOff>
                    <xdr:row>34</xdr:row>
                    <xdr:rowOff>463550</xdr:rowOff>
                  </to>
                </anchor>
              </controlPr>
            </control>
          </mc:Choice>
        </mc:AlternateContent>
        <mc:AlternateContent xmlns:mc="http://schemas.openxmlformats.org/markup-compatibility/2006">
          <mc:Choice Requires="x14">
            <control shapeId="378892" r:id="rId16" name="Check Box 12">
              <controlPr defaultSize="0" autoFill="0" autoLine="0" autoPict="0">
                <anchor moveWithCells="1">
                  <from>
                    <xdr:col>7</xdr:col>
                    <xdr:colOff>292100</xdr:colOff>
                    <xdr:row>34</xdr:row>
                    <xdr:rowOff>254000</xdr:rowOff>
                  </from>
                  <to>
                    <xdr:col>8</xdr:col>
                    <xdr:colOff>311150</xdr:colOff>
                    <xdr:row>34</xdr:row>
                    <xdr:rowOff>463550</xdr:rowOff>
                  </to>
                </anchor>
              </controlPr>
            </control>
          </mc:Choice>
        </mc:AlternateContent>
        <mc:AlternateContent xmlns:mc="http://schemas.openxmlformats.org/markup-compatibility/2006">
          <mc:Choice Requires="x14">
            <control shapeId="378893" r:id="rId17" name="Check Box 13">
              <controlPr defaultSize="0" autoFill="0" autoLine="0" autoPict="0">
                <anchor moveWithCells="1">
                  <from>
                    <xdr:col>8</xdr:col>
                    <xdr:colOff>406400</xdr:colOff>
                    <xdr:row>34</xdr:row>
                    <xdr:rowOff>254000</xdr:rowOff>
                  </from>
                  <to>
                    <xdr:col>10</xdr:col>
                    <xdr:colOff>158750</xdr:colOff>
                    <xdr:row>34</xdr:row>
                    <xdr:rowOff>463550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date" allowBlank="1" showInputMessage="1" showErrorMessage="1" errorTitle="Date Error" error="Date must be within the dates of monitoring period." xr:uid="{00000000-0002-0000-0800-000015000000}">
          <x14:formula1>
            <xm:f>'Samples (Print)'!B2</xm:f>
          </x14:formula1>
          <x14:formula2>
            <xm:f>'Samples (Print)'!D2</xm:f>
          </x14:formula2>
          <xm:sqref>A50:E50</xm:sqref>
        </x14:dataValidation>
        <x14:dataValidation type="date" allowBlank="1" showInputMessage="1" showErrorMessage="1" errorTitle="Date Error" error="Date must be within the dates of monitoring period." xr:uid="{00000000-0002-0000-0800-000016000000}">
          <x14:formula1>
            <xm:f>'Samples (Print)'!B2</xm:f>
          </x14:formula1>
          <x14:formula2>
            <xm:f>'Samples (Print)'!D2</xm:f>
          </x14:formula2>
          <xm:sqref>A49:E49</xm:sqref>
        </x14:dataValidation>
        <x14:dataValidation type="date" allowBlank="1" showInputMessage="1" showErrorMessage="1" errorTitle="Date Error" error="Date must be within the dates of monitoring period." xr:uid="{00000000-0002-0000-0800-000017000000}">
          <x14:formula1>
            <xm:f>'Samples (Print)'!B2</xm:f>
          </x14:formula1>
          <x14:formula2>
            <xm:f>'Samples (Print)'!D2</xm:f>
          </x14:formula2>
          <xm:sqref>A48:E48</xm:sqref>
        </x14:dataValidation>
        <x14:dataValidation type="date" allowBlank="1" showInputMessage="1" showErrorMessage="1" errorTitle="Date Error" error="Date must be within the dates of monitoring period." xr:uid="{00000000-0002-0000-0800-000018000000}">
          <x14:formula1>
            <xm:f>'Samples (Print)'!B2</xm:f>
          </x14:formula1>
          <x14:formula2>
            <xm:f>'Samples (Print)'!D2</xm:f>
          </x14:formula2>
          <xm:sqref>A47:E47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9838E71788CA4FAA0BF7588A02EAF4" ma:contentTypeVersion="16" ma:contentTypeDescription="Create a new document." ma:contentTypeScope="" ma:versionID="094c63760ae5eae1a35d051b4ca30f75">
  <xsd:schema xmlns:xsd="http://www.w3.org/2001/XMLSchema" xmlns:xs="http://www.w3.org/2001/XMLSchema" xmlns:p="http://schemas.microsoft.com/office/2006/metadata/properties" xmlns:ns2="4c0983a0-4bcd-43aa-a263-d87f613ccbf3" xmlns:ns3="4258f409-72fc-4864-a9b8-c090a853676b" targetNamespace="http://schemas.microsoft.com/office/2006/metadata/properties" ma:root="true" ma:fieldsID="cb517a0a09970a183b4baa8d43f7f39e" ns2:_="" ns3:_="">
    <xsd:import namespace="4c0983a0-4bcd-43aa-a263-d87f613ccbf3"/>
    <xsd:import namespace="4258f409-72fc-4864-a9b8-c090a853676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0983a0-4bcd-43aa-a263-d87f613ccbf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58f409-72fc-4864-a9b8-c090a853676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13EFA43-9A71-419D-9737-7EEBD4D4E8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0983a0-4bcd-43aa-a263-d87f613ccbf3"/>
    <ds:schemaRef ds:uri="4258f409-72fc-4864-a9b8-c090a85367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A181086-0215-40F7-8935-3F119C65FDB2}">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563F0F91-98C5-47AF-999B-2DE6811367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5064</vt:i4>
      </vt:variant>
    </vt:vector>
  </HeadingPairs>
  <TitlesOfParts>
    <vt:vector size="5108" baseType="lpstr">
      <vt:lpstr>Monitoring Workbook</vt:lpstr>
      <vt:lpstr>IWP01</vt:lpstr>
      <vt:lpstr>IWP02</vt:lpstr>
      <vt:lpstr>IWP03</vt:lpstr>
      <vt:lpstr>IWP04</vt:lpstr>
      <vt:lpstr>IWP05</vt:lpstr>
      <vt:lpstr>IWP06</vt:lpstr>
      <vt:lpstr>IWP07</vt:lpstr>
      <vt:lpstr>IWP08</vt:lpstr>
      <vt:lpstr>IWP09</vt:lpstr>
      <vt:lpstr>IWP10</vt:lpstr>
      <vt:lpstr>IWP11</vt:lpstr>
      <vt:lpstr>IWP12</vt:lpstr>
      <vt:lpstr>IWP13</vt:lpstr>
      <vt:lpstr>IWP14</vt:lpstr>
      <vt:lpstr>IWP15</vt:lpstr>
      <vt:lpstr>IWP16</vt:lpstr>
      <vt:lpstr>IWP17</vt:lpstr>
      <vt:lpstr>IWP18</vt:lpstr>
      <vt:lpstr>IWP19</vt:lpstr>
      <vt:lpstr>IWP20</vt:lpstr>
      <vt:lpstr>IWP21</vt:lpstr>
      <vt:lpstr>IWP22</vt:lpstr>
      <vt:lpstr>IWP23</vt:lpstr>
      <vt:lpstr>IWP24</vt:lpstr>
      <vt:lpstr>IWP25</vt:lpstr>
      <vt:lpstr>IWP26</vt:lpstr>
      <vt:lpstr>IWP27</vt:lpstr>
      <vt:lpstr>IWP28</vt:lpstr>
      <vt:lpstr>IWP29</vt:lpstr>
      <vt:lpstr>IWP30</vt:lpstr>
      <vt:lpstr>Personal Care 3 Facility Chklst</vt:lpstr>
      <vt:lpstr>ALRC Indiv Fund Summary (Print)</vt:lpstr>
      <vt:lpstr>Unlic. Empl. Reqs. (Print)</vt:lpstr>
      <vt:lpstr>Instructions_ALRC Reimbursement</vt:lpstr>
      <vt:lpstr>ALRC Reimbursement</vt:lpstr>
      <vt:lpstr>Instructions_OHR Reimbursement</vt:lpstr>
      <vt:lpstr>OHR Reimbursement</vt:lpstr>
      <vt:lpstr>ALRC Compliance Summary (Print)</vt:lpstr>
      <vt:lpstr>OHR Compliance Summary (Print)</vt:lpstr>
      <vt:lpstr>Demand for Pmt Notice (Print)</vt:lpstr>
      <vt:lpstr>Samples (Print)</vt:lpstr>
      <vt:lpstr>Notes (Print)</vt:lpstr>
      <vt:lpstr>Data</vt:lpstr>
      <vt:lpstr>'ALRC Indiv Fund Summary (Print)'!AfcAuthToMngMoney</vt:lpstr>
      <vt:lpstr>'ALRC Compliance Summary (Print)'!ALRCOverallTotal</vt:lpstr>
      <vt:lpstr>'ALRC Compliance Summary (Print)'!ALRCTotalDueDADS</vt:lpstr>
      <vt:lpstr>'ALRC Compliance Summary (Print)'!ALRCTotalNo</vt:lpstr>
      <vt:lpstr>'ALRC Compliance Summary (Print)'!ALRCTotalYes</vt:lpstr>
      <vt:lpstr>'Personal Care 3 Facility Chklst'!BedroomOccupancy</vt:lpstr>
      <vt:lpstr>'ALRC Indiv Fund Summary (Print)'!BnkChgsFcltyChcIndvTrstFndAcct</vt:lpstr>
      <vt:lpstr>'ALRC Indiv Fund Summary (Print)'!BnkChgsPldTrstFndAcct</vt:lpstr>
      <vt:lpstr>CBAALcontractNumber</vt:lpstr>
      <vt:lpstr>CBAOHRcontractNumber</vt:lpstr>
      <vt:lpstr>CCADRCcontractNumber</vt:lpstr>
      <vt:lpstr>Checks_And_Deposits</vt:lpstr>
      <vt:lpstr>'IWP01'!ClientID</vt:lpstr>
      <vt:lpstr>'IWP02'!ClientID</vt:lpstr>
      <vt:lpstr>'IWP03'!ClientID</vt:lpstr>
      <vt:lpstr>'IWP04'!ClientID</vt:lpstr>
      <vt:lpstr>'IWP05'!ClientID</vt:lpstr>
      <vt:lpstr>'IWP06'!ClientID</vt:lpstr>
      <vt:lpstr>'IWP07'!ClientID</vt:lpstr>
      <vt:lpstr>'IWP08'!ClientID</vt:lpstr>
      <vt:lpstr>'IWP09'!ClientID</vt:lpstr>
      <vt:lpstr>'IWP10'!ClientID</vt:lpstr>
      <vt:lpstr>'IWP11'!ClientID</vt:lpstr>
      <vt:lpstr>'IWP12'!ClientID</vt:lpstr>
      <vt:lpstr>'IWP13'!ClientID</vt:lpstr>
      <vt:lpstr>'IWP14'!ClientID</vt:lpstr>
      <vt:lpstr>'IWP15'!ClientID</vt:lpstr>
      <vt:lpstr>'IWP16'!ClientID</vt:lpstr>
      <vt:lpstr>'IWP17'!ClientID</vt:lpstr>
      <vt:lpstr>'IWP18'!ClientID</vt:lpstr>
      <vt:lpstr>'IWP19'!ClientID</vt:lpstr>
      <vt:lpstr>'IWP20'!ClientID</vt:lpstr>
      <vt:lpstr>'IWP21'!ClientID</vt:lpstr>
      <vt:lpstr>'IWP22'!ClientID</vt:lpstr>
      <vt:lpstr>'IWP23'!ClientID</vt:lpstr>
      <vt:lpstr>'IWP24'!ClientID</vt:lpstr>
      <vt:lpstr>'IWP25'!ClientID</vt:lpstr>
      <vt:lpstr>'IWP26'!ClientID</vt:lpstr>
      <vt:lpstr>'IWP27'!ClientID</vt:lpstr>
      <vt:lpstr>'IWP28'!ClientID</vt:lpstr>
      <vt:lpstr>'IWP29'!ClientID</vt:lpstr>
      <vt:lpstr>'IWP30'!ClientID</vt:lpstr>
      <vt:lpstr>'IWP01'!CompletedByFirstName</vt:lpstr>
      <vt:lpstr>'IWP02'!CompletedByFirstName</vt:lpstr>
      <vt:lpstr>'IWP03'!CompletedByFirstName</vt:lpstr>
      <vt:lpstr>'IWP04'!CompletedByFirstName</vt:lpstr>
      <vt:lpstr>'IWP05'!CompletedByFirstName</vt:lpstr>
      <vt:lpstr>'IWP06'!CompletedByFirstName</vt:lpstr>
      <vt:lpstr>'IWP07'!CompletedByFirstName</vt:lpstr>
      <vt:lpstr>'IWP08'!CompletedByFirstName</vt:lpstr>
      <vt:lpstr>'IWP09'!CompletedByFirstName</vt:lpstr>
      <vt:lpstr>'IWP10'!CompletedByFirstName</vt:lpstr>
      <vt:lpstr>'IWP11'!CompletedByFirstName</vt:lpstr>
      <vt:lpstr>'IWP12'!CompletedByFirstName</vt:lpstr>
      <vt:lpstr>'IWP13'!CompletedByFirstName</vt:lpstr>
      <vt:lpstr>'IWP14'!CompletedByFirstName</vt:lpstr>
      <vt:lpstr>'IWP15'!CompletedByFirstName</vt:lpstr>
      <vt:lpstr>'IWP16'!CompletedByFirstName</vt:lpstr>
      <vt:lpstr>'IWP17'!CompletedByFirstName</vt:lpstr>
      <vt:lpstr>'IWP18'!CompletedByFirstName</vt:lpstr>
      <vt:lpstr>'IWP19'!CompletedByFirstName</vt:lpstr>
      <vt:lpstr>'IWP20'!CompletedByFirstName</vt:lpstr>
      <vt:lpstr>'IWP21'!CompletedByFirstName</vt:lpstr>
      <vt:lpstr>'IWP22'!CompletedByFirstName</vt:lpstr>
      <vt:lpstr>'IWP23'!CompletedByFirstName</vt:lpstr>
      <vt:lpstr>'IWP24'!CompletedByFirstName</vt:lpstr>
      <vt:lpstr>'IWP25'!CompletedByFirstName</vt:lpstr>
      <vt:lpstr>'IWP26'!CompletedByFirstName</vt:lpstr>
      <vt:lpstr>'IWP27'!CompletedByFirstName</vt:lpstr>
      <vt:lpstr>'IWP28'!CompletedByFirstName</vt:lpstr>
      <vt:lpstr>'IWP29'!CompletedByFirstName</vt:lpstr>
      <vt:lpstr>'IWP30'!CompletedByFirstName</vt:lpstr>
      <vt:lpstr>CompletedByFirstName</vt:lpstr>
      <vt:lpstr>'IWP01'!CompletedByLastName</vt:lpstr>
      <vt:lpstr>'IWP02'!CompletedByLastName</vt:lpstr>
      <vt:lpstr>'IWP03'!CompletedByLastName</vt:lpstr>
      <vt:lpstr>'IWP04'!CompletedByLastName</vt:lpstr>
      <vt:lpstr>'IWP05'!CompletedByLastName</vt:lpstr>
      <vt:lpstr>'IWP06'!CompletedByLastName</vt:lpstr>
      <vt:lpstr>'IWP07'!CompletedByLastName</vt:lpstr>
      <vt:lpstr>'IWP08'!CompletedByLastName</vt:lpstr>
      <vt:lpstr>'IWP09'!CompletedByLastName</vt:lpstr>
      <vt:lpstr>'IWP10'!CompletedByLastName</vt:lpstr>
      <vt:lpstr>'IWP11'!CompletedByLastName</vt:lpstr>
      <vt:lpstr>'IWP12'!CompletedByLastName</vt:lpstr>
      <vt:lpstr>'IWP13'!CompletedByLastName</vt:lpstr>
      <vt:lpstr>'IWP14'!CompletedByLastName</vt:lpstr>
      <vt:lpstr>'IWP15'!CompletedByLastName</vt:lpstr>
      <vt:lpstr>'IWP16'!CompletedByLastName</vt:lpstr>
      <vt:lpstr>'IWP17'!CompletedByLastName</vt:lpstr>
      <vt:lpstr>'IWP18'!CompletedByLastName</vt:lpstr>
      <vt:lpstr>'IWP19'!CompletedByLastName</vt:lpstr>
      <vt:lpstr>'IWP20'!CompletedByLastName</vt:lpstr>
      <vt:lpstr>'IWP21'!CompletedByLastName</vt:lpstr>
      <vt:lpstr>'IWP22'!CompletedByLastName</vt:lpstr>
      <vt:lpstr>'IWP23'!CompletedByLastName</vt:lpstr>
      <vt:lpstr>'IWP24'!CompletedByLastName</vt:lpstr>
      <vt:lpstr>'IWP25'!CompletedByLastName</vt:lpstr>
      <vt:lpstr>'IWP26'!CompletedByLastName</vt:lpstr>
      <vt:lpstr>'IWP27'!CompletedByLastName</vt:lpstr>
      <vt:lpstr>'IWP28'!CompletedByLastName</vt:lpstr>
      <vt:lpstr>'IWP29'!CompletedByLastName</vt:lpstr>
      <vt:lpstr>'IWP30'!CompletedByLastName</vt:lpstr>
      <vt:lpstr>CompletedByLastName</vt:lpstr>
      <vt:lpstr>'IWP01'!ContractNumber</vt:lpstr>
      <vt:lpstr>'IWP02'!ContractNumber</vt:lpstr>
      <vt:lpstr>'IWP03'!ContractNumber</vt:lpstr>
      <vt:lpstr>'IWP04'!ContractNumber</vt:lpstr>
      <vt:lpstr>'IWP05'!ContractNumber</vt:lpstr>
      <vt:lpstr>'IWP06'!ContractNumber</vt:lpstr>
      <vt:lpstr>'IWP07'!ContractNumber</vt:lpstr>
      <vt:lpstr>'IWP08'!ContractNumber</vt:lpstr>
      <vt:lpstr>'IWP09'!ContractNumber</vt:lpstr>
      <vt:lpstr>'IWP10'!ContractNumber</vt:lpstr>
      <vt:lpstr>'IWP11'!ContractNumber</vt:lpstr>
      <vt:lpstr>'IWP12'!ContractNumber</vt:lpstr>
      <vt:lpstr>'IWP13'!ContractNumber</vt:lpstr>
      <vt:lpstr>'IWP14'!ContractNumber</vt:lpstr>
      <vt:lpstr>'IWP15'!ContractNumber</vt:lpstr>
      <vt:lpstr>'IWP16'!ContractNumber</vt:lpstr>
      <vt:lpstr>'IWP17'!ContractNumber</vt:lpstr>
      <vt:lpstr>'IWP18'!ContractNumber</vt:lpstr>
      <vt:lpstr>'IWP19'!ContractNumber</vt:lpstr>
      <vt:lpstr>'IWP20'!ContractNumber</vt:lpstr>
      <vt:lpstr>'IWP21'!ContractNumber</vt:lpstr>
      <vt:lpstr>'IWP22'!ContractNumber</vt:lpstr>
      <vt:lpstr>'IWP23'!ContractNumber</vt:lpstr>
      <vt:lpstr>'IWP24'!ContractNumber</vt:lpstr>
      <vt:lpstr>'IWP25'!ContractNumber</vt:lpstr>
      <vt:lpstr>'IWP26'!ContractNumber</vt:lpstr>
      <vt:lpstr>'IWP27'!ContractNumber</vt:lpstr>
      <vt:lpstr>'IWP28'!ContractNumber</vt:lpstr>
      <vt:lpstr>'IWP29'!ContractNumber</vt:lpstr>
      <vt:lpstr>'IWP30'!ContractNumber</vt:lpstr>
      <vt:lpstr>Data!ContractNumbers</vt:lpstr>
      <vt:lpstr>'IWP01'!ContractType</vt:lpstr>
      <vt:lpstr>'IWP02'!ContractType</vt:lpstr>
      <vt:lpstr>'IWP03'!ContractType</vt:lpstr>
      <vt:lpstr>'IWP04'!ContractType</vt:lpstr>
      <vt:lpstr>'IWP05'!ContractType</vt:lpstr>
      <vt:lpstr>'IWP06'!ContractType</vt:lpstr>
      <vt:lpstr>'IWP07'!ContractType</vt:lpstr>
      <vt:lpstr>'IWP08'!ContractType</vt:lpstr>
      <vt:lpstr>'IWP09'!ContractType</vt:lpstr>
      <vt:lpstr>'IWP10'!ContractType</vt:lpstr>
      <vt:lpstr>'IWP11'!ContractType</vt:lpstr>
      <vt:lpstr>'IWP12'!ContractType</vt:lpstr>
      <vt:lpstr>'IWP13'!ContractType</vt:lpstr>
      <vt:lpstr>'IWP14'!ContractType</vt:lpstr>
      <vt:lpstr>'IWP15'!ContractType</vt:lpstr>
      <vt:lpstr>'IWP16'!ContractType</vt:lpstr>
      <vt:lpstr>'IWP17'!ContractType</vt:lpstr>
      <vt:lpstr>'IWP18'!ContractType</vt:lpstr>
      <vt:lpstr>'IWP19'!ContractType</vt:lpstr>
      <vt:lpstr>'IWP20'!ContractType</vt:lpstr>
      <vt:lpstr>'IWP21'!ContractType</vt:lpstr>
      <vt:lpstr>'IWP22'!ContractType</vt:lpstr>
      <vt:lpstr>'IWP23'!ContractType</vt:lpstr>
      <vt:lpstr>'IWP24'!ContractType</vt:lpstr>
      <vt:lpstr>'IWP25'!ContractType</vt:lpstr>
      <vt:lpstr>'IWP26'!ContractType</vt:lpstr>
      <vt:lpstr>'IWP27'!ContractType</vt:lpstr>
      <vt:lpstr>'IWP28'!ContractType</vt:lpstr>
      <vt:lpstr>'IWP29'!ContractType</vt:lpstr>
      <vt:lpstr>'IWP30'!ContractType</vt:lpstr>
      <vt:lpstr>'ALRC Indiv Fund Summary (Print)'!CoPyRfndCrdtDueHsptlzdIndv</vt:lpstr>
      <vt:lpstr>'IWP01'!DateCompleted</vt:lpstr>
      <vt:lpstr>'IWP02'!DateCompleted</vt:lpstr>
      <vt:lpstr>'IWP03'!DateCompleted</vt:lpstr>
      <vt:lpstr>'IWP04'!DateCompleted</vt:lpstr>
      <vt:lpstr>'IWP05'!DateCompleted</vt:lpstr>
      <vt:lpstr>'IWP06'!DateCompleted</vt:lpstr>
      <vt:lpstr>'IWP07'!DateCompleted</vt:lpstr>
      <vt:lpstr>'IWP08'!DateCompleted</vt:lpstr>
      <vt:lpstr>'IWP09'!DateCompleted</vt:lpstr>
      <vt:lpstr>'IWP10'!DateCompleted</vt:lpstr>
      <vt:lpstr>'IWP11'!DateCompleted</vt:lpstr>
      <vt:lpstr>'IWP12'!DateCompleted</vt:lpstr>
      <vt:lpstr>'IWP13'!DateCompleted</vt:lpstr>
      <vt:lpstr>'IWP14'!DateCompleted</vt:lpstr>
      <vt:lpstr>'IWP15'!DateCompleted</vt:lpstr>
      <vt:lpstr>'IWP16'!DateCompleted</vt:lpstr>
      <vt:lpstr>'IWP17'!DateCompleted</vt:lpstr>
      <vt:lpstr>'IWP18'!DateCompleted</vt:lpstr>
      <vt:lpstr>'IWP19'!DateCompleted</vt:lpstr>
      <vt:lpstr>'IWP20'!DateCompleted</vt:lpstr>
      <vt:lpstr>'IWP21'!DateCompleted</vt:lpstr>
      <vt:lpstr>'IWP22'!DateCompleted</vt:lpstr>
      <vt:lpstr>'IWP23'!DateCompleted</vt:lpstr>
      <vt:lpstr>'IWP24'!DateCompleted</vt:lpstr>
      <vt:lpstr>'IWP25'!DateCompleted</vt:lpstr>
      <vt:lpstr>'IWP26'!DateCompleted</vt:lpstr>
      <vt:lpstr>'IWP27'!DateCompleted</vt:lpstr>
      <vt:lpstr>'IWP28'!DateCompleted</vt:lpstr>
      <vt:lpstr>'IWP29'!DateCompleted</vt:lpstr>
      <vt:lpstr>'IWP30'!DateCompleted</vt:lpstr>
      <vt:lpstr>DateOfEntrance</vt:lpstr>
      <vt:lpstr>DateOfExit</vt:lpstr>
      <vt:lpstr>DateOfRevisedExit</vt:lpstr>
      <vt:lpstr>Deposits_In_Transit</vt:lpstr>
      <vt:lpstr>'ALRC Indiv Fund Summary (Print)'!DpstsIndvTrstFndOrPtyCshAcct</vt:lpstr>
      <vt:lpstr>'ALRC Indiv Fund Summary (Print)'!DpstsPldTrstFndAcct</vt:lpstr>
      <vt:lpstr>'IWP01'!FiscalReviewFirstMonth</vt:lpstr>
      <vt:lpstr>'IWP02'!FiscalReviewFirstMonth</vt:lpstr>
      <vt:lpstr>'IWP03'!FiscalReviewFirstMonth</vt:lpstr>
      <vt:lpstr>'IWP04'!FiscalReviewFirstMonth</vt:lpstr>
      <vt:lpstr>'IWP05'!FiscalReviewFirstMonth</vt:lpstr>
      <vt:lpstr>'IWP06'!FiscalReviewFirstMonth</vt:lpstr>
      <vt:lpstr>'IWP07'!FiscalReviewFirstMonth</vt:lpstr>
      <vt:lpstr>'IWP08'!FiscalReviewFirstMonth</vt:lpstr>
      <vt:lpstr>'IWP09'!FiscalReviewFirstMonth</vt:lpstr>
      <vt:lpstr>'IWP10'!FiscalReviewFirstMonth</vt:lpstr>
      <vt:lpstr>'IWP11'!FiscalReviewFirstMonth</vt:lpstr>
      <vt:lpstr>'IWP12'!FiscalReviewFirstMonth</vt:lpstr>
      <vt:lpstr>'IWP13'!FiscalReviewFirstMonth</vt:lpstr>
      <vt:lpstr>'IWP14'!FiscalReviewFirstMonth</vt:lpstr>
      <vt:lpstr>'IWP15'!FiscalReviewFirstMonth</vt:lpstr>
      <vt:lpstr>'IWP16'!FiscalReviewFirstMonth</vt:lpstr>
      <vt:lpstr>'IWP17'!FiscalReviewFirstMonth</vt:lpstr>
      <vt:lpstr>'IWP18'!FiscalReviewFirstMonth</vt:lpstr>
      <vt:lpstr>'IWP19'!FiscalReviewFirstMonth</vt:lpstr>
      <vt:lpstr>'IWP20'!FiscalReviewFirstMonth</vt:lpstr>
      <vt:lpstr>'IWP21'!FiscalReviewFirstMonth</vt:lpstr>
      <vt:lpstr>'IWP22'!FiscalReviewFirstMonth</vt:lpstr>
      <vt:lpstr>'IWP23'!FiscalReviewFirstMonth</vt:lpstr>
      <vt:lpstr>'IWP24'!FiscalReviewFirstMonth</vt:lpstr>
      <vt:lpstr>'IWP25'!FiscalReviewFirstMonth</vt:lpstr>
      <vt:lpstr>'IWP26'!FiscalReviewFirstMonth</vt:lpstr>
      <vt:lpstr>'IWP27'!FiscalReviewFirstMonth</vt:lpstr>
      <vt:lpstr>'IWP28'!FiscalReviewFirstMonth</vt:lpstr>
      <vt:lpstr>'IWP29'!FiscalReviewFirstMonth</vt:lpstr>
      <vt:lpstr>'IWP30'!FiscalReviewFirstMonth</vt:lpstr>
      <vt:lpstr>'IWP01'!FiscalReviewSecondMonth</vt:lpstr>
      <vt:lpstr>'IWP02'!FiscalReviewSecondMonth</vt:lpstr>
      <vt:lpstr>'IWP03'!FiscalReviewSecondMonth</vt:lpstr>
      <vt:lpstr>'IWP04'!FiscalReviewSecondMonth</vt:lpstr>
      <vt:lpstr>'IWP05'!FiscalReviewSecondMonth</vt:lpstr>
      <vt:lpstr>'IWP06'!FiscalReviewSecondMonth</vt:lpstr>
      <vt:lpstr>'IWP07'!FiscalReviewSecondMonth</vt:lpstr>
      <vt:lpstr>'IWP08'!FiscalReviewSecondMonth</vt:lpstr>
      <vt:lpstr>'IWP09'!FiscalReviewSecondMonth</vt:lpstr>
      <vt:lpstr>'IWP10'!FiscalReviewSecondMonth</vt:lpstr>
      <vt:lpstr>'IWP11'!FiscalReviewSecondMonth</vt:lpstr>
      <vt:lpstr>'IWP12'!FiscalReviewSecondMonth</vt:lpstr>
      <vt:lpstr>'IWP13'!FiscalReviewSecondMonth</vt:lpstr>
      <vt:lpstr>'IWP14'!FiscalReviewSecondMonth</vt:lpstr>
      <vt:lpstr>'IWP15'!FiscalReviewSecondMonth</vt:lpstr>
      <vt:lpstr>'IWP16'!FiscalReviewSecondMonth</vt:lpstr>
      <vt:lpstr>'IWP17'!FiscalReviewSecondMonth</vt:lpstr>
      <vt:lpstr>'IWP18'!FiscalReviewSecondMonth</vt:lpstr>
      <vt:lpstr>'IWP19'!FiscalReviewSecondMonth</vt:lpstr>
      <vt:lpstr>'IWP20'!FiscalReviewSecondMonth</vt:lpstr>
      <vt:lpstr>'IWP21'!FiscalReviewSecondMonth</vt:lpstr>
      <vt:lpstr>'IWP22'!FiscalReviewSecondMonth</vt:lpstr>
      <vt:lpstr>'IWP23'!FiscalReviewSecondMonth</vt:lpstr>
      <vt:lpstr>'IWP24'!FiscalReviewSecondMonth</vt:lpstr>
      <vt:lpstr>'IWP25'!FiscalReviewSecondMonth</vt:lpstr>
      <vt:lpstr>'IWP26'!FiscalReviewSecondMonth</vt:lpstr>
      <vt:lpstr>'IWP27'!FiscalReviewSecondMonth</vt:lpstr>
      <vt:lpstr>'IWP28'!FiscalReviewSecondMonth</vt:lpstr>
      <vt:lpstr>'IWP29'!FiscalReviewSecondMonth</vt:lpstr>
      <vt:lpstr>'IWP30'!FiscalReviewSecondMonth</vt:lpstr>
      <vt:lpstr>'ALRC Indiv Fund Summary (Print)'!IndvPtyCshFndRcncltn</vt:lpstr>
      <vt:lpstr>'ALRC Indiv Fund Summary (Print)'!IndvTrstFndRcncltn</vt:lpstr>
      <vt:lpstr>'Personal Care 3 Facility Chklst'!MeetsBilledSettingRequirements</vt:lpstr>
      <vt:lpstr>MonitoringPeriodBeginDate</vt:lpstr>
      <vt:lpstr>MonitoringPeriodEndDate</vt:lpstr>
      <vt:lpstr>'Monitoring Workbook'!MonWkBkChecksAndDeposits</vt:lpstr>
      <vt:lpstr>'Monitoring Workbook'!MonWkBkDpstsInTrans</vt:lpstr>
      <vt:lpstr>NameOfLegalEntity</vt:lpstr>
      <vt:lpstr>'Personal Care 3 Facility Chklst'!NumberDayStaff</vt:lpstr>
      <vt:lpstr>'Personal Care 3 Facility Chklst'!NumberEveningStaff</vt:lpstr>
      <vt:lpstr>'Personal Care 3 Facility Chklst'!NumberNightStaff</vt:lpstr>
      <vt:lpstr>'Personal Care 3 Facility Chklst'!NumberResidents</vt:lpstr>
      <vt:lpstr>'OHR Compliance Summary (Print)'!OHROverallTotal</vt:lpstr>
      <vt:lpstr>'OHR Compliance Summary (Print)'!OHRTotalDueDADS</vt:lpstr>
      <vt:lpstr>'OHR Compliance Summary (Print)'!OHRTotalNo</vt:lpstr>
      <vt:lpstr>'OHR Compliance Summary (Print)'!OHRTotalYes</vt:lpstr>
      <vt:lpstr>'ALRC Compliance Summary (Print)'!OverallScore</vt:lpstr>
      <vt:lpstr>'OHR Compliance Summary (Print)'!OverallScore</vt:lpstr>
      <vt:lpstr>'ALRC Indiv Fund Summary (Print)'!OvrCollRmBdCoPayBdHld</vt:lpstr>
      <vt:lpstr>'Personal Care 3 Facility Chklst'!PercentageSingleBedrooms</vt:lpstr>
      <vt:lpstr>'ALRC Indiv Fund Summary (Print)'!PldPtyCshFndRcncltn</vt:lpstr>
      <vt:lpstr>'ALRC Indiv Fund Summary (Print)'!PldTrstFndAcctRcncltn</vt:lpstr>
      <vt:lpstr>'ALRC Reimbursement'!Print_Area</vt:lpstr>
      <vt:lpstr>'IWP01'!Print_Area</vt:lpstr>
      <vt:lpstr>'IWP02'!Print_Area</vt:lpstr>
      <vt:lpstr>'IWP03'!Print_Area</vt:lpstr>
      <vt:lpstr>'IWP04'!Print_Area</vt:lpstr>
      <vt:lpstr>'IWP05'!Print_Area</vt:lpstr>
      <vt:lpstr>'IWP06'!Print_Area</vt:lpstr>
      <vt:lpstr>'IWP07'!Print_Area</vt:lpstr>
      <vt:lpstr>'IWP08'!Print_Area</vt:lpstr>
      <vt:lpstr>'IWP09'!Print_Area</vt:lpstr>
      <vt:lpstr>'IWP10'!Print_Area</vt:lpstr>
      <vt:lpstr>'IWP11'!Print_Area</vt:lpstr>
      <vt:lpstr>'IWP12'!Print_Area</vt:lpstr>
      <vt:lpstr>'IWP13'!Print_Area</vt:lpstr>
      <vt:lpstr>'IWP14'!Print_Area</vt:lpstr>
      <vt:lpstr>'IWP15'!Print_Area</vt:lpstr>
      <vt:lpstr>'IWP16'!Print_Area</vt:lpstr>
      <vt:lpstr>'IWP17'!Print_Area</vt:lpstr>
      <vt:lpstr>'IWP18'!Print_Area</vt:lpstr>
      <vt:lpstr>'IWP19'!Print_Area</vt:lpstr>
      <vt:lpstr>'IWP20'!Print_Area</vt:lpstr>
      <vt:lpstr>'IWP21'!Print_Area</vt:lpstr>
      <vt:lpstr>'IWP22'!Print_Area</vt:lpstr>
      <vt:lpstr>'IWP23'!Print_Area</vt:lpstr>
      <vt:lpstr>'IWP24'!Print_Area</vt:lpstr>
      <vt:lpstr>'IWP25'!Print_Area</vt:lpstr>
      <vt:lpstr>'IWP26'!Print_Area</vt:lpstr>
      <vt:lpstr>'IWP27'!Print_Area</vt:lpstr>
      <vt:lpstr>'IWP28'!Print_Area</vt:lpstr>
      <vt:lpstr>'IWP29'!Print_Area</vt:lpstr>
      <vt:lpstr>'IWP30'!Print_Area</vt:lpstr>
      <vt:lpstr>'Notes (Print)'!Print_Area</vt:lpstr>
      <vt:lpstr>'Personal Care 3 Facility Chklst'!Print_Area</vt:lpstr>
      <vt:lpstr>'ALRC Indiv Fund Summary (Print)'!Print_Titles</vt:lpstr>
      <vt:lpstr>'ALRC Reimbursement'!Print_Titles</vt:lpstr>
      <vt:lpstr>'Demand for Pmt Notice (Print)'!Print_Titles</vt:lpstr>
      <vt:lpstr>'IWP01'!Print_Titles</vt:lpstr>
      <vt:lpstr>'IWP02'!Print_Titles</vt:lpstr>
      <vt:lpstr>'IWP03'!Print_Titles</vt:lpstr>
      <vt:lpstr>'IWP04'!Print_Titles</vt:lpstr>
      <vt:lpstr>'IWP05'!Print_Titles</vt:lpstr>
      <vt:lpstr>'IWP06'!Print_Titles</vt:lpstr>
      <vt:lpstr>'IWP07'!Print_Titles</vt:lpstr>
      <vt:lpstr>'IWP08'!Print_Titles</vt:lpstr>
      <vt:lpstr>'IWP09'!Print_Titles</vt:lpstr>
      <vt:lpstr>'IWP10'!Print_Titles</vt:lpstr>
      <vt:lpstr>'IWP11'!Print_Titles</vt:lpstr>
      <vt:lpstr>'IWP12'!Print_Titles</vt:lpstr>
      <vt:lpstr>'IWP13'!Print_Titles</vt:lpstr>
      <vt:lpstr>'IWP14'!Print_Titles</vt:lpstr>
      <vt:lpstr>'IWP15'!Print_Titles</vt:lpstr>
      <vt:lpstr>'IWP16'!Print_Titles</vt:lpstr>
      <vt:lpstr>'IWP17'!Print_Titles</vt:lpstr>
      <vt:lpstr>'IWP18'!Print_Titles</vt:lpstr>
      <vt:lpstr>'IWP19'!Print_Titles</vt:lpstr>
      <vt:lpstr>'IWP20'!Print_Titles</vt:lpstr>
      <vt:lpstr>'IWP21'!Print_Titles</vt:lpstr>
      <vt:lpstr>'IWP22'!Print_Titles</vt:lpstr>
      <vt:lpstr>'IWP23'!Print_Titles</vt:lpstr>
      <vt:lpstr>'IWP24'!Print_Titles</vt:lpstr>
      <vt:lpstr>'IWP25'!Print_Titles</vt:lpstr>
      <vt:lpstr>'IWP26'!Print_Titles</vt:lpstr>
      <vt:lpstr>'IWP27'!Print_Titles</vt:lpstr>
      <vt:lpstr>'IWP28'!Print_Titles</vt:lpstr>
      <vt:lpstr>'IWP29'!Print_Titles</vt:lpstr>
      <vt:lpstr>'IWP30'!Print_Titles</vt:lpstr>
      <vt:lpstr>'Monitoring Workbook'!Print_Titles</vt:lpstr>
      <vt:lpstr>'Personal Care 3 Facility Chklst'!Print_Titles</vt:lpstr>
      <vt:lpstr>'Unlic. Empl. Reqs. (Print)'!Print_Titles</vt:lpstr>
      <vt:lpstr>'ALRC Indiv Fund Summary (Print)'!PrrtdIntPldTrstFndAcct</vt:lpstr>
      <vt:lpstr>'Personal Care 3 Facility Chklst'!Res2StaffRatioDay</vt:lpstr>
      <vt:lpstr>'Personal Care 3 Facility Chklst'!Res2StaffRatioEvening</vt:lpstr>
      <vt:lpstr>'Personal Care 3 Facility Chklst'!Res2StaffRatioNight</vt:lpstr>
      <vt:lpstr>'Personal Care 3 Facility Chklst'!Resulta</vt:lpstr>
      <vt:lpstr>'Personal Care 3 Facility Chklst'!Resultb</vt:lpstr>
      <vt:lpstr>Resultc</vt:lpstr>
      <vt:lpstr>ReviewLevel</vt:lpstr>
      <vt:lpstr>'IWP01'!ReviewPeriodBeginDate</vt:lpstr>
      <vt:lpstr>'IWP02'!ReviewPeriodBeginDate</vt:lpstr>
      <vt:lpstr>'IWP03'!ReviewPeriodBeginDate</vt:lpstr>
      <vt:lpstr>'IWP04'!ReviewPeriodBeginDate</vt:lpstr>
      <vt:lpstr>'IWP05'!ReviewPeriodBeginDate</vt:lpstr>
      <vt:lpstr>'IWP06'!ReviewPeriodBeginDate</vt:lpstr>
      <vt:lpstr>'IWP07'!ReviewPeriodBeginDate</vt:lpstr>
      <vt:lpstr>'IWP08'!ReviewPeriodBeginDate</vt:lpstr>
      <vt:lpstr>'IWP09'!ReviewPeriodBeginDate</vt:lpstr>
      <vt:lpstr>'IWP10'!ReviewPeriodBeginDate</vt:lpstr>
      <vt:lpstr>'IWP11'!ReviewPeriodBeginDate</vt:lpstr>
      <vt:lpstr>'IWP12'!ReviewPeriodBeginDate</vt:lpstr>
      <vt:lpstr>'IWP13'!ReviewPeriodBeginDate</vt:lpstr>
      <vt:lpstr>'IWP14'!ReviewPeriodBeginDate</vt:lpstr>
      <vt:lpstr>'IWP15'!ReviewPeriodBeginDate</vt:lpstr>
      <vt:lpstr>'IWP16'!ReviewPeriodBeginDate</vt:lpstr>
      <vt:lpstr>'IWP17'!ReviewPeriodBeginDate</vt:lpstr>
      <vt:lpstr>'IWP18'!ReviewPeriodBeginDate</vt:lpstr>
      <vt:lpstr>'IWP19'!ReviewPeriodBeginDate</vt:lpstr>
      <vt:lpstr>'IWP20'!ReviewPeriodBeginDate</vt:lpstr>
      <vt:lpstr>'IWP21'!ReviewPeriodBeginDate</vt:lpstr>
      <vt:lpstr>'IWP22'!ReviewPeriodBeginDate</vt:lpstr>
      <vt:lpstr>'IWP23'!ReviewPeriodBeginDate</vt:lpstr>
      <vt:lpstr>'IWP24'!ReviewPeriodBeginDate</vt:lpstr>
      <vt:lpstr>'IWP25'!ReviewPeriodBeginDate</vt:lpstr>
      <vt:lpstr>'IWP26'!ReviewPeriodBeginDate</vt:lpstr>
      <vt:lpstr>'IWP27'!ReviewPeriodBeginDate</vt:lpstr>
      <vt:lpstr>'IWP28'!ReviewPeriodBeginDate</vt:lpstr>
      <vt:lpstr>'IWP29'!ReviewPeriodBeginDate</vt:lpstr>
      <vt:lpstr>'IWP30'!ReviewPeriodBeginDate</vt:lpstr>
      <vt:lpstr>'IWP01'!ReviewPeriodEndDate</vt:lpstr>
      <vt:lpstr>'IWP02'!ReviewPeriodEndDate</vt:lpstr>
      <vt:lpstr>'IWP03'!ReviewPeriodEndDate</vt:lpstr>
      <vt:lpstr>'IWP04'!ReviewPeriodEndDate</vt:lpstr>
      <vt:lpstr>'IWP05'!ReviewPeriodEndDate</vt:lpstr>
      <vt:lpstr>'IWP06'!ReviewPeriodEndDate</vt:lpstr>
      <vt:lpstr>'IWP07'!ReviewPeriodEndDate</vt:lpstr>
      <vt:lpstr>'IWP08'!ReviewPeriodEndDate</vt:lpstr>
      <vt:lpstr>'IWP09'!ReviewPeriodEndDate</vt:lpstr>
      <vt:lpstr>'IWP10'!ReviewPeriodEndDate</vt:lpstr>
      <vt:lpstr>'IWP11'!ReviewPeriodEndDate</vt:lpstr>
      <vt:lpstr>'IWP12'!ReviewPeriodEndDate</vt:lpstr>
      <vt:lpstr>'IWP13'!ReviewPeriodEndDate</vt:lpstr>
      <vt:lpstr>'IWP14'!ReviewPeriodEndDate</vt:lpstr>
      <vt:lpstr>'IWP15'!ReviewPeriodEndDate</vt:lpstr>
      <vt:lpstr>'IWP16'!ReviewPeriodEndDate</vt:lpstr>
      <vt:lpstr>'IWP17'!ReviewPeriodEndDate</vt:lpstr>
      <vt:lpstr>'IWP18'!ReviewPeriodEndDate</vt:lpstr>
      <vt:lpstr>'IWP19'!ReviewPeriodEndDate</vt:lpstr>
      <vt:lpstr>'IWP20'!ReviewPeriodEndDate</vt:lpstr>
      <vt:lpstr>'IWP21'!ReviewPeriodEndDate</vt:lpstr>
      <vt:lpstr>'IWP22'!ReviewPeriodEndDate</vt:lpstr>
      <vt:lpstr>'IWP23'!ReviewPeriodEndDate</vt:lpstr>
      <vt:lpstr>'IWP24'!ReviewPeriodEndDate</vt:lpstr>
      <vt:lpstr>'IWP25'!ReviewPeriodEndDate</vt:lpstr>
      <vt:lpstr>'IWP26'!ReviewPeriodEndDate</vt:lpstr>
      <vt:lpstr>'IWP27'!ReviewPeriodEndDate</vt:lpstr>
      <vt:lpstr>'IWP28'!ReviewPeriodEndDate</vt:lpstr>
      <vt:lpstr>'IWP29'!ReviewPeriodEndDate</vt:lpstr>
      <vt:lpstr>'IWP30'!ReviewPeriodEndDate</vt:lpstr>
      <vt:lpstr>ReviewType</vt:lpstr>
      <vt:lpstr>'IWP01'!SampleNumber</vt:lpstr>
      <vt:lpstr>'IWP02'!SampleNumber</vt:lpstr>
      <vt:lpstr>'IWP03'!SampleNumber</vt:lpstr>
      <vt:lpstr>'IWP04'!SampleNumber</vt:lpstr>
      <vt:lpstr>'IWP05'!SampleNumber</vt:lpstr>
      <vt:lpstr>'IWP06'!SampleNumber</vt:lpstr>
      <vt:lpstr>'IWP07'!SampleNumber</vt:lpstr>
      <vt:lpstr>'IWP08'!SampleNumber</vt:lpstr>
      <vt:lpstr>'IWP09'!SampleNumber</vt:lpstr>
      <vt:lpstr>'IWP10'!SampleNumber</vt:lpstr>
      <vt:lpstr>'IWP11'!SampleNumber</vt:lpstr>
      <vt:lpstr>'IWP12'!SampleNumber</vt:lpstr>
      <vt:lpstr>'IWP13'!SampleNumber</vt:lpstr>
      <vt:lpstr>'IWP14'!SampleNumber</vt:lpstr>
      <vt:lpstr>'IWP15'!SampleNumber</vt:lpstr>
      <vt:lpstr>'IWP16'!SampleNumber</vt:lpstr>
      <vt:lpstr>'IWP17'!SampleNumber</vt:lpstr>
      <vt:lpstr>'IWP18'!SampleNumber</vt:lpstr>
      <vt:lpstr>'IWP19'!SampleNumber</vt:lpstr>
      <vt:lpstr>'IWP20'!SampleNumber</vt:lpstr>
      <vt:lpstr>'IWP21'!SampleNumber</vt:lpstr>
      <vt:lpstr>'IWP22'!SampleNumber</vt:lpstr>
      <vt:lpstr>'IWP23'!SampleNumber</vt:lpstr>
      <vt:lpstr>'IWP24'!SampleNumber</vt:lpstr>
      <vt:lpstr>'IWP25'!SampleNumber</vt:lpstr>
      <vt:lpstr>'IWP26'!SampleNumber</vt:lpstr>
      <vt:lpstr>'IWP27'!SampleNumber</vt:lpstr>
      <vt:lpstr>'IWP28'!SampleNumber</vt:lpstr>
      <vt:lpstr>'IWP29'!SampleNumber</vt:lpstr>
      <vt:lpstr>'IWP30'!SampleNumber</vt:lpstr>
      <vt:lpstr>SingleCare3Facility</vt:lpstr>
      <vt:lpstr>Data!SpreadsheetInfo</vt:lpstr>
      <vt:lpstr>Standard_I_1</vt:lpstr>
      <vt:lpstr>Standard_I_2a</vt:lpstr>
      <vt:lpstr>Standard_I_2a_Comments</vt:lpstr>
      <vt:lpstr>Standard_I_2b</vt:lpstr>
      <vt:lpstr>Standard_I_2b_Comments</vt:lpstr>
      <vt:lpstr>Standard_I_3</vt:lpstr>
      <vt:lpstr>Standard_I_3b</vt:lpstr>
      <vt:lpstr>Standard_I_4</vt:lpstr>
      <vt:lpstr>Standard_I_5</vt:lpstr>
      <vt:lpstr>Standard_I_6</vt:lpstr>
      <vt:lpstr>Standard_I_7</vt:lpstr>
      <vt:lpstr>Standard_I_8</vt:lpstr>
      <vt:lpstr>Standard_I_9</vt:lpstr>
      <vt:lpstr>Standard_I_Comments</vt:lpstr>
      <vt:lpstr>Standard_I_Total_No</vt:lpstr>
      <vt:lpstr>Standard_I_Total_Yes</vt:lpstr>
      <vt:lpstr>Standard_II_1_Comments</vt:lpstr>
      <vt:lpstr>Standard_II_1_Number_No</vt:lpstr>
      <vt:lpstr>Standard_II_1_Number_Yes</vt:lpstr>
      <vt:lpstr>Standard_II_2_Comments</vt:lpstr>
      <vt:lpstr>Standard_II_2_Number_No</vt:lpstr>
      <vt:lpstr>Standard_II_2_Number_Yes</vt:lpstr>
      <vt:lpstr>Standard_II_Total_No</vt:lpstr>
      <vt:lpstr>Standard_II_Total_Yes</vt:lpstr>
      <vt:lpstr>Standard_III_1_Comments</vt:lpstr>
      <vt:lpstr>Standard_III_2_Comments</vt:lpstr>
      <vt:lpstr>Standard_III_2_Number_No</vt:lpstr>
      <vt:lpstr>Standard_III_2_Number_Yes</vt:lpstr>
      <vt:lpstr>Standard_III_I_Number_No</vt:lpstr>
      <vt:lpstr>Standard_III_I_Number_Yes</vt:lpstr>
      <vt:lpstr>Standard_III_Total_No</vt:lpstr>
      <vt:lpstr>Standard_III_Total_Yes</vt:lpstr>
      <vt:lpstr>Standard_IV_1_Comments</vt:lpstr>
      <vt:lpstr>Standard_IV_1_Number_No</vt:lpstr>
      <vt:lpstr>Standard_IV_1_Number_Yes</vt:lpstr>
      <vt:lpstr>Standard_IV_2_Comments</vt:lpstr>
      <vt:lpstr>Standard_IV_2_Number_No</vt:lpstr>
      <vt:lpstr>Standard_IV_2_Number_Yes</vt:lpstr>
      <vt:lpstr>Standard_IV_3_Comments</vt:lpstr>
      <vt:lpstr>Standard_IV_3_Number_No</vt:lpstr>
      <vt:lpstr>Standard_IV_3_Number_Yes</vt:lpstr>
      <vt:lpstr>Standard_IV_4_Comments</vt:lpstr>
      <vt:lpstr>Standard_IV_4_Number_No</vt:lpstr>
      <vt:lpstr>Standard_IV_4_Number_Yes</vt:lpstr>
      <vt:lpstr>Standard_IV_Total_No</vt:lpstr>
      <vt:lpstr>Standard_IV_Total_Yes</vt:lpstr>
      <vt:lpstr>Standard_IX_1_Comments</vt:lpstr>
      <vt:lpstr>Standard_IX_Total_No</vt:lpstr>
      <vt:lpstr>Standard_IX_Total_Yes</vt:lpstr>
      <vt:lpstr>Standard_V_I_Comments</vt:lpstr>
      <vt:lpstr>Standard_V_Total_No</vt:lpstr>
      <vt:lpstr>Standard_V_Total_Yes</vt:lpstr>
      <vt:lpstr>Standard_VI_1</vt:lpstr>
      <vt:lpstr>Standard_VI_1_Comments</vt:lpstr>
      <vt:lpstr>Standard_VI_1_NotCalc</vt:lpstr>
      <vt:lpstr>Standard_VI_1f</vt:lpstr>
      <vt:lpstr>Standard_VII_1_Comments</vt:lpstr>
      <vt:lpstr>Standard_VII_Total_No</vt:lpstr>
      <vt:lpstr>Standard_VII_Total_Yes</vt:lpstr>
      <vt:lpstr>Standard_VIII</vt:lpstr>
      <vt:lpstr>Standard_VIII_1_Comments</vt:lpstr>
      <vt:lpstr>Standard_VIII_1a_NotCalc</vt:lpstr>
      <vt:lpstr>Standard_VIII_1b_NotCalc</vt:lpstr>
      <vt:lpstr>Standard_X_1_Comments</vt:lpstr>
      <vt:lpstr>Standard_X_1_Number_No</vt:lpstr>
      <vt:lpstr>Standard_X_1_Number_Yes</vt:lpstr>
      <vt:lpstr>Standard_X_2_Comments</vt:lpstr>
      <vt:lpstr>Standard_X_2_Number_No</vt:lpstr>
      <vt:lpstr>Standard_X_2_Number_Yes</vt:lpstr>
      <vt:lpstr>Standard_X_3_Comments</vt:lpstr>
      <vt:lpstr>Standard_X_3_Number_No</vt:lpstr>
      <vt:lpstr>Standard_X_3_Number_Yes</vt:lpstr>
      <vt:lpstr>Standard_X_4_Comments</vt:lpstr>
      <vt:lpstr>Standard_X_4_Number_No</vt:lpstr>
      <vt:lpstr>Standard_X_4_Number_Yes</vt:lpstr>
      <vt:lpstr>Standard_X_5_Comments</vt:lpstr>
      <vt:lpstr>Standard_X_5_Number_No</vt:lpstr>
      <vt:lpstr>Standard_X_5_Number_Yes</vt:lpstr>
      <vt:lpstr>Standard_X_6_Comments</vt:lpstr>
      <vt:lpstr>Standard_X_6_Number_No</vt:lpstr>
      <vt:lpstr>Standard_X_6_Number_Yes</vt:lpstr>
      <vt:lpstr>Standard_X_Total_No</vt:lpstr>
      <vt:lpstr>Standard_X_Total_Yes</vt:lpstr>
      <vt:lpstr>Standard_XI_1_Comments</vt:lpstr>
      <vt:lpstr>Standard_XI_1_Number_No</vt:lpstr>
      <vt:lpstr>Standard_XI_1_Number_Yes</vt:lpstr>
      <vt:lpstr>Standard_XI_2_Comments</vt:lpstr>
      <vt:lpstr>Standard_XI_2_Number_No</vt:lpstr>
      <vt:lpstr>Standard_XI_2_Number_Yes</vt:lpstr>
      <vt:lpstr>Standard_XI_3_Comments</vt:lpstr>
      <vt:lpstr>Standard_XI_3_Number_No</vt:lpstr>
      <vt:lpstr>Standard_XI_3_Number_Yes</vt:lpstr>
      <vt:lpstr>Standard_XI_4_Comments</vt:lpstr>
      <vt:lpstr>Standard_XI_4_Number_No</vt:lpstr>
      <vt:lpstr>Standard_XI_4_Number_Yes</vt:lpstr>
      <vt:lpstr>Standard_XI_5_Comments</vt:lpstr>
      <vt:lpstr>Standard_XI_5_Number_No</vt:lpstr>
      <vt:lpstr>Standard_XI_5_Number_Yes</vt:lpstr>
      <vt:lpstr>Standard_XI_Total_No</vt:lpstr>
      <vt:lpstr>Standard_XI_Total_Yes</vt:lpstr>
      <vt:lpstr>Std_VI_1_AdjustedBal</vt:lpstr>
      <vt:lpstr>Std_VI_1_Adjustments</vt:lpstr>
      <vt:lpstr>Std_VI_1_BalPettyCashLog</vt:lpstr>
      <vt:lpstr>Std_VI_1_CashOnHandDate</vt:lpstr>
      <vt:lpstr>Std_VI_1_CoinsTotal</vt:lpstr>
      <vt:lpstr>Std_VI_1_CurrencyTotal</vt:lpstr>
      <vt:lpstr>Std_VI_1_Dimes</vt:lpstr>
      <vt:lpstr>Std_VI_1_Dollars</vt:lpstr>
      <vt:lpstr>Std_VI_1_Fifties</vt:lpstr>
      <vt:lpstr>Std_VI_1_Fives</vt:lpstr>
      <vt:lpstr>Std_VI_1_HalfDollars</vt:lpstr>
      <vt:lpstr>Std_VI_1_Nickels</vt:lpstr>
      <vt:lpstr>Std_VI_1_Ones</vt:lpstr>
      <vt:lpstr>Std_VI_1_OtherCurrency</vt:lpstr>
      <vt:lpstr>Std_VI_1_Pennies</vt:lpstr>
      <vt:lpstr>Std_VI_1_PettyCashOnHand</vt:lpstr>
      <vt:lpstr>Std_VI_1_PettyCashOverShort</vt:lpstr>
      <vt:lpstr>Std_VI_1_Quarters</vt:lpstr>
      <vt:lpstr>Std_VI_1_Tens</vt:lpstr>
      <vt:lpstr>Std_VI_1_Twenties</vt:lpstr>
      <vt:lpstr>Std_VI_I_1m</vt:lpstr>
      <vt:lpstr>Std_VIII_1m</vt:lpstr>
      <vt:lpstr>Std_VIII_1n</vt:lpstr>
      <vt:lpstr>Std_VIII_AcctOverShort</vt:lpstr>
      <vt:lpstr>Std_VIII_AdjBalPerBank</vt:lpstr>
      <vt:lpstr>Std_VIII_AdjBalPerBooks</vt:lpstr>
      <vt:lpstr>Std_VIII_BalPerBooks</vt:lpstr>
      <vt:lpstr>Std_VIII_BalPerBooksDate</vt:lpstr>
      <vt:lpstr>Std_VIII_BankStmtBalance</vt:lpstr>
      <vt:lpstr>Std_VIII_BankStmtDate</vt:lpstr>
      <vt:lpstr>Std_VIII_NSFchecks</vt:lpstr>
      <vt:lpstr>Std_VIII_RecptsForDsbmnts</vt:lpstr>
      <vt:lpstr>Std_VIII_TotalDepositsInTransit</vt:lpstr>
      <vt:lpstr>Std_VIII_TotalOutstandingChecks</vt:lpstr>
      <vt:lpstr>Std_VIII_TotPtyCashOnHand</vt:lpstr>
      <vt:lpstr>Std_VIII_TotPtyCashOnHandDate</vt:lpstr>
      <vt:lpstr>Std_VIII_TrustFundTrialBalance</vt:lpstr>
      <vt:lpstr>Std_VIII_UnApplEarnedInt</vt:lpstr>
      <vt:lpstr>'IWP01'!Std_XI4_Qual_E</vt:lpstr>
      <vt:lpstr>'IWP02'!Std_XI4_Qual_E</vt:lpstr>
      <vt:lpstr>'IWP03'!Std_XI4_Qual_E</vt:lpstr>
      <vt:lpstr>'IWP04'!Std_XI4_Qual_E</vt:lpstr>
      <vt:lpstr>'IWP05'!Std_XI4_Qual_E</vt:lpstr>
      <vt:lpstr>'IWP06'!Std_XI4_Qual_E</vt:lpstr>
      <vt:lpstr>'IWP07'!Std_XI4_Qual_E</vt:lpstr>
      <vt:lpstr>'IWP08'!Std_XI4_Qual_E</vt:lpstr>
      <vt:lpstr>'IWP09'!Std_XI4_Qual_E</vt:lpstr>
      <vt:lpstr>'IWP10'!Std_XI4_Qual_E</vt:lpstr>
      <vt:lpstr>'IWP11'!Std_XI4_Qual_E</vt:lpstr>
      <vt:lpstr>'IWP12'!Std_XI4_Qual_E</vt:lpstr>
      <vt:lpstr>'IWP13'!Std_XI4_Qual_E</vt:lpstr>
      <vt:lpstr>'IWP14'!Std_XI4_Qual_E</vt:lpstr>
      <vt:lpstr>'IWP15'!Std_XI4_Qual_E</vt:lpstr>
      <vt:lpstr>'IWP16'!Std_XI4_Qual_E</vt:lpstr>
      <vt:lpstr>'IWP17'!Std_XI4_Qual_E</vt:lpstr>
      <vt:lpstr>'IWP18'!Std_XI4_Qual_E</vt:lpstr>
      <vt:lpstr>'IWP19'!Std_XI4_Qual_E</vt:lpstr>
      <vt:lpstr>'IWP20'!Std_XI4_Qual_E</vt:lpstr>
      <vt:lpstr>'IWP21'!Std_XI4_Qual_E</vt:lpstr>
      <vt:lpstr>'IWP22'!Std_XI4_Qual_E</vt:lpstr>
      <vt:lpstr>'IWP23'!Std_XI4_Qual_E</vt:lpstr>
      <vt:lpstr>'IWP24'!Std_XI4_Qual_E</vt:lpstr>
      <vt:lpstr>'IWP25'!Std_XI4_Qual_E</vt:lpstr>
      <vt:lpstr>'IWP26'!Std_XI4_Qual_E</vt:lpstr>
      <vt:lpstr>'IWP27'!Std_XI4_Qual_E</vt:lpstr>
      <vt:lpstr>'IWP28'!Std_XI4_Qual_E</vt:lpstr>
      <vt:lpstr>'IWP29'!Std_XI4_Qual_E</vt:lpstr>
      <vt:lpstr>'IWP30'!Std_XI4_Qual_E</vt:lpstr>
      <vt:lpstr>'IWP01'!Std10dot1</vt:lpstr>
      <vt:lpstr>'IWP02'!Std10dot1</vt:lpstr>
      <vt:lpstr>'IWP03'!Std10dot1</vt:lpstr>
      <vt:lpstr>'IWP04'!Std10dot1</vt:lpstr>
      <vt:lpstr>'IWP05'!Std10dot1</vt:lpstr>
      <vt:lpstr>'IWP06'!Std10dot1</vt:lpstr>
      <vt:lpstr>'IWP07'!Std10dot1</vt:lpstr>
      <vt:lpstr>'IWP08'!Std10dot1</vt:lpstr>
      <vt:lpstr>'IWP09'!Std10dot1</vt:lpstr>
      <vt:lpstr>'IWP10'!Std10dot1</vt:lpstr>
      <vt:lpstr>'IWP11'!Std10dot1</vt:lpstr>
      <vt:lpstr>'IWP12'!Std10dot1</vt:lpstr>
      <vt:lpstr>'IWP13'!Std10dot1</vt:lpstr>
      <vt:lpstr>'IWP14'!Std10dot1</vt:lpstr>
      <vt:lpstr>'IWP15'!Std10dot1</vt:lpstr>
      <vt:lpstr>'IWP16'!Std10dot1</vt:lpstr>
      <vt:lpstr>'IWP17'!Std10dot1</vt:lpstr>
      <vt:lpstr>'IWP18'!Std10dot1</vt:lpstr>
      <vt:lpstr>'IWP19'!Std10dot1</vt:lpstr>
      <vt:lpstr>'IWP20'!Std10dot1</vt:lpstr>
      <vt:lpstr>'IWP21'!Std10dot1</vt:lpstr>
      <vt:lpstr>'IWP22'!Std10dot1</vt:lpstr>
      <vt:lpstr>'IWP23'!Std10dot1</vt:lpstr>
      <vt:lpstr>'IWP24'!Std10dot1</vt:lpstr>
      <vt:lpstr>'IWP25'!Std10dot1</vt:lpstr>
      <vt:lpstr>'IWP26'!Std10dot1</vt:lpstr>
      <vt:lpstr>'IWP27'!Std10dot1</vt:lpstr>
      <vt:lpstr>'IWP28'!Std10dot1</vt:lpstr>
      <vt:lpstr>'IWP29'!Std10dot1</vt:lpstr>
      <vt:lpstr>'IWP30'!Std10dot1</vt:lpstr>
      <vt:lpstr>'IWP01'!Std10dot1Date1</vt:lpstr>
      <vt:lpstr>'IWP02'!Std10dot1Date1</vt:lpstr>
      <vt:lpstr>'IWP03'!Std10dot1Date1</vt:lpstr>
      <vt:lpstr>'IWP04'!Std10dot1Date1</vt:lpstr>
      <vt:lpstr>'IWP05'!Std10dot1Date1</vt:lpstr>
      <vt:lpstr>'IWP06'!Std10dot1Date1</vt:lpstr>
      <vt:lpstr>'IWP07'!Std10dot1Date1</vt:lpstr>
      <vt:lpstr>'IWP08'!Std10dot1Date1</vt:lpstr>
      <vt:lpstr>'IWP09'!Std10dot1Date1</vt:lpstr>
      <vt:lpstr>'IWP10'!Std10dot1Date1</vt:lpstr>
      <vt:lpstr>'IWP11'!Std10dot1Date1</vt:lpstr>
      <vt:lpstr>'IWP12'!Std10dot1Date1</vt:lpstr>
      <vt:lpstr>'IWP13'!Std10dot1Date1</vt:lpstr>
      <vt:lpstr>'IWP14'!Std10dot1Date1</vt:lpstr>
      <vt:lpstr>'IWP15'!Std10dot1Date1</vt:lpstr>
      <vt:lpstr>'IWP16'!Std10dot1Date1</vt:lpstr>
      <vt:lpstr>'IWP17'!Std10dot1Date1</vt:lpstr>
      <vt:lpstr>'IWP18'!Std10dot1Date1</vt:lpstr>
      <vt:lpstr>'IWP19'!Std10dot1Date1</vt:lpstr>
      <vt:lpstr>'IWP20'!Std10dot1Date1</vt:lpstr>
      <vt:lpstr>'IWP21'!Std10dot1Date1</vt:lpstr>
      <vt:lpstr>'IWP22'!Std10dot1Date1</vt:lpstr>
      <vt:lpstr>'IWP23'!Std10dot1Date1</vt:lpstr>
      <vt:lpstr>'IWP24'!Std10dot1Date1</vt:lpstr>
      <vt:lpstr>'IWP25'!Std10dot1Date1</vt:lpstr>
      <vt:lpstr>'IWP26'!Std10dot1Date1</vt:lpstr>
      <vt:lpstr>'IWP27'!Std10dot1Date1</vt:lpstr>
      <vt:lpstr>'IWP28'!Std10dot1Date1</vt:lpstr>
      <vt:lpstr>'IWP29'!Std10dot1Date1</vt:lpstr>
      <vt:lpstr>'IWP30'!Std10dot1Date1</vt:lpstr>
      <vt:lpstr>'IWP01'!Std10dot1Date2</vt:lpstr>
      <vt:lpstr>'IWP02'!Std10dot1Date2</vt:lpstr>
      <vt:lpstr>'IWP03'!Std10dot1Date2</vt:lpstr>
      <vt:lpstr>'IWP04'!Std10dot1Date2</vt:lpstr>
      <vt:lpstr>'IWP05'!Std10dot1Date2</vt:lpstr>
      <vt:lpstr>'IWP06'!Std10dot1Date2</vt:lpstr>
      <vt:lpstr>'IWP07'!Std10dot1Date2</vt:lpstr>
      <vt:lpstr>'IWP08'!Std10dot1Date2</vt:lpstr>
      <vt:lpstr>'IWP09'!Std10dot1Date2</vt:lpstr>
      <vt:lpstr>'IWP10'!Std10dot1Date2</vt:lpstr>
      <vt:lpstr>'IWP11'!Std10dot1Date2</vt:lpstr>
      <vt:lpstr>'IWP12'!Std10dot1Date2</vt:lpstr>
      <vt:lpstr>'IWP13'!Std10dot1Date2</vt:lpstr>
      <vt:lpstr>'IWP14'!Std10dot1Date2</vt:lpstr>
      <vt:lpstr>'IWP15'!Std10dot1Date2</vt:lpstr>
      <vt:lpstr>'IWP16'!Std10dot1Date2</vt:lpstr>
      <vt:lpstr>'IWP17'!Std10dot1Date2</vt:lpstr>
      <vt:lpstr>'IWP18'!Std10dot1Date2</vt:lpstr>
      <vt:lpstr>'IWP19'!Std10dot1Date2</vt:lpstr>
      <vt:lpstr>'IWP20'!Std10dot1Date2</vt:lpstr>
      <vt:lpstr>'IWP21'!Std10dot1Date2</vt:lpstr>
      <vt:lpstr>'IWP22'!Std10dot1Date2</vt:lpstr>
      <vt:lpstr>'IWP23'!Std10dot1Date2</vt:lpstr>
      <vt:lpstr>'IWP24'!Std10dot1Date2</vt:lpstr>
      <vt:lpstr>'IWP25'!Std10dot1Date2</vt:lpstr>
      <vt:lpstr>'IWP26'!Std10dot1Date2</vt:lpstr>
      <vt:lpstr>'IWP27'!Std10dot1Date2</vt:lpstr>
      <vt:lpstr>'IWP28'!Std10dot1Date2</vt:lpstr>
      <vt:lpstr>'IWP29'!Std10dot1Date2</vt:lpstr>
      <vt:lpstr>'IWP30'!Std10dot1Date2</vt:lpstr>
      <vt:lpstr>'IWP01'!Std10dot1NotCalc</vt:lpstr>
      <vt:lpstr>'IWP02'!Std10dot1NotCalc</vt:lpstr>
      <vt:lpstr>'IWP03'!Std10dot1NotCalc</vt:lpstr>
      <vt:lpstr>'IWP04'!Std10dot1NotCalc</vt:lpstr>
      <vt:lpstr>'IWP05'!Std10dot1NotCalc</vt:lpstr>
      <vt:lpstr>'IWP06'!Std10dot1NotCalc</vt:lpstr>
      <vt:lpstr>'IWP07'!Std10dot1NotCalc</vt:lpstr>
      <vt:lpstr>'IWP08'!Std10dot1NotCalc</vt:lpstr>
      <vt:lpstr>'IWP09'!Std10dot1NotCalc</vt:lpstr>
      <vt:lpstr>'IWP10'!Std10dot1NotCalc</vt:lpstr>
      <vt:lpstr>'IWP11'!Std10dot1NotCalc</vt:lpstr>
      <vt:lpstr>'IWP12'!Std10dot1NotCalc</vt:lpstr>
      <vt:lpstr>'IWP13'!Std10dot1NotCalc</vt:lpstr>
      <vt:lpstr>'IWP14'!Std10dot1NotCalc</vt:lpstr>
      <vt:lpstr>'IWP15'!Std10dot1NotCalc</vt:lpstr>
      <vt:lpstr>'IWP16'!Std10dot1NotCalc</vt:lpstr>
      <vt:lpstr>'IWP17'!Std10dot1NotCalc</vt:lpstr>
      <vt:lpstr>'IWP18'!Std10dot1NotCalc</vt:lpstr>
      <vt:lpstr>'IWP19'!Std10dot1NotCalc</vt:lpstr>
      <vt:lpstr>'IWP20'!Std10dot1NotCalc</vt:lpstr>
      <vt:lpstr>'IWP21'!Std10dot1NotCalc</vt:lpstr>
      <vt:lpstr>'IWP22'!Std10dot1NotCalc</vt:lpstr>
      <vt:lpstr>'IWP23'!Std10dot1NotCalc</vt:lpstr>
      <vt:lpstr>'IWP24'!Std10dot1NotCalc</vt:lpstr>
      <vt:lpstr>'IWP25'!Std10dot1NotCalc</vt:lpstr>
      <vt:lpstr>'IWP26'!Std10dot1NotCalc</vt:lpstr>
      <vt:lpstr>'IWP27'!Std10dot1NotCalc</vt:lpstr>
      <vt:lpstr>'IWP28'!Std10dot1NotCalc</vt:lpstr>
      <vt:lpstr>'IWP29'!Std10dot1NotCalc</vt:lpstr>
      <vt:lpstr>'IWP30'!Std10dot1NotCalc</vt:lpstr>
      <vt:lpstr>'IWP01'!Std10dot1TotalAmt1</vt:lpstr>
      <vt:lpstr>'IWP02'!Std10dot1TotalAmt1</vt:lpstr>
      <vt:lpstr>'IWP03'!Std10dot1TotalAmt1</vt:lpstr>
      <vt:lpstr>'IWP04'!Std10dot1TotalAmt1</vt:lpstr>
      <vt:lpstr>'IWP05'!Std10dot1TotalAmt1</vt:lpstr>
      <vt:lpstr>'IWP06'!Std10dot1TotalAmt1</vt:lpstr>
      <vt:lpstr>'IWP07'!Std10dot1TotalAmt1</vt:lpstr>
      <vt:lpstr>'IWP08'!Std10dot1TotalAmt1</vt:lpstr>
      <vt:lpstr>'IWP09'!Std10dot1TotalAmt1</vt:lpstr>
      <vt:lpstr>'IWP10'!Std10dot1TotalAmt1</vt:lpstr>
      <vt:lpstr>'IWP11'!Std10dot1TotalAmt1</vt:lpstr>
      <vt:lpstr>'IWP12'!Std10dot1TotalAmt1</vt:lpstr>
      <vt:lpstr>'IWP13'!Std10dot1TotalAmt1</vt:lpstr>
      <vt:lpstr>'IWP14'!Std10dot1TotalAmt1</vt:lpstr>
      <vt:lpstr>'IWP15'!Std10dot1TotalAmt1</vt:lpstr>
      <vt:lpstr>'IWP16'!Std10dot1TotalAmt1</vt:lpstr>
      <vt:lpstr>'IWP17'!Std10dot1TotalAmt1</vt:lpstr>
      <vt:lpstr>'IWP18'!Std10dot1TotalAmt1</vt:lpstr>
      <vt:lpstr>'IWP19'!Std10dot1TotalAmt1</vt:lpstr>
      <vt:lpstr>'IWP20'!Std10dot1TotalAmt1</vt:lpstr>
      <vt:lpstr>'IWP21'!Std10dot1TotalAmt1</vt:lpstr>
      <vt:lpstr>'IWP22'!Std10dot1TotalAmt1</vt:lpstr>
      <vt:lpstr>'IWP23'!Std10dot1TotalAmt1</vt:lpstr>
      <vt:lpstr>'IWP24'!Std10dot1TotalAmt1</vt:lpstr>
      <vt:lpstr>'IWP25'!Std10dot1TotalAmt1</vt:lpstr>
      <vt:lpstr>'IWP26'!Std10dot1TotalAmt1</vt:lpstr>
      <vt:lpstr>'IWP27'!Std10dot1TotalAmt1</vt:lpstr>
      <vt:lpstr>'IWP28'!Std10dot1TotalAmt1</vt:lpstr>
      <vt:lpstr>'IWP29'!Std10dot1TotalAmt1</vt:lpstr>
      <vt:lpstr>'IWP30'!Std10dot1TotalAmt1</vt:lpstr>
      <vt:lpstr>'IWP01'!Std10dot1TotalAmt2</vt:lpstr>
      <vt:lpstr>'IWP02'!Std10dot1TotalAmt2</vt:lpstr>
      <vt:lpstr>'IWP03'!Std10dot1TotalAmt2</vt:lpstr>
      <vt:lpstr>'IWP04'!Std10dot1TotalAmt2</vt:lpstr>
      <vt:lpstr>'IWP05'!Std10dot1TotalAmt2</vt:lpstr>
      <vt:lpstr>'IWP06'!Std10dot1TotalAmt2</vt:lpstr>
      <vt:lpstr>'IWP07'!Std10dot1TotalAmt2</vt:lpstr>
      <vt:lpstr>'IWP08'!Std10dot1TotalAmt2</vt:lpstr>
      <vt:lpstr>'IWP09'!Std10dot1TotalAmt2</vt:lpstr>
      <vt:lpstr>'IWP10'!Std10dot1TotalAmt2</vt:lpstr>
      <vt:lpstr>'IWP11'!Std10dot1TotalAmt2</vt:lpstr>
      <vt:lpstr>'IWP12'!Std10dot1TotalAmt2</vt:lpstr>
      <vt:lpstr>'IWP13'!Std10dot1TotalAmt2</vt:lpstr>
      <vt:lpstr>'IWP14'!Std10dot1TotalAmt2</vt:lpstr>
      <vt:lpstr>'IWP15'!Std10dot1TotalAmt2</vt:lpstr>
      <vt:lpstr>'IWP16'!Std10dot1TotalAmt2</vt:lpstr>
      <vt:lpstr>'IWP17'!Std10dot1TotalAmt2</vt:lpstr>
      <vt:lpstr>'IWP18'!Std10dot1TotalAmt2</vt:lpstr>
      <vt:lpstr>'IWP19'!Std10dot1TotalAmt2</vt:lpstr>
      <vt:lpstr>'IWP20'!Std10dot1TotalAmt2</vt:lpstr>
      <vt:lpstr>'IWP21'!Std10dot1TotalAmt2</vt:lpstr>
      <vt:lpstr>'IWP22'!Std10dot1TotalAmt2</vt:lpstr>
      <vt:lpstr>'IWP23'!Std10dot1TotalAmt2</vt:lpstr>
      <vt:lpstr>'IWP24'!Std10dot1TotalAmt2</vt:lpstr>
      <vt:lpstr>'IWP25'!Std10dot1TotalAmt2</vt:lpstr>
      <vt:lpstr>'IWP26'!Std10dot1TotalAmt2</vt:lpstr>
      <vt:lpstr>'IWP27'!Std10dot1TotalAmt2</vt:lpstr>
      <vt:lpstr>'IWP28'!Std10dot1TotalAmt2</vt:lpstr>
      <vt:lpstr>'IWP29'!Std10dot1TotalAmt2</vt:lpstr>
      <vt:lpstr>'IWP30'!Std10dot1TotalAmt2</vt:lpstr>
      <vt:lpstr>'IWP01'!Std10dot2</vt:lpstr>
      <vt:lpstr>'IWP02'!Std10dot2</vt:lpstr>
      <vt:lpstr>'IWP03'!Std10dot2</vt:lpstr>
      <vt:lpstr>'IWP04'!Std10dot2</vt:lpstr>
      <vt:lpstr>'IWP05'!Std10dot2</vt:lpstr>
      <vt:lpstr>'IWP06'!Std10dot2</vt:lpstr>
      <vt:lpstr>'IWP07'!Std10dot2</vt:lpstr>
      <vt:lpstr>'IWP08'!Std10dot2</vt:lpstr>
      <vt:lpstr>'IWP09'!Std10dot2</vt:lpstr>
      <vt:lpstr>'IWP10'!Std10dot2</vt:lpstr>
      <vt:lpstr>'IWP11'!Std10dot2</vt:lpstr>
      <vt:lpstr>'IWP12'!Std10dot2</vt:lpstr>
      <vt:lpstr>'IWP13'!Std10dot2</vt:lpstr>
      <vt:lpstr>'IWP14'!Std10dot2</vt:lpstr>
      <vt:lpstr>'IWP15'!Std10dot2</vt:lpstr>
      <vt:lpstr>'IWP16'!Std10dot2</vt:lpstr>
      <vt:lpstr>'IWP17'!Std10dot2</vt:lpstr>
      <vt:lpstr>'IWP18'!Std10dot2</vt:lpstr>
      <vt:lpstr>'IWP19'!Std10dot2</vt:lpstr>
      <vt:lpstr>'IWP20'!Std10dot2</vt:lpstr>
      <vt:lpstr>'IWP21'!Std10dot2</vt:lpstr>
      <vt:lpstr>'IWP22'!Std10dot2</vt:lpstr>
      <vt:lpstr>'IWP23'!Std10dot2</vt:lpstr>
      <vt:lpstr>'IWP24'!Std10dot2</vt:lpstr>
      <vt:lpstr>'IWP25'!Std10dot2</vt:lpstr>
      <vt:lpstr>'IWP26'!Std10dot2</vt:lpstr>
      <vt:lpstr>'IWP27'!Std10dot2</vt:lpstr>
      <vt:lpstr>'IWP28'!Std10dot2</vt:lpstr>
      <vt:lpstr>'IWP29'!Std10dot2</vt:lpstr>
      <vt:lpstr>'IWP30'!Std10dot2</vt:lpstr>
      <vt:lpstr>'IWP01'!Std10dot2BankChgs1</vt:lpstr>
      <vt:lpstr>'IWP02'!Std10dot2BankChgs1</vt:lpstr>
      <vt:lpstr>'IWP03'!Std10dot2BankChgs1</vt:lpstr>
      <vt:lpstr>'IWP04'!Std10dot2BankChgs1</vt:lpstr>
      <vt:lpstr>'IWP05'!Std10dot2BankChgs1</vt:lpstr>
      <vt:lpstr>'IWP06'!Std10dot2BankChgs1</vt:lpstr>
      <vt:lpstr>'IWP07'!Std10dot2BankChgs1</vt:lpstr>
      <vt:lpstr>'IWP08'!Std10dot2BankChgs1</vt:lpstr>
      <vt:lpstr>'IWP09'!Std10dot2BankChgs1</vt:lpstr>
      <vt:lpstr>'IWP10'!Std10dot2BankChgs1</vt:lpstr>
      <vt:lpstr>'IWP11'!Std10dot2BankChgs1</vt:lpstr>
      <vt:lpstr>'IWP12'!Std10dot2BankChgs1</vt:lpstr>
      <vt:lpstr>'IWP13'!Std10dot2BankChgs1</vt:lpstr>
      <vt:lpstr>'IWP14'!Std10dot2BankChgs1</vt:lpstr>
      <vt:lpstr>'IWP15'!Std10dot2BankChgs1</vt:lpstr>
      <vt:lpstr>'IWP16'!Std10dot2BankChgs1</vt:lpstr>
      <vt:lpstr>'IWP17'!Std10dot2BankChgs1</vt:lpstr>
      <vt:lpstr>'IWP18'!Std10dot2BankChgs1</vt:lpstr>
      <vt:lpstr>'IWP19'!Std10dot2BankChgs1</vt:lpstr>
      <vt:lpstr>'IWP20'!Std10dot2BankChgs1</vt:lpstr>
      <vt:lpstr>'IWP21'!Std10dot2BankChgs1</vt:lpstr>
      <vt:lpstr>'IWP22'!Std10dot2BankChgs1</vt:lpstr>
      <vt:lpstr>'IWP23'!Std10dot2BankChgs1</vt:lpstr>
      <vt:lpstr>'IWP24'!Std10dot2BankChgs1</vt:lpstr>
      <vt:lpstr>'IWP25'!Std10dot2BankChgs1</vt:lpstr>
      <vt:lpstr>'IWP26'!Std10dot2BankChgs1</vt:lpstr>
      <vt:lpstr>'IWP27'!Std10dot2BankChgs1</vt:lpstr>
      <vt:lpstr>'IWP28'!Std10dot2BankChgs1</vt:lpstr>
      <vt:lpstr>'IWP29'!Std10dot2BankChgs1</vt:lpstr>
      <vt:lpstr>'IWP30'!Std10dot2BankChgs1</vt:lpstr>
      <vt:lpstr>'IWP01'!Std10dot2BankChgs2</vt:lpstr>
      <vt:lpstr>'IWP02'!Std10dot2BankChgs2</vt:lpstr>
      <vt:lpstr>'IWP03'!Std10dot2BankChgs2</vt:lpstr>
      <vt:lpstr>'IWP04'!Std10dot2BankChgs2</vt:lpstr>
      <vt:lpstr>'IWP05'!Std10dot2BankChgs2</vt:lpstr>
      <vt:lpstr>'IWP06'!Std10dot2BankChgs2</vt:lpstr>
      <vt:lpstr>'IWP07'!Std10dot2BankChgs2</vt:lpstr>
      <vt:lpstr>'IWP08'!Std10dot2BankChgs2</vt:lpstr>
      <vt:lpstr>'IWP09'!Std10dot2BankChgs2</vt:lpstr>
      <vt:lpstr>'IWP10'!Std10dot2BankChgs2</vt:lpstr>
      <vt:lpstr>'IWP11'!Std10dot2BankChgs2</vt:lpstr>
      <vt:lpstr>'IWP12'!Std10dot2BankChgs2</vt:lpstr>
      <vt:lpstr>'IWP13'!Std10dot2BankChgs2</vt:lpstr>
      <vt:lpstr>'IWP14'!Std10dot2BankChgs2</vt:lpstr>
      <vt:lpstr>'IWP15'!Std10dot2BankChgs2</vt:lpstr>
      <vt:lpstr>'IWP16'!Std10dot2BankChgs2</vt:lpstr>
      <vt:lpstr>'IWP17'!Std10dot2BankChgs2</vt:lpstr>
      <vt:lpstr>'IWP18'!Std10dot2BankChgs2</vt:lpstr>
      <vt:lpstr>'IWP19'!Std10dot2BankChgs2</vt:lpstr>
      <vt:lpstr>'IWP20'!Std10dot2BankChgs2</vt:lpstr>
      <vt:lpstr>'IWP21'!Std10dot2BankChgs2</vt:lpstr>
      <vt:lpstr>'IWP22'!Std10dot2BankChgs2</vt:lpstr>
      <vt:lpstr>'IWP23'!Std10dot2BankChgs2</vt:lpstr>
      <vt:lpstr>'IWP24'!Std10dot2BankChgs2</vt:lpstr>
      <vt:lpstr>'IWP25'!Std10dot2BankChgs2</vt:lpstr>
      <vt:lpstr>'IWP26'!Std10dot2BankChgs2</vt:lpstr>
      <vt:lpstr>'IWP27'!Std10dot2BankChgs2</vt:lpstr>
      <vt:lpstr>'IWP28'!Std10dot2BankChgs2</vt:lpstr>
      <vt:lpstr>'IWP29'!Std10dot2BankChgs2</vt:lpstr>
      <vt:lpstr>'IWP30'!Std10dot2BankChgs2</vt:lpstr>
      <vt:lpstr>'IWP01'!Std10dot2Date1</vt:lpstr>
      <vt:lpstr>'IWP02'!Std10dot2Date1</vt:lpstr>
      <vt:lpstr>'IWP03'!Std10dot2Date1</vt:lpstr>
      <vt:lpstr>'IWP04'!Std10dot2Date1</vt:lpstr>
      <vt:lpstr>'IWP05'!Std10dot2Date1</vt:lpstr>
      <vt:lpstr>'IWP06'!Std10dot2Date1</vt:lpstr>
      <vt:lpstr>'IWP07'!Std10dot2Date1</vt:lpstr>
      <vt:lpstr>'IWP08'!Std10dot2Date1</vt:lpstr>
      <vt:lpstr>'IWP09'!Std10dot2Date1</vt:lpstr>
      <vt:lpstr>'IWP10'!Std10dot2Date1</vt:lpstr>
      <vt:lpstr>'IWP11'!Std10dot2Date1</vt:lpstr>
      <vt:lpstr>'IWP12'!Std10dot2Date1</vt:lpstr>
      <vt:lpstr>'IWP13'!Std10dot2Date1</vt:lpstr>
      <vt:lpstr>'IWP14'!Std10dot2Date1</vt:lpstr>
      <vt:lpstr>'IWP15'!Std10dot2Date1</vt:lpstr>
      <vt:lpstr>'IWP16'!Std10dot2Date1</vt:lpstr>
      <vt:lpstr>'IWP17'!Std10dot2Date1</vt:lpstr>
      <vt:lpstr>'IWP18'!Std10dot2Date1</vt:lpstr>
      <vt:lpstr>'IWP19'!Std10dot2Date1</vt:lpstr>
      <vt:lpstr>'IWP20'!Std10dot2Date1</vt:lpstr>
      <vt:lpstr>'IWP21'!Std10dot2Date1</vt:lpstr>
      <vt:lpstr>'IWP22'!Std10dot2Date1</vt:lpstr>
      <vt:lpstr>'IWP23'!Std10dot2Date1</vt:lpstr>
      <vt:lpstr>'IWP24'!Std10dot2Date1</vt:lpstr>
      <vt:lpstr>'IWP25'!Std10dot2Date1</vt:lpstr>
      <vt:lpstr>'IWP26'!Std10dot2Date1</vt:lpstr>
      <vt:lpstr>'IWP27'!Std10dot2Date1</vt:lpstr>
      <vt:lpstr>'IWP28'!Std10dot2Date1</vt:lpstr>
      <vt:lpstr>'IWP29'!Std10dot2Date1</vt:lpstr>
      <vt:lpstr>'IWP30'!Std10dot2Date1</vt:lpstr>
      <vt:lpstr>'IWP01'!Std10dot2Date2</vt:lpstr>
      <vt:lpstr>'IWP02'!Std10dot2Date2</vt:lpstr>
      <vt:lpstr>'IWP03'!Std10dot2Date2</vt:lpstr>
      <vt:lpstr>'IWP04'!Std10dot2Date2</vt:lpstr>
      <vt:lpstr>'IWP05'!Std10dot2Date2</vt:lpstr>
      <vt:lpstr>'IWP06'!Std10dot2Date2</vt:lpstr>
      <vt:lpstr>'IWP07'!Std10dot2Date2</vt:lpstr>
      <vt:lpstr>'IWP08'!Std10dot2Date2</vt:lpstr>
      <vt:lpstr>'IWP09'!Std10dot2Date2</vt:lpstr>
      <vt:lpstr>'IWP10'!Std10dot2Date2</vt:lpstr>
      <vt:lpstr>'IWP11'!Std10dot2Date2</vt:lpstr>
      <vt:lpstr>'IWP12'!Std10dot2Date2</vt:lpstr>
      <vt:lpstr>'IWP13'!Std10dot2Date2</vt:lpstr>
      <vt:lpstr>'IWP14'!Std10dot2Date2</vt:lpstr>
      <vt:lpstr>'IWP15'!Std10dot2Date2</vt:lpstr>
      <vt:lpstr>'IWP16'!Std10dot2Date2</vt:lpstr>
      <vt:lpstr>'IWP17'!Std10dot2Date2</vt:lpstr>
      <vt:lpstr>'IWP18'!Std10dot2Date2</vt:lpstr>
      <vt:lpstr>'IWP19'!Std10dot2Date2</vt:lpstr>
      <vt:lpstr>'IWP20'!Std10dot2Date2</vt:lpstr>
      <vt:lpstr>'IWP21'!Std10dot2Date2</vt:lpstr>
      <vt:lpstr>'IWP22'!Std10dot2Date2</vt:lpstr>
      <vt:lpstr>'IWP23'!Std10dot2Date2</vt:lpstr>
      <vt:lpstr>'IWP24'!Std10dot2Date2</vt:lpstr>
      <vt:lpstr>'IWP25'!Std10dot2Date2</vt:lpstr>
      <vt:lpstr>'IWP26'!Std10dot2Date2</vt:lpstr>
      <vt:lpstr>'IWP27'!Std10dot2Date2</vt:lpstr>
      <vt:lpstr>'IWP28'!Std10dot2Date2</vt:lpstr>
      <vt:lpstr>'IWP29'!Std10dot2Date2</vt:lpstr>
      <vt:lpstr>'IWP30'!Std10dot2Date2</vt:lpstr>
      <vt:lpstr>'IWP01'!Std10dot2NotCalc</vt:lpstr>
      <vt:lpstr>'IWP02'!Std10dot2NotCalc</vt:lpstr>
      <vt:lpstr>'IWP03'!Std10dot2NotCalc</vt:lpstr>
      <vt:lpstr>'IWP04'!Std10dot2NotCalc</vt:lpstr>
      <vt:lpstr>'IWP05'!Std10dot2NotCalc</vt:lpstr>
      <vt:lpstr>'IWP06'!Std10dot2NotCalc</vt:lpstr>
      <vt:lpstr>'IWP07'!Std10dot2NotCalc</vt:lpstr>
      <vt:lpstr>'IWP08'!Std10dot2NotCalc</vt:lpstr>
      <vt:lpstr>'IWP09'!Std10dot2NotCalc</vt:lpstr>
      <vt:lpstr>'IWP10'!Std10dot2NotCalc</vt:lpstr>
      <vt:lpstr>'IWP11'!Std10dot2NotCalc</vt:lpstr>
      <vt:lpstr>'IWP12'!Std10dot2NotCalc</vt:lpstr>
      <vt:lpstr>'IWP13'!Std10dot2NotCalc</vt:lpstr>
      <vt:lpstr>'IWP14'!Std10dot2NotCalc</vt:lpstr>
      <vt:lpstr>'IWP15'!Std10dot2NotCalc</vt:lpstr>
      <vt:lpstr>'IWP16'!Std10dot2NotCalc</vt:lpstr>
      <vt:lpstr>'IWP17'!Std10dot2NotCalc</vt:lpstr>
      <vt:lpstr>'IWP18'!Std10dot2NotCalc</vt:lpstr>
      <vt:lpstr>'IWP19'!Std10dot2NotCalc</vt:lpstr>
      <vt:lpstr>'IWP20'!Std10dot2NotCalc</vt:lpstr>
      <vt:lpstr>'IWP21'!Std10dot2NotCalc</vt:lpstr>
      <vt:lpstr>'IWP22'!Std10dot2NotCalc</vt:lpstr>
      <vt:lpstr>'IWP23'!Std10dot2NotCalc</vt:lpstr>
      <vt:lpstr>'IWP24'!Std10dot2NotCalc</vt:lpstr>
      <vt:lpstr>'IWP25'!Std10dot2NotCalc</vt:lpstr>
      <vt:lpstr>'IWP26'!Std10dot2NotCalc</vt:lpstr>
      <vt:lpstr>'IWP27'!Std10dot2NotCalc</vt:lpstr>
      <vt:lpstr>'IWP28'!Std10dot2NotCalc</vt:lpstr>
      <vt:lpstr>'IWP29'!Std10dot2NotCalc</vt:lpstr>
      <vt:lpstr>'IWP30'!Std10dot2NotCalc</vt:lpstr>
      <vt:lpstr>'IWP01'!Std10dot3</vt:lpstr>
      <vt:lpstr>'IWP02'!Std10dot3</vt:lpstr>
      <vt:lpstr>'IWP03'!Std10dot3</vt:lpstr>
      <vt:lpstr>'IWP04'!Std10dot3</vt:lpstr>
      <vt:lpstr>'IWP05'!Std10dot3</vt:lpstr>
      <vt:lpstr>'IWP06'!Std10dot3</vt:lpstr>
      <vt:lpstr>'IWP07'!Std10dot3</vt:lpstr>
      <vt:lpstr>'IWP08'!Std10dot3</vt:lpstr>
      <vt:lpstr>'IWP09'!Std10dot3</vt:lpstr>
      <vt:lpstr>'IWP10'!Std10dot3</vt:lpstr>
      <vt:lpstr>'IWP11'!Std10dot3</vt:lpstr>
      <vt:lpstr>'IWP12'!Std10dot3</vt:lpstr>
      <vt:lpstr>'IWP13'!Std10dot3</vt:lpstr>
      <vt:lpstr>'IWP14'!Std10dot3</vt:lpstr>
      <vt:lpstr>'IWP15'!Std10dot3</vt:lpstr>
      <vt:lpstr>'IWP16'!Std10dot3</vt:lpstr>
      <vt:lpstr>'IWP17'!Std10dot3</vt:lpstr>
      <vt:lpstr>'IWP18'!Std10dot3</vt:lpstr>
      <vt:lpstr>'IWP19'!Std10dot3</vt:lpstr>
      <vt:lpstr>'IWP20'!Std10dot3</vt:lpstr>
      <vt:lpstr>'IWP21'!Std10dot3</vt:lpstr>
      <vt:lpstr>'IWP22'!Std10dot3</vt:lpstr>
      <vt:lpstr>'IWP23'!Std10dot3</vt:lpstr>
      <vt:lpstr>'IWP24'!Std10dot3</vt:lpstr>
      <vt:lpstr>'IWP25'!Std10dot3</vt:lpstr>
      <vt:lpstr>'IWP26'!Std10dot3</vt:lpstr>
      <vt:lpstr>'IWP27'!Std10dot3</vt:lpstr>
      <vt:lpstr>'IWP28'!Std10dot3</vt:lpstr>
      <vt:lpstr>'IWP29'!Std10dot3</vt:lpstr>
      <vt:lpstr>'IWP30'!Std10dot3</vt:lpstr>
      <vt:lpstr>'IWP01'!Std10dot3Deposits</vt:lpstr>
      <vt:lpstr>'IWP02'!Std10dot3Deposits</vt:lpstr>
      <vt:lpstr>'IWP03'!Std10dot3Deposits</vt:lpstr>
      <vt:lpstr>'IWP04'!Std10dot3Deposits</vt:lpstr>
      <vt:lpstr>'IWP05'!Std10dot3Deposits</vt:lpstr>
      <vt:lpstr>'IWP06'!Std10dot3Deposits</vt:lpstr>
      <vt:lpstr>'IWP07'!Std10dot3Deposits</vt:lpstr>
      <vt:lpstr>'IWP08'!Std10dot3Deposits</vt:lpstr>
      <vt:lpstr>'IWP09'!Std10dot3Deposits</vt:lpstr>
      <vt:lpstr>'IWP10'!Std10dot3Deposits</vt:lpstr>
      <vt:lpstr>'IWP11'!Std10dot3Deposits</vt:lpstr>
      <vt:lpstr>'IWP12'!Std10dot3Deposits</vt:lpstr>
      <vt:lpstr>'IWP13'!Std10dot3Deposits</vt:lpstr>
      <vt:lpstr>'IWP14'!Std10dot3Deposits</vt:lpstr>
      <vt:lpstr>'IWP15'!Std10dot3Deposits</vt:lpstr>
      <vt:lpstr>'IWP16'!Std10dot3Deposits</vt:lpstr>
      <vt:lpstr>'IWP17'!Std10dot3Deposits</vt:lpstr>
      <vt:lpstr>'IWP18'!Std10dot3Deposits</vt:lpstr>
      <vt:lpstr>'IWP19'!Std10dot3Deposits</vt:lpstr>
      <vt:lpstr>'IWP20'!Std10dot3Deposits</vt:lpstr>
      <vt:lpstr>'IWP21'!Std10dot3Deposits</vt:lpstr>
      <vt:lpstr>'IWP22'!Std10dot3Deposits</vt:lpstr>
      <vt:lpstr>'IWP23'!Std10dot3Deposits</vt:lpstr>
      <vt:lpstr>'IWP24'!Std10dot3Deposits</vt:lpstr>
      <vt:lpstr>'IWP25'!Std10dot3Deposits</vt:lpstr>
      <vt:lpstr>'IWP26'!Std10dot3Deposits</vt:lpstr>
      <vt:lpstr>'IWP27'!Std10dot3Deposits</vt:lpstr>
      <vt:lpstr>'IWP28'!Std10dot3Deposits</vt:lpstr>
      <vt:lpstr>'IWP29'!Std10dot3Deposits</vt:lpstr>
      <vt:lpstr>'IWP30'!Std10dot3Deposits</vt:lpstr>
      <vt:lpstr>'IWP01'!Std10dot3NotCalc</vt:lpstr>
      <vt:lpstr>'IWP02'!Std10dot3NotCalc</vt:lpstr>
      <vt:lpstr>'IWP03'!Std10dot3NotCalc</vt:lpstr>
      <vt:lpstr>'IWP04'!Std10dot3NotCalc</vt:lpstr>
      <vt:lpstr>'IWP05'!Std10dot3NotCalc</vt:lpstr>
      <vt:lpstr>'IWP06'!Std10dot3NotCalc</vt:lpstr>
      <vt:lpstr>'IWP07'!Std10dot3NotCalc</vt:lpstr>
      <vt:lpstr>'IWP08'!Std10dot3NotCalc</vt:lpstr>
      <vt:lpstr>'IWP09'!Std10dot3NotCalc</vt:lpstr>
      <vt:lpstr>'IWP10'!Std10dot3NotCalc</vt:lpstr>
      <vt:lpstr>'IWP11'!Std10dot3NotCalc</vt:lpstr>
      <vt:lpstr>'IWP12'!Std10dot3NotCalc</vt:lpstr>
      <vt:lpstr>'IWP13'!Std10dot3NotCalc</vt:lpstr>
      <vt:lpstr>'IWP14'!Std10dot3NotCalc</vt:lpstr>
      <vt:lpstr>'IWP15'!Std10dot3NotCalc</vt:lpstr>
      <vt:lpstr>'IWP16'!Std10dot3NotCalc</vt:lpstr>
      <vt:lpstr>'IWP17'!Std10dot3NotCalc</vt:lpstr>
      <vt:lpstr>'IWP18'!Std10dot3NotCalc</vt:lpstr>
      <vt:lpstr>'IWP19'!Std10dot3NotCalc</vt:lpstr>
      <vt:lpstr>'IWP20'!Std10dot3NotCalc</vt:lpstr>
      <vt:lpstr>'IWP21'!Std10dot3NotCalc</vt:lpstr>
      <vt:lpstr>'IWP22'!Std10dot3NotCalc</vt:lpstr>
      <vt:lpstr>'IWP23'!Std10dot3NotCalc</vt:lpstr>
      <vt:lpstr>'IWP24'!Std10dot3NotCalc</vt:lpstr>
      <vt:lpstr>'IWP25'!Std10dot3NotCalc</vt:lpstr>
      <vt:lpstr>'IWP26'!Std10dot3NotCalc</vt:lpstr>
      <vt:lpstr>'IWP27'!Std10dot3NotCalc</vt:lpstr>
      <vt:lpstr>'IWP28'!Std10dot3NotCalc</vt:lpstr>
      <vt:lpstr>'IWP29'!Std10dot3NotCalc</vt:lpstr>
      <vt:lpstr>'IWP30'!Std10dot3NotCalc</vt:lpstr>
      <vt:lpstr>'IWP01'!Std10dot4</vt:lpstr>
      <vt:lpstr>'IWP02'!Std10dot4</vt:lpstr>
      <vt:lpstr>'IWP03'!Std10dot4</vt:lpstr>
      <vt:lpstr>'IWP04'!Std10dot4</vt:lpstr>
      <vt:lpstr>'IWP05'!Std10dot4</vt:lpstr>
      <vt:lpstr>'IWP06'!Std10dot4</vt:lpstr>
      <vt:lpstr>'IWP07'!Std10dot4</vt:lpstr>
      <vt:lpstr>'IWP08'!Std10dot4</vt:lpstr>
      <vt:lpstr>'IWP09'!Std10dot4</vt:lpstr>
      <vt:lpstr>'IWP10'!Std10dot4</vt:lpstr>
      <vt:lpstr>'IWP11'!Std10dot4</vt:lpstr>
      <vt:lpstr>'IWP12'!Std10dot4</vt:lpstr>
      <vt:lpstr>'IWP13'!Std10dot4</vt:lpstr>
      <vt:lpstr>'IWP14'!Std10dot4</vt:lpstr>
      <vt:lpstr>'IWP15'!Std10dot4</vt:lpstr>
      <vt:lpstr>'IWP16'!Std10dot4</vt:lpstr>
      <vt:lpstr>'IWP17'!Std10dot4</vt:lpstr>
      <vt:lpstr>'IWP18'!Std10dot4</vt:lpstr>
      <vt:lpstr>'IWP19'!Std10dot4</vt:lpstr>
      <vt:lpstr>'IWP20'!Std10dot4</vt:lpstr>
      <vt:lpstr>'IWP21'!Std10dot4</vt:lpstr>
      <vt:lpstr>'IWP22'!Std10dot4</vt:lpstr>
      <vt:lpstr>'IWP23'!Std10dot4</vt:lpstr>
      <vt:lpstr>'IWP24'!Std10dot4</vt:lpstr>
      <vt:lpstr>'IWP25'!Std10dot4</vt:lpstr>
      <vt:lpstr>'IWP26'!Std10dot4</vt:lpstr>
      <vt:lpstr>'IWP27'!Std10dot4</vt:lpstr>
      <vt:lpstr>'IWP28'!Std10dot4</vt:lpstr>
      <vt:lpstr>'IWP29'!Std10dot4</vt:lpstr>
      <vt:lpstr>'IWP30'!Std10dot4</vt:lpstr>
      <vt:lpstr>'IWP01'!Std10dot4NotCalc</vt:lpstr>
      <vt:lpstr>'IWP02'!Std10dot4NotCalc</vt:lpstr>
      <vt:lpstr>'IWP03'!Std10dot4NotCalc</vt:lpstr>
      <vt:lpstr>'IWP04'!Std10dot4NotCalc</vt:lpstr>
      <vt:lpstr>'IWP05'!Std10dot4NotCalc</vt:lpstr>
      <vt:lpstr>'IWP06'!Std10dot4NotCalc</vt:lpstr>
      <vt:lpstr>'IWP07'!Std10dot4NotCalc</vt:lpstr>
      <vt:lpstr>'IWP08'!Std10dot4NotCalc</vt:lpstr>
      <vt:lpstr>'IWP09'!Std10dot4NotCalc</vt:lpstr>
      <vt:lpstr>'IWP10'!Std10dot4NotCalc</vt:lpstr>
      <vt:lpstr>'IWP11'!Std10dot4NotCalc</vt:lpstr>
      <vt:lpstr>'IWP12'!Std10dot4NotCalc</vt:lpstr>
      <vt:lpstr>'IWP13'!Std10dot4NotCalc</vt:lpstr>
      <vt:lpstr>'IWP14'!Std10dot4NotCalc</vt:lpstr>
      <vt:lpstr>'IWP15'!Std10dot4NotCalc</vt:lpstr>
      <vt:lpstr>'IWP16'!Std10dot4NotCalc</vt:lpstr>
      <vt:lpstr>'IWP17'!Std10dot4NotCalc</vt:lpstr>
      <vt:lpstr>'IWP18'!Std10dot4NotCalc</vt:lpstr>
      <vt:lpstr>'IWP19'!Std10dot4NotCalc</vt:lpstr>
      <vt:lpstr>'IWP20'!Std10dot4NotCalc</vt:lpstr>
      <vt:lpstr>'IWP21'!Std10dot4NotCalc</vt:lpstr>
      <vt:lpstr>'IWP22'!Std10dot4NotCalc</vt:lpstr>
      <vt:lpstr>'IWP23'!Std10dot4NotCalc</vt:lpstr>
      <vt:lpstr>'IWP24'!Std10dot4NotCalc</vt:lpstr>
      <vt:lpstr>'IWP25'!Std10dot4NotCalc</vt:lpstr>
      <vt:lpstr>'IWP26'!Std10dot4NotCalc</vt:lpstr>
      <vt:lpstr>'IWP27'!Std10dot4NotCalc</vt:lpstr>
      <vt:lpstr>'IWP28'!Std10dot4NotCalc</vt:lpstr>
      <vt:lpstr>'IWP29'!Std10dot4NotCalc</vt:lpstr>
      <vt:lpstr>'IWP30'!Std10dot4NotCalc</vt:lpstr>
      <vt:lpstr>'IWP01'!Std10dot4Withdrawals</vt:lpstr>
      <vt:lpstr>'IWP02'!Std10dot4Withdrawals</vt:lpstr>
      <vt:lpstr>'IWP03'!Std10dot4Withdrawals</vt:lpstr>
      <vt:lpstr>'IWP04'!Std10dot4Withdrawals</vt:lpstr>
      <vt:lpstr>'IWP05'!Std10dot4Withdrawals</vt:lpstr>
      <vt:lpstr>'IWP06'!Std10dot4Withdrawals</vt:lpstr>
      <vt:lpstr>'IWP07'!Std10dot4Withdrawals</vt:lpstr>
      <vt:lpstr>'IWP08'!Std10dot4Withdrawals</vt:lpstr>
      <vt:lpstr>'IWP09'!Std10dot4Withdrawals</vt:lpstr>
      <vt:lpstr>'IWP10'!Std10dot4Withdrawals</vt:lpstr>
      <vt:lpstr>'IWP11'!Std10dot4Withdrawals</vt:lpstr>
      <vt:lpstr>'IWP12'!Std10dot4Withdrawals</vt:lpstr>
      <vt:lpstr>'IWP13'!Std10dot4Withdrawals</vt:lpstr>
      <vt:lpstr>'IWP14'!Std10dot4Withdrawals</vt:lpstr>
      <vt:lpstr>'IWP15'!Std10dot4Withdrawals</vt:lpstr>
      <vt:lpstr>'IWP16'!Std10dot4Withdrawals</vt:lpstr>
      <vt:lpstr>'IWP17'!Std10dot4Withdrawals</vt:lpstr>
      <vt:lpstr>'IWP18'!Std10dot4Withdrawals</vt:lpstr>
      <vt:lpstr>'IWP19'!Std10dot4Withdrawals</vt:lpstr>
      <vt:lpstr>'IWP20'!Std10dot4Withdrawals</vt:lpstr>
      <vt:lpstr>'IWP21'!Std10dot4Withdrawals</vt:lpstr>
      <vt:lpstr>'IWP22'!Std10dot4Withdrawals</vt:lpstr>
      <vt:lpstr>'IWP23'!Std10dot4Withdrawals</vt:lpstr>
      <vt:lpstr>'IWP24'!Std10dot4Withdrawals</vt:lpstr>
      <vt:lpstr>'IWP25'!Std10dot4Withdrawals</vt:lpstr>
      <vt:lpstr>'IWP26'!Std10dot4Withdrawals</vt:lpstr>
      <vt:lpstr>'IWP27'!Std10dot4Withdrawals</vt:lpstr>
      <vt:lpstr>'IWP28'!Std10dot4Withdrawals</vt:lpstr>
      <vt:lpstr>'IWP29'!Std10dot4Withdrawals</vt:lpstr>
      <vt:lpstr>'IWP30'!Std10dot4Withdrawals</vt:lpstr>
      <vt:lpstr>'IWP01'!Std10dot5</vt:lpstr>
      <vt:lpstr>'IWP02'!Std10dot5</vt:lpstr>
      <vt:lpstr>'IWP03'!Std10dot5</vt:lpstr>
      <vt:lpstr>'IWP04'!Std10dot5</vt:lpstr>
      <vt:lpstr>'IWP05'!Std10dot5</vt:lpstr>
      <vt:lpstr>'IWP06'!Std10dot5</vt:lpstr>
      <vt:lpstr>'IWP07'!Std10dot5</vt:lpstr>
      <vt:lpstr>'IWP08'!Std10dot5</vt:lpstr>
      <vt:lpstr>'IWP09'!Std10dot5</vt:lpstr>
      <vt:lpstr>'IWP10'!Std10dot5</vt:lpstr>
      <vt:lpstr>'IWP11'!Std10dot5</vt:lpstr>
      <vt:lpstr>'IWP12'!Std10dot5</vt:lpstr>
      <vt:lpstr>'IWP13'!Std10dot5</vt:lpstr>
      <vt:lpstr>'IWP14'!Std10dot5</vt:lpstr>
      <vt:lpstr>'IWP15'!Std10dot5</vt:lpstr>
      <vt:lpstr>'IWP16'!Std10dot5</vt:lpstr>
      <vt:lpstr>'IWP17'!Std10dot5</vt:lpstr>
      <vt:lpstr>'IWP18'!Std10dot5</vt:lpstr>
      <vt:lpstr>'IWP19'!Std10dot5</vt:lpstr>
      <vt:lpstr>'IWP20'!Std10dot5</vt:lpstr>
      <vt:lpstr>'IWP21'!Std10dot5</vt:lpstr>
      <vt:lpstr>'IWP22'!Std10dot5</vt:lpstr>
      <vt:lpstr>'IWP23'!Std10dot5</vt:lpstr>
      <vt:lpstr>'IWP24'!Std10dot5</vt:lpstr>
      <vt:lpstr>'IWP25'!Std10dot5</vt:lpstr>
      <vt:lpstr>'IWP26'!Std10dot5</vt:lpstr>
      <vt:lpstr>'IWP27'!Std10dot5</vt:lpstr>
      <vt:lpstr>'IWP28'!Std10dot5</vt:lpstr>
      <vt:lpstr>'IWP29'!Std10dot5</vt:lpstr>
      <vt:lpstr>'IWP30'!Std10dot5</vt:lpstr>
      <vt:lpstr>'IWP01'!Std10dot5Withdrawals</vt:lpstr>
      <vt:lpstr>'IWP02'!Std10dot5Withdrawals</vt:lpstr>
      <vt:lpstr>'IWP03'!Std10dot5Withdrawals</vt:lpstr>
      <vt:lpstr>'IWP04'!Std10dot5Withdrawals</vt:lpstr>
      <vt:lpstr>'IWP05'!Std10dot5Withdrawals</vt:lpstr>
      <vt:lpstr>'IWP06'!Std10dot5Withdrawals</vt:lpstr>
      <vt:lpstr>'IWP07'!Std10dot5Withdrawals</vt:lpstr>
      <vt:lpstr>'IWP08'!Std10dot5Withdrawals</vt:lpstr>
      <vt:lpstr>'IWP09'!Std10dot5Withdrawals</vt:lpstr>
      <vt:lpstr>'IWP10'!Std10dot5Withdrawals</vt:lpstr>
      <vt:lpstr>'IWP11'!Std10dot5Withdrawals</vt:lpstr>
      <vt:lpstr>'IWP12'!Std10dot5Withdrawals</vt:lpstr>
      <vt:lpstr>'IWP13'!Std10dot5Withdrawals</vt:lpstr>
      <vt:lpstr>'IWP14'!Std10dot5Withdrawals</vt:lpstr>
      <vt:lpstr>'IWP15'!Std10dot5Withdrawals</vt:lpstr>
      <vt:lpstr>'IWP16'!Std10dot5Withdrawals</vt:lpstr>
      <vt:lpstr>'IWP17'!Std10dot5Withdrawals</vt:lpstr>
      <vt:lpstr>'IWP18'!Std10dot5Withdrawals</vt:lpstr>
      <vt:lpstr>'IWP19'!Std10dot5Withdrawals</vt:lpstr>
      <vt:lpstr>'IWP20'!Std10dot5Withdrawals</vt:lpstr>
      <vt:lpstr>'IWP21'!Std10dot5Withdrawals</vt:lpstr>
      <vt:lpstr>'IWP22'!Std10dot5Withdrawals</vt:lpstr>
      <vt:lpstr>'IWP23'!Std10dot5Withdrawals</vt:lpstr>
      <vt:lpstr>'IWP24'!Std10dot5Withdrawals</vt:lpstr>
      <vt:lpstr>'IWP25'!Std10dot5Withdrawals</vt:lpstr>
      <vt:lpstr>'IWP26'!Std10dot5Withdrawals</vt:lpstr>
      <vt:lpstr>'IWP27'!Std10dot5Withdrawals</vt:lpstr>
      <vt:lpstr>'IWP28'!Std10dot5Withdrawals</vt:lpstr>
      <vt:lpstr>'IWP29'!Std10dot5Withdrawals</vt:lpstr>
      <vt:lpstr>'IWP30'!Std10dot5Withdrawals</vt:lpstr>
      <vt:lpstr>'IWP01'!Std10dot6</vt:lpstr>
      <vt:lpstr>'IWP02'!Std10dot6</vt:lpstr>
      <vt:lpstr>'IWP03'!Std10dot6</vt:lpstr>
      <vt:lpstr>'IWP04'!Std10dot6</vt:lpstr>
      <vt:lpstr>'IWP05'!Std10dot6</vt:lpstr>
      <vt:lpstr>'IWP06'!Std10dot6</vt:lpstr>
      <vt:lpstr>'IWP07'!Std10dot6</vt:lpstr>
      <vt:lpstr>'IWP08'!Std10dot6</vt:lpstr>
      <vt:lpstr>'IWP09'!Std10dot6</vt:lpstr>
      <vt:lpstr>'IWP10'!Std10dot6</vt:lpstr>
      <vt:lpstr>'IWP11'!Std10dot6</vt:lpstr>
      <vt:lpstr>'IWP12'!Std10dot6</vt:lpstr>
      <vt:lpstr>'IWP13'!Std10dot6</vt:lpstr>
      <vt:lpstr>'IWP14'!Std10dot6</vt:lpstr>
      <vt:lpstr>'IWP15'!Std10dot6</vt:lpstr>
      <vt:lpstr>'IWP16'!Std10dot6</vt:lpstr>
      <vt:lpstr>'IWP17'!Std10dot6</vt:lpstr>
      <vt:lpstr>'IWP18'!Std10dot6</vt:lpstr>
      <vt:lpstr>'IWP19'!Std10dot6</vt:lpstr>
      <vt:lpstr>'IWP20'!Std10dot6</vt:lpstr>
      <vt:lpstr>'IWP21'!Std10dot6</vt:lpstr>
      <vt:lpstr>'IWP22'!Std10dot6</vt:lpstr>
      <vt:lpstr>'IWP23'!Std10dot6</vt:lpstr>
      <vt:lpstr>'IWP24'!Std10dot6</vt:lpstr>
      <vt:lpstr>'IWP25'!Std10dot6</vt:lpstr>
      <vt:lpstr>'IWP26'!Std10dot6</vt:lpstr>
      <vt:lpstr>'IWP27'!Std10dot6</vt:lpstr>
      <vt:lpstr>'IWP28'!Std10dot6</vt:lpstr>
      <vt:lpstr>'IWP29'!Std10dot6</vt:lpstr>
      <vt:lpstr>'IWP30'!Std10dot6</vt:lpstr>
      <vt:lpstr>'IWP01'!Std10dot6a</vt:lpstr>
      <vt:lpstr>'IWP02'!Std10dot6a</vt:lpstr>
      <vt:lpstr>'IWP03'!Std10dot6a</vt:lpstr>
      <vt:lpstr>'IWP04'!Std10dot6a</vt:lpstr>
      <vt:lpstr>'IWP05'!Std10dot6a</vt:lpstr>
      <vt:lpstr>'IWP06'!Std10dot6a</vt:lpstr>
      <vt:lpstr>'IWP07'!Std10dot6a</vt:lpstr>
      <vt:lpstr>'IWP08'!Std10dot6a</vt:lpstr>
      <vt:lpstr>'IWP09'!Std10dot6a</vt:lpstr>
      <vt:lpstr>'IWP10'!Std10dot6a</vt:lpstr>
      <vt:lpstr>'IWP11'!Std10dot6a</vt:lpstr>
      <vt:lpstr>'IWP12'!Std10dot6a</vt:lpstr>
      <vt:lpstr>'IWP13'!Std10dot6a</vt:lpstr>
      <vt:lpstr>'IWP14'!Std10dot6a</vt:lpstr>
      <vt:lpstr>'IWP15'!Std10dot6a</vt:lpstr>
      <vt:lpstr>'IWP16'!Std10dot6a</vt:lpstr>
      <vt:lpstr>'IWP17'!Std10dot6a</vt:lpstr>
      <vt:lpstr>'IWP18'!Std10dot6a</vt:lpstr>
      <vt:lpstr>'IWP19'!Std10dot6a</vt:lpstr>
      <vt:lpstr>'IWP20'!Std10dot6a</vt:lpstr>
      <vt:lpstr>'IWP21'!Std10dot6a</vt:lpstr>
      <vt:lpstr>'IWP22'!Std10dot6a</vt:lpstr>
      <vt:lpstr>'IWP23'!Std10dot6a</vt:lpstr>
      <vt:lpstr>'IWP24'!Std10dot6a</vt:lpstr>
      <vt:lpstr>'IWP25'!Std10dot6a</vt:lpstr>
      <vt:lpstr>'IWP26'!Std10dot6a</vt:lpstr>
      <vt:lpstr>'IWP27'!Std10dot6a</vt:lpstr>
      <vt:lpstr>'IWP28'!Std10dot6a</vt:lpstr>
      <vt:lpstr>'IWP29'!Std10dot6a</vt:lpstr>
      <vt:lpstr>'IWP30'!Std10dot6a</vt:lpstr>
      <vt:lpstr>'IWP01'!Std10dot6AmtRfnd</vt:lpstr>
      <vt:lpstr>'IWP02'!Std10dot6AmtRfnd</vt:lpstr>
      <vt:lpstr>'IWP03'!Std10dot6AmtRfnd</vt:lpstr>
      <vt:lpstr>'IWP04'!Std10dot6AmtRfnd</vt:lpstr>
      <vt:lpstr>'IWP05'!Std10dot6AmtRfnd</vt:lpstr>
      <vt:lpstr>'IWP06'!Std10dot6AmtRfnd</vt:lpstr>
      <vt:lpstr>'IWP07'!Std10dot6AmtRfnd</vt:lpstr>
      <vt:lpstr>'IWP08'!Std10dot6AmtRfnd</vt:lpstr>
      <vt:lpstr>'IWP09'!Std10dot6AmtRfnd</vt:lpstr>
      <vt:lpstr>'IWP10'!Std10dot6AmtRfnd</vt:lpstr>
      <vt:lpstr>'IWP11'!Std10dot6AmtRfnd</vt:lpstr>
      <vt:lpstr>'IWP12'!Std10dot6AmtRfnd</vt:lpstr>
      <vt:lpstr>'IWP13'!Std10dot6AmtRfnd</vt:lpstr>
      <vt:lpstr>'IWP14'!Std10dot6AmtRfnd</vt:lpstr>
      <vt:lpstr>'IWP15'!Std10dot6AmtRfnd</vt:lpstr>
      <vt:lpstr>'IWP16'!Std10dot6AmtRfnd</vt:lpstr>
      <vt:lpstr>'IWP17'!Std10dot6AmtRfnd</vt:lpstr>
      <vt:lpstr>'IWP18'!Std10dot6AmtRfnd</vt:lpstr>
      <vt:lpstr>'IWP19'!Std10dot6AmtRfnd</vt:lpstr>
      <vt:lpstr>'IWP20'!Std10dot6AmtRfnd</vt:lpstr>
      <vt:lpstr>'IWP21'!Std10dot6AmtRfnd</vt:lpstr>
      <vt:lpstr>'IWP22'!Std10dot6AmtRfnd</vt:lpstr>
      <vt:lpstr>'IWP23'!Std10dot6AmtRfnd</vt:lpstr>
      <vt:lpstr>'IWP24'!Std10dot6AmtRfnd</vt:lpstr>
      <vt:lpstr>'IWP25'!Std10dot6AmtRfnd</vt:lpstr>
      <vt:lpstr>'IWP26'!Std10dot6AmtRfnd</vt:lpstr>
      <vt:lpstr>'IWP27'!Std10dot6AmtRfnd</vt:lpstr>
      <vt:lpstr>'IWP28'!Std10dot6AmtRfnd</vt:lpstr>
      <vt:lpstr>'IWP29'!Std10dot6AmtRfnd</vt:lpstr>
      <vt:lpstr>'IWP30'!Std10dot6AmtRfnd</vt:lpstr>
      <vt:lpstr>'IWP01'!Std10dot6b</vt:lpstr>
      <vt:lpstr>'IWP02'!Std10dot6b</vt:lpstr>
      <vt:lpstr>'IWP03'!Std10dot6b</vt:lpstr>
      <vt:lpstr>'IWP04'!Std10dot6b</vt:lpstr>
      <vt:lpstr>'IWP05'!Std10dot6b</vt:lpstr>
      <vt:lpstr>'IWP06'!Std10dot6b</vt:lpstr>
      <vt:lpstr>'IWP07'!Std10dot6b</vt:lpstr>
      <vt:lpstr>'IWP08'!Std10dot6b</vt:lpstr>
      <vt:lpstr>'IWP09'!Std10dot6b</vt:lpstr>
      <vt:lpstr>'IWP10'!Std10dot6b</vt:lpstr>
      <vt:lpstr>'IWP11'!Std10dot6b</vt:lpstr>
      <vt:lpstr>'IWP12'!Std10dot6b</vt:lpstr>
      <vt:lpstr>'IWP13'!Std10dot6b</vt:lpstr>
      <vt:lpstr>'IWP14'!Std10dot6b</vt:lpstr>
      <vt:lpstr>'IWP15'!Std10dot6b</vt:lpstr>
      <vt:lpstr>'IWP16'!Std10dot6b</vt:lpstr>
      <vt:lpstr>'IWP17'!Std10dot6b</vt:lpstr>
      <vt:lpstr>'IWP18'!Std10dot6b</vt:lpstr>
      <vt:lpstr>'IWP19'!Std10dot6b</vt:lpstr>
      <vt:lpstr>'IWP20'!Std10dot6b</vt:lpstr>
      <vt:lpstr>'IWP21'!Std10dot6b</vt:lpstr>
      <vt:lpstr>'IWP22'!Std10dot6b</vt:lpstr>
      <vt:lpstr>'IWP23'!Std10dot6b</vt:lpstr>
      <vt:lpstr>'IWP24'!Std10dot6b</vt:lpstr>
      <vt:lpstr>'IWP25'!Std10dot6b</vt:lpstr>
      <vt:lpstr>'IWP26'!Std10dot6b</vt:lpstr>
      <vt:lpstr>'IWP27'!Std10dot6b</vt:lpstr>
      <vt:lpstr>'IWP28'!Std10dot6b</vt:lpstr>
      <vt:lpstr>'IWP29'!Std10dot6b</vt:lpstr>
      <vt:lpstr>'IWP30'!Std10dot6b</vt:lpstr>
      <vt:lpstr>'IWP01'!Std10dot6c</vt:lpstr>
      <vt:lpstr>'IWP02'!Std10dot6c</vt:lpstr>
      <vt:lpstr>'IWP03'!Std10dot6c</vt:lpstr>
      <vt:lpstr>'IWP04'!Std10dot6c</vt:lpstr>
      <vt:lpstr>'IWP05'!Std10dot6c</vt:lpstr>
      <vt:lpstr>'IWP06'!Std10dot6c</vt:lpstr>
      <vt:lpstr>'IWP07'!Std10dot6c</vt:lpstr>
      <vt:lpstr>'IWP08'!Std10dot6c</vt:lpstr>
      <vt:lpstr>'IWP09'!Std10dot6c</vt:lpstr>
      <vt:lpstr>'IWP10'!Std10dot6c</vt:lpstr>
      <vt:lpstr>'IWP11'!Std10dot6c</vt:lpstr>
      <vt:lpstr>'IWP12'!Std10dot6c</vt:lpstr>
      <vt:lpstr>'IWP13'!Std10dot6c</vt:lpstr>
      <vt:lpstr>'IWP14'!Std10dot6c</vt:lpstr>
      <vt:lpstr>'IWP15'!Std10dot6c</vt:lpstr>
      <vt:lpstr>'IWP16'!Std10dot6c</vt:lpstr>
      <vt:lpstr>'IWP17'!Std10dot6c</vt:lpstr>
      <vt:lpstr>'IWP18'!Std10dot6c</vt:lpstr>
      <vt:lpstr>'IWP19'!Std10dot6c</vt:lpstr>
      <vt:lpstr>'IWP20'!Std10dot6c</vt:lpstr>
      <vt:lpstr>'IWP21'!Std10dot6c</vt:lpstr>
      <vt:lpstr>'IWP22'!Std10dot6c</vt:lpstr>
      <vt:lpstr>'IWP23'!Std10dot6c</vt:lpstr>
      <vt:lpstr>'IWP24'!Std10dot6c</vt:lpstr>
      <vt:lpstr>'IWP25'!Std10dot6c</vt:lpstr>
      <vt:lpstr>'IWP26'!Std10dot6c</vt:lpstr>
      <vt:lpstr>'IWP27'!Std10dot6c</vt:lpstr>
      <vt:lpstr>'IWP28'!Std10dot6c</vt:lpstr>
      <vt:lpstr>'IWP29'!Std10dot6c</vt:lpstr>
      <vt:lpstr>'IWP30'!Std10dot6c</vt:lpstr>
      <vt:lpstr>'IWP01'!Std10dot6DateOfDeathDischarge</vt:lpstr>
      <vt:lpstr>'IWP02'!Std10dot6DateOfDeathDischarge</vt:lpstr>
      <vt:lpstr>'IWP03'!Std10dot6DateOfDeathDischarge</vt:lpstr>
      <vt:lpstr>'IWP04'!Std10dot6DateOfDeathDischarge</vt:lpstr>
      <vt:lpstr>'IWP05'!Std10dot6DateOfDeathDischarge</vt:lpstr>
      <vt:lpstr>'IWP06'!Std10dot6DateOfDeathDischarge</vt:lpstr>
      <vt:lpstr>'IWP07'!Std10dot6DateOfDeathDischarge</vt:lpstr>
      <vt:lpstr>'IWP08'!Std10dot6DateOfDeathDischarge</vt:lpstr>
      <vt:lpstr>'IWP09'!Std10dot6DateOfDeathDischarge</vt:lpstr>
      <vt:lpstr>'IWP10'!Std10dot6DateOfDeathDischarge</vt:lpstr>
      <vt:lpstr>'IWP11'!Std10dot6DateOfDeathDischarge</vt:lpstr>
      <vt:lpstr>'IWP12'!Std10dot6DateOfDeathDischarge</vt:lpstr>
      <vt:lpstr>'IWP13'!Std10dot6DateOfDeathDischarge</vt:lpstr>
      <vt:lpstr>'IWP14'!Std10dot6DateOfDeathDischarge</vt:lpstr>
      <vt:lpstr>'IWP15'!Std10dot6DateOfDeathDischarge</vt:lpstr>
      <vt:lpstr>'IWP16'!Std10dot6DateOfDeathDischarge</vt:lpstr>
      <vt:lpstr>'IWP17'!Std10dot6DateOfDeathDischarge</vt:lpstr>
      <vt:lpstr>'IWP18'!Std10dot6DateOfDeathDischarge</vt:lpstr>
      <vt:lpstr>'IWP19'!Std10dot6DateOfDeathDischarge</vt:lpstr>
      <vt:lpstr>'IWP20'!Std10dot6DateOfDeathDischarge</vt:lpstr>
      <vt:lpstr>'IWP21'!Std10dot6DateOfDeathDischarge</vt:lpstr>
      <vt:lpstr>'IWP22'!Std10dot6DateOfDeathDischarge</vt:lpstr>
      <vt:lpstr>'IWP23'!Std10dot6DateOfDeathDischarge</vt:lpstr>
      <vt:lpstr>'IWP24'!Std10dot6DateOfDeathDischarge</vt:lpstr>
      <vt:lpstr>'IWP25'!Std10dot6DateOfDeathDischarge</vt:lpstr>
      <vt:lpstr>'IWP26'!Std10dot6DateOfDeathDischarge</vt:lpstr>
      <vt:lpstr>'IWP27'!Std10dot6DateOfDeathDischarge</vt:lpstr>
      <vt:lpstr>'IWP28'!Std10dot6DateOfDeathDischarge</vt:lpstr>
      <vt:lpstr>'IWP29'!Std10dot6DateOfDeathDischarge</vt:lpstr>
      <vt:lpstr>'IWP30'!Std10dot6DateOfDeathDischarge</vt:lpstr>
      <vt:lpstr>'IWP01'!Std10dot6DateOfRefund</vt:lpstr>
      <vt:lpstr>'IWP02'!Std10dot6DateOfRefund</vt:lpstr>
      <vt:lpstr>'IWP03'!Std10dot6DateOfRefund</vt:lpstr>
      <vt:lpstr>'IWP04'!Std10dot6DateOfRefund</vt:lpstr>
      <vt:lpstr>'IWP05'!Std10dot6DateOfRefund</vt:lpstr>
      <vt:lpstr>'IWP06'!Std10dot6DateOfRefund</vt:lpstr>
      <vt:lpstr>'IWP07'!Std10dot6DateOfRefund</vt:lpstr>
      <vt:lpstr>'IWP08'!Std10dot6DateOfRefund</vt:lpstr>
      <vt:lpstr>'IWP09'!Std10dot6DateOfRefund</vt:lpstr>
      <vt:lpstr>'IWP10'!Std10dot6DateOfRefund</vt:lpstr>
      <vt:lpstr>'IWP11'!Std10dot6DateOfRefund</vt:lpstr>
      <vt:lpstr>'IWP12'!Std10dot6DateOfRefund</vt:lpstr>
      <vt:lpstr>'IWP13'!Std10dot6DateOfRefund</vt:lpstr>
      <vt:lpstr>'IWP14'!Std10dot6DateOfRefund</vt:lpstr>
      <vt:lpstr>'IWP15'!Std10dot6DateOfRefund</vt:lpstr>
      <vt:lpstr>'IWP16'!Std10dot6DateOfRefund</vt:lpstr>
      <vt:lpstr>'IWP17'!Std10dot6DateOfRefund</vt:lpstr>
      <vt:lpstr>'IWP18'!Std10dot6DateOfRefund</vt:lpstr>
      <vt:lpstr>'IWP19'!Std10dot6DateOfRefund</vt:lpstr>
      <vt:lpstr>'IWP20'!Std10dot6DateOfRefund</vt:lpstr>
      <vt:lpstr>'IWP21'!Std10dot6DateOfRefund</vt:lpstr>
      <vt:lpstr>'IWP22'!Std10dot6DateOfRefund</vt:lpstr>
      <vt:lpstr>'IWP23'!Std10dot6DateOfRefund</vt:lpstr>
      <vt:lpstr>'IWP24'!Std10dot6DateOfRefund</vt:lpstr>
      <vt:lpstr>'IWP25'!Std10dot6DateOfRefund</vt:lpstr>
      <vt:lpstr>'IWP26'!Std10dot6DateOfRefund</vt:lpstr>
      <vt:lpstr>'IWP27'!Std10dot6DateOfRefund</vt:lpstr>
      <vt:lpstr>'IWP28'!Std10dot6DateOfRefund</vt:lpstr>
      <vt:lpstr>'IWP29'!Std10dot6DateOfRefund</vt:lpstr>
      <vt:lpstr>'IWP30'!Std10dot6DateOfRefund</vt:lpstr>
      <vt:lpstr>'IWP01'!Std10dot6DminusE</vt:lpstr>
      <vt:lpstr>'IWP02'!Std10dot6DminusE</vt:lpstr>
      <vt:lpstr>'IWP03'!Std10dot6DminusE</vt:lpstr>
      <vt:lpstr>'IWP04'!Std10dot6DminusE</vt:lpstr>
      <vt:lpstr>'IWP05'!Std10dot6DminusE</vt:lpstr>
      <vt:lpstr>'IWP06'!Std10dot6DminusE</vt:lpstr>
      <vt:lpstr>'IWP07'!Std10dot6DminusE</vt:lpstr>
      <vt:lpstr>'IWP08'!Std10dot6DminusE</vt:lpstr>
      <vt:lpstr>'IWP09'!Std10dot6DminusE</vt:lpstr>
      <vt:lpstr>'IWP10'!Std10dot6DminusE</vt:lpstr>
      <vt:lpstr>'IWP11'!Std10dot6DminusE</vt:lpstr>
      <vt:lpstr>'IWP12'!Std10dot6DminusE</vt:lpstr>
      <vt:lpstr>'IWP13'!Std10dot6DminusE</vt:lpstr>
      <vt:lpstr>'IWP14'!Std10dot6DminusE</vt:lpstr>
      <vt:lpstr>'IWP15'!Std10dot6DminusE</vt:lpstr>
      <vt:lpstr>'IWP16'!Std10dot6DminusE</vt:lpstr>
      <vt:lpstr>'IWP17'!Std10dot6DminusE</vt:lpstr>
      <vt:lpstr>'IWP18'!Std10dot6DminusE</vt:lpstr>
      <vt:lpstr>'IWP19'!Std10dot6DminusE</vt:lpstr>
      <vt:lpstr>'IWP20'!Std10dot6DminusE</vt:lpstr>
      <vt:lpstr>'IWP21'!Std10dot6DminusE</vt:lpstr>
      <vt:lpstr>'IWP22'!Std10dot6DminusE</vt:lpstr>
      <vt:lpstr>'IWP23'!Std10dot6DminusE</vt:lpstr>
      <vt:lpstr>'IWP24'!Std10dot6DminusE</vt:lpstr>
      <vt:lpstr>'IWP25'!Std10dot6DminusE</vt:lpstr>
      <vt:lpstr>'IWP26'!Std10dot6DminusE</vt:lpstr>
      <vt:lpstr>'IWP27'!Std10dot6DminusE</vt:lpstr>
      <vt:lpstr>'IWP28'!Std10dot6DminusE</vt:lpstr>
      <vt:lpstr>'IWP29'!Std10dot6DminusE</vt:lpstr>
      <vt:lpstr>'IWP30'!Std10dot6DminusE</vt:lpstr>
      <vt:lpstr>'IWP01'!Std10dot6DthDschg</vt:lpstr>
      <vt:lpstr>'IWP02'!Std10dot6DthDschg</vt:lpstr>
      <vt:lpstr>'IWP03'!Std10dot6DthDschg</vt:lpstr>
      <vt:lpstr>'IWP04'!Std10dot6DthDschg</vt:lpstr>
      <vt:lpstr>'IWP05'!Std10dot6DthDschg</vt:lpstr>
      <vt:lpstr>'IWP06'!Std10dot6DthDschg</vt:lpstr>
      <vt:lpstr>'IWP07'!Std10dot6DthDschg</vt:lpstr>
      <vt:lpstr>'IWP08'!Std10dot6DthDschg</vt:lpstr>
      <vt:lpstr>'IWP09'!Std10dot6DthDschg</vt:lpstr>
      <vt:lpstr>'IWP10'!Std10dot6DthDschg</vt:lpstr>
      <vt:lpstr>'IWP11'!Std10dot6DthDschg</vt:lpstr>
      <vt:lpstr>'IWP12'!Std10dot6DthDschg</vt:lpstr>
      <vt:lpstr>'IWP13'!Std10dot6DthDschg</vt:lpstr>
      <vt:lpstr>'IWP14'!Std10dot6DthDschg</vt:lpstr>
      <vt:lpstr>'IWP15'!Std10dot6DthDschg</vt:lpstr>
      <vt:lpstr>'IWP16'!Std10dot6DthDschg</vt:lpstr>
      <vt:lpstr>'IWP17'!Std10dot6DthDschg</vt:lpstr>
      <vt:lpstr>'IWP18'!Std10dot6DthDschg</vt:lpstr>
      <vt:lpstr>'IWP19'!Std10dot6DthDschg</vt:lpstr>
      <vt:lpstr>'IWP20'!Std10dot6DthDschg</vt:lpstr>
      <vt:lpstr>'IWP21'!Std10dot6DthDschg</vt:lpstr>
      <vt:lpstr>'IWP22'!Std10dot6DthDschg</vt:lpstr>
      <vt:lpstr>'IWP23'!Std10dot6DthDschg</vt:lpstr>
      <vt:lpstr>'IWP24'!Std10dot6DthDschg</vt:lpstr>
      <vt:lpstr>'IWP25'!Std10dot6DthDschg</vt:lpstr>
      <vt:lpstr>'IWP26'!Std10dot6DthDschg</vt:lpstr>
      <vt:lpstr>'IWP27'!Std10dot6DthDschg</vt:lpstr>
      <vt:lpstr>'IWP28'!Std10dot6DthDschg</vt:lpstr>
      <vt:lpstr>'IWP29'!Std10dot6DthDschg</vt:lpstr>
      <vt:lpstr>'IWP30'!Std10dot6DthDschg</vt:lpstr>
      <vt:lpstr>'IWP01'!Std10dot6FirstName</vt:lpstr>
      <vt:lpstr>'IWP02'!Std10dot6FirstName</vt:lpstr>
      <vt:lpstr>'IWP03'!Std10dot6FirstName</vt:lpstr>
      <vt:lpstr>'IWP04'!Std10dot6FirstName</vt:lpstr>
      <vt:lpstr>'IWP05'!Std10dot6FirstName</vt:lpstr>
      <vt:lpstr>'IWP06'!Std10dot6FirstName</vt:lpstr>
      <vt:lpstr>'IWP07'!Std10dot6FirstName</vt:lpstr>
      <vt:lpstr>'IWP08'!Std10dot6FirstName</vt:lpstr>
      <vt:lpstr>'IWP09'!Std10dot6FirstName</vt:lpstr>
      <vt:lpstr>'IWP10'!Std10dot6FirstName</vt:lpstr>
      <vt:lpstr>'IWP11'!Std10dot6FirstName</vt:lpstr>
      <vt:lpstr>'IWP12'!Std10dot6FirstName</vt:lpstr>
      <vt:lpstr>'IWP13'!Std10dot6FirstName</vt:lpstr>
      <vt:lpstr>'IWP14'!Std10dot6FirstName</vt:lpstr>
      <vt:lpstr>'IWP15'!Std10dot6FirstName</vt:lpstr>
      <vt:lpstr>'IWP16'!Std10dot6FirstName</vt:lpstr>
      <vt:lpstr>'IWP17'!Std10dot6FirstName</vt:lpstr>
      <vt:lpstr>'IWP18'!Std10dot6FirstName</vt:lpstr>
      <vt:lpstr>'IWP19'!Std10dot6FirstName</vt:lpstr>
      <vt:lpstr>'IWP20'!Std10dot6FirstName</vt:lpstr>
      <vt:lpstr>'IWP21'!Std10dot6FirstName</vt:lpstr>
      <vt:lpstr>'IWP22'!Std10dot6FirstName</vt:lpstr>
      <vt:lpstr>'IWP23'!Std10dot6FirstName</vt:lpstr>
      <vt:lpstr>'IWP24'!Std10dot6FirstName</vt:lpstr>
      <vt:lpstr>'IWP25'!Std10dot6FirstName</vt:lpstr>
      <vt:lpstr>'IWP26'!Std10dot6FirstName</vt:lpstr>
      <vt:lpstr>'IWP27'!Std10dot6FirstName</vt:lpstr>
      <vt:lpstr>'IWP28'!Std10dot6FirstName</vt:lpstr>
      <vt:lpstr>'IWP29'!Std10dot6FirstName</vt:lpstr>
      <vt:lpstr>'IWP30'!Std10dot6FirstName</vt:lpstr>
      <vt:lpstr>'IWP01'!Std10dot6IndvPtyCshAmtDue</vt:lpstr>
      <vt:lpstr>'IWP02'!Std10dot6IndvPtyCshAmtDue</vt:lpstr>
      <vt:lpstr>'IWP03'!Std10dot6IndvPtyCshAmtDue</vt:lpstr>
      <vt:lpstr>'IWP04'!Std10dot6IndvPtyCshAmtDue</vt:lpstr>
      <vt:lpstr>'IWP05'!Std10dot6IndvPtyCshAmtDue</vt:lpstr>
      <vt:lpstr>'IWP06'!Std10dot6IndvPtyCshAmtDue</vt:lpstr>
      <vt:lpstr>'IWP07'!Std10dot6IndvPtyCshAmtDue</vt:lpstr>
      <vt:lpstr>'IWP08'!Std10dot6IndvPtyCshAmtDue</vt:lpstr>
      <vt:lpstr>'IWP09'!Std10dot6IndvPtyCshAmtDue</vt:lpstr>
      <vt:lpstr>'IWP10'!Std10dot6IndvPtyCshAmtDue</vt:lpstr>
      <vt:lpstr>'IWP11'!Std10dot6IndvPtyCshAmtDue</vt:lpstr>
      <vt:lpstr>'IWP12'!Std10dot6IndvPtyCshAmtDue</vt:lpstr>
      <vt:lpstr>'IWP13'!Std10dot6IndvPtyCshAmtDue</vt:lpstr>
      <vt:lpstr>'IWP14'!Std10dot6IndvPtyCshAmtDue</vt:lpstr>
      <vt:lpstr>'IWP15'!Std10dot6IndvPtyCshAmtDue</vt:lpstr>
      <vt:lpstr>'IWP16'!Std10dot6IndvPtyCshAmtDue</vt:lpstr>
      <vt:lpstr>'IWP17'!Std10dot6IndvPtyCshAmtDue</vt:lpstr>
      <vt:lpstr>'IWP18'!Std10dot6IndvPtyCshAmtDue</vt:lpstr>
      <vt:lpstr>'IWP19'!Std10dot6IndvPtyCshAmtDue</vt:lpstr>
      <vt:lpstr>'IWP20'!Std10dot6IndvPtyCshAmtDue</vt:lpstr>
      <vt:lpstr>'IWP21'!Std10dot6IndvPtyCshAmtDue</vt:lpstr>
      <vt:lpstr>'IWP22'!Std10dot6IndvPtyCshAmtDue</vt:lpstr>
      <vt:lpstr>'IWP23'!Std10dot6IndvPtyCshAmtDue</vt:lpstr>
      <vt:lpstr>'IWP24'!Std10dot6IndvPtyCshAmtDue</vt:lpstr>
      <vt:lpstr>'IWP25'!Std10dot6IndvPtyCshAmtDue</vt:lpstr>
      <vt:lpstr>'IWP26'!Std10dot6IndvPtyCshAmtDue</vt:lpstr>
      <vt:lpstr>'IWP27'!Std10dot6IndvPtyCshAmtDue</vt:lpstr>
      <vt:lpstr>'IWP28'!Std10dot6IndvPtyCshAmtDue</vt:lpstr>
      <vt:lpstr>'IWP29'!Std10dot6IndvPtyCshAmtDue</vt:lpstr>
      <vt:lpstr>'IWP30'!Std10dot6IndvPtyCshAmtDue</vt:lpstr>
      <vt:lpstr>'IWP01'!Std10dot6LastName</vt:lpstr>
      <vt:lpstr>'IWP02'!Std10dot6LastName</vt:lpstr>
      <vt:lpstr>'IWP03'!Std10dot6LastName</vt:lpstr>
      <vt:lpstr>'IWP04'!Std10dot6LastName</vt:lpstr>
      <vt:lpstr>'IWP05'!Std10dot6LastName</vt:lpstr>
      <vt:lpstr>'IWP06'!Std10dot6LastName</vt:lpstr>
      <vt:lpstr>'IWP07'!Std10dot6LastName</vt:lpstr>
      <vt:lpstr>'IWP08'!Std10dot6LastName</vt:lpstr>
      <vt:lpstr>'IWP09'!Std10dot6LastName</vt:lpstr>
      <vt:lpstr>'IWP10'!Std10dot6LastName</vt:lpstr>
      <vt:lpstr>'IWP11'!Std10dot6LastName</vt:lpstr>
      <vt:lpstr>'IWP12'!Std10dot6LastName</vt:lpstr>
      <vt:lpstr>'IWP13'!Std10dot6LastName</vt:lpstr>
      <vt:lpstr>'IWP14'!Std10dot6LastName</vt:lpstr>
      <vt:lpstr>'IWP15'!Std10dot6LastName</vt:lpstr>
      <vt:lpstr>'IWP16'!Std10dot6LastName</vt:lpstr>
      <vt:lpstr>'IWP17'!Std10dot6LastName</vt:lpstr>
      <vt:lpstr>'IWP18'!Std10dot6LastName</vt:lpstr>
      <vt:lpstr>'IWP19'!Std10dot6LastName</vt:lpstr>
      <vt:lpstr>'IWP20'!Std10dot6LastName</vt:lpstr>
      <vt:lpstr>'IWP21'!Std10dot6LastName</vt:lpstr>
      <vt:lpstr>'IWP22'!Std10dot6LastName</vt:lpstr>
      <vt:lpstr>'IWP23'!Std10dot6LastName</vt:lpstr>
      <vt:lpstr>'IWP24'!Std10dot6LastName</vt:lpstr>
      <vt:lpstr>'IWP25'!Std10dot6LastName</vt:lpstr>
      <vt:lpstr>'IWP26'!Std10dot6LastName</vt:lpstr>
      <vt:lpstr>'IWP27'!Std10dot6LastName</vt:lpstr>
      <vt:lpstr>'IWP28'!Std10dot6LastName</vt:lpstr>
      <vt:lpstr>'IWP29'!Std10dot6LastName</vt:lpstr>
      <vt:lpstr>'IWP30'!Std10dot6LastName</vt:lpstr>
      <vt:lpstr>'IWP01'!Std10dot6NotCalc</vt:lpstr>
      <vt:lpstr>'IWP02'!Std10dot6NotCalc</vt:lpstr>
      <vt:lpstr>'IWP03'!Std10dot6NotCalc</vt:lpstr>
      <vt:lpstr>'IWP04'!Std10dot6NotCalc</vt:lpstr>
      <vt:lpstr>'IWP05'!Std10dot6NotCalc</vt:lpstr>
      <vt:lpstr>'IWP06'!Std10dot6NotCalc</vt:lpstr>
      <vt:lpstr>'IWP07'!Std10dot6NotCalc</vt:lpstr>
      <vt:lpstr>'IWP08'!Std10dot6NotCalc</vt:lpstr>
      <vt:lpstr>'IWP09'!Std10dot6NotCalc</vt:lpstr>
      <vt:lpstr>'IWP10'!Std10dot6NotCalc</vt:lpstr>
      <vt:lpstr>'IWP11'!Std10dot6NotCalc</vt:lpstr>
      <vt:lpstr>'IWP12'!Std10dot6NotCalc</vt:lpstr>
      <vt:lpstr>'IWP13'!Std10dot6NotCalc</vt:lpstr>
      <vt:lpstr>'IWP14'!Std10dot6NotCalc</vt:lpstr>
      <vt:lpstr>'IWP15'!Std10dot6NotCalc</vt:lpstr>
      <vt:lpstr>'IWP16'!Std10dot6NotCalc</vt:lpstr>
      <vt:lpstr>'IWP17'!Std10dot6NotCalc</vt:lpstr>
      <vt:lpstr>'IWP18'!Std10dot6NotCalc</vt:lpstr>
      <vt:lpstr>'IWP19'!Std10dot6NotCalc</vt:lpstr>
      <vt:lpstr>'IWP20'!Std10dot6NotCalc</vt:lpstr>
      <vt:lpstr>'IWP21'!Std10dot6NotCalc</vt:lpstr>
      <vt:lpstr>'IWP22'!Std10dot6NotCalc</vt:lpstr>
      <vt:lpstr>'IWP23'!Std10dot6NotCalc</vt:lpstr>
      <vt:lpstr>'IWP24'!Std10dot6NotCalc</vt:lpstr>
      <vt:lpstr>'IWP25'!Std10dot6NotCalc</vt:lpstr>
      <vt:lpstr>'IWP26'!Std10dot6NotCalc</vt:lpstr>
      <vt:lpstr>'IWP27'!Std10dot6NotCalc</vt:lpstr>
      <vt:lpstr>'IWP28'!Std10dot6NotCalc</vt:lpstr>
      <vt:lpstr>'IWP29'!Std10dot6NotCalc</vt:lpstr>
      <vt:lpstr>'IWP30'!Std10dot6NotCalc</vt:lpstr>
      <vt:lpstr>'IWP01'!Std10dot6TotRfndDue</vt:lpstr>
      <vt:lpstr>'IWP02'!Std10dot6TotRfndDue</vt:lpstr>
      <vt:lpstr>'IWP03'!Std10dot6TotRfndDue</vt:lpstr>
      <vt:lpstr>'IWP04'!Std10dot6TotRfndDue</vt:lpstr>
      <vt:lpstr>'IWP05'!Std10dot6TotRfndDue</vt:lpstr>
      <vt:lpstr>'IWP06'!Std10dot6TotRfndDue</vt:lpstr>
      <vt:lpstr>'IWP07'!Std10dot6TotRfndDue</vt:lpstr>
      <vt:lpstr>'IWP08'!Std10dot6TotRfndDue</vt:lpstr>
      <vt:lpstr>'IWP09'!Std10dot6TotRfndDue</vt:lpstr>
      <vt:lpstr>'IWP10'!Std10dot6TotRfndDue</vt:lpstr>
      <vt:lpstr>'IWP11'!Std10dot6TotRfndDue</vt:lpstr>
      <vt:lpstr>'IWP12'!Std10dot6TotRfndDue</vt:lpstr>
      <vt:lpstr>'IWP13'!Std10dot6TotRfndDue</vt:lpstr>
      <vt:lpstr>'IWP14'!Std10dot6TotRfndDue</vt:lpstr>
      <vt:lpstr>'IWP15'!Std10dot6TotRfndDue</vt:lpstr>
      <vt:lpstr>'IWP16'!Std10dot6TotRfndDue</vt:lpstr>
      <vt:lpstr>'IWP17'!Std10dot6TotRfndDue</vt:lpstr>
      <vt:lpstr>'IWP18'!Std10dot6TotRfndDue</vt:lpstr>
      <vt:lpstr>'IWP19'!Std10dot6TotRfndDue</vt:lpstr>
      <vt:lpstr>'IWP20'!Std10dot6TotRfndDue</vt:lpstr>
      <vt:lpstr>'IWP21'!Std10dot6TotRfndDue</vt:lpstr>
      <vt:lpstr>'IWP22'!Std10dot6TotRfndDue</vt:lpstr>
      <vt:lpstr>'IWP23'!Std10dot6TotRfndDue</vt:lpstr>
      <vt:lpstr>'IWP24'!Std10dot6TotRfndDue</vt:lpstr>
      <vt:lpstr>'IWP25'!Std10dot6TotRfndDue</vt:lpstr>
      <vt:lpstr>'IWP26'!Std10dot6TotRfndDue</vt:lpstr>
      <vt:lpstr>'IWP27'!Std10dot6TotRfndDue</vt:lpstr>
      <vt:lpstr>'IWP28'!Std10dot6TotRfndDue</vt:lpstr>
      <vt:lpstr>'IWP29'!Std10dot6TotRfndDue</vt:lpstr>
      <vt:lpstr>'IWP30'!Std10dot6TotRfndDue</vt:lpstr>
      <vt:lpstr>'IWP01'!Std10dot6TrustFundAmtDue</vt:lpstr>
      <vt:lpstr>'IWP02'!Std10dot6TrustFundAmtDue</vt:lpstr>
      <vt:lpstr>'IWP03'!Std10dot6TrustFundAmtDue</vt:lpstr>
      <vt:lpstr>'IWP04'!Std10dot6TrustFundAmtDue</vt:lpstr>
      <vt:lpstr>'IWP05'!Std10dot6TrustFundAmtDue</vt:lpstr>
      <vt:lpstr>'IWP06'!Std10dot6TrustFundAmtDue</vt:lpstr>
      <vt:lpstr>'IWP07'!Std10dot6TrustFundAmtDue</vt:lpstr>
      <vt:lpstr>'IWP08'!Std10dot6TrustFundAmtDue</vt:lpstr>
      <vt:lpstr>'IWP09'!Std10dot6TrustFundAmtDue</vt:lpstr>
      <vt:lpstr>'IWP10'!Std10dot6TrustFundAmtDue</vt:lpstr>
      <vt:lpstr>'IWP11'!Std10dot6TrustFundAmtDue</vt:lpstr>
      <vt:lpstr>'IWP12'!Std10dot6TrustFundAmtDue</vt:lpstr>
      <vt:lpstr>'IWP13'!Std10dot6TrustFundAmtDue</vt:lpstr>
      <vt:lpstr>'IWP14'!Std10dot6TrustFundAmtDue</vt:lpstr>
      <vt:lpstr>'IWP15'!Std10dot6TrustFundAmtDue</vt:lpstr>
      <vt:lpstr>'IWP16'!Std10dot6TrustFundAmtDue</vt:lpstr>
      <vt:lpstr>'IWP17'!Std10dot6TrustFundAmtDue</vt:lpstr>
      <vt:lpstr>'IWP18'!Std10dot6TrustFundAmtDue</vt:lpstr>
      <vt:lpstr>'IWP19'!Std10dot6TrustFundAmtDue</vt:lpstr>
      <vt:lpstr>'IWP20'!Std10dot6TrustFundAmtDue</vt:lpstr>
      <vt:lpstr>'IWP21'!Std10dot6TrustFundAmtDue</vt:lpstr>
      <vt:lpstr>'IWP22'!Std10dot6TrustFundAmtDue</vt:lpstr>
      <vt:lpstr>'IWP23'!Std10dot6TrustFundAmtDue</vt:lpstr>
      <vt:lpstr>'IWP24'!Std10dot6TrustFundAmtDue</vt:lpstr>
      <vt:lpstr>'IWP25'!Std10dot6TrustFundAmtDue</vt:lpstr>
      <vt:lpstr>'IWP26'!Std10dot6TrustFundAmtDue</vt:lpstr>
      <vt:lpstr>'IWP27'!Std10dot6TrustFundAmtDue</vt:lpstr>
      <vt:lpstr>'IWP28'!Std10dot6TrustFundAmtDue</vt:lpstr>
      <vt:lpstr>'IWP29'!Std10dot6TrustFundAmtDue</vt:lpstr>
      <vt:lpstr>'IWP30'!Std10dot6TrustFundAmtDue</vt:lpstr>
      <vt:lpstr>'ALRC Compliance Summary (Print)'!Std10Score</vt:lpstr>
      <vt:lpstr>'IWP01'!Std11dot1</vt:lpstr>
      <vt:lpstr>'IWP02'!Std11dot1</vt:lpstr>
      <vt:lpstr>'IWP03'!Std11dot1</vt:lpstr>
      <vt:lpstr>'IWP04'!Std11dot1</vt:lpstr>
      <vt:lpstr>'IWP05'!Std11dot1</vt:lpstr>
      <vt:lpstr>'IWP06'!Std11dot1</vt:lpstr>
      <vt:lpstr>'IWP07'!Std11dot1</vt:lpstr>
      <vt:lpstr>'IWP08'!Std11dot1</vt:lpstr>
      <vt:lpstr>'IWP09'!Std11dot1</vt:lpstr>
      <vt:lpstr>'IWP10'!Std11dot1</vt:lpstr>
      <vt:lpstr>'IWP11'!Std11dot1</vt:lpstr>
      <vt:lpstr>'IWP12'!Std11dot1</vt:lpstr>
      <vt:lpstr>'IWP13'!Std11dot1</vt:lpstr>
      <vt:lpstr>'IWP14'!Std11dot1</vt:lpstr>
      <vt:lpstr>'IWP15'!Std11dot1</vt:lpstr>
      <vt:lpstr>'IWP16'!Std11dot1</vt:lpstr>
      <vt:lpstr>'IWP17'!Std11dot1</vt:lpstr>
      <vt:lpstr>'IWP18'!Std11dot1</vt:lpstr>
      <vt:lpstr>'IWP19'!Std11dot1</vt:lpstr>
      <vt:lpstr>'IWP20'!Std11dot1</vt:lpstr>
      <vt:lpstr>'IWP21'!Std11dot1</vt:lpstr>
      <vt:lpstr>'IWP22'!Std11dot1</vt:lpstr>
      <vt:lpstr>'IWP23'!Std11dot1</vt:lpstr>
      <vt:lpstr>'IWP24'!Std11dot1</vt:lpstr>
      <vt:lpstr>'IWP25'!Std11dot1</vt:lpstr>
      <vt:lpstr>'IWP26'!Std11dot1</vt:lpstr>
      <vt:lpstr>'IWP27'!Std11dot1</vt:lpstr>
      <vt:lpstr>'IWP28'!Std11dot1</vt:lpstr>
      <vt:lpstr>'IWP29'!Std11dot1</vt:lpstr>
      <vt:lpstr>'IWP30'!Std11dot1</vt:lpstr>
      <vt:lpstr>'IWP01'!Std11dot1a</vt:lpstr>
      <vt:lpstr>'IWP02'!Std11dot1a</vt:lpstr>
      <vt:lpstr>'IWP03'!Std11dot1a</vt:lpstr>
      <vt:lpstr>'IWP04'!Std11dot1a</vt:lpstr>
      <vt:lpstr>'IWP05'!Std11dot1a</vt:lpstr>
      <vt:lpstr>'IWP06'!Std11dot1a</vt:lpstr>
      <vt:lpstr>'IWP07'!Std11dot1a</vt:lpstr>
      <vt:lpstr>'IWP08'!Std11dot1a</vt:lpstr>
      <vt:lpstr>'IWP09'!Std11dot1a</vt:lpstr>
      <vt:lpstr>'IWP10'!Std11dot1a</vt:lpstr>
      <vt:lpstr>'IWP11'!Std11dot1a</vt:lpstr>
      <vt:lpstr>'IWP12'!Std11dot1a</vt:lpstr>
      <vt:lpstr>'IWP13'!Std11dot1a</vt:lpstr>
      <vt:lpstr>'IWP14'!Std11dot1a</vt:lpstr>
      <vt:lpstr>'IWP15'!Std11dot1a</vt:lpstr>
      <vt:lpstr>'IWP16'!Std11dot1a</vt:lpstr>
      <vt:lpstr>'IWP17'!Std11dot1a</vt:lpstr>
      <vt:lpstr>'IWP18'!Std11dot1a</vt:lpstr>
      <vt:lpstr>'IWP19'!Std11dot1a</vt:lpstr>
      <vt:lpstr>'IWP20'!Std11dot1a</vt:lpstr>
      <vt:lpstr>'IWP21'!Std11dot1a</vt:lpstr>
      <vt:lpstr>'IWP22'!Std11dot1a</vt:lpstr>
      <vt:lpstr>'IWP23'!Std11dot1a</vt:lpstr>
      <vt:lpstr>'IWP24'!Std11dot1a</vt:lpstr>
      <vt:lpstr>'IWP25'!Std11dot1a</vt:lpstr>
      <vt:lpstr>'IWP26'!Std11dot1a</vt:lpstr>
      <vt:lpstr>'IWP27'!Std11dot1a</vt:lpstr>
      <vt:lpstr>'IWP28'!Std11dot1a</vt:lpstr>
      <vt:lpstr>'IWP29'!Std11dot1a</vt:lpstr>
      <vt:lpstr>'IWP30'!Std11dot1a</vt:lpstr>
      <vt:lpstr>'IWP01'!Std11dot1aNotCalc</vt:lpstr>
      <vt:lpstr>'IWP02'!Std11dot1aNotCalc</vt:lpstr>
      <vt:lpstr>'IWP03'!Std11dot1aNotCalc</vt:lpstr>
      <vt:lpstr>'IWP04'!Std11dot1aNotCalc</vt:lpstr>
      <vt:lpstr>'IWP05'!Std11dot1aNotCalc</vt:lpstr>
      <vt:lpstr>'IWP06'!Std11dot1aNotCalc</vt:lpstr>
      <vt:lpstr>'IWP07'!Std11dot1aNotCalc</vt:lpstr>
      <vt:lpstr>'IWP08'!Std11dot1aNotCalc</vt:lpstr>
      <vt:lpstr>'IWP09'!Std11dot1aNotCalc</vt:lpstr>
      <vt:lpstr>'IWP10'!Std11dot1aNotCalc</vt:lpstr>
      <vt:lpstr>'IWP11'!Std11dot1aNotCalc</vt:lpstr>
      <vt:lpstr>'IWP12'!Std11dot1aNotCalc</vt:lpstr>
      <vt:lpstr>'IWP13'!Std11dot1aNotCalc</vt:lpstr>
      <vt:lpstr>'IWP14'!Std11dot1aNotCalc</vt:lpstr>
      <vt:lpstr>'IWP15'!Std11dot1aNotCalc</vt:lpstr>
      <vt:lpstr>'IWP16'!Std11dot1aNotCalc</vt:lpstr>
      <vt:lpstr>'IWP17'!Std11dot1aNotCalc</vt:lpstr>
      <vt:lpstr>'IWP18'!Std11dot1aNotCalc</vt:lpstr>
      <vt:lpstr>'IWP19'!Std11dot1aNotCalc</vt:lpstr>
      <vt:lpstr>'IWP20'!Std11dot1aNotCalc</vt:lpstr>
      <vt:lpstr>'IWP21'!Std11dot1aNotCalc</vt:lpstr>
      <vt:lpstr>'IWP22'!Std11dot1aNotCalc</vt:lpstr>
      <vt:lpstr>'IWP23'!Std11dot1aNotCalc</vt:lpstr>
      <vt:lpstr>'IWP24'!Std11dot1aNotCalc</vt:lpstr>
      <vt:lpstr>'IWP25'!Std11dot1aNotCalc</vt:lpstr>
      <vt:lpstr>'IWP26'!Std11dot1aNotCalc</vt:lpstr>
      <vt:lpstr>'IWP27'!Std11dot1aNotCalc</vt:lpstr>
      <vt:lpstr>'IWP28'!Std11dot1aNotCalc</vt:lpstr>
      <vt:lpstr>'IWP29'!Std11dot1aNotCalc</vt:lpstr>
      <vt:lpstr>'IWP30'!Std11dot1aNotCalc</vt:lpstr>
      <vt:lpstr>'IWP01'!Std11dot1AptGrandFthr</vt:lpstr>
      <vt:lpstr>'IWP02'!Std11dot1AptGrandFthr</vt:lpstr>
      <vt:lpstr>'IWP03'!Std11dot1AptGrandFthr</vt:lpstr>
      <vt:lpstr>'IWP04'!Std11dot1AptGrandFthr</vt:lpstr>
      <vt:lpstr>'IWP05'!Std11dot1AptGrandFthr</vt:lpstr>
      <vt:lpstr>'IWP06'!Std11dot1AptGrandFthr</vt:lpstr>
      <vt:lpstr>'IWP07'!Std11dot1AptGrandFthr</vt:lpstr>
      <vt:lpstr>'IWP08'!Std11dot1AptGrandFthr</vt:lpstr>
      <vt:lpstr>'IWP09'!Std11dot1AptGrandFthr</vt:lpstr>
      <vt:lpstr>'IWP10'!Std11dot1AptGrandFthr</vt:lpstr>
      <vt:lpstr>'IWP11'!Std11dot1AptGrandFthr</vt:lpstr>
      <vt:lpstr>'IWP12'!Std11dot1AptGrandFthr</vt:lpstr>
      <vt:lpstr>'IWP13'!Std11dot1AptGrandFthr</vt:lpstr>
      <vt:lpstr>'IWP14'!Std11dot1AptGrandFthr</vt:lpstr>
      <vt:lpstr>'IWP15'!Std11dot1AptGrandFthr</vt:lpstr>
      <vt:lpstr>'IWP16'!Std11dot1AptGrandFthr</vt:lpstr>
      <vt:lpstr>'IWP17'!Std11dot1AptGrandFthr</vt:lpstr>
      <vt:lpstr>'IWP18'!Std11dot1AptGrandFthr</vt:lpstr>
      <vt:lpstr>'IWP19'!Std11dot1AptGrandFthr</vt:lpstr>
      <vt:lpstr>'IWP20'!Std11dot1AptGrandFthr</vt:lpstr>
      <vt:lpstr>'IWP21'!Std11dot1AptGrandFthr</vt:lpstr>
      <vt:lpstr>'IWP22'!Std11dot1AptGrandFthr</vt:lpstr>
      <vt:lpstr>'IWP23'!Std11dot1AptGrandFthr</vt:lpstr>
      <vt:lpstr>'IWP24'!Std11dot1AptGrandFthr</vt:lpstr>
      <vt:lpstr>'IWP25'!Std11dot1AptGrandFthr</vt:lpstr>
      <vt:lpstr>'IWP26'!Std11dot1AptGrandFthr</vt:lpstr>
      <vt:lpstr>'IWP27'!Std11dot1AptGrandFthr</vt:lpstr>
      <vt:lpstr>'IWP28'!Std11dot1AptGrandFthr</vt:lpstr>
      <vt:lpstr>'IWP29'!Std11dot1AptGrandFthr</vt:lpstr>
      <vt:lpstr>'IWP30'!Std11dot1AptGrandFthr</vt:lpstr>
      <vt:lpstr>'IWP01'!Std11dot1b</vt:lpstr>
      <vt:lpstr>'IWP02'!Std11dot1b</vt:lpstr>
      <vt:lpstr>'IWP03'!Std11dot1b</vt:lpstr>
      <vt:lpstr>'IWP04'!Std11dot1b</vt:lpstr>
      <vt:lpstr>'IWP05'!Std11dot1b</vt:lpstr>
      <vt:lpstr>'IWP06'!Std11dot1b</vt:lpstr>
      <vt:lpstr>'IWP07'!Std11dot1b</vt:lpstr>
      <vt:lpstr>'IWP08'!Std11dot1b</vt:lpstr>
      <vt:lpstr>'IWP09'!Std11dot1b</vt:lpstr>
      <vt:lpstr>'IWP10'!Std11dot1b</vt:lpstr>
      <vt:lpstr>'IWP11'!Std11dot1b</vt:lpstr>
      <vt:lpstr>'IWP12'!Std11dot1b</vt:lpstr>
      <vt:lpstr>'IWP13'!Std11dot1b</vt:lpstr>
      <vt:lpstr>'IWP14'!Std11dot1b</vt:lpstr>
      <vt:lpstr>'IWP15'!Std11dot1b</vt:lpstr>
      <vt:lpstr>'IWP16'!Std11dot1b</vt:lpstr>
      <vt:lpstr>'IWP17'!Std11dot1b</vt:lpstr>
      <vt:lpstr>'IWP18'!Std11dot1b</vt:lpstr>
      <vt:lpstr>'IWP19'!Std11dot1b</vt:lpstr>
      <vt:lpstr>'IWP20'!Std11dot1b</vt:lpstr>
      <vt:lpstr>'IWP21'!Std11dot1b</vt:lpstr>
      <vt:lpstr>'IWP22'!Std11dot1b</vt:lpstr>
      <vt:lpstr>'IWP23'!Std11dot1b</vt:lpstr>
      <vt:lpstr>'IWP24'!Std11dot1b</vt:lpstr>
      <vt:lpstr>'IWP25'!Std11dot1b</vt:lpstr>
      <vt:lpstr>'IWP26'!Std11dot1b</vt:lpstr>
      <vt:lpstr>'IWP27'!Std11dot1b</vt:lpstr>
      <vt:lpstr>'IWP28'!Std11dot1b</vt:lpstr>
      <vt:lpstr>'IWP29'!Std11dot1b</vt:lpstr>
      <vt:lpstr>'IWP30'!Std11dot1b</vt:lpstr>
      <vt:lpstr>'IWP01'!Std11dot1BathSink</vt:lpstr>
      <vt:lpstr>'IWP02'!Std11dot1BathSink</vt:lpstr>
      <vt:lpstr>'IWP03'!Std11dot1BathSink</vt:lpstr>
      <vt:lpstr>'IWP04'!Std11dot1BathSink</vt:lpstr>
      <vt:lpstr>'IWP05'!Std11dot1BathSink</vt:lpstr>
      <vt:lpstr>'IWP06'!Std11dot1BathSink</vt:lpstr>
      <vt:lpstr>'IWP07'!Std11dot1BathSink</vt:lpstr>
      <vt:lpstr>'IWP08'!Std11dot1BathSink</vt:lpstr>
      <vt:lpstr>'IWP09'!Std11dot1BathSink</vt:lpstr>
      <vt:lpstr>'IWP10'!Std11dot1BathSink</vt:lpstr>
      <vt:lpstr>'IWP11'!Std11dot1BathSink</vt:lpstr>
      <vt:lpstr>'IWP12'!Std11dot1BathSink</vt:lpstr>
      <vt:lpstr>'IWP13'!Std11dot1BathSink</vt:lpstr>
      <vt:lpstr>'IWP14'!Std11dot1BathSink</vt:lpstr>
      <vt:lpstr>'IWP15'!Std11dot1BathSink</vt:lpstr>
      <vt:lpstr>'IWP16'!Std11dot1BathSink</vt:lpstr>
      <vt:lpstr>'IWP17'!Std11dot1BathSink</vt:lpstr>
      <vt:lpstr>'IWP18'!Std11dot1BathSink</vt:lpstr>
      <vt:lpstr>'IWP19'!Std11dot1BathSink</vt:lpstr>
      <vt:lpstr>'IWP20'!Std11dot1BathSink</vt:lpstr>
      <vt:lpstr>'IWP21'!Std11dot1BathSink</vt:lpstr>
      <vt:lpstr>'IWP22'!Std11dot1BathSink</vt:lpstr>
      <vt:lpstr>'IWP23'!Std11dot1BathSink</vt:lpstr>
      <vt:lpstr>'IWP24'!Std11dot1BathSink</vt:lpstr>
      <vt:lpstr>'IWP25'!Std11dot1BathSink</vt:lpstr>
      <vt:lpstr>'IWP26'!Std11dot1BathSink</vt:lpstr>
      <vt:lpstr>'IWP27'!Std11dot1BathSink</vt:lpstr>
      <vt:lpstr>'IWP28'!Std11dot1BathSink</vt:lpstr>
      <vt:lpstr>'IWP29'!Std11dot1BathSink</vt:lpstr>
      <vt:lpstr>'IWP30'!Std11dot1BathSink</vt:lpstr>
      <vt:lpstr>'IWP01'!Std11dot1BdrmLength</vt:lpstr>
      <vt:lpstr>'IWP02'!Std11dot1BdrmLength</vt:lpstr>
      <vt:lpstr>'IWP03'!Std11dot1BdrmLength</vt:lpstr>
      <vt:lpstr>'IWP04'!Std11dot1BdrmLength</vt:lpstr>
      <vt:lpstr>'IWP05'!Std11dot1BdrmLength</vt:lpstr>
      <vt:lpstr>'IWP06'!Std11dot1BdrmLength</vt:lpstr>
      <vt:lpstr>'IWP07'!Std11dot1BdrmLength</vt:lpstr>
      <vt:lpstr>'IWP08'!Std11dot1BdrmLength</vt:lpstr>
      <vt:lpstr>'IWP09'!Std11dot1BdrmLength</vt:lpstr>
      <vt:lpstr>'IWP10'!Std11dot1BdrmLength</vt:lpstr>
      <vt:lpstr>'IWP11'!Std11dot1BdrmLength</vt:lpstr>
      <vt:lpstr>'IWP12'!Std11dot1BdrmLength</vt:lpstr>
      <vt:lpstr>'IWP13'!Std11dot1BdrmLength</vt:lpstr>
      <vt:lpstr>'IWP14'!Std11dot1BdrmLength</vt:lpstr>
      <vt:lpstr>'IWP15'!Std11dot1BdrmLength</vt:lpstr>
      <vt:lpstr>'IWP16'!Std11dot1BdrmLength</vt:lpstr>
      <vt:lpstr>'IWP17'!Std11dot1BdrmLength</vt:lpstr>
      <vt:lpstr>'IWP18'!Std11dot1BdrmLength</vt:lpstr>
      <vt:lpstr>'IWP19'!Std11dot1BdrmLength</vt:lpstr>
      <vt:lpstr>'IWP20'!Std11dot1BdrmLength</vt:lpstr>
      <vt:lpstr>'IWP21'!Std11dot1BdrmLength</vt:lpstr>
      <vt:lpstr>'IWP22'!Std11dot1BdrmLength</vt:lpstr>
      <vt:lpstr>'IWP23'!Std11dot1BdrmLength</vt:lpstr>
      <vt:lpstr>'IWP24'!Std11dot1BdrmLength</vt:lpstr>
      <vt:lpstr>'IWP25'!Std11dot1BdrmLength</vt:lpstr>
      <vt:lpstr>'IWP26'!Std11dot1BdrmLength</vt:lpstr>
      <vt:lpstr>'IWP27'!Std11dot1BdrmLength</vt:lpstr>
      <vt:lpstr>'IWP28'!Std11dot1BdrmLength</vt:lpstr>
      <vt:lpstr>'IWP29'!Std11dot1BdrmLength</vt:lpstr>
      <vt:lpstr>'IWP30'!Std11dot1BdrmLength</vt:lpstr>
      <vt:lpstr>'IWP01'!Std11dot1BdrmSqFt</vt:lpstr>
      <vt:lpstr>'IWP02'!Std11dot1BdrmSqFt</vt:lpstr>
      <vt:lpstr>'IWP03'!Std11dot1BdrmSqFt</vt:lpstr>
      <vt:lpstr>'IWP04'!Std11dot1BdrmSqFt</vt:lpstr>
      <vt:lpstr>'IWP05'!Std11dot1BdrmSqFt</vt:lpstr>
      <vt:lpstr>'IWP06'!Std11dot1BdrmSqFt</vt:lpstr>
      <vt:lpstr>'IWP07'!Std11dot1BdrmSqFt</vt:lpstr>
      <vt:lpstr>'IWP08'!Std11dot1BdrmSqFt</vt:lpstr>
      <vt:lpstr>'IWP09'!Std11dot1BdrmSqFt</vt:lpstr>
      <vt:lpstr>'IWP10'!Std11dot1BdrmSqFt</vt:lpstr>
      <vt:lpstr>'IWP11'!Std11dot1BdrmSqFt</vt:lpstr>
      <vt:lpstr>'IWP12'!Std11dot1BdrmSqFt</vt:lpstr>
      <vt:lpstr>'IWP13'!Std11dot1BdrmSqFt</vt:lpstr>
      <vt:lpstr>'IWP14'!Std11dot1BdrmSqFt</vt:lpstr>
      <vt:lpstr>'IWP15'!Std11dot1BdrmSqFt</vt:lpstr>
      <vt:lpstr>'IWP16'!Std11dot1BdrmSqFt</vt:lpstr>
      <vt:lpstr>'IWP17'!Std11dot1BdrmSqFt</vt:lpstr>
      <vt:lpstr>'IWP18'!Std11dot1BdrmSqFt</vt:lpstr>
      <vt:lpstr>'IWP19'!Std11dot1BdrmSqFt</vt:lpstr>
      <vt:lpstr>'IWP20'!Std11dot1BdrmSqFt</vt:lpstr>
      <vt:lpstr>'IWP21'!Std11dot1BdrmSqFt</vt:lpstr>
      <vt:lpstr>'IWP22'!Std11dot1BdrmSqFt</vt:lpstr>
      <vt:lpstr>'IWP23'!Std11dot1BdrmSqFt</vt:lpstr>
      <vt:lpstr>'IWP24'!Std11dot1BdrmSqFt</vt:lpstr>
      <vt:lpstr>'IWP25'!Std11dot1BdrmSqFt</vt:lpstr>
      <vt:lpstr>'IWP26'!Std11dot1BdrmSqFt</vt:lpstr>
      <vt:lpstr>'IWP27'!Std11dot1BdrmSqFt</vt:lpstr>
      <vt:lpstr>'IWP28'!Std11dot1BdrmSqFt</vt:lpstr>
      <vt:lpstr>'IWP29'!Std11dot1BdrmSqFt</vt:lpstr>
      <vt:lpstr>'IWP30'!Std11dot1BdrmSqFt</vt:lpstr>
      <vt:lpstr>'IWP01'!Std11dot1BdrmWidth</vt:lpstr>
      <vt:lpstr>'IWP02'!Std11dot1BdrmWidth</vt:lpstr>
      <vt:lpstr>'IWP03'!Std11dot1BdrmWidth</vt:lpstr>
      <vt:lpstr>'IWP04'!Std11dot1BdrmWidth</vt:lpstr>
      <vt:lpstr>'IWP05'!Std11dot1BdrmWidth</vt:lpstr>
      <vt:lpstr>'IWP06'!Std11dot1BdrmWidth</vt:lpstr>
      <vt:lpstr>'IWP07'!Std11dot1BdrmWidth</vt:lpstr>
      <vt:lpstr>'IWP08'!Std11dot1BdrmWidth</vt:lpstr>
      <vt:lpstr>'IWP09'!Std11dot1BdrmWidth</vt:lpstr>
      <vt:lpstr>'IWP10'!Std11dot1BdrmWidth</vt:lpstr>
      <vt:lpstr>'IWP11'!Std11dot1BdrmWidth</vt:lpstr>
      <vt:lpstr>'IWP12'!Std11dot1BdrmWidth</vt:lpstr>
      <vt:lpstr>'IWP13'!Std11dot1BdrmWidth</vt:lpstr>
      <vt:lpstr>'IWP14'!Std11dot1BdrmWidth</vt:lpstr>
      <vt:lpstr>'IWP15'!Std11dot1BdrmWidth</vt:lpstr>
      <vt:lpstr>'IWP16'!Std11dot1BdrmWidth</vt:lpstr>
      <vt:lpstr>'IWP17'!Std11dot1BdrmWidth</vt:lpstr>
      <vt:lpstr>'IWP18'!Std11dot1BdrmWidth</vt:lpstr>
      <vt:lpstr>'IWP19'!Std11dot1BdrmWidth</vt:lpstr>
      <vt:lpstr>'IWP20'!Std11dot1BdrmWidth</vt:lpstr>
      <vt:lpstr>'IWP21'!Std11dot1BdrmWidth</vt:lpstr>
      <vt:lpstr>'IWP22'!Std11dot1BdrmWidth</vt:lpstr>
      <vt:lpstr>'IWP23'!Std11dot1BdrmWidth</vt:lpstr>
      <vt:lpstr>'IWP24'!Std11dot1BdrmWidth</vt:lpstr>
      <vt:lpstr>'IWP25'!Std11dot1BdrmWidth</vt:lpstr>
      <vt:lpstr>'IWP26'!Std11dot1BdrmWidth</vt:lpstr>
      <vt:lpstr>'IWP27'!Std11dot1BdrmWidth</vt:lpstr>
      <vt:lpstr>'IWP28'!Std11dot1BdrmWidth</vt:lpstr>
      <vt:lpstr>'IWP29'!Std11dot1BdrmWidth</vt:lpstr>
      <vt:lpstr>'IWP30'!Std11dot1BdrmWidth</vt:lpstr>
      <vt:lpstr>'IWP01'!Std11dot1bNotCalc</vt:lpstr>
      <vt:lpstr>'IWP02'!Std11dot1bNotCalc</vt:lpstr>
      <vt:lpstr>'IWP03'!Std11dot1bNotCalc</vt:lpstr>
      <vt:lpstr>'IWP04'!Std11dot1bNotCalc</vt:lpstr>
      <vt:lpstr>'IWP05'!Std11dot1bNotCalc</vt:lpstr>
      <vt:lpstr>'IWP06'!Std11dot1bNotCalc</vt:lpstr>
      <vt:lpstr>'IWP07'!Std11dot1bNotCalc</vt:lpstr>
      <vt:lpstr>'IWP08'!Std11dot1bNotCalc</vt:lpstr>
      <vt:lpstr>'IWP09'!Std11dot1bNotCalc</vt:lpstr>
      <vt:lpstr>'IWP10'!Std11dot1bNotCalc</vt:lpstr>
      <vt:lpstr>'IWP11'!Std11dot1bNotCalc</vt:lpstr>
      <vt:lpstr>'IWP12'!Std11dot1bNotCalc</vt:lpstr>
      <vt:lpstr>'IWP13'!Std11dot1bNotCalc</vt:lpstr>
      <vt:lpstr>'IWP14'!Std11dot1bNotCalc</vt:lpstr>
      <vt:lpstr>'IWP15'!Std11dot1bNotCalc</vt:lpstr>
      <vt:lpstr>'IWP16'!Std11dot1bNotCalc</vt:lpstr>
      <vt:lpstr>'IWP17'!Std11dot1bNotCalc</vt:lpstr>
      <vt:lpstr>'IWP18'!Std11dot1bNotCalc</vt:lpstr>
      <vt:lpstr>'IWP19'!Std11dot1bNotCalc</vt:lpstr>
      <vt:lpstr>'IWP20'!Std11dot1bNotCalc</vt:lpstr>
      <vt:lpstr>'IWP21'!Std11dot1bNotCalc</vt:lpstr>
      <vt:lpstr>'IWP22'!Std11dot1bNotCalc</vt:lpstr>
      <vt:lpstr>'IWP23'!Std11dot1bNotCalc</vt:lpstr>
      <vt:lpstr>'IWP24'!Std11dot1bNotCalc</vt:lpstr>
      <vt:lpstr>'IWP25'!Std11dot1bNotCalc</vt:lpstr>
      <vt:lpstr>'IWP26'!Std11dot1bNotCalc</vt:lpstr>
      <vt:lpstr>'IWP27'!Std11dot1bNotCalc</vt:lpstr>
      <vt:lpstr>'IWP28'!Std11dot1bNotCalc</vt:lpstr>
      <vt:lpstr>'IWP29'!Std11dot1bNotCalc</vt:lpstr>
      <vt:lpstr>'IWP30'!Std11dot1bNotCalc</vt:lpstr>
      <vt:lpstr>'IWP01'!Std11dot1c</vt:lpstr>
      <vt:lpstr>'IWP02'!Std11dot1c</vt:lpstr>
      <vt:lpstr>'IWP03'!Std11dot1c</vt:lpstr>
      <vt:lpstr>'IWP04'!Std11dot1c</vt:lpstr>
      <vt:lpstr>'IWP05'!Std11dot1c</vt:lpstr>
      <vt:lpstr>'IWP06'!Std11dot1c</vt:lpstr>
      <vt:lpstr>'IWP07'!Std11dot1c</vt:lpstr>
      <vt:lpstr>'IWP08'!Std11dot1c</vt:lpstr>
      <vt:lpstr>'IWP09'!Std11dot1c</vt:lpstr>
      <vt:lpstr>'IWP10'!Std11dot1c</vt:lpstr>
      <vt:lpstr>'IWP11'!Std11dot1c</vt:lpstr>
      <vt:lpstr>'IWP12'!Std11dot1c</vt:lpstr>
      <vt:lpstr>'IWP13'!Std11dot1c</vt:lpstr>
      <vt:lpstr>'IWP14'!Std11dot1c</vt:lpstr>
      <vt:lpstr>'IWP15'!Std11dot1c</vt:lpstr>
      <vt:lpstr>'IWP16'!Std11dot1c</vt:lpstr>
      <vt:lpstr>'IWP17'!Std11dot1c</vt:lpstr>
      <vt:lpstr>'IWP18'!Std11dot1c</vt:lpstr>
      <vt:lpstr>'IWP19'!Std11dot1c</vt:lpstr>
      <vt:lpstr>'IWP20'!Std11dot1c</vt:lpstr>
      <vt:lpstr>'IWP21'!Std11dot1c</vt:lpstr>
      <vt:lpstr>'IWP22'!Std11dot1c</vt:lpstr>
      <vt:lpstr>'IWP23'!Std11dot1c</vt:lpstr>
      <vt:lpstr>'IWP24'!Std11dot1c</vt:lpstr>
      <vt:lpstr>'IWP25'!Std11dot1c</vt:lpstr>
      <vt:lpstr>'IWP26'!Std11dot1c</vt:lpstr>
      <vt:lpstr>'IWP27'!Std11dot1c</vt:lpstr>
      <vt:lpstr>'IWP28'!Std11dot1c</vt:lpstr>
      <vt:lpstr>'IWP29'!Std11dot1c</vt:lpstr>
      <vt:lpstr>'IWP30'!Std11dot1c</vt:lpstr>
      <vt:lpstr>'Personal Care 3 Facility Chklst'!Std11dot1CalcValue</vt:lpstr>
      <vt:lpstr>'IWP01'!Std11dot1cNotCalc</vt:lpstr>
      <vt:lpstr>'IWP02'!Std11dot1cNotCalc</vt:lpstr>
      <vt:lpstr>'IWP03'!Std11dot1cNotCalc</vt:lpstr>
      <vt:lpstr>'IWP04'!Std11dot1cNotCalc</vt:lpstr>
      <vt:lpstr>'IWP05'!Std11dot1cNotCalc</vt:lpstr>
      <vt:lpstr>'IWP06'!Std11dot1cNotCalc</vt:lpstr>
      <vt:lpstr>'IWP07'!Std11dot1cNotCalc</vt:lpstr>
      <vt:lpstr>'IWP08'!Std11dot1cNotCalc</vt:lpstr>
      <vt:lpstr>'IWP09'!Std11dot1cNotCalc</vt:lpstr>
      <vt:lpstr>'IWP10'!Std11dot1cNotCalc</vt:lpstr>
      <vt:lpstr>'IWP11'!Std11dot1cNotCalc</vt:lpstr>
      <vt:lpstr>'IWP12'!Std11dot1cNotCalc</vt:lpstr>
      <vt:lpstr>'IWP13'!Std11dot1cNotCalc</vt:lpstr>
      <vt:lpstr>'IWP14'!Std11dot1cNotCalc</vt:lpstr>
      <vt:lpstr>'IWP15'!Std11dot1cNotCalc</vt:lpstr>
      <vt:lpstr>'IWP16'!Std11dot1cNotCalc</vt:lpstr>
      <vt:lpstr>'IWP17'!Std11dot1cNotCalc</vt:lpstr>
      <vt:lpstr>'IWP18'!Std11dot1cNotCalc</vt:lpstr>
      <vt:lpstr>'IWP19'!Std11dot1cNotCalc</vt:lpstr>
      <vt:lpstr>'IWP20'!Std11dot1cNotCalc</vt:lpstr>
      <vt:lpstr>'IWP21'!Std11dot1cNotCalc</vt:lpstr>
      <vt:lpstr>'IWP22'!Std11dot1cNotCalc</vt:lpstr>
      <vt:lpstr>'IWP23'!Std11dot1cNotCalc</vt:lpstr>
      <vt:lpstr>'IWP24'!Std11dot1cNotCalc</vt:lpstr>
      <vt:lpstr>'IWP25'!Std11dot1cNotCalc</vt:lpstr>
      <vt:lpstr>'IWP26'!Std11dot1cNotCalc</vt:lpstr>
      <vt:lpstr>'IWP27'!Std11dot1cNotCalc</vt:lpstr>
      <vt:lpstr>'IWP28'!Std11dot1cNotCalc</vt:lpstr>
      <vt:lpstr>'IWP29'!Std11dot1cNotCalc</vt:lpstr>
      <vt:lpstr>'IWP30'!Std11dot1cNotCalc</vt:lpstr>
      <vt:lpstr>'IWP01'!Std11dot1CommonAreaCalculations</vt:lpstr>
      <vt:lpstr>'IWP02'!Std11dot1CommonAreaCalculations</vt:lpstr>
      <vt:lpstr>'IWP03'!Std11dot1CommonAreaCalculations</vt:lpstr>
      <vt:lpstr>'IWP04'!Std11dot1CommonAreaCalculations</vt:lpstr>
      <vt:lpstr>'IWP05'!Std11dot1CommonAreaCalculations</vt:lpstr>
      <vt:lpstr>'IWP06'!Std11dot1CommonAreaCalculations</vt:lpstr>
      <vt:lpstr>'IWP07'!Std11dot1CommonAreaCalculations</vt:lpstr>
      <vt:lpstr>'IWP08'!Std11dot1CommonAreaCalculations</vt:lpstr>
      <vt:lpstr>'IWP09'!Std11dot1CommonAreaCalculations</vt:lpstr>
      <vt:lpstr>'IWP10'!Std11dot1CommonAreaCalculations</vt:lpstr>
      <vt:lpstr>'IWP11'!Std11dot1CommonAreaCalculations</vt:lpstr>
      <vt:lpstr>'IWP12'!Std11dot1CommonAreaCalculations</vt:lpstr>
      <vt:lpstr>'IWP13'!Std11dot1CommonAreaCalculations</vt:lpstr>
      <vt:lpstr>'IWP14'!Std11dot1CommonAreaCalculations</vt:lpstr>
      <vt:lpstr>'IWP15'!Std11dot1CommonAreaCalculations</vt:lpstr>
      <vt:lpstr>'IWP16'!Std11dot1CommonAreaCalculations</vt:lpstr>
      <vt:lpstr>'IWP17'!Std11dot1CommonAreaCalculations</vt:lpstr>
      <vt:lpstr>'IWP18'!Std11dot1CommonAreaCalculations</vt:lpstr>
      <vt:lpstr>'IWP19'!Std11dot1CommonAreaCalculations</vt:lpstr>
      <vt:lpstr>'IWP20'!Std11dot1CommonAreaCalculations</vt:lpstr>
      <vt:lpstr>'IWP21'!Std11dot1CommonAreaCalculations</vt:lpstr>
      <vt:lpstr>'IWP22'!Std11dot1CommonAreaCalculations</vt:lpstr>
      <vt:lpstr>'IWP23'!Std11dot1CommonAreaCalculations</vt:lpstr>
      <vt:lpstr>'IWP24'!Std11dot1CommonAreaCalculations</vt:lpstr>
      <vt:lpstr>'IWP25'!Std11dot1CommonAreaCalculations</vt:lpstr>
      <vt:lpstr>'IWP26'!Std11dot1CommonAreaCalculations</vt:lpstr>
      <vt:lpstr>'IWP27'!Std11dot1CommonAreaCalculations</vt:lpstr>
      <vt:lpstr>'IWP28'!Std11dot1CommonAreaCalculations</vt:lpstr>
      <vt:lpstr>'IWP29'!Std11dot1CommonAreaCalculations</vt:lpstr>
      <vt:lpstr>'IWP30'!Std11dot1CommonAreaCalculations</vt:lpstr>
      <vt:lpstr>'IWP01'!Std11dot1CommonAreaSquareFootagePerResident</vt:lpstr>
      <vt:lpstr>'IWP02'!Std11dot1CommonAreaSquareFootagePerResident</vt:lpstr>
      <vt:lpstr>'IWP03'!Std11dot1CommonAreaSquareFootagePerResident</vt:lpstr>
      <vt:lpstr>'IWP04'!Std11dot1CommonAreaSquareFootagePerResident</vt:lpstr>
      <vt:lpstr>'IWP05'!Std11dot1CommonAreaSquareFootagePerResident</vt:lpstr>
      <vt:lpstr>'IWP06'!Std11dot1CommonAreaSquareFootagePerResident</vt:lpstr>
      <vt:lpstr>'IWP07'!Std11dot1CommonAreaSquareFootagePerResident</vt:lpstr>
      <vt:lpstr>'IWP08'!Std11dot1CommonAreaSquareFootagePerResident</vt:lpstr>
      <vt:lpstr>'IWP09'!Std11dot1CommonAreaSquareFootagePerResident</vt:lpstr>
      <vt:lpstr>'IWP10'!Std11dot1CommonAreaSquareFootagePerResident</vt:lpstr>
      <vt:lpstr>'IWP11'!Std11dot1CommonAreaSquareFootagePerResident</vt:lpstr>
      <vt:lpstr>'IWP12'!Std11dot1CommonAreaSquareFootagePerResident</vt:lpstr>
      <vt:lpstr>'IWP13'!Std11dot1CommonAreaSquareFootagePerResident</vt:lpstr>
      <vt:lpstr>'IWP14'!Std11dot1CommonAreaSquareFootagePerResident</vt:lpstr>
      <vt:lpstr>'IWP15'!Std11dot1CommonAreaSquareFootagePerResident</vt:lpstr>
      <vt:lpstr>'IWP16'!Std11dot1CommonAreaSquareFootagePerResident</vt:lpstr>
      <vt:lpstr>'IWP17'!Std11dot1CommonAreaSquareFootagePerResident</vt:lpstr>
      <vt:lpstr>'IWP18'!Std11dot1CommonAreaSquareFootagePerResident</vt:lpstr>
      <vt:lpstr>'IWP19'!Std11dot1CommonAreaSquareFootagePerResident</vt:lpstr>
      <vt:lpstr>'IWP20'!Std11dot1CommonAreaSquareFootagePerResident</vt:lpstr>
      <vt:lpstr>'IWP21'!Std11dot1CommonAreaSquareFootagePerResident</vt:lpstr>
      <vt:lpstr>'IWP22'!Std11dot1CommonAreaSquareFootagePerResident</vt:lpstr>
      <vt:lpstr>'IWP23'!Std11dot1CommonAreaSquareFootagePerResident</vt:lpstr>
      <vt:lpstr>'IWP24'!Std11dot1CommonAreaSquareFootagePerResident</vt:lpstr>
      <vt:lpstr>'IWP25'!Std11dot1CommonAreaSquareFootagePerResident</vt:lpstr>
      <vt:lpstr>'IWP26'!Std11dot1CommonAreaSquareFootagePerResident</vt:lpstr>
      <vt:lpstr>'IWP27'!Std11dot1CommonAreaSquareFootagePerResident</vt:lpstr>
      <vt:lpstr>'IWP28'!Std11dot1CommonAreaSquareFootagePerResident</vt:lpstr>
      <vt:lpstr>'IWP29'!Std11dot1CommonAreaSquareFootagePerResident</vt:lpstr>
      <vt:lpstr>'IWP30'!Std11dot1CommonAreaSquareFootagePerResident</vt:lpstr>
      <vt:lpstr>'IWP01'!Std11dot1d</vt:lpstr>
      <vt:lpstr>'IWP02'!Std11dot1d</vt:lpstr>
      <vt:lpstr>'IWP03'!Std11dot1d</vt:lpstr>
      <vt:lpstr>'IWP04'!Std11dot1d</vt:lpstr>
      <vt:lpstr>'IWP05'!Std11dot1d</vt:lpstr>
      <vt:lpstr>'IWP06'!Std11dot1d</vt:lpstr>
      <vt:lpstr>'IWP07'!Std11dot1d</vt:lpstr>
      <vt:lpstr>'IWP08'!Std11dot1d</vt:lpstr>
      <vt:lpstr>'IWP09'!Std11dot1d</vt:lpstr>
      <vt:lpstr>'IWP10'!Std11dot1d</vt:lpstr>
      <vt:lpstr>'IWP11'!Std11dot1d</vt:lpstr>
      <vt:lpstr>'IWP12'!Std11dot1d</vt:lpstr>
      <vt:lpstr>'IWP13'!Std11dot1d</vt:lpstr>
      <vt:lpstr>'IWP14'!Std11dot1d</vt:lpstr>
      <vt:lpstr>'IWP15'!Std11dot1d</vt:lpstr>
      <vt:lpstr>'IWP16'!Std11dot1d</vt:lpstr>
      <vt:lpstr>'IWP17'!Std11dot1d</vt:lpstr>
      <vt:lpstr>'IWP18'!Std11dot1d</vt:lpstr>
      <vt:lpstr>'IWP19'!Std11dot1d</vt:lpstr>
      <vt:lpstr>'IWP20'!Std11dot1d</vt:lpstr>
      <vt:lpstr>'IWP21'!Std11dot1d</vt:lpstr>
      <vt:lpstr>'IWP22'!Std11dot1d</vt:lpstr>
      <vt:lpstr>'IWP23'!Std11dot1d</vt:lpstr>
      <vt:lpstr>'IWP24'!Std11dot1d</vt:lpstr>
      <vt:lpstr>'IWP25'!Std11dot1d</vt:lpstr>
      <vt:lpstr>'IWP26'!Std11dot1d</vt:lpstr>
      <vt:lpstr>'IWP27'!Std11dot1d</vt:lpstr>
      <vt:lpstr>'IWP28'!Std11dot1d</vt:lpstr>
      <vt:lpstr>'IWP29'!Std11dot1d</vt:lpstr>
      <vt:lpstr>'IWP30'!Std11dot1d</vt:lpstr>
      <vt:lpstr>'IWP01'!Std11dot1dNotCalc</vt:lpstr>
      <vt:lpstr>'IWP02'!Std11dot1dNotCalc</vt:lpstr>
      <vt:lpstr>'IWP03'!Std11dot1dNotCalc</vt:lpstr>
      <vt:lpstr>'IWP04'!Std11dot1dNotCalc</vt:lpstr>
      <vt:lpstr>'IWP05'!Std11dot1dNotCalc</vt:lpstr>
      <vt:lpstr>'IWP06'!Std11dot1dNotCalc</vt:lpstr>
      <vt:lpstr>'IWP07'!Std11dot1dNotCalc</vt:lpstr>
      <vt:lpstr>'IWP08'!Std11dot1dNotCalc</vt:lpstr>
      <vt:lpstr>'IWP09'!Std11dot1dNotCalc</vt:lpstr>
      <vt:lpstr>'IWP10'!Std11dot1dNotCalc</vt:lpstr>
      <vt:lpstr>'IWP11'!Std11dot1dNotCalc</vt:lpstr>
      <vt:lpstr>'IWP12'!Std11dot1dNotCalc</vt:lpstr>
      <vt:lpstr>'IWP13'!Std11dot1dNotCalc</vt:lpstr>
      <vt:lpstr>'IWP14'!Std11dot1dNotCalc</vt:lpstr>
      <vt:lpstr>'IWP15'!Std11dot1dNotCalc</vt:lpstr>
      <vt:lpstr>'IWP16'!Std11dot1dNotCalc</vt:lpstr>
      <vt:lpstr>'IWP17'!Std11dot1dNotCalc</vt:lpstr>
      <vt:lpstr>'IWP18'!Std11dot1dNotCalc</vt:lpstr>
      <vt:lpstr>'IWP19'!Std11dot1dNotCalc</vt:lpstr>
      <vt:lpstr>'IWP20'!Std11dot1dNotCalc</vt:lpstr>
      <vt:lpstr>'IWP21'!Std11dot1dNotCalc</vt:lpstr>
      <vt:lpstr>'IWP22'!Std11dot1dNotCalc</vt:lpstr>
      <vt:lpstr>'IWP23'!Std11dot1dNotCalc</vt:lpstr>
      <vt:lpstr>'IWP24'!Std11dot1dNotCalc</vt:lpstr>
      <vt:lpstr>'IWP25'!Std11dot1dNotCalc</vt:lpstr>
      <vt:lpstr>'IWP26'!Std11dot1dNotCalc</vt:lpstr>
      <vt:lpstr>'IWP27'!Std11dot1dNotCalc</vt:lpstr>
      <vt:lpstr>'IWP28'!Std11dot1dNotCalc</vt:lpstr>
      <vt:lpstr>'IWP29'!Std11dot1dNotCalc</vt:lpstr>
      <vt:lpstr>'IWP30'!Std11dot1dNotCalc</vt:lpstr>
      <vt:lpstr>'IWP01'!Std11dot1e</vt:lpstr>
      <vt:lpstr>'IWP02'!Std11dot1e</vt:lpstr>
      <vt:lpstr>'IWP03'!Std11dot1e</vt:lpstr>
      <vt:lpstr>'IWP04'!Std11dot1e</vt:lpstr>
      <vt:lpstr>'IWP05'!Std11dot1e</vt:lpstr>
      <vt:lpstr>'IWP06'!Std11dot1e</vt:lpstr>
      <vt:lpstr>'IWP07'!Std11dot1e</vt:lpstr>
      <vt:lpstr>'IWP08'!Std11dot1e</vt:lpstr>
      <vt:lpstr>'IWP09'!Std11dot1e</vt:lpstr>
      <vt:lpstr>'IWP10'!Std11dot1e</vt:lpstr>
      <vt:lpstr>'IWP11'!Std11dot1e</vt:lpstr>
      <vt:lpstr>'IWP12'!Std11dot1e</vt:lpstr>
      <vt:lpstr>'IWP13'!Std11dot1e</vt:lpstr>
      <vt:lpstr>'IWP14'!Std11dot1e</vt:lpstr>
      <vt:lpstr>'IWP15'!Std11dot1e</vt:lpstr>
      <vt:lpstr>'IWP16'!Std11dot1e</vt:lpstr>
      <vt:lpstr>'IWP17'!Std11dot1e</vt:lpstr>
      <vt:lpstr>'IWP18'!Std11dot1e</vt:lpstr>
      <vt:lpstr>'IWP19'!Std11dot1e</vt:lpstr>
      <vt:lpstr>'IWP20'!Std11dot1e</vt:lpstr>
      <vt:lpstr>'IWP21'!Std11dot1e</vt:lpstr>
      <vt:lpstr>'IWP22'!Std11dot1e</vt:lpstr>
      <vt:lpstr>'IWP23'!Std11dot1e</vt:lpstr>
      <vt:lpstr>'IWP24'!Std11dot1e</vt:lpstr>
      <vt:lpstr>'IWP25'!Std11dot1e</vt:lpstr>
      <vt:lpstr>'IWP26'!Std11dot1e</vt:lpstr>
      <vt:lpstr>'IWP27'!Std11dot1e</vt:lpstr>
      <vt:lpstr>'IWP28'!Std11dot1e</vt:lpstr>
      <vt:lpstr>'IWP29'!Std11dot1e</vt:lpstr>
      <vt:lpstr>'IWP30'!Std11dot1e</vt:lpstr>
      <vt:lpstr>'IWP01'!Std11dot1eNotCalc</vt:lpstr>
      <vt:lpstr>'IWP02'!Std11dot1eNotCalc</vt:lpstr>
      <vt:lpstr>'IWP03'!Std11dot1eNotCalc</vt:lpstr>
      <vt:lpstr>'IWP04'!Std11dot1eNotCalc</vt:lpstr>
      <vt:lpstr>'IWP05'!Std11dot1eNotCalc</vt:lpstr>
      <vt:lpstr>'IWP06'!Std11dot1eNotCalc</vt:lpstr>
      <vt:lpstr>'IWP07'!Std11dot1eNotCalc</vt:lpstr>
      <vt:lpstr>'IWP08'!Std11dot1eNotCalc</vt:lpstr>
      <vt:lpstr>'IWP09'!Std11dot1eNotCalc</vt:lpstr>
      <vt:lpstr>'IWP10'!Std11dot1eNotCalc</vt:lpstr>
      <vt:lpstr>'IWP11'!Std11dot1eNotCalc</vt:lpstr>
      <vt:lpstr>'IWP12'!Std11dot1eNotCalc</vt:lpstr>
      <vt:lpstr>'IWP13'!Std11dot1eNotCalc</vt:lpstr>
      <vt:lpstr>'IWP14'!Std11dot1eNotCalc</vt:lpstr>
      <vt:lpstr>'IWP15'!Std11dot1eNotCalc</vt:lpstr>
      <vt:lpstr>'IWP16'!Std11dot1eNotCalc</vt:lpstr>
      <vt:lpstr>'IWP17'!Std11dot1eNotCalc</vt:lpstr>
      <vt:lpstr>'IWP18'!Std11dot1eNotCalc</vt:lpstr>
      <vt:lpstr>'IWP19'!Std11dot1eNotCalc</vt:lpstr>
      <vt:lpstr>'IWP20'!Std11dot1eNotCalc</vt:lpstr>
      <vt:lpstr>'IWP21'!Std11dot1eNotCalc</vt:lpstr>
      <vt:lpstr>'IWP22'!Std11dot1eNotCalc</vt:lpstr>
      <vt:lpstr>'IWP23'!Std11dot1eNotCalc</vt:lpstr>
      <vt:lpstr>'IWP24'!Std11dot1eNotCalc</vt:lpstr>
      <vt:lpstr>'IWP25'!Std11dot1eNotCalc</vt:lpstr>
      <vt:lpstr>'IWP26'!Std11dot1eNotCalc</vt:lpstr>
      <vt:lpstr>'IWP27'!Std11dot1eNotCalc</vt:lpstr>
      <vt:lpstr>'IWP28'!Std11dot1eNotCalc</vt:lpstr>
      <vt:lpstr>'IWP29'!Std11dot1eNotCalc</vt:lpstr>
      <vt:lpstr>'IWP30'!Std11dot1eNotCalc</vt:lpstr>
      <vt:lpstr>'IWP01'!Std11dot1f</vt:lpstr>
      <vt:lpstr>'IWP02'!Std11dot1f</vt:lpstr>
      <vt:lpstr>'IWP03'!Std11dot1f</vt:lpstr>
      <vt:lpstr>'IWP04'!Std11dot1f</vt:lpstr>
      <vt:lpstr>'IWP05'!Std11dot1f</vt:lpstr>
      <vt:lpstr>'IWP06'!Std11dot1f</vt:lpstr>
      <vt:lpstr>'IWP07'!Std11dot1f</vt:lpstr>
      <vt:lpstr>'IWP08'!Std11dot1f</vt:lpstr>
      <vt:lpstr>'IWP09'!Std11dot1f</vt:lpstr>
      <vt:lpstr>'IWP10'!Std11dot1f</vt:lpstr>
      <vt:lpstr>'IWP11'!Std11dot1f</vt:lpstr>
      <vt:lpstr>'IWP12'!Std11dot1f</vt:lpstr>
      <vt:lpstr>'IWP13'!Std11dot1f</vt:lpstr>
      <vt:lpstr>'IWP14'!Std11dot1f</vt:lpstr>
      <vt:lpstr>'IWP15'!Std11dot1f</vt:lpstr>
      <vt:lpstr>'IWP16'!Std11dot1f</vt:lpstr>
      <vt:lpstr>'IWP17'!Std11dot1f</vt:lpstr>
      <vt:lpstr>'IWP18'!Std11dot1f</vt:lpstr>
      <vt:lpstr>'IWP19'!Std11dot1f</vt:lpstr>
      <vt:lpstr>'IWP20'!Std11dot1f</vt:lpstr>
      <vt:lpstr>'IWP21'!Std11dot1f</vt:lpstr>
      <vt:lpstr>'IWP22'!Std11dot1f</vt:lpstr>
      <vt:lpstr>'IWP23'!Std11dot1f</vt:lpstr>
      <vt:lpstr>'IWP24'!Std11dot1f</vt:lpstr>
      <vt:lpstr>'IWP25'!Std11dot1f</vt:lpstr>
      <vt:lpstr>'IWP26'!Std11dot1f</vt:lpstr>
      <vt:lpstr>'IWP27'!Std11dot1f</vt:lpstr>
      <vt:lpstr>'IWP28'!Std11dot1f</vt:lpstr>
      <vt:lpstr>'IWP29'!Std11dot1f</vt:lpstr>
      <vt:lpstr>'IWP30'!Std11dot1f</vt:lpstr>
      <vt:lpstr>'IWP01'!Std11dot1fNotCalc</vt:lpstr>
      <vt:lpstr>'IWP02'!Std11dot1fNotCalc</vt:lpstr>
      <vt:lpstr>'IWP03'!Std11dot1fNotCalc</vt:lpstr>
      <vt:lpstr>'IWP04'!Std11dot1fNotCalc</vt:lpstr>
      <vt:lpstr>'IWP05'!Std11dot1fNotCalc</vt:lpstr>
      <vt:lpstr>'IWP06'!Std11dot1fNotCalc</vt:lpstr>
      <vt:lpstr>'IWP07'!Std11dot1fNotCalc</vt:lpstr>
      <vt:lpstr>'IWP08'!Std11dot1fNotCalc</vt:lpstr>
      <vt:lpstr>'IWP09'!Std11dot1fNotCalc</vt:lpstr>
      <vt:lpstr>'IWP10'!Std11dot1fNotCalc</vt:lpstr>
      <vt:lpstr>'IWP11'!Std11dot1fNotCalc</vt:lpstr>
      <vt:lpstr>'IWP12'!Std11dot1fNotCalc</vt:lpstr>
      <vt:lpstr>'IWP13'!Std11dot1fNotCalc</vt:lpstr>
      <vt:lpstr>'IWP14'!Std11dot1fNotCalc</vt:lpstr>
      <vt:lpstr>'IWP15'!Std11dot1fNotCalc</vt:lpstr>
      <vt:lpstr>'IWP16'!Std11dot1fNotCalc</vt:lpstr>
      <vt:lpstr>'IWP17'!Std11dot1fNotCalc</vt:lpstr>
      <vt:lpstr>'IWP18'!Std11dot1fNotCalc</vt:lpstr>
      <vt:lpstr>'IWP19'!Std11dot1fNotCalc</vt:lpstr>
      <vt:lpstr>'IWP20'!Std11dot1fNotCalc</vt:lpstr>
      <vt:lpstr>'IWP21'!Std11dot1fNotCalc</vt:lpstr>
      <vt:lpstr>'IWP22'!Std11dot1fNotCalc</vt:lpstr>
      <vt:lpstr>'IWP23'!Std11dot1fNotCalc</vt:lpstr>
      <vt:lpstr>'IWP24'!Std11dot1fNotCalc</vt:lpstr>
      <vt:lpstr>'IWP25'!Std11dot1fNotCalc</vt:lpstr>
      <vt:lpstr>'IWP26'!Std11dot1fNotCalc</vt:lpstr>
      <vt:lpstr>'IWP27'!Std11dot1fNotCalc</vt:lpstr>
      <vt:lpstr>'IWP28'!Std11dot1fNotCalc</vt:lpstr>
      <vt:lpstr>'IWP29'!Std11dot1fNotCalc</vt:lpstr>
      <vt:lpstr>'IWP30'!Std11dot1fNotCalc</vt:lpstr>
      <vt:lpstr>'IWP01'!Std11dot1g</vt:lpstr>
      <vt:lpstr>'IWP02'!Std11dot1g</vt:lpstr>
      <vt:lpstr>'IWP03'!Std11dot1g</vt:lpstr>
      <vt:lpstr>'IWP04'!Std11dot1g</vt:lpstr>
      <vt:lpstr>'IWP05'!Std11dot1g</vt:lpstr>
      <vt:lpstr>'IWP06'!Std11dot1g</vt:lpstr>
      <vt:lpstr>'IWP07'!Std11dot1g</vt:lpstr>
      <vt:lpstr>'IWP08'!Std11dot1g</vt:lpstr>
      <vt:lpstr>'IWP09'!Std11dot1g</vt:lpstr>
      <vt:lpstr>'IWP10'!Std11dot1g</vt:lpstr>
      <vt:lpstr>'IWP11'!Std11dot1g</vt:lpstr>
      <vt:lpstr>'IWP12'!Std11dot1g</vt:lpstr>
      <vt:lpstr>'IWP13'!Std11dot1g</vt:lpstr>
      <vt:lpstr>'IWP14'!Std11dot1g</vt:lpstr>
      <vt:lpstr>'IWP15'!Std11dot1g</vt:lpstr>
      <vt:lpstr>'IWP16'!Std11dot1g</vt:lpstr>
      <vt:lpstr>'IWP17'!Std11dot1g</vt:lpstr>
      <vt:lpstr>'IWP18'!Std11dot1g</vt:lpstr>
      <vt:lpstr>'IWP19'!Std11dot1g</vt:lpstr>
      <vt:lpstr>'IWP20'!Std11dot1g</vt:lpstr>
      <vt:lpstr>'IWP21'!Std11dot1g</vt:lpstr>
      <vt:lpstr>'IWP22'!Std11dot1g</vt:lpstr>
      <vt:lpstr>'IWP23'!Std11dot1g</vt:lpstr>
      <vt:lpstr>'IWP24'!Std11dot1g</vt:lpstr>
      <vt:lpstr>'IWP25'!Std11dot1g</vt:lpstr>
      <vt:lpstr>'IWP26'!Std11dot1g</vt:lpstr>
      <vt:lpstr>'IWP27'!Std11dot1g</vt:lpstr>
      <vt:lpstr>'IWP28'!Std11dot1g</vt:lpstr>
      <vt:lpstr>'IWP29'!Std11dot1g</vt:lpstr>
      <vt:lpstr>'IWP30'!Std11dot1g</vt:lpstr>
      <vt:lpstr>'IWP01'!Std11dot1h</vt:lpstr>
      <vt:lpstr>'IWP02'!Std11dot1h</vt:lpstr>
      <vt:lpstr>'IWP03'!Std11dot1h</vt:lpstr>
      <vt:lpstr>'IWP04'!Std11dot1h</vt:lpstr>
      <vt:lpstr>'IWP05'!Std11dot1h</vt:lpstr>
      <vt:lpstr>'IWP06'!Std11dot1h</vt:lpstr>
      <vt:lpstr>'IWP07'!Std11dot1h</vt:lpstr>
      <vt:lpstr>'IWP08'!Std11dot1h</vt:lpstr>
      <vt:lpstr>'IWP09'!Std11dot1h</vt:lpstr>
      <vt:lpstr>'IWP10'!Std11dot1h</vt:lpstr>
      <vt:lpstr>'IWP11'!Std11dot1h</vt:lpstr>
      <vt:lpstr>'IWP12'!Std11dot1h</vt:lpstr>
      <vt:lpstr>'IWP13'!Std11dot1h</vt:lpstr>
      <vt:lpstr>'IWP14'!Std11dot1h</vt:lpstr>
      <vt:lpstr>'IWP15'!Std11dot1h</vt:lpstr>
      <vt:lpstr>'IWP16'!Std11dot1h</vt:lpstr>
      <vt:lpstr>'IWP17'!Std11dot1h</vt:lpstr>
      <vt:lpstr>'IWP18'!Std11dot1h</vt:lpstr>
      <vt:lpstr>'IWP19'!Std11dot1h</vt:lpstr>
      <vt:lpstr>'IWP20'!Std11dot1h</vt:lpstr>
      <vt:lpstr>'IWP21'!Std11dot1h</vt:lpstr>
      <vt:lpstr>'IWP22'!Std11dot1h</vt:lpstr>
      <vt:lpstr>'IWP23'!Std11dot1h</vt:lpstr>
      <vt:lpstr>'IWP24'!Std11dot1h</vt:lpstr>
      <vt:lpstr>'IWP25'!Std11dot1h</vt:lpstr>
      <vt:lpstr>'IWP26'!Std11dot1h</vt:lpstr>
      <vt:lpstr>'IWP27'!Std11dot1h</vt:lpstr>
      <vt:lpstr>'IWP28'!Std11dot1h</vt:lpstr>
      <vt:lpstr>'IWP29'!Std11dot1h</vt:lpstr>
      <vt:lpstr>'IWP30'!Std11dot1h</vt:lpstr>
      <vt:lpstr>'IWP01'!Std11dot1i</vt:lpstr>
      <vt:lpstr>'IWP02'!Std11dot1i</vt:lpstr>
      <vt:lpstr>'IWP03'!Std11dot1i</vt:lpstr>
      <vt:lpstr>'IWP04'!Std11dot1i</vt:lpstr>
      <vt:lpstr>'IWP05'!Std11dot1i</vt:lpstr>
      <vt:lpstr>'IWP06'!Std11dot1i</vt:lpstr>
      <vt:lpstr>'IWP07'!Std11dot1i</vt:lpstr>
      <vt:lpstr>'IWP08'!Std11dot1i</vt:lpstr>
      <vt:lpstr>'IWP09'!Std11dot1i</vt:lpstr>
      <vt:lpstr>'IWP10'!Std11dot1i</vt:lpstr>
      <vt:lpstr>'IWP11'!Std11dot1i</vt:lpstr>
      <vt:lpstr>'IWP12'!Std11dot1i</vt:lpstr>
      <vt:lpstr>'IWP13'!Std11dot1i</vt:lpstr>
      <vt:lpstr>'IWP14'!Std11dot1i</vt:lpstr>
      <vt:lpstr>'IWP15'!Std11dot1i</vt:lpstr>
      <vt:lpstr>'IWP16'!Std11dot1i</vt:lpstr>
      <vt:lpstr>'IWP17'!Std11dot1i</vt:lpstr>
      <vt:lpstr>'IWP18'!Std11dot1i</vt:lpstr>
      <vt:lpstr>'IWP19'!Std11dot1i</vt:lpstr>
      <vt:lpstr>'IWP20'!Std11dot1i</vt:lpstr>
      <vt:lpstr>'IWP21'!Std11dot1i</vt:lpstr>
      <vt:lpstr>'IWP22'!Std11dot1i</vt:lpstr>
      <vt:lpstr>'IWP23'!Std11dot1i</vt:lpstr>
      <vt:lpstr>'IWP24'!Std11dot1i</vt:lpstr>
      <vt:lpstr>'IWP25'!Std11dot1i</vt:lpstr>
      <vt:lpstr>'IWP26'!Std11dot1i</vt:lpstr>
      <vt:lpstr>'IWP27'!Std11dot1i</vt:lpstr>
      <vt:lpstr>'IWP28'!Std11dot1i</vt:lpstr>
      <vt:lpstr>'IWP29'!Std11dot1i</vt:lpstr>
      <vt:lpstr>'IWP30'!Std11dot1i</vt:lpstr>
      <vt:lpstr>'IWP01'!Std11dot1j</vt:lpstr>
      <vt:lpstr>'IWP02'!Std11dot1j</vt:lpstr>
      <vt:lpstr>'IWP03'!Std11dot1j</vt:lpstr>
      <vt:lpstr>'IWP04'!Std11dot1j</vt:lpstr>
      <vt:lpstr>'IWP05'!Std11dot1j</vt:lpstr>
      <vt:lpstr>'IWP06'!Std11dot1j</vt:lpstr>
      <vt:lpstr>'IWP07'!Std11dot1j</vt:lpstr>
      <vt:lpstr>'IWP08'!Std11dot1j</vt:lpstr>
      <vt:lpstr>'IWP09'!Std11dot1j</vt:lpstr>
      <vt:lpstr>'IWP10'!Std11dot1j</vt:lpstr>
      <vt:lpstr>'IWP11'!Std11dot1j</vt:lpstr>
      <vt:lpstr>'IWP12'!Std11dot1j</vt:lpstr>
      <vt:lpstr>'IWP13'!Std11dot1j</vt:lpstr>
      <vt:lpstr>'IWP14'!Std11dot1j</vt:lpstr>
      <vt:lpstr>'IWP15'!Std11dot1j</vt:lpstr>
      <vt:lpstr>'IWP16'!Std11dot1j</vt:lpstr>
      <vt:lpstr>'IWP17'!Std11dot1j</vt:lpstr>
      <vt:lpstr>'IWP18'!Std11dot1j</vt:lpstr>
      <vt:lpstr>'IWP19'!Std11dot1j</vt:lpstr>
      <vt:lpstr>'IWP20'!Std11dot1j</vt:lpstr>
      <vt:lpstr>'IWP21'!Std11dot1j</vt:lpstr>
      <vt:lpstr>'IWP22'!Std11dot1j</vt:lpstr>
      <vt:lpstr>'IWP23'!Std11dot1j</vt:lpstr>
      <vt:lpstr>'IWP24'!Std11dot1j</vt:lpstr>
      <vt:lpstr>'IWP25'!Std11dot1j</vt:lpstr>
      <vt:lpstr>'IWP26'!Std11dot1j</vt:lpstr>
      <vt:lpstr>'IWP27'!Std11dot1j</vt:lpstr>
      <vt:lpstr>'IWP28'!Std11dot1j</vt:lpstr>
      <vt:lpstr>'IWP29'!Std11dot1j</vt:lpstr>
      <vt:lpstr>'IWP30'!Std11dot1j</vt:lpstr>
      <vt:lpstr>'IWP01'!Std11dot1k</vt:lpstr>
      <vt:lpstr>'IWP02'!Std11dot1k</vt:lpstr>
      <vt:lpstr>'IWP03'!Std11dot1k</vt:lpstr>
      <vt:lpstr>'IWP04'!Std11dot1k</vt:lpstr>
      <vt:lpstr>'IWP05'!Std11dot1k</vt:lpstr>
      <vt:lpstr>'IWP06'!Std11dot1k</vt:lpstr>
      <vt:lpstr>'IWP07'!Std11dot1k</vt:lpstr>
      <vt:lpstr>'IWP08'!Std11dot1k</vt:lpstr>
      <vt:lpstr>'IWP09'!Std11dot1k</vt:lpstr>
      <vt:lpstr>'IWP10'!Std11dot1k</vt:lpstr>
      <vt:lpstr>'IWP11'!Std11dot1k</vt:lpstr>
      <vt:lpstr>'IWP12'!Std11dot1k</vt:lpstr>
      <vt:lpstr>'IWP13'!Std11dot1k</vt:lpstr>
      <vt:lpstr>'IWP14'!Std11dot1k</vt:lpstr>
      <vt:lpstr>'IWP15'!Std11dot1k</vt:lpstr>
      <vt:lpstr>'IWP16'!Std11dot1k</vt:lpstr>
      <vt:lpstr>'IWP17'!Std11dot1k</vt:lpstr>
      <vt:lpstr>'IWP18'!Std11dot1k</vt:lpstr>
      <vt:lpstr>'IWP19'!Std11dot1k</vt:lpstr>
      <vt:lpstr>'IWP20'!Std11dot1k</vt:lpstr>
      <vt:lpstr>'IWP21'!Std11dot1k</vt:lpstr>
      <vt:lpstr>'IWP22'!Std11dot1k</vt:lpstr>
      <vt:lpstr>'IWP23'!Std11dot1k</vt:lpstr>
      <vt:lpstr>'IWP24'!Std11dot1k</vt:lpstr>
      <vt:lpstr>'IWP25'!Std11dot1k</vt:lpstr>
      <vt:lpstr>'IWP26'!Std11dot1k</vt:lpstr>
      <vt:lpstr>'IWP27'!Std11dot1k</vt:lpstr>
      <vt:lpstr>'IWP28'!Std11dot1k</vt:lpstr>
      <vt:lpstr>'IWP29'!Std11dot1k</vt:lpstr>
      <vt:lpstr>'IWP30'!Std11dot1k</vt:lpstr>
      <vt:lpstr>'IWP01'!Std11dot1KitchenLength</vt:lpstr>
      <vt:lpstr>'IWP02'!Std11dot1KitchenLength</vt:lpstr>
      <vt:lpstr>'IWP03'!Std11dot1KitchenLength</vt:lpstr>
      <vt:lpstr>'IWP04'!Std11dot1KitchenLength</vt:lpstr>
      <vt:lpstr>'IWP05'!Std11dot1KitchenLength</vt:lpstr>
      <vt:lpstr>'IWP06'!Std11dot1KitchenLength</vt:lpstr>
      <vt:lpstr>'IWP07'!Std11dot1KitchenLength</vt:lpstr>
      <vt:lpstr>'IWP08'!Std11dot1KitchenLength</vt:lpstr>
      <vt:lpstr>'IWP09'!Std11dot1KitchenLength</vt:lpstr>
      <vt:lpstr>'IWP10'!Std11dot1KitchenLength</vt:lpstr>
      <vt:lpstr>'IWP11'!Std11dot1KitchenLength</vt:lpstr>
      <vt:lpstr>'IWP12'!Std11dot1KitchenLength</vt:lpstr>
      <vt:lpstr>'IWP13'!Std11dot1KitchenLength</vt:lpstr>
      <vt:lpstr>'IWP14'!Std11dot1KitchenLength</vt:lpstr>
      <vt:lpstr>'IWP15'!Std11dot1KitchenLength</vt:lpstr>
      <vt:lpstr>'IWP16'!Std11dot1KitchenLength</vt:lpstr>
      <vt:lpstr>'IWP17'!Std11dot1KitchenLength</vt:lpstr>
      <vt:lpstr>'IWP18'!Std11dot1KitchenLength</vt:lpstr>
      <vt:lpstr>'IWP19'!Std11dot1KitchenLength</vt:lpstr>
      <vt:lpstr>'IWP20'!Std11dot1KitchenLength</vt:lpstr>
      <vt:lpstr>'IWP21'!Std11dot1KitchenLength</vt:lpstr>
      <vt:lpstr>'IWP22'!Std11dot1KitchenLength</vt:lpstr>
      <vt:lpstr>'IWP23'!Std11dot1KitchenLength</vt:lpstr>
      <vt:lpstr>'IWP24'!Std11dot1KitchenLength</vt:lpstr>
      <vt:lpstr>'IWP25'!Std11dot1KitchenLength</vt:lpstr>
      <vt:lpstr>'IWP26'!Std11dot1KitchenLength</vt:lpstr>
      <vt:lpstr>'IWP27'!Std11dot1KitchenLength</vt:lpstr>
      <vt:lpstr>'IWP28'!Std11dot1KitchenLength</vt:lpstr>
      <vt:lpstr>'IWP29'!Std11dot1KitchenLength</vt:lpstr>
      <vt:lpstr>'IWP30'!Std11dot1KitchenLength</vt:lpstr>
      <vt:lpstr>'IWP01'!Std11dot1KitchenSink</vt:lpstr>
      <vt:lpstr>'IWP02'!Std11dot1KitchenSink</vt:lpstr>
      <vt:lpstr>'IWP03'!Std11dot1KitchenSink</vt:lpstr>
      <vt:lpstr>'IWP04'!Std11dot1KitchenSink</vt:lpstr>
      <vt:lpstr>'IWP05'!Std11dot1KitchenSink</vt:lpstr>
      <vt:lpstr>'IWP06'!Std11dot1KitchenSink</vt:lpstr>
      <vt:lpstr>'IWP07'!Std11dot1KitchenSink</vt:lpstr>
      <vt:lpstr>'IWP08'!Std11dot1KitchenSink</vt:lpstr>
      <vt:lpstr>'IWP09'!Std11dot1KitchenSink</vt:lpstr>
      <vt:lpstr>'IWP10'!Std11dot1KitchenSink</vt:lpstr>
      <vt:lpstr>'IWP11'!Std11dot1KitchenSink</vt:lpstr>
      <vt:lpstr>'IWP12'!Std11dot1KitchenSink</vt:lpstr>
      <vt:lpstr>'IWP13'!Std11dot1KitchenSink</vt:lpstr>
      <vt:lpstr>'IWP14'!Std11dot1KitchenSink</vt:lpstr>
      <vt:lpstr>'IWP15'!Std11dot1KitchenSink</vt:lpstr>
      <vt:lpstr>'IWP16'!Std11dot1KitchenSink</vt:lpstr>
      <vt:lpstr>'IWP17'!Std11dot1KitchenSink</vt:lpstr>
      <vt:lpstr>'IWP18'!Std11dot1KitchenSink</vt:lpstr>
      <vt:lpstr>'IWP19'!Std11dot1KitchenSink</vt:lpstr>
      <vt:lpstr>'IWP20'!Std11dot1KitchenSink</vt:lpstr>
      <vt:lpstr>'IWP21'!Std11dot1KitchenSink</vt:lpstr>
      <vt:lpstr>'IWP22'!Std11dot1KitchenSink</vt:lpstr>
      <vt:lpstr>'IWP23'!Std11dot1KitchenSink</vt:lpstr>
      <vt:lpstr>'IWP24'!Std11dot1KitchenSink</vt:lpstr>
      <vt:lpstr>'IWP25'!Std11dot1KitchenSink</vt:lpstr>
      <vt:lpstr>'IWP26'!Std11dot1KitchenSink</vt:lpstr>
      <vt:lpstr>'IWP27'!Std11dot1KitchenSink</vt:lpstr>
      <vt:lpstr>'IWP28'!Std11dot1KitchenSink</vt:lpstr>
      <vt:lpstr>'IWP29'!Std11dot1KitchenSink</vt:lpstr>
      <vt:lpstr>'IWP30'!Std11dot1KitchenSink</vt:lpstr>
      <vt:lpstr>'IWP01'!Std11dot1KitchenSqFt</vt:lpstr>
      <vt:lpstr>'IWP02'!Std11dot1KitchenSqFt</vt:lpstr>
      <vt:lpstr>'IWP03'!Std11dot1KitchenSqFt</vt:lpstr>
      <vt:lpstr>'IWP04'!Std11dot1KitchenSqFt</vt:lpstr>
      <vt:lpstr>'IWP05'!Std11dot1KitchenSqFt</vt:lpstr>
      <vt:lpstr>'IWP06'!Std11dot1KitchenSqFt</vt:lpstr>
      <vt:lpstr>'IWP07'!Std11dot1KitchenSqFt</vt:lpstr>
      <vt:lpstr>'IWP08'!Std11dot1KitchenSqFt</vt:lpstr>
      <vt:lpstr>'IWP09'!Std11dot1KitchenSqFt</vt:lpstr>
      <vt:lpstr>'IWP10'!Std11dot1KitchenSqFt</vt:lpstr>
      <vt:lpstr>'IWP11'!Std11dot1KitchenSqFt</vt:lpstr>
      <vt:lpstr>'IWP12'!Std11dot1KitchenSqFt</vt:lpstr>
      <vt:lpstr>'IWP13'!Std11dot1KitchenSqFt</vt:lpstr>
      <vt:lpstr>'IWP14'!Std11dot1KitchenSqFt</vt:lpstr>
      <vt:lpstr>'IWP15'!Std11dot1KitchenSqFt</vt:lpstr>
      <vt:lpstr>'IWP16'!Std11dot1KitchenSqFt</vt:lpstr>
      <vt:lpstr>'IWP17'!Std11dot1KitchenSqFt</vt:lpstr>
      <vt:lpstr>'IWP18'!Std11dot1KitchenSqFt</vt:lpstr>
      <vt:lpstr>'IWP19'!Std11dot1KitchenSqFt</vt:lpstr>
      <vt:lpstr>'IWP20'!Std11dot1KitchenSqFt</vt:lpstr>
      <vt:lpstr>'IWP21'!Std11dot1KitchenSqFt</vt:lpstr>
      <vt:lpstr>'IWP22'!Std11dot1KitchenSqFt</vt:lpstr>
      <vt:lpstr>'IWP23'!Std11dot1KitchenSqFt</vt:lpstr>
      <vt:lpstr>'IWP24'!Std11dot1KitchenSqFt</vt:lpstr>
      <vt:lpstr>'IWP25'!Std11dot1KitchenSqFt</vt:lpstr>
      <vt:lpstr>'IWP26'!Std11dot1KitchenSqFt</vt:lpstr>
      <vt:lpstr>'IWP27'!Std11dot1KitchenSqFt</vt:lpstr>
      <vt:lpstr>'IWP28'!Std11dot1KitchenSqFt</vt:lpstr>
      <vt:lpstr>'IWP29'!Std11dot1KitchenSqFt</vt:lpstr>
      <vt:lpstr>'IWP30'!Std11dot1KitchenSqFt</vt:lpstr>
      <vt:lpstr>'IWP01'!Std11dot1KitchenWidth</vt:lpstr>
      <vt:lpstr>'IWP02'!Std11dot1KitchenWidth</vt:lpstr>
      <vt:lpstr>'IWP03'!Std11dot1KitchenWidth</vt:lpstr>
      <vt:lpstr>'IWP04'!Std11dot1KitchenWidth</vt:lpstr>
      <vt:lpstr>'IWP05'!Std11dot1KitchenWidth</vt:lpstr>
      <vt:lpstr>'IWP06'!Std11dot1KitchenWidth</vt:lpstr>
      <vt:lpstr>'IWP07'!Std11dot1KitchenWidth</vt:lpstr>
      <vt:lpstr>'IWP08'!Std11dot1KitchenWidth</vt:lpstr>
      <vt:lpstr>'IWP09'!Std11dot1KitchenWidth</vt:lpstr>
      <vt:lpstr>'IWP10'!Std11dot1KitchenWidth</vt:lpstr>
      <vt:lpstr>'IWP11'!Std11dot1KitchenWidth</vt:lpstr>
      <vt:lpstr>'IWP12'!Std11dot1KitchenWidth</vt:lpstr>
      <vt:lpstr>'IWP13'!Std11dot1KitchenWidth</vt:lpstr>
      <vt:lpstr>'IWP14'!Std11dot1KitchenWidth</vt:lpstr>
      <vt:lpstr>'IWP15'!Std11dot1KitchenWidth</vt:lpstr>
      <vt:lpstr>'IWP16'!Std11dot1KitchenWidth</vt:lpstr>
      <vt:lpstr>'IWP17'!Std11dot1KitchenWidth</vt:lpstr>
      <vt:lpstr>'IWP18'!Std11dot1KitchenWidth</vt:lpstr>
      <vt:lpstr>'IWP19'!Std11dot1KitchenWidth</vt:lpstr>
      <vt:lpstr>'IWP20'!Std11dot1KitchenWidth</vt:lpstr>
      <vt:lpstr>'IWP21'!Std11dot1KitchenWidth</vt:lpstr>
      <vt:lpstr>'IWP22'!Std11dot1KitchenWidth</vt:lpstr>
      <vt:lpstr>'IWP23'!Std11dot1KitchenWidth</vt:lpstr>
      <vt:lpstr>'IWP24'!Std11dot1KitchenWidth</vt:lpstr>
      <vt:lpstr>'IWP25'!Std11dot1KitchenWidth</vt:lpstr>
      <vt:lpstr>'IWP26'!Std11dot1KitchenWidth</vt:lpstr>
      <vt:lpstr>'IWP27'!Std11dot1KitchenWidth</vt:lpstr>
      <vt:lpstr>'IWP28'!Std11dot1KitchenWidth</vt:lpstr>
      <vt:lpstr>'IWP29'!Std11dot1KitchenWidth</vt:lpstr>
      <vt:lpstr>'IWP30'!Std11dot1KitchenWidth</vt:lpstr>
      <vt:lpstr>'IWP01'!Std11dot1LicensedCapacity</vt:lpstr>
      <vt:lpstr>'IWP02'!Std11dot1LicensedCapacity</vt:lpstr>
      <vt:lpstr>'IWP03'!Std11dot1LicensedCapacity</vt:lpstr>
      <vt:lpstr>'IWP04'!Std11dot1LicensedCapacity</vt:lpstr>
      <vt:lpstr>'IWP05'!Std11dot1LicensedCapacity</vt:lpstr>
      <vt:lpstr>'IWP06'!Std11dot1LicensedCapacity</vt:lpstr>
      <vt:lpstr>'IWP07'!Std11dot1LicensedCapacity</vt:lpstr>
      <vt:lpstr>'IWP08'!Std11dot1LicensedCapacity</vt:lpstr>
      <vt:lpstr>'IWP09'!Std11dot1LicensedCapacity</vt:lpstr>
      <vt:lpstr>'IWP10'!Std11dot1LicensedCapacity</vt:lpstr>
      <vt:lpstr>'IWP11'!Std11dot1LicensedCapacity</vt:lpstr>
      <vt:lpstr>'IWP12'!Std11dot1LicensedCapacity</vt:lpstr>
      <vt:lpstr>'IWP13'!Std11dot1LicensedCapacity</vt:lpstr>
      <vt:lpstr>'IWP14'!Std11dot1LicensedCapacity</vt:lpstr>
      <vt:lpstr>'IWP15'!Std11dot1LicensedCapacity</vt:lpstr>
      <vt:lpstr>'IWP16'!Std11dot1LicensedCapacity</vt:lpstr>
      <vt:lpstr>'IWP17'!Std11dot1LicensedCapacity</vt:lpstr>
      <vt:lpstr>'IWP18'!Std11dot1LicensedCapacity</vt:lpstr>
      <vt:lpstr>'IWP19'!Std11dot1LicensedCapacity</vt:lpstr>
      <vt:lpstr>'IWP20'!Std11dot1LicensedCapacity</vt:lpstr>
      <vt:lpstr>'IWP21'!Std11dot1LicensedCapacity</vt:lpstr>
      <vt:lpstr>'IWP22'!Std11dot1LicensedCapacity</vt:lpstr>
      <vt:lpstr>'IWP23'!Std11dot1LicensedCapacity</vt:lpstr>
      <vt:lpstr>'IWP24'!Std11dot1LicensedCapacity</vt:lpstr>
      <vt:lpstr>'IWP25'!Std11dot1LicensedCapacity</vt:lpstr>
      <vt:lpstr>'IWP26'!Std11dot1LicensedCapacity</vt:lpstr>
      <vt:lpstr>'IWP27'!Std11dot1LicensedCapacity</vt:lpstr>
      <vt:lpstr>'IWP28'!Std11dot1LicensedCapacity</vt:lpstr>
      <vt:lpstr>'IWP29'!Std11dot1LicensedCapacity</vt:lpstr>
      <vt:lpstr>'IWP30'!Std11dot1LicensedCapacity</vt:lpstr>
      <vt:lpstr>'IWP01'!Std11dot1LivingLength</vt:lpstr>
      <vt:lpstr>'IWP02'!Std11dot1LivingLength</vt:lpstr>
      <vt:lpstr>'IWP03'!Std11dot1LivingLength</vt:lpstr>
      <vt:lpstr>'IWP04'!Std11dot1LivingLength</vt:lpstr>
      <vt:lpstr>'IWP05'!Std11dot1LivingLength</vt:lpstr>
      <vt:lpstr>'IWP06'!Std11dot1LivingLength</vt:lpstr>
      <vt:lpstr>'IWP07'!Std11dot1LivingLength</vt:lpstr>
      <vt:lpstr>'IWP08'!Std11dot1LivingLength</vt:lpstr>
      <vt:lpstr>'IWP09'!Std11dot1LivingLength</vt:lpstr>
      <vt:lpstr>'IWP10'!Std11dot1LivingLength</vt:lpstr>
      <vt:lpstr>'IWP11'!Std11dot1LivingLength</vt:lpstr>
      <vt:lpstr>'IWP12'!Std11dot1LivingLength</vt:lpstr>
      <vt:lpstr>'IWP13'!Std11dot1LivingLength</vt:lpstr>
      <vt:lpstr>'IWP14'!Std11dot1LivingLength</vt:lpstr>
      <vt:lpstr>'IWP15'!Std11dot1LivingLength</vt:lpstr>
      <vt:lpstr>'IWP16'!Std11dot1LivingLength</vt:lpstr>
      <vt:lpstr>'IWP17'!Std11dot1LivingLength</vt:lpstr>
      <vt:lpstr>'IWP18'!Std11dot1LivingLength</vt:lpstr>
      <vt:lpstr>'IWP19'!Std11dot1LivingLength</vt:lpstr>
      <vt:lpstr>'IWP20'!Std11dot1LivingLength</vt:lpstr>
      <vt:lpstr>'IWP21'!Std11dot1LivingLength</vt:lpstr>
      <vt:lpstr>'IWP22'!Std11dot1LivingLength</vt:lpstr>
      <vt:lpstr>'IWP23'!Std11dot1LivingLength</vt:lpstr>
      <vt:lpstr>'IWP24'!Std11dot1LivingLength</vt:lpstr>
      <vt:lpstr>'IWP25'!Std11dot1LivingLength</vt:lpstr>
      <vt:lpstr>'IWP26'!Std11dot1LivingLength</vt:lpstr>
      <vt:lpstr>'IWP27'!Std11dot1LivingLength</vt:lpstr>
      <vt:lpstr>'IWP28'!Std11dot1LivingLength</vt:lpstr>
      <vt:lpstr>'IWP29'!Std11dot1LivingLength</vt:lpstr>
      <vt:lpstr>'IWP30'!Std11dot1LivingLength</vt:lpstr>
      <vt:lpstr>'IWP01'!Std11dot1LivingSqFt</vt:lpstr>
      <vt:lpstr>'IWP02'!Std11dot1LivingSqFt</vt:lpstr>
      <vt:lpstr>'IWP03'!Std11dot1LivingSqFt</vt:lpstr>
      <vt:lpstr>'IWP04'!Std11dot1LivingSqFt</vt:lpstr>
      <vt:lpstr>'IWP05'!Std11dot1LivingSqFt</vt:lpstr>
      <vt:lpstr>'IWP06'!Std11dot1LivingSqFt</vt:lpstr>
      <vt:lpstr>'IWP07'!Std11dot1LivingSqFt</vt:lpstr>
      <vt:lpstr>'IWP08'!Std11dot1LivingSqFt</vt:lpstr>
      <vt:lpstr>'IWP09'!Std11dot1LivingSqFt</vt:lpstr>
      <vt:lpstr>'IWP10'!Std11dot1LivingSqFt</vt:lpstr>
      <vt:lpstr>'IWP11'!Std11dot1LivingSqFt</vt:lpstr>
      <vt:lpstr>'IWP12'!Std11dot1LivingSqFt</vt:lpstr>
      <vt:lpstr>'IWP13'!Std11dot1LivingSqFt</vt:lpstr>
      <vt:lpstr>'IWP14'!Std11dot1LivingSqFt</vt:lpstr>
      <vt:lpstr>'IWP15'!Std11dot1LivingSqFt</vt:lpstr>
      <vt:lpstr>'IWP16'!Std11dot1LivingSqFt</vt:lpstr>
      <vt:lpstr>'IWP17'!Std11dot1LivingSqFt</vt:lpstr>
      <vt:lpstr>'IWP18'!Std11dot1LivingSqFt</vt:lpstr>
      <vt:lpstr>'IWP19'!Std11dot1LivingSqFt</vt:lpstr>
      <vt:lpstr>'IWP20'!Std11dot1LivingSqFt</vt:lpstr>
      <vt:lpstr>'IWP21'!Std11dot1LivingSqFt</vt:lpstr>
      <vt:lpstr>'IWP22'!Std11dot1LivingSqFt</vt:lpstr>
      <vt:lpstr>'IWP23'!Std11dot1LivingSqFt</vt:lpstr>
      <vt:lpstr>'IWP24'!Std11dot1LivingSqFt</vt:lpstr>
      <vt:lpstr>'IWP25'!Std11dot1LivingSqFt</vt:lpstr>
      <vt:lpstr>'IWP26'!Std11dot1LivingSqFt</vt:lpstr>
      <vt:lpstr>'IWP27'!Std11dot1LivingSqFt</vt:lpstr>
      <vt:lpstr>'IWP28'!Std11dot1LivingSqFt</vt:lpstr>
      <vt:lpstr>'IWP29'!Std11dot1LivingSqFt</vt:lpstr>
      <vt:lpstr>'IWP30'!Std11dot1LivingSqFt</vt:lpstr>
      <vt:lpstr>'IWP01'!Std11dot1LivingWidth</vt:lpstr>
      <vt:lpstr>'IWP02'!Std11dot1LivingWidth</vt:lpstr>
      <vt:lpstr>'IWP03'!Std11dot1LivingWidth</vt:lpstr>
      <vt:lpstr>'IWP04'!Std11dot1LivingWidth</vt:lpstr>
      <vt:lpstr>'IWP05'!Std11dot1LivingWidth</vt:lpstr>
      <vt:lpstr>'IWP06'!Std11dot1LivingWidth</vt:lpstr>
      <vt:lpstr>'IWP07'!Std11dot1LivingWidth</vt:lpstr>
      <vt:lpstr>'IWP08'!Std11dot1LivingWidth</vt:lpstr>
      <vt:lpstr>'IWP09'!Std11dot1LivingWidth</vt:lpstr>
      <vt:lpstr>'IWP10'!Std11dot1LivingWidth</vt:lpstr>
      <vt:lpstr>'IWP11'!Std11dot1LivingWidth</vt:lpstr>
      <vt:lpstr>'IWP12'!Std11dot1LivingWidth</vt:lpstr>
      <vt:lpstr>'IWP13'!Std11dot1LivingWidth</vt:lpstr>
      <vt:lpstr>'IWP14'!Std11dot1LivingWidth</vt:lpstr>
      <vt:lpstr>'IWP15'!Std11dot1LivingWidth</vt:lpstr>
      <vt:lpstr>'IWP16'!Std11dot1LivingWidth</vt:lpstr>
      <vt:lpstr>'IWP17'!Std11dot1LivingWidth</vt:lpstr>
      <vt:lpstr>'IWP18'!Std11dot1LivingWidth</vt:lpstr>
      <vt:lpstr>'IWP19'!Std11dot1LivingWidth</vt:lpstr>
      <vt:lpstr>'IWP20'!Std11dot1LivingWidth</vt:lpstr>
      <vt:lpstr>'IWP21'!Std11dot1LivingWidth</vt:lpstr>
      <vt:lpstr>'IWP22'!Std11dot1LivingWidth</vt:lpstr>
      <vt:lpstr>'IWP23'!Std11dot1LivingWidth</vt:lpstr>
      <vt:lpstr>'IWP24'!Std11dot1LivingWidth</vt:lpstr>
      <vt:lpstr>'IWP25'!Std11dot1LivingWidth</vt:lpstr>
      <vt:lpstr>'IWP26'!Std11dot1LivingWidth</vt:lpstr>
      <vt:lpstr>'IWP27'!Std11dot1LivingWidth</vt:lpstr>
      <vt:lpstr>'IWP28'!Std11dot1LivingWidth</vt:lpstr>
      <vt:lpstr>'IWP29'!Std11dot1LivingWidth</vt:lpstr>
      <vt:lpstr>'IWP30'!Std11dot1LivingWidth</vt:lpstr>
      <vt:lpstr>'IWP01'!Std11dot1PrivateBedSpace</vt:lpstr>
      <vt:lpstr>'IWP02'!Std11dot1PrivateBedSpace</vt:lpstr>
      <vt:lpstr>'IWP03'!Std11dot1PrivateBedSpace</vt:lpstr>
      <vt:lpstr>'IWP04'!Std11dot1PrivateBedSpace</vt:lpstr>
      <vt:lpstr>'IWP05'!Std11dot1PrivateBedSpace</vt:lpstr>
      <vt:lpstr>'IWP06'!Std11dot1PrivateBedSpace</vt:lpstr>
      <vt:lpstr>'IWP07'!Std11dot1PrivateBedSpace</vt:lpstr>
      <vt:lpstr>'IWP08'!Std11dot1PrivateBedSpace</vt:lpstr>
      <vt:lpstr>'IWP09'!Std11dot1PrivateBedSpace</vt:lpstr>
      <vt:lpstr>'IWP10'!Std11dot1PrivateBedSpace</vt:lpstr>
      <vt:lpstr>'IWP11'!Std11dot1PrivateBedSpace</vt:lpstr>
      <vt:lpstr>'IWP12'!Std11dot1PrivateBedSpace</vt:lpstr>
      <vt:lpstr>'IWP13'!Std11dot1PrivateBedSpace</vt:lpstr>
      <vt:lpstr>'IWP14'!Std11dot1PrivateBedSpace</vt:lpstr>
      <vt:lpstr>'IWP15'!Std11dot1PrivateBedSpace</vt:lpstr>
      <vt:lpstr>'IWP16'!Std11dot1PrivateBedSpace</vt:lpstr>
      <vt:lpstr>'IWP17'!Std11dot1PrivateBedSpace</vt:lpstr>
      <vt:lpstr>'IWP18'!Std11dot1PrivateBedSpace</vt:lpstr>
      <vt:lpstr>'IWP19'!Std11dot1PrivateBedSpace</vt:lpstr>
      <vt:lpstr>'IWP20'!Std11dot1PrivateBedSpace</vt:lpstr>
      <vt:lpstr>'IWP21'!Std11dot1PrivateBedSpace</vt:lpstr>
      <vt:lpstr>'IWP22'!Std11dot1PrivateBedSpace</vt:lpstr>
      <vt:lpstr>'IWP23'!Std11dot1PrivateBedSpace</vt:lpstr>
      <vt:lpstr>'IWP24'!Std11dot1PrivateBedSpace</vt:lpstr>
      <vt:lpstr>'IWP25'!Std11dot1PrivateBedSpace</vt:lpstr>
      <vt:lpstr>'IWP26'!Std11dot1PrivateBedSpace</vt:lpstr>
      <vt:lpstr>'IWP27'!Std11dot1PrivateBedSpace</vt:lpstr>
      <vt:lpstr>'IWP28'!Std11dot1PrivateBedSpace</vt:lpstr>
      <vt:lpstr>'IWP29'!Std11dot1PrivateBedSpace</vt:lpstr>
      <vt:lpstr>'IWP30'!Std11dot1PrivateBedSpace</vt:lpstr>
      <vt:lpstr>'IWP01'!Std11dot1PrivateKitchenSpace</vt:lpstr>
      <vt:lpstr>'IWP02'!Std11dot1PrivateKitchenSpace</vt:lpstr>
      <vt:lpstr>'IWP03'!Std11dot1PrivateKitchenSpace</vt:lpstr>
      <vt:lpstr>'IWP04'!Std11dot1PrivateKitchenSpace</vt:lpstr>
      <vt:lpstr>'IWP05'!Std11dot1PrivateKitchenSpace</vt:lpstr>
      <vt:lpstr>'IWP06'!Std11dot1PrivateKitchenSpace</vt:lpstr>
      <vt:lpstr>'IWP07'!Std11dot1PrivateKitchenSpace</vt:lpstr>
      <vt:lpstr>'IWP08'!Std11dot1PrivateKitchenSpace</vt:lpstr>
      <vt:lpstr>'IWP09'!Std11dot1PrivateKitchenSpace</vt:lpstr>
      <vt:lpstr>'IWP10'!Std11dot1PrivateKitchenSpace</vt:lpstr>
      <vt:lpstr>'IWP11'!Std11dot1PrivateKitchenSpace</vt:lpstr>
      <vt:lpstr>'IWP12'!Std11dot1PrivateKitchenSpace</vt:lpstr>
      <vt:lpstr>'IWP13'!Std11dot1PrivateKitchenSpace</vt:lpstr>
      <vt:lpstr>'IWP14'!Std11dot1PrivateKitchenSpace</vt:lpstr>
      <vt:lpstr>'IWP15'!Std11dot1PrivateKitchenSpace</vt:lpstr>
      <vt:lpstr>'IWP16'!Std11dot1PrivateKitchenSpace</vt:lpstr>
      <vt:lpstr>'IWP17'!Std11dot1PrivateKitchenSpace</vt:lpstr>
      <vt:lpstr>'IWP18'!Std11dot1PrivateKitchenSpace</vt:lpstr>
      <vt:lpstr>'IWP19'!Std11dot1PrivateKitchenSpace</vt:lpstr>
      <vt:lpstr>'IWP20'!Std11dot1PrivateKitchenSpace</vt:lpstr>
      <vt:lpstr>'IWP21'!Std11dot1PrivateKitchenSpace</vt:lpstr>
      <vt:lpstr>'IWP22'!Std11dot1PrivateKitchenSpace</vt:lpstr>
      <vt:lpstr>'IWP23'!Std11dot1PrivateKitchenSpace</vt:lpstr>
      <vt:lpstr>'IWP24'!Std11dot1PrivateKitchenSpace</vt:lpstr>
      <vt:lpstr>'IWP25'!Std11dot1PrivateKitchenSpace</vt:lpstr>
      <vt:lpstr>'IWP26'!Std11dot1PrivateKitchenSpace</vt:lpstr>
      <vt:lpstr>'IWP27'!Std11dot1PrivateKitchenSpace</vt:lpstr>
      <vt:lpstr>'IWP28'!Std11dot1PrivateKitchenSpace</vt:lpstr>
      <vt:lpstr>'IWP29'!Std11dot1PrivateKitchenSpace</vt:lpstr>
      <vt:lpstr>'IWP30'!Std11dot1PrivateKitchenSpace</vt:lpstr>
      <vt:lpstr>'IWP01'!Std11dot1PrivateLivingSpace</vt:lpstr>
      <vt:lpstr>'IWP02'!Std11dot1PrivateLivingSpace</vt:lpstr>
      <vt:lpstr>'IWP03'!Std11dot1PrivateLivingSpace</vt:lpstr>
      <vt:lpstr>'IWP04'!Std11dot1PrivateLivingSpace</vt:lpstr>
      <vt:lpstr>'IWP05'!Std11dot1PrivateLivingSpace</vt:lpstr>
      <vt:lpstr>'IWP06'!Std11dot1PrivateLivingSpace</vt:lpstr>
      <vt:lpstr>'IWP07'!Std11dot1PrivateLivingSpace</vt:lpstr>
      <vt:lpstr>'IWP08'!Std11dot1PrivateLivingSpace</vt:lpstr>
      <vt:lpstr>'IWP09'!Std11dot1PrivateLivingSpace</vt:lpstr>
      <vt:lpstr>'IWP10'!Std11dot1PrivateLivingSpace</vt:lpstr>
      <vt:lpstr>'IWP11'!Std11dot1PrivateLivingSpace</vt:lpstr>
      <vt:lpstr>'IWP12'!Std11dot1PrivateLivingSpace</vt:lpstr>
      <vt:lpstr>'IWP13'!Std11dot1PrivateLivingSpace</vt:lpstr>
      <vt:lpstr>'IWP14'!Std11dot1PrivateLivingSpace</vt:lpstr>
      <vt:lpstr>'IWP15'!Std11dot1PrivateLivingSpace</vt:lpstr>
      <vt:lpstr>'IWP16'!Std11dot1PrivateLivingSpace</vt:lpstr>
      <vt:lpstr>'IWP17'!Std11dot1PrivateLivingSpace</vt:lpstr>
      <vt:lpstr>'IWP18'!Std11dot1PrivateLivingSpace</vt:lpstr>
      <vt:lpstr>'IWP19'!Std11dot1PrivateLivingSpace</vt:lpstr>
      <vt:lpstr>'IWP20'!Std11dot1PrivateLivingSpace</vt:lpstr>
      <vt:lpstr>'IWP21'!Std11dot1PrivateLivingSpace</vt:lpstr>
      <vt:lpstr>'IWP22'!Std11dot1PrivateLivingSpace</vt:lpstr>
      <vt:lpstr>'IWP23'!Std11dot1PrivateLivingSpace</vt:lpstr>
      <vt:lpstr>'IWP24'!Std11dot1PrivateLivingSpace</vt:lpstr>
      <vt:lpstr>'IWP25'!Std11dot1PrivateLivingSpace</vt:lpstr>
      <vt:lpstr>'IWP26'!Std11dot1PrivateLivingSpace</vt:lpstr>
      <vt:lpstr>'IWP27'!Std11dot1PrivateLivingSpace</vt:lpstr>
      <vt:lpstr>'IWP28'!Std11dot1PrivateLivingSpace</vt:lpstr>
      <vt:lpstr>'IWP29'!Std11dot1PrivateLivingSpace</vt:lpstr>
      <vt:lpstr>'IWP30'!Std11dot1PrivateLivingSpace</vt:lpstr>
      <vt:lpstr>'IWP01'!Std11dot1PrivateSpaceSquareFootagePerResident</vt:lpstr>
      <vt:lpstr>'IWP02'!Std11dot1PrivateSpaceSquareFootagePerResident</vt:lpstr>
      <vt:lpstr>'IWP03'!Std11dot1PrivateSpaceSquareFootagePerResident</vt:lpstr>
      <vt:lpstr>'IWP04'!Std11dot1PrivateSpaceSquareFootagePerResident</vt:lpstr>
      <vt:lpstr>'IWP05'!Std11dot1PrivateSpaceSquareFootagePerResident</vt:lpstr>
      <vt:lpstr>'IWP06'!Std11dot1PrivateSpaceSquareFootagePerResident</vt:lpstr>
      <vt:lpstr>'IWP07'!Std11dot1PrivateSpaceSquareFootagePerResident</vt:lpstr>
      <vt:lpstr>'IWP08'!Std11dot1PrivateSpaceSquareFootagePerResident</vt:lpstr>
      <vt:lpstr>'IWP09'!Std11dot1PrivateSpaceSquareFootagePerResident</vt:lpstr>
      <vt:lpstr>'IWP10'!Std11dot1PrivateSpaceSquareFootagePerResident</vt:lpstr>
      <vt:lpstr>'IWP11'!Std11dot1PrivateSpaceSquareFootagePerResident</vt:lpstr>
      <vt:lpstr>'IWP12'!Std11dot1PrivateSpaceSquareFootagePerResident</vt:lpstr>
      <vt:lpstr>'IWP13'!Std11dot1PrivateSpaceSquareFootagePerResident</vt:lpstr>
      <vt:lpstr>'IWP14'!Std11dot1PrivateSpaceSquareFootagePerResident</vt:lpstr>
      <vt:lpstr>'IWP15'!Std11dot1PrivateSpaceSquareFootagePerResident</vt:lpstr>
      <vt:lpstr>'IWP16'!Std11dot1PrivateSpaceSquareFootagePerResident</vt:lpstr>
      <vt:lpstr>'IWP17'!Std11dot1PrivateSpaceSquareFootagePerResident</vt:lpstr>
      <vt:lpstr>'IWP18'!Std11dot1PrivateSpaceSquareFootagePerResident</vt:lpstr>
      <vt:lpstr>'IWP19'!Std11dot1PrivateSpaceSquareFootagePerResident</vt:lpstr>
      <vt:lpstr>'IWP20'!Std11dot1PrivateSpaceSquareFootagePerResident</vt:lpstr>
      <vt:lpstr>'IWP21'!Std11dot1PrivateSpaceSquareFootagePerResident</vt:lpstr>
      <vt:lpstr>'IWP22'!Std11dot1PrivateSpaceSquareFootagePerResident</vt:lpstr>
      <vt:lpstr>'IWP23'!Std11dot1PrivateSpaceSquareFootagePerResident</vt:lpstr>
      <vt:lpstr>'IWP24'!Std11dot1PrivateSpaceSquareFootagePerResident</vt:lpstr>
      <vt:lpstr>'IWP25'!Std11dot1PrivateSpaceSquareFootagePerResident</vt:lpstr>
      <vt:lpstr>'IWP26'!Std11dot1PrivateSpaceSquareFootagePerResident</vt:lpstr>
      <vt:lpstr>'IWP27'!Std11dot1PrivateSpaceSquareFootagePerResident</vt:lpstr>
      <vt:lpstr>'IWP28'!Std11dot1PrivateSpaceSquareFootagePerResident</vt:lpstr>
      <vt:lpstr>'IWP29'!Std11dot1PrivateSpaceSquareFootagePerResident</vt:lpstr>
      <vt:lpstr>'IWP30'!Std11dot1PrivateSpaceSquareFootagePerResident</vt:lpstr>
      <vt:lpstr>'IWP01'!Std11dot1PrivateStorageSpace</vt:lpstr>
      <vt:lpstr>'IWP02'!Std11dot1PrivateStorageSpace</vt:lpstr>
      <vt:lpstr>'IWP03'!Std11dot1PrivateStorageSpace</vt:lpstr>
      <vt:lpstr>'IWP04'!Std11dot1PrivateStorageSpace</vt:lpstr>
      <vt:lpstr>'IWP05'!Std11dot1PrivateStorageSpace</vt:lpstr>
      <vt:lpstr>'IWP06'!Std11dot1PrivateStorageSpace</vt:lpstr>
      <vt:lpstr>'IWP07'!Std11dot1PrivateStorageSpace</vt:lpstr>
      <vt:lpstr>'IWP08'!Std11dot1PrivateStorageSpace</vt:lpstr>
      <vt:lpstr>'IWP09'!Std11dot1PrivateStorageSpace</vt:lpstr>
      <vt:lpstr>'IWP10'!Std11dot1PrivateStorageSpace</vt:lpstr>
      <vt:lpstr>'IWP11'!Std11dot1PrivateStorageSpace</vt:lpstr>
      <vt:lpstr>'IWP12'!Std11dot1PrivateStorageSpace</vt:lpstr>
      <vt:lpstr>'IWP13'!Std11dot1PrivateStorageSpace</vt:lpstr>
      <vt:lpstr>'IWP14'!Std11dot1PrivateStorageSpace</vt:lpstr>
      <vt:lpstr>'IWP15'!Std11dot1PrivateStorageSpace</vt:lpstr>
      <vt:lpstr>'IWP16'!Std11dot1PrivateStorageSpace</vt:lpstr>
      <vt:lpstr>'IWP17'!Std11dot1PrivateStorageSpace</vt:lpstr>
      <vt:lpstr>'IWP18'!Std11dot1PrivateStorageSpace</vt:lpstr>
      <vt:lpstr>'IWP19'!Std11dot1PrivateStorageSpace</vt:lpstr>
      <vt:lpstr>'IWP20'!Std11dot1PrivateStorageSpace</vt:lpstr>
      <vt:lpstr>'IWP21'!Std11dot1PrivateStorageSpace</vt:lpstr>
      <vt:lpstr>'IWP22'!Std11dot1PrivateStorageSpace</vt:lpstr>
      <vt:lpstr>'IWP23'!Std11dot1PrivateStorageSpace</vt:lpstr>
      <vt:lpstr>'IWP24'!Std11dot1PrivateStorageSpace</vt:lpstr>
      <vt:lpstr>'IWP25'!Std11dot1PrivateStorageSpace</vt:lpstr>
      <vt:lpstr>'IWP26'!Std11dot1PrivateStorageSpace</vt:lpstr>
      <vt:lpstr>'IWP27'!Std11dot1PrivateStorageSpace</vt:lpstr>
      <vt:lpstr>'IWP28'!Std11dot1PrivateStorageSpace</vt:lpstr>
      <vt:lpstr>'IWP29'!Std11dot1PrivateStorageSpace</vt:lpstr>
      <vt:lpstr>'IWP30'!Std11dot1PrivateStorageSpace</vt:lpstr>
      <vt:lpstr>'IWP01'!Std11dot1Refrigerator</vt:lpstr>
      <vt:lpstr>'IWP02'!Std11dot1Refrigerator</vt:lpstr>
      <vt:lpstr>'IWP03'!Std11dot1Refrigerator</vt:lpstr>
      <vt:lpstr>'IWP04'!Std11dot1Refrigerator</vt:lpstr>
      <vt:lpstr>'IWP05'!Std11dot1Refrigerator</vt:lpstr>
      <vt:lpstr>'IWP06'!Std11dot1Refrigerator</vt:lpstr>
      <vt:lpstr>'IWP07'!Std11dot1Refrigerator</vt:lpstr>
      <vt:lpstr>'IWP08'!Std11dot1Refrigerator</vt:lpstr>
      <vt:lpstr>'IWP09'!Std11dot1Refrigerator</vt:lpstr>
      <vt:lpstr>'IWP10'!Std11dot1Refrigerator</vt:lpstr>
      <vt:lpstr>'IWP11'!Std11dot1Refrigerator</vt:lpstr>
      <vt:lpstr>'IWP12'!Std11dot1Refrigerator</vt:lpstr>
      <vt:lpstr>'IWP13'!Std11dot1Refrigerator</vt:lpstr>
      <vt:lpstr>'IWP14'!Std11dot1Refrigerator</vt:lpstr>
      <vt:lpstr>'IWP15'!Std11dot1Refrigerator</vt:lpstr>
      <vt:lpstr>'IWP16'!Std11dot1Refrigerator</vt:lpstr>
      <vt:lpstr>'IWP17'!Std11dot1Refrigerator</vt:lpstr>
      <vt:lpstr>'IWP18'!Std11dot1Refrigerator</vt:lpstr>
      <vt:lpstr>'IWP19'!Std11dot1Refrigerator</vt:lpstr>
      <vt:lpstr>'IWP20'!Std11dot1Refrigerator</vt:lpstr>
      <vt:lpstr>'IWP21'!Std11dot1Refrigerator</vt:lpstr>
      <vt:lpstr>'IWP22'!Std11dot1Refrigerator</vt:lpstr>
      <vt:lpstr>'IWP23'!Std11dot1Refrigerator</vt:lpstr>
      <vt:lpstr>'IWP24'!Std11dot1Refrigerator</vt:lpstr>
      <vt:lpstr>'IWP25'!Std11dot1Refrigerator</vt:lpstr>
      <vt:lpstr>'IWP26'!Std11dot1Refrigerator</vt:lpstr>
      <vt:lpstr>'IWP27'!Std11dot1Refrigerator</vt:lpstr>
      <vt:lpstr>'IWP28'!Std11dot1Refrigerator</vt:lpstr>
      <vt:lpstr>'IWP29'!Std11dot1Refrigerator</vt:lpstr>
      <vt:lpstr>'IWP30'!Std11dot1Refrigerator</vt:lpstr>
      <vt:lpstr>'IWP01'!Std11dot1SeparateBath</vt:lpstr>
      <vt:lpstr>'IWP02'!Std11dot1SeparateBath</vt:lpstr>
      <vt:lpstr>'IWP03'!Std11dot1SeparateBath</vt:lpstr>
      <vt:lpstr>'IWP04'!Std11dot1SeparateBath</vt:lpstr>
      <vt:lpstr>'IWP05'!Std11dot1SeparateBath</vt:lpstr>
      <vt:lpstr>'IWP06'!Std11dot1SeparateBath</vt:lpstr>
      <vt:lpstr>'IWP07'!Std11dot1SeparateBath</vt:lpstr>
      <vt:lpstr>'IWP08'!Std11dot1SeparateBath</vt:lpstr>
      <vt:lpstr>'IWP09'!Std11dot1SeparateBath</vt:lpstr>
      <vt:lpstr>'IWP10'!Std11dot1SeparateBath</vt:lpstr>
      <vt:lpstr>'IWP11'!Std11dot1SeparateBath</vt:lpstr>
      <vt:lpstr>'IWP12'!Std11dot1SeparateBath</vt:lpstr>
      <vt:lpstr>'IWP13'!Std11dot1SeparateBath</vt:lpstr>
      <vt:lpstr>'IWP14'!Std11dot1SeparateBath</vt:lpstr>
      <vt:lpstr>'IWP15'!Std11dot1SeparateBath</vt:lpstr>
      <vt:lpstr>'IWP16'!Std11dot1SeparateBath</vt:lpstr>
      <vt:lpstr>'IWP17'!Std11dot1SeparateBath</vt:lpstr>
      <vt:lpstr>'IWP18'!Std11dot1SeparateBath</vt:lpstr>
      <vt:lpstr>'IWP19'!Std11dot1SeparateBath</vt:lpstr>
      <vt:lpstr>'IWP20'!Std11dot1SeparateBath</vt:lpstr>
      <vt:lpstr>'IWP21'!Std11dot1SeparateBath</vt:lpstr>
      <vt:lpstr>'IWP22'!Std11dot1SeparateBath</vt:lpstr>
      <vt:lpstr>'IWP23'!Std11dot1SeparateBath</vt:lpstr>
      <vt:lpstr>'IWP24'!Std11dot1SeparateBath</vt:lpstr>
      <vt:lpstr>'IWP25'!Std11dot1SeparateBath</vt:lpstr>
      <vt:lpstr>'IWP26'!Std11dot1SeparateBath</vt:lpstr>
      <vt:lpstr>'IWP27'!Std11dot1SeparateBath</vt:lpstr>
      <vt:lpstr>'IWP28'!Std11dot1SeparateBath</vt:lpstr>
      <vt:lpstr>'IWP29'!Std11dot1SeparateBath</vt:lpstr>
      <vt:lpstr>'IWP30'!Std11dot1SeparateBath</vt:lpstr>
      <vt:lpstr>'IWP01'!Std11dot1ShowerTubAccessible</vt:lpstr>
      <vt:lpstr>'IWP02'!Std11dot1ShowerTubAccessible</vt:lpstr>
      <vt:lpstr>'IWP03'!Std11dot1ShowerTubAccessible</vt:lpstr>
      <vt:lpstr>'IWP04'!Std11dot1ShowerTubAccessible</vt:lpstr>
      <vt:lpstr>'IWP05'!Std11dot1ShowerTubAccessible</vt:lpstr>
      <vt:lpstr>'IWP06'!Std11dot1ShowerTubAccessible</vt:lpstr>
      <vt:lpstr>'IWP07'!Std11dot1ShowerTubAccessible</vt:lpstr>
      <vt:lpstr>'IWP08'!Std11dot1ShowerTubAccessible</vt:lpstr>
      <vt:lpstr>'IWP09'!Std11dot1ShowerTubAccessible</vt:lpstr>
      <vt:lpstr>'IWP10'!Std11dot1ShowerTubAccessible</vt:lpstr>
      <vt:lpstr>'IWP11'!Std11dot1ShowerTubAccessible</vt:lpstr>
      <vt:lpstr>'IWP12'!Std11dot1ShowerTubAccessible</vt:lpstr>
      <vt:lpstr>'IWP13'!Std11dot1ShowerTubAccessible</vt:lpstr>
      <vt:lpstr>'IWP14'!Std11dot1ShowerTubAccessible</vt:lpstr>
      <vt:lpstr>'IWP15'!Std11dot1ShowerTubAccessible</vt:lpstr>
      <vt:lpstr>'IWP16'!Std11dot1ShowerTubAccessible</vt:lpstr>
      <vt:lpstr>'IWP17'!Std11dot1ShowerTubAccessible</vt:lpstr>
      <vt:lpstr>'IWP18'!Std11dot1ShowerTubAccessible</vt:lpstr>
      <vt:lpstr>'IWP19'!Std11dot1ShowerTubAccessible</vt:lpstr>
      <vt:lpstr>'IWP20'!Std11dot1ShowerTubAccessible</vt:lpstr>
      <vt:lpstr>'IWP21'!Std11dot1ShowerTubAccessible</vt:lpstr>
      <vt:lpstr>'IWP22'!Std11dot1ShowerTubAccessible</vt:lpstr>
      <vt:lpstr>'IWP23'!Std11dot1ShowerTubAccessible</vt:lpstr>
      <vt:lpstr>'IWP24'!Std11dot1ShowerTubAccessible</vt:lpstr>
      <vt:lpstr>'IWP25'!Std11dot1ShowerTubAccessible</vt:lpstr>
      <vt:lpstr>'IWP26'!Std11dot1ShowerTubAccessible</vt:lpstr>
      <vt:lpstr>'IWP27'!Std11dot1ShowerTubAccessible</vt:lpstr>
      <vt:lpstr>'IWP28'!Std11dot1ShowerTubAccessible</vt:lpstr>
      <vt:lpstr>'IWP29'!Std11dot1ShowerTubAccessible</vt:lpstr>
      <vt:lpstr>'IWP30'!Std11dot1ShowerTubAccessible</vt:lpstr>
      <vt:lpstr>'IWP01'!Std11dot1StorageLength</vt:lpstr>
      <vt:lpstr>'IWP02'!Std11dot1StorageLength</vt:lpstr>
      <vt:lpstr>'IWP03'!Std11dot1StorageLength</vt:lpstr>
      <vt:lpstr>'IWP04'!Std11dot1StorageLength</vt:lpstr>
      <vt:lpstr>'IWP05'!Std11dot1StorageLength</vt:lpstr>
      <vt:lpstr>'IWP06'!Std11dot1StorageLength</vt:lpstr>
      <vt:lpstr>'IWP07'!Std11dot1StorageLength</vt:lpstr>
      <vt:lpstr>'IWP08'!Std11dot1StorageLength</vt:lpstr>
      <vt:lpstr>'IWP09'!Std11dot1StorageLength</vt:lpstr>
      <vt:lpstr>'IWP10'!Std11dot1StorageLength</vt:lpstr>
      <vt:lpstr>'IWP11'!Std11dot1StorageLength</vt:lpstr>
      <vt:lpstr>'IWP12'!Std11dot1StorageLength</vt:lpstr>
      <vt:lpstr>'IWP13'!Std11dot1StorageLength</vt:lpstr>
      <vt:lpstr>'IWP14'!Std11dot1StorageLength</vt:lpstr>
      <vt:lpstr>'IWP15'!Std11dot1StorageLength</vt:lpstr>
      <vt:lpstr>'IWP16'!Std11dot1StorageLength</vt:lpstr>
      <vt:lpstr>'IWP17'!Std11dot1StorageLength</vt:lpstr>
      <vt:lpstr>'IWP18'!Std11dot1StorageLength</vt:lpstr>
      <vt:lpstr>'IWP19'!Std11dot1StorageLength</vt:lpstr>
      <vt:lpstr>'IWP20'!Std11dot1StorageLength</vt:lpstr>
      <vt:lpstr>'IWP21'!Std11dot1StorageLength</vt:lpstr>
      <vt:lpstr>'IWP22'!Std11dot1StorageLength</vt:lpstr>
      <vt:lpstr>'IWP23'!Std11dot1StorageLength</vt:lpstr>
      <vt:lpstr>'IWP24'!Std11dot1StorageLength</vt:lpstr>
      <vt:lpstr>'IWP25'!Std11dot1StorageLength</vt:lpstr>
      <vt:lpstr>'IWP26'!Std11dot1StorageLength</vt:lpstr>
      <vt:lpstr>'IWP27'!Std11dot1StorageLength</vt:lpstr>
      <vt:lpstr>'IWP28'!Std11dot1StorageLength</vt:lpstr>
      <vt:lpstr>'IWP29'!Std11dot1StorageLength</vt:lpstr>
      <vt:lpstr>'IWP30'!Std11dot1StorageLength</vt:lpstr>
      <vt:lpstr>'IWP01'!Std11dot1StorageSqFt</vt:lpstr>
      <vt:lpstr>'IWP02'!Std11dot1StorageSqFt</vt:lpstr>
      <vt:lpstr>'IWP03'!Std11dot1StorageSqFt</vt:lpstr>
      <vt:lpstr>'IWP04'!Std11dot1StorageSqFt</vt:lpstr>
      <vt:lpstr>'IWP05'!Std11dot1StorageSqFt</vt:lpstr>
      <vt:lpstr>'IWP06'!Std11dot1StorageSqFt</vt:lpstr>
      <vt:lpstr>'IWP07'!Std11dot1StorageSqFt</vt:lpstr>
      <vt:lpstr>'IWP08'!Std11dot1StorageSqFt</vt:lpstr>
      <vt:lpstr>'IWP09'!Std11dot1StorageSqFt</vt:lpstr>
      <vt:lpstr>'IWP10'!Std11dot1StorageSqFt</vt:lpstr>
      <vt:lpstr>'IWP11'!Std11dot1StorageSqFt</vt:lpstr>
      <vt:lpstr>'IWP12'!Std11dot1StorageSqFt</vt:lpstr>
      <vt:lpstr>'IWP13'!Std11dot1StorageSqFt</vt:lpstr>
      <vt:lpstr>'IWP14'!Std11dot1StorageSqFt</vt:lpstr>
      <vt:lpstr>'IWP15'!Std11dot1StorageSqFt</vt:lpstr>
      <vt:lpstr>'IWP16'!Std11dot1StorageSqFt</vt:lpstr>
      <vt:lpstr>'IWP17'!Std11dot1StorageSqFt</vt:lpstr>
      <vt:lpstr>'IWP18'!Std11dot1StorageSqFt</vt:lpstr>
      <vt:lpstr>'IWP19'!Std11dot1StorageSqFt</vt:lpstr>
      <vt:lpstr>'IWP20'!Std11dot1StorageSqFt</vt:lpstr>
      <vt:lpstr>'IWP21'!Std11dot1StorageSqFt</vt:lpstr>
      <vt:lpstr>'IWP22'!Std11dot1StorageSqFt</vt:lpstr>
      <vt:lpstr>'IWP23'!Std11dot1StorageSqFt</vt:lpstr>
      <vt:lpstr>'IWP24'!Std11dot1StorageSqFt</vt:lpstr>
      <vt:lpstr>'IWP25'!Std11dot1StorageSqFt</vt:lpstr>
      <vt:lpstr>'IWP26'!Std11dot1StorageSqFt</vt:lpstr>
      <vt:lpstr>'IWP27'!Std11dot1StorageSqFt</vt:lpstr>
      <vt:lpstr>'IWP28'!Std11dot1StorageSqFt</vt:lpstr>
      <vt:lpstr>'IWP29'!Std11dot1StorageSqFt</vt:lpstr>
      <vt:lpstr>'IWP30'!Std11dot1StorageSqFt</vt:lpstr>
      <vt:lpstr>'IWP01'!Std11dot1StorageWidth</vt:lpstr>
      <vt:lpstr>'IWP02'!Std11dot1StorageWidth</vt:lpstr>
      <vt:lpstr>'IWP03'!Std11dot1StorageWidth</vt:lpstr>
      <vt:lpstr>'IWP04'!Std11dot1StorageWidth</vt:lpstr>
      <vt:lpstr>'IWP05'!Std11dot1StorageWidth</vt:lpstr>
      <vt:lpstr>'IWP06'!Std11dot1StorageWidth</vt:lpstr>
      <vt:lpstr>'IWP07'!Std11dot1StorageWidth</vt:lpstr>
      <vt:lpstr>'IWP08'!Std11dot1StorageWidth</vt:lpstr>
      <vt:lpstr>'IWP09'!Std11dot1StorageWidth</vt:lpstr>
      <vt:lpstr>'IWP10'!Std11dot1StorageWidth</vt:lpstr>
      <vt:lpstr>'IWP11'!Std11dot1StorageWidth</vt:lpstr>
      <vt:lpstr>'IWP12'!Std11dot1StorageWidth</vt:lpstr>
      <vt:lpstr>'IWP13'!Std11dot1StorageWidth</vt:lpstr>
      <vt:lpstr>'IWP14'!Std11dot1StorageWidth</vt:lpstr>
      <vt:lpstr>'IWP15'!Std11dot1StorageWidth</vt:lpstr>
      <vt:lpstr>'IWP16'!Std11dot1StorageWidth</vt:lpstr>
      <vt:lpstr>'IWP17'!Std11dot1StorageWidth</vt:lpstr>
      <vt:lpstr>'IWP18'!Std11dot1StorageWidth</vt:lpstr>
      <vt:lpstr>'IWP19'!Std11dot1StorageWidth</vt:lpstr>
      <vt:lpstr>'IWP20'!Std11dot1StorageWidth</vt:lpstr>
      <vt:lpstr>'IWP21'!Std11dot1StorageWidth</vt:lpstr>
      <vt:lpstr>'IWP22'!Std11dot1StorageWidth</vt:lpstr>
      <vt:lpstr>'IWP23'!Std11dot1StorageWidth</vt:lpstr>
      <vt:lpstr>'IWP24'!Std11dot1StorageWidth</vt:lpstr>
      <vt:lpstr>'IWP25'!Std11dot1StorageWidth</vt:lpstr>
      <vt:lpstr>'IWP26'!Std11dot1StorageWidth</vt:lpstr>
      <vt:lpstr>'IWP27'!Std11dot1StorageWidth</vt:lpstr>
      <vt:lpstr>'IWP28'!Std11dot1StorageWidth</vt:lpstr>
      <vt:lpstr>'IWP29'!Std11dot1StorageWidth</vt:lpstr>
      <vt:lpstr>'IWP30'!Std11dot1StorageWidth</vt:lpstr>
      <vt:lpstr>'IWP01'!Std11dot1StoveMicrowave</vt:lpstr>
      <vt:lpstr>'IWP02'!Std11dot1StoveMicrowave</vt:lpstr>
      <vt:lpstr>'IWP03'!Std11dot1StoveMicrowave</vt:lpstr>
      <vt:lpstr>'IWP04'!Std11dot1StoveMicrowave</vt:lpstr>
      <vt:lpstr>'IWP05'!Std11dot1StoveMicrowave</vt:lpstr>
      <vt:lpstr>'IWP06'!Std11dot1StoveMicrowave</vt:lpstr>
      <vt:lpstr>'IWP07'!Std11dot1StoveMicrowave</vt:lpstr>
      <vt:lpstr>'IWP08'!Std11dot1StoveMicrowave</vt:lpstr>
      <vt:lpstr>'IWP09'!Std11dot1StoveMicrowave</vt:lpstr>
      <vt:lpstr>'IWP10'!Std11dot1StoveMicrowave</vt:lpstr>
      <vt:lpstr>'IWP11'!Std11dot1StoveMicrowave</vt:lpstr>
      <vt:lpstr>'IWP12'!Std11dot1StoveMicrowave</vt:lpstr>
      <vt:lpstr>'IWP13'!Std11dot1StoveMicrowave</vt:lpstr>
      <vt:lpstr>'IWP14'!Std11dot1StoveMicrowave</vt:lpstr>
      <vt:lpstr>'IWP15'!Std11dot1StoveMicrowave</vt:lpstr>
      <vt:lpstr>'IWP16'!Std11dot1StoveMicrowave</vt:lpstr>
      <vt:lpstr>'IWP17'!Std11dot1StoveMicrowave</vt:lpstr>
      <vt:lpstr>'IWP18'!Std11dot1StoveMicrowave</vt:lpstr>
      <vt:lpstr>'IWP19'!Std11dot1StoveMicrowave</vt:lpstr>
      <vt:lpstr>'IWP20'!Std11dot1StoveMicrowave</vt:lpstr>
      <vt:lpstr>'IWP21'!Std11dot1StoveMicrowave</vt:lpstr>
      <vt:lpstr>'IWP22'!Std11dot1StoveMicrowave</vt:lpstr>
      <vt:lpstr>'IWP23'!Std11dot1StoveMicrowave</vt:lpstr>
      <vt:lpstr>'IWP24'!Std11dot1StoveMicrowave</vt:lpstr>
      <vt:lpstr>'IWP25'!Std11dot1StoveMicrowave</vt:lpstr>
      <vt:lpstr>'IWP26'!Std11dot1StoveMicrowave</vt:lpstr>
      <vt:lpstr>'IWP27'!Std11dot1StoveMicrowave</vt:lpstr>
      <vt:lpstr>'IWP28'!Std11dot1StoveMicrowave</vt:lpstr>
      <vt:lpstr>'IWP29'!Std11dot1StoveMicrowave</vt:lpstr>
      <vt:lpstr>'IWP30'!Std11dot1StoveMicrowave</vt:lpstr>
      <vt:lpstr>'IWP01'!Std11dot1Toilet</vt:lpstr>
      <vt:lpstr>'IWP02'!Std11dot1Toilet</vt:lpstr>
      <vt:lpstr>'IWP03'!Std11dot1Toilet</vt:lpstr>
      <vt:lpstr>'IWP04'!Std11dot1Toilet</vt:lpstr>
      <vt:lpstr>'IWP05'!Std11dot1Toilet</vt:lpstr>
      <vt:lpstr>'IWP06'!Std11dot1Toilet</vt:lpstr>
      <vt:lpstr>'IWP07'!Std11dot1Toilet</vt:lpstr>
      <vt:lpstr>'IWP08'!Std11dot1Toilet</vt:lpstr>
      <vt:lpstr>'IWP09'!Std11dot1Toilet</vt:lpstr>
      <vt:lpstr>'IWP10'!Std11dot1Toilet</vt:lpstr>
      <vt:lpstr>'IWP11'!Std11dot1Toilet</vt:lpstr>
      <vt:lpstr>'IWP12'!Std11dot1Toilet</vt:lpstr>
      <vt:lpstr>'IWP13'!Std11dot1Toilet</vt:lpstr>
      <vt:lpstr>'IWP14'!Std11dot1Toilet</vt:lpstr>
      <vt:lpstr>'IWP15'!Std11dot1Toilet</vt:lpstr>
      <vt:lpstr>'IWP16'!Std11dot1Toilet</vt:lpstr>
      <vt:lpstr>'IWP17'!Std11dot1Toilet</vt:lpstr>
      <vt:lpstr>'IWP18'!Std11dot1Toilet</vt:lpstr>
      <vt:lpstr>'IWP19'!Std11dot1Toilet</vt:lpstr>
      <vt:lpstr>'IWP20'!Std11dot1Toilet</vt:lpstr>
      <vt:lpstr>'IWP21'!Std11dot1Toilet</vt:lpstr>
      <vt:lpstr>'IWP22'!Std11dot1Toilet</vt:lpstr>
      <vt:lpstr>'IWP23'!Std11dot1Toilet</vt:lpstr>
      <vt:lpstr>'IWP24'!Std11dot1Toilet</vt:lpstr>
      <vt:lpstr>'IWP25'!Std11dot1Toilet</vt:lpstr>
      <vt:lpstr>'IWP26'!Std11dot1Toilet</vt:lpstr>
      <vt:lpstr>'IWP27'!Std11dot1Toilet</vt:lpstr>
      <vt:lpstr>'IWP28'!Std11dot1Toilet</vt:lpstr>
      <vt:lpstr>'IWP29'!Std11dot1Toilet</vt:lpstr>
      <vt:lpstr>'IWP30'!Std11dot1Toilet</vt:lpstr>
      <vt:lpstr>'IWP01'!Std11dot1TotalPrivateSpace</vt:lpstr>
      <vt:lpstr>'IWP02'!Std11dot1TotalPrivateSpace</vt:lpstr>
      <vt:lpstr>'IWP03'!Std11dot1TotalPrivateSpace</vt:lpstr>
      <vt:lpstr>'IWP04'!Std11dot1TotalPrivateSpace</vt:lpstr>
      <vt:lpstr>'IWP05'!Std11dot1TotalPrivateSpace</vt:lpstr>
      <vt:lpstr>'IWP06'!Std11dot1TotalPrivateSpace</vt:lpstr>
      <vt:lpstr>'IWP07'!Std11dot1TotalPrivateSpace</vt:lpstr>
      <vt:lpstr>'IWP08'!Std11dot1TotalPrivateSpace</vt:lpstr>
      <vt:lpstr>'IWP09'!Std11dot1TotalPrivateSpace</vt:lpstr>
      <vt:lpstr>'IWP10'!Std11dot1TotalPrivateSpace</vt:lpstr>
      <vt:lpstr>'IWP11'!Std11dot1TotalPrivateSpace</vt:lpstr>
      <vt:lpstr>'IWP12'!Std11dot1TotalPrivateSpace</vt:lpstr>
      <vt:lpstr>'IWP13'!Std11dot1TotalPrivateSpace</vt:lpstr>
      <vt:lpstr>'IWP14'!Std11dot1TotalPrivateSpace</vt:lpstr>
      <vt:lpstr>'IWP15'!Std11dot1TotalPrivateSpace</vt:lpstr>
      <vt:lpstr>'IWP16'!Std11dot1TotalPrivateSpace</vt:lpstr>
      <vt:lpstr>'IWP17'!Std11dot1TotalPrivateSpace</vt:lpstr>
      <vt:lpstr>'IWP18'!Std11dot1TotalPrivateSpace</vt:lpstr>
      <vt:lpstr>'IWP19'!Std11dot1TotalPrivateSpace</vt:lpstr>
      <vt:lpstr>'IWP20'!Std11dot1TotalPrivateSpace</vt:lpstr>
      <vt:lpstr>'IWP21'!Std11dot1TotalPrivateSpace</vt:lpstr>
      <vt:lpstr>'IWP22'!Std11dot1TotalPrivateSpace</vt:lpstr>
      <vt:lpstr>'IWP23'!Std11dot1TotalPrivateSpace</vt:lpstr>
      <vt:lpstr>'IWP24'!Std11dot1TotalPrivateSpace</vt:lpstr>
      <vt:lpstr>'IWP25'!Std11dot1TotalPrivateSpace</vt:lpstr>
      <vt:lpstr>'IWP26'!Std11dot1TotalPrivateSpace</vt:lpstr>
      <vt:lpstr>'IWP27'!Std11dot1TotalPrivateSpace</vt:lpstr>
      <vt:lpstr>'IWP28'!Std11dot1TotalPrivateSpace</vt:lpstr>
      <vt:lpstr>'IWP29'!Std11dot1TotalPrivateSpace</vt:lpstr>
      <vt:lpstr>'IWP30'!Std11dot1TotalPrivateSpace</vt:lpstr>
      <vt:lpstr>'IWP01'!Std11dot1TotalSquareFootagePerResident</vt:lpstr>
      <vt:lpstr>'IWP02'!Std11dot1TotalSquareFootagePerResident</vt:lpstr>
      <vt:lpstr>'IWP03'!Std11dot1TotalSquareFootagePerResident</vt:lpstr>
      <vt:lpstr>'IWP04'!Std11dot1TotalSquareFootagePerResident</vt:lpstr>
      <vt:lpstr>'IWP05'!Std11dot1TotalSquareFootagePerResident</vt:lpstr>
      <vt:lpstr>'IWP06'!Std11dot1TotalSquareFootagePerResident</vt:lpstr>
      <vt:lpstr>'IWP07'!Std11dot1TotalSquareFootagePerResident</vt:lpstr>
      <vt:lpstr>'IWP08'!Std11dot1TotalSquareFootagePerResident</vt:lpstr>
      <vt:lpstr>'IWP09'!Std11dot1TotalSquareFootagePerResident</vt:lpstr>
      <vt:lpstr>'IWP10'!Std11dot1TotalSquareFootagePerResident</vt:lpstr>
      <vt:lpstr>'IWP11'!Std11dot1TotalSquareFootagePerResident</vt:lpstr>
      <vt:lpstr>'IWP12'!Std11dot1TotalSquareFootagePerResident</vt:lpstr>
      <vt:lpstr>'IWP13'!Std11dot1TotalSquareFootagePerResident</vt:lpstr>
      <vt:lpstr>'IWP14'!Std11dot1TotalSquareFootagePerResident</vt:lpstr>
      <vt:lpstr>'IWP15'!Std11dot1TotalSquareFootagePerResident</vt:lpstr>
      <vt:lpstr>'IWP16'!Std11dot1TotalSquareFootagePerResident</vt:lpstr>
      <vt:lpstr>'IWP17'!Std11dot1TotalSquareFootagePerResident</vt:lpstr>
      <vt:lpstr>'IWP18'!Std11dot1TotalSquareFootagePerResident</vt:lpstr>
      <vt:lpstr>'IWP19'!Std11dot1TotalSquareFootagePerResident</vt:lpstr>
      <vt:lpstr>'IWP20'!Std11dot1TotalSquareFootagePerResident</vt:lpstr>
      <vt:lpstr>'IWP21'!Std11dot1TotalSquareFootagePerResident</vt:lpstr>
      <vt:lpstr>'IWP22'!Std11dot1TotalSquareFootagePerResident</vt:lpstr>
      <vt:lpstr>'IWP23'!Std11dot1TotalSquareFootagePerResident</vt:lpstr>
      <vt:lpstr>'IWP24'!Std11dot1TotalSquareFootagePerResident</vt:lpstr>
      <vt:lpstr>'IWP25'!Std11dot1TotalSquareFootagePerResident</vt:lpstr>
      <vt:lpstr>'IWP26'!Std11dot1TotalSquareFootagePerResident</vt:lpstr>
      <vt:lpstr>'IWP27'!Std11dot1TotalSquareFootagePerResident</vt:lpstr>
      <vt:lpstr>'IWP28'!Std11dot1TotalSquareFootagePerResident</vt:lpstr>
      <vt:lpstr>'IWP29'!Std11dot1TotalSquareFootagePerResident</vt:lpstr>
      <vt:lpstr>'IWP30'!Std11dot1TotalSquareFootagePerResident</vt:lpstr>
      <vt:lpstr>'IWP01'!Std11dot1UseableCommonAreaSquareFootage</vt:lpstr>
      <vt:lpstr>'IWP02'!Std11dot1UseableCommonAreaSquareFootage</vt:lpstr>
      <vt:lpstr>'IWP03'!Std11dot1UseableCommonAreaSquareFootage</vt:lpstr>
      <vt:lpstr>'IWP04'!Std11dot1UseableCommonAreaSquareFootage</vt:lpstr>
      <vt:lpstr>'IWP05'!Std11dot1UseableCommonAreaSquareFootage</vt:lpstr>
      <vt:lpstr>'IWP06'!Std11dot1UseableCommonAreaSquareFootage</vt:lpstr>
      <vt:lpstr>'IWP07'!Std11dot1UseableCommonAreaSquareFootage</vt:lpstr>
      <vt:lpstr>'IWP08'!Std11dot1UseableCommonAreaSquareFootage</vt:lpstr>
      <vt:lpstr>'IWP09'!Std11dot1UseableCommonAreaSquareFootage</vt:lpstr>
      <vt:lpstr>'IWP10'!Std11dot1UseableCommonAreaSquareFootage</vt:lpstr>
      <vt:lpstr>'IWP11'!Std11dot1UseableCommonAreaSquareFootage</vt:lpstr>
      <vt:lpstr>'IWP12'!Std11dot1UseableCommonAreaSquareFootage</vt:lpstr>
      <vt:lpstr>'IWP13'!Std11dot1UseableCommonAreaSquareFootage</vt:lpstr>
      <vt:lpstr>'IWP14'!Std11dot1UseableCommonAreaSquareFootage</vt:lpstr>
      <vt:lpstr>'IWP15'!Std11dot1UseableCommonAreaSquareFootage</vt:lpstr>
      <vt:lpstr>'IWP16'!Std11dot1UseableCommonAreaSquareFootage</vt:lpstr>
      <vt:lpstr>'IWP17'!Std11dot1UseableCommonAreaSquareFootage</vt:lpstr>
      <vt:lpstr>'IWP18'!Std11dot1UseableCommonAreaSquareFootage</vt:lpstr>
      <vt:lpstr>'IWP19'!Std11dot1UseableCommonAreaSquareFootage</vt:lpstr>
      <vt:lpstr>'IWP20'!Std11dot1UseableCommonAreaSquareFootage</vt:lpstr>
      <vt:lpstr>'IWP21'!Std11dot1UseableCommonAreaSquareFootage</vt:lpstr>
      <vt:lpstr>'IWP22'!Std11dot1UseableCommonAreaSquareFootage</vt:lpstr>
      <vt:lpstr>'IWP23'!Std11dot1UseableCommonAreaSquareFootage</vt:lpstr>
      <vt:lpstr>'IWP24'!Std11dot1UseableCommonAreaSquareFootage</vt:lpstr>
      <vt:lpstr>'IWP25'!Std11dot1UseableCommonAreaSquareFootage</vt:lpstr>
      <vt:lpstr>'IWP26'!Std11dot1UseableCommonAreaSquareFootage</vt:lpstr>
      <vt:lpstr>'IWP27'!Std11dot1UseableCommonAreaSquareFootage</vt:lpstr>
      <vt:lpstr>'IWP28'!Std11dot1UseableCommonAreaSquareFootage</vt:lpstr>
      <vt:lpstr>'IWP29'!Std11dot1UseableCommonAreaSquareFootage</vt:lpstr>
      <vt:lpstr>'IWP30'!Std11dot1UseableCommonAreaSquareFootage</vt:lpstr>
      <vt:lpstr>'IWP01'!Std11dot2</vt:lpstr>
      <vt:lpstr>'IWP02'!Std11dot2</vt:lpstr>
      <vt:lpstr>'IWP03'!Std11dot2</vt:lpstr>
      <vt:lpstr>'IWP04'!Std11dot2</vt:lpstr>
      <vt:lpstr>'IWP05'!Std11dot2</vt:lpstr>
      <vt:lpstr>'IWP06'!Std11dot2</vt:lpstr>
      <vt:lpstr>'IWP07'!Std11dot2</vt:lpstr>
      <vt:lpstr>'IWP08'!Std11dot2</vt:lpstr>
      <vt:lpstr>'IWP09'!Std11dot2</vt:lpstr>
      <vt:lpstr>'IWP10'!Std11dot2</vt:lpstr>
      <vt:lpstr>'IWP11'!Std11dot2</vt:lpstr>
      <vt:lpstr>'IWP12'!Std11dot2</vt:lpstr>
      <vt:lpstr>'IWP13'!Std11dot2</vt:lpstr>
      <vt:lpstr>'IWP14'!Std11dot2</vt:lpstr>
      <vt:lpstr>'IWP15'!Std11dot2</vt:lpstr>
      <vt:lpstr>'IWP16'!Std11dot2</vt:lpstr>
      <vt:lpstr>'IWP17'!Std11dot2</vt:lpstr>
      <vt:lpstr>'IWP18'!Std11dot2</vt:lpstr>
      <vt:lpstr>'IWP19'!Std11dot2</vt:lpstr>
      <vt:lpstr>'IWP20'!Std11dot2</vt:lpstr>
      <vt:lpstr>'IWP21'!Std11dot2</vt:lpstr>
      <vt:lpstr>'IWP22'!Std11dot2</vt:lpstr>
      <vt:lpstr>'IWP23'!Std11dot2</vt:lpstr>
      <vt:lpstr>'IWP24'!Std11dot2</vt:lpstr>
      <vt:lpstr>'IWP25'!Std11dot2</vt:lpstr>
      <vt:lpstr>'IWP26'!Std11dot2</vt:lpstr>
      <vt:lpstr>'IWP27'!Std11dot2</vt:lpstr>
      <vt:lpstr>'IWP28'!Std11dot2</vt:lpstr>
      <vt:lpstr>'IWP29'!Std11dot2</vt:lpstr>
      <vt:lpstr>'IWP30'!Std11dot2</vt:lpstr>
      <vt:lpstr>'IWP01'!Std11dot3</vt:lpstr>
      <vt:lpstr>'IWP02'!Std11dot3</vt:lpstr>
      <vt:lpstr>'IWP03'!Std11dot3</vt:lpstr>
      <vt:lpstr>'IWP04'!Std11dot3</vt:lpstr>
      <vt:lpstr>'IWP05'!Std11dot3</vt:lpstr>
      <vt:lpstr>'IWP06'!Std11dot3</vt:lpstr>
      <vt:lpstr>'IWP07'!Std11dot3</vt:lpstr>
      <vt:lpstr>'IWP08'!Std11dot3</vt:lpstr>
      <vt:lpstr>'IWP09'!Std11dot3</vt:lpstr>
      <vt:lpstr>'IWP10'!Std11dot3</vt:lpstr>
      <vt:lpstr>'IWP11'!Std11dot3</vt:lpstr>
      <vt:lpstr>'IWP12'!Std11dot3</vt:lpstr>
      <vt:lpstr>'IWP13'!Std11dot3</vt:lpstr>
      <vt:lpstr>'IWP14'!Std11dot3</vt:lpstr>
      <vt:lpstr>'IWP15'!Std11dot3</vt:lpstr>
      <vt:lpstr>'IWP16'!Std11dot3</vt:lpstr>
      <vt:lpstr>'IWP17'!Std11dot3</vt:lpstr>
      <vt:lpstr>'IWP18'!Std11dot3</vt:lpstr>
      <vt:lpstr>'IWP19'!Std11dot3</vt:lpstr>
      <vt:lpstr>'IWP20'!Std11dot3</vt:lpstr>
      <vt:lpstr>'IWP21'!Std11dot3</vt:lpstr>
      <vt:lpstr>'IWP22'!Std11dot3</vt:lpstr>
      <vt:lpstr>'IWP23'!Std11dot3</vt:lpstr>
      <vt:lpstr>'IWP24'!Std11dot3</vt:lpstr>
      <vt:lpstr>'IWP25'!Std11dot3</vt:lpstr>
      <vt:lpstr>'IWP26'!Std11dot3</vt:lpstr>
      <vt:lpstr>'IWP27'!Std11dot3</vt:lpstr>
      <vt:lpstr>'IWP28'!Std11dot3</vt:lpstr>
      <vt:lpstr>'IWP29'!Std11dot3</vt:lpstr>
      <vt:lpstr>'IWP30'!Std11dot3</vt:lpstr>
      <vt:lpstr>'IWP01'!Std11dot4</vt:lpstr>
      <vt:lpstr>'IWP02'!Std11dot4</vt:lpstr>
      <vt:lpstr>'IWP03'!Std11dot4</vt:lpstr>
      <vt:lpstr>'IWP04'!Std11dot4</vt:lpstr>
      <vt:lpstr>'IWP05'!Std11dot4</vt:lpstr>
      <vt:lpstr>'IWP06'!Std11dot4</vt:lpstr>
      <vt:lpstr>'IWP07'!Std11dot4</vt:lpstr>
      <vt:lpstr>'IWP08'!Std11dot4</vt:lpstr>
      <vt:lpstr>'IWP09'!Std11dot4</vt:lpstr>
      <vt:lpstr>'IWP10'!Std11dot4</vt:lpstr>
      <vt:lpstr>'IWP11'!Std11dot4</vt:lpstr>
      <vt:lpstr>'IWP12'!Std11dot4</vt:lpstr>
      <vt:lpstr>'IWP13'!Std11dot4</vt:lpstr>
      <vt:lpstr>'IWP14'!Std11dot4</vt:lpstr>
      <vt:lpstr>'IWP15'!Std11dot4</vt:lpstr>
      <vt:lpstr>'IWP16'!Std11dot4</vt:lpstr>
      <vt:lpstr>'IWP17'!Std11dot4</vt:lpstr>
      <vt:lpstr>'IWP18'!Std11dot4</vt:lpstr>
      <vt:lpstr>'IWP19'!Std11dot4</vt:lpstr>
      <vt:lpstr>'IWP20'!Std11dot4</vt:lpstr>
      <vt:lpstr>'IWP21'!Std11dot4</vt:lpstr>
      <vt:lpstr>'IWP22'!Std11dot4</vt:lpstr>
      <vt:lpstr>'IWP23'!Std11dot4</vt:lpstr>
      <vt:lpstr>'IWP24'!Std11dot4</vt:lpstr>
      <vt:lpstr>'IWP25'!Std11dot4</vt:lpstr>
      <vt:lpstr>'IWP26'!Std11dot4</vt:lpstr>
      <vt:lpstr>'IWP27'!Std11dot4</vt:lpstr>
      <vt:lpstr>'IWP28'!Std11dot4</vt:lpstr>
      <vt:lpstr>'IWP29'!Std11dot4</vt:lpstr>
      <vt:lpstr>'IWP30'!Std11dot4</vt:lpstr>
      <vt:lpstr>'IWP01'!Std11dot4Hospitalization</vt:lpstr>
      <vt:lpstr>'IWP02'!Std11dot4Hospitalization</vt:lpstr>
      <vt:lpstr>'IWP03'!Std11dot4Hospitalization</vt:lpstr>
      <vt:lpstr>'IWP04'!Std11dot4Hospitalization</vt:lpstr>
      <vt:lpstr>'IWP05'!Std11dot4Hospitalization</vt:lpstr>
      <vt:lpstr>'IWP06'!Std11dot4Hospitalization</vt:lpstr>
      <vt:lpstr>'IWP07'!Std11dot4Hospitalization</vt:lpstr>
      <vt:lpstr>'IWP08'!Std11dot4Hospitalization</vt:lpstr>
      <vt:lpstr>'IWP09'!Std11dot4Hospitalization</vt:lpstr>
      <vt:lpstr>'IWP10'!Std11dot4Hospitalization</vt:lpstr>
      <vt:lpstr>'IWP11'!Std11dot4Hospitalization</vt:lpstr>
      <vt:lpstr>'IWP12'!Std11dot4Hospitalization</vt:lpstr>
      <vt:lpstr>'IWP13'!Std11dot4Hospitalization</vt:lpstr>
      <vt:lpstr>'IWP14'!Std11dot4Hospitalization</vt:lpstr>
      <vt:lpstr>'IWP15'!Std11dot4Hospitalization</vt:lpstr>
      <vt:lpstr>'IWP16'!Std11dot4Hospitalization</vt:lpstr>
      <vt:lpstr>'IWP17'!Std11dot4Hospitalization</vt:lpstr>
      <vt:lpstr>'IWP18'!Std11dot4Hospitalization</vt:lpstr>
      <vt:lpstr>'IWP19'!Std11dot4Hospitalization</vt:lpstr>
      <vt:lpstr>'IWP20'!Std11dot4Hospitalization</vt:lpstr>
      <vt:lpstr>'IWP21'!Std11dot4Hospitalization</vt:lpstr>
      <vt:lpstr>'IWP22'!Std11dot4Hospitalization</vt:lpstr>
      <vt:lpstr>'IWP23'!Std11dot4Hospitalization</vt:lpstr>
      <vt:lpstr>'IWP24'!Std11dot4Hospitalization</vt:lpstr>
      <vt:lpstr>'IWP25'!Std11dot4Hospitalization</vt:lpstr>
      <vt:lpstr>'IWP26'!Std11dot4Hospitalization</vt:lpstr>
      <vt:lpstr>'IWP27'!Std11dot4Hospitalization</vt:lpstr>
      <vt:lpstr>'IWP28'!Std11dot4Hospitalization</vt:lpstr>
      <vt:lpstr>'IWP29'!Std11dot4Hospitalization</vt:lpstr>
      <vt:lpstr>'IWP30'!Std11dot4Hospitalization</vt:lpstr>
      <vt:lpstr>'IWP01'!Std11dot5</vt:lpstr>
      <vt:lpstr>'IWP02'!Std11dot5</vt:lpstr>
      <vt:lpstr>'IWP03'!Std11dot5</vt:lpstr>
      <vt:lpstr>'IWP04'!Std11dot5</vt:lpstr>
      <vt:lpstr>'IWP05'!Std11dot5</vt:lpstr>
      <vt:lpstr>'IWP06'!Std11dot5</vt:lpstr>
      <vt:lpstr>'IWP07'!Std11dot5</vt:lpstr>
      <vt:lpstr>'IWP08'!Std11dot5</vt:lpstr>
      <vt:lpstr>'IWP09'!Std11dot5</vt:lpstr>
      <vt:lpstr>'IWP10'!Std11dot5</vt:lpstr>
      <vt:lpstr>'IWP11'!Std11dot5</vt:lpstr>
      <vt:lpstr>'IWP12'!Std11dot5</vt:lpstr>
      <vt:lpstr>'IWP13'!Std11dot5</vt:lpstr>
      <vt:lpstr>'IWP14'!Std11dot5</vt:lpstr>
      <vt:lpstr>'IWP15'!Std11dot5</vt:lpstr>
      <vt:lpstr>'IWP16'!Std11dot5</vt:lpstr>
      <vt:lpstr>'IWP17'!Std11dot5</vt:lpstr>
      <vt:lpstr>'IWP18'!Std11dot5</vt:lpstr>
      <vt:lpstr>'IWP19'!Std11dot5</vt:lpstr>
      <vt:lpstr>'IWP20'!Std11dot5</vt:lpstr>
      <vt:lpstr>'IWP21'!Std11dot5</vt:lpstr>
      <vt:lpstr>'IWP22'!Std11dot5</vt:lpstr>
      <vt:lpstr>'IWP23'!Std11dot5</vt:lpstr>
      <vt:lpstr>'IWP24'!Std11dot5</vt:lpstr>
      <vt:lpstr>'IWP25'!Std11dot5</vt:lpstr>
      <vt:lpstr>'IWP26'!Std11dot5</vt:lpstr>
      <vt:lpstr>'IWP27'!Std11dot5</vt:lpstr>
      <vt:lpstr>'IWP28'!Std11dot5</vt:lpstr>
      <vt:lpstr>'IWP29'!Std11dot5</vt:lpstr>
      <vt:lpstr>'IWP30'!Std11dot5</vt:lpstr>
      <vt:lpstr>'IWP01'!Std11dot5a</vt:lpstr>
      <vt:lpstr>'IWP02'!Std11dot5a</vt:lpstr>
      <vt:lpstr>'IWP03'!Std11dot5a</vt:lpstr>
      <vt:lpstr>'IWP04'!Std11dot5a</vt:lpstr>
      <vt:lpstr>'IWP05'!Std11dot5a</vt:lpstr>
      <vt:lpstr>'IWP06'!Std11dot5a</vt:lpstr>
      <vt:lpstr>'IWP07'!Std11dot5a</vt:lpstr>
      <vt:lpstr>'IWP08'!Std11dot5a</vt:lpstr>
      <vt:lpstr>'IWP09'!Std11dot5a</vt:lpstr>
      <vt:lpstr>'IWP10'!Std11dot5a</vt:lpstr>
      <vt:lpstr>'IWP11'!Std11dot5a</vt:lpstr>
      <vt:lpstr>'IWP12'!Std11dot5a</vt:lpstr>
      <vt:lpstr>'IWP13'!Std11dot5a</vt:lpstr>
      <vt:lpstr>'IWP14'!Std11dot5a</vt:lpstr>
      <vt:lpstr>'IWP15'!Std11dot5a</vt:lpstr>
      <vt:lpstr>'IWP16'!Std11dot5a</vt:lpstr>
      <vt:lpstr>'IWP17'!Std11dot5a</vt:lpstr>
      <vt:lpstr>'IWP18'!Std11dot5a</vt:lpstr>
      <vt:lpstr>'IWP19'!Std11dot5a</vt:lpstr>
      <vt:lpstr>'IWP20'!Std11dot5a</vt:lpstr>
      <vt:lpstr>'IWP21'!Std11dot5a</vt:lpstr>
      <vt:lpstr>'IWP22'!Std11dot5a</vt:lpstr>
      <vt:lpstr>'IWP23'!Std11dot5a</vt:lpstr>
      <vt:lpstr>'IWP24'!Std11dot5a</vt:lpstr>
      <vt:lpstr>'IWP25'!Std11dot5a</vt:lpstr>
      <vt:lpstr>'IWP26'!Std11dot5a</vt:lpstr>
      <vt:lpstr>'IWP27'!Std11dot5a</vt:lpstr>
      <vt:lpstr>'IWP28'!Std11dot5a</vt:lpstr>
      <vt:lpstr>'IWP29'!Std11dot5a</vt:lpstr>
      <vt:lpstr>'IWP30'!Std11dot5a</vt:lpstr>
      <vt:lpstr>'IWP01'!Std11dot5b</vt:lpstr>
      <vt:lpstr>'IWP02'!Std11dot5b</vt:lpstr>
      <vt:lpstr>'IWP03'!Std11dot5b</vt:lpstr>
      <vt:lpstr>'IWP04'!Std11dot5b</vt:lpstr>
      <vt:lpstr>'IWP05'!Std11dot5b</vt:lpstr>
      <vt:lpstr>'IWP06'!Std11dot5b</vt:lpstr>
      <vt:lpstr>'IWP07'!Std11dot5b</vt:lpstr>
      <vt:lpstr>'IWP08'!Std11dot5b</vt:lpstr>
      <vt:lpstr>'IWP09'!Std11dot5b</vt:lpstr>
      <vt:lpstr>'IWP10'!Std11dot5b</vt:lpstr>
      <vt:lpstr>'IWP11'!Std11dot5b</vt:lpstr>
      <vt:lpstr>'IWP12'!Std11dot5b</vt:lpstr>
      <vt:lpstr>'IWP13'!Std11dot5b</vt:lpstr>
      <vt:lpstr>'IWP14'!Std11dot5b</vt:lpstr>
      <vt:lpstr>'IWP15'!Std11dot5b</vt:lpstr>
      <vt:lpstr>'IWP16'!Std11dot5b</vt:lpstr>
      <vt:lpstr>'IWP17'!Std11dot5b</vt:lpstr>
      <vt:lpstr>'IWP18'!Std11dot5b</vt:lpstr>
      <vt:lpstr>'IWP19'!Std11dot5b</vt:lpstr>
      <vt:lpstr>'IWP20'!Std11dot5b</vt:lpstr>
      <vt:lpstr>'IWP21'!Std11dot5b</vt:lpstr>
      <vt:lpstr>'IWP22'!Std11dot5b</vt:lpstr>
      <vt:lpstr>'IWP23'!Std11dot5b</vt:lpstr>
      <vt:lpstr>'IWP24'!Std11dot5b</vt:lpstr>
      <vt:lpstr>'IWP25'!Std11dot5b</vt:lpstr>
      <vt:lpstr>'IWP26'!Std11dot5b</vt:lpstr>
      <vt:lpstr>'IWP27'!Std11dot5b</vt:lpstr>
      <vt:lpstr>'IWP28'!Std11dot5b</vt:lpstr>
      <vt:lpstr>'IWP29'!Std11dot5b</vt:lpstr>
      <vt:lpstr>'IWP30'!Std11dot5b</vt:lpstr>
      <vt:lpstr>'IWP01'!Std11dot5ci</vt:lpstr>
      <vt:lpstr>'IWP02'!Std11dot5ci</vt:lpstr>
      <vt:lpstr>'IWP03'!Std11dot5ci</vt:lpstr>
      <vt:lpstr>'IWP04'!Std11dot5ci</vt:lpstr>
      <vt:lpstr>'IWP05'!Std11dot5ci</vt:lpstr>
      <vt:lpstr>'IWP06'!Std11dot5ci</vt:lpstr>
      <vt:lpstr>'IWP07'!Std11dot5ci</vt:lpstr>
      <vt:lpstr>'IWP08'!Std11dot5ci</vt:lpstr>
      <vt:lpstr>'IWP09'!Std11dot5ci</vt:lpstr>
      <vt:lpstr>'IWP10'!Std11dot5ci</vt:lpstr>
      <vt:lpstr>'IWP11'!Std11dot5ci</vt:lpstr>
      <vt:lpstr>'IWP12'!Std11dot5ci</vt:lpstr>
      <vt:lpstr>'IWP13'!Std11dot5ci</vt:lpstr>
      <vt:lpstr>'IWP14'!Std11dot5ci</vt:lpstr>
      <vt:lpstr>'IWP15'!Std11dot5ci</vt:lpstr>
      <vt:lpstr>'IWP16'!Std11dot5ci</vt:lpstr>
      <vt:lpstr>'IWP17'!Std11dot5ci</vt:lpstr>
      <vt:lpstr>'IWP18'!Std11dot5ci</vt:lpstr>
      <vt:lpstr>'IWP19'!Std11dot5ci</vt:lpstr>
      <vt:lpstr>'IWP20'!Std11dot5ci</vt:lpstr>
      <vt:lpstr>'IWP21'!Std11dot5ci</vt:lpstr>
      <vt:lpstr>'IWP22'!Std11dot5ci</vt:lpstr>
      <vt:lpstr>'IWP23'!Std11dot5ci</vt:lpstr>
      <vt:lpstr>'IWP24'!Std11dot5ci</vt:lpstr>
      <vt:lpstr>'IWP25'!Std11dot5ci</vt:lpstr>
      <vt:lpstr>'IWP26'!Std11dot5ci</vt:lpstr>
      <vt:lpstr>'IWP27'!Std11dot5ci</vt:lpstr>
      <vt:lpstr>'IWP28'!Std11dot5ci</vt:lpstr>
      <vt:lpstr>'IWP29'!Std11dot5ci</vt:lpstr>
      <vt:lpstr>'IWP30'!Std11dot5ci</vt:lpstr>
      <vt:lpstr>'IWP01'!Std11dot5cii</vt:lpstr>
      <vt:lpstr>'IWP02'!Std11dot5cii</vt:lpstr>
      <vt:lpstr>'IWP03'!Std11dot5cii</vt:lpstr>
      <vt:lpstr>'IWP04'!Std11dot5cii</vt:lpstr>
      <vt:lpstr>'IWP05'!Std11dot5cii</vt:lpstr>
      <vt:lpstr>'IWP06'!Std11dot5cii</vt:lpstr>
      <vt:lpstr>'IWP07'!Std11dot5cii</vt:lpstr>
      <vt:lpstr>'IWP08'!Std11dot5cii</vt:lpstr>
      <vt:lpstr>'IWP09'!Std11dot5cii</vt:lpstr>
      <vt:lpstr>'IWP10'!Std11dot5cii</vt:lpstr>
      <vt:lpstr>'IWP11'!Std11dot5cii</vt:lpstr>
      <vt:lpstr>'IWP12'!Std11dot5cii</vt:lpstr>
      <vt:lpstr>'IWP13'!Std11dot5cii</vt:lpstr>
      <vt:lpstr>'IWP14'!Std11dot5cii</vt:lpstr>
      <vt:lpstr>'IWP15'!Std11dot5cii</vt:lpstr>
      <vt:lpstr>'IWP16'!Std11dot5cii</vt:lpstr>
      <vt:lpstr>'IWP17'!Std11dot5cii</vt:lpstr>
      <vt:lpstr>'IWP18'!Std11dot5cii</vt:lpstr>
      <vt:lpstr>'IWP19'!Std11dot5cii</vt:lpstr>
      <vt:lpstr>'IWP20'!Std11dot5cii</vt:lpstr>
      <vt:lpstr>'IWP21'!Std11dot5cii</vt:lpstr>
      <vt:lpstr>'IWP22'!Std11dot5cii</vt:lpstr>
      <vt:lpstr>'IWP23'!Std11dot5cii</vt:lpstr>
      <vt:lpstr>'IWP24'!Std11dot5cii</vt:lpstr>
      <vt:lpstr>'IWP25'!Std11dot5cii</vt:lpstr>
      <vt:lpstr>'IWP26'!Std11dot5cii</vt:lpstr>
      <vt:lpstr>'IWP27'!Std11dot5cii</vt:lpstr>
      <vt:lpstr>'IWP28'!Std11dot5cii</vt:lpstr>
      <vt:lpstr>'IWP29'!Std11dot5cii</vt:lpstr>
      <vt:lpstr>'IWP30'!Std11dot5cii</vt:lpstr>
      <vt:lpstr>'ALRC Compliance Summary (Print)'!Std11Score</vt:lpstr>
      <vt:lpstr>'ALRC Compliance Summary (Print)'!Std1Score</vt:lpstr>
      <vt:lpstr>'ALRC Compliance Summary (Print)'!Std2Score</vt:lpstr>
      <vt:lpstr>'IWP01'!Std3dot1</vt:lpstr>
      <vt:lpstr>'IWP02'!Std3dot1</vt:lpstr>
      <vt:lpstr>'IWP03'!Std3dot1</vt:lpstr>
      <vt:lpstr>'IWP04'!Std3dot1</vt:lpstr>
      <vt:lpstr>'IWP05'!Std3dot1</vt:lpstr>
      <vt:lpstr>'IWP06'!Std3dot1</vt:lpstr>
      <vt:lpstr>'IWP07'!Std3dot1</vt:lpstr>
      <vt:lpstr>'IWP08'!Std3dot1</vt:lpstr>
      <vt:lpstr>'IWP09'!Std3dot1</vt:lpstr>
      <vt:lpstr>'IWP10'!Std3dot1</vt:lpstr>
      <vt:lpstr>'IWP11'!Std3dot1</vt:lpstr>
      <vt:lpstr>'IWP12'!Std3dot1</vt:lpstr>
      <vt:lpstr>'IWP13'!Std3dot1</vt:lpstr>
      <vt:lpstr>'IWP14'!Std3dot1</vt:lpstr>
      <vt:lpstr>'IWP15'!Std3dot1</vt:lpstr>
      <vt:lpstr>'IWP16'!Std3dot1</vt:lpstr>
      <vt:lpstr>'IWP17'!Std3dot1</vt:lpstr>
      <vt:lpstr>'IWP18'!Std3dot1</vt:lpstr>
      <vt:lpstr>'IWP19'!Std3dot1</vt:lpstr>
      <vt:lpstr>'IWP20'!Std3dot1</vt:lpstr>
      <vt:lpstr>'IWP21'!Std3dot1</vt:lpstr>
      <vt:lpstr>'IWP22'!Std3dot1</vt:lpstr>
      <vt:lpstr>'IWP23'!Std3dot1</vt:lpstr>
      <vt:lpstr>'IWP24'!Std3dot1</vt:lpstr>
      <vt:lpstr>'IWP25'!Std3dot1</vt:lpstr>
      <vt:lpstr>'IWP26'!Std3dot1</vt:lpstr>
      <vt:lpstr>'IWP27'!Std3dot1</vt:lpstr>
      <vt:lpstr>'IWP28'!Std3dot1</vt:lpstr>
      <vt:lpstr>'IWP29'!Std3dot1</vt:lpstr>
      <vt:lpstr>'IWP30'!Std3dot1</vt:lpstr>
      <vt:lpstr>'IWP01'!Std3dot1a</vt:lpstr>
      <vt:lpstr>'IWP02'!Std3dot1a</vt:lpstr>
      <vt:lpstr>'IWP03'!Std3dot1a</vt:lpstr>
      <vt:lpstr>'IWP04'!Std3dot1a</vt:lpstr>
      <vt:lpstr>'IWP05'!Std3dot1a</vt:lpstr>
      <vt:lpstr>'IWP06'!Std3dot1a</vt:lpstr>
      <vt:lpstr>'IWP07'!Std3dot1a</vt:lpstr>
      <vt:lpstr>'IWP08'!Std3dot1a</vt:lpstr>
      <vt:lpstr>'IWP09'!Std3dot1a</vt:lpstr>
      <vt:lpstr>'IWP10'!Std3dot1a</vt:lpstr>
      <vt:lpstr>'IWP11'!Std3dot1a</vt:lpstr>
      <vt:lpstr>'IWP12'!Std3dot1a</vt:lpstr>
      <vt:lpstr>'IWP13'!Std3dot1a</vt:lpstr>
      <vt:lpstr>'IWP14'!Std3dot1a</vt:lpstr>
      <vt:lpstr>'IWP15'!Std3dot1a</vt:lpstr>
      <vt:lpstr>'IWP16'!Std3dot1a</vt:lpstr>
      <vt:lpstr>'IWP17'!Std3dot1a</vt:lpstr>
      <vt:lpstr>'IWP18'!Std3dot1a</vt:lpstr>
      <vt:lpstr>'IWP19'!Std3dot1a</vt:lpstr>
      <vt:lpstr>'IWP20'!Std3dot1a</vt:lpstr>
      <vt:lpstr>'IWP21'!Std3dot1a</vt:lpstr>
      <vt:lpstr>'IWP22'!Std3dot1a</vt:lpstr>
      <vt:lpstr>'IWP23'!Std3dot1a</vt:lpstr>
      <vt:lpstr>'IWP24'!Std3dot1a</vt:lpstr>
      <vt:lpstr>'IWP25'!Std3dot1a</vt:lpstr>
      <vt:lpstr>'IWP26'!Std3dot1a</vt:lpstr>
      <vt:lpstr>'IWP27'!Std3dot1a</vt:lpstr>
      <vt:lpstr>'IWP28'!Std3dot1a</vt:lpstr>
      <vt:lpstr>'IWP29'!Std3dot1a</vt:lpstr>
      <vt:lpstr>'IWP30'!Std3dot1a</vt:lpstr>
      <vt:lpstr>'IWP01'!Std3dot1b</vt:lpstr>
      <vt:lpstr>'IWP02'!Std3dot1b</vt:lpstr>
      <vt:lpstr>'IWP03'!Std3dot1b</vt:lpstr>
      <vt:lpstr>'IWP04'!Std3dot1b</vt:lpstr>
      <vt:lpstr>'IWP05'!Std3dot1b</vt:lpstr>
      <vt:lpstr>'IWP06'!Std3dot1b</vt:lpstr>
      <vt:lpstr>'IWP07'!Std3dot1b</vt:lpstr>
      <vt:lpstr>'IWP08'!Std3dot1b</vt:lpstr>
      <vt:lpstr>'IWP09'!Std3dot1b</vt:lpstr>
      <vt:lpstr>'IWP10'!Std3dot1b</vt:lpstr>
      <vt:lpstr>'IWP11'!Std3dot1b</vt:lpstr>
      <vt:lpstr>'IWP12'!Std3dot1b</vt:lpstr>
      <vt:lpstr>'IWP13'!Std3dot1b</vt:lpstr>
      <vt:lpstr>'IWP14'!Std3dot1b</vt:lpstr>
      <vt:lpstr>'IWP15'!Std3dot1b</vt:lpstr>
      <vt:lpstr>'IWP16'!Std3dot1b</vt:lpstr>
      <vt:lpstr>'IWP17'!Std3dot1b</vt:lpstr>
      <vt:lpstr>'IWP18'!Std3dot1b</vt:lpstr>
      <vt:lpstr>'IWP19'!Std3dot1b</vt:lpstr>
      <vt:lpstr>'IWP20'!Std3dot1b</vt:lpstr>
      <vt:lpstr>'IWP21'!Std3dot1b</vt:lpstr>
      <vt:lpstr>'IWP22'!Std3dot1b</vt:lpstr>
      <vt:lpstr>'IWP23'!Std3dot1b</vt:lpstr>
      <vt:lpstr>'IWP24'!Std3dot1b</vt:lpstr>
      <vt:lpstr>'IWP25'!Std3dot1b</vt:lpstr>
      <vt:lpstr>'IWP26'!Std3dot1b</vt:lpstr>
      <vt:lpstr>'IWP27'!Std3dot1b</vt:lpstr>
      <vt:lpstr>'IWP28'!Std3dot1b</vt:lpstr>
      <vt:lpstr>'IWP29'!Std3dot1b</vt:lpstr>
      <vt:lpstr>'IWP30'!Std3dot1b</vt:lpstr>
      <vt:lpstr>'IWP01'!Std3dot1c</vt:lpstr>
      <vt:lpstr>'IWP02'!Std3dot1c</vt:lpstr>
      <vt:lpstr>'IWP03'!Std3dot1c</vt:lpstr>
      <vt:lpstr>'IWP04'!Std3dot1c</vt:lpstr>
      <vt:lpstr>'IWP05'!Std3dot1c</vt:lpstr>
      <vt:lpstr>'IWP06'!Std3dot1c</vt:lpstr>
      <vt:lpstr>'IWP07'!Std3dot1c</vt:lpstr>
      <vt:lpstr>'IWP08'!Std3dot1c</vt:lpstr>
      <vt:lpstr>'IWP09'!Std3dot1c</vt:lpstr>
      <vt:lpstr>'IWP10'!Std3dot1c</vt:lpstr>
      <vt:lpstr>'IWP11'!Std3dot1c</vt:lpstr>
      <vt:lpstr>'IWP12'!Std3dot1c</vt:lpstr>
      <vt:lpstr>'IWP13'!Std3dot1c</vt:lpstr>
      <vt:lpstr>'IWP14'!Std3dot1c</vt:lpstr>
      <vt:lpstr>'IWP15'!Std3dot1c</vt:lpstr>
      <vt:lpstr>'IWP16'!Std3dot1c</vt:lpstr>
      <vt:lpstr>'IWP17'!Std3dot1c</vt:lpstr>
      <vt:lpstr>'IWP18'!Std3dot1c</vt:lpstr>
      <vt:lpstr>'IWP19'!Std3dot1c</vt:lpstr>
      <vt:lpstr>'IWP20'!Std3dot1c</vt:lpstr>
      <vt:lpstr>'IWP21'!Std3dot1c</vt:lpstr>
      <vt:lpstr>'IWP22'!Std3dot1c</vt:lpstr>
      <vt:lpstr>'IWP23'!Std3dot1c</vt:lpstr>
      <vt:lpstr>'IWP24'!Std3dot1c</vt:lpstr>
      <vt:lpstr>'IWP25'!Std3dot1c</vt:lpstr>
      <vt:lpstr>'IWP26'!Std3dot1c</vt:lpstr>
      <vt:lpstr>'IWP27'!Std3dot1c</vt:lpstr>
      <vt:lpstr>'IWP28'!Std3dot1c</vt:lpstr>
      <vt:lpstr>'IWP29'!Std3dot1c</vt:lpstr>
      <vt:lpstr>'IWP30'!Std3dot1c</vt:lpstr>
      <vt:lpstr>'IWP01'!Std3dot1DateOfAdmission</vt:lpstr>
      <vt:lpstr>'IWP02'!Std3dot1DateOfAdmission</vt:lpstr>
      <vt:lpstr>'IWP03'!Std3dot1DateOfAdmission</vt:lpstr>
      <vt:lpstr>'IWP04'!Std3dot1DateOfAdmission</vt:lpstr>
      <vt:lpstr>'IWP05'!Std3dot1DateOfAdmission</vt:lpstr>
      <vt:lpstr>'IWP06'!Std3dot1DateOfAdmission</vt:lpstr>
      <vt:lpstr>'IWP07'!Std3dot1DateOfAdmission</vt:lpstr>
      <vt:lpstr>'IWP08'!Std3dot1DateOfAdmission</vt:lpstr>
      <vt:lpstr>'IWP09'!Std3dot1DateOfAdmission</vt:lpstr>
      <vt:lpstr>'IWP10'!Std3dot1DateOfAdmission</vt:lpstr>
      <vt:lpstr>'IWP11'!Std3dot1DateOfAdmission</vt:lpstr>
      <vt:lpstr>'IWP12'!Std3dot1DateOfAdmission</vt:lpstr>
      <vt:lpstr>'IWP13'!Std3dot1DateOfAdmission</vt:lpstr>
      <vt:lpstr>'IWP14'!Std3dot1DateOfAdmission</vt:lpstr>
      <vt:lpstr>'IWP15'!Std3dot1DateOfAdmission</vt:lpstr>
      <vt:lpstr>'IWP16'!Std3dot1DateOfAdmission</vt:lpstr>
      <vt:lpstr>'IWP17'!Std3dot1DateOfAdmission</vt:lpstr>
      <vt:lpstr>'IWP18'!Std3dot1DateOfAdmission</vt:lpstr>
      <vt:lpstr>'IWP19'!Std3dot1DateOfAdmission</vt:lpstr>
      <vt:lpstr>'IWP20'!Std3dot1DateOfAdmission</vt:lpstr>
      <vt:lpstr>'IWP21'!Std3dot1DateOfAdmission</vt:lpstr>
      <vt:lpstr>'IWP22'!Std3dot1DateOfAdmission</vt:lpstr>
      <vt:lpstr>'IWP23'!Std3dot1DateOfAdmission</vt:lpstr>
      <vt:lpstr>'IWP24'!Std3dot1DateOfAdmission</vt:lpstr>
      <vt:lpstr>'IWP25'!Std3dot1DateOfAdmission</vt:lpstr>
      <vt:lpstr>'IWP26'!Std3dot1DateOfAdmission</vt:lpstr>
      <vt:lpstr>'IWP27'!Std3dot1DateOfAdmission</vt:lpstr>
      <vt:lpstr>'IWP28'!Std3dot1DateOfAdmission</vt:lpstr>
      <vt:lpstr>'IWP29'!Std3dot1DateOfAdmission</vt:lpstr>
      <vt:lpstr>'IWP30'!Std3dot1DateOfAdmission</vt:lpstr>
      <vt:lpstr>'IWP01'!Std3dot1DateofHASP</vt:lpstr>
      <vt:lpstr>'IWP02'!Std3dot1DateofHASP</vt:lpstr>
      <vt:lpstr>'IWP03'!Std3dot1DateofHASP</vt:lpstr>
      <vt:lpstr>'IWP04'!Std3dot1DateofHASP</vt:lpstr>
      <vt:lpstr>'IWP05'!Std3dot1DateofHASP</vt:lpstr>
      <vt:lpstr>'IWP06'!Std3dot1DateofHASP</vt:lpstr>
      <vt:lpstr>'IWP07'!Std3dot1DateofHASP</vt:lpstr>
      <vt:lpstr>'IWP08'!Std3dot1DateofHASP</vt:lpstr>
      <vt:lpstr>'IWP09'!Std3dot1DateofHASP</vt:lpstr>
      <vt:lpstr>'IWP10'!Std3dot1DateofHASP</vt:lpstr>
      <vt:lpstr>'IWP11'!Std3dot1DateofHASP</vt:lpstr>
      <vt:lpstr>'IWP12'!Std3dot1DateofHASP</vt:lpstr>
      <vt:lpstr>'IWP13'!Std3dot1DateofHASP</vt:lpstr>
      <vt:lpstr>'IWP14'!Std3dot1DateofHASP</vt:lpstr>
      <vt:lpstr>'IWP15'!Std3dot1DateofHASP</vt:lpstr>
      <vt:lpstr>'IWP16'!Std3dot1DateofHASP</vt:lpstr>
      <vt:lpstr>'IWP17'!Std3dot1DateofHASP</vt:lpstr>
      <vt:lpstr>'IWP18'!Std3dot1DateofHASP</vt:lpstr>
      <vt:lpstr>'IWP19'!Std3dot1DateofHASP</vt:lpstr>
      <vt:lpstr>'IWP20'!Std3dot1DateofHASP</vt:lpstr>
      <vt:lpstr>'IWP21'!Std3dot1DateofHASP</vt:lpstr>
      <vt:lpstr>'IWP22'!Std3dot1DateofHASP</vt:lpstr>
      <vt:lpstr>'IWP23'!Std3dot1DateofHASP</vt:lpstr>
      <vt:lpstr>'IWP24'!Std3dot1DateofHASP</vt:lpstr>
      <vt:lpstr>'IWP25'!Std3dot1DateofHASP</vt:lpstr>
      <vt:lpstr>'IWP26'!Std3dot1DateofHASP</vt:lpstr>
      <vt:lpstr>'IWP27'!Std3dot1DateofHASP</vt:lpstr>
      <vt:lpstr>'IWP28'!Std3dot1DateofHASP</vt:lpstr>
      <vt:lpstr>'IWP29'!Std3dot1DateofHASP</vt:lpstr>
      <vt:lpstr>'IWP30'!Std3dot1DateofHASP</vt:lpstr>
      <vt:lpstr>'IWP01'!Std3dot2</vt:lpstr>
      <vt:lpstr>'IWP02'!Std3dot2</vt:lpstr>
      <vt:lpstr>'IWP03'!Std3dot2</vt:lpstr>
      <vt:lpstr>'IWP04'!Std3dot2</vt:lpstr>
      <vt:lpstr>'IWP05'!Std3dot2</vt:lpstr>
      <vt:lpstr>'IWP06'!Std3dot2</vt:lpstr>
      <vt:lpstr>'IWP07'!Std3dot2</vt:lpstr>
      <vt:lpstr>'IWP08'!Std3dot2</vt:lpstr>
      <vt:lpstr>'IWP09'!Std3dot2</vt:lpstr>
      <vt:lpstr>'IWP10'!Std3dot2</vt:lpstr>
      <vt:lpstr>'IWP11'!Std3dot2</vt:lpstr>
      <vt:lpstr>'IWP12'!Std3dot2</vt:lpstr>
      <vt:lpstr>'IWP13'!Std3dot2</vt:lpstr>
      <vt:lpstr>'IWP14'!Std3dot2</vt:lpstr>
      <vt:lpstr>'IWP15'!Std3dot2</vt:lpstr>
      <vt:lpstr>'IWP16'!Std3dot2</vt:lpstr>
      <vt:lpstr>'IWP17'!Std3dot2</vt:lpstr>
      <vt:lpstr>'IWP18'!Std3dot2</vt:lpstr>
      <vt:lpstr>'IWP19'!Std3dot2</vt:lpstr>
      <vt:lpstr>'IWP20'!Std3dot2</vt:lpstr>
      <vt:lpstr>'IWP21'!Std3dot2</vt:lpstr>
      <vt:lpstr>'IWP22'!Std3dot2</vt:lpstr>
      <vt:lpstr>'IWP23'!Std3dot2</vt:lpstr>
      <vt:lpstr>'IWP24'!Std3dot2</vt:lpstr>
      <vt:lpstr>'IWP25'!Std3dot2</vt:lpstr>
      <vt:lpstr>'IWP26'!Std3dot2</vt:lpstr>
      <vt:lpstr>'IWP27'!Std3dot2</vt:lpstr>
      <vt:lpstr>'IWP28'!Std3dot2</vt:lpstr>
      <vt:lpstr>'IWP29'!Std3dot2</vt:lpstr>
      <vt:lpstr>'IWP30'!Std3dot2</vt:lpstr>
      <vt:lpstr>'IWP01'!Std3dot2a</vt:lpstr>
      <vt:lpstr>'IWP02'!Std3dot2a</vt:lpstr>
      <vt:lpstr>'IWP03'!Std3dot2a</vt:lpstr>
      <vt:lpstr>'IWP04'!Std3dot2a</vt:lpstr>
      <vt:lpstr>'IWP05'!Std3dot2a</vt:lpstr>
      <vt:lpstr>'IWP06'!Std3dot2a</vt:lpstr>
      <vt:lpstr>'IWP07'!Std3dot2a</vt:lpstr>
      <vt:lpstr>'IWP08'!Std3dot2a</vt:lpstr>
      <vt:lpstr>'IWP09'!Std3dot2a</vt:lpstr>
      <vt:lpstr>'IWP10'!Std3dot2a</vt:lpstr>
      <vt:lpstr>'IWP11'!Std3dot2a</vt:lpstr>
      <vt:lpstr>'IWP12'!Std3dot2a</vt:lpstr>
      <vt:lpstr>'IWP13'!Std3dot2a</vt:lpstr>
      <vt:lpstr>'IWP14'!Std3dot2a</vt:lpstr>
      <vt:lpstr>'IWP15'!Std3dot2a</vt:lpstr>
      <vt:lpstr>'IWP16'!Std3dot2a</vt:lpstr>
      <vt:lpstr>'IWP17'!Std3dot2a</vt:lpstr>
      <vt:lpstr>'IWP18'!Std3dot2a</vt:lpstr>
      <vt:lpstr>'IWP19'!Std3dot2a</vt:lpstr>
      <vt:lpstr>'IWP20'!Std3dot2a</vt:lpstr>
      <vt:lpstr>'IWP21'!Std3dot2a</vt:lpstr>
      <vt:lpstr>'IWP22'!Std3dot2a</vt:lpstr>
      <vt:lpstr>'IWP23'!Std3dot2a</vt:lpstr>
      <vt:lpstr>'IWP24'!Std3dot2a</vt:lpstr>
      <vt:lpstr>'IWP25'!Std3dot2a</vt:lpstr>
      <vt:lpstr>'IWP26'!Std3dot2a</vt:lpstr>
      <vt:lpstr>'IWP27'!Std3dot2a</vt:lpstr>
      <vt:lpstr>'IWP28'!Std3dot2a</vt:lpstr>
      <vt:lpstr>'IWP29'!Std3dot2a</vt:lpstr>
      <vt:lpstr>'IWP30'!Std3dot2a</vt:lpstr>
      <vt:lpstr>'IWP01'!Std3dot2b</vt:lpstr>
      <vt:lpstr>'IWP02'!Std3dot2b</vt:lpstr>
      <vt:lpstr>'IWP03'!Std3dot2b</vt:lpstr>
      <vt:lpstr>'IWP04'!Std3dot2b</vt:lpstr>
      <vt:lpstr>'IWP05'!Std3dot2b</vt:lpstr>
      <vt:lpstr>'IWP06'!Std3dot2b</vt:lpstr>
      <vt:lpstr>'IWP07'!Std3dot2b</vt:lpstr>
      <vt:lpstr>'IWP08'!Std3dot2b</vt:lpstr>
      <vt:lpstr>'IWP09'!Std3dot2b</vt:lpstr>
      <vt:lpstr>'IWP10'!Std3dot2b</vt:lpstr>
      <vt:lpstr>'IWP11'!Std3dot2b</vt:lpstr>
      <vt:lpstr>'IWP12'!Std3dot2b</vt:lpstr>
      <vt:lpstr>'IWP13'!Std3dot2b</vt:lpstr>
      <vt:lpstr>'IWP14'!Std3dot2b</vt:lpstr>
      <vt:lpstr>'IWP15'!Std3dot2b</vt:lpstr>
      <vt:lpstr>'IWP16'!Std3dot2b</vt:lpstr>
      <vt:lpstr>'IWP17'!Std3dot2b</vt:lpstr>
      <vt:lpstr>'IWP18'!Std3dot2b</vt:lpstr>
      <vt:lpstr>'IWP19'!Std3dot2b</vt:lpstr>
      <vt:lpstr>'IWP20'!Std3dot2b</vt:lpstr>
      <vt:lpstr>'IWP21'!Std3dot2b</vt:lpstr>
      <vt:lpstr>'IWP22'!Std3dot2b</vt:lpstr>
      <vt:lpstr>'IWP23'!Std3dot2b</vt:lpstr>
      <vt:lpstr>'IWP24'!Std3dot2b</vt:lpstr>
      <vt:lpstr>'IWP25'!Std3dot2b</vt:lpstr>
      <vt:lpstr>'IWP26'!Std3dot2b</vt:lpstr>
      <vt:lpstr>'IWP27'!Std3dot2b</vt:lpstr>
      <vt:lpstr>'IWP28'!Std3dot2b</vt:lpstr>
      <vt:lpstr>'IWP29'!Std3dot2b</vt:lpstr>
      <vt:lpstr>'IWP30'!Std3dot2b</vt:lpstr>
      <vt:lpstr>'IWP01'!Std3dot2c</vt:lpstr>
      <vt:lpstr>'IWP02'!Std3dot2c</vt:lpstr>
      <vt:lpstr>'IWP03'!Std3dot2c</vt:lpstr>
      <vt:lpstr>'IWP04'!Std3dot2c</vt:lpstr>
      <vt:lpstr>'IWP05'!Std3dot2c</vt:lpstr>
      <vt:lpstr>'IWP06'!Std3dot2c</vt:lpstr>
      <vt:lpstr>'IWP07'!Std3dot2c</vt:lpstr>
      <vt:lpstr>'IWP08'!Std3dot2c</vt:lpstr>
      <vt:lpstr>'IWP09'!Std3dot2c</vt:lpstr>
      <vt:lpstr>'IWP10'!Std3dot2c</vt:lpstr>
      <vt:lpstr>'IWP11'!Std3dot2c</vt:lpstr>
      <vt:lpstr>'IWP12'!Std3dot2c</vt:lpstr>
      <vt:lpstr>'IWP13'!Std3dot2c</vt:lpstr>
      <vt:lpstr>'IWP14'!Std3dot2c</vt:lpstr>
      <vt:lpstr>'IWP15'!Std3dot2c</vt:lpstr>
      <vt:lpstr>'IWP16'!Std3dot2c</vt:lpstr>
      <vt:lpstr>'IWP17'!Std3dot2c</vt:lpstr>
      <vt:lpstr>'IWP18'!Std3dot2c</vt:lpstr>
      <vt:lpstr>'IWP19'!Std3dot2c</vt:lpstr>
      <vt:lpstr>'IWP20'!Std3dot2c</vt:lpstr>
      <vt:lpstr>'IWP21'!Std3dot2c</vt:lpstr>
      <vt:lpstr>'IWP22'!Std3dot2c</vt:lpstr>
      <vt:lpstr>'IWP23'!Std3dot2c</vt:lpstr>
      <vt:lpstr>'IWP24'!Std3dot2c</vt:lpstr>
      <vt:lpstr>'IWP25'!Std3dot2c</vt:lpstr>
      <vt:lpstr>'IWP26'!Std3dot2c</vt:lpstr>
      <vt:lpstr>'IWP27'!Std3dot2c</vt:lpstr>
      <vt:lpstr>'IWP28'!Std3dot2c</vt:lpstr>
      <vt:lpstr>'IWP29'!Std3dot2c</vt:lpstr>
      <vt:lpstr>'IWP30'!Std3dot2c</vt:lpstr>
      <vt:lpstr>'IWP01'!Std3NotCalc</vt:lpstr>
      <vt:lpstr>'IWP02'!Std3NotCalc</vt:lpstr>
      <vt:lpstr>'IWP03'!Std3NotCalc</vt:lpstr>
      <vt:lpstr>'IWP04'!Std3NotCalc</vt:lpstr>
      <vt:lpstr>'IWP05'!Std3NotCalc</vt:lpstr>
      <vt:lpstr>'IWP06'!Std3NotCalc</vt:lpstr>
      <vt:lpstr>'IWP07'!Std3NotCalc</vt:lpstr>
      <vt:lpstr>'IWP08'!Std3NotCalc</vt:lpstr>
      <vt:lpstr>'IWP09'!Std3NotCalc</vt:lpstr>
      <vt:lpstr>'IWP10'!Std3NotCalc</vt:lpstr>
      <vt:lpstr>'IWP11'!Std3NotCalc</vt:lpstr>
      <vt:lpstr>'IWP12'!Std3NotCalc</vt:lpstr>
      <vt:lpstr>'IWP13'!Std3NotCalc</vt:lpstr>
      <vt:lpstr>'IWP14'!Std3NotCalc</vt:lpstr>
      <vt:lpstr>'IWP15'!Std3NotCalc</vt:lpstr>
      <vt:lpstr>'IWP16'!Std3NotCalc</vt:lpstr>
      <vt:lpstr>'IWP17'!Std3NotCalc</vt:lpstr>
      <vt:lpstr>'IWP18'!Std3NotCalc</vt:lpstr>
      <vt:lpstr>'IWP19'!Std3NotCalc</vt:lpstr>
      <vt:lpstr>'IWP20'!Std3NotCalc</vt:lpstr>
      <vt:lpstr>'IWP21'!Std3NotCalc</vt:lpstr>
      <vt:lpstr>'IWP22'!Std3NotCalc</vt:lpstr>
      <vt:lpstr>'IWP23'!Std3NotCalc</vt:lpstr>
      <vt:lpstr>'IWP24'!Std3NotCalc</vt:lpstr>
      <vt:lpstr>'IWP25'!Std3NotCalc</vt:lpstr>
      <vt:lpstr>'IWP26'!Std3NotCalc</vt:lpstr>
      <vt:lpstr>'IWP27'!Std3NotCalc</vt:lpstr>
      <vt:lpstr>'IWP28'!Std3NotCalc</vt:lpstr>
      <vt:lpstr>'IWP29'!Std3NotCalc</vt:lpstr>
      <vt:lpstr>'IWP30'!Std3NotCalc</vt:lpstr>
      <vt:lpstr>'ALRC Compliance Summary (Print)'!Std3Score</vt:lpstr>
      <vt:lpstr>'IWP01'!Std4dot1</vt:lpstr>
      <vt:lpstr>'IWP02'!Std4dot1</vt:lpstr>
      <vt:lpstr>'IWP03'!Std4dot1</vt:lpstr>
      <vt:lpstr>'IWP04'!Std4dot1</vt:lpstr>
      <vt:lpstr>'IWP05'!Std4dot1</vt:lpstr>
      <vt:lpstr>'IWP06'!Std4dot1</vt:lpstr>
      <vt:lpstr>'IWP07'!Std4dot1</vt:lpstr>
      <vt:lpstr>'IWP08'!Std4dot1</vt:lpstr>
      <vt:lpstr>'IWP09'!Std4dot1</vt:lpstr>
      <vt:lpstr>'IWP10'!Std4dot1</vt:lpstr>
      <vt:lpstr>'IWP11'!Std4dot1</vt:lpstr>
      <vt:lpstr>'IWP12'!Std4dot1</vt:lpstr>
      <vt:lpstr>'IWP13'!Std4dot1</vt:lpstr>
      <vt:lpstr>'IWP14'!Std4dot1</vt:lpstr>
      <vt:lpstr>'IWP15'!Std4dot1</vt:lpstr>
      <vt:lpstr>'IWP16'!Std4dot1</vt:lpstr>
      <vt:lpstr>'IWP17'!Std4dot1</vt:lpstr>
      <vt:lpstr>'IWP18'!Std4dot1</vt:lpstr>
      <vt:lpstr>'IWP19'!Std4dot1</vt:lpstr>
      <vt:lpstr>'IWP20'!Std4dot1</vt:lpstr>
      <vt:lpstr>'IWP21'!Std4dot1</vt:lpstr>
      <vt:lpstr>'IWP22'!Std4dot1</vt:lpstr>
      <vt:lpstr>'IWP23'!Std4dot1</vt:lpstr>
      <vt:lpstr>'IWP24'!Std4dot1</vt:lpstr>
      <vt:lpstr>'IWP25'!Std4dot1</vt:lpstr>
      <vt:lpstr>'IWP26'!Std4dot1</vt:lpstr>
      <vt:lpstr>'IWP27'!Std4dot1</vt:lpstr>
      <vt:lpstr>'IWP28'!Std4dot1</vt:lpstr>
      <vt:lpstr>'IWP29'!Std4dot1</vt:lpstr>
      <vt:lpstr>'IWP30'!Std4dot1</vt:lpstr>
      <vt:lpstr>'IWP01'!Std4dot1Month1</vt:lpstr>
      <vt:lpstr>'IWP02'!Std4dot1Month1</vt:lpstr>
      <vt:lpstr>'IWP03'!Std4dot1Month1</vt:lpstr>
      <vt:lpstr>'IWP04'!Std4dot1Month1</vt:lpstr>
      <vt:lpstr>'IWP05'!Std4dot1Month1</vt:lpstr>
      <vt:lpstr>'IWP06'!Std4dot1Month1</vt:lpstr>
      <vt:lpstr>'IWP07'!Std4dot1Month1</vt:lpstr>
      <vt:lpstr>'IWP08'!Std4dot1Month1</vt:lpstr>
      <vt:lpstr>'IWP09'!Std4dot1Month1</vt:lpstr>
      <vt:lpstr>'IWP10'!Std4dot1Month1</vt:lpstr>
      <vt:lpstr>'IWP11'!Std4dot1Month1</vt:lpstr>
      <vt:lpstr>'IWP12'!Std4dot1Month1</vt:lpstr>
      <vt:lpstr>'IWP13'!Std4dot1Month1</vt:lpstr>
      <vt:lpstr>'IWP14'!Std4dot1Month1</vt:lpstr>
      <vt:lpstr>'IWP15'!Std4dot1Month1</vt:lpstr>
      <vt:lpstr>'IWP16'!Std4dot1Month1</vt:lpstr>
      <vt:lpstr>'IWP17'!Std4dot1Month1</vt:lpstr>
      <vt:lpstr>'IWP18'!Std4dot1Month1</vt:lpstr>
      <vt:lpstr>'IWP19'!Std4dot1Month1</vt:lpstr>
      <vt:lpstr>'IWP20'!Std4dot1Month1</vt:lpstr>
      <vt:lpstr>'IWP21'!Std4dot1Month1</vt:lpstr>
      <vt:lpstr>'IWP22'!Std4dot1Month1</vt:lpstr>
      <vt:lpstr>'IWP23'!Std4dot1Month1</vt:lpstr>
      <vt:lpstr>'IWP24'!Std4dot1Month1</vt:lpstr>
      <vt:lpstr>'IWP25'!Std4dot1Month1</vt:lpstr>
      <vt:lpstr>'IWP26'!Std4dot1Month1</vt:lpstr>
      <vt:lpstr>'IWP27'!Std4dot1Month1</vt:lpstr>
      <vt:lpstr>'IWP28'!Std4dot1Month1</vt:lpstr>
      <vt:lpstr>'IWP29'!Std4dot1Month1</vt:lpstr>
      <vt:lpstr>'IWP30'!Std4dot1Month1</vt:lpstr>
      <vt:lpstr>'IWP01'!Std4dot1Month1Date</vt:lpstr>
      <vt:lpstr>'IWP02'!Std4dot1Month1Date</vt:lpstr>
      <vt:lpstr>'IWP03'!Std4dot1Month1Date</vt:lpstr>
      <vt:lpstr>'IWP04'!Std4dot1Month1Date</vt:lpstr>
      <vt:lpstr>'IWP05'!Std4dot1Month1Date</vt:lpstr>
      <vt:lpstr>'IWP06'!Std4dot1Month1Date</vt:lpstr>
      <vt:lpstr>'IWP07'!Std4dot1Month1Date</vt:lpstr>
      <vt:lpstr>'IWP08'!Std4dot1Month1Date</vt:lpstr>
      <vt:lpstr>'IWP09'!Std4dot1Month1Date</vt:lpstr>
      <vt:lpstr>'IWP10'!Std4dot1Month1Date</vt:lpstr>
      <vt:lpstr>'IWP11'!Std4dot1Month1Date</vt:lpstr>
      <vt:lpstr>'IWP12'!Std4dot1Month1Date</vt:lpstr>
      <vt:lpstr>'IWP13'!Std4dot1Month1Date</vt:lpstr>
      <vt:lpstr>'IWP14'!Std4dot1Month1Date</vt:lpstr>
      <vt:lpstr>'IWP15'!Std4dot1Month1Date</vt:lpstr>
      <vt:lpstr>'IWP16'!Std4dot1Month1Date</vt:lpstr>
      <vt:lpstr>'IWP17'!Std4dot1Month1Date</vt:lpstr>
      <vt:lpstr>'IWP18'!Std4dot1Month1Date</vt:lpstr>
      <vt:lpstr>'IWP19'!Std4dot1Month1Date</vt:lpstr>
      <vt:lpstr>'IWP20'!Std4dot1Month1Date</vt:lpstr>
      <vt:lpstr>'IWP21'!Std4dot1Month1Date</vt:lpstr>
      <vt:lpstr>'IWP22'!Std4dot1Month1Date</vt:lpstr>
      <vt:lpstr>'IWP23'!Std4dot1Month1Date</vt:lpstr>
      <vt:lpstr>'IWP24'!Std4dot1Month1Date</vt:lpstr>
      <vt:lpstr>'IWP25'!Std4dot1Month1Date</vt:lpstr>
      <vt:lpstr>'IWP26'!Std4dot1Month1Date</vt:lpstr>
      <vt:lpstr>'IWP27'!Std4dot1Month1Date</vt:lpstr>
      <vt:lpstr>'IWP28'!Std4dot1Month1Date</vt:lpstr>
      <vt:lpstr>'IWP29'!Std4dot1Month1Date</vt:lpstr>
      <vt:lpstr>'IWP30'!Std4dot1Month1Date</vt:lpstr>
      <vt:lpstr>'IWP01'!Std4dot1Month2</vt:lpstr>
      <vt:lpstr>'IWP02'!Std4dot1Month2</vt:lpstr>
      <vt:lpstr>'IWP03'!Std4dot1Month2</vt:lpstr>
      <vt:lpstr>'IWP04'!Std4dot1Month2</vt:lpstr>
      <vt:lpstr>'IWP05'!Std4dot1Month2</vt:lpstr>
      <vt:lpstr>'IWP06'!Std4dot1Month2</vt:lpstr>
      <vt:lpstr>'IWP07'!Std4dot1Month2</vt:lpstr>
      <vt:lpstr>'IWP08'!Std4dot1Month2</vt:lpstr>
      <vt:lpstr>'IWP09'!Std4dot1Month2</vt:lpstr>
      <vt:lpstr>'IWP10'!Std4dot1Month2</vt:lpstr>
      <vt:lpstr>'IWP11'!Std4dot1Month2</vt:lpstr>
      <vt:lpstr>'IWP12'!Std4dot1Month2</vt:lpstr>
      <vt:lpstr>'IWP13'!Std4dot1Month2</vt:lpstr>
      <vt:lpstr>'IWP14'!Std4dot1Month2</vt:lpstr>
      <vt:lpstr>'IWP15'!Std4dot1Month2</vt:lpstr>
      <vt:lpstr>'IWP16'!Std4dot1Month2</vt:lpstr>
      <vt:lpstr>'IWP17'!Std4dot1Month2</vt:lpstr>
      <vt:lpstr>'IWP18'!Std4dot1Month2</vt:lpstr>
      <vt:lpstr>'IWP19'!Std4dot1Month2</vt:lpstr>
      <vt:lpstr>'IWP20'!Std4dot1Month2</vt:lpstr>
      <vt:lpstr>'IWP21'!Std4dot1Month2</vt:lpstr>
      <vt:lpstr>'IWP22'!Std4dot1Month2</vt:lpstr>
      <vt:lpstr>'IWP23'!Std4dot1Month2</vt:lpstr>
      <vt:lpstr>'IWP24'!Std4dot1Month2</vt:lpstr>
      <vt:lpstr>'IWP25'!Std4dot1Month2</vt:lpstr>
      <vt:lpstr>'IWP26'!Std4dot1Month2</vt:lpstr>
      <vt:lpstr>'IWP27'!Std4dot1Month2</vt:lpstr>
      <vt:lpstr>'IWP28'!Std4dot1Month2</vt:lpstr>
      <vt:lpstr>'IWP29'!Std4dot1Month2</vt:lpstr>
      <vt:lpstr>'IWP30'!Std4dot1Month2</vt:lpstr>
      <vt:lpstr>'IWP01'!Std4dot1Month2Date</vt:lpstr>
      <vt:lpstr>'IWP02'!Std4dot1Month2Date</vt:lpstr>
      <vt:lpstr>'IWP03'!Std4dot1Month2Date</vt:lpstr>
      <vt:lpstr>'IWP04'!Std4dot1Month2Date</vt:lpstr>
      <vt:lpstr>'IWP05'!Std4dot1Month2Date</vt:lpstr>
      <vt:lpstr>'IWP06'!Std4dot1Month2Date</vt:lpstr>
      <vt:lpstr>'IWP07'!Std4dot1Month2Date</vt:lpstr>
      <vt:lpstr>'IWP08'!Std4dot1Month2Date</vt:lpstr>
      <vt:lpstr>'IWP09'!Std4dot1Month2Date</vt:lpstr>
      <vt:lpstr>'IWP10'!Std4dot1Month2Date</vt:lpstr>
      <vt:lpstr>'IWP11'!Std4dot1Month2Date</vt:lpstr>
      <vt:lpstr>'IWP12'!Std4dot1Month2Date</vt:lpstr>
      <vt:lpstr>'IWP13'!Std4dot1Month2Date</vt:lpstr>
      <vt:lpstr>'IWP14'!Std4dot1Month2Date</vt:lpstr>
      <vt:lpstr>'IWP15'!Std4dot1Month2Date</vt:lpstr>
      <vt:lpstr>'IWP16'!Std4dot1Month2Date</vt:lpstr>
      <vt:lpstr>'IWP17'!Std4dot1Month2Date</vt:lpstr>
      <vt:lpstr>'IWP18'!Std4dot1Month2Date</vt:lpstr>
      <vt:lpstr>'IWP19'!Std4dot1Month2Date</vt:lpstr>
      <vt:lpstr>'IWP20'!Std4dot1Month2Date</vt:lpstr>
      <vt:lpstr>'IWP21'!Std4dot1Month2Date</vt:lpstr>
      <vt:lpstr>'IWP22'!Std4dot1Month2Date</vt:lpstr>
      <vt:lpstr>'IWP23'!Std4dot1Month2Date</vt:lpstr>
      <vt:lpstr>'IWP24'!Std4dot1Month2Date</vt:lpstr>
      <vt:lpstr>'IWP25'!Std4dot1Month2Date</vt:lpstr>
      <vt:lpstr>'IWP26'!Std4dot1Month2Date</vt:lpstr>
      <vt:lpstr>'IWP27'!Std4dot1Month2Date</vt:lpstr>
      <vt:lpstr>'IWP28'!Std4dot1Month2Date</vt:lpstr>
      <vt:lpstr>'IWP29'!Std4dot1Month2Date</vt:lpstr>
      <vt:lpstr>'IWP30'!Std4dot1Month2Date</vt:lpstr>
      <vt:lpstr>'IWP01'!Std4dot2</vt:lpstr>
      <vt:lpstr>'IWP02'!Std4dot2</vt:lpstr>
      <vt:lpstr>'IWP03'!Std4dot2</vt:lpstr>
      <vt:lpstr>'IWP04'!Std4dot2</vt:lpstr>
      <vt:lpstr>'IWP05'!Std4dot2</vt:lpstr>
      <vt:lpstr>'IWP06'!Std4dot2</vt:lpstr>
      <vt:lpstr>'IWP07'!Std4dot2</vt:lpstr>
      <vt:lpstr>'IWP08'!Std4dot2</vt:lpstr>
      <vt:lpstr>'IWP09'!Std4dot2</vt:lpstr>
      <vt:lpstr>'IWP10'!Std4dot2</vt:lpstr>
      <vt:lpstr>'IWP11'!Std4dot2</vt:lpstr>
      <vt:lpstr>'IWP12'!Std4dot2</vt:lpstr>
      <vt:lpstr>'IWP13'!Std4dot2</vt:lpstr>
      <vt:lpstr>'IWP14'!Std4dot2</vt:lpstr>
      <vt:lpstr>'IWP15'!Std4dot2</vt:lpstr>
      <vt:lpstr>'IWP16'!Std4dot2</vt:lpstr>
      <vt:lpstr>'IWP17'!Std4dot2</vt:lpstr>
      <vt:lpstr>'IWP18'!Std4dot2</vt:lpstr>
      <vt:lpstr>'IWP19'!Std4dot2</vt:lpstr>
      <vt:lpstr>'IWP20'!Std4dot2</vt:lpstr>
      <vt:lpstr>'IWP21'!Std4dot2</vt:lpstr>
      <vt:lpstr>'IWP22'!Std4dot2</vt:lpstr>
      <vt:lpstr>'IWP23'!Std4dot2</vt:lpstr>
      <vt:lpstr>'IWP24'!Std4dot2</vt:lpstr>
      <vt:lpstr>'IWP25'!Std4dot2</vt:lpstr>
      <vt:lpstr>'IWP26'!Std4dot2</vt:lpstr>
      <vt:lpstr>'IWP27'!Std4dot2</vt:lpstr>
      <vt:lpstr>'IWP28'!Std4dot2</vt:lpstr>
      <vt:lpstr>'IWP29'!Std4dot2</vt:lpstr>
      <vt:lpstr>'IWP30'!Std4dot2</vt:lpstr>
      <vt:lpstr>'IWP01'!Std4dot2Dates</vt:lpstr>
      <vt:lpstr>'IWP02'!Std4dot2Dates</vt:lpstr>
      <vt:lpstr>'IWP03'!Std4dot2Dates</vt:lpstr>
      <vt:lpstr>'IWP04'!Std4dot2Dates</vt:lpstr>
      <vt:lpstr>'IWP05'!Std4dot2Dates</vt:lpstr>
      <vt:lpstr>'IWP06'!Std4dot2Dates</vt:lpstr>
      <vt:lpstr>'IWP07'!Std4dot2Dates</vt:lpstr>
      <vt:lpstr>'IWP08'!Std4dot2Dates</vt:lpstr>
      <vt:lpstr>'IWP09'!Std4dot2Dates</vt:lpstr>
      <vt:lpstr>'IWP10'!Std4dot2Dates</vt:lpstr>
      <vt:lpstr>'IWP11'!Std4dot2Dates</vt:lpstr>
      <vt:lpstr>'IWP12'!Std4dot2Dates</vt:lpstr>
      <vt:lpstr>'IWP13'!Std4dot2Dates</vt:lpstr>
      <vt:lpstr>'IWP14'!Std4dot2Dates</vt:lpstr>
      <vt:lpstr>'IWP15'!Std4dot2Dates</vt:lpstr>
      <vt:lpstr>'IWP16'!Std4dot2Dates</vt:lpstr>
      <vt:lpstr>'IWP17'!Std4dot2Dates</vt:lpstr>
      <vt:lpstr>'IWP18'!Std4dot2Dates</vt:lpstr>
      <vt:lpstr>'IWP19'!Std4dot2Dates</vt:lpstr>
      <vt:lpstr>'IWP20'!Std4dot2Dates</vt:lpstr>
      <vt:lpstr>'IWP21'!Std4dot2Dates</vt:lpstr>
      <vt:lpstr>'IWP22'!Std4dot2Dates</vt:lpstr>
      <vt:lpstr>'IWP23'!Std4dot2Dates</vt:lpstr>
      <vt:lpstr>'IWP24'!Std4dot2Dates</vt:lpstr>
      <vt:lpstr>'IWP25'!Std4dot2Dates</vt:lpstr>
      <vt:lpstr>'IWP26'!Std4dot2Dates</vt:lpstr>
      <vt:lpstr>'IWP27'!Std4dot2Dates</vt:lpstr>
      <vt:lpstr>'IWP28'!Std4dot2Dates</vt:lpstr>
      <vt:lpstr>'IWP29'!Std4dot2Dates</vt:lpstr>
      <vt:lpstr>'IWP30'!Std4dot2Dates</vt:lpstr>
      <vt:lpstr>'IWP01'!Std4dot2NotCalc</vt:lpstr>
      <vt:lpstr>'IWP02'!Std4dot2NotCalc</vt:lpstr>
      <vt:lpstr>'IWP03'!Std4dot2NotCalc</vt:lpstr>
      <vt:lpstr>'IWP04'!Std4dot2NotCalc</vt:lpstr>
      <vt:lpstr>'IWP05'!Std4dot2NotCalc</vt:lpstr>
      <vt:lpstr>'IWP06'!Std4dot2NotCalc</vt:lpstr>
      <vt:lpstr>'IWP07'!Std4dot2NotCalc</vt:lpstr>
      <vt:lpstr>'IWP08'!Std4dot2NotCalc</vt:lpstr>
      <vt:lpstr>'IWP09'!Std4dot2NotCalc</vt:lpstr>
      <vt:lpstr>'IWP10'!Std4dot2NotCalc</vt:lpstr>
      <vt:lpstr>'IWP11'!Std4dot2NotCalc</vt:lpstr>
      <vt:lpstr>'IWP12'!Std4dot2NotCalc</vt:lpstr>
      <vt:lpstr>'IWP13'!Std4dot2NotCalc</vt:lpstr>
      <vt:lpstr>'IWP14'!Std4dot2NotCalc</vt:lpstr>
      <vt:lpstr>'IWP15'!Std4dot2NotCalc</vt:lpstr>
      <vt:lpstr>'IWP16'!Std4dot2NotCalc</vt:lpstr>
      <vt:lpstr>'IWP17'!Std4dot2NotCalc</vt:lpstr>
      <vt:lpstr>'IWP18'!Std4dot2NotCalc</vt:lpstr>
      <vt:lpstr>'IWP19'!Std4dot2NotCalc</vt:lpstr>
      <vt:lpstr>'IWP20'!Std4dot2NotCalc</vt:lpstr>
      <vt:lpstr>'IWP21'!Std4dot2NotCalc</vt:lpstr>
      <vt:lpstr>'IWP22'!Std4dot2NotCalc</vt:lpstr>
      <vt:lpstr>'IWP23'!Std4dot2NotCalc</vt:lpstr>
      <vt:lpstr>'IWP24'!Std4dot2NotCalc</vt:lpstr>
      <vt:lpstr>'IWP25'!Std4dot2NotCalc</vt:lpstr>
      <vt:lpstr>'IWP26'!Std4dot2NotCalc</vt:lpstr>
      <vt:lpstr>'IWP27'!Std4dot2NotCalc</vt:lpstr>
      <vt:lpstr>'IWP28'!Std4dot2NotCalc</vt:lpstr>
      <vt:lpstr>'IWP29'!Std4dot2NotCalc</vt:lpstr>
      <vt:lpstr>'IWP30'!Std4dot2NotCalc</vt:lpstr>
      <vt:lpstr>'IWP01'!Std4dot3</vt:lpstr>
      <vt:lpstr>'IWP02'!Std4dot3</vt:lpstr>
      <vt:lpstr>'IWP03'!Std4dot3</vt:lpstr>
      <vt:lpstr>'IWP04'!Std4dot3</vt:lpstr>
      <vt:lpstr>'IWP05'!Std4dot3</vt:lpstr>
      <vt:lpstr>'IWP06'!Std4dot3</vt:lpstr>
      <vt:lpstr>'IWP07'!Std4dot3</vt:lpstr>
      <vt:lpstr>'IWP08'!Std4dot3</vt:lpstr>
      <vt:lpstr>'IWP09'!Std4dot3</vt:lpstr>
      <vt:lpstr>'IWP10'!Std4dot3</vt:lpstr>
      <vt:lpstr>'IWP11'!Std4dot3</vt:lpstr>
      <vt:lpstr>'IWP12'!Std4dot3</vt:lpstr>
      <vt:lpstr>'IWP13'!Std4dot3</vt:lpstr>
      <vt:lpstr>'IWP14'!Std4dot3</vt:lpstr>
      <vt:lpstr>'IWP15'!Std4dot3</vt:lpstr>
      <vt:lpstr>'IWP16'!Std4dot3</vt:lpstr>
      <vt:lpstr>'IWP17'!Std4dot3</vt:lpstr>
      <vt:lpstr>'IWP18'!Std4dot3</vt:lpstr>
      <vt:lpstr>'IWP19'!Std4dot3</vt:lpstr>
      <vt:lpstr>'IWP20'!Std4dot3</vt:lpstr>
      <vt:lpstr>'IWP21'!Std4dot3</vt:lpstr>
      <vt:lpstr>'IWP22'!Std4dot3</vt:lpstr>
      <vt:lpstr>'IWP23'!Std4dot3</vt:lpstr>
      <vt:lpstr>'IWP24'!Std4dot3</vt:lpstr>
      <vt:lpstr>'IWP25'!Std4dot3</vt:lpstr>
      <vt:lpstr>'IWP26'!Std4dot3</vt:lpstr>
      <vt:lpstr>'IWP27'!Std4dot3</vt:lpstr>
      <vt:lpstr>'IWP28'!Std4dot3</vt:lpstr>
      <vt:lpstr>'IWP29'!Std4dot3</vt:lpstr>
      <vt:lpstr>'IWP30'!Std4dot3</vt:lpstr>
      <vt:lpstr>'IWP01'!Std4dot4</vt:lpstr>
      <vt:lpstr>'IWP02'!Std4dot4</vt:lpstr>
      <vt:lpstr>'IWP03'!Std4dot4</vt:lpstr>
      <vt:lpstr>'IWP04'!Std4dot4</vt:lpstr>
      <vt:lpstr>'IWP05'!Std4dot4</vt:lpstr>
      <vt:lpstr>'IWP06'!Std4dot4</vt:lpstr>
      <vt:lpstr>'IWP07'!Std4dot4</vt:lpstr>
      <vt:lpstr>'IWP08'!Std4dot4</vt:lpstr>
      <vt:lpstr>'IWP09'!Std4dot4</vt:lpstr>
      <vt:lpstr>'IWP10'!Std4dot4</vt:lpstr>
      <vt:lpstr>'IWP11'!Std4dot4</vt:lpstr>
      <vt:lpstr>'IWP12'!Std4dot4</vt:lpstr>
      <vt:lpstr>'IWP13'!Std4dot4</vt:lpstr>
      <vt:lpstr>'IWP14'!Std4dot4</vt:lpstr>
      <vt:lpstr>'IWP15'!Std4dot4</vt:lpstr>
      <vt:lpstr>'IWP16'!Std4dot4</vt:lpstr>
      <vt:lpstr>'IWP17'!Std4dot4</vt:lpstr>
      <vt:lpstr>'IWP18'!Std4dot4</vt:lpstr>
      <vt:lpstr>'IWP19'!Std4dot4</vt:lpstr>
      <vt:lpstr>'IWP20'!Std4dot4</vt:lpstr>
      <vt:lpstr>'IWP21'!Std4dot4</vt:lpstr>
      <vt:lpstr>'IWP22'!Std4dot4</vt:lpstr>
      <vt:lpstr>'IWP23'!Std4dot4</vt:lpstr>
      <vt:lpstr>'IWP24'!Std4dot4</vt:lpstr>
      <vt:lpstr>'IWP25'!Std4dot4</vt:lpstr>
      <vt:lpstr>'IWP26'!Std4dot4</vt:lpstr>
      <vt:lpstr>'IWP27'!Std4dot4</vt:lpstr>
      <vt:lpstr>'IWP28'!Std4dot4</vt:lpstr>
      <vt:lpstr>'IWP29'!Std4dot4</vt:lpstr>
      <vt:lpstr>'IWP30'!Std4dot4</vt:lpstr>
      <vt:lpstr>'ALRC Compliance Summary (Print)'!Std4Score</vt:lpstr>
      <vt:lpstr>'IWP01'!Std5dot1</vt:lpstr>
      <vt:lpstr>'IWP02'!Std5dot1</vt:lpstr>
      <vt:lpstr>'IWP03'!Std5dot1</vt:lpstr>
      <vt:lpstr>'IWP04'!Std5dot1</vt:lpstr>
      <vt:lpstr>'IWP05'!Std5dot1</vt:lpstr>
      <vt:lpstr>'IWP06'!Std5dot1</vt:lpstr>
      <vt:lpstr>'IWP07'!Std5dot1</vt:lpstr>
      <vt:lpstr>'IWP08'!Std5dot1</vt:lpstr>
      <vt:lpstr>'IWP09'!Std5dot1</vt:lpstr>
      <vt:lpstr>'IWP10'!Std5dot1</vt:lpstr>
      <vt:lpstr>'IWP11'!Std5dot1</vt:lpstr>
      <vt:lpstr>'IWP12'!Std5dot1</vt:lpstr>
      <vt:lpstr>'IWP13'!Std5dot1</vt:lpstr>
      <vt:lpstr>'IWP14'!Std5dot1</vt:lpstr>
      <vt:lpstr>'IWP15'!Std5dot1</vt:lpstr>
      <vt:lpstr>'IWP16'!Std5dot1</vt:lpstr>
      <vt:lpstr>'IWP17'!Std5dot1</vt:lpstr>
      <vt:lpstr>'IWP18'!Std5dot1</vt:lpstr>
      <vt:lpstr>'IWP19'!Std5dot1</vt:lpstr>
      <vt:lpstr>'IWP20'!Std5dot1</vt:lpstr>
      <vt:lpstr>'IWP21'!Std5dot1</vt:lpstr>
      <vt:lpstr>'IWP22'!Std5dot1</vt:lpstr>
      <vt:lpstr>'IWP23'!Std5dot1</vt:lpstr>
      <vt:lpstr>'IWP24'!Std5dot1</vt:lpstr>
      <vt:lpstr>'IWP25'!Std5dot1</vt:lpstr>
      <vt:lpstr>'IWP26'!Std5dot1</vt:lpstr>
      <vt:lpstr>'IWP27'!Std5dot1</vt:lpstr>
      <vt:lpstr>'IWP28'!Std5dot1</vt:lpstr>
      <vt:lpstr>'IWP29'!Std5dot1</vt:lpstr>
      <vt:lpstr>'IWP30'!Std5dot1</vt:lpstr>
      <vt:lpstr>'IWP01'!Std5NotCalc</vt:lpstr>
      <vt:lpstr>'IWP02'!Std5NotCalc</vt:lpstr>
      <vt:lpstr>'IWP03'!Std5NotCalc</vt:lpstr>
      <vt:lpstr>'IWP04'!Std5NotCalc</vt:lpstr>
      <vt:lpstr>'IWP05'!Std5NotCalc</vt:lpstr>
      <vt:lpstr>'IWP06'!Std5NotCalc</vt:lpstr>
      <vt:lpstr>'IWP07'!Std5NotCalc</vt:lpstr>
      <vt:lpstr>'IWP08'!Std5NotCalc</vt:lpstr>
      <vt:lpstr>'IWP09'!Std5NotCalc</vt:lpstr>
      <vt:lpstr>'IWP10'!Std5NotCalc</vt:lpstr>
      <vt:lpstr>'IWP11'!Std5NotCalc</vt:lpstr>
      <vt:lpstr>'IWP12'!Std5NotCalc</vt:lpstr>
      <vt:lpstr>'IWP13'!Std5NotCalc</vt:lpstr>
      <vt:lpstr>'IWP14'!Std5NotCalc</vt:lpstr>
      <vt:lpstr>'IWP15'!Std5NotCalc</vt:lpstr>
      <vt:lpstr>'IWP16'!Std5NotCalc</vt:lpstr>
      <vt:lpstr>'IWP17'!Std5NotCalc</vt:lpstr>
      <vt:lpstr>'IWP18'!Std5NotCalc</vt:lpstr>
      <vt:lpstr>'IWP19'!Std5NotCalc</vt:lpstr>
      <vt:lpstr>'IWP20'!Std5NotCalc</vt:lpstr>
      <vt:lpstr>'IWP21'!Std5NotCalc</vt:lpstr>
      <vt:lpstr>'IWP22'!Std5NotCalc</vt:lpstr>
      <vt:lpstr>'IWP23'!Std5NotCalc</vt:lpstr>
      <vt:lpstr>'IWP24'!Std5NotCalc</vt:lpstr>
      <vt:lpstr>'IWP25'!Std5NotCalc</vt:lpstr>
      <vt:lpstr>'IWP26'!Std5NotCalc</vt:lpstr>
      <vt:lpstr>'IWP27'!Std5NotCalc</vt:lpstr>
      <vt:lpstr>'IWP28'!Std5NotCalc</vt:lpstr>
      <vt:lpstr>'IWP29'!Std5NotCalc</vt:lpstr>
      <vt:lpstr>'IWP30'!Std5NotCalc</vt:lpstr>
      <vt:lpstr>'ALRC Compliance Summary (Print)'!Std5Score</vt:lpstr>
      <vt:lpstr>Std6dot1NotCalc</vt:lpstr>
      <vt:lpstr>'ALRC Compliance Summary (Print)'!Std6Score</vt:lpstr>
      <vt:lpstr>'IWP01'!Std7dot1</vt:lpstr>
      <vt:lpstr>'IWP02'!Std7dot1</vt:lpstr>
      <vt:lpstr>'IWP03'!Std7dot1</vt:lpstr>
      <vt:lpstr>'IWP04'!Std7dot1</vt:lpstr>
      <vt:lpstr>'IWP05'!Std7dot1</vt:lpstr>
      <vt:lpstr>'IWP06'!Std7dot1</vt:lpstr>
      <vt:lpstr>'IWP07'!Std7dot1</vt:lpstr>
      <vt:lpstr>'IWP08'!Std7dot1</vt:lpstr>
      <vt:lpstr>'IWP09'!Std7dot1</vt:lpstr>
      <vt:lpstr>'IWP10'!Std7dot1</vt:lpstr>
      <vt:lpstr>'IWP11'!Std7dot1</vt:lpstr>
      <vt:lpstr>'IWP12'!Std7dot1</vt:lpstr>
      <vt:lpstr>'IWP13'!Std7dot1</vt:lpstr>
      <vt:lpstr>'IWP14'!Std7dot1</vt:lpstr>
      <vt:lpstr>'IWP15'!Std7dot1</vt:lpstr>
      <vt:lpstr>'IWP16'!Std7dot1</vt:lpstr>
      <vt:lpstr>'IWP17'!Std7dot1</vt:lpstr>
      <vt:lpstr>'IWP18'!Std7dot1</vt:lpstr>
      <vt:lpstr>'IWP19'!Std7dot1</vt:lpstr>
      <vt:lpstr>'IWP20'!Std7dot1</vt:lpstr>
      <vt:lpstr>'IWP21'!Std7dot1</vt:lpstr>
      <vt:lpstr>'IWP22'!Std7dot1</vt:lpstr>
      <vt:lpstr>'IWP23'!Std7dot1</vt:lpstr>
      <vt:lpstr>'IWP24'!Std7dot1</vt:lpstr>
      <vt:lpstr>'IWP25'!Std7dot1</vt:lpstr>
      <vt:lpstr>'IWP26'!Std7dot1</vt:lpstr>
      <vt:lpstr>'IWP27'!Std7dot1</vt:lpstr>
      <vt:lpstr>'IWP28'!Std7dot1</vt:lpstr>
      <vt:lpstr>'IWP29'!Std7dot1</vt:lpstr>
      <vt:lpstr>'IWP30'!Std7dot1</vt:lpstr>
      <vt:lpstr>'IWP01'!Std7dot1AdjBal</vt:lpstr>
      <vt:lpstr>'IWP02'!Std7dot1AdjBal</vt:lpstr>
      <vt:lpstr>'IWP03'!Std7dot1AdjBal</vt:lpstr>
      <vt:lpstr>'IWP04'!Std7dot1AdjBal</vt:lpstr>
      <vt:lpstr>'IWP05'!Std7dot1AdjBal</vt:lpstr>
      <vt:lpstr>'IWP06'!Std7dot1AdjBal</vt:lpstr>
      <vt:lpstr>'IWP07'!Std7dot1AdjBal</vt:lpstr>
      <vt:lpstr>'IWP08'!Std7dot1AdjBal</vt:lpstr>
      <vt:lpstr>'IWP09'!Std7dot1AdjBal</vt:lpstr>
      <vt:lpstr>'IWP10'!Std7dot1AdjBal</vt:lpstr>
      <vt:lpstr>'IWP11'!Std7dot1AdjBal</vt:lpstr>
      <vt:lpstr>'IWP12'!Std7dot1AdjBal</vt:lpstr>
      <vt:lpstr>'IWP13'!Std7dot1AdjBal</vt:lpstr>
      <vt:lpstr>'IWP14'!Std7dot1AdjBal</vt:lpstr>
      <vt:lpstr>'IWP15'!Std7dot1AdjBal</vt:lpstr>
      <vt:lpstr>'IWP16'!Std7dot1AdjBal</vt:lpstr>
      <vt:lpstr>'IWP17'!Std7dot1AdjBal</vt:lpstr>
      <vt:lpstr>'IWP18'!Std7dot1AdjBal</vt:lpstr>
      <vt:lpstr>'IWP19'!Std7dot1AdjBal</vt:lpstr>
      <vt:lpstr>'IWP20'!Std7dot1AdjBal</vt:lpstr>
      <vt:lpstr>'IWP21'!Std7dot1AdjBal</vt:lpstr>
      <vt:lpstr>'IWP22'!Std7dot1AdjBal</vt:lpstr>
      <vt:lpstr>'IWP23'!Std7dot1AdjBal</vt:lpstr>
      <vt:lpstr>'IWP24'!Std7dot1AdjBal</vt:lpstr>
      <vt:lpstr>'IWP25'!Std7dot1AdjBal</vt:lpstr>
      <vt:lpstr>'IWP26'!Std7dot1AdjBal</vt:lpstr>
      <vt:lpstr>'IWP27'!Std7dot1AdjBal</vt:lpstr>
      <vt:lpstr>'IWP28'!Std7dot1AdjBal</vt:lpstr>
      <vt:lpstr>'IWP29'!Std7dot1AdjBal</vt:lpstr>
      <vt:lpstr>'IWP30'!Std7dot1AdjBal</vt:lpstr>
      <vt:lpstr>'IWP01'!Std7dot1BalPerCshLog</vt:lpstr>
      <vt:lpstr>'IWP02'!Std7dot1BalPerCshLog</vt:lpstr>
      <vt:lpstr>'IWP03'!Std7dot1BalPerCshLog</vt:lpstr>
      <vt:lpstr>'IWP04'!Std7dot1BalPerCshLog</vt:lpstr>
      <vt:lpstr>'IWP05'!Std7dot1BalPerCshLog</vt:lpstr>
      <vt:lpstr>'IWP06'!Std7dot1BalPerCshLog</vt:lpstr>
      <vt:lpstr>'IWP07'!Std7dot1BalPerCshLog</vt:lpstr>
      <vt:lpstr>'IWP08'!Std7dot1BalPerCshLog</vt:lpstr>
      <vt:lpstr>'IWP09'!Std7dot1BalPerCshLog</vt:lpstr>
      <vt:lpstr>'IWP10'!Std7dot1BalPerCshLog</vt:lpstr>
      <vt:lpstr>'IWP11'!Std7dot1BalPerCshLog</vt:lpstr>
      <vt:lpstr>'IWP12'!Std7dot1BalPerCshLog</vt:lpstr>
      <vt:lpstr>'IWP13'!Std7dot1BalPerCshLog</vt:lpstr>
      <vt:lpstr>'IWP14'!Std7dot1BalPerCshLog</vt:lpstr>
      <vt:lpstr>'IWP15'!Std7dot1BalPerCshLog</vt:lpstr>
      <vt:lpstr>'IWP16'!Std7dot1BalPerCshLog</vt:lpstr>
      <vt:lpstr>'IWP17'!Std7dot1BalPerCshLog</vt:lpstr>
      <vt:lpstr>'IWP18'!Std7dot1BalPerCshLog</vt:lpstr>
      <vt:lpstr>'IWP19'!Std7dot1BalPerCshLog</vt:lpstr>
      <vt:lpstr>'IWP20'!Std7dot1BalPerCshLog</vt:lpstr>
      <vt:lpstr>'IWP21'!Std7dot1BalPerCshLog</vt:lpstr>
      <vt:lpstr>'IWP22'!Std7dot1BalPerCshLog</vt:lpstr>
      <vt:lpstr>'IWP23'!Std7dot1BalPerCshLog</vt:lpstr>
      <vt:lpstr>'IWP24'!Std7dot1BalPerCshLog</vt:lpstr>
      <vt:lpstr>'IWP25'!Std7dot1BalPerCshLog</vt:lpstr>
      <vt:lpstr>'IWP26'!Std7dot1BalPerCshLog</vt:lpstr>
      <vt:lpstr>'IWP27'!Std7dot1BalPerCshLog</vt:lpstr>
      <vt:lpstr>'IWP28'!Std7dot1BalPerCshLog</vt:lpstr>
      <vt:lpstr>'IWP29'!Std7dot1BalPerCshLog</vt:lpstr>
      <vt:lpstr>'IWP30'!Std7dot1BalPerCshLog</vt:lpstr>
      <vt:lpstr>'IWP01'!Std7dot1CshOnHand</vt:lpstr>
      <vt:lpstr>'IWP02'!Std7dot1CshOnHand</vt:lpstr>
      <vt:lpstr>'IWP03'!Std7dot1CshOnHand</vt:lpstr>
      <vt:lpstr>'IWP04'!Std7dot1CshOnHand</vt:lpstr>
      <vt:lpstr>'IWP05'!Std7dot1CshOnHand</vt:lpstr>
      <vt:lpstr>'IWP06'!Std7dot1CshOnHand</vt:lpstr>
      <vt:lpstr>'IWP07'!Std7dot1CshOnHand</vt:lpstr>
      <vt:lpstr>'IWP08'!Std7dot1CshOnHand</vt:lpstr>
      <vt:lpstr>'IWP09'!Std7dot1CshOnHand</vt:lpstr>
      <vt:lpstr>'IWP10'!Std7dot1CshOnHand</vt:lpstr>
      <vt:lpstr>'IWP11'!Std7dot1CshOnHand</vt:lpstr>
      <vt:lpstr>'IWP12'!Std7dot1CshOnHand</vt:lpstr>
      <vt:lpstr>'IWP13'!Std7dot1CshOnHand</vt:lpstr>
      <vt:lpstr>'IWP14'!Std7dot1CshOnHand</vt:lpstr>
      <vt:lpstr>'IWP15'!Std7dot1CshOnHand</vt:lpstr>
      <vt:lpstr>'IWP16'!Std7dot1CshOnHand</vt:lpstr>
      <vt:lpstr>'IWP17'!Std7dot1CshOnHand</vt:lpstr>
      <vt:lpstr>'IWP18'!Std7dot1CshOnHand</vt:lpstr>
      <vt:lpstr>'IWP19'!Std7dot1CshOnHand</vt:lpstr>
      <vt:lpstr>'IWP20'!Std7dot1CshOnHand</vt:lpstr>
      <vt:lpstr>'IWP21'!Std7dot1CshOnHand</vt:lpstr>
      <vt:lpstr>'IWP22'!Std7dot1CshOnHand</vt:lpstr>
      <vt:lpstr>'IWP23'!Std7dot1CshOnHand</vt:lpstr>
      <vt:lpstr>'IWP24'!Std7dot1CshOnHand</vt:lpstr>
      <vt:lpstr>'IWP25'!Std7dot1CshOnHand</vt:lpstr>
      <vt:lpstr>'IWP26'!Std7dot1CshOnHand</vt:lpstr>
      <vt:lpstr>'IWP27'!Std7dot1CshOnHand</vt:lpstr>
      <vt:lpstr>'IWP28'!Std7dot1CshOnHand</vt:lpstr>
      <vt:lpstr>'IWP29'!Std7dot1CshOnHand</vt:lpstr>
      <vt:lpstr>'IWP30'!Std7dot1CshOnHand</vt:lpstr>
      <vt:lpstr>'IWP01'!Std7dot1LessAdj</vt:lpstr>
      <vt:lpstr>'IWP02'!Std7dot1LessAdj</vt:lpstr>
      <vt:lpstr>'IWP03'!Std7dot1LessAdj</vt:lpstr>
      <vt:lpstr>'IWP04'!Std7dot1LessAdj</vt:lpstr>
      <vt:lpstr>'IWP05'!Std7dot1LessAdj</vt:lpstr>
      <vt:lpstr>'IWP06'!Std7dot1LessAdj</vt:lpstr>
      <vt:lpstr>'IWP07'!Std7dot1LessAdj</vt:lpstr>
      <vt:lpstr>'IWP08'!Std7dot1LessAdj</vt:lpstr>
      <vt:lpstr>'IWP09'!Std7dot1LessAdj</vt:lpstr>
      <vt:lpstr>'IWP10'!Std7dot1LessAdj</vt:lpstr>
      <vt:lpstr>'IWP11'!Std7dot1LessAdj</vt:lpstr>
      <vt:lpstr>'IWP12'!Std7dot1LessAdj</vt:lpstr>
      <vt:lpstr>'IWP13'!Std7dot1LessAdj</vt:lpstr>
      <vt:lpstr>'IWP14'!Std7dot1LessAdj</vt:lpstr>
      <vt:lpstr>'IWP15'!Std7dot1LessAdj</vt:lpstr>
      <vt:lpstr>'IWP16'!Std7dot1LessAdj</vt:lpstr>
      <vt:lpstr>'IWP17'!Std7dot1LessAdj</vt:lpstr>
      <vt:lpstr>'IWP18'!Std7dot1LessAdj</vt:lpstr>
      <vt:lpstr>'IWP19'!Std7dot1LessAdj</vt:lpstr>
      <vt:lpstr>'IWP20'!Std7dot1LessAdj</vt:lpstr>
      <vt:lpstr>'IWP21'!Std7dot1LessAdj</vt:lpstr>
      <vt:lpstr>'IWP22'!Std7dot1LessAdj</vt:lpstr>
      <vt:lpstr>'IWP23'!Std7dot1LessAdj</vt:lpstr>
      <vt:lpstr>'IWP24'!Std7dot1LessAdj</vt:lpstr>
      <vt:lpstr>'IWP25'!Std7dot1LessAdj</vt:lpstr>
      <vt:lpstr>'IWP26'!Std7dot1LessAdj</vt:lpstr>
      <vt:lpstr>'IWP27'!Std7dot1LessAdj</vt:lpstr>
      <vt:lpstr>'IWP28'!Std7dot1LessAdj</vt:lpstr>
      <vt:lpstr>'IWP29'!Std7dot1LessAdj</vt:lpstr>
      <vt:lpstr>'IWP30'!Std7dot1LessAdj</vt:lpstr>
      <vt:lpstr>'IWP01'!Std7dot1NotCalc</vt:lpstr>
      <vt:lpstr>'IWP02'!Std7dot1NotCalc</vt:lpstr>
      <vt:lpstr>'IWP03'!Std7dot1NotCalc</vt:lpstr>
      <vt:lpstr>'IWP04'!Std7dot1NotCalc</vt:lpstr>
      <vt:lpstr>'IWP05'!Std7dot1NotCalc</vt:lpstr>
      <vt:lpstr>'IWP06'!Std7dot1NotCalc</vt:lpstr>
      <vt:lpstr>'IWP07'!Std7dot1NotCalc</vt:lpstr>
      <vt:lpstr>'IWP08'!Std7dot1NotCalc</vt:lpstr>
      <vt:lpstr>'IWP09'!Std7dot1NotCalc</vt:lpstr>
      <vt:lpstr>'IWP10'!Std7dot1NotCalc</vt:lpstr>
      <vt:lpstr>'IWP11'!Std7dot1NotCalc</vt:lpstr>
      <vt:lpstr>'IWP12'!Std7dot1NotCalc</vt:lpstr>
      <vt:lpstr>'IWP13'!Std7dot1NotCalc</vt:lpstr>
      <vt:lpstr>'IWP14'!Std7dot1NotCalc</vt:lpstr>
      <vt:lpstr>'IWP15'!Std7dot1NotCalc</vt:lpstr>
      <vt:lpstr>'IWP16'!Std7dot1NotCalc</vt:lpstr>
      <vt:lpstr>'IWP17'!Std7dot1NotCalc</vt:lpstr>
      <vt:lpstr>'IWP18'!Std7dot1NotCalc</vt:lpstr>
      <vt:lpstr>'IWP19'!Std7dot1NotCalc</vt:lpstr>
      <vt:lpstr>'IWP20'!Std7dot1NotCalc</vt:lpstr>
      <vt:lpstr>'IWP21'!Std7dot1NotCalc</vt:lpstr>
      <vt:lpstr>'IWP22'!Std7dot1NotCalc</vt:lpstr>
      <vt:lpstr>'IWP23'!Std7dot1NotCalc</vt:lpstr>
      <vt:lpstr>'IWP24'!Std7dot1NotCalc</vt:lpstr>
      <vt:lpstr>'IWP25'!Std7dot1NotCalc</vt:lpstr>
      <vt:lpstr>'IWP26'!Std7dot1NotCalc</vt:lpstr>
      <vt:lpstr>'IWP27'!Std7dot1NotCalc</vt:lpstr>
      <vt:lpstr>'IWP28'!Std7dot1NotCalc</vt:lpstr>
      <vt:lpstr>'IWP29'!Std7dot1NotCalc</vt:lpstr>
      <vt:lpstr>'IWP30'!Std7dot1NotCalc</vt:lpstr>
      <vt:lpstr>'IWP01'!Std7dot1OvrShrtCorr</vt:lpstr>
      <vt:lpstr>'IWP02'!Std7dot1OvrShrtCorr</vt:lpstr>
      <vt:lpstr>'IWP03'!Std7dot1OvrShrtCorr</vt:lpstr>
      <vt:lpstr>'IWP04'!Std7dot1OvrShrtCorr</vt:lpstr>
      <vt:lpstr>'IWP05'!Std7dot1OvrShrtCorr</vt:lpstr>
      <vt:lpstr>'IWP06'!Std7dot1OvrShrtCorr</vt:lpstr>
      <vt:lpstr>'IWP07'!Std7dot1OvrShrtCorr</vt:lpstr>
      <vt:lpstr>'IWP08'!Std7dot1OvrShrtCorr</vt:lpstr>
      <vt:lpstr>'IWP09'!Std7dot1OvrShrtCorr</vt:lpstr>
      <vt:lpstr>'IWP10'!Std7dot1OvrShrtCorr</vt:lpstr>
      <vt:lpstr>'IWP11'!Std7dot1OvrShrtCorr</vt:lpstr>
      <vt:lpstr>'IWP12'!Std7dot1OvrShrtCorr</vt:lpstr>
      <vt:lpstr>'IWP13'!Std7dot1OvrShrtCorr</vt:lpstr>
      <vt:lpstr>'IWP14'!Std7dot1OvrShrtCorr</vt:lpstr>
      <vt:lpstr>'IWP15'!Std7dot1OvrShrtCorr</vt:lpstr>
      <vt:lpstr>'IWP16'!Std7dot1OvrShrtCorr</vt:lpstr>
      <vt:lpstr>'IWP17'!Std7dot1OvrShrtCorr</vt:lpstr>
      <vt:lpstr>'IWP18'!Std7dot1OvrShrtCorr</vt:lpstr>
      <vt:lpstr>'IWP19'!Std7dot1OvrShrtCorr</vt:lpstr>
      <vt:lpstr>'IWP20'!Std7dot1OvrShrtCorr</vt:lpstr>
      <vt:lpstr>'IWP21'!Std7dot1OvrShrtCorr</vt:lpstr>
      <vt:lpstr>'IWP22'!Std7dot1OvrShrtCorr</vt:lpstr>
      <vt:lpstr>'IWP23'!Std7dot1OvrShrtCorr</vt:lpstr>
      <vt:lpstr>'IWP24'!Std7dot1OvrShrtCorr</vt:lpstr>
      <vt:lpstr>'IWP25'!Std7dot1OvrShrtCorr</vt:lpstr>
      <vt:lpstr>'IWP26'!Std7dot1OvrShrtCorr</vt:lpstr>
      <vt:lpstr>'IWP27'!Std7dot1OvrShrtCorr</vt:lpstr>
      <vt:lpstr>'IWP28'!Std7dot1OvrShrtCorr</vt:lpstr>
      <vt:lpstr>'IWP29'!Std7dot1OvrShrtCorr</vt:lpstr>
      <vt:lpstr>'IWP30'!Std7dot1OvrShrtCorr</vt:lpstr>
      <vt:lpstr>'IWP01'!Std7dot1PtyCshOvrShrt</vt:lpstr>
      <vt:lpstr>'IWP02'!Std7dot1PtyCshOvrShrt</vt:lpstr>
      <vt:lpstr>'IWP03'!Std7dot1PtyCshOvrShrt</vt:lpstr>
      <vt:lpstr>'IWP04'!Std7dot1PtyCshOvrShrt</vt:lpstr>
      <vt:lpstr>'IWP05'!Std7dot1PtyCshOvrShrt</vt:lpstr>
      <vt:lpstr>'IWP06'!Std7dot1PtyCshOvrShrt</vt:lpstr>
      <vt:lpstr>'IWP07'!Std7dot1PtyCshOvrShrt</vt:lpstr>
      <vt:lpstr>'IWP08'!Std7dot1PtyCshOvrShrt</vt:lpstr>
      <vt:lpstr>'IWP09'!Std7dot1PtyCshOvrShrt</vt:lpstr>
      <vt:lpstr>'IWP10'!Std7dot1PtyCshOvrShrt</vt:lpstr>
      <vt:lpstr>'IWP11'!Std7dot1PtyCshOvrShrt</vt:lpstr>
      <vt:lpstr>'IWP12'!Std7dot1PtyCshOvrShrt</vt:lpstr>
      <vt:lpstr>'IWP13'!Std7dot1PtyCshOvrShrt</vt:lpstr>
      <vt:lpstr>'IWP14'!Std7dot1PtyCshOvrShrt</vt:lpstr>
      <vt:lpstr>'IWP15'!Std7dot1PtyCshOvrShrt</vt:lpstr>
      <vt:lpstr>'IWP16'!Std7dot1PtyCshOvrShrt</vt:lpstr>
      <vt:lpstr>'IWP17'!Std7dot1PtyCshOvrShrt</vt:lpstr>
      <vt:lpstr>'IWP18'!Std7dot1PtyCshOvrShrt</vt:lpstr>
      <vt:lpstr>'IWP19'!Std7dot1PtyCshOvrShrt</vt:lpstr>
      <vt:lpstr>'IWP20'!Std7dot1PtyCshOvrShrt</vt:lpstr>
      <vt:lpstr>'IWP21'!Std7dot1PtyCshOvrShrt</vt:lpstr>
      <vt:lpstr>'IWP22'!Std7dot1PtyCshOvrShrt</vt:lpstr>
      <vt:lpstr>'IWP23'!Std7dot1PtyCshOvrShrt</vt:lpstr>
      <vt:lpstr>'IWP24'!Std7dot1PtyCshOvrShrt</vt:lpstr>
      <vt:lpstr>'IWP25'!Std7dot1PtyCshOvrShrt</vt:lpstr>
      <vt:lpstr>'IWP26'!Std7dot1PtyCshOvrShrt</vt:lpstr>
      <vt:lpstr>'IWP27'!Std7dot1PtyCshOvrShrt</vt:lpstr>
      <vt:lpstr>'IWP28'!Std7dot1PtyCshOvrShrt</vt:lpstr>
      <vt:lpstr>'IWP29'!Std7dot1PtyCshOvrShrt</vt:lpstr>
      <vt:lpstr>'IWP30'!Std7dot1PtyCshOvrShrt</vt:lpstr>
      <vt:lpstr>'ALRC Compliance Summary (Print)'!Std7Score</vt:lpstr>
      <vt:lpstr>'ALRC Compliance Summary (Print)'!Std8Score</vt:lpstr>
      <vt:lpstr>'IWP01'!Std9AdjBalPerBank</vt:lpstr>
      <vt:lpstr>'IWP02'!Std9AdjBalPerBank</vt:lpstr>
      <vt:lpstr>'IWP03'!Std9AdjBalPerBank</vt:lpstr>
      <vt:lpstr>'IWP04'!Std9AdjBalPerBank</vt:lpstr>
      <vt:lpstr>'IWP05'!Std9AdjBalPerBank</vt:lpstr>
      <vt:lpstr>'IWP06'!Std9AdjBalPerBank</vt:lpstr>
      <vt:lpstr>'IWP07'!Std9AdjBalPerBank</vt:lpstr>
      <vt:lpstr>'IWP08'!Std9AdjBalPerBank</vt:lpstr>
      <vt:lpstr>'IWP09'!Std9AdjBalPerBank</vt:lpstr>
      <vt:lpstr>'IWP10'!Std9AdjBalPerBank</vt:lpstr>
      <vt:lpstr>'IWP11'!Std9AdjBalPerBank</vt:lpstr>
      <vt:lpstr>'IWP12'!Std9AdjBalPerBank</vt:lpstr>
      <vt:lpstr>'IWP13'!Std9AdjBalPerBank</vt:lpstr>
      <vt:lpstr>'IWP14'!Std9AdjBalPerBank</vt:lpstr>
      <vt:lpstr>'IWP15'!Std9AdjBalPerBank</vt:lpstr>
      <vt:lpstr>'IWP16'!Std9AdjBalPerBank</vt:lpstr>
      <vt:lpstr>'IWP17'!Std9AdjBalPerBank</vt:lpstr>
      <vt:lpstr>'IWP18'!Std9AdjBalPerBank</vt:lpstr>
      <vt:lpstr>'IWP19'!Std9AdjBalPerBank</vt:lpstr>
      <vt:lpstr>'IWP20'!Std9AdjBalPerBank</vt:lpstr>
      <vt:lpstr>'IWP21'!Std9AdjBalPerBank</vt:lpstr>
      <vt:lpstr>'IWP22'!Std9AdjBalPerBank</vt:lpstr>
      <vt:lpstr>'IWP23'!Std9AdjBalPerBank</vt:lpstr>
      <vt:lpstr>'IWP24'!Std9AdjBalPerBank</vt:lpstr>
      <vt:lpstr>'IWP25'!Std9AdjBalPerBank</vt:lpstr>
      <vt:lpstr>'IWP26'!Std9AdjBalPerBank</vt:lpstr>
      <vt:lpstr>'IWP27'!Std9AdjBalPerBank</vt:lpstr>
      <vt:lpstr>'IWP28'!Std9AdjBalPerBank</vt:lpstr>
      <vt:lpstr>'IWP29'!Std9AdjBalPerBank</vt:lpstr>
      <vt:lpstr>'IWP30'!Std9AdjBalPerBank</vt:lpstr>
      <vt:lpstr>'IWP01'!Std9AdjBalPerBks</vt:lpstr>
      <vt:lpstr>'IWP02'!Std9AdjBalPerBks</vt:lpstr>
      <vt:lpstr>'IWP03'!Std9AdjBalPerBks</vt:lpstr>
      <vt:lpstr>'IWP04'!Std9AdjBalPerBks</vt:lpstr>
      <vt:lpstr>'IWP05'!Std9AdjBalPerBks</vt:lpstr>
      <vt:lpstr>'IWP06'!Std9AdjBalPerBks</vt:lpstr>
      <vt:lpstr>'IWP07'!Std9AdjBalPerBks</vt:lpstr>
      <vt:lpstr>'IWP08'!Std9AdjBalPerBks</vt:lpstr>
      <vt:lpstr>'IWP09'!Std9AdjBalPerBks</vt:lpstr>
      <vt:lpstr>'IWP10'!Std9AdjBalPerBks</vt:lpstr>
      <vt:lpstr>'IWP11'!Std9AdjBalPerBks</vt:lpstr>
      <vt:lpstr>'IWP12'!Std9AdjBalPerBks</vt:lpstr>
      <vt:lpstr>'IWP13'!Std9AdjBalPerBks</vt:lpstr>
      <vt:lpstr>'IWP14'!Std9AdjBalPerBks</vt:lpstr>
      <vt:lpstr>'IWP15'!Std9AdjBalPerBks</vt:lpstr>
      <vt:lpstr>'IWP16'!Std9AdjBalPerBks</vt:lpstr>
      <vt:lpstr>'IWP17'!Std9AdjBalPerBks</vt:lpstr>
      <vt:lpstr>'IWP18'!Std9AdjBalPerBks</vt:lpstr>
      <vt:lpstr>'IWP19'!Std9AdjBalPerBks</vt:lpstr>
      <vt:lpstr>'IWP20'!Std9AdjBalPerBks</vt:lpstr>
      <vt:lpstr>'IWP21'!Std9AdjBalPerBks</vt:lpstr>
      <vt:lpstr>'IWP22'!Std9AdjBalPerBks</vt:lpstr>
      <vt:lpstr>'IWP23'!Std9AdjBalPerBks</vt:lpstr>
      <vt:lpstr>'IWP24'!Std9AdjBalPerBks</vt:lpstr>
      <vt:lpstr>'IWP25'!Std9AdjBalPerBks</vt:lpstr>
      <vt:lpstr>'IWP26'!Std9AdjBalPerBks</vt:lpstr>
      <vt:lpstr>'IWP27'!Std9AdjBalPerBks</vt:lpstr>
      <vt:lpstr>'IWP28'!Std9AdjBalPerBks</vt:lpstr>
      <vt:lpstr>'IWP29'!Std9AdjBalPerBks</vt:lpstr>
      <vt:lpstr>'IWP30'!Std9AdjBalPerBks</vt:lpstr>
      <vt:lpstr>'IWP01'!Std9BalPerBks</vt:lpstr>
      <vt:lpstr>'IWP02'!Std9BalPerBks</vt:lpstr>
      <vt:lpstr>'IWP03'!Std9BalPerBks</vt:lpstr>
      <vt:lpstr>'IWP04'!Std9BalPerBks</vt:lpstr>
      <vt:lpstr>'IWP05'!Std9BalPerBks</vt:lpstr>
      <vt:lpstr>'IWP06'!Std9BalPerBks</vt:lpstr>
      <vt:lpstr>'IWP07'!Std9BalPerBks</vt:lpstr>
      <vt:lpstr>'IWP08'!Std9BalPerBks</vt:lpstr>
      <vt:lpstr>'IWP09'!Std9BalPerBks</vt:lpstr>
      <vt:lpstr>'IWP10'!Std9BalPerBks</vt:lpstr>
      <vt:lpstr>'IWP11'!Std9BalPerBks</vt:lpstr>
      <vt:lpstr>'IWP12'!Std9BalPerBks</vt:lpstr>
      <vt:lpstr>'IWP13'!Std9BalPerBks</vt:lpstr>
      <vt:lpstr>'IWP14'!Std9BalPerBks</vt:lpstr>
      <vt:lpstr>'IWP15'!Std9BalPerBks</vt:lpstr>
      <vt:lpstr>'IWP16'!Std9BalPerBks</vt:lpstr>
      <vt:lpstr>'IWP17'!Std9BalPerBks</vt:lpstr>
      <vt:lpstr>'IWP18'!Std9BalPerBks</vt:lpstr>
      <vt:lpstr>'IWP19'!Std9BalPerBks</vt:lpstr>
      <vt:lpstr>'IWP20'!Std9BalPerBks</vt:lpstr>
      <vt:lpstr>'IWP21'!Std9BalPerBks</vt:lpstr>
      <vt:lpstr>'IWP22'!Std9BalPerBks</vt:lpstr>
      <vt:lpstr>'IWP23'!Std9BalPerBks</vt:lpstr>
      <vt:lpstr>'IWP24'!Std9BalPerBks</vt:lpstr>
      <vt:lpstr>'IWP25'!Std9BalPerBks</vt:lpstr>
      <vt:lpstr>'IWP26'!Std9BalPerBks</vt:lpstr>
      <vt:lpstr>'IWP27'!Std9BalPerBks</vt:lpstr>
      <vt:lpstr>'IWP28'!Std9BalPerBks</vt:lpstr>
      <vt:lpstr>'IWP29'!Std9BalPerBks</vt:lpstr>
      <vt:lpstr>'IWP30'!Std9BalPerBks</vt:lpstr>
      <vt:lpstr>'IWP01'!Std9BalPerBksDt</vt:lpstr>
      <vt:lpstr>'IWP02'!Std9BalPerBksDt</vt:lpstr>
      <vt:lpstr>'IWP03'!Std9BalPerBksDt</vt:lpstr>
      <vt:lpstr>'IWP04'!Std9BalPerBksDt</vt:lpstr>
      <vt:lpstr>'IWP05'!Std9BalPerBksDt</vt:lpstr>
      <vt:lpstr>'IWP06'!Std9BalPerBksDt</vt:lpstr>
      <vt:lpstr>'IWP07'!Std9BalPerBksDt</vt:lpstr>
      <vt:lpstr>'IWP08'!Std9BalPerBksDt</vt:lpstr>
      <vt:lpstr>'IWP09'!Std9BalPerBksDt</vt:lpstr>
      <vt:lpstr>'IWP10'!Std9BalPerBksDt</vt:lpstr>
      <vt:lpstr>'IWP11'!Std9BalPerBksDt</vt:lpstr>
      <vt:lpstr>'IWP12'!Std9BalPerBksDt</vt:lpstr>
      <vt:lpstr>'IWP13'!Std9BalPerBksDt</vt:lpstr>
      <vt:lpstr>'IWP14'!Std9BalPerBksDt</vt:lpstr>
      <vt:lpstr>'IWP15'!Std9BalPerBksDt</vt:lpstr>
      <vt:lpstr>'IWP16'!Std9BalPerBksDt</vt:lpstr>
      <vt:lpstr>'IWP17'!Std9BalPerBksDt</vt:lpstr>
      <vt:lpstr>'IWP18'!Std9BalPerBksDt</vt:lpstr>
      <vt:lpstr>'IWP19'!Std9BalPerBksDt</vt:lpstr>
      <vt:lpstr>'IWP20'!Std9BalPerBksDt</vt:lpstr>
      <vt:lpstr>'IWP21'!Std9BalPerBksDt</vt:lpstr>
      <vt:lpstr>'IWP22'!Std9BalPerBksDt</vt:lpstr>
      <vt:lpstr>'IWP23'!Std9BalPerBksDt</vt:lpstr>
      <vt:lpstr>'IWP24'!Std9BalPerBksDt</vt:lpstr>
      <vt:lpstr>'IWP25'!Std9BalPerBksDt</vt:lpstr>
      <vt:lpstr>'IWP26'!Std9BalPerBksDt</vt:lpstr>
      <vt:lpstr>'IWP27'!Std9BalPerBksDt</vt:lpstr>
      <vt:lpstr>'IWP28'!Std9BalPerBksDt</vt:lpstr>
      <vt:lpstr>'IWP29'!Std9BalPerBksDt</vt:lpstr>
      <vt:lpstr>'IWP30'!Std9BalPerBksDt</vt:lpstr>
      <vt:lpstr>'IWP01'!Std9BalPerBnkStmt</vt:lpstr>
      <vt:lpstr>'IWP02'!Std9BalPerBnkStmt</vt:lpstr>
      <vt:lpstr>'IWP03'!Std9BalPerBnkStmt</vt:lpstr>
      <vt:lpstr>'IWP04'!Std9BalPerBnkStmt</vt:lpstr>
      <vt:lpstr>'IWP05'!Std9BalPerBnkStmt</vt:lpstr>
      <vt:lpstr>'IWP06'!Std9BalPerBnkStmt</vt:lpstr>
      <vt:lpstr>'IWP07'!Std9BalPerBnkStmt</vt:lpstr>
      <vt:lpstr>'IWP08'!Std9BalPerBnkStmt</vt:lpstr>
      <vt:lpstr>'IWP09'!Std9BalPerBnkStmt</vt:lpstr>
      <vt:lpstr>'IWP10'!Std9BalPerBnkStmt</vt:lpstr>
      <vt:lpstr>'IWP11'!Std9BalPerBnkStmt</vt:lpstr>
      <vt:lpstr>'IWP12'!Std9BalPerBnkStmt</vt:lpstr>
      <vt:lpstr>'IWP13'!Std9BalPerBnkStmt</vt:lpstr>
      <vt:lpstr>'IWP14'!Std9BalPerBnkStmt</vt:lpstr>
      <vt:lpstr>'IWP15'!Std9BalPerBnkStmt</vt:lpstr>
      <vt:lpstr>'IWP16'!Std9BalPerBnkStmt</vt:lpstr>
      <vt:lpstr>'IWP17'!Std9BalPerBnkStmt</vt:lpstr>
      <vt:lpstr>'IWP18'!Std9BalPerBnkStmt</vt:lpstr>
      <vt:lpstr>'IWP19'!Std9BalPerBnkStmt</vt:lpstr>
      <vt:lpstr>'IWP20'!Std9BalPerBnkStmt</vt:lpstr>
      <vt:lpstr>'IWP21'!Std9BalPerBnkStmt</vt:lpstr>
      <vt:lpstr>'IWP22'!Std9BalPerBnkStmt</vt:lpstr>
      <vt:lpstr>'IWP23'!Std9BalPerBnkStmt</vt:lpstr>
      <vt:lpstr>'IWP24'!Std9BalPerBnkStmt</vt:lpstr>
      <vt:lpstr>'IWP25'!Std9BalPerBnkStmt</vt:lpstr>
      <vt:lpstr>'IWP26'!Std9BalPerBnkStmt</vt:lpstr>
      <vt:lpstr>'IWP27'!Std9BalPerBnkStmt</vt:lpstr>
      <vt:lpstr>'IWP28'!Std9BalPerBnkStmt</vt:lpstr>
      <vt:lpstr>'IWP29'!Std9BalPerBnkStmt</vt:lpstr>
      <vt:lpstr>'IWP30'!Std9BalPerBnkStmt</vt:lpstr>
      <vt:lpstr>'IWP01'!Std9BalPerBnkStmtDt</vt:lpstr>
      <vt:lpstr>'IWP02'!Std9BalPerBnkStmtDt</vt:lpstr>
      <vt:lpstr>'IWP03'!Std9BalPerBnkStmtDt</vt:lpstr>
      <vt:lpstr>'IWP04'!Std9BalPerBnkStmtDt</vt:lpstr>
      <vt:lpstr>'IWP05'!Std9BalPerBnkStmtDt</vt:lpstr>
      <vt:lpstr>'IWP06'!Std9BalPerBnkStmtDt</vt:lpstr>
      <vt:lpstr>'IWP07'!Std9BalPerBnkStmtDt</vt:lpstr>
      <vt:lpstr>'IWP08'!Std9BalPerBnkStmtDt</vt:lpstr>
      <vt:lpstr>'IWP09'!Std9BalPerBnkStmtDt</vt:lpstr>
      <vt:lpstr>'IWP10'!Std9BalPerBnkStmtDt</vt:lpstr>
      <vt:lpstr>'IWP11'!Std9BalPerBnkStmtDt</vt:lpstr>
      <vt:lpstr>'IWP12'!Std9BalPerBnkStmtDt</vt:lpstr>
      <vt:lpstr>'IWP13'!Std9BalPerBnkStmtDt</vt:lpstr>
      <vt:lpstr>'IWP14'!Std9BalPerBnkStmtDt</vt:lpstr>
      <vt:lpstr>'IWP15'!Std9BalPerBnkStmtDt</vt:lpstr>
      <vt:lpstr>'IWP16'!Std9BalPerBnkStmtDt</vt:lpstr>
      <vt:lpstr>'IWP17'!Std9BalPerBnkStmtDt</vt:lpstr>
      <vt:lpstr>'IWP18'!Std9BalPerBnkStmtDt</vt:lpstr>
      <vt:lpstr>'IWP19'!Std9BalPerBnkStmtDt</vt:lpstr>
      <vt:lpstr>'IWP20'!Std9BalPerBnkStmtDt</vt:lpstr>
      <vt:lpstr>'IWP21'!Std9BalPerBnkStmtDt</vt:lpstr>
      <vt:lpstr>'IWP22'!Std9BalPerBnkStmtDt</vt:lpstr>
      <vt:lpstr>'IWP23'!Std9BalPerBnkStmtDt</vt:lpstr>
      <vt:lpstr>'IWP24'!Std9BalPerBnkStmtDt</vt:lpstr>
      <vt:lpstr>'IWP25'!Std9BalPerBnkStmtDt</vt:lpstr>
      <vt:lpstr>'IWP26'!Std9BalPerBnkStmtDt</vt:lpstr>
      <vt:lpstr>'IWP27'!Std9BalPerBnkStmtDt</vt:lpstr>
      <vt:lpstr>'IWP28'!Std9BalPerBnkStmtDt</vt:lpstr>
      <vt:lpstr>'IWP29'!Std9BalPerBnkStmtDt</vt:lpstr>
      <vt:lpstr>'IWP30'!Std9BalPerBnkStmtDt</vt:lpstr>
      <vt:lpstr>'IWP01'!Std9dot1</vt:lpstr>
      <vt:lpstr>'IWP02'!Std9dot1</vt:lpstr>
      <vt:lpstr>'IWP03'!Std9dot1</vt:lpstr>
      <vt:lpstr>'IWP04'!Std9dot1</vt:lpstr>
      <vt:lpstr>'IWP05'!Std9dot1</vt:lpstr>
      <vt:lpstr>'IWP06'!Std9dot1</vt:lpstr>
      <vt:lpstr>'IWP07'!Std9dot1</vt:lpstr>
      <vt:lpstr>'IWP08'!Std9dot1</vt:lpstr>
      <vt:lpstr>'IWP09'!Std9dot1</vt:lpstr>
      <vt:lpstr>'IWP10'!Std9dot1</vt:lpstr>
      <vt:lpstr>'IWP11'!Std9dot1</vt:lpstr>
      <vt:lpstr>'IWP12'!Std9dot1</vt:lpstr>
      <vt:lpstr>'IWP13'!Std9dot1</vt:lpstr>
      <vt:lpstr>'IWP14'!Std9dot1</vt:lpstr>
      <vt:lpstr>'IWP15'!Std9dot1</vt:lpstr>
      <vt:lpstr>'IWP16'!Std9dot1</vt:lpstr>
      <vt:lpstr>'IWP17'!Std9dot1</vt:lpstr>
      <vt:lpstr>'IWP18'!Std9dot1</vt:lpstr>
      <vt:lpstr>'IWP19'!Std9dot1</vt:lpstr>
      <vt:lpstr>'IWP20'!Std9dot1</vt:lpstr>
      <vt:lpstr>'IWP21'!Std9dot1</vt:lpstr>
      <vt:lpstr>'IWP22'!Std9dot1</vt:lpstr>
      <vt:lpstr>'IWP23'!Std9dot1</vt:lpstr>
      <vt:lpstr>'IWP24'!Std9dot1</vt:lpstr>
      <vt:lpstr>'IWP25'!Std9dot1</vt:lpstr>
      <vt:lpstr>'IWP26'!Std9dot1</vt:lpstr>
      <vt:lpstr>'IWP27'!Std9dot1</vt:lpstr>
      <vt:lpstr>'IWP28'!Std9dot1</vt:lpstr>
      <vt:lpstr>'IWP29'!Std9dot1</vt:lpstr>
      <vt:lpstr>'IWP30'!Std9dot1</vt:lpstr>
      <vt:lpstr>'IWP01'!Std9dot1aNotCalc</vt:lpstr>
      <vt:lpstr>'IWP02'!Std9dot1aNotCalc</vt:lpstr>
      <vt:lpstr>'IWP03'!Std9dot1aNotCalc</vt:lpstr>
      <vt:lpstr>'IWP04'!Std9dot1aNotCalc</vt:lpstr>
      <vt:lpstr>'IWP05'!Std9dot1aNotCalc</vt:lpstr>
      <vt:lpstr>'IWP06'!Std9dot1aNotCalc</vt:lpstr>
      <vt:lpstr>'IWP07'!Std9dot1aNotCalc</vt:lpstr>
      <vt:lpstr>'IWP08'!Std9dot1aNotCalc</vt:lpstr>
      <vt:lpstr>'IWP09'!Std9dot1aNotCalc</vt:lpstr>
      <vt:lpstr>'IWP10'!Std9dot1aNotCalc</vt:lpstr>
      <vt:lpstr>'IWP11'!Std9dot1aNotCalc</vt:lpstr>
      <vt:lpstr>'IWP12'!Std9dot1aNotCalc</vt:lpstr>
      <vt:lpstr>'IWP13'!Std9dot1aNotCalc</vt:lpstr>
      <vt:lpstr>'IWP14'!Std9dot1aNotCalc</vt:lpstr>
      <vt:lpstr>'IWP15'!Std9dot1aNotCalc</vt:lpstr>
      <vt:lpstr>'IWP16'!Std9dot1aNotCalc</vt:lpstr>
      <vt:lpstr>'IWP17'!Std9dot1aNotCalc</vt:lpstr>
      <vt:lpstr>'IWP18'!Std9dot1aNotCalc</vt:lpstr>
      <vt:lpstr>'IWP19'!Std9dot1aNotCalc</vt:lpstr>
      <vt:lpstr>'IWP20'!Std9dot1aNotCalc</vt:lpstr>
      <vt:lpstr>'IWP21'!Std9dot1aNotCalc</vt:lpstr>
      <vt:lpstr>'IWP22'!Std9dot1aNotCalc</vt:lpstr>
      <vt:lpstr>'IWP23'!Std9dot1aNotCalc</vt:lpstr>
      <vt:lpstr>'IWP24'!Std9dot1aNotCalc</vt:lpstr>
      <vt:lpstr>'IWP25'!Std9dot1aNotCalc</vt:lpstr>
      <vt:lpstr>'IWP26'!Std9dot1aNotCalc</vt:lpstr>
      <vt:lpstr>'IWP27'!Std9dot1aNotCalc</vt:lpstr>
      <vt:lpstr>'IWP28'!Std9dot1aNotCalc</vt:lpstr>
      <vt:lpstr>'IWP29'!Std9dot1aNotCalc</vt:lpstr>
      <vt:lpstr>'IWP30'!Std9dot1aNotCalc</vt:lpstr>
      <vt:lpstr>'IWP01'!Std9dot1bNotCalc</vt:lpstr>
      <vt:lpstr>'IWP02'!Std9dot1bNotCalc</vt:lpstr>
      <vt:lpstr>'IWP03'!Std9dot1bNotCalc</vt:lpstr>
      <vt:lpstr>'IWP04'!Std9dot1bNotCalc</vt:lpstr>
      <vt:lpstr>'IWP05'!Std9dot1bNotCalc</vt:lpstr>
      <vt:lpstr>'IWP06'!Std9dot1bNotCalc</vt:lpstr>
      <vt:lpstr>'IWP07'!Std9dot1bNotCalc</vt:lpstr>
      <vt:lpstr>'IWP08'!Std9dot1bNotCalc</vt:lpstr>
      <vt:lpstr>'IWP09'!Std9dot1bNotCalc</vt:lpstr>
      <vt:lpstr>'IWP10'!Std9dot1bNotCalc</vt:lpstr>
      <vt:lpstr>'IWP11'!Std9dot1bNotCalc</vt:lpstr>
      <vt:lpstr>'IWP12'!Std9dot1bNotCalc</vt:lpstr>
      <vt:lpstr>'IWP13'!Std9dot1bNotCalc</vt:lpstr>
      <vt:lpstr>'IWP14'!Std9dot1bNotCalc</vt:lpstr>
      <vt:lpstr>'IWP15'!Std9dot1bNotCalc</vt:lpstr>
      <vt:lpstr>'IWP16'!Std9dot1bNotCalc</vt:lpstr>
      <vt:lpstr>'IWP17'!Std9dot1bNotCalc</vt:lpstr>
      <vt:lpstr>'IWP18'!Std9dot1bNotCalc</vt:lpstr>
      <vt:lpstr>'IWP19'!Std9dot1bNotCalc</vt:lpstr>
      <vt:lpstr>'IWP20'!Std9dot1bNotCalc</vt:lpstr>
      <vt:lpstr>'IWP21'!Std9dot1bNotCalc</vt:lpstr>
      <vt:lpstr>'IWP22'!Std9dot1bNotCalc</vt:lpstr>
      <vt:lpstr>'IWP23'!Std9dot1bNotCalc</vt:lpstr>
      <vt:lpstr>'IWP24'!Std9dot1bNotCalc</vt:lpstr>
      <vt:lpstr>'IWP25'!Std9dot1bNotCalc</vt:lpstr>
      <vt:lpstr>'IWP26'!Std9dot1bNotCalc</vt:lpstr>
      <vt:lpstr>'IWP27'!Std9dot1bNotCalc</vt:lpstr>
      <vt:lpstr>'IWP28'!Std9dot1bNotCalc</vt:lpstr>
      <vt:lpstr>'IWP29'!Std9dot1bNotCalc</vt:lpstr>
      <vt:lpstr>'IWP30'!Std9dot1bNotCalc</vt:lpstr>
      <vt:lpstr>'IWP01'!Std9dot1DepositsInTransit</vt:lpstr>
      <vt:lpstr>'IWP02'!Std9dot1DepositsInTransit</vt:lpstr>
      <vt:lpstr>'IWP03'!Std9dot1DepositsInTransit</vt:lpstr>
      <vt:lpstr>'IWP04'!Std9dot1DepositsInTransit</vt:lpstr>
      <vt:lpstr>'IWP05'!Std9dot1DepositsInTransit</vt:lpstr>
      <vt:lpstr>'IWP06'!Std9dot1DepositsInTransit</vt:lpstr>
      <vt:lpstr>'IWP07'!Std9dot1DepositsInTransit</vt:lpstr>
      <vt:lpstr>'IWP08'!Std9dot1DepositsInTransit</vt:lpstr>
      <vt:lpstr>'IWP09'!Std9dot1DepositsInTransit</vt:lpstr>
      <vt:lpstr>'IWP10'!Std9dot1DepositsInTransit</vt:lpstr>
      <vt:lpstr>'IWP11'!Std9dot1DepositsInTransit</vt:lpstr>
      <vt:lpstr>'IWP12'!Std9dot1DepositsInTransit</vt:lpstr>
      <vt:lpstr>'IWP13'!Std9dot1DepositsInTransit</vt:lpstr>
      <vt:lpstr>'IWP14'!Std9dot1DepositsInTransit</vt:lpstr>
      <vt:lpstr>'IWP15'!Std9dot1DepositsInTransit</vt:lpstr>
      <vt:lpstr>'IWP16'!Std9dot1DepositsInTransit</vt:lpstr>
      <vt:lpstr>'IWP17'!Std9dot1DepositsInTransit</vt:lpstr>
      <vt:lpstr>'IWP18'!Std9dot1DepositsInTransit</vt:lpstr>
      <vt:lpstr>'IWP19'!Std9dot1DepositsInTransit</vt:lpstr>
      <vt:lpstr>'IWP20'!Std9dot1DepositsInTransit</vt:lpstr>
      <vt:lpstr>'IWP21'!Std9dot1DepositsInTransit</vt:lpstr>
      <vt:lpstr>'IWP22'!Std9dot1DepositsInTransit</vt:lpstr>
      <vt:lpstr>'IWP23'!Std9dot1DepositsInTransit</vt:lpstr>
      <vt:lpstr>'IWP24'!Std9dot1DepositsInTransit</vt:lpstr>
      <vt:lpstr>'IWP25'!Std9dot1DepositsInTransit</vt:lpstr>
      <vt:lpstr>'IWP26'!Std9dot1DepositsInTransit</vt:lpstr>
      <vt:lpstr>'IWP27'!Std9dot1DepositsInTransit</vt:lpstr>
      <vt:lpstr>'IWP28'!Std9dot1DepositsInTransit</vt:lpstr>
      <vt:lpstr>'IWP29'!Std9dot1DepositsInTransit</vt:lpstr>
      <vt:lpstr>'IWP30'!Std9dot1DepositsInTransit</vt:lpstr>
      <vt:lpstr>'IWP01'!Std9dot1OutstandingChecks</vt:lpstr>
      <vt:lpstr>'IWP02'!Std9dot1OutstandingChecks</vt:lpstr>
      <vt:lpstr>'IWP03'!Std9dot1OutstandingChecks</vt:lpstr>
      <vt:lpstr>'IWP04'!Std9dot1OutstandingChecks</vt:lpstr>
      <vt:lpstr>'IWP05'!Std9dot1OutstandingChecks</vt:lpstr>
      <vt:lpstr>'IWP06'!Std9dot1OutstandingChecks</vt:lpstr>
      <vt:lpstr>'IWP07'!Std9dot1OutstandingChecks</vt:lpstr>
      <vt:lpstr>'IWP08'!Std9dot1OutstandingChecks</vt:lpstr>
      <vt:lpstr>'IWP09'!Std9dot1OutstandingChecks</vt:lpstr>
      <vt:lpstr>'IWP10'!Std9dot1OutstandingChecks</vt:lpstr>
      <vt:lpstr>'IWP11'!Std9dot1OutstandingChecks</vt:lpstr>
      <vt:lpstr>'IWP12'!Std9dot1OutstandingChecks</vt:lpstr>
      <vt:lpstr>'IWP13'!Std9dot1OutstandingChecks</vt:lpstr>
      <vt:lpstr>'IWP14'!Std9dot1OutstandingChecks</vt:lpstr>
      <vt:lpstr>'IWP15'!Std9dot1OutstandingChecks</vt:lpstr>
      <vt:lpstr>'IWP16'!Std9dot1OutstandingChecks</vt:lpstr>
      <vt:lpstr>'IWP17'!Std9dot1OutstandingChecks</vt:lpstr>
      <vt:lpstr>'IWP18'!Std9dot1OutstandingChecks</vt:lpstr>
      <vt:lpstr>'IWP19'!Std9dot1OutstandingChecks</vt:lpstr>
      <vt:lpstr>'IWP20'!Std9dot1OutstandingChecks</vt:lpstr>
      <vt:lpstr>'IWP21'!Std9dot1OutstandingChecks</vt:lpstr>
      <vt:lpstr>'IWP22'!Std9dot1OutstandingChecks</vt:lpstr>
      <vt:lpstr>'IWP23'!Std9dot1OutstandingChecks</vt:lpstr>
      <vt:lpstr>'IWP24'!Std9dot1OutstandingChecks</vt:lpstr>
      <vt:lpstr>'IWP25'!Std9dot1OutstandingChecks</vt:lpstr>
      <vt:lpstr>'IWP26'!Std9dot1OutstandingChecks</vt:lpstr>
      <vt:lpstr>'IWP27'!Std9dot1OutstandingChecks</vt:lpstr>
      <vt:lpstr>'IWP28'!Std9dot1OutstandingChecks</vt:lpstr>
      <vt:lpstr>'IWP29'!Std9dot1OutstandingChecks</vt:lpstr>
      <vt:lpstr>'IWP30'!Std9dot1OutstandingChecks</vt:lpstr>
      <vt:lpstr>'IWP01'!Std9NsfChks</vt:lpstr>
      <vt:lpstr>'IWP02'!Std9NsfChks</vt:lpstr>
      <vt:lpstr>'IWP03'!Std9NsfChks</vt:lpstr>
      <vt:lpstr>'IWP04'!Std9NsfChks</vt:lpstr>
      <vt:lpstr>'IWP05'!Std9NsfChks</vt:lpstr>
      <vt:lpstr>'IWP06'!Std9NsfChks</vt:lpstr>
      <vt:lpstr>'IWP07'!Std9NsfChks</vt:lpstr>
      <vt:lpstr>'IWP08'!Std9NsfChks</vt:lpstr>
      <vt:lpstr>'IWP09'!Std9NsfChks</vt:lpstr>
      <vt:lpstr>'IWP10'!Std9NsfChks</vt:lpstr>
      <vt:lpstr>'IWP11'!Std9NsfChks</vt:lpstr>
      <vt:lpstr>'IWP12'!Std9NsfChks</vt:lpstr>
      <vt:lpstr>'IWP13'!Std9NsfChks</vt:lpstr>
      <vt:lpstr>'IWP14'!Std9NsfChks</vt:lpstr>
      <vt:lpstr>'IWP15'!Std9NsfChks</vt:lpstr>
      <vt:lpstr>'IWP16'!Std9NsfChks</vt:lpstr>
      <vt:lpstr>'IWP17'!Std9NsfChks</vt:lpstr>
      <vt:lpstr>'IWP18'!Std9NsfChks</vt:lpstr>
      <vt:lpstr>'IWP19'!Std9NsfChks</vt:lpstr>
      <vt:lpstr>'IWP20'!Std9NsfChks</vt:lpstr>
      <vt:lpstr>'IWP21'!Std9NsfChks</vt:lpstr>
      <vt:lpstr>'IWP22'!Std9NsfChks</vt:lpstr>
      <vt:lpstr>'IWP23'!Std9NsfChks</vt:lpstr>
      <vt:lpstr>'IWP24'!Std9NsfChks</vt:lpstr>
      <vt:lpstr>'IWP25'!Std9NsfChks</vt:lpstr>
      <vt:lpstr>'IWP26'!Std9NsfChks</vt:lpstr>
      <vt:lpstr>'IWP27'!Std9NsfChks</vt:lpstr>
      <vt:lpstr>'IWP28'!Std9NsfChks</vt:lpstr>
      <vt:lpstr>'IWP29'!Std9NsfChks</vt:lpstr>
      <vt:lpstr>'IWP30'!Std9NsfChks</vt:lpstr>
      <vt:lpstr>'IWP01'!Std9OvrShrtCorrctd</vt:lpstr>
      <vt:lpstr>'IWP02'!Std9OvrShrtCorrctd</vt:lpstr>
      <vt:lpstr>'IWP03'!Std9OvrShrtCorrctd</vt:lpstr>
      <vt:lpstr>'IWP04'!Std9OvrShrtCorrctd</vt:lpstr>
      <vt:lpstr>'IWP05'!Std9OvrShrtCorrctd</vt:lpstr>
      <vt:lpstr>'IWP06'!Std9OvrShrtCorrctd</vt:lpstr>
      <vt:lpstr>'IWP07'!Std9OvrShrtCorrctd</vt:lpstr>
      <vt:lpstr>'IWP08'!Std9OvrShrtCorrctd</vt:lpstr>
      <vt:lpstr>'IWP09'!Std9OvrShrtCorrctd</vt:lpstr>
      <vt:lpstr>'IWP10'!Std9OvrShrtCorrctd</vt:lpstr>
      <vt:lpstr>'IWP11'!Std9OvrShrtCorrctd</vt:lpstr>
      <vt:lpstr>'IWP12'!Std9OvrShrtCorrctd</vt:lpstr>
      <vt:lpstr>'IWP13'!Std9OvrShrtCorrctd</vt:lpstr>
      <vt:lpstr>'IWP14'!Std9OvrShrtCorrctd</vt:lpstr>
      <vt:lpstr>'IWP15'!Std9OvrShrtCorrctd</vt:lpstr>
      <vt:lpstr>'IWP16'!Std9OvrShrtCorrctd</vt:lpstr>
      <vt:lpstr>'IWP17'!Std9OvrShrtCorrctd</vt:lpstr>
      <vt:lpstr>'IWP18'!Std9OvrShrtCorrctd</vt:lpstr>
      <vt:lpstr>'IWP19'!Std9OvrShrtCorrctd</vt:lpstr>
      <vt:lpstr>'IWP20'!Std9OvrShrtCorrctd</vt:lpstr>
      <vt:lpstr>'IWP21'!Std9OvrShrtCorrctd</vt:lpstr>
      <vt:lpstr>'IWP22'!Std9OvrShrtCorrctd</vt:lpstr>
      <vt:lpstr>'IWP23'!Std9OvrShrtCorrctd</vt:lpstr>
      <vt:lpstr>'IWP24'!Std9OvrShrtCorrctd</vt:lpstr>
      <vt:lpstr>'IWP25'!Std9OvrShrtCorrctd</vt:lpstr>
      <vt:lpstr>'IWP26'!Std9OvrShrtCorrctd</vt:lpstr>
      <vt:lpstr>'IWP27'!Std9OvrShrtCorrctd</vt:lpstr>
      <vt:lpstr>'IWP28'!Std9OvrShrtCorrctd</vt:lpstr>
      <vt:lpstr>'IWP29'!Std9OvrShrtCorrctd</vt:lpstr>
      <vt:lpstr>'IWP30'!Std9OvrShrtCorrctd</vt:lpstr>
      <vt:lpstr>'ALRC Compliance Summary (Print)'!Std9Score</vt:lpstr>
      <vt:lpstr>'IWP01'!Std9ShrtUnreimbSvcChg</vt:lpstr>
      <vt:lpstr>'IWP02'!Std9ShrtUnreimbSvcChg</vt:lpstr>
      <vt:lpstr>'IWP03'!Std9ShrtUnreimbSvcChg</vt:lpstr>
      <vt:lpstr>'IWP04'!Std9ShrtUnreimbSvcChg</vt:lpstr>
      <vt:lpstr>'IWP05'!Std9ShrtUnreimbSvcChg</vt:lpstr>
      <vt:lpstr>'IWP06'!Std9ShrtUnreimbSvcChg</vt:lpstr>
      <vt:lpstr>'IWP07'!Std9ShrtUnreimbSvcChg</vt:lpstr>
      <vt:lpstr>'IWP08'!Std9ShrtUnreimbSvcChg</vt:lpstr>
      <vt:lpstr>'IWP09'!Std9ShrtUnreimbSvcChg</vt:lpstr>
      <vt:lpstr>'IWP10'!Std9ShrtUnreimbSvcChg</vt:lpstr>
      <vt:lpstr>'IWP11'!Std9ShrtUnreimbSvcChg</vt:lpstr>
      <vt:lpstr>'IWP12'!Std9ShrtUnreimbSvcChg</vt:lpstr>
      <vt:lpstr>'IWP13'!Std9ShrtUnreimbSvcChg</vt:lpstr>
      <vt:lpstr>'IWP14'!Std9ShrtUnreimbSvcChg</vt:lpstr>
      <vt:lpstr>'IWP15'!Std9ShrtUnreimbSvcChg</vt:lpstr>
      <vt:lpstr>'IWP16'!Std9ShrtUnreimbSvcChg</vt:lpstr>
      <vt:lpstr>'IWP17'!Std9ShrtUnreimbSvcChg</vt:lpstr>
      <vt:lpstr>'IWP18'!Std9ShrtUnreimbSvcChg</vt:lpstr>
      <vt:lpstr>'IWP19'!Std9ShrtUnreimbSvcChg</vt:lpstr>
      <vt:lpstr>'IWP20'!Std9ShrtUnreimbSvcChg</vt:lpstr>
      <vt:lpstr>'IWP21'!Std9ShrtUnreimbSvcChg</vt:lpstr>
      <vt:lpstr>'IWP22'!Std9ShrtUnreimbSvcChg</vt:lpstr>
      <vt:lpstr>'IWP23'!Std9ShrtUnreimbSvcChg</vt:lpstr>
      <vt:lpstr>'IWP24'!Std9ShrtUnreimbSvcChg</vt:lpstr>
      <vt:lpstr>'IWP25'!Std9ShrtUnreimbSvcChg</vt:lpstr>
      <vt:lpstr>'IWP26'!Std9ShrtUnreimbSvcChg</vt:lpstr>
      <vt:lpstr>'IWP27'!Std9ShrtUnreimbSvcChg</vt:lpstr>
      <vt:lpstr>'IWP28'!Std9ShrtUnreimbSvcChg</vt:lpstr>
      <vt:lpstr>'IWP29'!Std9ShrtUnreimbSvcChg</vt:lpstr>
      <vt:lpstr>'IWP30'!Std9ShrtUnreimbSvcChg</vt:lpstr>
      <vt:lpstr>'IWP01'!Std9TotCshBnkAndHnd</vt:lpstr>
      <vt:lpstr>'IWP02'!Std9TotCshBnkAndHnd</vt:lpstr>
      <vt:lpstr>'IWP03'!Std9TotCshBnkAndHnd</vt:lpstr>
      <vt:lpstr>'IWP04'!Std9TotCshBnkAndHnd</vt:lpstr>
      <vt:lpstr>'IWP05'!Std9TotCshBnkAndHnd</vt:lpstr>
      <vt:lpstr>'IWP06'!Std9TotCshBnkAndHnd</vt:lpstr>
      <vt:lpstr>'IWP07'!Std9TotCshBnkAndHnd</vt:lpstr>
      <vt:lpstr>'IWP08'!Std9TotCshBnkAndHnd</vt:lpstr>
      <vt:lpstr>'IWP09'!Std9TotCshBnkAndHnd</vt:lpstr>
      <vt:lpstr>'IWP10'!Std9TotCshBnkAndHnd</vt:lpstr>
      <vt:lpstr>'IWP11'!Std9TotCshBnkAndHnd</vt:lpstr>
      <vt:lpstr>'IWP12'!Std9TotCshBnkAndHnd</vt:lpstr>
      <vt:lpstr>'IWP13'!Std9TotCshBnkAndHnd</vt:lpstr>
      <vt:lpstr>'IWP14'!Std9TotCshBnkAndHnd</vt:lpstr>
      <vt:lpstr>'IWP15'!Std9TotCshBnkAndHnd</vt:lpstr>
      <vt:lpstr>'IWP16'!Std9TotCshBnkAndHnd</vt:lpstr>
      <vt:lpstr>'IWP17'!Std9TotCshBnkAndHnd</vt:lpstr>
      <vt:lpstr>'IWP18'!Std9TotCshBnkAndHnd</vt:lpstr>
      <vt:lpstr>'IWP19'!Std9TotCshBnkAndHnd</vt:lpstr>
      <vt:lpstr>'IWP20'!Std9TotCshBnkAndHnd</vt:lpstr>
      <vt:lpstr>'IWP21'!Std9TotCshBnkAndHnd</vt:lpstr>
      <vt:lpstr>'IWP22'!Std9TotCshBnkAndHnd</vt:lpstr>
      <vt:lpstr>'IWP23'!Std9TotCshBnkAndHnd</vt:lpstr>
      <vt:lpstr>'IWP24'!Std9TotCshBnkAndHnd</vt:lpstr>
      <vt:lpstr>'IWP25'!Std9TotCshBnkAndHnd</vt:lpstr>
      <vt:lpstr>'IWP26'!Std9TotCshBnkAndHnd</vt:lpstr>
      <vt:lpstr>'IWP27'!Std9TotCshBnkAndHnd</vt:lpstr>
      <vt:lpstr>'IWP28'!Std9TotCshBnkAndHnd</vt:lpstr>
      <vt:lpstr>'IWP29'!Std9TotCshBnkAndHnd</vt:lpstr>
      <vt:lpstr>'IWP30'!Std9TotCshBnkAndHnd</vt:lpstr>
      <vt:lpstr>'IWP01'!Std9TotDepsInTrans</vt:lpstr>
      <vt:lpstr>'IWP02'!Std9TotDepsInTrans</vt:lpstr>
      <vt:lpstr>'IWP03'!Std9TotDepsInTrans</vt:lpstr>
      <vt:lpstr>'IWP04'!Std9TotDepsInTrans</vt:lpstr>
      <vt:lpstr>'IWP05'!Std9TotDepsInTrans</vt:lpstr>
      <vt:lpstr>'IWP06'!Std9TotDepsInTrans</vt:lpstr>
      <vt:lpstr>'IWP07'!Std9TotDepsInTrans</vt:lpstr>
      <vt:lpstr>'IWP08'!Std9TotDepsInTrans</vt:lpstr>
      <vt:lpstr>'IWP09'!Std9TotDepsInTrans</vt:lpstr>
      <vt:lpstr>'IWP10'!Std9TotDepsInTrans</vt:lpstr>
      <vt:lpstr>'IWP11'!Std9TotDepsInTrans</vt:lpstr>
      <vt:lpstr>'IWP12'!Std9TotDepsInTrans</vt:lpstr>
      <vt:lpstr>'IWP13'!Std9TotDepsInTrans</vt:lpstr>
      <vt:lpstr>'IWP14'!Std9TotDepsInTrans</vt:lpstr>
      <vt:lpstr>'IWP15'!Std9TotDepsInTrans</vt:lpstr>
      <vt:lpstr>'IWP16'!Std9TotDepsInTrans</vt:lpstr>
      <vt:lpstr>'IWP17'!Std9TotDepsInTrans</vt:lpstr>
      <vt:lpstr>'IWP18'!Std9TotDepsInTrans</vt:lpstr>
      <vt:lpstr>'IWP19'!Std9TotDepsInTrans</vt:lpstr>
      <vt:lpstr>'IWP20'!Std9TotDepsInTrans</vt:lpstr>
      <vt:lpstr>'IWP21'!Std9TotDepsInTrans</vt:lpstr>
      <vt:lpstr>'IWP22'!Std9TotDepsInTrans</vt:lpstr>
      <vt:lpstr>'IWP23'!Std9TotDepsInTrans</vt:lpstr>
      <vt:lpstr>'IWP24'!Std9TotDepsInTrans</vt:lpstr>
      <vt:lpstr>'IWP25'!Std9TotDepsInTrans</vt:lpstr>
      <vt:lpstr>'IWP26'!Std9TotDepsInTrans</vt:lpstr>
      <vt:lpstr>'IWP27'!Std9TotDepsInTrans</vt:lpstr>
      <vt:lpstr>'IWP28'!Std9TotDepsInTrans</vt:lpstr>
      <vt:lpstr>'IWP29'!Std9TotDepsInTrans</vt:lpstr>
      <vt:lpstr>'IWP30'!Std9TotDepsInTrans</vt:lpstr>
      <vt:lpstr>'IWP01'!Std9TotOutsChks</vt:lpstr>
      <vt:lpstr>'IWP02'!Std9TotOutsChks</vt:lpstr>
      <vt:lpstr>'IWP03'!Std9TotOutsChks</vt:lpstr>
      <vt:lpstr>'IWP04'!Std9TotOutsChks</vt:lpstr>
      <vt:lpstr>'IWP05'!Std9TotOutsChks</vt:lpstr>
      <vt:lpstr>'IWP06'!Std9TotOutsChks</vt:lpstr>
      <vt:lpstr>'IWP07'!Std9TotOutsChks</vt:lpstr>
      <vt:lpstr>'IWP08'!Std9TotOutsChks</vt:lpstr>
      <vt:lpstr>'IWP09'!Std9TotOutsChks</vt:lpstr>
      <vt:lpstr>'IWP10'!Std9TotOutsChks</vt:lpstr>
      <vt:lpstr>'IWP11'!Std9TotOutsChks</vt:lpstr>
      <vt:lpstr>'IWP12'!Std9TotOutsChks</vt:lpstr>
      <vt:lpstr>'IWP13'!Std9TotOutsChks</vt:lpstr>
      <vt:lpstr>'IWP14'!Std9TotOutsChks</vt:lpstr>
      <vt:lpstr>'IWP15'!Std9TotOutsChks</vt:lpstr>
      <vt:lpstr>'IWP16'!Std9TotOutsChks</vt:lpstr>
      <vt:lpstr>'IWP17'!Std9TotOutsChks</vt:lpstr>
      <vt:lpstr>'IWP18'!Std9TotOutsChks</vt:lpstr>
      <vt:lpstr>'IWP19'!Std9TotOutsChks</vt:lpstr>
      <vt:lpstr>'IWP20'!Std9TotOutsChks</vt:lpstr>
      <vt:lpstr>'IWP21'!Std9TotOutsChks</vt:lpstr>
      <vt:lpstr>'IWP22'!Std9TotOutsChks</vt:lpstr>
      <vt:lpstr>'IWP23'!Std9TotOutsChks</vt:lpstr>
      <vt:lpstr>'IWP24'!Std9TotOutsChks</vt:lpstr>
      <vt:lpstr>'IWP25'!Std9TotOutsChks</vt:lpstr>
      <vt:lpstr>'IWP26'!Std9TotOutsChks</vt:lpstr>
      <vt:lpstr>'IWP27'!Std9TotOutsChks</vt:lpstr>
      <vt:lpstr>'IWP28'!Std9TotOutsChks</vt:lpstr>
      <vt:lpstr>'IWP29'!Std9TotOutsChks</vt:lpstr>
      <vt:lpstr>'IWP30'!Std9TotOutsChks</vt:lpstr>
      <vt:lpstr>'IWP01'!Std9TotPtyCshIndv</vt:lpstr>
      <vt:lpstr>'IWP02'!Std9TotPtyCshIndv</vt:lpstr>
      <vt:lpstr>'IWP03'!Std9TotPtyCshIndv</vt:lpstr>
      <vt:lpstr>'IWP04'!Std9TotPtyCshIndv</vt:lpstr>
      <vt:lpstr>'IWP05'!Std9TotPtyCshIndv</vt:lpstr>
      <vt:lpstr>'IWP06'!Std9TotPtyCshIndv</vt:lpstr>
      <vt:lpstr>'IWP07'!Std9TotPtyCshIndv</vt:lpstr>
      <vt:lpstr>'IWP08'!Std9TotPtyCshIndv</vt:lpstr>
      <vt:lpstr>'IWP09'!Std9TotPtyCshIndv</vt:lpstr>
      <vt:lpstr>'IWP10'!Std9TotPtyCshIndv</vt:lpstr>
      <vt:lpstr>'IWP11'!Std9TotPtyCshIndv</vt:lpstr>
      <vt:lpstr>'IWP12'!Std9TotPtyCshIndv</vt:lpstr>
      <vt:lpstr>'IWP13'!Std9TotPtyCshIndv</vt:lpstr>
      <vt:lpstr>'IWP14'!Std9TotPtyCshIndv</vt:lpstr>
      <vt:lpstr>'IWP15'!Std9TotPtyCshIndv</vt:lpstr>
      <vt:lpstr>'IWP16'!Std9TotPtyCshIndv</vt:lpstr>
      <vt:lpstr>'IWP17'!Std9TotPtyCshIndv</vt:lpstr>
      <vt:lpstr>'IWP18'!Std9TotPtyCshIndv</vt:lpstr>
      <vt:lpstr>'IWP19'!Std9TotPtyCshIndv</vt:lpstr>
      <vt:lpstr>'IWP20'!Std9TotPtyCshIndv</vt:lpstr>
      <vt:lpstr>'IWP21'!Std9TotPtyCshIndv</vt:lpstr>
      <vt:lpstr>'IWP22'!Std9TotPtyCshIndv</vt:lpstr>
      <vt:lpstr>'IWP23'!Std9TotPtyCshIndv</vt:lpstr>
      <vt:lpstr>'IWP24'!Std9TotPtyCshIndv</vt:lpstr>
      <vt:lpstr>'IWP25'!Std9TotPtyCshIndv</vt:lpstr>
      <vt:lpstr>'IWP26'!Std9TotPtyCshIndv</vt:lpstr>
      <vt:lpstr>'IWP27'!Std9TotPtyCshIndv</vt:lpstr>
      <vt:lpstr>'IWP28'!Std9TotPtyCshIndv</vt:lpstr>
      <vt:lpstr>'IWP29'!Std9TotPtyCshIndv</vt:lpstr>
      <vt:lpstr>'IWP30'!Std9TotPtyCshIndv</vt:lpstr>
      <vt:lpstr>'IWP01'!Std9TotPtyCshIndvDt</vt:lpstr>
      <vt:lpstr>'IWP02'!Std9TotPtyCshIndvDt</vt:lpstr>
      <vt:lpstr>'IWP03'!Std9TotPtyCshIndvDt</vt:lpstr>
      <vt:lpstr>'IWP04'!Std9TotPtyCshIndvDt</vt:lpstr>
      <vt:lpstr>'IWP05'!Std9TotPtyCshIndvDt</vt:lpstr>
      <vt:lpstr>'IWP06'!Std9TotPtyCshIndvDt</vt:lpstr>
      <vt:lpstr>'IWP07'!Std9TotPtyCshIndvDt</vt:lpstr>
      <vt:lpstr>'IWP08'!Std9TotPtyCshIndvDt</vt:lpstr>
      <vt:lpstr>'IWP09'!Std9TotPtyCshIndvDt</vt:lpstr>
      <vt:lpstr>'IWP10'!Std9TotPtyCshIndvDt</vt:lpstr>
      <vt:lpstr>'IWP11'!Std9TotPtyCshIndvDt</vt:lpstr>
      <vt:lpstr>'IWP12'!Std9TotPtyCshIndvDt</vt:lpstr>
      <vt:lpstr>'IWP13'!Std9TotPtyCshIndvDt</vt:lpstr>
      <vt:lpstr>'IWP14'!Std9TotPtyCshIndvDt</vt:lpstr>
      <vt:lpstr>'IWP15'!Std9TotPtyCshIndvDt</vt:lpstr>
      <vt:lpstr>'IWP16'!Std9TotPtyCshIndvDt</vt:lpstr>
      <vt:lpstr>'IWP17'!Std9TotPtyCshIndvDt</vt:lpstr>
      <vt:lpstr>'IWP18'!Std9TotPtyCshIndvDt</vt:lpstr>
      <vt:lpstr>'IWP19'!Std9TotPtyCshIndvDt</vt:lpstr>
      <vt:lpstr>'IWP20'!Std9TotPtyCshIndvDt</vt:lpstr>
      <vt:lpstr>'IWP21'!Std9TotPtyCshIndvDt</vt:lpstr>
      <vt:lpstr>'IWP22'!Std9TotPtyCshIndvDt</vt:lpstr>
      <vt:lpstr>'IWP23'!Std9TotPtyCshIndvDt</vt:lpstr>
      <vt:lpstr>'IWP24'!Std9TotPtyCshIndvDt</vt:lpstr>
      <vt:lpstr>'IWP25'!Std9TotPtyCshIndvDt</vt:lpstr>
      <vt:lpstr>'IWP26'!Std9TotPtyCshIndvDt</vt:lpstr>
      <vt:lpstr>'IWP27'!Std9TotPtyCshIndvDt</vt:lpstr>
      <vt:lpstr>'IWP28'!Std9TotPtyCshIndvDt</vt:lpstr>
      <vt:lpstr>'IWP29'!Std9TotPtyCshIndvDt</vt:lpstr>
      <vt:lpstr>'IWP30'!Std9TotPtyCshIndvDt</vt:lpstr>
      <vt:lpstr>'IWP01'!Std9TrstFndAcctOvrShrt</vt:lpstr>
      <vt:lpstr>'IWP02'!Std9TrstFndAcctOvrShrt</vt:lpstr>
      <vt:lpstr>'IWP03'!Std9TrstFndAcctOvrShrt</vt:lpstr>
      <vt:lpstr>'IWP04'!Std9TrstFndAcctOvrShrt</vt:lpstr>
      <vt:lpstr>'IWP05'!Std9TrstFndAcctOvrShrt</vt:lpstr>
      <vt:lpstr>'IWP06'!Std9TrstFndAcctOvrShrt</vt:lpstr>
      <vt:lpstr>'IWP07'!Std9TrstFndAcctOvrShrt</vt:lpstr>
      <vt:lpstr>'IWP08'!Std9TrstFndAcctOvrShrt</vt:lpstr>
      <vt:lpstr>'IWP09'!Std9TrstFndAcctOvrShrt</vt:lpstr>
      <vt:lpstr>'IWP10'!Std9TrstFndAcctOvrShrt</vt:lpstr>
      <vt:lpstr>'IWP11'!Std9TrstFndAcctOvrShrt</vt:lpstr>
      <vt:lpstr>'IWP12'!Std9TrstFndAcctOvrShrt</vt:lpstr>
      <vt:lpstr>'IWP13'!Std9TrstFndAcctOvrShrt</vt:lpstr>
      <vt:lpstr>'IWP14'!Std9TrstFndAcctOvrShrt</vt:lpstr>
      <vt:lpstr>'IWP15'!Std9TrstFndAcctOvrShrt</vt:lpstr>
      <vt:lpstr>'IWP16'!Std9TrstFndAcctOvrShrt</vt:lpstr>
      <vt:lpstr>'IWP17'!Std9TrstFndAcctOvrShrt</vt:lpstr>
      <vt:lpstr>'IWP18'!Std9TrstFndAcctOvrShrt</vt:lpstr>
      <vt:lpstr>'IWP19'!Std9TrstFndAcctOvrShrt</vt:lpstr>
      <vt:lpstr>'IWP20'!Std9TrstFndAcctOvrShrt</vt:lpstr>
      <vt:lpstr>'IWP21'!Std9TrstFndAcctOvrShrt</vt:lpstr>
      <vt:lpstr>'IWP22'!Std9TrstFndAcctOvrShrt</vt:lpstr>
      <vt:lpstr>'IWP23'!Std9TrstFndAcctOvrShrt</vt:lpstr>
      <vt:lpstr>'IWP24'!Std9TrstFndAcctOvrShrt</vt:lpstr>
      <vt:lpstr>'IWP25'!Std9TrstFndAcctOvrShrt</vt:lpstr>
      <vt:lpstr>'IWP26'!Std9TrstFndAcctOvrShrt</vt:lpstr>
      <vt:lpstr>'IWP27'!Std9TrstFndAcctOvrShrt</vt:lpstr>
      <vt:lpstr>'IWP28'!Std9TrstFndAcctOvrShrt</vt:lpstr>
      <vt:lpstr>'IWP29'!Std9TrstFndAcctOvrShrt</vt:lpstr>
      <vt:lpstr>'IWP30'!Std9TrstFndAcctOvrShrt</vt:lpstr>
      <vt:lpstr>'IWP01'!Std9UnapplErndInt</vt:lpstr>
      <vt:lpstr>'IWP02'!Std9UnapplErndInt</vt:lpstr>
      <vt:lpstr>'IWP03'!Std9UnapplErndInt</vt:lpstr>
      <vt:lpstr>'IWP04'!Std9UnapplErndInt</vt:lpstr>
      <vt:lpstr>'IWP05'!Std9UnapplErndInt</vt:lpstr>
      <vt:lpstr>'IWP06'!Std9UnapplErndInt</vt:lpstr>
      <vt:lpstr>'IWP07'!Std9UnapplErndInt</vt:lpstr>
      <vt:lpstr>'IWP08'!Std9UnapplErndInt</vt:lpstr>
      <vt:lpstr>'IWP09'!Std9UnapplErndInt</vt:lpstr>
      <vt:lpstr>'IWP10'!Std9UnapplErndInt</vt:lpstr>
      <vt:lpstr>'IWP11'!Std9UnapplErndInt</vt:lpstr>
      <vt:lpstr>'IWP12'!Std9UnapplErndInt</vt:lpstr>
      <vt:lpstr>'IWP13'!Std9UnapplErndInt</vt:lpstr>
      <vt:lpstr>'IWP14'!Std9UnapplErndInt</vt:lpstr>
      <vt:lpstr>'IWP15'!Std9UnapplErndInt</vt:lpstr>
      <vt:lpstr>'IWP16'!Std9UnapplErndInt</vt:lpstr>
      <vt:lpstr>'IWP17'!Std9UnapplErndInt</vt:lpstr>
      <vt:lpstr>'IWP18'!Std9UnapplErndInt</vt:lpstr>
      <vt:lpstr>'IWP19'!Std9UnapplErndInt</vt:lpstr>
      <vt:lpstr>'IWP20'!Std9UnapplErndInt</vt:lpstr>
      <vt:lpstr>'IWP21'!Std9UnapplErndInt</vt:lpstr>
      <vt:lpstr>'IWP22'!Std9UnapplErndInt</vt:lpstr>
      <vt:lpstr>'IWP23'!Std9UnapplErndInt</vt:lpstr>
      <vt:lpstr>'IWP24'!Std9UnapplErndInt</vt:lpstr>
      <vt:lpstr>'IWP25'!Std9UnapplErndInt</vt:lpstr>
      <vt:lpstr>'IWP26'!Std9UnapplErndInt</vt:lpstr>
      <vt:lpstr>'IWP27'!Std9UnapplErndInt</vt:lpstr>
      <vt:lpstr>'IWP28'!Std9UnapplErndInt</vt:lpstr>
      <vt:lpstr>'IWP29'!Std9UnapplErndInt</vt:lpstr>
      <vt:lpstr>'IWP30'!Std9UnapplErndInt</vt:lpstr>
      <vt:lpstr>'IWP01'!Std9UnpstdRcptDsbrsmts</vt:lpstr>
      <vt:lpstr>'IWP02'!Std9UnpstdRcptDsbrsmts</vt:lpstr>
      <vt:lpstr>'IWP03'!Std9UnpstdRcptDsbrsmts</vt:lpstr>
      <vt:lpstr>'IWP04'!Std9UnpstdRcptDsbrsmts</vt:lpstr>
      <vt:lpstr>'IWP05'!Std9UnpstdRcptDsbrsmts</vt:lpstr>
      <vt:lpstr>'IWP06'!Std9UnpstdRcptDsbrsmts</vt:lpstr>
      <vt:lpstr>'IWP07'!Std9UnpstdRcptDsbrsmts</vt:lpstr>
      <vt:lpstr>'IWP08'!Std9UnpstdRcptDsbrsmts</vt:lpstr>
      <vt:lpstr>'IWP09'!Std9UnpstdRcptDsbrsmts</vt:lpstr>
      <vt:lpstr>'IWP10'!Std9UnpstdRcptDsbrsmts</vt:lpstr>
      <vt:lpstr>'IWP11'!Std9UnpstdRcptDsbrsmts</vt:lpstr>
      <vt:lpstr>'IWP12'!Std9UnpstdRcptDsbrsmts</vt:lpstr>
      <vt:lpstr>'IWP13'!Std9UnpstdRcptDsbrsmts</vt:lpstr>
      <vt:lpstr>'IWP14'!Std9UnpstdRcptDsbrsmts</vt:lpstr>
      <vt:lpstr>'IWP15'!Std9UnpstdRcptDsbrsmts</vt:lpstr>
      <vt:lpstr>'IWP16'!Std9UnpstdRcptDsbrsmts</vt:lpstr>
      <vt:lpstr>'IWP17'!Std9UnpstdRcptDsbrsmts</vt:lpstr>
      <vt:lpstr>'IWP18'!Std9UnpstdRcptDsbrsmts</vt:lpstr>
      <vt:lpstr>'IWP19'!Std9UnpstdRcptDsbrsmts</vt:lpstr>
      <vt:lpstr>'IWP20'!Std9UnpstdRcptDsbrsmts</vt:lpstr>
      <vt:lpstr>'IWP21'!Std9UnpstdRcptDsbrsmts</vt:lpstr>
      <vt:lpstr>'IWP22'!Std9UnpstdRcptDsbrsmts</vt:lpstr>
      <vt:lpstr>'IWP23'!Std9UnpstdRcptDsbrsmts</vt:lpstr>
      <vt:lpstr>'IWP24'!Std9UnpstdRcptDsbrsmts</vt:lpstr>
      <vt:lpstr>'IWP25'!Std9UnpstdRcptDsbrsmts</vt:lpstr>
      <vt:lpstr>'IWP26'!Std9UnpstdRcptDsbrsmts</vt:lpstr>
      <vt:lpstr>'IWP27'!Std9UnpstdRcptDsbrsmts</vt:lpstr>
      <vt:lpstr>'IWP28'!Std9UnpstdRcptDsbrsmts</vt:lpstr>
      <vt:lpstr>'IWP29'!Std9UnpstdRcptDsbrsmts</vt:lpstr>
      <vt:lpstr>'IWP30'!Std9UnpstdRcptDsbrsmts</vt:lpstr>
      <vt:lpstr>'Personal Care 3 Facility Chklst'!TotalBedrooms</vt:lpstr>
      <vt:lpstr>'Personal Care 3 Facility Chklst'!TotalDouble</vt:lpstr>
      <vt:lpstr>'Demand for Pmt Notice (Print)'!TotalDueCBAAL</vt:lpstr>
      <vt:lpstr>'Demand for Pmt Notice (Print)'!TotalDueCBAOHR</vt:lpstr>
      <vt:lpstr>'Demand for Pmt Notice (Print)'!TotalDueCCADRC</vt:lpstr>
      <vt:lpstr>'Personal Care 3 Facility Chklst'!TotalOther</vt:lpstr>
      <vt:lpstr>'Personal Care 3 Facility Chklst'!TotalSingle</vt:lpstr>
      <vt:lpstr>'ALRC Indiv Fund Summary (Print)'!TrstFndRfndDcsdOrDschdIndv</vt:lpstr>
      <vt:lpstr>'Monitoring Workbook'!TrstFndTrialBals</vt:lpstr>
      <vt:lpstr>Trust_Fund_Trial_Balances</vt:lpstr>
      <vt:lpstr>'ALRC Indiv Fund Summary (Print)'!UnallwblWthdrwls</vt:lpstr>
      <vt:lpstr>'ALRC Indiv Fund Summary (Print)'!UnauthUndocWthdrwls</vt:lpstr>
      <vt:lpstr>'Unlic. Empl. Reqs. (Print)'!UnlicEmplReqs</vt:lpstr>
      <vt:lpstr>'ALRC Indiv Fund Summary (Print)'!UnsdRmBdPrrtdCoPyDueDcsdDschdIndv</vt:lpstr>
      <vt:lpstr>Data!XaroAfcAuthToMngMoney</vt:lpstr>
      <vt:lpstr>Data!XaroAlrcReimbTotals</vt:lpstr>
      <vt:lpstr>Data!XaroBnkChgsIndvTrstFnd</vt:lpstr>
      <vt:lpstr>Data!XaroBnkChgsPldTrstFnd</vt:lpstr>
      <vt:lpstr>Data!XaroComplianceSummaries</vt:lpstr>
      <vt:lpstr>Data!XaroCoPyCrdtDueHspIdv</vt:lpstr>
      <vt:lpstr>Data!XaroDpstsPldTrstFndAcct</vt:lpstr>
      <vt:lpstr>Data!XaroDpstTstFdOrCshAct</vt:lpstr>
      <vt:lpstr>Data!XaroIndvPtyCshFndRcncltn</vt:lpstr>
      <vt:lpstr>Data!XaroIndvTrstFndRcncltn</vt:lpstr>
      <vt:lpstr>Data!XaroIwpData</vt:lpstr>
      <vt:lpstr>Data!XaroIwpStd10dot3Deposits</vt:lpstr>
      <vt:lpstr>Data!XaroIwpStd10dot4Wthdrwls</vt:lpstr>
      <vt:lpstr>Data!XaroIwpStd10dot5Wthdrwls</vt:lpstr>
      <vt:lpstr>Data!XaroIwpStd11dot1CmnArClc</vt:lpstr>
      <vt:lpstr>Data!XaroIwpStd11dot4Hosptlztn</vt:lpstr>
      <vt:lpstr>Data!XaroIwpStd4dot2Dates</vt:lpstr>
      <vt:lpstr>Data!XaroIwpStd9dot1DptsTrns</vt:lpstr>
      <vt:lpstr>Data!XaroIwpStd9dot1OutstChks</vt:lpstr>
      <vt:lpstr>Data!XaroMonitoringWbk1</vt:lpstr>
      <vt:lpstr>Data!XaroMonWbkChksDpsts</vt:lpstr>
      <vt:lpstr>Data!XaroMonWbkDpstsInTrns</vt:lpstr>
      <vt:lpstr>Data!XaroMonWbkTrFndTrlBls</vt:lpstr>
      <vt:lpstr>Data!XaroOhrReimbTotals</vt:lpstr>
      <vt:lpstr>Data!XaroOvrCollRmbdCpyBdHld</vt:lpstr>
      <vt:lpstr>Data!XaroPldPtyCshFndRcncltn</vt:lpstr>
      <vt:lpstr>Data!XaroPldTrstFndAcctRcltn</vt:lpstr>
      <vt:lpstr>Data!XaroPrrtdIntPldTrstFnd</vt:lpstr>
      <vt:lpstr>Data!XaroPrsnCr3FcltyBdOcpncy</vt:lpstr>
      <vt:lpstr>Data!XaroPrsnCr3FcltyChklst</vt:lpstr>
      <vt:lpstr>Data!XaroTstFndRfdDscDschIdv</vt:lpstr>
      <vt:lpstr>Data!XaroUnallwblWthdrwls</vt:lpstr>
      <vt:lpstr>Data!XaroUnauthUndocWthdrwls</vt:lpstr>
      <vt:lpstr>Data!XaroUnlicEmplReqs</vt:lpstr>
      <vt:lpstr>Data!XaroUnsdrmbdpdcpyduedschdidv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HCSS ALRC 20100604</dc:title>
  <dc:subject>Contracting Monitoring Tool, Assisted Living\Residential Care\Out of Home Respite</dc:subject>
  <dc:creator>Shepherd, William</dc:creator>
  <cp:lastModifiedBy>Nelson,Rose M (HHSC)</cp:lastModifiedBy>
  <cp:lastPrinted>2013-11-05T16:53:34Z</cp:lastPrinted>
  <dcterms:created xsi:type="dcterms:W3CDTF">2006-09-16T00:00:00Z</dcterms:created>
  <dcterms:modified xsi:type="dcterms:W3CDTF">2024-02-07T15:21:15Z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0x010100FC9838E71788CA4FAA0BF7588A02EAF4</vt:lpwstr>
  </property>
  <property fmtid="{D5CDD505-2E9C-101B-9397-08002B2CF9AE}" pid="3" name="_dlc_DocIdItemGuid">
    <vt:lpwstr>3ed51e2b-59d7-4df8-8268-0a19646042b7</vt:lpwstr>
  </property>
</Properties>
</file>